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namedSheetViews/namedSheetView3.xml" ContentType="application/vnd.ms-excel.namedsheetviews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5.xml" ContentType="application/vnd.openxmlformats-officedocument.spreadsheetml.pivotTable+xml"/>
  <Override PartName="/xl/tables/table6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C:\Users\nan2.shao\Downloads\"/>
    </mc:Choice>
  </mc:AlternateContent>
  <xr:revisionPtr revIDLastSave="0" documentId="13_ncr:1_{D6AC529C-AF48-4734-BEAB-B3A880B412E7}" xr6:coauthVersionLast="47" xr6:coauthVersionMax="47" xr10:uidLastSave="{00000000-0000-0000-0000-000000000000}"/>
  <bookViews>
    <workbookView xWindow="19090" yWindow="-110" windowWidth="29020" windowHeight="15820" tabRatio="815" firstSheet="1" activeTab="3" xr2:uid="{00000000-000D-0000-FFFF-FFFF00000000}"/>
  </bookViews>
  <sheets>
    <sheet name="H1-2026 PV DATA" sheetId="148" state="hidden" r:id="rId1"/>
    <sheet name="CT capacity tracker" sheetId="122" r:id="rId2"/>
    <sheet name="H2-2025 PV DATA" sheetId="105" state="hidden" r:id="rId3"/>
    <sheet name="PV SUPPLY DATA" sheetId="3" r:id="rId4"/>
    <sheet name="ESS SUPPLY DATA" sheetId="70" r:id="rId5"/>
    <sheet name="New Ark data" sheetId="137" r:id="rId6"/>
    <sheet name="Carole - Sales Requests" sheetId="66" r:id="rId7"/>
    <sheet name="CT tracker site" sheetId="129" r:id="rId8"/>
    <sheet name="Sheet3" sheetId="130" r:id="rId9"/>
    <sheet name="Vessel" sheetId="139" r:id="rId10"/>
    <sheet name="ESS ATP JB" sheetId="118" r:id="rId11"/>
    <sheet name="H1-2025 PV DATA" sheetId="69" state="hidden" r:id="rId12"/>
    <sheet name="SAMPLES &amp; SPARE PARTS" sheetId="109" r:id="rId13"/>
    <sheet name="Sheet2" sheetId="124" state="hidden" r:id="rId14"/>
    <sheet name="Diane - MDS " sheetId="80" r:id="rId15"/>
    <sheet name="Priority Level" sheetId="91" r:id="rId16"/>
    <sheet name="Product Spec" sheetId="86" r:id="rId17"/>
    <sheet name="PO Check" sheetId="147" r:id="rId18"/>
    <sheet name="Total Stock" sheetId="145" r:id="rId19"/>
    <sheet name="Assumption ATP" sheetId="47" r:id="rId20"/>
  </sheets>
  <definedNames>
    <definedName name="_xlnm._FilterDatabase" localSheetId="19" hidden="1">'Assumption ATP'!#REF!</definedName>
    <definedName name="_xlnm._FilterDatabase" localSheetId="1" hidden="1">'CT capacity tracker'!$A$1:$AH$142</definedName>
    <definedName name="_xlnm._FilterDatabase" localSheetId="4" hidden="1">'ESS SUPPLY DATA'!$U$299:$U$299</definedName>
    <definedName name="_xlnm._FilterDatabase" localSheetId="11" hidden="1">'H1-2025 PV DATA'!$A$3:$AQ$3</definedName>
    <definedName name="_xlnm._FilterDatabase" localSheetId="0" hidden="1">'H1-2026 PV DATA'!$A$1:$BH$500</definedName>
    <definedName name="_xlnm._FilterDatabase" localSheetId="2" hidden="1">'H2-2025 PV DATA'!$U$470:$U$470</definedName>
    <definedName name="_xlnm._FilterDatabase" localSheetId="3" hidden="1">'PV SUPPLY DATA'!$Q$1325:$Q$1325</definedName>
    <definedName name="_xlnm._FilterDatabase" localSheetId="12" hidden="1">'SAMPLES &amp; SPARE PARTS'!$A$1:$T$64</definedName>
    <definedName name="_xlnm._FilterDatabase" localSheetId="9" hidden="1">Vessel!$A$1:$I$271</definedName>
    <definedName name="date_end_horizon">DATE(2026,11,15)</definedName>
    <definedName name="ExternalData_1" localSheetId="18" hidden="1">'Total Stock'!$A$1:$W$156</definedName>
    <definedName name="ExternalData_2" localSheetId="17" hidden="1">'PO Check'!$A$1:$Q$1332</definedName>
    <definedName name="fx_qty" localSheetId="2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40" r:id="rId21"/>
    <pivotCache cacheId="55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135" i="3" l="1"/>
  <c r="AY1135" i="3" s="1"/>
  <c r="AX1136" i="3"/>
  <c r="AY1136" i="3" s="1"/>
  <c r="AX1137" i="3"/>
  <c r="AY1137" i="3" s="1"/>
  <c r="AX1138" i="3"/>
  <c r="AY1138" i="3" s="1"/>
  <c r="AX1139" i="3"/>
  <c r="AY1139" i="3" s="1"/>
  <c r="AX1140" i="3"/>
  <c r="AY1140" i="3" s="1"/>
  <c r="AX1141" i="3"/>
  <c r="AY1141" i="3" s="1"/>
  <c r="AX1142" i="3"/>
  <c r="AY1142" i="3" s="1"/>
  <c r="AX1143" i="3"/>
  <c r="AY1143" i="3" s="1"/>
  <c r="AX1144" i="3"/>
  <c r="AY1144" i="3" s="1"/>
  <c r="AX1145" i="3"/>
  <c r="AY1145" i="3" s="1"/>
  <c r="AX1146" i="3"/>
  <c r="AY1146" i="3" s="1"/>
  <c r="AX1147" i="3"/>
  <c r="AY1147" i="3" s="1"/>
  <c r="AX1148" i="3"/>
  <c r="AX1149" i="3"/>
  <c r="AY1149" i="3" s="1"/>
  <c r="AX1150" i="3"/>
  <c r="AY1150" i="3" s="1"/>
  <c r="AX1151" i="3"/>
  <c r="AX1152" i="3"/>
  <c r="AY1152" i="3" s="1"/>
  <c r="AX1153" i="3"/>
  <c r="AY1153" i="3" s="1"/>
  <c r="AX1154" i="3"/>
  <c r="AY1154" i="3" s="1"/>
  <c r="AX1155" i="3"/>
  <c r="AY1155" i="3" s="1"/>
  <c r="AX1156" i="3"/>
  <c r="AY1156" i="3" s="1"/>
  <c r="AX1157" i="3"/>
  <c r="AY1157" i="3" s="1"/>
  <c r="AX1158" i="3"/>
  <c r="AY1158" i="3" s="1"/>
  <c r="AX1159" i="3"/>
  <c r="AY1159" i="3" s="1"/>
  <c r="AX1160" i="3"/>
  <c r="AY1160" i="3" s="1"/>
  <c r="AX1161" i="3"/>
  <c r="AY1161" i="3" s="1"/>
  <c r="AX1162" i="3"/>
  <c r="AY1162" i="3" s="1"/>
  <c r="AX1163" i="3"/>
  <c r="AY1163" i="3" s="1"/>
  <c r="AX1164" i="3"/>
  <c r="AY1164" i="3" s="1"/>
  <c r="AX1165" i="3"/>
  <c r="AY1165" i="3" s="1"/>
  <c r="AX1166" i="3"/>
  <c r="AY1166" i="3" s="1"/>
  <c r="AX1167" i="3"/>
  <c r="AY1167" i="3" s="1"/>
  <c r="AX1168" i="3"/>
  <c r="AY1168" i="3" s="1"/>
  <c r="AX1169" i="3"/>
  <c r="AY1169" i="3" s="1"/>
  <c r="AX1170" i="3"/>
  <c r="AY1170" i="3" s="1"/>
  <c r="AX1171" i="3"/>
  <c r="AY1171" i="3" s="1"/>
  <c r="AX1172" i="3"/>
  <c r="AY1172" i="3" s="1"/>
  <c r="AX1173" i="3"/>
  <c r="AX1174" i="3"/>
  <c r="AX1175" i="3"/>
  <c r="AX1176" i="3"/>
  <c r="AX1177" i="3"/>
  <c r="AX1178" i="3"/>
  <c r="AX1179" i="3"/>
  <c r="AX1180" i="3"/>
  <c r="AX1181" i="3"/>
  <c r="AX1182" i="3"/>
  <c r="AX1183" i="3"/>
  <c r="AX1184" i="3"/>
  <c r="AX1185" i="3"/>
  <c r="AX1186" i="3"/>
  <c r="AX1187" i="3"/>
  <c r="AX1188" i="3"/>
  <c r="AX1189" i="3"/>
  <c r="AX1190" i="3"/>
  <c r="AX1191" i="3"/>
  <c r="AX1192" i="3"/>
  <c r="AX1193" i="3"/>
  <c r="AX1194" i="3"/>
  <c r="AX1195" i="3"/>
  <c r="AX1196" i="3"/>
  <c r="AX1197" i="3"/>
  <c r="AX1198" i="3"/>
  <c r="AX1199" i="3"/>
  <c r="AX1200" i="3"/>
  <c r="AX1201" i="3"/>
  <c r="AX1202" i="3"/>
  <c r="AX1203" i="3"/>
  <c r="AX1204" i="3"/>
  <c r="AX1205" i="3"/>
  <c r="AX1206" i="3"/>
  <c r="AX1207" i="3"/>
  <c r="AX1208" i="3"/>
  <c r="AX1209" i="3"/>
  <c r="AX1210" i="3"/>
  <c r="AX1211" i="3"/>
  <c r="AX1212" i="3"/>
  <c r="AX1213" i="3"/>
  <c r="AX1214" i="3"/>
  <c r="AX1215" i="3"/>
  <c r="AX1216" i="3"/>
  <c r="AX1217" i="3"/>
  <c r="AX1218" i="3"/>
  <c r="AX1219" i="3"/>
  <c r="AX1220" i="3"/>
  <c r="AX1221" i="3"/>
  <c r="AX1222" i="3"/>
  <c r="AX1223" i="3"/>
  <c r="AX1224" i="3"/>
  <c r="AX1225" i="3"/>
  <c r="AX1226" i="3"/>
  <c r="AX1227" i="3"/>
  <c r="AX1228" i="3"/>
  <c r="AX1229" i="3"/>
  <c r="AX1230" i="3"/>
  <c r="AX1231" i="3"/>
  <c r="AX1232" i="3"/>
  <c r="AX1233" i="3"/>
  <c r="AX1234" i="3"/>
  <c r="AX1235" i="3"/>
  <c r="AX1236" i="3"/>
  <c r="AX1237" i="3"/>
  <c r="AX1238" i="3"/>
  <c r="AX1239" i="3"/>
  <c r="AX1240" i="3"/>
  <c r="AX1241" i="3"/>
  <c r="AX1242" i="3"/>
  <c r="AY1242" i="3" s="1"/>
  <c r="AX1243" i="3"/>
  <c r="AX1244" i="3"/>
  <c r="AX1245" i="3"/>
  <c r="AX1246" i="3"/>
  <c r="AX1247" i="3"/>
  <c r="AY1247" i="3" s="1"/>
  <c r="AX1248" i="3"/>
  <c r="AX1249" i="3"/>
  <c r="AY1249" i="3" s="1"/>
  <c r="AX1250" i="3"/>
  <c r="AX1251" i="3"/>
  <c r="AX1252" i="3"/>
  <c r="AY1252" i="3" s="1"/>
  <c r="AX1253" i="3"/>
  <c r="AY1253" i="3" s="1"/>
  <c r="AX1254" i="3"/>
  <c r="AY1254" i="3" s="1"/>
  <c r="AX1255" i="3"/>
  <c r="AX1256" i="3"/>
  <c r="AY1256" i="3" s="1"/>
  <c r="AX1257" i="3"/>
  <c r="AX1258" i="3"/>
  <c r="AY1258" i="3" s="1"/>
  <c r="AX1259" i="3"/>
  <c r="AX1260" i="3"/>
  <c r="AY1260" i="3" s="1"/>
  <c r="AX1261" i="3"/>
  <c r="AY1261" i="3" s="1"/>
  <c r="AX1262" i="3"/>
  <c r="AY1262" i="3" s="1"/>
  <c r="AX1263" i="3"/>
  <c r="AY1263" i="3" s="1"/>
  <c r="AX1264" i="3"/>
  <c r="AX1265" i="3"/>
  <c r="AX1266" i="3"/>
  <c r="AY1266" i="3" s="1"/>
  <c r="AX1267" i="3"/>
  <c r="AX1268" i="3"/>
  <c r="AX1269" i="3"/>
  <c r="AX1270" i="3"/>
  <c r="AY1270" i="3" s="1"/>
  <c r="AX1271" i="3"/>
  <c r="AY1271" i="3" s="1"/>
  <c r="AX1272" i="3"/>
  <c r="AY1272" i="3" s="1"/>
  <c r="AX1273" i="3"/>
  <c r="AY1273" i="3" s="1"/>
  <c r="AX1274" i="3"/>
  <c r="AY1274" i="3" s="1"/>
  <c r="AX1275" i="3"/>
  <c r="AY1275" i="3" s="1"/>
  <c r="AX1276" i="3"/>
  <c r="AY1276" i="3" s="1"/>
  <c r="AX1277" i="3"/>
  <c r="AY1277" i="3" s="1"/>
  <c r="AX1278" i="3"/>
  <c r="AY1278" i="3" s="1"/>
  <c r="AX1279" i="3"/>
  <c r="AY1279" i="3" s="1"/>
  <c r="AX1280" i="3"/>
  <c r="AY1280" i="3" s="1"/>
  <c r="AX1281" i="3"/>
  <c r="AY1281" i="3" s="1"/>
  <c r="AX1282" i="3"/>
  <c r="AY1282" i="3" s="1"/>
  <c r="AX1283" i="3"/>
  <c r="AY1283" i="3" s="1"/>
  <c r="AX1284" i="3"/>
  <c r="AY1284" i="3" s="1"/>
  <c r="AX1285" i="3"/>
  <c r="AY1285" i="3" s="1"/>
  <c r="AX1286" i="3"/>
  <c r="AY1286" i="3" s="1"/>
  <c r="AX1287" i="3"/>
  <c r="AY1287" i="3" s="1"/>
  <c r="AX1288" i="3"/>
  <c r="AY1288" i="3" s="1"/>
  <c r="AX1289" i="3"/>
  <c r="AY1289" i="3" s="1"/>
  <c r="AX1290" i="3"/>
  <c r="AY1290" i="3" s="1"/>
  <c r="AX1291" i="3"/>
  <c r="AY1291" i="3" s="1"/>
  <c r="AX1292" i="3"/>
  <c r="AY1292" i="3" s="1"/>
  <c r="AX1293" i="3"/>
  <c r="AY1293" i="3" s="1"/>
  <c r="AX1294" i="3"/>
  <c r="AY1294" i="3" s="1"/>
  <c r="AX1295" i="3"/>
  <c r="AY1295" i="3" s="1"/>
  <c r="AX1296" i="3"/>
  <c r="AY1296" i="3" s="1"/>
  <c r="AX1297" i="3"/>
  <c r="AY1297" i="3" s="1"/>
  <c r="AX1298" i="3"/>
  <c r="AY1298" i="3" s="1"/>
  <c r="AX1299" i="3"/>
  <c r="AY1299" i="3" s="1"/>
  <c r="AX1300" i="3"/>
  <c r="AY1300" i="3" s="1"/>
  <c r="AX1301" i="3"/>
  <c r="AY1301" i="3" s="1"/>
  <c r="AX1302" i="3"/>
  <c r="AY1302" i="3" s="1"/>
  <c r="AX1303" i="3"/>
  <c r="AY1303" i="3" s="1"/>
  <c r="AX1304" i="3"/>
  <c r="AY1304" i="3" s="1"/>
  <c r="AX1305" i="3"/>
  <c r="AY1305" i="3" s="1"/>
  <c r="AX1306" i="3"/>
  <c r="AY1306" i="3" s="1"/>
  <c r="AX1307" i="3"/>
  <c r="AY1307" i="3" s="1"/>
  <c r="AX1308" i="3"/>
  <c r="AY1308" i="3" s="1"/>
  <c r="AX1309" i="3"/>
  <c r="AY1309" i="3" s="1"/>
  <c r="AX1310" i="3"/>
  <c r="AY1310" i="3" s="1"/>
  <c r="AX1311" i="3"/>
  <c r="AY1311" i="3" s="1"/>
  <c r="AX1312" i="3"/>
  <c r="AY1312" i="3" s="1"/>
  <c r="AX1313" i="3"/>
  <c r="AY1313" i="3" s="1"/>
  <c r="AX1314" i="3"/>
  <c r="AY1314" i="3" s="1"/>
  <c r="AX1315" i="3"/>
  <c r="AY1315" i="3" s="1"/>
  <c r="AX1316" i="3"/>
  <c r="AY1316" i="3" s="1"/>
  <c r="AX1317" i="3"/>
  <c r="AY1317" i="3" s="1"/>
  <c r="AX1318" i="3"/>
  <c r="AY1318" i="3" s="1"/>
  <c r="AX1319" i="3"/>
  <c r="AY1319" i="3" s="1"/>
  <c r="U234" i="70"/>
  <c r="U233" i="70"/>
  <c r="U236" i="70"/>
  <c r="U237" i="70"/>
  <c r="U238" i="70"/>
  <c r="U239" i="70"/>
  <c r="U240" i="70"/>
  <c r="U235" i="70"/>
  <c r="C238" i="70"/>
  <c r="C239" i="70"/>
  <c r="C240" i="70"/>
  <c r="BC238" i="70"/>
  <c r="AX238" i="70"/>
  <c r="AV238" i="70"/>
  <c r="AW238" i="70" s="1"/>
  <c r="AU238" i="70" a="1"/>
  <c r="AY238" i="70" s="1"/>
  <c r="AS238" i="70"/>
  <c r="AA238" i="70"/>
  <c r="X238" i="70"/>
  <c r="BC239" i="70"/>
  <c r="AX239" i="70"/>
  <c r="AV239" i="70"/>
  <c r="AW239" i="70" s="1"/>
  <c r="AU239" i="70" a="1"/>
  <c r="AY239" i="70" s="1"/>
  <c r="AS239" i="70"/>
  <c r="AA239" i="70"/>
  <c r="X239" i="70"/>
  <c r="BC240" i="70"/>
  <c r="AX240" i="70"/>
  <c r="AV240" i="70"/>
  <c r="AW240" i="70" s="1"/>
  <c r="AU240" i="70" a="1"/>
  <c r="AY240" i="70" s="1"/>
  <c r="AS240" i="70"/>
  <c r="AA240" i="70"/>
  <c r="X240" i="70"/>
  <c r="U1109" i="3"/>
  <c r="U1108" i="3"/>
  <c r="C1109" i="3"/>
  <c r="F1109" i="3" a="1"/>
  <c r="R1109" i="3"/>
  <c r="S1109" i="3"/>
  <c r="V1109" i="3"/>
  <c r="AC1109" i="3"/>
  <c r="AJ1109" i="3"/>
  <c r="AK1109" i="3"/>
  <c r="AM1109" i="3"/>
  <c r="AN1109" i="3"/>
  <c r="Z1109" i="3" s="1"/>
  <c r="AU1109" i="3"/>
  <c r="AW1109" i="3" a="1"/>
  <c r="AX1109" i="3"/>
  <c r="AY1109" i="3"/>
  <c r="AZ1109" i="3"/>
  <c r="BA1109" i="3"/>
  <c r="BD1109" i="3"/>
  <c r="BE1109" i="3"/>
  <c r="W1109" i="3" s="1"/>
  <c r="BF1109" i="3"/>
  <c r="X1109" i="3" s="1"/>
  <c r="BG1109" i="3"/>
  <c r="BH1109" i="3"/>
  <c r="R719" i="3"/>
  <c r="S719" i="3"/>
  <c r="R720" i="3"/>
  <c r="S720" i="3"/>
  <c r="R721" i="3"/>
  <c r="S721" i="3"/>
  <c r="R722" i="3"/>
  <c r="S722" i="3"/>
  <c r="R723" i="3"/>
  <c r="S723" i="3"/>
  <c r="R724" i="3"/>
  <c r="S724" i="3"/>
  <c r="R725" i="3"/>
  <c r="S725" i="3"/>
  <c r="R726" i="3"/>
  <c r="S726" i="3"/>
  <c r="R727" i="3"/>
  <c r="S727" i="3"/>
  <c r="R728" i="3"/>
  <c r="S728" i="3"/>
  <c r="R729" i="3"/>
  <c r="S729" i="3"/>
  <c r="R730" i="3"/>
  <c r="S730" i="3"/>
  <c r="R731" i="3"/>
  <c r="S731" i="3"/>
  <c r="R732" i="3"/>
  <c r="S732" i="3"/>
  <c r="R733" i="3"/>
  <c r="S733" i="3"/>
  <c r="R734" i="3"/>
  <c r="S734" i="3"/>
  <c r="R735" i="3"/>
  <c r="S735" i="3"/>
  <c r="R736" i="3"/>
  <c r="S736" i="3"/>
  <c r="R737" i="3"/>
  <c r="S737" i="3"/>
  <c r="R738" i="3"/>
  <c r="S738" i="3"/>
  <c r="R739" i="3"/>
  <c r="S739" i="3"/>
  <c r="R740" i="3"/>
  <c r="S740" i="3"/>
  <c r="R741" i="3"/>
  <c r="S741" i="3"/>
  <c r="R742" i="3"/>
  <c r="S742" i="3"/>
  <c r="R743" i="3"/>
  <c r="S743" i="3"/>
  <c r="R744" i="3"/>
  <c r="S744" i="3"/>
  <c r="R745" i="3"/>
  <c r="S745" i="3"/>
  <c r="R746" i="3"/>
  <c r="S746" i="3"/>
  <c r="R747" i="3"/>
  <c r="S747" i="3"/>
  <c r="R748" i="3"/>
  <c r="S748" i="3"/>
  <c r="R749" i="3"/>
  <c r="S749" i="3"/>
  <c r="R750" i="3"/>
  <c r="S750" i="3"/>
  <c r="R751" i="3"/>
  <c r="S751" i="3"/>
  <c r="R752" i="3"/>
  <c r="S752" i="3"/>
  <c r="R753" i="3"/>
  <c r="S753" i="3"/>
  <c r="R754" i="3"/>
  <c r="S754" i="3"/>
  <c r="R755" i="3"/>
  <c r="S755" i="3"/>
  <c r="R756" i="3"/>
  <c r="S756" i="3"/>
  <c r="R757" i="3"/>
  <c r="S757" i="3"/>
  <c r="R758" i="3"/>
  <c r="S758" i="3"/>
  <c r="R759" i="3"/>
  <c r="S759" i="3"/>
  <c r="R760" i="3"/>
  <c r="S760" i="3"/>
  <c r="R761" i="3"/>
  <c r="S761" i="3"/>
  <c r="R762" i="3"/>
  <c r="S762" i="3"/>
  <c r="R763" i="3"/>
  <c r="S763" i="3"/>
  <c r="R764" i="3"/>
  <c r="S764" i="3"/>
  <c r="R765" i="3"/>
  <c r="S765" i="3"/>
  <c r="R766" i="3"/>
  <c r="S766" i="3"/>
  <c r="R767" i="3"/>
  <c r="S767" i="3"/>
  <c r="R768" i="3"/>
  <c r="S768" i="3"/>
  <c r="R769" i="3"/>
  <c r="S769" i="3"/>
  <c r="R770" i="3"/>
  <c r="S770" i="3"/>
  <c r="R771" i="3"/>
  <c r="S771" i="3"/>
  <c r="R772" i="3"/>
  <c r="S772" i="3"/>
  <c r="R773" i="3"/>
  <c r="S773" i="3"/>
  <c r="R774" i="3"/>
  <c r="S774" i="3"/>
  <c r="R775" i="3"/>
  <c r="S775" i="3"/>
  <c r="R776" i="3"/>
  <c r="S776" i="3"/>
  <c r="R777" i="3"/>
  <c r="S777" i="3"/>
  <c r="R778" i="3"/>
  <c r="S778" i="3"/>
  <c r="R779" i="3"/>
  <c r="S779" i="3"/>
  <c r="R780" i="3"/>
  <c r="S780" i="3"/>
  <c r="R781" i="3"/>
  <c r="S781" i="3"/>
  <c r="R782" i="3"/>
  <c r="S782" i="3"/>
  <c r="R783" i="3"/>
  <c r="S783" i="3"/>
  <c r="R784" i="3"/>
  <c r="S784" i="3"/>
  <c r="R785" i="3"/>
  <c r="S785" i="3"/>
  <c r="R786" i="3"/>
  <c r="S786" i="3"/>
  <c r="R787" i="3"/>
  <c r="S787" i="3"/>
  <c r="R788" i="3"/>
  <c r="S788" i="3"/>
  <c r="R789" i="3"/>
  <c r="S789" i="3"/>
  <c r="R790" i="3"/>
  <c r="S790" i="3"/>
  <c r="R791" i="3"/>
  <c r="S791" i="3"/>
  <c r="R792" i="3"/>
  <c r="S792" i="3"/>
  <c r="R793" i="3"/>
  <c r="S793" i="3"/>
  <c r="R794" i="3"/>
  <c r="S794" i="3"/>
  <c r="R795" i="3"/>
  <c r="S795" i="3"/>
  <c r="R796" i="3"/>
  <c r="S796" i="3"/>
  <c r="R797" i="3"/>
  <c r="S797" i="3"/>
  <c r="R798" i="3"/>
  <c r="S798" i="3"/>
  <c r="R799" i="3"/>
  <c r="S799" i="3"/>
  <c r="R800" i="3"/>
  <c r="S800" i="3"/>
  <c r="R801" i="3"/>
  <c r="S801" i="3"/>
  <c r="R802" i="3"/>
  <c r="S802" i="3"/>
  <c r="R803" i="3"/>
  <c r="S803" i="3"/>
  <c r="R804" i="3"/>
  <c r="S804" i="3"/>
  <c r="R805" i="3"/>
  <c r="S805" i="3"/>
  <c r="R806" i="3"/>
  <c r="S806" i="3"/>
  <c r="R807" i="3"/>
  <c r="S807" i="3"/>
  <c r="R808" i="3"/>
  <c r="S808" i="3"/>
  <c r="R809" i="3"/>
  <c r="S809" i="3"/>
  <c r="R810" i="3"/>
  <c r="S810" i="3"/>
  <c r="R811" i="3"/>
  <c r="S811" i="3"/>
  <c r="R812" i="3"/>
  <c r="S812" i="3"/>
  <c r="R813" i="3"/>
  <c r="S813" i="3"/>
  <c r="R814" i="3"/>
  <c r="S814" i="3"/>
  <c r="R815" i="3"/>
  <c r="S815" i="3"/>
  <c r="R816" i="3"/>
  <c r="S816" i="3"/>
  <c r="R817" i="3"/>
  <c r="S817" i="3"/>
  <c r="R818" i="3"/>
  <c r="S818" i="3"/>
  <c r="R819" i="3"/>
  <c r="S819" i="3"/>
  <c r="R820" i="3"/>
  <c r="S820" i="3"/>
  <c r="R821" i="3"/>
  <c r="S821" i="3"/>
  <c r="R822" i="3"/>
  <c r="S822" i="3"/>
  <c r="R823" i="3"/>
  <c r="S823" i="3"/>
  <c r="R824" i="3"/>
  <c r="S824" i="3"/>
  <c r="R825" i="3"/>
  <c r="S825" i="3"/>
  <c r="R826" i="3"/>
  <c r="S826" i="3"/>
  <c r="R827" i="3"/>
  <c r="S827" i="3"/>
  <c r="R828" i="3"/>
  <c r="S828" i="3"/>
  <c r="R829" i="3"/>
  <c r="S829" i="3"/>
  <c r="R830" i="3"/>
  <c r="S830" i="3"/>
  <c r="R831" i="3"/>
  <c r="S831" i="3"/>
  <c r="R832" i="3"/>
  <c r="S832" i="3"/>
  <c r="R833" i="3"/>
  <c r="S833" i="3"/>
  <c r="R834" i="3"/>
  <c r="S834" i="3"/>
  <c r="R835" i="3"/>
  <c r="S835" i="3"/>
  <c r="R836" i="3"/>
  <c r="S836" i="3"/>
  <c r="R837" i="3"/>
  <c r="S837" i="3"/>
  <c r="R838" i="3"/>
  <c r="S838" i="3"/>
  <c r="R839" i="3"/>
  <c r="S839" i="3"/>
  <c r="R840" i="3"/>
  <c r="S840" i="3"/>
  <c r="R841" i="3"/>
  <c r="S841" i="3"/>
  <c r="R842" i="3"/>
  <c r="S842" i="3"/>
  <c r="R843" i="3"/>
  <c r="S843" i="3"/>
  <c r="R844" i="3"/>
  <c r="S844" i="3"/>
  <c r="R845" i="3"/>
  <c r="S845" i="3"/>
  <c r="R846" i="3"/>
  <c r="S846" i="3"/>
  <c r="R847" i="3"/>
  <c r="S847" i="3"/>
  <c r="R848" i="3"/>
  <c r="S848" i="3"/>
  <c r="R849" i="3"/>
  <c r="S849" i="3"/>
  <c r="R850" i="3"/>
  <c r="S850" i="3"/>
  <c r="R851" i="3"/>
  <c r="S851" i="3"/>
  <c r="R852" i="3"/>
  <c r="S852" i="3"/>
  <c r="R853" i="3"/>
  <c r="S853" i="3"/>
  <c r="R854" i="3"/>
  <c r="S854" i="3"/>
  <c r="R855" i="3"/>
  <c r="S855" i="3"/>
  <c r="R856" i="3"/>
  <c r="S856" i="3"/>
  <c r="R857" i="3"/>
  <c r="S857" i="3"/>
  <c r="R858" i="3"/>
  <c r="S858" i="3"/>
  <c r="R859" i="3"/>
  <c r="S859" i="3"/>
  <c r="R860" i="3"/>
  <c r="S860" i="3"/>
  <c r="R861" i="3"/>
  <c r="S861" i="3"/>
  <c r="R862" i="3"/>
  <c r="S862" i="3"/>
  <c r="R863" i="3"/>
  <c r="S863" i="3"/>
  <c r="R864" i="3"/>
  <c r="S864" i="3"/>
  <c r="R865" i="3"/>
  <c r="S865" i="3"/>
  <c r="R866" i="3"/>
  <c r="S866" i="3"/>
  <c r="R867" i="3"/>
  <c r="S867" i="3"/>
  <c r="R868" i="3"/>
  <c r="S868" i="3"/>
  <c r="R869" i="3"/>
  <c r="S869" i="3"/>
  <c r="R870" i="3"/>
  <c r="S870" i="3"/>
  <c r="R871" i="3"/>
  <c r="S871" i="3"/>
  <c r="R872" i="3"/>
  <c r="S872" i="3"/>
  <c r="R873" i="3"/>
  <c r="S873" i="3"/>
  <c r="R874" i="3"/>
  <c r="S874" i="3"/>
  <c r="R875" i="3"/>
  <c r="S875" i="3"/>
  <c r="R876" i="3"/>
  <c r="S876" i="3"/>
  <c r="R877" i="3"/>
  <c r="S877" i="3"/>
  <c r="R878" i="3"/>
  <c r="S878" i="3"/>
  <c r="R879" i="3"/>
  <c r="S879" i="3"/>
  <c r="R880" i="3"/>
  <c r="S880" i="3"/>
  <c r="R881" i="3"/>
  <c r="S881" i="3"/>
  <c r="R882" i="3"/>
  <c r="S882" i="3"/>
  <c r="R883" i="3"/>
  <c r="S883" i="3"/>
  <c r="R884" i="3"/>
  <c r="S884" i="3"/>
  <c r="R885" i="3"/>
  <c r="S885" i="3"/>
  <c r="R886" i="3"/>
  <c r="S886" i="3"/>
  <c r="R887" i="3"/>
  <c r="S887" i="3"/>
  <c r="R888" i="3"/>
  <c r="S888" i="3"/>
  <c r="R889" i="3"/>
  <c r="S889" i="3"/>
  <c r="R890" i="3"/>
  <c r="S890" i="3"/>
  <c r="R891" i="3"/>
  <c r="S891" i="3"/>
  <c r="R892" i="3"/>
  <c r="S892" i="3"/>
  <c r="R893" i="3"/>
  <c r="S893" i="3"/>
  <c r="R894" i="3"/>
  <c r="S894" i="3"/>
  <c r="R895" i="3"/>
  <c r="S895" i="3"/>
  <c r="R896" i="3"/>
  <c r="S896" i="3"/>
  <c r="R897" i="3"/>
  <c r="S897" i="3"/>
  <c r="R898" i="3"/>
  <c r="S898" i="3"/>
  <c r="R899" i="3"/>
  <c r="S899" i="3"/>
  <c r="R900" i="3"/>
  <c r="S900" i="3"/>
  <c r="R901" i="3"/>
  <c r="S901" i="3"/>
  <c r="R902" i="3"/>
  <c r="S902" i="3"/>
  <c r="R903" i="3"/>
  <c r="S903" i="3"/>
  <c r="R904" i="3"/>
  <c r="S904" i="3"/>
  <c r="R905" i="3"/>
  <c r="S905" i="3"/>
  <c r="R906" i="3"/>
  <c r="S906" i="3"/>
  <c r="R907" i="3"/>
  <c r="S907" i="3"/>
  <c r="R908" i="3"/>
  <c r="S908" i="3"/>
  <c r="R909" i="3"/>
  <c r="S909" i="3"/>
  <c r="R910" i="3"/>
  <c r="S910" i="3"/>
  <c r="R911" i="3"/>
  <c r="S911" i="3"/>
  <c r="R912" i="3"/>
  <c r="S912" i="3"/>
  <c r="R913" i="3"/>
  <c r="S913" i="3"/>
  <c r="R914" i="3"/>
  <c r="S914" i="3"/>
  <c r="R915" i="3"/>
  <c r="S915" i="3"/>
  <c r="R916" i="3"/>
  <c r="S916" i="3"/>
  <c r="R917" i="3"/>
  <c r="S917" i="3"/>
  <c r="R918" i="3"/>
  <c r="S918" i="3"/>
  <c r="R919" i="3"/>
  <c r="S919" i="3"/>
  <c r="R920" i="3"/>
  <c r="S920" i="3"/>
  <c r="R921" i="3"/>
  <c r="S921" i="3"/>
  <c r="R922" i="3"/>
  <c r="S922" i="3"/>
  <c r="R923" i="3"/>
  <c r="S923" i="3"/>
  <c r="R924" i="3"/>
  <c r="S924" i="3"/>
  <c r="R925" i="3"/>
  <c r="S925" i="3"/>
  <c r="R926" i="3"/>
  <c r="S926" i="3"/>
  <c r="R927" i="3"/>
  <c r="S927" i="3"/>
  <c r="R928" i="3"/>
  <c r="S928" i="3"/>
  <c r="R929" i="3"/>
  <c r="S929" i="3"/>
  <c r="R930" i="3"/>
  <c r="S930" i="3"/>
  <c r="R931" i="3"/>
  <c r="S931" i="3"/>
  <c r="R932" i="3"/>
  <c r="S932" i="3"/>
  <c r="R933" i="3"/>
  <c r="S933" i="3"/>
  <c r="R934" i="3"/>
  <c r="S934" i="3"/>
  <c r="R935" i="3"/>
  <c r="S935" i="3"/>
  <c r="R936" i="3"/>
  <c r="S936" i="3"/>
  <c r="R937" i="3"/>
  <c r="S937" i="3"/>
  <c r="R938" i="3"/>
  <c r="S938" i="3"/>
  <c r="R939" i="3"/>
  <c r="S939" i="3"/>
  <c r="R940" i="3"/>
  <c r="S940" i="3"/>
  <c r="R941" i="3"/>
  <c r="S941" i="3"/>
  <c r="R942" i="3"/>
  <c r="S942" i="3"/>
  <c r="R943" i="3"/>
  <c r="S943" i="3"/>
  <c r="R944" i="3"/>
  <c r="S944" i="3"/>
  <c r="R945" i="3"/>
  <c r="S945" i="3"/>
  <c r="R946" i="3"/>
  <c r="S946" i="3"/>
  <c r="R947" i="3"/>
  <c r="S947" i="3"/>
  <c r="R948" i="3"/>
  <c r="S948" i="3"/>
  <c r="R949" i="3"/>
  <c r="S949" i="3"/>
  <c r="R950" i="3"/>
  <c r="S950" i="3"/>
  <c r="R951" i="3"/>
  <c r="S951" i="3"/>
  <c r="R952" i="3"/>
  <c r="S952" i="3"/>
  <c r="R953" i="3"/>
  <c r="S953" i="3"/>
  <c r="R954" i="3"/>
  <c r="S954" i="3"/>
  <c r="R955" i="3"/>
  <c r="S955" i="3"/>
  <c r="R956" i="3"/>
  <c r="S956" i="3"/>
  <c r="R957" i="3"/>
  <c r="S957" i="3"/>
  <c r="R958" i="3"/>
  <c r="S958" i="3"/>
  <c r="R959" i="3"/>
  <c r="S959" i="3"/>
  <c r="R960" i="3"/>
  <c r="S960" i="3"/>
  <c r="R961" i="3"/>
  <c r="S961" i="3"/>
  <c r="R962" i="3"/>
  <c r="S962" i="3"/>
  <c r="R963" i="3"/>
  <c r="S963" i="3"/>
  <c r="R964" i="3"/>
  <c r="S964" i="3"/>
  <c r="R965" i="3"/>
  <c r="S965" i="3"/>
  <c r="R966" i="3"/>
  <c r="S966" i="3"/>
  <c r="R967" i="3"/>
  <c r="S967" i="3"/>
  <c r="R968" i="3"/>
  <c r="S968" i="3"/>
  <c r="R969" i="3"/>
  <c r="S969" i="3"/>
  <c r="R970" i="3"/>
  <c r="S970" i="3"/>
  <c r="R971" i="3"/>
  <c r="S971" i="3"/>
  <c r="R972" i="3"/>
  <c r="S972" i="3"/>
  <c r="R973" i="3"/>
  <c r="S973" i="3"/>
  <c r="R974" i="3"/>
  <c r="S974" i="3"/>
  <c r="R975" i="3"/>
  <c r="S975" i="3"/>
  <c r="R976" i="3"/>
  <c r="S976" i="3"/>
  <c r="R977" i="3"/>
  <c r="S977" i="3"/>
  <c r="R978" i="3"/>
  <c r="S978" i="3"/>
  <c r="R979" i="3"/>
  <c r="S979" i="3"/>
  <c r="R980" i="3"/>
  <c r="S980" i="3"/>
  <c r="R981" i="3"/>
  <c r="S981" i="3"/>
  <c r="R982" i="3"/>
  <c r="S982" i="3"/>
  <c r="R983" i="3"/>
  <c r="S983" i="3"/>
  <c r="R984" i="3"/>
  <c r="S984" i="3"/>
  <c r="R985" i="3"/>
  <c r="S985" i="3"/>
  <c r="R986" i="3"/>
  <c r="S986" i="3"/>
  <c r="R987" i="3"/>
  <c r="S987" i="3"/>
  <c r="R988" i="3"/>
  <c r="S988" i="3"/>
  <c r="R989" i="3"/>
  <c r="S989" i="3"/>
  <c r="R990" i="3"/>
  <c r="S990" i="3"/>
  <c r="R991" i="3"/>
  <c r="S991" i="3"/>
  <c r="R992" i="3"/>
  <c r="S992" i="3"/>
  <c r="R993" i="3"/>
  <c r="S993" i="3"/>
  <c r="R994" i="3"/>
  <c r="S994" i="3"/>
  <c r="R995" i="3"/>
  <c r="S995" i="3"/>
  <c r="R996" i="3"/>
  <c r="S996" i="3"/>
  <c r="R997" i="3"/>
  <c r="S997" i="3"/>
  <c r="R998" i="3"/>
  <c r="S998" i="3"/>
  <c r="R999" i="3"/>
  <c r="S999" i="3"/>
  <c r="R1000" i="3"/>
  <c r="S1000" i="3"/>
  <c r="R1001" i="3"/>
  <c r="S1001" i="3"/>
  <c r="R1002" i="3"/>
  <c r="S1002" i="3"/>
  <c r="R1003" i="3"/>
  <c r="S1003" i="3"/>
  <c r="R1004" i="3"/>
  <c r="S1004" i="3"/>
  <c r="R1005" i="3"/>
  <c r="S1005" i="3"/>
  <c r="R1006" i="3"/>
  <c r="S1006" i="3"/>
  <c r="R1007" i="3"/>
  <c r="S1007" i="3"/>
  <c r="R1008" i="3"/>
  <c r="S1008" i="3"/>
  <c r="R1009" i="3"/>
  <c r="S1009" i="3"/>
  <c r="R1010" i="3"/>
  <c r="S1010" i="3"/>
  <c r="R1011" i="3"/>
  <c r="S1011" i="3"/>
  <c r="R1012" i="3"/>
  <c r="S1012" i="3"/>
  <c r="R1013" i="3"/>
  <c r="S1013" i="3"/>
  <c r="R1014" i="3"/>
  <c r="S1014" i="3"/>
  <c r="R1015" i="3"/>
  <c r="S1015" i="3"/>
  <c r="R1016" i="3"/>
  <c r="S1016" i="3"/>
  <c r="R1017" i="3"/>
  <c r="S1017" i="3"/>
  <c r="R1018" i="3"/>
  <c r="S1018" i="3"/>
  <c r="R1019" i="3"/>
  <c r="S1019" i="3"/>
  <c r="R1020" i="3"/>
  <c r="S1020" i="3"/>
  <c r="R1021" i="3"/>
  <c r="S1021" i="3"/>
  <c r="R1022" i="3"/>
  <c r="S1022" i="3"/>
  <c r="R1023" i="3"/>
  <c r="S1023" i="3"/>
  <c r="R1024" i="3"/>
  <c r="S1024" i="3"/>
  <c r="R1025" i="3"/>
  <c r="S1025" i="3"/>
  <c r="R1026" i="3"/>
  <c r="S1026" i="3"/>
  <c r="R1027" i="3"/>
  <c r="S1027" i="3"/>
  <c r="R1028" i="3"/>
  <c r="S1028" i="3"/>
  <c r="R1029" i="3"/>
  <c r="S1029" i="3"/>
  <c r="R1030" i="3"/>
  <c r="S1030" i="3"/>
  <c r="R1031" i="3"/>
  <c r="S1031" i="3"/>
  <c r="R1032" i="3"/>
  <c r="S1032" i="3"/>
  <c r="R1033" i="3"/>
  <c r="S1033" i="3"/>
  <c r="R1034" i="3"/>
  <c r="S1034" i="3"/>
  <c r="R1035" i="3"/>
  <c r="S1035" i="3"/>
  <c r="R1036" i="3"/>
  <c r="S1036" i="3"/>
  <c r="R1037" i="3"/>
  <c r="S1037" i="3"/>
  <c r="R1038" i="3"/>
  <c r="S1038" i="3"/>
  <c r="R1039" i="3"/>
  <c r="S1039" i="3"/>
  <c r="R1040" i="3"/>
  <c r="S1040" i="3"/>
  <c r="R1041" i="3"/>
  <c r="S1041" i="3"/>
  <c r="R1042" i="3"/>
  <c r="S1042" i="3"/>
  <c r="R1043" i="3"/>
  <c r="S1043" i="3"/>
  <c r="R1044" i="3"/>
  <c r="S1044" i="3"/>
  <c r="R1045" i="3"/>
  <c r="S1045" i="3"/>
  <c r="R1046" i="3"/>
  <c r="S1046" i="3"/>
  <c r="R1047" i="3"/>
  <c r="S1047" i="3"/>
  <c r="R1048" i="3"/>
  <c r="S1048" i="3"/>
  <c r="R1049" i="3"/>
  <c r="S1049" i="3"/>
  <c r="R1050" i="3"/>
  <c r="S1050" i="3"/>
  <c r="R1051" i="3"/>
  <c r="S1051" i="3"/>
  <c r="R1052" i="3"/>
  <c r="S1052" i="3"/>
  <c r="R1053" i="3"/>
  <c r="S1053" i="3"/>
  <c r="R1054" i="3"/>
  <c r="S1054" i="3"/>
  <c r="R1055" i="3"/>
  <c r="S1055" i="3"/>
  <c r="R1056" i="3"/>
  <c r="S1056" i="3"/>
  <c r="R1057" i="3"/>
  <c r="S1057" i="3"/>
  <c r="R1058" i="3"/>
  <c r="S1058" i="3"/>
  <c r="R1059" i="3"/>
  <c r="S1059" i="3"/>
  <c r="R1060" i="3"/>
  <c r="S1060" i="3"/>
  <c r="R1061" i="3"/>
  <c r="S1061" i="3"/>
  <c r="R1062" i="3"/>
  <c r="S1062" i="3"/>
  <c r="R1063" i="3"/>
  <c r="S1063" i="3"/>
  <c r="R1064" i="3"/>
  <c r="S1064" i="3"/>
  <c r="R1065" i="3"/>
  <c r="S1065" i="3"/>
  <c r="R1066" i="3"/>
  <c r="S1066" i="3"/>
  <c r="R1067" i="3"/>
  <c r="S1067" i="3"/>
  <c r="R1068" i="3"/>
  <c r="S1068" i="3"/>
  <c r="R1069" i="3"/>
  <c r="S1069" i="3"/>
  <c r="R1070" i="3"/>
  <c r="S1070" i="3"/>
  <c r="R1071" i="3"/>
  <c r="S1071" i="3"/>
  <c r="R1072" i="3"/>
  <c r="S1072" i="3"/>
  <c r="R1073" i="3"/>
  <c r="S1073" i="3"/>
  <c r="R1074" i="3"/>
  <c r="S1074" i="3"/>
  <c r="R1075" i="3"/>
  <c r="S1075" i="3"/>
  <c r="R1076" i="3"/>
  <c r="S1076" i="3"/>
  <c r="R1077" i="3"/>
  <c r="S1077" i="3"/>
  <c r="R1078" i="3"/>
  <c r="S1078" i="3"/>
  <c r="R1079" i="3"/>
  <c r="S1079" i="3"/>
  <c r="R1080" i="3"/>
  <c r="S1080" i="3"/>
  <c r="R1081" i="3"/>
  <c r="S1081" i="3"/>
  <c r="R1082" i="3"/>
  <c r="S1082" i="3"/>
  <c r="R1083" i="3"/>
  <c r="S1083" i="3"/>
  <c r="R1084" i="3"/>
  <c r="S1084" i="3"/>
  <c r="R1085" i="3"/>
  <c r="S1085" i="3"/>
  <c r="R1086" i="3"/>
  <c r="S1086" i="3"/>
  <c r="R1087" i="3"/>
  <c r="S1087" i="3"/>
  <c r="R1088" i="3"/>
  <c r="S1088" i="3"/>
  <c r="R1089" i="3"/>
  <c r="S1089" i="3"/>
  <c r="R1090" i="3"/>
  <c r="S1090" i="3"/>
  <c r="R1091" i="3"/>
  <c r="S1091" i="3"/>
  <c r="R1092" i="3"/>
  <c r="S1092" i="3"/>
  <c r="R1093" i="3"/>
  <c r="S1093" i="3"/>
  <c r="R1094" i="3"/>
  <c r="S1094" i="3"/>
  <c r="R1095" i="3"/>
  <c r="S1095" i="3"/>
  <c r="R1096" i="3"/>
  <c r="S1096" i="3"/>
  <c r="R1097" i="3"/>
  <c r="S1097" i="3"/>
  <c r="R1098" i="3"/>
  <c r="S1098" i="3"/>
  <c r="R1099" i="3"/>
  <c r="S1099" i="3"/>
  <c r="R1100" i="3"/>
  <c r="S1100" i="3"/>
  <c r="R1101" i="3"/>
  <c r="S1101" i="3"/>
  <c r="R1102" i="3"/>
  <c r="S1102" i="3"/>
  <c r="R1103" i="3"/>
  <c r="S1103" i="3"/>
  <c r="R1104" i="3"/>
  <c r="S1104" i="3"/>
  <c r="R1105" i="3"/>
  <c r="S1105" i="3"/>
  <c r="R1106" i="3"/>
  <c r="S1106" i="3"/>
  <c r="R1107" i="3"/>
  <c r="S1107" i="3"/>
  <c r="R1110" i="3"/>
  <c r="S1110" i="3"/>
  <c r="R1111" i="3"/>
  <c r="S1111" i="3"/>
  <c r="R1112" i="3"/>
  <c r="S1112" i="3"/>
  <c r="R1113" i="3"/>
  <c r="S1113" i="3"/>
  <c r="R1114" i="3"/>
  <c r="S1114" i="3"/>
  <c r="R1115" i="3"/>
  <c r="S1115" i="3"/>
  <c r="R1116" i="3"/>
  <c r="S1116" i="3"/>
  <c r="R1117" i="3"/>
  <c r="S1117" i="3"/>
  <c r="R1118" i="3"/>
  <c r="S1118" i="3"/>
  <c r="R1119" i="3"/>
  <c r="S1119" i="3"/>
  <c r="R1120" i="3"/>
  <c r="S1120" i="3"/>
  <c r="R1121" i="3"/>
  <c r="S1121" i="3"/>
  <c r="R1122" i="3"/>
  <c r="S1122" i="3"/>
  <c r="R1123" i="3"/>
  <c r="S1123" i="3"/>
  <c r="R1124" i="3"/>
  <c r="S1124" i="3"/>
  <c r="R1125" i="3"/>
  <c r="S1125" i="3"/>
  <c r="R1126" i="3"/>
  <c r="S1126" i="3"/>
  <c r="R1127" i="3"/>
  <c r="S1127" i="3"/>
  <c r="R1128" i="3"/>
  <c r="S1128" i="3"/>
  <c r="R1129" i="3"/>
  <c r="S1129" i="3"/>
  <c r="R1130" i="3"/>
  <c r="S1130" i="3"/>
  <c r="R1131" i="3"/>
  <c r="S1131" i="3"/>
  <c r="R1132" i="3"/>
  <c r="S1132" i="3"/>
  <c r="R1133" i="3"/>
  <c r="S1133" i="3"/>
  <c r="R1134" i="3"/>
  <c r="S1134" i="3"/>
  <c r="R1135" i="3"/>
  <c r="S1135" i="3"/>
  <c r="R1136" i="3"/>
  <c r="S1136" i="3"/>
  <c r="R1137" i="3"/>
  <c r="S1137" i="3"/>
  <c r="R1138" i="3"/>
  <c r="S1138" i="3"/>
  <c r="R1139" i="3"/>
  <c r="S1139" i="3"/>
  <c r="R1140" i="3"/>
  <c r="S1140" i="3"/>
  <c r="R1141" i="3"/>
  <c r="S1141" i="3"/>
  <c r="R1142" i="3"/>
  <c r="S1142" i="3"/>
  <c r="R1143" i="3"/>
  <c r="S1143" i="3"/>
  <c r="R1144" i="3"/>
  <c r="S1144" i="3"/>
  <c r="R1145" i="3"/>
  <c r="S1145" i="3"/>
  <c r="R1146" i="3"/>
  <c r="S1146" i="3"/>
  <c r="R1147" i="3"/>
  <c r="S1147" i="3"/>
  <c r="R1148" i="3"/>
  <c r="S1148" i="3"/>
  <c r="R1149" i="3"/>
  <c r="S1149" i="3"/>
  <c r="R1150" i="3"/>
  <c r="S1150" i="3"/>
  <c r="R1108" i="3"/>
  <c r="S1108" i="3"/>
  <c r="R1151" i="3"/>
  <c r="S1151" i="3"/>
  <c r="R1152" i="3"/>
  <c r="S1152" i="3"/>
  <c r="R1153" i="3"/>
  <c r="S1153" i="3"/>
  <c r="R1154" i="3"/>
  <c r="S1154" i="3"/>
  <c r="R1155" i="3"/>
  <c r="S1155" i="3"/>
  <c r="R1157" i="3"/>
  <c r="S1157" i="3"/>
  <c r="R1158" i="3"/>
  <c r="S1158" i="3"/>
  <c r="R1159" i="3"/>
  <c r="S1159" i="3"/>
  <c r="R1160" i="3"/>
  <c r="S1160" i="3"/>
  <c r="R1161" i="3"/>
  <c r="S1161" i="3"/>
  <c r="R1162" i="3"/>
  <c r="S1162" i="3"/>
  <c r="R1163" i="3"/>
  <c r="S1163" i="3"/>
  <c r="R1164" i="3"/>
  <c r="S1164" i="3"/>
  <c r="R1165" i="3"/>
  <c r="S1165" i="3"/>
  <c r="R1166" i="3"/>
  <c r="S1166" i="3"/>
  <c r="R1167" i="3"/>
  <c r="S1167" i="3"/>
  <c r="R1168" i="3"/>
  <c r="S1168" i="3"/>
  <c r="R1169" i="3"/>
  <c r="S1169" i="3"/>
  <c r="R1170" i="3"/>
  <c r="S1170" i="3"/>
  <c r="R1171" i="3"/>
  <c r="S1171" i="3"/>
  <c r="R1172" i="3"/>
  <c r="S1172" i="3"/>
  <c r="R1173" i="3"/>
  <c r="S1173" i="3"/>
  <c r="R1174" i="3"/>
  <c r="S1174" i="3"/>
  <c r="R1175" i="3"/>
  <c r="S1175" i="3"/>
  <c r="R1176" i="3"/>
  <c r="S1176" i="3"/>
  <c r="R1177" i="3"/>
  <c r="S1177" i="3"/>
  <c r="R1178" i="3"/>
  <c r="S1178" i="3"/>
  <c r="R1179" i="3"/>
  <c r="S1179" i="3"/>
  <c r="R1180" i="3"/>
  <c r="S1180" i="3"/>
  <c r="R1181" i="3"/>
  <c r="S1181" i="3"/>
  <c r="R1182" i="3"/>
  <c r="S1182" i="3"/>
  <c r="R1183" i="3"/>
  <c r="S1183" i="3"/>
  <c r="R1184" i="3"/>
  <c r="S1184" i="3"/>
  <c r="R1185" i="3"/>
  <c r="S1185" i="3"/>
  <c r="R1186" i="3"/>
  <c r="S1186" i="3"/>
  <c r="R1187" i="3"/>
  <c r="S1187" i="3"/>
  <c r="R1188" i="3"/>
  <c r="S1188" i="3"/>
  <c r="R1189" i="3"/>
  <c r="S1189" i="3"/>
  <c r="R1190" i="3"/>
  <c r="S1190" i="3"/>
  <c r="R1191" i="3"/>
  <c r="S1191" i="3"/>
  <c r="R1192" i="3"/>
  <c r="S1192" i="3"/>
  <c r="R1193" i="3"/>
  <c r="S1193" i="3"/>
  <c r="R1194" i="3"/>
  <c r="S1194" i="3"/>
  <c r="R1195" i="3"/>
  <c r="S1195" i="3"/>
  <c r="R1196" i="3"/>
  <c r="S1196" i="3"/>
  <c r="R1197" i="3"/>
  <c r="S1197" i="3"/>
  <c r="R1198" i="3"/>
  <c r="S1198" i="3"/>
  <c r="R1199" i="3"/>
  <c r="S1199" i="3"/>
  <c r="R1200" i="3"/>
  <c r="S1200" i="3"/>
  <c r="R1201" i="3"/>
  <c r="S1201" i="3"/>
  <c r="R1202" i="3"/>
  <c r="S1202" i="3"/>
  <c r="R1203" i="3"/>
  <c r="S1203" i="3"/>
  <c r="R1204" i="3"/>
  <c r="S1204" i="3"/>
  <c r="R1205" i="3"/>
  <c r="S1205" i="3"/>
  <c r="R1206" i="3"/>
  <c r="S1206" i="3"/>
  <c r="R1207" i="3"/>
  <c r="S1207" i="3"/>
  <c r="R1208" i="3"/>
  <c r="S1208" i="3"/>
  <c r="R1209" i="3"/>
  <c r="S1209" i="3"/>
  <c r="R1210" i="3"/>
  <c r="S1210" i="3"/>
  <c r="R1211" i="3"/>
  <c r="S1211" i="3"/>
  <c r="R1212" i="3"/>
  <c r="S1212" i="3"/>
  <c r="R1213" i="3"/>
  <c r="S1213" i="3"/>
  <c r="R1214" i="3"/>
  <c r="S1214" i="3"/>
  <c r="R1215" i="3"/>
  <c r="S1215" i="3"/>
  <c r="R1216" i="3"/>
  <c r="S1216" i="3"/>
  <c r="R1217" i="3"/>
  <c r="S1217" i="3"/>
  <c r="R1218" i="3"/>
  <c r="S1218" i="3"/>
  <c r="R1219" i="3"/>
  <c r="S1219" i="3"/>
  <c r="R1220" i="3"/>
  <c r="S1220" i="3"/>
  <c r="R1221" i="3"/>
  <c r="S1221" i="3"/>
  <c r="R1222" i="3"/>
  <c r="S1222" i="3"/>
  <c r="R1223" i="3"/>
  <c r="S1223" i="3"/>
  <c r="R1224" i="3"/>
  <c r="S1224" i="3"/>
  <c r="R1225" i="3"/>
  <c r="S1225" i="3"/>
  <c r="R1226" i="3"/>
  <c r="S1226" i="3"/>
  <c r="R1227" i="3"/>
  <c r="S1227" i="3"/>
  <c r="R1228" i="3"/>
  <c r="S1228" i="3"/>
  <c r="R1229" i="3"/>
  <c r="S1229" i="3"/>
  <c r="R1230" i="3"/>
  <c r="S1230" i="3"/>
  <c r="R1231" i="3"/>
  <c r="S1231" i="3"/>
  <c r="R1232" i="3"/>
  <c r="S1232" i="3"/>
  <c r="R1233" i="3"/>
  <c r="S1233" i="3"/>
  <c r="R1234" i="3"/>
  <c r="S1234" i="3"/>
  <c r="R1235" i="3"/>
  <c r="S1235" i="3"/>
  <c r="R1236" i="3"/>
  <c r="S1236" i="3"/>
  <c r="R1237" i="3"/>
  <c r="S1237" i="3"/>
  <c r="R1238" i="3"/>
  <c r="S1238" i="3"/>
  <c r="R1239" i="3"/>
  <c r="S1239" i="3"/>
  <c r="R1240" i="3"/>
  <c r="S1240" i="3"/>
  <c r="R1241" i="3"/>
  <c r="S1241" i="3"/>
  <c r="R1242" i="3"/>
  <c r="S1242" i="3"/>
  <c r="R1243" i="3"/>
  <c r="S1243" i="3"/>
  <c r="R1244" i="3"/>
  <c r="S1244" i="3"/>
  <c r="R1245" i="3"/>
  <c r="S1245" i="3"/>
  <c r="R1246" i="3"/>
  <c r="S1246" i="3"/>
  <c r="R1247" i="3"/>
  <c r="S1247" i="3"/>
  <c r="R1248" i="3"/>
  <c r="S1248" i="3"/>
  <c r="R1249" i="3"/>
  <c r="S1249" i="3"/>
  <c r="R1250" i="3"/>
  <c r="S1250" i="3"/>
  <c r="R1251" i="3"/>
  <c r="S1251" i="3"/>
  <c r="R1252" i="3"/>
  <c r="S1252" i="3"/>
  <c r="R1253" i="3"/>
  <c r="S1253" i="3"/>
  <c r="R1254" i="3"/>
  <c r="S1254" i="3"/>
  <c r="R1255" i="3"/>
  <c r="S1255" i="3"/>
  <c r="R1256" i="3"/>
  <c r="S1256" i="3"/>
  <c r="R1257" i="3"/>
  <c r="S1257" i="3"/>
  <c r="R1258" i="3"/>
  <c r="S1258" i="3"/>
  <c r="R1259" i="3"/>
  <c r="S1259" i="3"/>
  <c r="R1260" i="3"/>
  <c r="S1260" i="3"/>
  <c r="R1261" i="3"/>
  <c r="S1261" i="3"/>
  <c r="R1262" i="3"/>
  <c r="S1262" i="3"/>
  <c r="R1263" i="3"/>
  <c r="S1263" i="3"/>
  <c r="R1264" i="3"/>
  <c r="S1264" i="3"/>
  <c r="R1265" i="3"/>
  <c r="S1265" i="3"/>
  <c r="R1266" i="3"/>
  <c r="S1266" i="3"/>
  <c r="R1267" i="3"/>
  <c r="S1267" i="3"/>
  <c r="R1268" i="3"/>
  <c r="S1268" i="3"/>
  <c r="R1269" i="3"/>
  <c r="S1269" i="3"/>
  <c r="R1270" i="3"/>
  <c r="S1270" i="3"/>
  <c r="R1271" i="3"/>
  <c r="S1271" i="3"/>
  <c r="R1272" i="3"/>
  <c r="S1272" i="3"/>
  <c r="R1273" i="3"/>
  <c r="S1273" i="3"/>
  <c r="R1274" i="3"/>
  <c r="S1274" i="3"/>
  <c r="R1275" i="3"/>
  <c r="S1275" i="3"/>
  <c r="R1276" i="3"/>
  <c r="S1276" i="3"/>
  <c r="R1277" i="3"/>
  <c r="S1277" i="3"/>
  <c r="R1278" i="3"/>
  <c r="S1278" i="3"/>
  <c r="R1279" i="3"/>
  <c r="S1279" i="3"/>
  <c r="R1280" i="3"/>
  <c r="S1280" i="3"/>
  <c r="R1281" i="3"/>
  <c r="S1281" i="3"/>
  <c r="R1282" i="3"/>
  <c r="S1282" i="3"/>
  <c r="R1283" i="3"/>
  <c r="S1283" i="3"/>
  <c r="R1284" i="3"/>
  <c r="S1284" i="3"/>
  <c r="R1285" i="3"/>
  <c r="S1285" i="3"/>
  <c r="R1286" i="3"/>
  <c r="S1286" i="3"/>
  <c r="R1287" i="3"/>
  <c r="S1287" i="3"/>
  <c r="R1288" i="3"/>
  <c r="S1288" i="3"/>
  <c r="R1289" i="3"/>
  <c r="S1289" i="3"/>
  <c r="R1290" i="3"/>
  <c r="S1290" i="3"/>
  <c r="R1291" i="3"/>
  <c r="S1291" i="3"/>
  <c r="R1292" i="3"/>
  <c r="S1292" i="3"/>
  <c r="R1293" i="3"/>
  <c r="S1293" i="3"/>
  <c r="R1294" i="3"/>
  <c r="S1294" i="3"/>
  <c r="R1295" i="3"/>
  <c r="S1295" i="3"/>
  <c r="R1296" i="3"/>
  <c r="S1296" i="3"/>
  <c r="R1297" i="3"/>
  <c r="S1297" i="3"/>
  <c r="R1298" i="3"/>
  <c r="S1298" i="3"/>
  <c r="R1299" i="3"/>
  <c r="S1299" i="3"/>
  <c r="R1300" i="3"/>
  <c r="S1300" i="3"/>
  <c r="R1301" i="3"/>
  <c r="S1301" i="3"/>
  <c r="R1302" i="3"/>
  <c r="S1302" i="3"/>
  <c r="R1303" i="3"/>
  <c r="S1303" i="3"/>
  <c r="R1304" i="3"/>
  <c r="S1304" i="3"/>
  <c r="R1305" i="3"/>
  <c r="S1305" i="3"/>
  <c r="R1306" i="3"/>
  <c r="S1306" i="3"/>
  <c r="R1307" i="3"/>
  <c r="S1307" i="3"/>
  <c r="R1308" i="3"/>
  <c r="S1308" i="3"/>
  <c r="R1309" i="3"/>
  <c r="S1309" i="3"/>
  <c r="R1310" i="3"/>
  <c r="S1310" i="3"/>
  <c r="R1311" i="3"/>
  <c r="S1311" i="3"/>
  <c r="R1312" i="3"/>
  <c r="S1312" i="3"/>
  <c r="R1313" i="3"/>
  <c r="S1313" i="3"/>
  <c r="R1314" i="3"/>
  <c r="S1314" i="3"/>
  <c r="R1315" i="3"/>
  <c r="S1315" i="3"/>
  <c r="R1316" i="3"/>
  <c r="S1316" i="3"/>
  <c r="R1317" i="3"/>
  <c r="S1317" i="3"/>
  <c r="R1318" i="3"/>
  <c r="S1318" i="3"/>
  <c r="R1319" i="3"/>
  <c r="S1319" i="3"/>
  <c r="R1156" i="3"/>
  <c r="S1156" i="3"/>
  <c r="AN1156" i="3"/>
  <c r="AM1156" i="3"/>
  <c r="AK1156" i="3"/>
  <c r="AJ1156" i="3"/>
  <c r="AN1319" i="3"/>
  <c r="AM1319" i="3"/>
  <c r="AK1319" i="3"/>
  <c r="AJ1319" i="3"/>
  <c r="AU1274" i="3"/>
  <c r="AU1275" i="3"/>
  <c r="AU1276" i="3"/>
  <c r="AU1277" i="3"/>
  <c r="AU1278" i="3"/>
  <c r="AU1279" i="3"/>
  <c r="AU1280" i="3"/>
  <c r="AU1281" i="3"/>
  <c r="AU1282" i="3"/>
  <c r="AU1283" i="3"/>
  <c r="AU1284" i="3"/>
  <c r="AU1285" i="3"/>
  <c r="AU1286" i="3"/>
  <c r="AU1287" i="3"/>
  <c r="AU1288" i="3"/>
  <c r="AU1289" i="3"/>
  <c r="AU1290" i="3"/>
  <c r="AU1291" i="3"/>
  <c r="AU1292" i="3"/>
  <c r="AU1293" i="3"/>
  <c r="AU1294" i="3"/>
  <c r="AU1295" i="3"/>
  <c r="AU1296" i="3"/>
  <c r="AU1297" i="3"/>
  <c r="AU1298" i="3"/>
  <c r="AU1299" i="3"/>
  <c r="AU1300" i="3"/>
  <c r="AU1301" i="3"/>
  <c r="AU1302" i="3"/>
  <c r="AU1303" i="3"/>
  <c r="AU1304" i="3"/>
  <c r="AU1305" i="3"/>
  <c r="AU1306" i="3"/>
  <c r="AU1307" i="3"/>
  <c r="AU1308" i="3"/>
  <c r="AU1309" i="3"/>
  <c r="AU1310" i="3"/>
  <c r="AU1311" i="3"/>
  <c r="AU1312" i="3"/>
  <c r="AU1313" i="3"/>
  <c r="AU1314" i="3"/>
  <c r="AU1315" i="3"/>
  <c r="AU1316" i="3"/>
  <c r="AU1317" i="3"/>
  <c r="AU1318" i="3"/>
  <c r="AU1319" i="3"/>
  <c r="AU1156" i="3"/>
  <c r="BE1108" i="3"/>
  <c r="BF1108" i="3"/>
  <c r="BG1108" i="3"/>
  <c r="BE1151" i="3"/>
  <c r="BF1151" i="3"/>
  <c r="BG1151" i="3"/>
  <c r="BE1152" i="3"/>
  <c r="BF1152" i="3"/>
  <c r="BG1152" i="3"/>
  <c r="BE1153" i="3"/>
  <c r="BF1153" i="3"/>
  <c r="BG1153" i="3"/>
  <c r="BE1154" i="3"/>
  <c r="BF1154" i="3"/>
  <c r="BG1154" i="3"/>
  <c r="BE1155" i="3"/>
  <c r="BF1155" i="3"/>
  <c r="BG1155" i="3"/>
  <c r="BE1157" i="3"/>
  <c r="BF1157" i="3"/>
  <c r="BG1157" i="3"/>
  <c r="BE1158" i="3"/>
  <c r="BF1158" i="3"/>
  <c r="BG1158" i="3"/>
  <c r="BE1159" i="3"/>
  <c r="BF1159" i="3"/>
  <c r="BG1159" i="3"/>
  <c r="BE1160" i="3"/>
  <c r="BF1160" i="3"/>
  <c r="BG1160" i="3"/>
  <c r="BE1161" i="3"/>
  <c r="BF1161" i="3"/>
  <c r="BG1161" i="3"/>
  <c r="BE1162" i="3"/>
  <c r="BF1162" i="3"/>
  <c r="BG1162" i="3"/>
  <c r="BE1163" i="3"/>
  <c r="BF1163" i="3"/>
  <c r="BG1163" i="3"/>
  <c r="BE1164" i="3"/>
  <c r="BF1164" i="3"/>
  <c r="BG1164" i="3"/>
  <c r="BE1165" i="3"/>
  <c r="BF1165" i="3"/>
  <c r="BG1165" i="3"/>
  <c r="BE1166" i="3"/>
  <c r="BF1166" i="3"/>
  <c r="BG1166" i="3"/>
  <c r="BE1167" i="3"/>
  <c r="BF1167" i="3"/>
  <c r="BG1167" i="3"/>
  <c r="BE1168" i="3"/>
  <c r="BF1168" i="3"/>
  <c r="BG1168" i="3"/>
  <c r="BE1169" i="3"/>
  <c r="BF1169" i="3"/>
  <c r="BG1169" i="3"/>
  <c r="BE1170" i="3"/>
  <c r="BF1170" i="3"/>
  <c r="BG1170" i="3"/>
  <c r="BE1171" i="3"/>
  <c r="BF1171" i="3"/>
  <c r="BG1171" i="3"/>
  <c r="BE1172" i="3"/>
  <c r="BF1172" i="3"/>
  <c r="BG1172" i="3"/>
  <c r="BE1173" i="3"/>
  <c r="BF1173" i="3"/>
  <c r="BG1173" i="3"/>
  <c r="BE1174" i="3"/>
  <c r="BF1174" i="3"/>
  <c r="BG1174" i="3"/>
  <c r="BE1175" i="3"/>
  <c r="BF1175" i="3"/>
  <c r="BG1175" i="3"/>
  <c r="BE1176" i="3"/>
  <c r="BF1176" i="3"/>
  <c r="BG1176" i="3"/>
  <c r="BE1177" i="3"/>
  <c r="BF1177" i="3"/>
  <c r="BG1177" i="3"/>
  <c r="BE1178" i="3"/>
  <c r="BF1178" i="3"/>
  <c r="BG1178" i="3"/>
  <c r="BE1179" i="3"/>
  <c r="BF1179" i="3"/>
  <c r="BG1179" i="3"/>
  <c r="BE1180" i="3"/>
  <c r="BF1180" i="3"/>
  <c r="BG1180" i="3"/>
  <c r="BE1181" i="3"/>
  <c r="BF1181" i="3"/>
  <c r="BG1181" i="3"/>
  <c r="BE1182" i="3"/>
  <c r="BF1182" i="3"/>
  <c r="BG1182" i="3"/>
  <c r="BE1183" i="3"/>
  <c r="BF1183" i="3"/>
  <c r="BG1183" i="3"/>
  <c r="BE1184" i="3"/>
  <c r="BF1184" i="3"/>
  <c r="BG1184" i="3"/>
  <c r="BE1185" i="3"/>
  <c r="BF1185" i="3"/>
  <c r="BG1185" i="3"/>
  <c r="BE1186" i="3"/>
  <c r="BF1186" i="3"/>
  <c r="BG1186" i="3"/>
  <c r="BE1187" i="3"/>
  <c r="BF1187" i="3"/>
  <c r="BG1187" i="3"/>
  <c r="BE1188" i="3"/>
  <c r="BF1188" i="3"/>
  <c r="BG1188" i="3"/>
  <c r="BE1189" i="3"/>
  <c r="BF1189" i="3"/>
  <c r="BG1189" i="3"/>
  <c r="BE1190" i="3"/>
  <c r="BF1190" i="3"/>
  <c r="BG1190" i="3"/>
  <c r="BE1191" i="3"/>
  <c r="BF1191" i="3"/>
  <c r="BG1191" i="3"/>
  <c r="BE1192" i="3"/>
  <c r="BG1192" i="3"/>
  <c r="BE1193" i="3"/>
  <c r="BG1193" i="3"/>
  <c r="BE1194" i="3"/>
  <c r="BF1194" i="3"/>
  <c r="BG1194" i="3"/>
  <c r="BE1195" i="3"/>
  <c r="BF1195" i="3"/>
  <c r="BG1195" i="3"/>
  <c r="BE1196" i="3"/>
  <c r="BF1196" i="3"/>
  <c r="BG1196" i="3"/>
  <c r="BE1197" i="3"/>
  <c r="BF1197" i="3"/>
  <c r="BG1197" i="3"/>
  <c r="BE1198" i="3"/>
  <c r="BF1198" i="3"/>
  <c r="BG1198" i="3"/>
  <c r="BE1199" i="3"/>
  <c r="BF1199" i="3"/>
  <c r="BG1199" i="3"/>
  <c r="BE1200" i="3"/>
  <c r="BF1200" i="3"/>
  <c r="BG1200" i="3"/>
  <c r="BE1201" i="3"/>
  <c r="BF1201" i="3"/>
  <c r="BG1201" i="3"/>
  <c r="BE1202" i="3"/>
  <c r="BF1202" i="3"/>
  <c r="BG1202" i="3"/>
  <c r="BE1203" i="3"/>
  <c r="BF1203" i="3"/>
  <c r="BG1203" i="3"/>
  <c r="BE1204" i="3"/>
  <c r="BF1204" i="3"/>
  <c r="BG1204" i="3"/>
  <c r="BE1205" i="3"/>
  <c r="BF1205" i="3"/>
  <c r="BG1205" i="3"/>
  <c r="BE1206" i="3"/>
  <c r="BF1206" i="3"/>
  <c r="BG1206" i="3"/>
  <c r="BE1207" i="3"/>
  <c r="BF1207" i="3"/>
  <c r="BG1207" i="3"/>
  <c r="BE1208" i="3"/>
  <c r="BF1208" i="3"/>
  <c r="BG1208" i="3"/>
  <c r="BE1209" i="3"/>
  <c r="BF1209" i="3"/>
  <c r="BG1209" i="3"/>
  <c r="BE1210" i="3"/>
  <c r="BF1210" i="3"/>
  <c r="BG1210" i="3"/>
  <c r="BE1211" i="3"/>
  <c r="BF1211" i="3"/>
  <c r="BG1211" i="3"/>
  <c r="BE1212" i="3"/>
  <c r="BF1212" i="3"/>
  <c r="BG1212" i="3"/>
  <c r="BE1213" i="3"/>
  <c r="BF1213" i="3"/>
  <c r="BG1213" i="3"/>
  <c r="BE1214" i="3"/>
  <c r="BG1214" i="3"/>
  <c r="BE1215" i="3"/>
  <c r="BF1215" i="3"/>
  <c r="BG1215" i="3"/>
  <c r="BE1216" i="3"/>
  <c r="BF1216" i="3"/>
  <c r="BG1216" i="3"/>
  <c r="BE1217" i="3"/>
  <c r="BF1217" i="3"/>
  <c r="BG1217" i="3"/>
  <c r="BE1218" i="3"/>
  <c r="BF1218" i="3"/>
  <c r="BG1218" i="3"/>
  <c r="BE1219" i="3"/>
  <c r="BF1219" i="3"/>
  <c r="BG1219" i="3"/>
  <c r="BE1220" i="3"/>
  <c r="BF1220" i="3"/>
  <c r="BG1220" i="3"/>
  <c r="BE1221" i="3"/>
  <c r="BF1221" i="3"/>
  <c r="BG1221" i="3"/>
  <c r="BE1222" i="3"/>
  <c r="BF1222" i="3"/>
  <c r="BG1222" i="3"/>
  <c r="BE1223" i="3"/>
  <c r="BF1223" i="3"/>
  <c r="BG1223" i="3"/>
  <c r="BE1224" i="3"/>
  <c r="BF1224" i="3"/>
  <c r="BG1224" i="3"/>
  <c r="BE1225" i="3"/>
  <c r="BF1225" i="3"/>
  <c r="BG1225" i="3"/>
  <c r="BE1226" i="3"/>
  <c r="BF1226" i="3"/>
  <c r="BG1226" i="3"/>
  <c r="BE1227" i="3"/>
  <c r="BF1227" i="3"/>
  <c r="BG1227" i="3"/>
  <c r="BE1228" i="3"/>
  <c r="BF1228" i="3"/>
  <c r="BG1228" i="3"/>
  <c r="BE1229" i="3"/>
  <c r="BF1229" i="3"/>
  <c r="BG1229" i="3"/>
  <c r="BE1230" i="3"/>
  <c r="BF1230" i="3"/>
  <c r="BG1230" i="3"/>
  <c r="BE1231" i="3"/>
  <c r="BF1231" i="3"/>
  <c r="BG1231" i="3"/>
  <c r="BE1232" i="3"/>
  <c r="BF1232" i="3"/>
  <c r="BG1232" i="3"/>
  <c r="BE1233" i="3"/>
  <c r="BF1233" i="3"/>
  <c r="BG1233" i="3"/>
  <c r="BE1234" i="3"/>
  <c r="BF1234" i="3"/>
  <c r="BG1234" i="3"/>
  <c r="BE1235" i="3"/>
  <c r="BF1235" i="3"/>
  <c r="BG1235" i="3"/>
  <c r="BE1236" i="3"/>
  <c r="BF1236" i="3"/>
  <c r="BG1236" i="3"/>
  <c r="BE1237" i="3"/>
  <c r="BF1237" i="3"/>
  <c r="BG1237" i="3"/>
  <c r="BE1238" i="3"/>
  <c r="BF1238" i="3"/>
  <c r="BG1238" i="3"/>
  <c r="BE1239" i="3"/>
  <c r="BF1239" i="3"/>
  <c r="BG1239" i="3"/>
  <c r="BE1240" i="3"/>
  <c r="BF1240" i="3"/>
  <c r="BG1240" i="3"/>
  <c r="BE1241" i="3"/>
  <c r="BF1241" i="3"/>
  <c r="BG1241" i="3"/>
  <c r="BE1242" i="3"/>
  <c r="BF1242" i="3"/>
  <c r="BG1242" i="3"/>
  <c r="BE1243" i="3"/>
  <c r="BF1243" i="3"/>
  <c r="BG1243" i="3"/>
  <c r="BE1244" i="3"/>
  <c r="BF1244" i="3"/>
  <c r="BG1244" i="3"/>
  <c r="BE1245" i="3"/>
  <c r="BF1245" i="3"/>
  <c r="BG1245" i="3"/>
  <c r="BE1246" i="3"/>
  <c r="BF1246" i="3"/>
  <c r="BG1246" i="3"/>
  <c r="BE1247" i="3"/>
  <c r="BF1247" i="3"/>
  <c r="BG1247" i="3"/>
  <c r="BE1248" i="3"/>
  <c r="BF1248" i="3"/>
  <c r="BG1248" i="3"/>
  <c r="BE1249" i="3"/>
  <c r="BF1249" i="3"/>
  <c r="BG1249" i="3"/>
  <c r="BE1250" i="3"/>
  <c r="BF1250" i="3"/>
  <c r="BG1250" i="3"/>
  <c r="BE1251" i="3"/>
  <c r="BF1251" i="3"/>
  <c r="BG1251" i="3"/>
  <c r="BE1252" i="3"/>
  <c r="BF1252" i="3"/>
  <c r="BG1252" i="3"/>
  <c r="BE1253" i="3"/>
  <c r="W1253" i="3" s="1"/>
  <c r="BF1253" i="3"/>
  <c r="X1253" i="3" s="1"/>
  <c r="BG1253" i="3"/>
  <c r="BE1254" i="3"/>
  <c r="W1254" i="3" s="1"/>
  <c r="BF1254" i="3"/>
  <c r="X1254" i="3" s="1"/>
  <c r="BG1254" i="3"/>
  <c r="BE1255" i="3"/>
  <c r="BF1255" i="3"/>
  <c r="BG1255" i="3"/>
  <c r="BE1256" i="3"/>
  <c r="BF1256" i="3"/>
  <c r="BG1256" i="3"/>
  <c r="BE1257" i="3"/>
  <c r="BF1257" i="3"/>
  <c r="BG1257" i="3"/>
  <c r="BE1258" i="3"/>
  <c r="BF1258" i="3"/>
  <c r="BG1258" i="3"/>
  <c r="BE1259" i="3"/>
  <c r="BF1259" i="3"/>
  <c r="BG1259" i="3"/>
  <c r="BE1260" i="3"/>
  <c r="BF1260" i="3"/>
  <c r="BG1260" i="3"/>
  <c r="BE1261" i="3"/>
  <c r="BF1261" i="3"/>
  <c r="BG1261" i="3"/>
  <c r="BE1262" i="3"/>
  <c r="BF1262" i="3"/>
  <c r="BG1262" i="3"/>
  <c r="BE1263" i="3"/>
  <c r="BF1263" i="3"/>
  <c r="BG1263" i="3"/>
  <c r="BE1264" i="3"/>
  <c r="BF1264" i="3"/>
  <c r="BG1264" i="3"/>
  <c r="BE1265" i="3"/>
  <c r="BF1265" i="3"/>
  <c r="BG1265" i="3"/>
  <c r="BE1266" i="3"/>
  <c r="BF1266" i="3"/>
  <c r="BG1266" i="3"/>
  <c r="BE1267" i="3"/>
  <c r="BF1267" i="3"/>
  <c r="BG1267" i="3"/>
  <c r="BE1268" i="3"/>
  <c r="BF1268" i="3"/>
  <c r="BG1268" i="3"/>
  <c r="BE1269" i="3"/>
  <c r="BG1269" i="3"/>
  <c r="BE1270" i="3"/>
  <c r="W1270" i="3" s="1"/>
  <c r="BG1270" i="3"/>
  <c r="BE1271" i="3"/>
  <c r="BG1271" i="3"/>
  <c r="BE1272" i="3"/>
  <c r="BG1272" i="3"/>
  <c r="BE1273" i="3"/>
  <c r="BG1273" i="3"/>
  <c r="BE1274" i="3"/>
  <c r="BF1274" i="3"/>
  <c r="BG1274" i="3"/>
  <c r="BE1275" i="3"/>
  <c r="BF1275" i="3"/>
  <c r="BG1275" i="3"/>
  <c r="BE1276" i="3"/>
  <c r="BF1276" i="3"/>
  <c r="BG1276" i="3"/>
  <c r="BE1277" i="3"/>
  <c r="BF1277" i="3"/>
  <c r="BG1277" i="3"/>
  <c r="BE1278" i="3"/>
  <c r="BF1278" i="3"/>
  <c r="BG1278" i="3"/>
  <c r="BE1279" i="3"/>
  <c r="BF1279" i="3"/>
  <c r="BG1279" i="3"/>
  <c r="BE1280" i="3"/>
  <c r="BF1280" i="3"/>
  <c r="BG1280" i="3"/>
  <c r="BE1281" i="3"/>
  <c r="BF1281" i="3"/>
  <c r="BG1281" i="3"/>
  <c r="BE1282" i="3"/>
  <c r="BF1282" i="3"/>
  <c r="BG1282" i="3"/>
  <c r="BE1283" i="3"/>
  <c r="BF1283" i="3"/>
  <c r="BG1283" i="3"/>
  <c r="BE1284" i="3"/>
  <c r="BF1284" i="3"/>
  <c r="BG1284" i="3"/>
  <c r="BE1285" i="3"/>
  <c r="BF1285" i="3"/>
  <c r="BG1285" i="3"/>
  <c r="BE1286" i="3"/>
  <c r="BF1286" i="3"/>
  <c r="BG1286" i="3"/>
  <c r="BE1287" i="3"/>
  <c r="BF1287" i="3"/>
  <c r="BG1287" i="3"/>
  <c r="BE1288" i="3"/>
  <c r="BF1288" i="3"/>
  <c r="BG1288" i="3"/>
  <c r="BE1289" i="3"/>
  <c r="BF1289" i="3"/>
  <c r="BG1289" i="3"/>
  <c r="BE1290" i="3"/>
  <c r="BF1290" i="3"/>
  <c r="BG1290" i="3"/>
  <c r="BE1291" i="3"/>
  <c r="BF1291" i="3"/>
  <c r="BG1291" i="3"/>
  <c r="BE1292" i="3"/>
  <c r="BF1292" i="3"/>
  <c r="BG1292" i="3"/>
  <c r="BE1293" i="3"/>
  <c r="BF1293" i="3"/>
  <c r="BG1293" i="3"/>
  <c r="BE1294" i="3"/>
  <c r="BF1294" i="3"/>
  <c r="BG1294" i="3"/>
  <c r="BE1295" i="3"/>
  <c r="BF1295" i="3"/>
  <c r="BG1295" i="3"/>
  <c r="BE1296" i="3"/>
  <c r="BF1296" i="3"/>
  <c r="BG1296" i="3"/>
  <c r="BE1297" i="3"/>
  <c r="BF1297" i="3"/>
  <c r="BG1297" i="3"/>
  <c r="BE1298" i="3"/>
  <c r="BF1298" i="3"/>
  <c r="BG1298" i="3"/>
  <c r="BE1299" i="3"/>
  <c r="BF1299" i="3"/>
  <c r="BG1299" i="3"/>
  <c r="BE1300" i="3"/>
  <c r="BF1300" i="3"/>
  <c r="BG1300" i="3"/>
  <c r="BE1301" i="3"/>
  <c r="BF1301" i="3"/>
  <c r="BG1301" i="3"/>
  <c r="BE1302" i="3"/>
  <c r="BF1302" i="3"/>
  <c r="BG1302" i="3"/>
  <c r="BE1303" i="3"/>
  <c r="BF1303" i="3"/>
  <c r="BG1303" i="3"/>
  <c r="BE1304" i="3"/>
  <c r="BF1304" i="3"/>
  <c r="BG1304" i="3"/>
  <c r="BE1305" i="3"/>
  <c r="BF1305" i="3"/>
  <c r="BG1305" i="3"/>
  <c r="BE1306" i="3"/>
  <c r="BF1306" i="3"/>
  <c r="BG1306" i="3"/>
  <c r="BE1307" i="3"/>
  <c r="BF1307" i="3"/>
  <c r="BG1307" i="3"/>
  <c r="BE1308" i="3"/>
  <c r="BF1308" i="3"/>
  <c r="BG1308" i="3"/>
  <c r="BE1309" i="3"/>
  <c r="BF1309" i="3"/>
  <c r="BG1309" i="3"/>
  <c r="BE1310" i="3"/>
  <c r="BF1310" i="3"/>
  <c r="BG1310" i="3"/>
  <c r="BE1311" i="3"/>
  <c r="BF1311" i="3"/>
  <c r="BG1311" i="3"/>
  <c r="BE1312" i="3"/>
  <c r="BF1312" i="3"/>
  <c r="BG1312" i="3"/>
  <c r="BE1313" i="3"/>
  <c r="BF1313" i="3"/>
  <c r="BG1313" i="3"/>
  <c r="BE1314" i="3"/>
  <c r="BF1314" i="3"/>
  <c r="BG1314" i="3"/>
  <c r="BE1315" i="3"/>
  <c r="BF1315" i="3"/>
  <c r="BG1315" i="3"/>
  <c r="BE1316" i="3"/>
  <c r="BF1316" i="3"/>
  <c r="BG1316" i="3"/>
  <c r="BE1317" i="3"/>
  <c r="BF1317" i="3"/>
  <c r="BG1317" i="3"/>
  <c r="BE1318" i="3"/>
  <c r="BF1318" i="3"/>
  <c r="BG1318" i="3"/>
  <c r="BE1319" i="3"/>
  <c r="BF1319" i="3"/>
  <c r="BG1319" i="3"/>
  <c r="BE1156" i="3"/>
  <c r="BF1156" i="3"/>
  <c r="BG1156" i="3"/>
  <c r="AW1156" i="3" a="1"/>
  <c r="U1156" i="3"/>
  <c r="V1156" i="3" s="1"/>
  <c r="C1156" i="3"/>
  <c r="BH1156" i="3"/>
  <c r="AZ1156" i="3"/>
  <c r="AC1156" i="3"/>
  <c r="Z1156" i="3"/>
  <c r="F1156" i="3" a="1"/>
  <c r="F1248" i="3" a="1"/>
  <c r="F1246" i="3" a="1"/>
  <c r="F1245" i="3" a="1"/>
  <c r="F1244" i="3" a="1"/>
  <c r="F1243" i="3" a="1"/>
  <c r="F1241" i="3" a="1"/>
  <c r="F1240" i="3" a="1"/>
  <c r="F1239" i="3" a="1"/>
  <c r="F1238" i="3" a="1"/>
  <c r="F1237" i="3" a="1"/>
  <c r="F1236" i="3" a="1"/>
  <c r="F1235" i="3" a="1"/>
  <c r="F1234" i="3" a="1"/>
  <c r="F1233" i="3" a="1"/>
  <c r="F1232" i="3" a="1"/>
  <c r="F1231" i="3" a="1"/>
  <c r="F1230" i="3" a="1"/>
  <c r="F1229" i="3" a="1"/>
  <c r="F1228" i="3" a="1"/>
  <c r="F1227" i="3" a="1"/>
  <c r="F1226" i="3" a="1"/>
  <c r="F1225" i="3" a="1"/>
  <c r="F1224" i="3" a="1"/>
  <c r="F1223" i="3" a="1"/>
  <c r="F1222" i="3" a="1"/>
  <c r="F1221" i="3" a="1"/>
  <c r="F1220" i="3" a="1"/>
  <c r="F1276" i="3" a="1"/>
  <c r="F1275" i="3" a="1"/>
  <c r="F1274" i="3" a="1"/>
  <c r="F1268" i="3" a="1"/>
  <c r="F1267" i="3" a="1"/>
  <c r="F1265" i="3" a="1"/>
  <c r="F1264" i="3" a="1"/>
  <c r="F1283" i="3" a="1"/>
  <c r="F1293" i="3" a="1"/>
  <c r="F1292" i="3" a="1"/>
  <c r="F1291" i="3" a="1"/>
  <c r="F1303" i="3" a="1"/>
  <c r="F1306" i="3" a="1"/>
  <c r="F1310" i="3" a="1"/>
  <c r="AJ1145" i="3"/>
  <c r="AC1266" i="3"/>
  <c r="U1294" i="3"/>
  <c r="U1295" i="3"/>
  <c r="BH1295" i="3"/>
  <c r="AZ1295" i="3"/>
  <c r="AW1295" i="3" a="1"/>
  <c r="AC1295" i="3"/>
  <c r="Z1295" i="3"/>
  <c r="F1295" i="3" a="1"/>
  <c r="C1295" i="3"/>
  <c r="U1161" i="3"/>
  <c r="U1160" i="3"/>
  <c r="U1162" i="3"/>
  <c r="U1139" i="3"/>
  <c r="U1137" i="3"/>
  <c r="U1138" i="3"/>
  <c r="U1136" i="3"/>
  <c r="U244" i="70"/>
  <c r="U245" i="70"/>
  <c r="U246" i="70"/>
  <c r="U247" i="70"/>
  <c r="U248" i="70"/>
  <c r="U249" i="70"/>
  <c r="U250" i="70"/>
  <c r="U243" i="70"/>
  <c r="AS251" i="70"/>
  <c r="AA251" i="70"/>
  <c r="AM1093" i="3"/>
  <c r="BH1253" i="3"/>
  <c r="AZ1253" i="3"/>
  <c r="AN1253" i="3"/>
  <c r="AK1253" i="3"/>
  <c r="AJ1253" i="3"/>
  <c r="AC1253" i="3"/>
  <c r="Z1253" i="3"/>
  <c r="V1253" i="3"/>
  <c r="F1253" i="3" a="1"/>
  <c r="C1253" i="3"/>
  <c r="X213" i="70"/>
  <c r="X214" i="70"/>
  <c r="X215" i="70"/>
  <c r="X216" i="70"/>
  <c r="X217" i="70"/>
  <c r="X209" i="70"/>
  <c r="X210" i="70"/>
  <c r="X190" i="70"/>
  <c r="X171" i="70"/>
  <c r="X172" i="70"/>
  <c r="X173" i="70"/>
  <c r="C1319" i="3"/>
  <c r="F1319" i="3" a="1"/>
  <c r="Z1319" i="3"/>
  <c r="AC1319" i="3"/>
  <c r="AW1319" i="3" a="1"/>
  <c r="AZ1319" i="3"/>
  <c r="BH1319" i="3"/>
  <c r="Z1165" i="3"/>
  <c r="AC1165" i="3"/>
  <c r="AW1165" i="3" a="1"/>
  <c r="AZ1165" i="3"/>
  <c r="BH1165" i="3"/>
  <c r="U1282" i="3"/>
  <c r="BH1282" i="3"/>
  <c r="AZ1282" i="3"/>
  <c r="AW1282" i="3" a="1"/>
  <c r="AC1282" i="3"/>
  <c r="Z1282" i="3"/>
  <c r="F1282" i="3" a="1"/>
  <c r="C1282" i="3"/>
  <c r="BH1290" i="3"/>
  <c r="AZ1290" i="3"/>
  <c r="AW1290" i="3" a="1"/>
  <c r="AC1290" i="3"/>
  <c r="Z1290" i="3"/>
  <c r="U1290" i="3"/>
  <c r="F1290" i="3" a="1"/>
  <c r="C1290" i="3"/>
  <c r="U1280" i="3"/>
  <c r="U1287" i="3"/>
  <c r="U1289" i="3"/>
  <c r="U1288" i="3"/>
  <c r="U1281" i="3"/>
  <c r="BH1289" i="3"/>
  <c r="AZ1289" i="3"/>
  <c r="AW1289" i="3" a="1"/>
  <c r="AC1289" i="3"/>
  <c r="Z1289" i="3"/>
  <c r="F1289" i="3" a="1"/>
  <c r="C1289" i="3"/>
  <c r="BH1288" i="3"/>
  <c r="AZ1288" i="3"/>
  <c r="AW1288" i="3" a="1"/>
  <c r="AC1288" i="3"/>
  <c r="Z1288" i="3"/>
  <c r="F1288" i="3" a="1"/>
  <c r="C1288" i="3"/>
  <c r="BH1287" i="3"/>
  <c r="AZ1287" i="3"/>
  <c r="AW1287" i="3" a="1"/>
  <c r="AC1287" i="3"/>
  <c r="Z1287" i="3"/>
  <c r="F1287" i="3" a="1"/>
  <c r="C1287" i="3"/>
  <c r="BH1281" i="3"/>
  <c r="AZ1281" i="3"/>
  <c r="AW1281" i="3" a="1"/>
  <c r="AC1281" i="3"/>
  <c r="Z1281" i="3"/>
  <c r="F1281" i="3" a="1"/>
  <c r="C1281" i="3"/>
  <c r="BH1280" i="3"/>
  <c r="AZ1280" i="3"/>
  <c r="AW1280" i="3" a="1"/>
  <c r="AC1280" i="3"/>
  <c r="Z1280" i="3"/>
  <c r="F1280" i="3" a="1"/>
  <c r="C1280" i="3"/>
  <c r="BH1279" i="3"/>
  <c r="AZ1279" i="3"/>
  <c r="AW1279" i="3" a="1"/>
  <c r="AC1279" i="3"/>
  <c r="Z1279" i="3"/>
  <c r="U1279" i="3"/>
  <c r="F1279" i="3" a="1"/>
  <c r="C1279" i="3"/>
  <c r="BH1286" i="3"/>
  <c r="AZ1286" i="3"/>
  <c r="AW1286" i="3" a="1"/>
  <c r="AC1286" i="3"/>
  <c r="Z1286" i="3"/>
  <c r="U1286" i="3"/>
  <c r="F1286" i="3" a="1"/>
  <c r="C1286" i="3"/>
  <c r="F1139" i="3" a="1"/>
  <c r="F1137" i="3" a="1"/>
  <c r="F1155" i="3" a="1"/>
  <c r="F1153" i="3" a="1"/>
  <c r="F1298" i="3" a="1"/>
  <c r="F1297" i="3" a="1"/>
  <c r="F1168" i="3" a="1"/>
  <c r="F1167" i="3" a="1"/>
  <c r="F1164" i="3" a="1"/>
  <c r="F1163" i="3" a="1"/>
  <c r="U1298" i="3"/>
  <c r="U1297" i="3"/>
  <c r="BH1298" i="3"/>
  <c r="AZ1298" i="3"/>
  <c r="AW1298" i="3" a="1"/>
  <c r="AC1298" i="3"/>
  <c r="Z1298" i="3"/>
  <c r="C1298" i="3"/>
  <c r="BH1297" i="3"/>
  <c r="AZ1297" i="3"/>
  <c r="AW1297" i="3" a="1"/>
  <c r="AC1297" i="3"/>
  <c r="Z1297" i="3"/>
  <c r="C1297" i="3"/>
  <c r="BH1168" i="3"/>
  <c r="AZ1168" i="3"/>
  <c r="AW1168" i="3" a="1"/>
  <c r="AC1168" i="3"/>
  <c r="Z1168" i="3"/>
  <c r="C1168" i="3"/>
  <c r="BH1167" i="3"/>
  <c r="AZ1167" i="3"/>
  <c r="AW1167" i="3" a="1"/>
  <c r="AC1167" i="3"/>
  <c r="Z1167" i="3"/>
  <c r="C1167" i="3"/>
  <c r="U1311" i="3"/>
  <c r="BH1311" i="3"/>
  <c r="AZ1311" i="3"/>
  <c r="AW1311" i="3" a="1"/>
  <c r="AC1311" i="3"/>
  <c r="Z1311" i="3"/>
  <c r="F1311" i="3" a="1"/>
  <c r="C1311" i="3"/>
  <c r="U1302" i="3"/>
  <c r="U1308" i="3"/>
  <c r="U1305" i="3"/>
  <c r="F1305" i="3" a="1"/>
  <c r="F1302" i="3" a="1"/>
  <c r="F1301" i="3" a="1"/>
  <c r="F1300" i="3" a="1"/>
  <c r="F1299" i="3" a="1"/>
  <c r="U1154" i="3"/>
  <c r="U1164" i="3"/>
  <c r="U1163" i="3"/>
  <c r="AW1164" i="3" a="1"/>
  <c r="AW1163" i="3" a="1"/>
  <c r="BH1163" i="3"/>
  <c r="BH1164" i="3"/>
  <c r="AZ1163" i="3"/>
  <c r="AZ1164" i="3"/>
  <c r="AC1163" i="3"/>
  <c r="AC1164" i="3"/>
  <c r="Z1163" i="3"/>
  <c r="Z1164" i="3"/>
  <c r="V1163" i="3"/>
  <c r="V1164" i="3"/>
  <c r="C1163" i="3"/>
  <c r="C1164" i="3"/>
  <c r="AB91" i="122"/>
  <c r="AA91" i="122"/>
  <c r="Z91" i="122"/>
  <c r="Y91" i="122"/>
  <c r="X91" i="122"/>
  <c r="W91" i="122"/>
  <c r="V91" i="122"/>
  <c r="U91" i="122"/>
  <c r="T91" i="122"/>
  <c r="S91" i="122"/>
  <c r="R91" i="122"/>
  <c r="Q91" i="122"/>
  <c r="L91" i="122"/>
  <c r="J91" i="122"/>
  <c r="I91" i="122"/>
  <c r="H91" i="122"/>
  <c r="G91" i="122"/>
  <c r="F91" i="122"/>
  <c r="E91" i="122"/>
  <c r="AB88" i="122"/>
  <c r="AB90" i="122" s="1"/>
  <c r="AA88" i="122"/>
  <c r="AA90" i="122" s="1"/>
  <c r="Z88" i="122"/>
  <c r="Z90" i="122" s="1"/>
  <c r="Y88" i="122"/>
  <c r="Y90" i="122" s="1"/>
  <c r="X88" i="122"/>
  <c r="W88" i="122"/>
  <c r="V88" i="122"/>
  <c r="U88" i="122"/>
  <c r="T88" i="122"/>
  <c r="S88" i="122"/>
  <c r="R88" i="122"/>
  <c r="Q88" i="122"/>
  <c r="L88" i="122"/>
  <c r="J88" i="122"/>
  <c r="I88" i="122"/>
  <c r="H88" i="122"/>
  <c r="G88" i="122"/>
  <c r="F88" i="122"/>
  <c r="E88" i="122"/>
  <c r="AB87" i="122"/>
  <c r="AA87" i="122"/>
  <c r="Z87" i="122"/>
  <c r="Y87" i="122"/>
  <c r="X87" i="122"/>
  <c r="W87" i="122"/>
  <c r="V87" i="122"/>
  <c r="U87" i="122"/>
  <c r="T87" i="122"/>
  <c r="S87" i="122"/>
  <c r="R87" i="122"/>
  <c r="Q87" i="122"/>
  <c r="P87" i="122"/>
  <c r="O87" i="122"/>
  <c r="N87" i="122"/>
  <c r="M87" i="122"/>
  <c r="L87" i="122"/>
  <c r="K87" i="122"/>
  <c r="J87" i="122"/>
  <c r="I87" i="122"/>
  <c r="G87" i="122"/>
  <c r="F87" i="122"/>
  <c r="E87" i="122"/>
  <c r="AB84" i="122"/>
  <c r="AB86" i="122" s="1"/>
  <c r="AA84" i="122"/>
  <c r="AA86" i="122" s="1"/>
  <c r="Z84" i="122"/>
  <c r="Z86" i="122" s="1"/>
  <c r="Y84" i="122"/>
  <c r="Y86" i="122" s="1"/>
  <c r="X84" i="122"/>
  <c r="W84" i="122"/>
  <c r="V84" i="122"/>
  <c r="U84" i="122"/>
  <c r="T84" i="122"/>
  <c r="S84" i="122"/>
  <c r="R84" i="122"/>
  <c r="Q84" i="122"/>
  <c r="P84" i="122"/>
  <c r="O84" i="122"/>
  <c r="N84" i="122"/>
  <c r="M84" i="122"/>
  <c r="L84" i="122"/>
  <c r="K84" i="122"/>
  <c r="J84" i="122"/>
  <c r="I84" i="122"/>
  <c r="G84" i="122"/>
  <c r="F84" i="122"/>
  <c r="E84" i="122"/>
  <c r="AB83" i="122"/>
  <c r="AA83" i="122"/>
  <c r="Z83" i="122"/>
  <c r="Y83" i="122"/>
  <c r="X83" i="122"/>
  <c r="W83" i="122"/>
  <c r="V83" i="122"/>
  <c r="U83" i="122"/>
  <c r="T83" i="122"/>
  <c r="S83" i="122"/>
  <c r="R83" i="122"/>
  <c r="Q83" i="122"/>
  <c r="P83" i="122"/>
  <c r="O83" i="122"/>
  <c r="N83" i="122"/>
  <c r="M83" i="122"/>
  <c r="L83" i="122"/>
  <c r="K83" i="122"/>
  <c r="J83" i="122"/>
  <c r="I83" i="122"/>
  <c r="H83" i="122"/>
  <c r="G83" i="122"/>
  <c r="F83" i="122"/>
  <c r="E83" i="122"/>
  <c r="AB80" i="122"/>
  <c r="AB82" i="122" s="1"/>
  <c r="AA80" i="122"/>
  <c r="AA82" i="122" s="1"/>
  <c r="Z80" i="122"/>
  <c r="Z82" i="122" s="1"/>
  <c r="Y80" i="122"/>
  <c r="Y82" i="122" s="1"/>
  <c r="X80" i="122"/>
  <c r="W80" i="122"/>
  <c r="V80" i="122"/>
  <c r="U80" i="122"/>
  <c r="T80" i="122"/>
  <c r="S80" i="122"/>
  <c r="R80" i="122"/>
  <c r="Q80" i="122"/>
  <c r="P80" i="122"/>
  <c r="O80" i="122"/>
  <c r="N80" i="122"/>
  <c r="M80" i="122"/>
  <c r="L80" i="122"/>
  <c r="K80" i="122"/>
  <c r="J80" i="122"/>
  <c r="I80" i="122"/>
  <c r="H80" i="122"/>
  <c r="G80" i="122"/>
  <c r="F80" i="122"/>
  <c r="E80" i="122"/>
  <c r="AB79" i="122"/>
  <c r="AA79" i="122"/>
  <c r="Z79" i="122"/>
  <c r="X79" i="122"/>
  <c r="V79" i="122"/>
  <c r="K79" i="122"/>
  <c r="G79" i="122"/>
  <c r="F79" i="122"/>
  <c r="E79" i="122"/>
  <c r="AB76" i="122"/>
  <c r="AA76" i="122"/>
  <c r="Z76" i="122"/>
  <c r="X76" i="122"/>
  <c r="V76" i="122"/>
  <c r="K76" i="122"/>
  <c r="G76" i="122"/>
  <c r="F76" i="122"/>
  <c r="E76" i="122"/>
  <c r="F71" i="122"/>
  <c r="E71" i="122"/>
  <c r="X45" i="122"/>
  <c r="W45" i="122"/>
  <c r="R45" i="122"/>
  <c r="Q45" i="122"/>
  <c r="P45" i="122"/>
  <c r="O45" i="122"/>
  <c r="N45" i="122"/>
  <c r="M45" i="122"/>
  <c r="L45" i="122"/>
  <c r="K45" i="122"/>
  <c r="J45" i="122"/>
  <c r="I45" i="122"/>
  <c r="H45" i="122"/>
  <c r="G45" i="122"/>
  <c r="F45" i="122"/>
  <c r="E45" i="122"/>
  <c r="X42" i="122"/>
  <c r="X44" i="122" s="1"/>
  <c r="W42" i="122"/>
  <c r="R42" i="122"/>
  <c r="Q42" i="122"/>
  <c r="P42" i="122"/>
  <c r="O42" i="122"/>
  <c r="N42" i="122"/>
  <c r="N44" i="122" s="1"/>
  <c r="M42" i="122"/>
  <c r="L42" i="122"/>
  <c r="L44" i="122" s="1"/>
  <c r="K42" i="122"/>
  <c r="J42" i="122"/>
  <c r="I42" i="122"/>
  <c r="H42" i="122"/>
  <c r="H44" i="122" s="1"/>
  <c r="G42" i="122"/>
  <c r="G44" i="122" s="1"/>
  <c r="F42" i="122"/>
  <c r="F44" i="122" s="1"/>
  <c r="E42" i="122"/>
  <c r="E44" i="122" s="1"/>
  <c r="U41" i="122"/>
  <c r="N41" i="122"/>
  <c r="L41" i="122"/>
  <c r="H41" i="122"/>
  <c r="G41" i="122"/>
  <c r="F41" i="122"/>
  <c r="E41" i="122"/>
  <c r="U38" i="122"/>
  <c r="N38" i="122"/>
  <c r="L38" i="122"/>
  <c r="H38" i="122"/>
  <c r="G38" i="122"/>
  <c r="F38" i="122"/>
  <c r="E38" i="122"/>
  <c r="X37" i="122"/>
  <c r="V37" i="122"/>
  <c r="U37" i="122"/>
  <c r="T37" i="122"/>
  <c r="R37" i="122"/>
  <c r="O37" i="122"/>
  <c r="N37" i="122"/>
  <c r="M37" i="122"/>
  <c r="L37" i="122"/>
  <c r="K37" i="122"/>
  <c r="G37" i="122"/>
  <c r="F37" i="122"/>
  <c r="E37" i="122"/>
  <c r="X34" i="122"/>
  <c r="V34" i="122"/>
  <c r="U34" i="122"/>
  <c r="T34" i="122"/>
  <c r="R34" i="122"/>
  <c r="O34" i="122"/>
  <c r="N34" i="122"/>
  <c r="M34" i="122"/>
  <c r="L34" i="122"/>
  <c r="K34" i="122"/>
  <c r="G34" i="122"/>
  <c r="F34" i="122"/>
  <c r="E34" i="122"/>
  <c r="W33" i="122"/>
  <c r="U33" i="122"/>
  <c r="T33" i="122"/>
  <c r="S33" i="122"/>
  <c r="Q33" i="122"/>
  <c r="P33" i="122"/>
  <c r="O33" i="122"/>
  <c r="L33" i="122"/>
  <c r="J33" i="122"/>
  <c r="I33" i="122"/>
  <c r="H33" i="122"/>
  <c r="G33" i="122"/>
  <c r="F33" i="122"/>
  <c r="E33" i="122"/>
  <c r="W30" i="122"/>
  <c r="U30" i="122"/>
  <c r="T30" i="122"/>
  <c r="S30" i="122"/>
  <c r="Q30" i="122"/>
  <c r="P30" i="122"/>
  <c r="O30" i="122"/>
  <c r="L30" i="122"/>
  <c r="J30" i="122"/>
  <c r="I30" i="122"/>
  <c r="H30" i="122"/>
  <c r="G30" i="122"/>
  <c r="F30" i="122"/>
  <c r="E30" i="122"/>
  <c r="F29" i="122"/>
  <c r="E29" i="122"/>
  <c r="F26" i="122"/>
  <c r="E26" i="122"/>
  <c r="AB114" i="122"/>
  <c r="AB116" i="122" s="1"/>
  <c r="AA114" i="122"/>
  <c r="AA116" i="122" s="1"/>
  <c r="Z114" i="122"/>
  <c r="Z116" i="122" s="1"/>
  <c r="Y114" i="122"/>
  <c r="Y116" i="122" s="1"/>
  <c r="X114" i="122"/>
  <c r="W114" i="122"/>
  <c r="V114" i="122"/>
  <c r="U114" i="122"/>
  <c r="S114" i="122"/>
  <c r="R114" i="122"/>
  <c r="AB113" i="122"/>
  <c r="AA113" i="122"/>
  <c r="Z113" i="122"/>
  <c r="Y113" i="122"/>
  <c r="X113" i="122"/>
  <c r="W113" i="122"/>
  <c r="V113" i="122"/>
  <c r="U113" i="122"/>
  <c r="T113" i="122"/>
  <c r="S113" i="122"/>
  <c r="P113" i="122"/>
  <c r="O113" i="122"/>
  <c r="N113" i="122"/>
  <c r="M113" i="122"/>
  <c r="L113" i="122"/>
  <c r="K113" i="122"/>
  <c r="J113" i="122"/>
  <c r="I113" i="122"/>
  <c r="H113" i="122"/>
  <c r="G113" i="122"/>
  <c r="F113" i="122"/>
  <c r="E113" i="122"/>
  <c r="AB110" i="122"/>
  <c r="AB112" i="122" s="1"/>
  <c r="AA110" i="122"/>
  <c r="AA112" i="122" s="1"/>
  <c r="Z110" i="122"/>
  <c r="Z112" i="122" s="1"/>
  <c r="Y110" i="122"/>
  <c r="Y112" i="122" s="1"/>
  <c r="X110" i="122"/>
  <c r="X112" i="122" s="1"/>
  <c r="W110" i="122"/>
  <c r="W112" i="122" s="1"/>
  <c r="V110" i="122"/>
  <c r="V112" i="122" s="1"/>
  <c r="U110" i="122"/>
  <c r="U112" i="122" s="1"/>
  <c r="T110" i="122"/>
  <c r="T112" i="122" s="1"/>
  <c r="S110" i="122"/>
  <c r="S112" i="122" s="1"/>
  <c r="P110" i="122"/>
  <c r="P112" i="122" s="1"/>
  <c r="O110" i="122"/>
  <c r="O112" i="122" s="1"/>
  <c r="N110" i="122"/>
  <c r="N112" i="122" s="1"/>
  <c r="M110" i="122"/>
  <c r="M112" i="122" s="1"/>
  <c r="L110" i="122"/>
  <c r="L112" i="122" s="1"/>
  <c r="K110" i="122"/>
  <c r="K112" i="122" s="1"/>
  <c r="I110" i="122"/>
  <c r="I112" i="122" s="1"/>
  <c r="H110" i="122"/>
  <c r="H112" i="122" s="1"/>
  <c r="G110" i="122"/>
  <c r="G112" i="122" s="1"/>
  <c r="F110" i="122"/>
  <c r="F112" i="122" s="1"/>
  <c r="E110" i="122"/>
  <c r="E112" i="122" s="1"/>
  <c r="D110" i="122"/>
  <c r="AB109" i="122"/>
  <c r="AA109" i="122"/>
  <c r="Z109" i="122"/>
  <c r="Y109" i="122"/>
  <c r="X109" i="122"/>
  <c r="W109" i="122"/>
  <c r="V109" i="122"/>
  <c r="U109" i="122"/>
  <c r="T109" i="122"/>
  <c r="S109" i="122"/>
  <c r="R109" i="122"/>
  <c r="Q109" i="122"/>
  <c r="P109" i="122"/>
  <c r="O109" i="122"/>
  <c r="N109" i="122"/>
  <c r="M109" i="122"/>
  <c r="L109" i="122"/>
  <c r="K109" i="122"/>
  <c r="J109" i="122"/>
  <c r="I109" i="122"/>
  <c r="H109" i="122"/>
  <c r="G109" i="122"/>
  <c r="F109" i="122"/>
  <c r="E109" i="122"/>
  <c r="AB106" i="122"/>
  <c r="AB108" i="122" s="1"/>
  <c r="AA106" i="122"/>
  <c r="AA108" i="122" s="1"/>
  <c r="Z106" i="122"/>
  <c r="Z108" i="122" s="1"/>
  <c r="Y106" i="122"/>
  <c r="Y108" i="122" s="1"/>
  <c r="X106" i="122"/>
  <c r="W106" i="122"/>
  <c r="V106" i="122"/>
  <c r="U106" i="122"/>
  <c r="T106" i="122"/>
  <c r="S106" i="122"/>
  <c r="R106" i="122"/>
  <c r="Q106" i="122"/>
  <c r="P106" i="122"/>
  <c r="O106" i="122"/>
  <c r="N106" i="122"/>
  <c r="M106" i="122"/>
  <c r="L106" i="122"/>
  <c r="K106" i="122"/>
  <c r="J106" i="122"/>
  <c r="I106" i="122"/>
  <c r="H106" i="122"/>
  <c r="G106" i="122"/>
  <c r="F106" i="122"/>
  <c r="E106" i="122"/>
  <c r="D106" i="122"/>
  <c r="AB105" i="122"/>
  <c r="AA105" i="122"/>
  <c r="Y105" i="122"/>
  <c r="S105" i="122"/>
  <c r="R105" i="122"/>
  <c r="O105" i="122"/>
  <c r="L105" i="122"/>
  <c r="K105" i="122"/>
  <c r="J105" i="122"/>
  <c r="I105" i="122"/>
  <c r="H105" i="122"/>
  <c r="G105" i="122"/>
  <c r="F105" i="122"/>
  <c r="E105" i="122"/>
  <c r="Y102" i="122"/>
  <c r="Y104" i="122" s="1"/>
  <c r="S102" i="122"/>
  <c r="R102" i="122"/>
  <c r="O102" i="122"/>
  <c r="L102" i="122"/>
  <c r="K102" i="122"/>
  <c r="J102" i="122"/>
  <c r="I102" i="122"/>
  <c r="H102" i="122"/>
  <c r="G102" i="122"/>
  <c r="F102" i="122"/>
  <c r="E102" i="122"/>
  <c r="D102" i="122"/>
  <c r="AB101" i="122"/>
  <c r="AA101" i="122"/>
  <c r="Y101" i="122"/>
  <c r="X101" i="122"/>
  <c r="W101" i="122"/>
  <c r="U101" i="122"/>
  <c r="T101" i="122"/>
  <c r="S101" i="122"/>
  <c r="N101" i="122"/>
  <c r="M101" i="122"/>
  <c r="L101" i="122"/>
  <c r="K101" i="122"/>
  <c r="J101" i="122"/>
  <c r="I101" i="122"/>
  <c r="H101" i="122"/>
  <c r="G101" i="122"/>
  <c r="F101" i="122"/>
  <c r="E101" i="122"/>
  <c r="AB98" i="122"/>
  <c r="AA98" i="122"/>
  <c r="Y98" i="122"/>
  <c r="X98" i="122"/>
  <c r="W98" i="122"/>
  <c r="U98" i="122"/>
  <c r="T98" i="122"/>
  <c r="S98" i="122"/>
  <c r="N98" i="122"/>
  <c r="M98" i="122"/>
  <c r="L98" i="122"/>
  <c r="K98" i="122"/>
  <c r="J98" i="122"/>
  <c r="I98" i="122"/>
  <c r="H98" i="122"/>
  <c r="G98" i="122"/>
  <c r="F98" i="122"/>
  <c r="E98" i="122"/>
  <c r="D98" i="122"/>
  <c r="AB68" i="122"/>
  <c r="AB70" i="122" s="1"/>
  <c r="AA68" i="122"/>
  <c r="AA70" i="122" s="1"/>
  <c r="Z68" i="122"/>
  <c r="Z70" i="122" s="1"/>
  <c r="Y68" i="122"/>
  <c r="Y70" i="122" s="1"/>
  <c r="X68" i="122"/>
  <c r="W68" i="122"/>
  <c r="V68" i="122"/>
  <c r="U68" i="122"/>
  <c r="T68" i="122"/>
  <c r="S68" i="122"/>
  <c r="R68" i="122"/>
  <c r="Q68" i="122"/>
  <c r="P68" i="122"/>
  <c r="O68" i="122"/>
  <c r="N68" i="122"/>
  <c r="M68" i="122"/>
  <c r="L68" i="122"/>
  <c r="K68" i="122"/>
  <c r="I68" i="122"/>
  <c r="H68" i="122"/>
  <c r="G68" i="122"/>
  <c r="F68" i="122"/>
  <c r="E68" i="122"/>
  <c r="AB67" i="122"/>
  <c r="AA67" i="122"/>
  <c r="W67" i="122"/>
  <c r="J67" i="122"/>
  <c r="F67" i="122"/>
  <c r="E67" i="122"/>
  <c r="AB64" i="122"/>
  <c r="AB66" i="122" s="1"/>
  <c r="W64" i="122"/>
  <c r="J64" i="122"/>
  <c r="F64" i="122"/>
  <c r="E64" i="122"/>
  <c r="AB63" i="122"/>
  <c r="AA63" i="122"/>
  <c r="Z63" i="122"/>
  <c r="Y63" i="122"/>
  <c r="X63" i="122"/>
  <c r="W63" i="122"/>
  <c r="V63" i="122"/>
  <c r="U63" i="122"/>
  <c r="T63" i="122"/>
  <c r="S63" i="122"/>
  <c r="R63" i="122"/>
  <c r="Q63" i="122"/>
  <c r="P63" i="122"/>
  <c r="O63" i="122"/>
  <c r="N63" i="122"/>
  <c r="M63" i="122"/>
  <c r="L63" i="122"/>
  <c r="K63" i="122"/>
  <c r="J63" i="122"/>
  <c r="I63" i="122"/>
  <c r="H63" i="122"/>
  <c r="G63" i="122"/>
  <c r="F63" i="122"/>
  <c r="E63" i="122"/>
  <c r="AB60" i="122"/>
  <c r="AB62" i="122" s="1"/>
  <c r="AA60" i="122"/>
  <c r="AA62" i="122" s="1"/>
  <c r="Z60" i="122"/>
  <c r="Z62" i="122" s="1"/>
  <c r="Y60" i="122"/>
  <c r="Y62" i="122" s="1"/>
  <c r="X60" i="122"/>
  <c r="W60" i="122"/>
  <c r="V60" i="122"/>
  <c r="U60" i="122"/>
  <c r="T60" i="122"/>
  <c r="S60" i="122"/>
  <c r="R60" i="122"/>
  <c r="Q60" i="122"/>
  <c r="P60" i="122"/>
  <c r="O60" i="122"/>
  <c r="N60" i="122"/>
  <c r="M60" i="122"/>
  <c r="L60" i="122"/>
  <c r="K60" i="122"/>
  <c r="J60" i="122"/>
  <c r="I60" i="122"/>
  <c r="H60" i="122"/>
  <c r="G60" i="122"/>
  <c r="F60" i="122"/>
  <c r="E60" i="122"/>
  <c r="AB59" i="122"/>
  <c r="AA59" i="122"/>
  <c r="Z59" i="122"/>
  <c r="Y59" i="122"/>
  <c r="X59" i="122"/>
  <c r="U59" i="122"/>
  <c r="T59" i="122"/>
  <c r="R59" i="122"/>
  <c r="Q59" i="122"/>
  <c r="P59" i="122"/>
  <c r="N59" i="122"/>
  <c r="M59" i="122"/>
  <c r="K59" i="122"/>
  <c r="I59" i="122"/>
  <c r="E59" i="122"/>
  <c r="AA56" i="122"/>
  <c r="AA58" i="122" s="1"/>
  <c r="Z56" i="122"/>
  <c r="Z58" i="122" s="1"/>
  <c r="X56" i="122"/>
  <c r="U56" i="122"/>
  <c r="T56" i="122"/>
  <c r="R56" i="122"/>
  <c r="Q56" i="122"/>
  <c r="P56" i="122"/>
  <c r="N56" i="122"/>
  <c r="M56" i="122"/>
  <c r="K56" i="122"/>
  <c r="I56" i="122"/>
  <c r="E56" i="122"/>
  <c r="AB55" i="122"/>
  <c r="AA55" i="122"/>
  <c r="Z55" i="122"/>
  <c r="Y55" i="122"/>
  <c r="X55" i="122"/>
  <c r="W55" i="122"/>
  <c r="V55" i="122"/>
  <c r="U55" i="122"/>
  <c r="T55" i="122"/>
  <c r="S55" i="122"/>
  <c r="R55" i="122"/>
  <c r="Q55" i="122"/>
  <c r="P55" i="122"/>
  <c r="N55" i="122"/>
  <c r="M55" i="122"/>
  <c r="L55" i="122"/>
  <c r="K55" i="122"/>
  <c r="J55" i="122"/>
  <c r="I55" i="122"/>
  <c r="H55" i="122"/>
  <c r="F55" i="122"/>
  <c r="E55" i="122"/>
  <c r="AB52" i="122"/>
  <c r="AA52" i="122"/>
  <c r="Z52" i="122"/>
  <c r="Y52" i="122"/>
  <c r="X52" i="122"/>
  <c r="W52" i="122"/>
  <c r="V52" i="122"/>
  <c r="U52" i="122"/>
  <c r="T52" i="122"/>
  <c r="S52" i="122"/>
  <c r="R52" i="122"/>
  <c r="Q52" i="122"/>
  <c r="P52" i="122"/>
  <c r="N52" i="122"/>
  <c r="M52" i="122"/>
  <c r="L52" i="122"/>
  <c r="K52" i="122"/>
  <c r="J52" i="122"/>
  <c r="I52" i="122"/>
  <c r="H52" i="122"/>
  <c r="F52" i="122"/>
  <c r="E52" i="122"/>
  <c r="AB134" i="122"/>
  <c r="AB136" i="122" s="1"/>
  <c r="Z134" i="122"/>
  <c r="Z136" i="122" s="1"/>
  <c r="Y134" i="122"/>
  <c r="Y136" i="122" s="1"/>
  <c r="X134" i="122"/>
  <c r="W134" i="122"/>
  <c r="V134" i="122"/>
  <c r="U134" i="122"/>
  <c r="T134" i="122"/>
  <c r="AB133" i="122"/>
  <c r="AA133" i="122"/>
  <c r="Z133" i="122"/>
  <c r="Y133" i="122"/>
  <c r="X133" i="122"/>
  <c r="W133" i="122"/>
  <c r="V133" i="122"/>
  <c r="U133" i="122"/>
  <c r="T133" i="122"/>
  <c r="S133" i="122"/>
  <c r="P133" i="122"/>
  <c r="O133" i="122"/>
  <c r="N133" i="122"/>
  <c r="M133" i="122"/>
  <c r="L133" i="122"/>
  <c r="K133" i="122"/>
  <c r="J133" i="122"/>
  <c r="I133" i="122"/>
  <c r="H133" i="122"/>
  <c r="G133" i="122"/>
  <c r="F133" i="122"/>
  <c r="E133" i="122"/>
  <c r="AB130" i="122"/>
  <c r="AB132" i="122" s="1"/>
  <c r="AA130" i="122"/>
  <c r="AA132" i="122" s="1"/>
  <c r="Z130" i="122"/>
  <c r="Z132" i="122" s="1"/>
  <c r="Y130" i="122"/>
  <c r="Y132" i="122" s="1"/>
  <c r="X130" i="122"/>
  <c r="W130" i="122"/>
  <c r="V130" i="122"/>
  <c r="U130" i="122"/>
  <c r="T130" i="122"/>
  <c r="S130" i="122"/>
  <c r="P130" i="122"/>
  <c r="O130" i="122"/>
  <c r="N130" i="122"/>
  <c r="M130" i="122"/>
  <c r="L130" i="122"/>
  <c r="K130" i="122"/>
  <c r="J130" i="122"/>
  <c r="I130" i="122"/>
  <c r="H130" i="122"/>
  <c r="G130" i="122"/>
  <c r="F130" i="122"/>
  <c r="E130" i="122"/>
  <c r="D130" i="122"/>
  <c r="AB129" i="122"/>
  <c r="AA129" i="122"/>
  <c r="Z129" i="122"/>
  <c r="Y129" i="122"/>
  <c r="W129" i="122"/>
  <c r="V129" i="122"/>
  <c r="U129" i="122"/>
  <c r="T129" i="122"/>
  <c r="S129" i="122"/>
  <c r="Q129" i="122"/>
  <c r="P129" i="122"/>
  <c r="O129" i="122"/>
  <c r="N129" i="122"/>
  <c r="M129" i="122"/>
  <c r="L129" i="122"/>
  <c r="K129" i="122"/>
  <c r="J129" i="122"/>
  <c r="I129" i="122"/>
  <c r="H129" i="122"/>
  <c r="G129" i="122"/>
  <c r="F129" i="122"/>
  <c r="E129" i="122"/>
  <c r="AB126" i="122"/>
  <c r="AB128" i="122" s="1"/>
  <c r="AA126" i="122"/>
  <c r="AA128" i="122" s="1"/>
  <c r="Z126" i="122"/>
  <c r="Z128" i="122" s="1"/>
  <c r="Y126" i="122"/>
  <c r="Y128" i="122" s="1"/>
  <c r="W126" i="122"/>
  <c r="V126" i="122"/>
  <c r="U126" i="122"/>
  <c r="T126" i="122"/>
  <c r="S126" i="122"/>
  <c r="Q126" i="122"/>
  <c r="P126" i="122"/>
  <c r="O126" i="122"/>
  <c r="N126" i="122"/>
  <c r="M126" i="122"/>
  <c r="L126" i="122"/>
  <c r="K126" i="122"/>
  <c r="J126" i="122"/>
  <c r="I126" i="122"/>
  <c r="H126" i="122"/>
  <c r="G126" i="122"/>
  <c r="F126" i="122"/>
  <c r="E126" i="122"/>
  <c r="D126" i="122"/>
  <c r="AB125" i="122"/>
  <c r="AA125" i="122"/>
  <c r="Z125" i="122"/>
  <c r="X125" i="122"/>
  <c r="V125" i="122"/>
  <c r="M125" i="122"/>
  <c r="L125" i="122"/>
  <c r="K125" i="122"/>
  <c r="J125" i="122"/>
  <c r="I125" i="122"/>
  <c r="H125" i="122"/>
  <c r="G125" i="122"/>
  <c r="F125" i="122"/>
  <c r="E125" i="122"/>
  <c r="AB122" i="122"/>
  <c r="AB124" i="122" s="1"/>
  <c r="AA122" i="122"/>
  <c r="AA124" i="122" s="1"/>
  <c r="Z122" i="122"/>
  <c r="Z124" i="122" s="1"/>
  <c r="X122" i="122"/>
  <c r="V122" i="122"/>
  <c r="M122" i="122"/>
  <c r="L122" i="122"/>
  <c r="K122" i="122"/>
  <c r="J122" i="122"/>
  <c r="I122" i="122"/>
  <c r="H122" i="122"/>
  <c r="G122" i="122"/>
  <c r="F122" i="122"/>
  <c r="E122" i="122"/>
  <c r="D122" i="122"/>
  <c r="X21" i="122"/>
  <c r="T21" i="122"/>
  <c r="S21" i="122"/>
  <c r="R21" i="122"/>
  <c r="Q21" i="122"/>
  <c r="O21" i="122"/>
  <c r="N21" i="122"/>
  <c r="M21" i="122"/>
  <c r="J21" i="122"/>
  <c r="I21" i="122"/>
  <c r="H21" i="122"/>
  <c r="G21" i="122"/>
  <c r="F21" i="122"/>
  <c r="E21" i="122"/>
  <c r="X18" i="122"/>
  <c r="T18" i="122"/>
  <c r="S18" i="122"/>
  <c r="R18" i="122"/>
  <c r="Q18" i="122"/>
  <c r="O18" i="122"/>
  <c r="N18" i="122"/>
  <c r="M18" i="122"/>
  <c r="J18" i="122"/>
  <c r="I18" i="122"/>
  <c r="H18" i="122"/>
  <c r="G18" i="122"/>
  <c r="F18" i="122"/>
  <c r="E18" i="122"/>
  <c r="X17" i="122"/>
  <c r="W17" i="122"/>
  <c r="V17" i="122"/>
  <c r="U17" i="122"/>
  <c r="T17" i="122"/>
  <c r="S17" i="122"/>
  <c r="R17" i="122"/>
  <c r="P17" i="122"/>
  <c r="O17" i="122"/>
  <c r="N17" i="122"/>
  <c r="M17" i="122"/>
  <c r="L17" i="122"/>
  <c r="K17" i="122"/>
  <c r="J17" i="122"/>
  <c r="I17" i="122"/>
  <c r="H17" i="122"/>
  <c r="G17" i="122"/>
  <c r="F17" i="122"/>
  <c r="E17" i="122"/>
  <c r="X14" i="122"/>
  <c r="X16" i="122" s="1"/>
  <c r="W14" i="122"/>
  <c r="W16" i="122" s="1"/>
  <c r="V14" i="122"/>
  <c r="V16" i="122" s="1"/>
  <c r="U14" i="122"/>
  <c r="U16" i="122" s="1"/>
  <c r="T14" i="122"/>
  <c r="T16" i="122" s="1"/>
  <c r="S14" i="122"/>
  <c r="S16" i="122" s="1"/>
  <c r="R14" i="122"/>
  <c r="R16" i="122" s="1"/>
  <c r="P14" i="122"/>
  <c r="O14" i="122"/>
  <c r="O16" i="122" s="1"/>
  <c r="N14" i="122"/>
  <c r="N16" i="122" s="1"/>
  <c r="M14" i="122"/>
  <c r="M16" i="122" s="1"/>
  <c r="L14" i="122"/>
  <c r="K14" i="122"/>
  <c r="J14" i="122"/>
  <c r="J16" i="122" s="1"/>
  <c r="I14" i="122"/>
  <c r="I16" i="122" s="1"/>
  <c r="H14" i="122"/>
  <c r="H16" i="122" s="1"/>
  <c r="G14" i="122"/>
  <c r="G16" i="122" s="1"/>
  <c r="F14" i="122"/>
  <c r="F16" i="122" s="1"/>
  <c r="E14" i="122"/>
  <c r="E16" i="122" s="1"/>
  <c r="X13" i="122"/>
  <c r="W13" i="122"/>
  <c r="V13" i="122"/>
  <c r="U13" i="122"/>
  <c r="T13" i="122"/>
  <c r="S13" i="122"/>
  <c r="R13" i="122"/>
  <c r="P13" i="122"/>
  <c r="O13" i="122"/>
  <c r="N13" i="122"/>
  <c r="M13" i="122"/>
  <c r="L13" i="122"/>
  <c r="K13" i="122"/>
  <c r="J13" i="122"/>
  <c r="I13" i="122"/>
  <c r="H13" i="122"/>
  <c r="F13" i="122"/>
  <c r="E13" i="122"/>
  <c r="X10" i="122"/>
  <c r="W10" i="122"/>
  <c r="V10" i="122"/>
  <c r="U10" i="122"/>
  <c r="T10" i="122"/>
  <c r="S10" i="122"/>
  <c r="R10" i="122"/>
  <c r="P10" i="122"/>
  <c r="O10" i="122"/>
  <c r="N10" i="122"/>
  <c r="M10" i="122"/>
  <c r="L10" i="122"/>
  <c r="K10" i="122"/>
  <c r="J10" i="122"/>
  <c r="I10" i="122"/>
  <c r="H10" i="122"/>
  <c r="F10" i="122"/>
  <c r="E10" i="122"/>
  <c r="O9" i="122"/>
  <c r="F9" i="122"/>
  <c r="O6" i="122"/>
  <c r="F6" i="122"/>
  <c r="X5" i="122"/>
  <c r="W5" i="122"/>
  <c r="V5" i="122"/>
  <c r="U5" i="122"/>
  <c r="S5" i="122"/>
  <c r="N5" i="122"/>
  <c r="K5" i="122"/>
  <c r="I5" i="122"/>
  <c r="G5" i="122"/>
  <c r="F5" i="122"/>
  <c r="E5" i="122"/>
  <c r="X2" i="122"/>
  <c r="W2" i="122"/>
  <c r="V2" i="122"/>
  <c r="U2" i="122"/>
  <c r="S2" i="122"/>
  <c r="N2" i="122"/>
  <c r="K2" i="122"/>
  <c r="I2" i="122"/>
  <c r="G2" i="122"/>
  <c r="F2" i="122"/>
  <c r="E2" i="122"/>
  <c r="Q117" i="122"/>
  <c r="P117" i="122"/>
  <c r="O117" i="122"/>
  <c r="N117" i="122"/>
  <c r="M117" i="122"/>
  <c r="L117" i="122"/>
  <c r="K117" i="122"/>
  <c r="I117" i="122"/>
  <c r="H117" i="122"/>
  <c r="G117" i="122"/>
  <c r="F117" i="122"/>
  <c r="E117" i="122"/>
  <c r="Q114" i="122"/>
  <c r="P114" i="122"/>
  <c r="O114" i="122"/>
  <c r="N114" i="122"/>
  <c r="M114" i="122"/>
  <c r="L114" i="122"/>
  <c r="K114" i="122"/>
  <c r="I114" i="122"/>
  <c r="H114" i="122"/>
  <c r="G114" i="122"/>
  <c r="F114" i="122"/>
  <c r="E114" i="122"/>
  <c r="D114" i="122"/>
  <c r="AB117" i="122"/>
  <c r="AA117" i="122"/>
  <c r="Z117" i="122"/>
  <c r="Y117" i="122"/>
  <c r="X117" i="122"/>
  <c r="W117" i="122"/>
  <c r="V117" i="122"/>
  <c r="U117" i="122"/>
  <c r="S117" i="122"/>
  <c r="R117" i="122"/>
  <c r="AB71" i="122"/>
  <c r="AA71" i="122"/>
  <c r="Z71" i="122"/>
  <c r="Y71" i="122"/>
  <c r="X71" i="122"/>
  <c r="W71" i="122"/>
  <c r="V71" i="122"/>
  <c r="U71" i="122"/>
  <c r="T71" i="122"/>
  <c r="S71" i="122"/>
  <c r="R71" i="122"/>
  <c r="Q71" i="122"/>
  <c r="P71" i="122"/>
  <c r="O71" i="122"/>
  <c r="N71" i="122"/>
  <c r="M71" i="122"/>
  <c r="L71" i="122"/>
  <c r="K71" i="122"/>
  <c r="I71" i="122"/>
  <c r="H71" i="122"/>
  <c r="G71" i="122"/>
  <c r="AB137" i="122"/>
  <c r="AA137" i="122"/>
  <c r="Z137" i="122"/>
  <c r="Y137" i="122"/>
  <c r="X137" i="122"/>
  <c r="W137" i="122"/>
  <c r="V137" i="122"/>
  <c r="U137" i="122"/>
  <c r="T137" i="122"/>
  <c r="S137" i="122"/>
  <c r="R137" i="122"/>
  <c r="Q137" i="122"/>
  <c r="P137" i="122"/>
  <c r="N137" i="122"/>
  <c r="L137" i="122"/>
  <c r="K137" i="122"/>
  <c r="J137" i="122"/>
  <c r="I137" i="122"/>
  <c r="H137" i="122"/>
  <c r="G137" i="122"/>
  <c r="F137" i="122"/>
  <c r="E137" i="122"/>
  <c r="S134" i="122"/>
  <c r="R134" i="122"/>
  <c r="Q134" i="122"/>
  <c r="P134" i="122"/>
  <c r="N134" i="122"/>
  <c r="L134" i="122"/>
  <c r="K134" i="122"/>
  <c r="J134" i="122"/>
  <c r="I134" i="122"/>
  <c r="H134" i="122"/>
  <c r="G134" i="122"/>
  <c r="F134" i="122"/>
  <c r="E134" i="122"/>
  <c r="D134" i="122"/>
  <c r="F1314" i="3" a="1"/>
  <c r="F1313" i="3" a="1"/>
  <c r="F1312" i="3" a="1"/>
  <c r="F1309" i="3" a="1"/>
  <c r="F1308" i="3" a="1"/>
  <c r="F1307" i="3" a="1"/>
  <c r="U1313" i="3"/>
  <c r="U1312" i="3"/>
  <c r="U1309" i="3"/>
  <c r="U1307" i="3"/>
  <c r="C1312" i="3"/>
  <c r="Z1312" i="3"/>
  <c r="AC1312" i="3"/>
  <c r="BH1312" i="3"/>
  <c r="C1313" i="3"/>
  <c r="Z1313" i="3"/>
  <c r="AC1313" i="3"/>
  <c r="BH1313" i="3"/>
  <c r="C1307" i="3"/>
  <c r="Z1307" i="3"/>
  <c r="AC1307" i="3"/>
  <c r="BH1307" i="3"/>
  <c r="C1308" i="3"/>
  <c r="Z1308" i="3"/>
  <c r="AC1308" i="3"/>
  <c r="BH1308" i="3"/>
  <c r="C1309" i="3"/>
  <c r="Z1309" i="3"/>
  <c r="AC1309" i="3"/>
  <c r="BH1309" i="3"/>
  <c r="BH1266" i="3"/>
  <c r="Z1266" i="3"/>
  <c r="U1266" i="3"/>
  <c r="F1266" i="3" a="1"/>
  <c r="C1266" i="3"/>
  <c r="U1249" i="3"/>
  <c r="F1249" i="3" a="1"/>
  <c r="AN1249" i="3"/>
  <c r="AJ1249" i="3"/>
  <c r="AK1249" i="3"/>
  <c r="BH1249" i="3"/>
  <c r="AC1249" i="3"/>
  <c r="C1249" i="3"/>
  <c r="U1242" i="3"/>
  <c r="F1242" i="3" a="1"/>
  <c r="AM1242" i="3"/>
  <c r="AN1242" i="3"/>
  <c r="AJ1242" i="3"/>
  <c r="AK1242" i="3"/>
  <c r="BH1242" i="3"/>
  <c r="AC1242" i="3"/>
  <c r="C1242" i="3"/>
  <c r="F953" i="3" a="1"/>
  <c r="U1304" i="3"/>
  <c r="V1304" i="3" s="1"/>
  <c r="F1304" i="3" a="1"/>
  <c r="C1304" i="3"/>
  <c r="Z1304" i="3"/>
  <c r="AC1304" i="3"/>
  <c r="BH1304" i="3"/>
  <c r="C1305" i="3"/>
  <c r="Z1305" i="3"/>
  <c r="AC1305" i="3"/>
  <c r="BH1305" i="3"/>
  <c r="BH1137" i="3"/>
  <c r="BG1137" i="3"/>
  <c r="BF1137" i="3"/>
  <c r="BE1137" i="3"/>
  <c r="AC1137" i="3"/>
  <c r="Z1137" i="3"/>
  <c r="C1137" i="3"/>
  <c r="BH1139" i="3"/>
  <c r="BG1139" i="3"/>
  <c r="BF1139" i="3"/>
  <c r="BE1139" i="3"/>
  <c r="AC1139" i="3"/>
  <c r="Z1139" i="3"/>
  <c r="C1139" i="3"/>
  <c r="BH1302" i="3"/>
  <c r="AC1302" i="3"/>
  <c r="Z1302" i="3"/>
  <c r="C1302" i="3"/>
  <c r="BH1301" i="3"/>
  <c r="AC1301" i="3"/>
  <c r="Z1301" i="3"/>
  <c r="U1301" i="3"/>
  <c r="C1301" i="3"/>
  <c r="U1299" i="3"/>
  <c r="U1300" i="3"/>
  <c r="U1155" i="3"/>
  <c r="BH1300" i="3"/>
  <c r="AC1300" i="3"/>
  <c r="Z1300" i="3"/>
  <c r="C1300" i="3"/>
  <c r="BH1299" i="3"/>
  <c r="AC1299" i="3"/>
  <c r="Z1299" i="3"/>
  <c r="C1299" i="3"/>
  <c r="BH1155" i="3"/>
  <c r="AC1155" i="3"/>
  <c r="Z1155" i="3"/>
  <c r="C1155" i="3"/>
  <c r="BH1153" i="3"/>
  <c r="AC1153" i="3"/>
  <c r="Z1153" i="3"/>
  <c r="C1153" i="3"/>
  <c r="U1152" i="3"/>
  <c r="BH1152" i="3"/>
  <c r="AC1152" i="3"/>
  <c r="Z1152" i="3"/>
  <c r="F1152" i="3" a="1"/>
  <c r="C1152" i="3"/>
  <c r="BH1161" i="3"/>
  <c r="AC1161" i="3"/>
  <c r="Z1161" i="3"/>
  <c r="F1161" i="3" a="1"/>
  <c r="C1161" i="3"/>
  <c r="BH1160" i="3"/>
  <c r="AC1160" i="3"/>
  <c r="Z1160" i="3"/>
  <c r="F1160" i="3" a="1"/>
  <c r="C1160" i="3"/>
  <c r="BH1294" i="3"/>
  <c r="AC1294" i="3"/>
  <c r="Z1294" i="3"/>
  <c r="F1294" i="3" a="1"/>
  <c r="C1294" i="3"/>
  <c r="BH1154" i="3"/>
  <c r="AC1154" i="3"/>
  <c r="Z1154" i="3"/>
  <c r="F1154" i="3" a="1"/>
  <c r="C1154" i="3"/>
  <c r="BH1162" i="3"/>
  <c r="AC1162" i="3"/>
  <c r="Z1162" i="3"/>
  <c r="F1162" i="3" a="1"/>
  <c r="C1162" i="3"/>
  <c r="U1278" i="3"/>
  <c r="U1277" i="3"/>
  <c r="U1285" i="3"/>
  <c r="U1284" i="3"/>
  <c r="F1285" i="3" a="1"/>
  <c r="F1284" i="3" a="1"/>
  <c r="F1278" i="3" a="1"/>
  <c r="BH1284" i="3"/>
  <c r="AC1284" i="3"/>
  <c r="Z1284" i="3"/>
  <c r="C1284" i="3"/>
  <c r="BH1277" i="3"/>
  <c r="AC1277" i="3"/>
  <c r="Z1277" i="3"/>
  <c r="F1277" i="3" a="1"/>
  <c r="C1277" i="3"/>
  <c r="BH1285" i="3"/>
  <c r="AC1285" i="3"/>
  <c r="Z1285" i="3"/>
  <c r="C1285" i="3"/>
  <c r="BH1278" i="3"/>
  <c r="AC1278" i="3"/>
  <c r="Z1278" i="3"/>
  <c r="C1278" i="3"/>
  <c r="F1144" i="3" a="1"/>
  <c r="BH1144" i="3"/>
  <c r="BG1144" i="3"/>
  <c r="BF1144" i="3"/>
  <c r="X1144" i="3" s="1"/>
  <c r="BE1144" i="3"/>
  <c r="W1144" i="3" s="1"/>
  <c r="AC1144" i="3"/>
  <c r="Z1144" i="3"/>
  <c r="V1144" i="3"/>
  <c r="C1144" i="3"/>
  <c r="U1159" i="3"/>
  <c r="U1315" i="3"/>
  <c r="F1318" i="3" a="1"/>
  <c r="F1317" i="3" a="1"/>
  <c r="F1159" i="3" a="1"/>
  <c r="C1318" i="3"/>
  <c r="C1317" i="3"/>
  <c r="U1318" i="3"/>
  <c r="U1317" i="3"/>
  <c r="F1150" i="3" a="1"/>
  <c r="U1150" i="3"/>
  <c r="F1147" i="3" a="1"/>
  <c r="BH1150" i="3"/>
  <c r="BG1150" i="3"/>
  <c r="BF1150" i="3"/>
  <c r="BE1150" i="3"/>
  <c r="AN1150" i="3"/>
  <c r="AK1150" i="3"/>
  <c r="AJ1150" i="3"/>
  <c r="AC1150" i="3"/>
  <c r="C1150" i="3"/>
  <c r="U1147" i="3"/>
  <c r="U1146" i="3"/>
  <c r="BH1146" i="3"/>
  <c r="BG1146" i="3"/>
  <c r="BF1146" i="3"/>
  <c r="BE1146" i="3"/>
  <c r="AN1146" i="3"/>
  <c r="AM1146" i="3"/>
  <c r="AK1146" i="3"/>
  <c r="AJ1146" i="3"/>
  <c r="AC1146" i="3"/>
  <c r="Z1146" i="3"/>
  <c r="F1146" i="3" a="1"/>
  <c r="C1146" i="3"/>
  <c r="BH1318" i="3"/>
  <c r="AC1318" i="3"/>
  <c r="Z1318" i="3"/>
  <c r="BH1317" i="3"/>
  <c r="AC1317" i="3"/>
  <c r="Z1317" i="3"/>
  <c r="BH1159" i="3"/>
  <c r="AC1159" i="3"/>
  <c r="Z1159" i="3"/>
  <c r="C1159" i="3"/>
  <c r="BH1315" i="3"/>
  <c r="AC1315" i="3"/>
  <c r="Z1315" i="3"/>
  <c r="F1315" i="3" a="1"/>
  <c r="C1315" i="3"/>
  <c r="BH1138" i="3"/>
  <c r="BG1138" i="3"/>
  <c r="BF1138" i="3"/>
  <c r="BE1138" i="3"/>
  <c r="AC1138" i="3"/>
  <c r="Z1138" i="3"/>
  <c r="F1138" i="3" a="1"/>
  <c r="C1138" i="3"/>
  <c r="BH1136" i="3"/>
  <c r="BG1136" i="3"/>
  <c r="BF1136" i="3"/>
  <c r="BE1136" i="3"/>
  <c r="AC1136" i="3"/>
  <c r="Z1136" i="3"/>
  <c r="F1136" i="3" a="1"/>
  <c r="C1136" i="3"/>
  <c r="BH1303" i="3"/>
  <c r="AC1303" i="3"/>
  <c r="Z1303" i="3"/>
  <c r="C1303" i="3"/>
  <c r="AK1149" i="3"/>
  <c r="AJ1149" i="3"/>
  <c r="AJ1129" i="3"/>
  <c r="AJ1128" i="3"/>
  <c r="AK1108" i="3"/>
  <c r="AJ1108" i="3"/>
  <c r="AJ1127" i="3"/>
  <c r="AJ1126" i="3"/>
  <c r="AJ1080" i="3"/>
  <c r="AJ1125" i="3"/>
  <c r="AK1124" i="3"/>
  <c r="AJ1124" i="3"/>
  <c r="AK1123" i="3"/>
  <c r="AJ1079" i="3"/>
  <c r="AK1148" i="3"/>
  <c r="AJ1148" i="3"/>
  <c r="AJ1130" i="3"/>
  <c r="AK1030" i="3"/>
  <c r="AK1143" i="3"/>
  <c r="AJ1143" i="3"/>
  <c r="AK1142" i="3"/>
  <c r="AJ1142" i="3"/>
  <c r="AK1141" i="3"/>
  <c r="AJ1141" i="3"/>
  <c r="AK1121" i="3"/>
  <c r="AJ1121" i="3"/>
  <c r="AK1120" i="3"/>
  <c r="AJ1120" i="3"/>
  <c r="AJ1119" i="3"/>
  <c r="AK1118" i="3"/>
  <c r="AJ1117" i="3"/>
  <c r="AJ1116" i="3"/>
  <c r="AJ1132" i="3"/>
  <c r="AK1131" i="3"/>
  <c r="AJ1131" i="3"/>
  <c r="AJ1106" i="3"/>
  <c r="AJ1105" i="3"/>
  <c r="AK1104" i="3"/>
  <c r="AK1103" i="3"/>
  <c r="AK1102" i="3"/>
  <c r="AK1093" i="3"/>
  <c r="AJ1093" i="3"/>
  <c r="AK1092" i="3"/>
  <c r="AJ1070" i="3"/>
  <c r="AJ1067" i="3"/>
  <c r="AK1066" i="3"/>
  <c r="AJ1066" i="3"/>
  <c r="AJ1134" i="3"/>
  <c r="AJ1135" i="3"/>
  <c r="AJ1107" i="3"/>
  <c r="AK1107" i="3"/>
  <c r="Z1107" i="3" s="1"/>
  <c r="AJ1110" i="3"/>
  <c r="AK1110" i="3"/>
  <c r="AJ1111" i="3"/>
  <c r="AK1111" i="3"/>
  <c r="AJ1133" i="3"/>
  <c r="AN852" i="3"/>
  <c r="AN1149" i="3"/>
  <c r="AM1149" i="3"/>
  <c r="AN1129" i="3"/>
  <c r="Z1129" i="3" s="1"/>
  <c r="AM1129" i="3"/>
  <c r="AN1128" i="3"/>
  <c r="AM1128" i="3"/>
  <c r="AN1108" i="3"/>
  <c r="AM1108" i="3"/>
  <c r="AN1034" i="3"/>
  <c r="AM1034" i="3"/>
  <c r="AN1078" i="3"/>
  <c r="AM1078" i="3"/>
  <c r="AN1127" i="3"/>
  <c r="AM1127" i="3"/>
  <c r="AN1126" i="3"/>
  <c r="Z1126" i="3" s="1"/>
  <c r="AM1126" i="3"/>
  <c r="AN1080" i="3"/>
  <c r="AM1080" i="3"/>
  <c r="AN1125" i="3"/>
  <c r="AM1125" i="3"/>
  <c r="AN1124" i="3"/>
  <c r="AM1124" i="3"/>
  <c r="AN1123" i="3"/>
  <c r="Z1123" i="3" s="1"/>
  <c r="AM1123" i="3"/>
  <c r="AN1079" i="3"/>
  <c r="AM1079" i="3"/>
  <c r="AN1033" i="3"/>
  <c r="AM1033" i="3"/>
  <c r="AN1082" i="3"/>
  <c r="AM1082" i="3"/>
  <c r="AN1148" i="3"/>
  <c r="AM1148" i="3"/>
  <c r="AN1130" i="3"/>
  <c r="AM1130" i="3"/>
  <c r="AN1036" i="3"/>
  <c r="AM1036" i="3"/>
  <c r="AN1035" i="3"/>
  <c r="AM1035" i="3"/>
  <c r="AN1061" i="3"/>
  <c r="AM1061" i="3"/>
  <c r="AN1060" i="3"/>
  <c r="AM1060" i="3"/>
  <c r="AN1059" i="3"/>
  <c r="AM1059" i="3"/>
  <c r="AN1063" i="3"/>
  <c r="AM1063" i="3"/>
  <c r="AN1062" i="3"/>
  <c r="AM1062" i="3"/>
  <c r="AN1038" i="3"/>
  <c r="AM1038" i="3"/>
  <c r="AN1037" i="3"/>
  <c r="AM1037" i="3"/>
  <c r="AN1030" i="3"/>
  <c r="AM1030" i="3"/>
  <c r="AN1029" i="3"/>
  <c r="AM1029" i="3"/>
  <c r="AN1028" i="3"/>
  <c r="AM1028" i="3"/>
  <c r="AN1027" i="3"/>
  <c r="AM1027" i="3"/>
  <c r="AN1115" i="3"/>
  <c r="AM1115" i="3"/>
  <c r="AN1114" i="3"/>
  <c r="AM1114" i="3"/>
  <c r="AN1113" i="3"/>
  <c r="AM1113" i="3"/>
  <c r="AN1081" i="3"/>
  <c r="AM1081" i="3"/>
  <c r="AN1143" i="3"/>
  <c r="AN1142" i="3"/>
  <c r="AM1142" i="3"/>
  <c r="AN1141" i="3"/>
  <c r="Z1141" i="3" s="1"/>
  <c r="AM1141" i="3"/>
  <c r="AN1121" i="3"/>
  <c r="AM1121" i="3"/>
  <c r="AN1120" i="3"/>
  <c r="AM1120" i="3"/>
  <c r="AN1119" i="3"/>
  <c r="Z1119" i="3" s="1"/>
  <c r="AM1119" i="3"/>
  <c r="AN1118" i="3"/>
  <c r="AM1118" i="3"/>
  <c r="AN1117" i="3"/>
  <c r="AM1117" i="3"/>
  <c r="AN1116" i="3"/>
  <c r="AM1116" i="3"/>
  <c r="AN1040" i="3"/>
  <c r="AM1040" i="3"/>
  <c r="AN1039" i="3"/>
  <c r="AM1039" i="3"/>
  <c r="AN1132" i="3"/>
  <c r="Z1132" i="3" s="1"/>
  <c r="AM1132" i="3"/>
  <c r="AN1131" i="3"/>
  <c r="AM1131" i="3"/>
  <c r="AN1106" i="3"/>
  <c r="Z1106" i="3" s="1"/>
  <c r="AM1106" i="3"/>
  <c r="AN1105" i="3"/>
  <c r="AM1105" i="3"/>
  <c r="AN1104" i="3"/>
  <c r="AM1104" i="3"/>
  <c r="AN1103" i="3"/>
  <c r="AM1103" i="3"/>
  <c r="AN1102" i="3"/>
  <c r="AM1102" i="3"/>
  <c r="AN1098" i="3"/>
  <c r="AM1098" i="3"/>
  <c r="AN1097" i="3"/>
  <c r="AM1097" i="3"/>
  <c r="AN1096" i="3"/>
  <c r="Z1096" i="3" s="1"/>
  <c r="AM1096" i="3"/>
  <c r="AN1095" i="3"/>
  <c r="AM1095" i="3"/>
  <c r="AN1094" i="3"/>
  <c r="AM1094" i="3"/>
  <c r="AN1093" i="3"/>
  <c r="AN1092" i="3"/>
  <c r="AM1092" i="3"/>
  <c r="AN1091" i="3"/>
  <c r="AM1091" i="3"/>
  <c r="AN1090" i="3"/>
  <c r="AM1090" i="3"/>
  <c r="AN1075" i="3"/>
  <c r="AM1075" i="3"/>
  <c r="AN1074" i="3"/>
  <c r="AM1074" i="3"/>
  <c r="AN1073" i="3"/>
  <c r="AM1073" i="3"/>
  <c r="AN1072" i="3"/>
  <c r="AM1072" i="3"/>
  <c r="AN1071" i="3"/>
  <c r="AM1071" i="3"/>
  <c r="AN1070" i="3"/>
  <c r="AM1070" i="3"/>
  <c r="AN1069" i="3"/>
  <c r="AM1069" i="3"/>
  <c r="AN1068" i="3"/>
  <c r="AM1068" i="3"/>
  <c r="AN1067" i="3"/>
  <c r="AM1067" i="3"/>
  <c r="AN1066" i="3"/>
  <c r="AM1066" i="3"/>
  <c r="AN1057" i="3"/>
  <c r="AM1057" i="3"/>
  <c r="AN1054" i="3"/>
  <c r="AM1054" i="3"/>
  <c r="AN1053" i="3"/>
  <c r="AM1053" i="3"/>
  <c r="AN1052" i="3"/>
  <c r="AM1052" i="3"/>
  <c r="AN1051" i="3"/>
  <c r="AM1051" i="3"/>
  <c r="AN1050" i="3"/>
  <c r="AM1050" i="3"/>
  <c r="AN1043" i="3"/>
  <c r="AM1043" i="3"/>
  <c r="AN1032" i="3"/>
  <c r="AM1032" i="3"/>
  <c r="AN1031" i="3"/>
  <c r="AM1031" i="3"/>
  <c r="AN1111" i="3"/>
  <c r="AM1111" i="3"/>
  <c r="AN1110" i="3"/>
  <c r="AM1110" i="3"/>
  <c r="AN1107" i="3"/>
  <c r="AM1107" i="3"/>
  <c r="AN1135" i="3"/>
  <c r="AM1135" i="3"/>
  <c r="AN1134" i="3"/>
  <c r="AM1134" i="3"/>
  <c r="AN1133" i="3"/>
  <c r="AM1133" i="3"/>
  <c r="AN1024" i="3"/>
  <c r="AM1024" i="3"/>
  <c r="AN1023" i="3"/>
  <c r="AM1023" i="3"/>
  <c r="AN1022" i="3"/>
  <c r="AM1022" i="3"/>
  <c r="AN1021" i="3"/>
  <c r="AM1021" i="3"/>
  <c r="AN1020" i="3"/>
  <c r="AM1020" i="3"/>
  <c r="AN1019" i="3"/>
  <c r="AM1019" i="3"/>
  <c r="AN1018" i="3"/>
  <c r="AM1018" i="3"/>
  <c r="AN1017" i="3"/>
  <c r="AM1017" i="3"/>
  <c r="AN1016" i="3"/>
  <c r="AM1016" i="3"/>
  <c r="AN1011" i="3"/>
  <c r="AN1010" i="3"/>
  <c r="AM1010" i="3"/>
  <c r="AN1009" i="3"/>
  <c r="AM1009" i="3"/>
  <c r="AN1008" i="3"/>
  <c r="AM1008" i="3"/>
  <c r="AN1007" i="3"/>
  <c r="AM1007" i="3"/>
  <c r="AN1006" i="3"/>
  <c r="AM1006" i="3"/>
  <c r="AN1005" i="3"/>
  <c r="AM1005" i="3"/>
  <c r="AN1003" i="3"/>
  <c r="AM1003" i="3"/>
  <c r="AN1002" i="3"/>
  <c r="AM1002" i="3"/>
  <c r="AN1001" i="3"/>
  <c r="AM1001" i="3"/>
  <c r="AN1000" i="3"/>
  <c r="AM1000" i="3"/>
  <c r="AN999" i="3"/>
  <c r="AM999" i="3"/>
  <c r="AN998" i="3"/>
  <c r="AM998" i="3"/>
  <c r="AN994" i="3"/>
  <c r="AM994" i="3"/>
  <c r="AN993" i="3"/>
  <c r="AM993" i="3"/>
  <c r="AN980" i="3"/>
  <c r="AM980" i="3"/>
  <c r="AN979" i="3"/>
  <c r="AM979" i="3"/>
  <c r="AN978" i="3"/>
  <c r="AM978" i="3"/>
  <c r="AN977" i="3"/>
  <c r="AM977" i="3"/>
  <c r="AN976" i="3"/>
  <c r="AM976" i="3"/>
  <c r="AN975" i="3"/>
  <c r="AM975" i="3"/>
  <c r="AN919" i="3"/>
  <c r="AM919" i="3"/>
  <c r="AN918" i="3"/>
  <c r="AM918" i="3"/>
  <c r="AN917" i="3"/>
  <c r="AM917" i="3"/>
  <c r="AN916" i="3"/>
  <c r="AM916" i="3"/>
  <c r="AN915" i="3"/>
  <c r="AM915" i="3"/>
  <c r="AN914" i="3"/>
  <c r="AM914" i="3"/>
  <c r="AN913" i="3"/>
  <c r="AM913" i="3"/>
  <c r="AN971" i="3"/>
  <c r="AM971" i="3"/>
  <c r="AN970" i="3"/>
  <c r="AM970" i="3"/>
  <c r="AN969" i="3"/>
  <c r="AM969" i="3"/>
  <c r="AN963" i="3"/>
  <c r="AM963" i="3"/>
  <c r="AN962" i="3"/>
  <c r="AM962" i="3"/>
  <c r="AN961" i="3"/>
  <c r="AM961" i="3"/>
  <c r="AN960" i="3"/>
  <c r="AN959" i="3"/>
  <c r="AM959" i="3"/>
  <c r="AN958" i="3"/>
  <c r="AM958" i="3"/>
  <c r="AM957" i="3"/>
  <c r="AN956" i="3"/>
  <c r="AM956" i="3"/>
  <c r="AN955" i="3"/>
  <c r="AM955" i="3"/>
  <c r="AM954" i="3"/>
  <c r="AN953" i="3"/>
  <c r="AM953" i="3"/>
  <c r="AN952" i="3"/>
  <c r="AM952" i="3"/>
  <c r="AN951" i="3"/>
  <c r="AM951" i="3"/>
  <c r="AN950" i="3"/>
  <c r="AM950" i="3"/>
  <c r="AN949" i="3"/>
  <c r="AM949" i="3"/>
  <c r="AN943" i="3"/>
  <c r="AM943" i="3"/>
  <c r="AN942" i="3"/>
  <c r="AM942" i="3"/>
  <c r="AN941" i="3"/>
  <c r="AM941" i="3"/>
  <c r="AN940" i="3"/>
  <c r="AM940" i="3"/>
  <c r="AN937" i="3"/>
  <c r="AN936" i="3"/>
  <c r="AM936" i="3"/>
  <c r="AN927" i="3"/>
  <c r="AM927" i="3"/>
  <c r="AN926" i="3"/>
  <c r="AM926" i="3"/>
  <c r="AM925" i="3"/>
  <c r="AM924" i="3"/>
  <c r="AM923" i="3"/>
  <c r="AM922" i="3"/>
  <c r="AM921" i="3"/>
  <c r="AN920" i="3"/>
  <c r="AN901" i="3"/>
  <c r="AM901" i="3"/>
  <c r="AN900" i="3"/>
  <c r="AM900" i="3"/>
  <c r="AN893" i="3"/>
  <c r="AM893" i="3"/>
  <c r="AN892" i="3"/>
  <c r="AM892" i="3"/>
  <c r="AN891" i="3"/>
  <c r="AM891" i="3"/>
  <c r="AN890" i="3"/>
  <c r="AM890" i="3"/>
  <c r="AN889" i="3"/>
  <c r="AM889" i="3"/>
  <c r="AN888" i="3"/>
  <c r="AM888" i="3"/>
  <c r="AN882" i="3"/>
  <c r="AM882" i="3"/>
  <c r="AN881" i="3"/>
  <c r="AM881" i="3"/>
  <c r="AM864" i="3"/>
  <c r="AN863" i="3"/>
  <c r="AM863" i="3"/>
  <c r="AN862" i="3"/>
  <c r="AU862" i="3" s="1"/>
  <c r="AM862" i="3"/>
  <c r="AM861" i="3"/>
  <c r="AM860" i="3"/>
  <c r="AM859" i="3"/>
  <c r="AM858" i="3"/>
  <c r="AN854" i="3"/>
  <c r="AM854" i="3"/>
  <c r="AN851" i="3"/>
  <c r="AM851" i="3"/>
  <c r="AM822" i="3"/>
  <c r="AN822" i="3"/>
  <c r="AM821" i="3"/>
  <c r="AN821" i="3"/>
  <c r="W93" i="122"/>
  <c r="U1256" i="3"/>
  <c r="V1256" i="3" s="1"/>
  <c r="BH1256" i="3"/>
  <c r="AC1256" i="3"/>
  <c r="Z1256" i="3"/>
  <c r="F1256" i="3" a="1"/>
  <c r="C1256" i="3"/>
  <c r="F1316" i="3" a="1"/>
  <c r="F1296" i="3" a="1"/>
  <c r="F1254" i="3" a="1"/>
  <c r="AN1254" i="3"/>
  <c r="AJ1254" i="3"/>
  <c r="AK1254" i="3"/>
  <c r="BH1254" i="3"/>
  <c r="AC1254" i="3"/>
  <c r="V1254" i="3"/>
  <c r="C1254" i="3"/>
  <c r="F1270" i="3" a="1"/>
  <c r="AN1270" i="3"/>
  <c r="AJ1270" i="3"/>
  <c r="AK1270" i="3"/>
  <c r="BH1270" i="3"/>
  <c r="AC1270" i="3"/>
  <c r="V1270" i="3"/>
  <c r="C1270" i="3"/>
  <c r="F259" i="70" a="1"/>
  <c r="F258" i="70" a="1"/>
  <c r="F257" i="70" a="1"/>
  <c r="F256" i="70" a="1"/>
  <c r="F255" i="70" a="1"/>
  <c r="F254" i="70" a="1"/>
  <c r="F253" i="70" a="1"/>
  <c r="F252" i="70" a="1"/>
  <c r="F241" i="70" a="1"/>
  <c r="F223" i="70" a="1"/>
  <c r="F222" i="70" a="1"/>
  <c r="F221" i="70" a="1"/>
  <c r="F220" i="70" a="1"/>
  <c r="F219" i="70" a="1"/>
  <c r="F218" i="70" a="1"/>
  <c r="F250" i="70" a="1"/>
  <c r="F249" i="70" a="1"/>
  <c r="F248" i="70" a="1"/>
  <c r="F247" i="70" a="1"/>
  <c r="F246" i="70" a="1"/>
  <c r="F245" i="70" a="1"/>
  <c r="F244" i="70" a="1"/>
  <c r="F243" i="70" a="1"/>
  <c r="F251" i="70" a="1"/>
  <c r="U1119" i="3"/>
  <c r="Y44" i="122"/>
  <c r="Z44" i="122"/>
  <c r="AA44" i="122"/>
  <c r="AB44" i="122"/>
  <c r="Y40" i="122"/>
  <c r="Z40" i="122"/>
  <c r="AA40" i="122"/>
  <c r="AB40" i="122"/>
  <c r="Y36" i="122"/>
  <c r="Z36" i="122"/>
  <c r="AA36" i="122"/>
  <c r="AB36" i="122"/>
  <c r="Y32" i="122"/>
  <c r="Z32" i="122"/>
  <c r="AA32" i="122"/>
  <c r="AB32" i="122"/>
  <c r="Y28" i="122"/>
  <c r="AB28" i="122"/>
  <c r="Y20" i="122"/>
  <c r="Z20" i="122"/>
  <c r="AA20" i="122"/>
  <c r="AB20" i="122"/>
  <c r="Y16" i="122"/>
  <c r="Z16" i="122"/>
  <c r="AA16" i="122"/>
  <c r="AB16" i="122"/>
  <c r="Y12" i="122"/>
  <c r="Z12" i="122"/>
  <c r="AA12" i="122"/>
  <c r="AB12" i="122"/>
  <c r="Y8" i="122"/>
  <c r="Y4" i="122"/>
  <c r="Y24" i="122" s="1"/>
  <c r="Z4" i="122"/>
  <c r="AA4" i="122"/>
  <c r="AB4" i="122"/>
  <c r="Y47" i="122"/>
  <c r="AB47" i="122"/>
  <c r="Y23" i="122"/>
  <c r="U241" i="70"/>
  <c r="F1145" i="3" a="1"/>
  <c r="BH1145" i="3"/>
  <c r="BG1145" i="3"/>
  <c r="BF1145" i="3"/>
  <c r="BE1145" i="3"/>
  <c r="W1145" i="3" s="1"/>
  <c r="AC1145" i="3"/>
  <c r="Z1145" i="3"/>
  <c r="V1145" i="3"/>
  <c r="C1145" i="3"/>
  <c r="AB7" i="122"/>
  <c r="AA7" i="122"/>
  <c r="Z7" i="122"/>
  <c r="AA27" i="122"/>
  <c r="Z27" i="122"/>
  <c r="T27" i="122"/>
  <c r="T7" i="122"/>
  <c r="BH1314" i="3"/>
  <c r="BH1316" i="3"/>
  <c r="AC1314" i="3"/>
  <c r="AC1316" i="3"/>
  <c r="Z1314" i="3"/>
  <c r="Z1316" i="3"/>
  <c r="C1314" i="3"/>
  <c r="C1316" i="3"/>
  <c r="BH1306" i="3"/>
  <c r="BH1310" i="3"/>
  <c r="AC1306" i="3"/>
  <c r="AC1310" i="3"/>
  <c r="Z1306" i="3"/>
  <c r="Z1310" i="3"/>
  <c r="C1306" i="3"/>
  <c r="C1310" i="3"/>
  <c r="BH1296" i="3"/>
  <c r="AC1296" i="3"/>
  <c r="Z1296" i="3"/>
  <c r="C1296" i="3"/>
  <c r="U27" i="122"/>
  <c r="V27" i="122"/>
  <c r="V47" i="122" s="1"/>
  <c r="BH1293" i="3"/>
  <c r="AC1293" i="3"/>
  <c r="Z1293" i="3"/>
  <c r="C1293" i="3"/>
  <c r="BH1291" i="3"/>
  <c r="BH1292" i="3"/>
  <c r="AC1291" i="3"/>
  <c r="AC1292" i="3"/>
  <c r="Z1291" i="3"/>
  <c r="Z1292" i="3"/>
  <c r="C1291" i="3"/>
  <c r="C1292" i="3"/>
  <c r="BH1276" i="3"/>
  <c r="BH1283" i="3"/>
  <c r="AC1276" i="3"/>
  <c r="AC1283" i="3"/>
  <c r="Z1276" i="3"/>
  <c r="Z1283" i="3"/>
  <c r="C1276" i="3"/>
  <c r="C1283" i="3"/>
  <c r="Y93" i="122"/>
  <c r="Z93" i="122"/>
  <c r="AA93" i="122"/>
  <c r="AB93" i="122"/>
  <c r="Y73" i="122"/>
  <c r="Z73" i="122"/>
  <c r="AA73" i="122"/>
  <c r="AB73" i="122"/>
  <c r="AB139" i="122"/>
  <c r="AA139" i="122"/>
  <c r="Z139" i="122"/>
  <c r="Y139" i="122"/>
  <c r="Y119" i="122"/>
  <c r="Z119" i="122"/>
  <c r="AA119" i="122"/>
  <c r="AB119" i="122"/>
  <c r="W27" i="122"/>
  <c r="W47" i="122" s="1"/>
  <c r="BH1275" i="3"/>
  <c r="AC1275" i="3"/>
  <c r="Z1275" i="3"/>
  <c r="C1275" i="3"/>
  <c r="W7" i="122"/>
  <c r="W23" i="122" s="1"/>
  <c r="BH1274" i="3"/>
  <c r="AC1274" i="3"/>
  <c r="Z1274" i="3"/>
  <c r="C1274" i="3"/>
  <c r="W139" i="122"/>
  <c r="BH1126" i="3"/>
  <c r="BG1126" i="3"/>
  <c r="BF1126" i="3"/>
  <c r="X1126" i="3" s="1"/>
  <c r="BE1126" i="3"/>
  <c r="W1126" i="3" s="1"/>
  <c r="AX1126" i="3"/>
  <c r="AY1126" i="3" s="1"/>
  <c r="AC1126" i="3"/>
  <c r="V1126" i="3"/>
  <c r="F1126" i="3" a="1"/>
  <c r="C1126" i="3"/>
  <c r="U259" i="70"/>
  <c r="BC259" i="70"/>
  <c r="AV259" i="70"/>
  <c r="AW259" i="70" s="1"/>
  <c r="AS259" i="70"/>
  <c r="AA259" i="70"/>
  <c r="X259" i="70"/>
  <c r="C259" i="70"/>
  <c r="U231" i="70"/>
  <c r="BC236" i="70"/>
  <c r="BC237" i="70"/>
  <c r="AV236" i="70"/>
  <c r="AW236" i="70" s="1"/>
  <c r="AV237" i="70"/>
  <c r="AW237" i="70" s="1"/>
  <c r="AS236" i="70"/>
  <c r="AS237" i="70"/>
  <c r="AA236" i="70"/>
  <c r="AA237" i="70"/>
  <c r="X236" i="70"/>
  <c r="X237" i="70"/>
  <c r="C236" i="70"/>
  <c r="C237" i="70"/>
  <c r="BC241" i="70"/>
  <c r="BC242" i="70"/>
  <c r="AV241" i="70"/>
  <c r="AW241" i="70" s="1"/>
  <c r="AV242" i="70"/>
  <c r="AW242" i="70" s="1"/>
  <c r="AS241" i="70"/>
  <c r="AS242" i="70"/>
  <c r="AA241" i="70"/>
  <c r="AA242" i="70"/>
  <c r="X241" i="70"/>
  <c r="X242" i="70"/>
  <c r="C241" i="70"/>
  <c r="C242" i="70"/>
  <c r="U232" i="70"/>
  <c r="BC234" i="70"/>
  <c r="AV234" i="70"/>
  <c r="AW234" i="70" s="1"/>
  <c r="AS234" i="70"/>
  <c r="AA234" i="70"/>
  <c r="X234" i="70"/>
  <c r="C234" i="70"/>
  <c r="BC235" i="70"/>
  <c r="AV235" i="70"/>
  <c r="AW235" i="70" s="1"/>
  <c r="AS235" i="70"/>
  <c r="AA235" i="70"/>
  <c r="X235" i="70"/>
  <c r="C235" i="70"/>
  <c r="BC232" i="70"/>
  <c r="AV232" i="70"/>
  <c r="AW232" i="70" s="1"/>
  <c r="AS232" i="70"/>
  <c r="AA232" i="70"/>
  <c r="X232" i="70"/>
  <c r="C232" i="70"/>
  <c r="BC233" i="70"/>
  <c r="AV233" i="70"/>
  <c r="AW233" i="70" s="1"/>
  <c r="AS233" i="70"/>
  <c r="AA233" i="70"/>
  <c r="X233" i="70"/>
  <c r="C233" i="70"/>
  <c r="U219" i="70"/>
  <c r="U220" i="70"/>
  <c r="U221" i="70"/>
  <c r="U222" i="70"/>
  <c r="U223" i="70"/>
  <c r="U218" i="70"/>
  <c r="X219" i="70"/>
  <c r="C218" i="70"/>
  <c r="X218" i="70"/>
  <c r="AA218" i="70"/>
  <c r="AS218" i="70"/>
  <c r="AV218" i="70"/>
  <c r="AW218" i="70" s="1"/>
  <c r="BC218" i="70"/>
  <c r="C223" i="70"/>
  <c r="X223" i="70"/>
  <c r="AA223" i="70"/>
  <c r="AS223" i="70"/>
  <c r="AV223" i="70"/>
  <c r="AW223" i="70" s="1"/>
  <c r="BC223" i="70"/>
  <c r="AM760" i="3"/>
  <c r="AN711" i="3"/>
  <c r="BH1119" i="3"/>
  <c r="BG1119" i="3"/>
  <c r="BF1119" i="3"/>
  <c r="BE1119" i="3"/>
  <c r="AZ1119" i="3"/>
  <c r="AX1119" i="3"/>
  <c r="AY1119" i="3" s="1"/>
  <c r="AC1119" i="3"/>
  <c r="F1119" i="3" a="1"/>
  <c r="C1119" i="3"/>
  <c r="F1123" i="3" a="1"/>
  <c r="AX1123" i="3"/>
  <c r="AY1123" i="3" s="1"/>
  <c r="BH1123" i="3"/>
  <c r="BG1123" i="3"/>
  <c r="BF1123" i="3"/>
  <c r="X1123" i="3" s="1"/>
  <c r="BE1123" i="3"/>
  <c r="W1123" i="3" s="1"/>
  <c r="AC1123" i="3"/>
  <c r="V1123" i="3"/>
  <c r="C1123" i="3"/>
  <c r="AN930" i="3"/>
  <c r="AN931" i="3"/>
  <c r="AN932" i="3"/>
  <c r="AN933" i="3"/>
  <c r="C1096" i="3"/>
  <c r="F1096" i="3" a="1"/>
  <c r="V1096" i="3"/>
  <c r="W1096" i="3"/>
  <c r="AC1096" i="3"/>
  <c r="AX1096" i="3"/>
  <c r="AY1096" i="3" s="1"/>
  <c r="AZ1096" i="3"/>
  <c r="BE1096" i="3"/>
  <c r="BF1096" i="3"/>
  <c r="X1096" i="3" s="1"/>
  <c r="BG1096" i="3"/>
  <c r="BH1096" i="3"/>
  <c r="F1135" i="3" a="1"/>
  <c r="C848" i="3"/>
  <c r="F848" i="3" a="1"/>
  <c r="U848" i="3"/>
  <c r="V848" i="3" s="1"/>
  <c r="Z848" i="3"/>
  <c r="AC848" i="3"/>
  <c r="AU848" i="3"/>
  <c r="AX848" i="3"/>
  <c r="AY848" i="3" s="1"/>
  <c r="BE848" i="3"/>
  <c r="BF848" i="3"/>
  <c r="BG848" i="3"/>
  <c r="BH848" i="3"/>
  <c r="U1102" i="3"/>
  <c r="V1102" i="3" s="1"/>
  <c r="AN739" i="3"/>
  <c r="AM739" i="3"/>
  <c r="BH1106" i="3"/>
  <c r="BG1106" i="3"/>
  <c r="BF1106" i="3"/>
  <c r="X1106" i="3" s="1"/>
  <c r="BE1106" i="3"/>
  <c r="W1106" i="3" s="1"/>
  <c r="AX1106" i="3"/>
  <c r="AY1106" i="3" s="1"/>
  <c r="AC1106" i="3"/>
  <c r="V1106" i="3"/>
  <c r="F1106" i="3" a="1"/>
  <c r="C1106" i="3"/>
  <c r="AJ1035" i="3"/>
  <c r="AK1035" i="3"/>
  <c r="AK1057" i="3"/>
  <c r="AJ1032" i="3"/>
  <c r="AJ1031" i="3"/>
  <c r="AA173" i="70"/>
  <c r="AJ1028" i="3"/>
  <c r="AK1028" i="3"/>
  <c r="AJ1029" i="3"/>
  <c r="AK1029" i="3"/>
  <c r="AJ1027" i="3"/>
  <c r="AJ1113" i="3"/>
  <c r="AJ1081" i="3"/>
  <c r="AJ1040" i="3"/>
  <c r="AK1040" i="3"/>
  <c r="AJ1039" i="3"/>
  <c r="AK1039" i="3"/>
  <c r="AJ1068" i="3"/>
  <c r="AK1068" i="3"/>
  <c r="AJ1069" i="3"/>
  <c r="AK1069" i="3"/>
  <c r="AK1054" i="3"/>
  <c r="AJ1054" i="3"/>
  <c r="AJ1052" i="3"/>
  <c r="AK1112" i="3"/>
  <c r="AK1031" i="3"/>
  <c r="AK1032" i="3"/>
  <c r="AK1043" i="3"/>
  <c r="BH1132" i="3"/>
  <c r="BG1132" i="3"/>
  <c r="BF1132" i="3"/>
  <c r="X1132" i="3" s="1"/>
  <c r="BE1132" i="3"/>
  <c r="W1132" i="3" s="1"/>
  <c r="AX1132" i="3"/>
  <c r="AY1132" i="3" s="1"/>
  <c r="AC1132" i="3"/>
  <c r="V1132" i="3"/>
  <c r="F1132" i="3" a="1"/>
  <c r="C1132" i="3"/>
  <c r="F1110" i="3" a="1"/>
  <c r="AX1110" i="3"/>
  <c r="AY1110" i="3" s="1"/>
  <c r="BH1110" i="3"/>
  <c r="BG1110" i="3"/>
  <c r="BF1110" i="3"/>
  <c r="X1110" i="3" s="1"/>
  <c r="BE1110" i="3"/>
  <c r="W1110" i="3" s="1"/>
  <c r="AC1110" i="3"/>
  <c r="V1110" i="3"/>
  <c r="C1110" i="3"/>
  <c r="F1107" i="3" a="1"/>
  <c r="AX1107" i="3"/>
  <c r="AY1107" i="3" s="1"/>
  <c r="BH1107" i="3"/>
  <c r="BG1107" i="3"/>
  <c r="BF1107" i="3"/>
  <c r="X1107" i="3" s="1"/>
  <c r="BE1107" i="3"/>
  <c r="W1107" i="3" s="1"/>
  <c r="AC1107" i="3"/>
  <c r="V1107" i="3"/>
  <c r="C1107" i="3"/>
  <c r="F1129" i="3" a="1"/>
  <c r="AX1129" i="3"/>
  <c r="AY1129" i="3" s="1"/>
  <c r="X1129" i="3"/>
  <c r="BH1129" i="3"/>
  <c r="BG1129" i="3"/>
  <c r="AC1129" i="3"/>
  <c r="W1129" i="3"/>
  <c r="V1129" i="3"/>
  <c r="C1129" i="3"/>
  <c r="BH1089" i="3"/>
  <c r="BG1089" i="3"/>
  <c r="BF1089" i="3"/>
  <c r="BE1089" i="3"/>
  <c r="AX1089" i="3"/>
  <c r="AY1089" i="3" s="1"/>
  <c r="AN1089" i="3"/>
  <c r="AC1089" i="3"/>
  <c r="F1089" i="3" a="1"/>
  <c r="C1089" i="3"/>
  <c r="BH1141" i="3"/>
  <c r="BG1141" i="3"/>
  <c r="BF1141" i="3"/>
  <c r="X1141" i="3" s="1"/>
  <c r="BE1141" i="3"/>
  <c r="W1141" i="3" s="1"/>
  <c r="AC1141" i="3"/>
  <c r="V1141" i="3"/>
  <c r="F1141" i="3" a="1"/>
  <c r="C1141" i="3"/>
  <c r="AC1080" i="3"/>
  <c r="F189" i="70" a="1"/>
  <c r="F188" i="70" a="1"/>
  <c r="F187" i="70" a="1"/>
  <c r="E42" i="47"/>
  <c r="F186" i="70" a="1"/>
  <c r="U1122" i="3"/>
  <c r="V1122" i="3" s="1"/>
  <c r="U1247" i="3"/>
  <c r="V1247" i="3" s="1"/>
  <c r="F1122" i="3" a="1"/>
  <c r="AX1122" i="3"/>
  <c r="AY1122" i="3" s="1"/>
  <c r="AN1122" i="3"/>
  <c r="BH1122" i="3"/>
  <c r="BG1122" i="3"/>
  <c r="BF1122" i="3"/>
  <c r="BE1122" i="3"/>
  <c r="AC1122" i="3"/>
  <c r="C1122" i="3"/>
  <c r="W1149" i="3"/>
  <c r="U1070" i="3"/>
  <c r="AX1047" i="3"/>
  <c r="AY1047" i="3" s="1"/>
  <c r="AX1087" i="3"/>
  <c r="AY1087" i="3" s="1"/>
  <c r="AX1084" i="3"/>
  <c r="AY1084" i="3" s="1"/>
  <c r="AX1041" i="3"/>
  <c r="AY1041" i="3" s="1"/>
  <c r="U228" i="70"/>
  <c r="U229" i="70"/>
  <c r="U230" i="70"/>
  <c r="U227" i="70"/>
  <c r="AC1034" i="3"/>
  <c r="AC1044" i="3"/>
  <c r="AC1045" i="3"/>
  <c r="AC1046" i="3"/>
  <c r="BC231" i="70"/>
  <c r="AV231" i="70"/>
  <c r="AW231" i="70" s="1"/>
  <c r="AS231" i="70"/>
  <c r="AA231" i="70"/>
  <c r="X231" i="70"/>
  <c r="C231" i="70"/>
  <c r="AM1046" i="3"/>
  <c r="AN1046" i="3"/>
  <c r="F1069" i="3" a="1"/>
  <c r="AX1069" i="3"/>
  <c r="AY1069" i="3" s="1"/>
  <c r="BH1069" i="3"/>
  <c r="BG1069" i="3"/>
  <c r="BF1069" i="3"/>
  <c r="BE1069" i="3"/>
  <c r="AZ1069" i="3"/>
  <c r="AC1069" i="3"/>
  <c r="V1069" i="3"/>
  <c r="C1069" i="3"/>
  <c r="F1095" i="3" a="1"/>
  <c r="AX1095" i="3"/>
  <c r="AY1095" i="3" s="1"/>
  <c r="BH1095" i="3"/>
  <c r="BG1095" i="3"/>
  <c r="BF1095" i="3"/>
  <c r="BE1095" i="3"/>
  <c r="AZ1095" i="3"/>
  <c r="AC1095" i="3"/>
  <c r="V1095" i="3"/>
  <c r="C1095" i="3"/>
  <c r="F1131" i="3" a="1"/>
  <c r="AX1131" i="3"/>
  <c r="AY1131" i="3" s="1"/>
  <c r="BH1131" i="3"/>
  <c r="BG1131" i="3"/>
  <c r="BF1131" i="3"/>
  <c r="BE1131" i="3"/>
  <c r="W1131" i="3" s="1"/>
  <c r="AC1131" i="3"/>
  <c r="Z1131" i="3"/>
  <c r="V1131" i="3"/>
  <c r="C1131" i="3"/>
  <c r="F1120" i="3" a="1"/>
  <c r="AX1120" i="3"/>
  <c r="AY1120" i="3" s="1"/>
  <c r="BH1120" i="3"/>
  <c r="BG1120" i="3"/>
  <c r="BF1120" i="3"/>
  <c r="X1120" i="3" s="1"/>
  <c r="BE1120" i="3"/>
  <c r="W1120" i="3" s="1"/>
  <c r="AC1120" i="3"/>
  <c r="Z1120" i="3"/>
  <c r="V1120" i="3"/>
  <c r="C1120" i="3"/>
  <c r="Z1084" i="3"/>
  <c r="V1084" i="3"/>
  <c r="F1084" i="3" a="1"/>
  <c r="C1084" i="3"/>
  <c r="AC1084" i="3"/>
  <c r="AZ1084" i="3"/>
  <c r="BE1084" i="3"/>
  <c r="W1084" i="3" s="1"/>
  <c r="BF1084" i="3"/>
  <c r="X1084" i="3" s="1"/>
  <c r="BG1084" i="3"/>
  <c r="BH1084" i="3"/>
  <c r="F1066" i="3" a="1"/>
  <c r="V1042" i="3"/>
  <c r="Z1042" i="3"/>
  <c r="AC1042" i="3"/>
  <c r="U1064" i="3"/>
  <c r="V1064" i="3" s="1"/>
  <c r="Z1064" i="3"/>
  <c r="AC1064" i="3"/>
  <c r="U1116" i="3"/>
  <c r="U1017" i="3"/>
  <c r="U1057" i="3"/>
  <c r="AJ1057" i="3"/>
  <c r="F1034" i="3" a="1"/>
  <c r="AX1034" i="3"/>
  <c r="AY1034" i="3" s="1"/>
  <c r="AK1034" i="3"/>
  <c r="BH1034" i="3"/>
  <c r="BG1034" i="3"/>
  <c r="BF1034" i="3"/>
  <c r="X1034" i="3" s="1"/>
  <c r="BE1034" i="3"/>
  <c r="W1034" i="3" s="1"/>
  <c r="V1034" i="3"/>
  <c r="C1034" i="3"/>
  <c r="E27" i="47"/>
  <c r="V1117" i="3"/>
  <c r="F1117" i="3" a="1"/>
  <c r="AX1117" i="3"/>
  <c r="AY1117" i="3" s="1"/>
  <c r="BH1117" i="3"/>
  <c r="BG1117" i="3"/>
  <c r="BF1117" i="3"/>
  <c r="BE1117" i="3"/>
  <c r="AZ1117" i="3"/>
  <c r="AC1117" i="3"/>
  <c r="C1117" i="3"/>
  <c r="W1092" i="3"/>
  <c r="F1092" i="3" a="1"/>
  <c r="AX1092" i="3"/>
  <c r="AY1092" i="3" s="1"/>
  <c r="BH1092" i="3"/>
  <c r="BG1092" i="3"/>
  <c r="BF1092" i="3"/>
  <c r="BE1092" i="3"/>
  <c r="AZ1092" i="3"/>
  <c r="AC1092" i="3"/>
  <c r="V1092" i="3"/>
  <c r="C1092" i="3"/>
  <c r="F1105" i="3" a="1"/>
  <c r="AX1105" i="3"/>
  <c r="AY1105" i="3" s="1"/>
  <c r="BH1105" i="3"/>
  <c r="BG1105" i="3"/>
  <c r="BF1105" i="3"/>
  <c r="X1105" i="3" s="1"/>
  <c r="BE1105" i="3"/>
  <c r="W1105" i="3" s="1"/>
  <c r="AC1105" i="3"/>
  <c r="V1105" i="3"/>
  <c r="C1105" i="3"/>
  <c r="U1093" i="3"/>
  <c r="V1093" i="3" s="1"/>
  <c r="U1098" i="3"/>
  <c r="W1098" i="3" s="1"/>
  <c r="U1090" i="3"/>
  <c r="F1093" i="3" a="1"/>
  <c r="F1098" i="3" a="1"/>
  <c r="AX1098" i="3"/>
  <c r="AY1098" i="3" s="1"/>
  <c r="AX1093" i="3"/>
  <c r="AY1093" i="3" s="1"/>
  <c r="BH1098" i="3"/>
  <c r="BH1093" i="3"/>
  <c r="BG1098" i="3"/>
  <c r="BG1093" i="3"/>
  <c r="BF1098" i="3"/>
  <c r="BF1093" i="3"/>
  <c r="BE1098" i="3"/>
  <c r="BE1093" i="3"/>
  <c r="AZ1098" i="3"/>
  <c r="AZ1093" i="3"/>
  <c r="AC1098" i="3"/>
  <c r="AC1093" i="3"/>
  <c r="C1098" i="3"/>
  <c r="C1093" i="3"/>
  <c r="BH1097" i="3"/>
  <c r="BG1097" i="3"/>
  <c r="BF1097" i="3"/>
  <c r="BE1097" i="3"/>
  <c r="AZ1097" i="3"/>
  <c r="AX1097" i="3"/>
  <c r="AY1097" i="3" s="1"/>
  <c r="AC1097" i="3"/>
  <c r="F1097" i="3" a="1"/>
  <c r="C1097" i="3"/>
  <c r="F1171" i="3" a="1"/>
  <c r="BH1171" i="3"/>
  <c r="AN1171" i="3"/>
  <c r="AK1171" i="3"/>
  <c r="AC1171" i="3"/>
  <c r="C1171" i="3"/>
  <c r="F1169" i="3" a="1"/>
  <c r="BH1169" i="3"/>
  <c r="AN1169" i="3"/>
  <c r="AK1169" i="3"/>
  <c r="AC1169" i="3"/>
  <c r="C1169" i="3"/>
  <c r="U1066" i="3"/>
  <c r="V1066" i="3" s="1"/>
  <c r="BH1043" i="3"/>
  <c r="BG1043" i="3"/>
  <c r="BF1043" i="3"/>
  <c r="BE1043" i="3"/>
  <c r="AZ1043" i="3"/>
  <c r="AX1043" i="3"/>
  <c r="AY1043" i="3" s="1"/>
  <c r="AC1043" i="3"/>
  <c r="U1043" i="3"/>
  <c r="F1043" i="3" a="1"/>
  <c r="C1043" i="3"/>
  <c r="V1108" i="3"/>
  <c r="U1081" i="3"/>
  <c r="F1170" i="3" a="1"/>
  <c r="AX1054" i="3"/>
  <c r="AY1054" i="3" s="1"/>
  <c r="BH1170" i="3"/>
  <c r="AC1170" i="3"/>
  <c r="Z1170" i="3"/>
  <c r="C1170" i="3"/>
  <c r="AM761" i="3"/>
  <c r="AM711" i="3"/>
  <c r="AM706" i="3"/>
  <c r="AU706" i="3" s="1"/>
  <c r="AM846" i="3"/>
  <c r="AN688" i="3"/>
  <c r="AN689" i="3"/>
  <c r="AN685" i="3"/>
  <c r="AN682" i="3"/>
  <c r="AN683" i="3"/>
  <c r="AJ977" i="3"/>
  <c r="F1061" i="3" a="1"/>
  <c r="F1060" i="3" a="1"/>
  <c r="AK1060" i="3"/>
  <c r="AX1060" i="3"/>
  <c r="AY1060" i="3" s="1"/>
  <c r="AJ1061" i="3"/>
  <c r="AK1061" i="3"/>
  <c r="AX1061" i="3"/>
  <c r="AY1061" i="3" s="1"/>
  <c r="BH1060" i="3"/>
  <c r="BG1060" i="3"/>
  <c r="BF1060" i="3"/>
  <c r="X1060" i="3" s="1"/>
  <c r="BE1060" i="3"/>
  <c r="W1060" i="3" s="1"/>
  <c r="V1060" i="3"/>
  <c r="C1060" i="3"/>
  <c r="BH1061" i="3"/>
  <c r="BG1061" i="3"/>
  <c r="BF1061" i="3"/>
  <c r="X1061" i="3" s="1"/>
  <c r="BE1061" i="3"/>
  <c r="W1061" i="3" s="1"/>
  <c r="V1061" i="3"/>
  <c r="C1061" i="3"/>
  <c r="BC227" i="70"/>
  <c r="AV227" i="70"/>
  <c r="AW227" i="70" s="1"/>
  <c r="AS227" i="70"/>
  <c r="AA227" i="70"/>
  <c r="X227" i="70"/>
  <c r="C227" i="70"/>
  <c r="BC228" i="70"/>
  <c r="AV228" i="70"/>
  <c r="AW228" i="70" s="1"/>
  <c r="AS228" i="70"/>
  <c r="AA228" i="70"/>
  <c r="X228" i="70"/>
  <c r="C228" i="70"/>
  <c r="BC229" i="70"/>
  <c r="AV229" i="70"/>
  <c r="AW229" i="70" s="1"/>
  <c r="AS229" i="70"/>
  <c r="AA229" i="70"/>
  <c r="X229" i="70"/>
  <c r="C229" i="70"/>
  <c r="BC230" i="70"/>
  <c r="AV230" i="70"/>
  <c r="AW230" i="70" s="1"/>
  <c r="AS230" i="70"/>
  <c r="AA230" i="70"/>
  <c r="X230" i="70"/>
  <c r="C230" i="70"/>
  <c r="V7" i="122"/>
  <c r="V23" i="122" s="1"/>
  <c r="U284" i="70"/>
  <c r="U285" i="70"/>
  <c r="U283" i="70"/>
  <c r="U282" i="70"/>
  <c r="U268" i="70"/>
  <c r="U269" i="70"/>
  <c r="U270" i="70"/>
  <c r="U271" i="70"/>
  <c r="U272" i="70"/>
  <c r="U273" i="70"/>
  <c r="U274" i="70"/>
  <c r="U275" i="70"/>
  <c r="U276" i="70"/>
  <c r="U277" i="70"/>
  <c r="U278" i="70"/>
  <c r="U279" i="70"/>
  <c r="U280" i="70"/>
  <c r="U281" i="70"/>
  <c r="U266" i="70"/>
  <c r="U267" i="70"/>
  <c r="U261" i="70"/>
  <c r="U262" i="70"/>
  <c r="U263" i="70"/>
  <c r="U264" i="70"/>
  <c r="U265" i="70"/>
  <c r="U260" i="70"/>
  <c r="U257" i="70"/>
  <c r="U258" i="70"/>
  <c r="U256" i="70"/>
  <c r="U253" i="70"/>
  <c r="U254" i="70"/>
  <c r="U255" i="70"/>
  <c r="U252" i="70"/>
  <c r="U251" i="70"/>
  <c r="C279" i="70"/>
  <c r="C280" i="70"/>
  <c r="X279" i="70"/>
  <c r="X280" i="70"/>
  <c r="AA279" i="70"/>
  <c r="AA280" i="70"/>
  <c r="AS279" i="70"/>
  <c r="AS280" i="70"/>
  <c r="AV279" i="70"/>
  <c r="AW279" i="70" s="1"/>
  <c r="AV280" i="70"/>
  <c r="AW280" i="70" s="1"/>
  <c r="BC279" i="70"/>
  <c r="BC280" i="70"/>
  <c r="C281" i="70"/>
  <c r="C282" i="70"/>
  <c r="X281" i="70"/>
  <c r="X282" i="70"/>
  <c r="AA281" i="70"/>
  <c r="AA282" i="70"/>
  <c r="AS281" i="70"/>
  <c r="AS282" i="70"/>
  <c r="AV281" i="70"/>
  <c r="AW281" i="70" s="1"/>
  <c r="AV282" i="70"/>
  <c r="AW282" i="70" s="1"/>
  <c r="BC281" i="70"/>
  <c r="BC282" i="70"/>
  <c r="C283" i="70"/>
  <c r="C284" i="70"/>
  <c r="X283" i="70"/>
  <c r="X284" i="70"/>
  <c r="AA283" i="70"/>
  <c r="AA284" i="70"/>
  <c r="AS283" i="70"/>
  <c r="AS284" i="70"/>
  <c r="AV283" i="70"/>
  <c r="AW283" i="70" s="1"/>
  <c r="AV284" i="70"/>
  <c r="AW284" i="70" s="1"/>
  <c r="BC283" i="70"/>
  <c r="BC284" i="70"/>
  <c r="C276" i="70"/>
  <c r="C277" i="70"/>
  <c r="C278" i="70"/>
  <c r="X276" i="70"/>
  <c r="X277" i="70"/>
  <c r="X278" i="70"/>
  <c r="AA276" i="70"/>
  <c r="AA277" i="70"/>
  <c r="AA278" i="70"/>
  <c r="AS276" i="70"/>
  <c r="AS277" i="70"/>
  <c r="AS278" i="70"/>
  <c r="AV276" i="70"/>
  <c r="AW276" i="70" s="1"/>
  <c r="AV277" i="70"/>
  <c r="AW277" i="70" s="1"/>
  <c r="AV278" i="70"/>
  <c r="AW278" i="70" s="1"/>
  <c r="BC276" i="70"/>
  <c r="BC277" i="70"/>
  <c r="BC278" i="70"/>
  <c r="BC272" i="70"/>
  <c r="BC273" i="70"/>
  <c r="BC274" i="70"/>
  <c r="AV272" i="70"/>
  <c r="AW272" i="70" s="1"/>
  <c r="AV273" i="70"/>
  <c r="AW273" i="70" s="1"/>
  <c r="AV274" i="70"/>
  <c r="AW274" i="70" s="1"/>
  <c r="AS272" i="70"/>
  <c r="AS273" i="70"/>
  <c r="AS274" i="70"/>
  <c r="AA272" i="70"/>
  <c r="AA273" i="70"/>
  <c r="AA274" i="70"/>
  <c r="X272" i="70"/>
  <c r="X273" i="70"/>
  <c r="X274" i="70"/>
  <c r="C272" i="70"/>
  <c r="C273" i="70"/>
  <c r="C274" i="70"/>
  <c r="BC286" i="70"/>
  <c r="AV286" i="70"/>
  <c r="AW286" i="70" s="1"/>
  <c r="AS286" i="70"/>
  <c r="AA286" i="70"/>
  <c r="X286" i="70"/>
  <c r="C269" i="70"/>
  <c r="X269" i="70"/>
  <c r="AA269" i="70"/>
  <c r="AS269" i="70"/>
  <c r="AV269" i="70"/>
  <c r="AW269" i="70" s="1"/>
  <c r="BC269" i="70"/>
  <c r="C270" i="70"/>
  <c r="X270" i="70"/>
  <c r="AA270" i="70"/>
  <c r="AS270" i="70"/>
  <c r="AV270" i="70"/>
  <c r="AW270" i="70" s="1"/>
  <c r="BC270" i="70"/>
  <c r="C271" i="70"/>
  <c r="X271" i="70"/>
  <c r="AA271" i="70"/>
  <c r="AS271" i="70"/>
  <c r="AV271" i="70"/>
  <c r="AW271" i="70" s="1"/>
  <c r="BC271" i="70"/>
  <c r="C275" i="70"/>
  <c r="X275" i="70"/>
  <c r="AA275" i="70"/>
  <c r="AS275" i="70"/>
  <c r="AV275" i="70"/>
  <c r="AW275" i="70" s="1"/>
  <c r="BC275" i="70"/>
  <c r="C285" i="70"/>
  <c r="X285" i="70"/>
  <c r="AA285" i="70"/>
  <c r="AS285" i="70"/>
  <c r="AV285" i="70"/>
  <c r="AW285" i="70" s="1"/>
  <c r="BC285" i="70"/>
  <c r="BC267" i="70"/>
  <c r="AV267" i="70"/>
  <c r="AW267" i="70" s="1"/>
  <c r="AS267" i="70"/>
  <c r="AA267" i="70"/>
  <c r="X267" i="70"/>
  <c r="C267" i="70"/>
  <c r="BC266" i="70"/>
  <c r="AV266" i="70"/>
  <c r="AW266" i="70" s="1"/>
  <c r="AS266" i="70"/>
  <c r="AA266" i="70"/>
  <c r="X266" i="70"/>
  <c r="C266" i="70"/>
  <c r="C268" i="70"/>
  <c r="X268" i="70"/>
  <c r="AA268" i="70"/>
  <c r="AS268" i="70"/>
  <c r="AV268" i="70"/>
  <c r="AW268" i="70" s="1"/>
  <c r="BC268" i="70"/>
  <c r="X287" i="70"/>
  <c r="AA287" i="70"/>
  <c r="AS287" i="70"/>
  <c r="AV287" i="70"/>
  <c r="AW287" i="70" s="1"/>
  <c r="BC287" i="70"/>
  <c r="F1029" i="3" a="1"/>
  <c r="AX1029" i="3"/>
  <c r="AY1029" i="3" s="1"/>
  <c r="BH1029" i="3"/>
  <c r="BG1029" i="3"/>
  <c r="BF1029" i="3"/>
  <c r="BE1029" i="3"/>
  <c r="W1029" i="3" s="1"/>
  <c r="AC1029" i="3"/>
  <c r="V1029" i="3"/>
  <c r="C1029" i="3"/>
  <c r="C260" i="70"/>
  <c r="C261" i="70"/>
  <c r="X260" i="70"/>
  <c r="X261" i="70"/>
  <c r="AA260" i="70"/>
  <c r="AA261" i="70"/>
  <c r="AS260" i="70"/>
  <c r="AS261" i="70"/>
  <c r="AV260" i="70"/>
  <c r="AW260" i="70" s="1"/>
  <c r="AV261" i="70"/>
  <c r="AW261" i="70" s="1"/>
  <c r="BC260" i="70"/>
  <c r="BC261" i="70"/>
  <c r="C262" i="70"/>
  <c r="C263" i="70"/>
  <c r="C264" i="70"/>
  <c r="X262" i="70"/>
  <c r="X263" i="70"/>
  <c r="X264" i="70"/>
  <c r="AA262" i="70"/>
  <c r="AA263" i="70"/>
  <c r="AA264" i="70"/>
  <c r="AS262" i="70"/>
  <c r="AS263" i="70"/>
  <c r="AS264" i="70"/>
  <c r="AV262" i="70"/>
  <c r="AW262" i="70" s="1"/>
  <c r="AV263" i="70"/>
  <c r="AW263" i="70" s="1"/>
  <c r="AV264" i="70"/>
  <c r="AW264" i="70" s="1"/>
  <c r="BC262" i="70"/>
  <c r="BC263" i="70"/>
  <c r="BC264" i="70"/>
  <c r="C265" i="70"/>
  <c r="X265" i="70"/>
  <c r="AA265" i="70"/>
  <c r="AS265" i="70"/>
  <c r="AV265" i="70"/>
  <c r="AW265" i="70" s="1"/>
  <c r="BC265" i="70"/>
  <c r="T139" i="122"/>
  <c r="Q119" i="122"/>
  <c r="F1033" i="3" a="1"/>
  <c r="AX1033" i="3"/>
  <c r="AY1033" i="3" s="1"/>
  <c r="AK1033" i="3"/>
  <c r="BH1033" i="3"/>
  <c r="BG1033" i="3"/>
  <c r="BF1033" i="3"/>
  <c r="BE1033" i="3"/>
  <c r="AC1033" i="3"/>
  <c r="V1033" i="3"/>
  <c r="C1033" i="3"/>
  <c r="F1077" i="3" a="1"/>
  <c r="AX1077" i="3"/>
  <c r="AY1077" i="3" s="1"/>
  <c r="AN1077" i="3"/>
  <c r="AK1077" i="3"/>
  <c r="BH1077" i="3"/>
  <c r="BG1077" i="3"/>
  <c r="BF1077" i="3"/>
  <c r="BE1077" i="3"/>
  <c r="AZ1077" i="3"/>
  <c r="AC1077" i="3"/>
  <c r="V1077" i="3"/>
  <c r="C1077" i="3"/>
  <c r="F1082" i="3" a="1"/>
  <c r="AX1082" i="3"/>
  <c r="AY1082" i="3" s="1"/>
  <c r="AJ1082" i="3"/>
  <c r="AK1082" i="3"/>
  <c r="BH1082" i="3"/>
  <c r="BG1082" i="3"/>
  <c r="BF1082" i="3"/>
  <c r="BE1082" i="3"/>
  <c r="W1082" i="3" s="1"/>
  <c r="AC1082" i="3"/>
  <c r="V1082" i="3"/>
  <c r="C1082" i="3"/>
  <c r="F1030" i="3" a="1"/>
  <c r="AX1030" i="3"/>
  <c r="AY1030" i="3" s="1"/>
  <c r="BH1030" i="3"/>
  <c r="BG1030" i="3"/>
  <c r="BF1030" i="3"/>
  <c r="X1030" i="3" s="1"/>
  <c r="BE1030" i="3"/>
  <c r="W1030" i="3" s="1"/>
  <c r="AC1030" i="3"/>
  <c r="V1030" i="3"/>
  <c r="C1030" i="3"/>
  <c r="AM902" i="3"/>
  <c r="U1039" i="3"/>
  <c r="U1040" i="3"/>
  <c r="U1063" i="3"/>
  <c r="V1063" i="3" s="1"/>
  <c r="X149" i="70"/>
  <c r="AK1051" i="3"/>
  <c r="AJ1051" i="3"/>
  <c r="AK1050" i="3"/>
  <c r="AJ1050" i="3"/>
  <c r="Z1047" i="3"/>
  <c r="F1047" i="3" a="1"/>
  <c r="BH1047" i="3"/>
  <c r="BG1047" i="3"/>
  <c r="BF1047" i="3"/>
  <c r="X1047" i="3" s="1"/>
  <c r="BE1047" i="3"/>
  <c r="W1047" i="3" s="1"/>
  <c r="AC1047" i="3"/>
  <c r="V1047" i="3"/>
  <c r="C1047" i="3"/>
  <c r="W1054" i="3"/>
  <c r="F1054" i="3" a="1"/>
  <c r="BH1054" i="3"/>
  <c r="BG1054" i="3"/>
  <c r="BF1054" i="3"/>
  <c r="X1054" i="3" s="1"/>
  <c r="BE1054" i="3"/>
  <c r="AZ1054" i="3"/>
  <c r="AC1054" i="3"/>
  <c r="V1054" i="3"/>
  <c r="C1054" i="3"/>
  <c r="U1058" i="3"/>
  <c r="F1149" i="3" a="1"/>
  <c r="BH1149" i="3"/>
  <c r="BG1149" i="3"/>
  <c r="AC1149" i="3"/>
  <c r="C1149" i="3"/>
  <c r="F1050" i="3" a="1"/>
  <c r="AX1050" i="3"/>
  <c r="AY1050" i="3" s="1"/>
  <c r="BH1050" i="3"/>
  <c r="BG1050" i="3"/>
  <c r="BF1050" i="3"/>
  <c r="BE1050" i="3"/>
  <c r="W1050" i="3" s="1"/>
  <c r="AC1050" i="3"/>
  <c r="V1050" i="3"/>
  <c r="C1050" i="3"/>
  <c r="BH1273" i="3"/>
  <c r="AN1273" i="3"/>
  <c r="AK1273" i="3"/>
  <c r="AJ1273" i="3"/>
  <c r="AC1273" i="3"/>
  <c r="U1273" i="3"/>
  <c r="F1273" i="3" a="1"/>
  <c r="C1273" i="3"/>
  <c r="U1272" i="3"/>
  <c r="U1271" i="3"/>
  <c r="U1263" i="3"/>
  <c r="V1263" i="3" s="1"/>
  <c r="U1261" i="3"/>
  <c r="V1261" i="3" s="1"/>
  <c r="BH1258" i="3"/>
  <c r="AK1258" i="3"/>
  <c r="AJ1258" i="3"/>
  <c r="U1258" i="3"/>
  <c r="F1258" i="3" a="1"/>
  <c r="C1258" i="3"/>
  <c r="U1143" i="3"/>
  <c r="U1262" i="3"/>
  <c r="V1262" i="3" s="1"/>
  <c r="U1157" i="3"/>
  <c r="V1157" i="3" s="1"/>
  <c r="BH1158" i="3"/>
  <c r="AK1158" i="3"/>
  <c r="AJ1158" i="3"/>
  <c r="U1158" i="3"/>
  <c r="F1158" i="3" a="1"/>
  <c r="C1158" i="3"/>
  <c r="BH1140" i="3"/>
  <c r="BG1140" i="3"/>
  <c r="BF1140" i="3"/>
  <c r="BE1140" i="3"/>
  <c r="AK1140" i="3"/>
  <c r="F1140" i="3" a="1"/>
  <c r="C1140" i="3"/>
  <c r="BH1260" i="3"/>
  <c r="AK1260" i="3"/>
  <c r="AJ1260" i="3"/>
  <c r="F1260" i="3" a="1"/>
  <c r="C1260" i="3"/>
  <c r="U1166" i="3"/>
  <c r="U1142" i="3"/>
  <c r="BH1142" i="3"/>
  <c r="BG1142" i="3"/>
  <c r="BF1142" i="3"/>
  <c r="BE1142" i="3"/>
  <c r="F1142" i="3" a="1"/>
  <c r="C1142" i="3"/>
  <c r="BH1166" i="3"/>
  <c r="F1166" i="3" a="1"/>
  <c r="C1166" i="3"/>
  <c r="U1103" i="3"/>
  <c r="V1103" i="3" s="1"/>
  <c r="U1071" i="3"/>
  <c r="V1071" i="3" s="1"/>
  <c r="U1078" i="3"/>
  <c r="F1252" i="3" a="1"/>
  <c r="F1121" i="3" a="1"/>
  <c r="V1121" i="3"/>
  <c r="AX1121" i="3"/>
  <c r="AY1121" i="3" s="1"/>
  <c r="V1252" i="3"/>
  <c r="AJ1252" i="3"/>
  <c r="AK1252" i="3"/>
  <c r="AN1252" i="3"/>
  <c r="BH1252" i="3"/>
  <c r="AC1252" i="3"/>
  <c r="C1252" i="3"/>
  <c r="BH1121" i="3"/>
  <c r="BG1121" i="3"/>
  <c r="BF1121" i="3"/>
  <c r="BE1121" i="3"/>
  <c r="AC1121" i="3"/>
  <c r="C1121" i="3"/>
  <c r="I18" i="47"/>
  <c r="I34" i="47"/>
  <c r="I20" i="47"/>
  <c r="I23" i="47"/>
  <c r="I24" i="47"/>
  <c r="I21" i="47"/>
  <c r="I15" i="47"/>
  <c r="I14" i="47"/>
  <c r="I12" i="47"/>
  <c r="I11" i="47"/>
  <c r="I9" i="47"/>
  <c r="I6" i="47"/>
  <c r="I8" i="47"/>
  <c r="J35" i="47"/>
  <c r="I36" i="47"/>
  <c r="J36" i="47" s="1"/>
  <c r="E35" i="47"/>
  <c r="I33" i="47"/>
  <c r="J33" i="47" s="1"/>
  <c r="I31" i="47"/>
  <c r="J31" i="47" s="1"/>
  <c r="I29" i="47"/>
  <c r="J29" i="47"/>
  <c r="J28" i="47"/>
  <c r="J32" i="47"/>
  <c r="F1087" i="3" a="1"/>
  <c r="BH1087" i="3"/>
  <c r="BG1087" i="3"/>
  <c r="BF1087" i="3"/>
  <c r="X1087" i="3" s="1"/>
  <c r="BE1087" i="3"/>
  <c r="W1087" i="3" s="1"/>
  <c r="AZ1087" i="3"/>
  <c r="AC1087" i="3"/>
  <c r="Z1087" i="3"/>
  <c r="V1087" i="3"/>
  <c r="C1087" i="3"/>
  <c r="U1003" i="3"/>
  <c r="F1048" i="3" a="1"/>
  <c r="AX1048" i="3"/>
  <c r="AY1048" i="3" s="1"/>
  <c r="AN1048" i="3"/>
  <c r="BH1048" i="3"/>
  <c r="BG1048" i="3"/>
  <c r="BF1048" i="3"/>
  <c r="BE1048" i="3"/>
  <c r="W1048" i="3" s="1"/>
  <c r="AC1048" i="3"/>
  <c r="V1048" i="3"/>
  <c r="C1048" i="3"/>
  <c r="F1055" i="3" a="1"/>
  <c r="AX1055" i="3"/>
  <c r="AY1055" i="3" s="1"/>
  <c r="Z1055" i="3"/>
  <c r="BH1055" i="3"/>
  <c r="BG1055" i="3"/>
  <c r="BF1055" i="3"/>
  <c r="BE1055" i="3"/>
  <c r="AZ1055" i="3"/>
  <c r="AC1055" i="3"/>
  <c r="V1055" i="3"/>
  <c r="C1055" i="3"/>
  <c r="U47" i="122"/>
  <c r="F1035" i="3" a="1"/>
  <c r="U1035" i="3"/>
  <c r="AK1037" i="3"/>
  <c r="AJ1037" i="3"/>
  <c r="AK1038" i="3"/>
  <c r="AJ1038" i="3"/>
  <c r="AJ1062" i="3"/>
  <c r="AK1062" i="3"/>
  <c r="AJ1063" i="3"/>
  <c r="AK1063" i="3"/>
  <c r="F1037" i="3" a="1"/>
  <c r="F1063" i="3" a="1"/>
  <c r="AX1063" i="3"/>
  <c r="AY1063" i="3" s="1"/>
  <c r="BH1063" i="3"/>
  <c r="BG1063" i="3"/>
  <c r="BF1063" i="3"/>
  <c r="BE1063" i="3"/>
  <c r="AC1063" i="3"/>
  <c r="C1063" i="3"/>
  <c r="Z1041" i="3"/>
  <c r="V1041" i="3"/>
  <c r="F1041" i="3" a="1"/>
  <c r="C1041" i="3"/>
  <c r="AC1041" i="3"/>
  <c r="AZ1041" i="3"/>
  <c r="BE1041" i="3"/>
  <c r="W1041" i="3" s="1"/>
  <c r="BF1041" i="3"/>
  <c r="X1041" i="3" s="1"/>
  <c r="BG1041" i="3"/>
  <c r="BH1041" i="3"/>
  <c r="U214" i="70"/>
  <c r="F214" i="70" a="1"/>
  <c r="BC214" i="70"/>
  <c r="AV214" i="70"/>
  <c r="AW214" i="70" s="1"/>
  <c r="AS214" i="70"/>
  <c r="AA214" i="70"/>
  <c r="C214" i="70"/>
  <c r="F200" i="70" a="1"/>
  <c r="X200" i="70"/>
  <c r="BC200" i="70"/>
  <c r="AV200" i="70"/>
  <c r="AW200" i="70" s="1"/>
  <c r="AS200" i="70"/>
  <c r="AA200" i="70"/>
  <c r="C200" i="70"/>
  <c r="F199" i="70" a="1"/>
  <c r="U199" i="70"/>
  <c r="X199" i="70"/>
  <c r="BC199" i="70"/>
  <c r="AV199" i="70"/>
  <c r="AW199" i="70" s="1"/>
  <c r="AS199" i="70"/>
  <c r="AA199" i="70"/>
  <c r="C199" i="70"/>
  <c r="BC197" i="70"/>
  <c r="AV197" i="70"/>
  <c r="AW197" i="70" s="1"/>
  <c r="AS197" i="70"/>
  <c r="AA197" i="70"/>
  <c r="X197" i="70"/>
  <c r="U197" i="70"/>
  <c r="F197" i="70" a="1"/>
  <c r="C197" i="70"/>
  <c r="BC195" i="70"/>
  <c r="AV195" i="70"/>
  <c r="AW195" i="70" s="1"/>
  <c r="AS195" i="70"/>
  <c r="AA195" i="70"/>
  <c r="X195" i="70"/>
  <c r="U195" i="70"/>
  <c r="F195" i="70" a="1"/>
  <c r="C195" i="70"/>
  <c r="BC194" i="70"/>
  <c r="AV194" i="70"/>
  <c r="AW194" i="70" s="1"/>
  <c r="AS194" i="70"/>
  <c r="AA194" i="70"/>
  <c r="X194" i="70"/>
  <c r="U194" i="70"/>
  <c r="F194" i="70" a="1"/>
  <c r="C194" i="70"/>
  <c r="AX756" i="3"/>
  <c r="V1128" i="3"/>
  <c r="F1128" i="3" a="1"/>
  <c r="F1108" i="3" a="1"/>
  <c r="C1108" i="3"/>
  <c r="AC1108" i="3"/>
  <c r="AX1108" i="3"/>
  <c r="AY1108" i="3" s="1"/>
  <c r="BH1108" i="3"/>
  <c r="C1128" i="3"/>
  <c r="AC1128" i="3"/>
  <c r="AX1128" i="3"/>
  <c r="AY1128" i="3" s="1"/>
  <c r="BE1128" i="3"/>
  <c r="BF1128" i="3"/>
  <c r="BG1128" i="3"/>
  <c r="BH1128" i="3"/>
  <c r="BH1032" i="3"/>
  <c r="BG1032" i="3"/>
  <c r="BF1032" i="3"/>
  <c r="BE1032" i="3"/>
  <c r="AX1032" i="3"/>
  <c r="AY1032" i="3" s="1"/>
  <c r="AC1032" i="3"/>
  <c r="F1032" i="3" a="1"/>
  <c r="C1032" i="3"/>
  <c r="V1073" i="3"/>
  <c r="U1079" i="3"/>
  <c r="V1079" i="3" s="1"/>
  <c r="V1101" i="3"/>
  <c r="F1263" i="3" a="1"/>
  <c r="F1262" i="3" a="1"/>
  <c r="F1261" i="3" a="1"/>
  <c r="AJ1261" i="3"/>
  <c r="AK1261" i="3"/>
  <c r="AJ1262" i="3"/>
  <c r="AK1262" i="3"/>
  <c r="AJ1263" i="3"/>
  <c r="AK1263" i="3"/>
  <c r="F1157" i="3" a="1"/>
  <c r="C1157" i="3"/>
  <c r="AJ1157" i="3"/>
  <c r="AK1157" i="3"/>
  <c r="BH1157" i="3"/>
  <c r="F1259" i="3" a="1"/>
  <c r="F1257" i="3" a="1"/>
  <c r="F1143" i="3" a="1"/>
  <c r="BH1261" i="3"/>
  <c r="C1261" i="3"/>
  <c r="BH1262" i="3"/>
  <c r="C1262" i="3"/>
  <c r="BH1263" i="3"/>
  <c r="C1263" i="3"/>
  <c r="BH1143" i="3"/>
  <c r="BG1143" i="3"/>
  <c r="BF1143" i="3"/>
  <c r="BE1143" i="3"/>
  <c r="C1143" i="3"/>
  <c r="F1125" i="3" a="1"/>
  <c r="AX1125" i="3"/>
  <c r="AY1125" i="3" s="1"/>
  <c r="BH1125" i="3"/>
  <c r="BG1125" i="3"/>
  <c r="BF1125" i="3"/>
  <c r="BE1125" i="3"/>
  <c r="AC1125" i="3"/>
  <c r="C1125" i="3"/>
  <c r="U1124" i="3"/>
  <c r="V1124" i="3" s="1"/>
  <c r="F1124" i="3" a="1"/>
  <c r="AX1124" i="3"/>
  <c r="AY1124" i="3" s="1"/>
  <c r="BH1124" i="3"/>
  <c r="BG1124" i="3"/>
  <c r="BF1124" i="3"/>
  <c r="BE1124" i="3"/>
  <c r="AC1124" i="3"/>
  <c r="C1124" i="3"/>
  <c r="AH43" i="122"/>
  <c r="X27" i="122"/>
  <c r="X47" i="122" s="1"/>
  <c r="X7" i="122"/>
  <c r="X23" i="122" s="1"/>
  <c r="U7" i="122"/>
  <c r="U23" i="122" s="1"/>
  <c r="AJ774" i="3"/>
  <c r="AJ777" i="3"/>
  <c r="AJ794" i="3"/>
  <c r="AJ795" i="3"/>
  <c r="AJ796" i="3"/>
  <c r="AJ797" i="3"/>
  <c r="AJ802" i="3"/>
  <c r="AJ803" i="3"/>
  <c r="AJ807" i="3"/>
  <c r="AJ808" i="3"/>
  <c r="AJ809" i="3"/>
  <c r="AJ900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16" i="3"/>
  <c r="AU717" i="3"/>
  <c r="AU872" i="3"/>
  <c r="AU873" i="3"/>
  <c r="AU874" i="3"/>
  <c r="AU935" i="3"/>
  <c r="AU1013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W144" i="70" s="1"/>
  <c r="AV213" i="70"/>
  <c r="AW213" i="70" s="1"/>
  <c r="AV215" i="70"/>
  <c r="AW215" i="70" s="1"/>
  <c r="AV216" i="70"/>
  <c r="AW216" i="70" s="1"/>
  <c r="AV217" i="70"/>
  <c r="AW217" i="70" s="1"/>
  <c r="AV219" i="70"/>
  <c r="AW219" i="70" s="1"/>
  <c r="AV220" i="70"/>
  <c r="AW220" i="70" s="1"/>
  <c r="AV221" i="70"/>
  <c r="AW221" i="70" s="1"/>
  <c r="AV222" i="70"/>
  <c r="AW222" i="70" s="1"/>
  <c r="AV224" i="70"/>
  <c r="AW224" i="70" s="1"/>
  <c r="AV225" i="70"/>
  <c r="AW225" i="70" s="1"/>
  <c r="AV226" i="70"/>
  <c r="AW226" i="70" s="1"/>
  <c r="AV243" i="70"/>
  <c r="AW243" i="70" s="1"/>
  <c r="AV244" i="70"/>
  <c r="AW244" i="70" s="1"/>
  <c r="AV245" i="70"/>
  <c r="AW245" i="70" s="1"/>
  <c r="AV246" i="70"/>
  <c r="AW246" i="70" s="1"/>
  <c r="AV247" i="70"/>
  <c r="AW247" i="70" s="1"/>
  <c r="AV248" i="70"/>
  <c r="AW248" i="70" s="1"/>
  <c r="AV249" i="70"/>
  <c r="AW249" i="70" s="1"/>
  <c r="AV250" i="70"/>
  <c r="AW250" i="70" s="1"/>
  <c r="AV251" i="70"/>
  <c r="AW251" i="70" s="1"/>
  <c r="AV252" i="70"/>
  <c r="AW252" i="70" s="1"/>
  <c r="AV253" i="70"/>
  <c r="AW253" i="70" s="1"/>
  <c r="AV254" i="70"/>
  <c r="AW254" i="70" s="1"/>
  <c r="AV255" i="70"/>
  <c r="AW255" i="70" s="1"/>
  <c r="AV256" i="70"/>
  <c r="AW256" i="70" s="1"/>
  <c r="AV257" i="70"/>
  <c r="AW257" i="70" s="1"/>
  <c r="AV258" i="70"/>
  <c r="AW258" i="70" s="1"/>
  <c r="AV288" i="70"/>
  <c r="AW288" i="70" s="1"/>
  <c r="AV289" i="70"/>
  <c r="AW289" i="70" s="1"/>
  <c r="AV290" i="70"/>
  <c r="AW290" i="70" s="1"/>
  <c r="AV291" i="70"/>
  <c r="AW291" i="70" s="1"/>
  <c r="AV292" i="70"/>
  <c r="AW292" i="70" s="1"/>
  <c r="AV293" i="70"/>
  <c r="AW293" i="70" s="1"/>
  <c r="AV181" i="70"/>
  <c r="AW181" i="70" s="1"/>
  <c r="AV182" i="70"/>
  <c r="AW182" i="70" s="1"/>
  <c r="AV183" i="70"/>
  <c r="AW183" i="70" s="1"/>
  <c r="AV184" i="70"/>
  <c r="AW184" i="70" s="1"/>
  <c r="AV185" i="70"/>
  <c r="AW185" i="70" s="1"/>
  <c r="AV186" i="70"/>
  <c r="AW186" i="70" s="1"/>
  <c r="AV187" i="70"/>
  <c r="AW187" i="70" s="1"/>
  <c r="AV188" i="70"/>
  <c r="AW188" i="70" s="1"/>
  <c r="AV189" i="70"/>
  <c r="AW189" i="70" s="1"/>
  <c r="AV190" i="70"/>
  <c r="AW190" i="70" s="1"/>
  <c r="AV191" i="70"/>
  <c r="AW191" i="70" s="1"/>
  <c r="AV192" i="70"/>
  <c r="AW192" i="70" s="1"/>
  <c r="AV193" i="70"/>
  <c r="AW193" i="70" s="1"/>
  <c r="AV196" i="70"/>
  <c r="AW196" i="70" s="1"/>
  <c r="AV198" i="70"/>
  <c r="AW198" i="70" s="1"/>
  <c r="AV201" i="70"/>
  <c r="AW201" i="70" s="1"/>
  <c r="AV202" i="70"/>
  <c r="AW202" i="70" s="1"/>
  <c r="AV203" i="70"/>
  <c r="AW203" i="70" s="1"/>
  <c r="AV204" i="70"/>
  <c r="AW204" i="70" s="1"/>
  <c r="AV205" i="70"/>
  <c r="AW205" i="70" s="1"/>
  <c r="AV206" i="70"/>
  <c r="AW206" i="70" s="1"/>
  <c r="AV207" i="70"/>
  <c r="AW207" i="70" s="1"/>
  <c r="AV208" i="70"/>
  <c r="AW208" i="70" s="1"/>
  <c r="AV209" i="70"/>
  <c r="AW209" i="70" s="1"/>
  <c r="AV210" i="70"/>
  <c r="AW210" i="70" s="1"/>
  <c r="AV211" i="70"/>
  <c r="AW211" i="70" s="1"/>
  <c r="AV212" i="70"/>
  <c r="AW212" i="70" s="1"/>
  <c r="AV133" i="70"/>
  <c r="AW133" i="70" s="1"/>
  <c r="AV134" i="70"/>
  <c r="AW134" i="70" s="1"/>
  <c r="AV135" i="70"/>
  <c r="AW135" i="70" s="1"/>
  <c r="AV136" i="70"/>
  <c r="AW136" i="70" s="1"/>
  <c r="AV137" i="70"/>
  <c r="AW137" i="70" s="1"/>
  <c r="AV138" i="70"/>
  <c r="AW138" i="70" s="1"/>
  <c r="AV139" i="70"/>
  <c r="AW139" i="70" s="1"/>
  <c r="AV140" i="70"/>
  <c r="AW140" i="70" s="1"/>
  <c r="AV141" i="70"/>
  <c r="AW141" i="70" s="1"/>
  <c r="AV142" i="70"/>
  <c r="AW142" i="70" s="1"/>
  <c r="AV143" i="70"/>
  <c r="AW143" i="70" s="1"/>
  <c r="AV145" i="70"/>
  <c r="AW145" i="70" s="1"/>
  <c r="AV146" i="70"/>
  <c r="AW146" i="70" s="1"/>
  <c r="AV147" i="70"/>
  <c r="AW147" i="70" s="1"/>
  <c r="AV148" i="70"/>
  <c r="AW148" i="70" s="1"/>
  <c r="AV149" i="70"/>
  <c r="AW149" i="70" s="1"/>
  <c r="AV150" i="70"/>
  <c r="AW150" i="70" s="1"/>
  <c r="AV151" i="70"/>
  <c r="AW151" i="70" s="1"/>
  <c r="AV152" i="70"/>
  <c r="AW152" i="70" s="1"/>
  <c r="AV153" i="70"/>
  <c r="AW153" i="70" s="1"/>
  <c r="AV154" i="70"/>
  <c r="AW154" i="70" s="1"/>
  <c r="AV155" i="70"/>
  <c r="AW155" i="70" s="1"/>
  <c r="AV156" i="70"/>
  <c r="AW156" i="70" s="1"/>
  <c r="AV157" i="70"/>
  <c r="AW157" i="70" s="1"/>
  <c r="AV158" i="70"/>
  <c r="AW158" i="70" s="1"/>
  <c r="AV159" i="70"/>
  <c r="AW159" i="70" s="1"/>
  <c r="AV160" i="70"/>
  <c r="AW160" i="70" s="1"/>
  <c r="AV161" i="70"/>
  <c r="AW161" i="70" s="1"/>
  <c r="AV162" i="70"/>
  <c r="AW162" i="70" s="1"/>
  <c r="AV163" i="70"/>
  <c r="AW163" i="70" s="1"/>
  <c r="AV164" i="70"/>
  <c r="AW164" i="70" s="1"/>
  <c r="AV165" i="70"/>
  <c r="AW165" i="70" s="1"/>
  <c r="AV166" i="70"/>
  <c r="AW166" i="70" s="1"/>
  <c r="AV167" i="70"/>
  <c r="AW167" i="70" s="1"/>
  <c r="AV168" i="70"/>
  <c r="AW168" i="70" s="1"/>
  <c r="AV169" i="70"/>
  <c r="AW169" i="70" s="1"/>
  <c r="AV170" i="70"/>
  <c r="AW170" i="70" s="1"/>
  <c r="AV171" i="70"/>
  <c r="AW171" i="70" s="1"/>
  <c r="AV172" i="70"/>
  <c r="AW172" i="70" s="1"/>
  <c r="AV173" i="70"/>
  <c r="AW173" i="70" s="1"/>
  <c r="AV174" i="70"/>
  <c r="AW174" i="70" s="1"/>
  <c r="AV175" i="70"/>
  <c r="AW175" i="70" s="1"/>
  <c r="AV176" i="70"/>
  <c r="AW176" i="70" s="1"/>
  <c r="AV177" i="70"/>
  <c r="AW177" i="70" s="1"/>
  <c r="AV178" i="70"/>
  <c r="AW178" i="70" s="1"/>
  <c r="AV179" i="70"/>
  <c r="AW179" i="70" s="1"/>
  <c r="AV180" i="70"/>
  <c r="AW180" i="70" s="1"/>
  <c r="AV92" i="70"/>
  <c r="AW92" i="70" s="1"/>
  <c r="AV93" i="70"/>
  <c r="AW93" i="70" s="1"/>
  <c r="AV94" i="70"/>
  <c r="AW94" i="70" s="1"/>
  <c r="AV95" i="70"/>
  <c r="AW95" i="70" s="1"/>
  <c r="AV96" i="70"/>
  <c r="AW96" i="70" s="1"/>
  <c r="AV97" i="70"/>
  <c r="AW97" i="70" s="1"/>
  <c r="AV98" i="70"/>
  <c r="AW98" i="70" s="1"/>
  <c r="AV99" i="70"/>
  <c r="AW99" i="70" s="1"/>
  <c r="AV100" i="70"/>
  <c r="AW100" i="70" s="1"/>
  <c r="AV101" i="70"/>
  <c r="AW101" i="70" s="1"/>
  <c r="AV102" i="70"/>
  <c r="AW102" i="70" s="1"/>
  <c r="AV103" i="70"/>
  <c r="AW103" i="70" s="1"/>
  <c r="AV104" i="70"/>
  <c r="AW104" i="70" s="1"/>
  <c r="AV105" i="70"/>
  <c r="AW105" i="70" s="1"/>
  <c r="AV106" i="70"/>
  <c r="AW106" i="70" s="1"/>
  <c r="AV107" i="70"/>
  <c r="AW107" i="70" s="1"/>
  <c r="AV108" i="70"/>
  <c r="AW108" i="70" s="1"/>
  <c r="AV109" i="70"/>
  <c r="AW109" i="70" s="1"/>
  <c r="AV110" i="70"/>
  <c r="AW110" i="70" s="1"/>
  <c r="AV111" i="70"/>
  <c r="AW111" i="70" s="1"/>
  <c r="AV112" i="70"/>
  <c r="AW112" i="70" s="1"/>
  <c r="AV113" i="70"/>
  <c r="AW113" i="70" s="1"/>
  <c r="AV114" i="70"/>
  <c r="AW114" i="70" s="1"/>
  <c r="AV115" i="70"/>
  <c r="AW115" i="70" s="1"/>
  <c r="AV116" i="70"/>
  <c r="AW116" i="70" s="1"/>
  <c r="AV117" i="70"/>
  <c r="AW117" i="70" s="1"/>
  <c r="AV118" i="70"/>
  <c r="AW118" i="70" s="1"/>
  <c r="AV119" i="70"/>
  <c r="AW119" i="70" s="1"/>
  <c r="AV120" i="70"/>
  <c r="AW120" i="70" s="1"/>
  <c r="AV121" i="70"/>
  <c r="AW121" i="70" s="1"/>
  <c r="AV122" i="70"/>
  <c r="AW122" i="70" s="1"/>
  <c r="AV123" i="70"/>
  <c r="AW123" i="70" s="1"/>
  <c r="AV124" i="70"/>
  <c r="AW124" i="70" s="1"/>
  <c r="AV125" i="70"/>
  <c r="AW125" i="70" s="1"/>
  <c r="AV126" i="70"/>
  <c r="AW126" i="70" s="1"/>
  <c r="AV127" i="70"/>
  <c r="AW127" i="70" s="1"/>
  <c r="AV128" i="70"/>
  <c r="AW128" i="70" s="1"/>
  <c r="AV129" i="70"/>
  <c r="AW129" i="70" s="1"/>
  <c r="AV130" i="70"/>
  <c r="AW130" i="70" s="1"/>
  <c r="AV131" i="70"/>
  <c r="AW131" i="70" s="1"/>
  <c r="AV132" i="70"/>
  <c r="AW132" i="70" s="1"/>
  <c r="AV23" i="70"/>
  <c r="AW23" i="70" s="1"/>
  <c r="AV24" i="70"/>
  <c r="AW24" i="70" s="1"/>
  <c r="AV25" i="70"/>
  <c r="AW25" i="70" s="1"/>
  <c r="AV26" i="70"/>
  <c r="AW26" i="70" s="1"/>
  <c r="AV27" i="70"/>
  <c r="AW27" i="70" s="1"/>
  <c r="AV28" i="70"/>
  <c r="AW28" i="70" s="1"/>
  <c r="AV29" i="70"/>
  <c r="AW29" i="70" s="1"/>
  <c r="AV30" i="70"/>
  <c r="AW30" i="70" s="1"/>
  <c r="AV31" i="70"/>
  <c r="AW31" i="70" s="1"/>
  <c r="AV32" i="70"/>
  <c r="AW32" i="70" s="1"/>
  <c r="AV33" i="70"/>
  <c r="AW33" i="70" s="1"/>
  <c r="AV34" i="70"/>
  <c r="AW34" i="70" s="1"/>
  <c r="AV35" i="70"/>
  <c r="AW35" i="70" s="1"/>
  <c r="AV36" i="70"/>
  <c r="AW36" i="70" s="1"/>
  <c r="AV37" i="70"/>
  <c r="AW37" i="70" s="1"/>
  <c r="AV38" i="70"/>
  <c r="AW38" i="70" s="1"/>
  <c r="AV39" i="70"/>
  <c r="AW39" i="70" s="1"/>
  <c r="AV40" i="70"/>
  <c r="AW40" i="70" s="1"/>
  <c r="AV41" i="70"/>
  <c r="AW41" i="70" s="1"/>
  <c r="AV42" i="70"/>
  <c r="AW42" i="70" s="1"/>
  <c r="AV43" i="70"/>
  <c r="AW43" i="70" s="1"/>
  <c r="AV44" i="70"/>
  <c r="AW44" i="70" s="1"/>
  <c r="AV45" i="70"/>
  <c r="AW45" i="70" s="1"/>
  <c r="AV46" i="70"/>
  <c r="AW46" i="70" s="1"/>
  <c r="AV47" i="70"/>
  <c r="AW47" i="70" s="1"/>
  <c r="AV48" i="70"/>
  <c r="AW48" i="70" s="1"/>
  <c r="AV49" i="70"/>
  <c r="AW49" i="70" s="1"/>
  <c r="AV50" i="70"/>
  <c r="AW50" i="70" s="1"/>
  <c r="AV51" i="70"/>
  <c r="AW51" i="70" s="1"/>
  <c r="AV52" i="70"/>
  <c r="AW52" i="70" s="1"/>
  <c r="AV53" i="70"/>
  <c r="AW53" i="70" s="1"/>
  <c r="AV54" i="70"/>
  <c r="AW54" i="70" s="1"/>
  <c r="AV55" i="70"/>
  <c r="AW55" i="70" s="1"/>
  <c r="AV56" i="70"/>
  <c r="AW56" i="70" s="1"/>
  <c r="AV57" i="70"/>
  <c r="AW57" i="70" s="1"/>
  <c r="AV58" i="70"/>
  <c r="AW58" i="70" s="1"/>
  <c r="AV59" i="70"/>
  <c r="AW59" i="70" s="1"/>
  <c r="AV60" i="70"/>
  <c r="AW60" i="70" s="1"/>
  <c r="AV61" i="70"/>
  <c r="AW61" i="70" s="1"/>
  <c r="AV62" i="70"/>
  <c r="AW62" i="70" s="1"/>
  <c r="AV63" i="70"/>
  <c r="AW63" i="70" s="1"/>
  <c r="AV64" i="70"/>
  <c r="AW64" i="70" s="1"/>
  <c r="AV65" i="70"/>
  <c r="AW65" i="70" s="1"/>
  <c r="AV66" i="70"/>
  <c r="AW66" i="70" s="1"/>
  <c r="AV67" i="70"/>
  <c r="AW67" i="70" s="1"/>
  <c r="AV68" i="70"/>
  <c r="AW68" i="70" s="1"/>
  <c r="AV69" i="70"/>
  <c r="AW69" i="70" s="1"/>
  <c r="AV70" i="70"/>
  <c r="AW70" i="70" s="1"/>
  <c r="AV71" i="70"/>
  <c r="AW71" i="70" s="1"/>
  <c r="AV72" i="70"/>
  <c r="AW72" i="70" s="1"/>
  <c r="AV73" i="70"/>
  <c r="AW73" i="70" s="1"/>
  <c r="AV74" i="70"/>
  <c r="AW74" i="70" s="1"/>
  <c r="AV75" i="70"/>
  <c r="AW75" i="70" s="1"/>
  <c r="AV76" i="70"/>
  <c r="AW76" i="70" s="1"/>
  <c r="AV77" i="70"/>
  <c r="AW77" i="70" s="1"/>
  <c r="AV78" i="70"/>
  <c r="AW78" i="70" s="1"/>
  <c r="AV79" i="70"/>
  <c r="AW79" i="70" s="1"/>
  <c r="AV80" i="70"/>
  <c r="AW80" i="70" s="1"/>
  <c r="AV81" i="70"/>
  <c r="AW81" i="70" s="1"/>
  <c r="AV82" i="70"/>
  <c r="AW82" i="70" s="1"/>
  <c r="AV83" i="70"/>
  <c r="AW83" i="70" s="1"/>
  <c r="AV84" i="70"/>
  <c r="AW84" i="70" s="1"/>
  <c r="AV85" i="70"/>
  <c r="AW85" i="70" s="1"/>
  <c r="AV86" i="70"/>
  <c r="AW86" i="70" s="1"/>
  <c r="AV87" i="70"/>
  <c r="AW87" i="70" s="1"/>
  <c r="AV88" i="70"/>
  <c r="AW88" i="70" s="1"/>
  <c r="AV89" i="70"/>
  <c r="AW89" i="70" s="1"/>
  <c r="AV90" i="70"/>
  <c r="AW90" i="70" s="1"/>
  <c r="AV91" i="70"/>
  <c r="AW91" i="70" s="1"/>
  <c r="BH997" i="3"/>
  <c r="BG997" i="3"/>
  <c r="BF997" i="3"/>
  <c r="X997" i="3" s="1"/>
  <c r="BE997" i="3"/>
  <c r="W997" i="3" s="1"/>
  <c r="AX997" i="3"/>
  <c r="AY997" i="3" s="1"/>
  <c r="V997" i="3"/>
  <c r="F997" i="3" a="1"/>
  <c r="C997" i="3"/>
  <c r="BH1172" i="3"/>
  <c r="Z1172" i="3"/>
  <c r="AC1172" i="3"/>
  <c r="F1172" i="3" a="1"/>
  <c r="C1172" i="3"/>
  <c r="AX950" i="3"/>
  <c r="AX952" i="3"/>
  <c r="AX1133" i="3"/>
  <c r="AX1134" i="3"/>
  <c r="AX1026" i="3"/>
  <c r="AY1026" i="3" s="1"/>
  <c r="AX1058" i="3"/>
  <c r="AY1058" i="3" s="1"/>
  <c r="AX1076" i="3"/>
  <c r="AY1076" i="3" s="1"/>
  <c r="AX1074" i="3"/>
  <c r="AY1074" i="3" s="1"/>
  <c r="AX1067" i="3"/>
  <c r="AY1067" i="3" s="1"/>
  <c r="AX1064" i="3"/>
  <c r="AY1064" i="3" s="1"/>
  <c r="AX1083" i="3"/>
  <c r="AX1085" i="3"/>
  <c r="AX1086" i="3"/>
  <c r="AX1065" i="3"/>
  <c r="AX1042" i="3"/>
  <c r="AX1073" i="3"/>
  <c r="AY1073" i="3" s="1"/>
  <c r="AX1079" i="3"/>
  <c r="AY1079" i="3" s="1"/>
  <c r="AX1104" i="3"/>
  <c r="AY1104" i="3" s="1"/>
  <c r="AX1101" i="3"/>
  <c r="AY1101" i="3" s="1"/>
  <c r="AX1071" i="3"/>
  <c r="AY1071" i="3" s="1"/>
  <c r="AX1103" i="3"/>
  <c r="AY1103" i="3" s="1"/>
  <c r="AX1075" i="3"/>
  <c r="AY1075" i="3" s="1"/>
  <c r="AX1100" i="3"/>
  <c r="AY1100" i="3" s="1"/>
  <c r="AX1080" i="3"/>
  <c r="AY1080" i="3" s="1"/>
  <c r="AX1102" i="3"/>
  <c r="AY1102" i="3" s="1"/>
  <c r="AX1118" i="3"/>
  <c r="AY1118" i="3" s="1"/>
  <c r="AX1078" i="3"/>
  <c r="AY1078" i="3" s="1"/>
  <c r="AX1013" i="3"/>
  <c r="AX1056" i="3"/>
  <c r="AX1088" i="3"/>
  <c r="AX1094" i="3"/>
  <c r="AX1090" i="3"/>
  <c r="AX1068" i="3"/>
  <c r="AX1070" i="3"/>
  <c r="AX1091" i="3"/>
  <c r="AX1039" i="3"/>
  <c r="AX1023" i="3"/>
  <c r="AY1023" i="3" s="1"/>
  <c r="AX1024" i="3"/>
  <c r="AY1024" i="3" s="1"/>
  <c r="AX1017" i="3"/>
  <c r="AX1018" i="3"/>
  <c r="AY1018" i="3" s="1"/>
  <c r="AX1019" i="3"/>
  <c r="AY1019" i="3" s="1"/>
  <c r="AX1014" i="3"/>
  <c r="AX1015" i="3"/>
  <c r="AX978" i="3"/>
  <c r="AX979" i="3"/>
  <c r="AX980" i="3"/>
  <c r="AX981" i="3"/>
  <c r="AX982" i="3"/>
  <c r="AX983" i="3"/>
  <c r="AX984" i="3"/>
  <c r="AX985" i="3"/>
  <c r="AY985" i="3" s="1"/>
  <c r="AX986" i="3"/>
  <c r="AY986" i="3" s="1"/>
  <c r="AX987" i="3"/>
  <c r="AX988" i="3"/>
  <c r="AY988" i="3" s="1"/>
  <c r="AX989" i="3"/>
  <c r="AY989" i="3" s="1"/>
  <c r="AX990" i="3"/>
  <c r="AY990" i="3" s="1"/>
  <c r="AX991" i="3"/>
  <c r="AY991" i="3" s="1"/>
  <c r="AX992" i="3"/>
  <c r="AY992" i="3" s="1"/>
  <c r="AX961" i="3"/>
  <c r="AX962" i="3"/>
  <c r="AX932" i="3"/>
  <c r="AX933" i="3"/>
  <c r="AX934" i="3"/>
  <c r="AX935" i="3"/>
  <c r="AX927" i="3"/>
  <c r="AX886" i="3"/>
  <c r="AX862" i="3"/>
  <c r="AX863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V2" i="70"/>
  <c r="AW2" i="70" s="1"/>
  <c r="AX1115" i="3"/>
  <c r="AY1115" i="3" s="1"/>
  <c r="AX1127" i="3"/>
  <c r="AY1127" i="3" s="1"/>
  <c r="AX1005" i="3"/>
  <c r="AX1037" i="3"/>
  <c r="AX951" i="3"/>
  <c r="AX1016" i="3"/>
  <c r="AY1016" i="3" s="1"/>
  <c r="AX1001" i="3"/>
  <c r="AX977" i="3"/>
  <c r="AX975" i="3"/>
  <c r="AX919" i="3"/>
  <c r="AX1112" i="3"/>
  <c r="AX924" i="3"/>
  <c r="AX923" i="3"/>
  <c r="F1024" i="3" a="1"/>
  <c r="AJ1024" i="3"/>
  <c r="AK1024" i="3"/>
  <c r="BH1024" i="3"/>
  <c r="BG1024" i="3"/>
  <c r="BF1024" i="3"/>
  <c r="BE1024" i="3"/>
  <c r="AC1024" i="3"/>
  <c r="V1024" i="3"/>
  <c r="C1024" i="3"/>
  <c r="F1127" i="3" a="1"/>
  <c r="F1255" i="3" a="1"/>
  <c r="F1251" i="3" a="1"/>
  <c r="F1005" i="3" a="1"/>
  <c r="F951" i="3" a="1"/>
  <c r="F1215" i="3" a="1"/>
  <c r="F1214" i="3" a="1"/>
  <c r="F1213" i="3" a="1"/>
  <c r="F1212" i="3" a="1"/>
  <c r="F1211" i="3" a="1"/>
  <c r="F1210" i="3" a="1"/>
  <c r="F1209" i="3" a="1"/>
  <c r="F1208" i="3" a="1"/>
  <c r="F1207" i="3" a="1"/>
  <c r="F1204" i="3" a="1"/>
  <c r="F1203" i="3" a="1"/>
  <c r="F1202" i="3" a="1"/>
  <c r="F1201" i="3" a="1"/>
  <c r="F1200" i="3" a="1"/>
  <c r="F1199" i="3" a="1"/>
  <c r="F1198" i="3" a="1"/>
  <c r="F1197" i="3" a="1"/>
  <c r="F1196" i="3" a="1"/>
  <c r="F1195" i="3" a="1"/>
  <c r="F1194" i="3" a="1"/>
  <c r="F1193" i="3" a="1"/>
  <c r="F1192" i="3" a="1"/>
  <c r="F1191" i="3" a="1"/>
  <c r="F1190" i="3" a="1"/>
  <c r="F1189" i="3" a="1"/>
  <c r="F1188" i="3" a="1"/>
  <c r="F1187" i="3" a="1"/>
  <c r="F1186" i="3" a="1"/>
  <c r="F1185" i="3" a="1"/>
  <c r="F1184" i="3" a="1"/>
  <c r="F1183" i="3" a="1"/>
  <c r="F1182" i="3" a="1"/>
  <c r="F1181" i="3" a="1"/>
  <c r="F1180" i="3" a="1"/>
  <c r="F1179" i="3" a="1"/>
  <c r="F1178" i="3" a="1"/>
  <c r="F1177" i="3" a="1"/>
  <c r="F1176" i="3" a="1"/>
  <c r="F1175" i="3" a="1"/>
  <c r="F1174" i="3" a="1"/>
  <c r="F1173" i="3" a="1"/>
  <c r="U1074" i="3"/>
  <c r="F1074" i="3" a="1"/>
  <c r="F1023" i="3" a="1"/>
  <c r="C1023" i="3"/>
  <c r="AC1023" i="3"/>
  <c r="AJ1023" i="3"/>
  <c r="AK1023" i="3"/>
  <c r="BE1023" i="3"/>
  <c r="BF1023" i="3"/>
  <c r="BG1023" i="3"/>
  <c r="BH1023" i="3"/>
  <c r="C1074" i="3"/>
  <c r="AC1074" i="3"/>
  <c r="AJ1074" i="3"/>
  <c r="AK1074" i="3"/>
  <c r="BE1074" i="3"/>
  <c r="BF1074" i="3"/>
  <c r="BG1074" i="3"/>
  <c r="BH1074" i="3"/>
  <c r="U1026" i="3"/>
  <c r="AU991" i="3"/>
  <c r="AJ980" i="3"/>
  <c r="AU981" i="3"/>
  <c r="F1028" i="3" a="1"/>
  <c r="AX1028" i="3"/>
  <c r="AY1028" i="3" s="1"/>
  <c r="BH1028" i="3"/>
  <c r="BG1028" i="3"/>
  <c r="BF1028" i="3"/>
  <c r="BE1028" i="3"/>
  <c r="W1028" i="3" s="1"/>
  <c r="AC1028" i="3"/>
  <c r="V1028" i="3"/>
  <c r="C1028" i="3"/>
  <c r="U976" i="3"/>
  <c r="AK949" i="3"/>
  <c r="AK942" i="3"/>
  <c r="AK941" i="3"/>
  <c r="AK940" i="3"/>
  <c r="AK937" i="3"/>
  <c r="AK936" i="3"/>
  <c r="AJ936" i="3"/>
  <c r="AJ940" i="3"/>
  <c r="AJ941" i="3"/>
  <c r="AJ942" i="3"/>
  <c r="AJ943" i="3"/>
  <c r="AJ920" i="3"/>
  <c r="AU946" i="3"/>
  <c r="F946" i="3" a="1"/>
  <c r="F1019" i="3" a="1"/>
  <c r="AJ1019" i="3"/>
  <c r="AK1019" i="3"/>
  <c r="F1018" i="3" a="1"/>
  <c r="AJ1018" i="3"/>
  <c r="AK1018" i="3"/>
  <c r="BH1018" i="3"/>
  <c r="BG1018" i="3"/>
  <c r="BF1018" i="3"/>
  <c r="BE1018" i="3"/>
  <c r="AZ1018" i="3"/>
  <c r="AC1018" i="3"/>
  <c r="V1018" i="3"/>
  <c r="C1018" i="3"/>
  <c r="BH1019" i="3"/>
  <c r="BG1019" i="3"/>
  <c r="BF1019" i="3"/>
  <c r="BE1019" i="3"/>
  <c r="AZ1019" i="3"/>
  <c r="AC1019" i="3"/>
  <c r="V1019" i="3"/>
  <c r="C1019" i="3"/>
  <c r="S99" i="122"/>
  <c r="S119" i="122" s="1"/>
  <c r="F835" i="3" a="1"/>
  <c r="F837" i="3" a="1"/>
  <c r="F838" i="3" a="1"/>
  <c r="F878" i="3" a="1"/>
  <c r="F1101" i="3" a="1"/>
  <c r="F1104" i="3" a="1"/>
  <c r="F1079" i="3" a="1"/>
  <c r="F1073" i="3" a="1"/>
  <c r="V1104" i="3"/>
  <c r="U1127" i="3"/>
  <c r="BH1078" i="3"/>
  <c r="BG1078" i="3"/>
  <c r="BF1078" i="3"/>
  <c r="BE1078" i="3"/>
  <c r="AK1078" i="3"/>
  <c r="AJ1078" i="3"/>
  <c r="AC1078" i="3"/>
  <c r="F1078" i="3" a="1"/>
  <c r="C1078" i="3"/>
  <c r="BH1127" i="3"/>
  <c r="BG1127" i="3"/>
  <c r="BF1127" i="3"/>
  <c r="BE1127" i="3"/>
  <c r="AC1127" i="3"/>
  <c r="C1127" i="3"/>
  <c r="F1118" i="3" a="1"/>
  <c r="F1102" i="3" a="1"/>
  <c r="F1080" i="3" a="1"/>
  <c r="BH1080" i="3"/>
  <c r="BG1080" i="3"/>
  <c r="BF1080" i="3"/>
  <c r="BE1080" i="3"/>
  <c r="C1080" i="3"/>
  <c r="BH1102" i="3"/>
  <c r="BG1102" i="3"/>
  <c r="BF1102" i="3"/>
  <c r="BE1102" i="3"/>
  <c r="AC1102" i="3"/>
  <c r="C1102" i="3"/>
  <c r="BH1118" i="3"/>
  <c r="BG1118" i="3"/>
  <c r="BF1118" i="3"/>
  <c r="BE1118" i="3"/>
  <c r="AC1118" i="3"/>
  <c r="C1118" i="3"/>
  <c r="F1100" i="3" a="1"/>
  <c r="F1075" i="3" a="1"/>
  <c r="F1103" i="3" a="1"/>
  <c r="V1100" i="3"/>
  <c r="V1075" i="3"/>
  <c r="C1073" i="3"/>
  <c r="AC1073" i="3"/>
  <c r="AJ1073" i="3"/>
  <c r="AK1073" i="3"/>
  <c r="BE1073" i="3"/>
  <c r="BF1073" i="3"/>
  <c r="BG1073" i="3"/>
  <c r="BH1073" i="3"/>
  <c r="C1079" i="3"/>
  <c r="AC1079" i="3"/>
  <c r="BE1079" i="3"/>
  <c r="BF1079" i="3"/>
  <c r="BG1079" i="3"/>
  <c r="BH1079" i="3"/>
  <c r="C1104" i="3"/>
  <c r="AC1104" i="3"/>
  <c r="BE1104" i="3"/>
  <c r="BF1104" i="3"/>
  <c r="BG1104" i="3"/>
  <c r="BH1104" i="3"/>
  <c r="C1101" i="3"/>
  <c r="AC1101" i="3"/>
  <c r="AJ1101" i="3"/>
  <c r="AK1101" i="3"/>
  <c r="AN1101" i="3"/>
  <c r="BE1101" i="3"/>
  <c r="BF1101" i="3"/>
  <c r="BG1101" i="3"/>
  <c r="BH1101" i="3"/>
  <c r="F1071" i="3" a="1"/>
  <c r="C1071" i="3"/>
  <c r="AC1071" i="3"/>
  <c r="AJ1071" i="3"/>
  <c r="AK1071" i="3"/>
  <c r="BE1071" i="3"/>
  <c r="BF1071" i="3"/>
  <c r="BG1071" i="3"/>
  <c r="BH1071" i="3"/>
  <c r="C1103" i="3"/>
  <c r="AC1103" i="3"/>
  <c r="BE1103" i="3"/>
  <c r="BF1103" i="3"/>
  <c r="BG1103" i="3"/>
  <c r="BH1103" i="3"/>
  <c r="C1075" i="3"/>
  <c r="AC1075" i="3"/>
  <c r="AJ1075" i="3"/>
  <c r="AK1075" i="3"/>
  <c r="BE1075" i="3"/>
  <c r="BF1075" i="3"/>
  <c r="BG1075" i="3"/>
  <c r="BH1075" i="3"/>
  <c r="C1100" i="3"/>
  <c r="AC1100" i="3"/>
  <c r="AJ1100" i="3"/>
  <c r="AK1100" i="3"/>
  <c r="AN1100" i="3"/>
  <c r="BE1100" i="3"/>
  <c r="BF1100" i="3"/>
  <c r="BG1100" i="3"/>
  <c r="BH1100" i="3"/>
  <c r="F1247" i="3" a="1"/>
  <c r="F1067" i="3" a="1"/>
  <c r="F1130" i="3" a="1"/>
  <c r="F1116" i="3" a="1"/>
  <c r="W1067" i="3"/>
  <c r="C1067" i="3"/>
  <c r="AC1067" i="3"/>
  <c r="BE1067" i="3"/>
  <c r="BF1067" i="3"/>
  <c r="BG1067" i="3"/>
  <c r="BH1067" i="3"/>
  <c r="C1247" i="3"/>
  <c r="AC1247" i="3"/>
  <c r="AJ1247" i="3"/>
  <c r="AK1247" i="3"/>
  <c r="AN1247" i="3"/>
  <c r="BH1247" i="3"/>
  <c r="BH1130" i="3"/>
  <c r="BG1130" i="3"/>
  <c r="BF1130" i="3"/>
  <c r="BE1130" i="3"/>
  <c r="AX1130" i="3"/>
  <c r="AY1130" i="3" s="1"/>
  <c r="AC1130" i="3"/>
  <c r="C1130" i="3"/>
  <c r="BH1116" i="3"/>
  <c r="BG1116" i="3"/>
  <c r="BF1116" i="3"/>
  <c r="BE1116" i="3"/>
  <c r="AX1116" i="3"/>
  <c r="AY1116" i="3" s="1"/>
  <c r="AC1116" i="3"/>
  <c r="C1116" i="3"/>
  <c r="F1272" i="3" a="1"/>
  <c r="F1271" i="3" a="1"/>
  <c r="F1115" i="3" a="1"/>
  <c r="C1115" i="3"/>
  <c r="AC1115" i="3"/>
  <c r="AJ1115" i="3"/>
  <c r="AK1115" i="3"/>
  <c r="BG1115" i="3"/>
  <c r="BH1115" i="3"/>
  <c r="C1271" i="3"/>
  <c r="AC1271" i="3"/>
  <c r="AJ1271" i="3"/>
  <c r="AK1271" i="3"/>
  <c r="AN1271" i="3"/>
  <c r="BH1271" i="3"/>
  <c r="C1272" i="3"/>
  <c r="AC1272" i="3"/>
  <c r="AJ1272" i="3"/>
  <c r="AK1272" i="3"/>
  <c r="AN1272" i="3"/>
  <c r="BH1272" i="3"/>
  <c r="BH1147" i="3"/>
  <c r="BG1147" i="3"/>
  <c r="BF1147" i="3"/>
  <c r="BE1147" i="3"/>
  <c r="AN1147" i="3"/>
  <c r="AK1147" i="3"/>
  <c r="AJ1147" i="3"/>
  <c r="AC1147" i="3"/>
  <c r="C1147" i="3"/>
  <c r="F1044" i="3" a="1"/>
  <c r="U1049" i="3"/>
  <c r="BH1044" i="3"/>
  <c r="BG1044" i="3"/>
  <c r="BF1044" i="3"/>
  <c r="BE1044" i="3"/>
  <c r="AX1044" i="3"/>
  <c r="AY1044" i="3" s="1"/>
  <c r="C1044" i="3"/>
  <c r="F986" i="3" a="1"/>
  <c r="BH986" i="3"/>
  <c r="BG986" i="3"/>
  <c r="BF986" i="3"/>
  <c r="BE986" i="3"/>
  <c r="AZ986" i="3"/>
  <c r="AC986" i="3"/>
  <c r="V986" i="3"/>
  <c r="C986" i="3"/>
  <c r="F989" i="3" a="1"/>
  <c r="W989" i="3"/>
  <c r="BH989" i="3"/>
  <c r="BG989" i="3"/>
  <c r="BF989" i="3"/>
  <c r="X989" i="3" s="1"/>
  <c r="BE989" i="3"/>
  <c r="AZ989" i="3"/>
  <c r="AC989" i="3"/>
  <c r="V989" i="3"/>
  <c r="C989" i="3"/>
  <c r="F999" i="3" a="1"/>
  <c r="AX999" i="3"/>
  <c r="AY999" i="3" s="1"/>
  <c r="AJ999" i="3"/>
  <c r="BH999" i="3"/>
  <c r="BG999" i="3"/>
  <c r="BF999" i="3"/>
  <c r="X999" i="3" s="1"/>
  <c r="BE999" i="3"/>
  <c r="W999" i="3" s="1"/>
  <c r="V999" i="3"/>
  <c r="C999" i="3"/>
  <c r="V1135" i="3"/>
  <c r="BH1135" i="3"/>
  <c r="BG1135" i="3"/>
  <c r="BF1135" i="3"/>
  <c r="BE1135" i="3"/>
  <c r="AC1135" i="3"/>
  <c r="C1135" i="3"/>
  <c r="U1016" i="3"/>
  <c r="BH1099" i="3"/>
  <c r="BG1099" i="3"/>
  <c r="BF1099" i="3"/>
  <c r="BE1099" i="3"/>
  <c r="AX1099" i="3"/>
  <c r="AY1099" i="3" s="1"/>
  <c r="AN1099" i="3"/>
  <c r="AM1099" i="3"/>
  <c r="AK1099" i="3"/>
  <c r="AJ1099" i="3"/>
  <c r="AC1099" i="3"/>
  <c r="F1099" i="3" a="1"/>
  <c r="C1099" i="3"/>
  <c r="BH1016" i="3"/>
  <c r="BG1016" i="3"/>
  <c r="BF1016" i="3"/>
  <c r="BE1016" i="3"/>
  <c r="AK1016" i="3"/>
  <c r="AJ1016" i="3"/>
  <c r="AC1016" i="3"/>
  <c r="F1016" i="3" a="1"/>
  <c r="C1016" i="3"/>
  <c r="U993" i="3"/>
  <c r="BH1066" i="3"/>
  <c r="BG1066" i="3"/>
  <c r="BF1066" i="3"/>
  <c r="BE1066" i="3"/>
  <c r="AX1066" i="3"/>
  <c r="AY1066" i="3" s="1"/>
  <c r="AC1066" i="3"/>
  <c r="C1066" i="3"/>
  <c r="O139" i="122"/>
  <c r="P119" i="122"/>
  <c r="R119" i="122"/>
  <c r="U119" i="122"/>
  <c r="V119" i="122"/>
  <c r="W119" i="122"/>
  <c r="X119" i="122"/>
  <c r="O119" i="122"/>
  <c r="AH111" i="122"/>
  <c r="AM685" i="3"/>
  <c r="AN696" i="3"/>
  <c r="AN697" i="3"/>
  <c r="AN698" i="3"/>
  <c r="AN699" i="3"/>
  <c r="AN700" i="3"/>
  <c r="AN701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6" i="3"/>
  <c r="AU646" i="3"/>
  <c r="AU647" i="3"/>
  <c r="AU648" i="3"/>
  <c r="AU649" i="3"/>
  <c r="AU650" i="3"/>
  <c r="AU651" i="3"/>
  <c r="AN632" i="3"/>
  <c r="AU632" i="3" s="1"/>
  <c r="AN633" i="3"/>
  <c r="AN627" i="3"/>
  <c r="AN606" i="3"/>
  <c r="AU606" i="3" s="1"/>
  <c r="F990" i="3" a="1"/>
  <c r="BH990" i="3"/>
  <c r="BG990" i="3"/>
  <c r="BF990" i="3"/>
  <c r="BE990" i="3"/>
  <c r="W990" i="3" s="1"/>
  <c r="AC990" i="3"/>
  <c r="V990" i="3"/>
  <c r="C990" i="3"/>
  <c r="F985" i="3" a="1"/>
  <c r="BH985" i="3"/>
  <c r="BG985" i="3"/>
  <c r="BF985" i="3"/>
  <c r="BE985" i="3"/>
  <c r="AZ985" i="3"/>
  <c r="AC985" i="3"/>
  <c r="V985" i="3"/>
  <c r="C985" i="3"/>
  <c r="T119" i="122"/>
  <c r="AJ978" i="3"/>
  <c r="F1046" i="3" a="1"/>
  <c r="F1049" i="3" a="1"/>
  <c r="F1025" i="3" a="1"/>
  <c r="BH1046" i="3"/>
  <c r="BG1046" i="3"/>
  <c r="BF1046" i="3"/>
  <c r="BE1046" i="3"/>
  <c r="AX1046" i="3"/>
  <c r="AY1046" i="3" s="1"/>
  <c r="C1046" i="3"/>
  <c r="U1025" i="3"/>
  <c r="BH1049" i="3"/>
  <c r="BG1049" i="3"/>
  <c r="BF1049" i="3"/>
  <c r="BE1049" i="3"/>
  <c r="AX1049" i="3"/>
  <c r="AY1049" i="3" s="1"/>
  <c r="C1049" i="3"/>
  <c r="BH1025" i="3"/>
  <c r="BG1025" i="3"/>
  <c r="BF1025" i="3"/>
  <c r="BE1025" i="3"/>
  <c r="AX1025" i="3"/>
  <c r="AY1025" i="3" s="1"/>
  <c r="C1025" i="3"/>
  <c r="F1020" i="3" a="1"/>
  <c r="BH1020" i="3"/>
  <c r="BG1020" i="3"/>
  <c r="BF1020" i="3"/>
  <c r="X1020" i="3" s="1"/>
  <c r="BE1020" i="3"/>
  <c r="W1020" i="3" s="1"/>
  <c r="AX1020" i="3"/>
  <c r="AY1020" i="3" s="1"/>
  <c r="AK1020" i="3"/>
  <c r="AJ1020" i="3"/>
  <c r="V1020" i="3"/>
  <c r="C1020" i="3"/>
  <c r="AJ998" i="3"/>
  <c r="AJ993" i="3"/>
  <c r="AJ976" i="3"/>
  <c r="AK976" i="3"/>
  <c r="AK863" i="3"/>
  <c r="AU863" i="3" s="1"/>
  <c r="U945" i="3"/>
  <c r="U936" i="3"/>
  <c r="U885" i="3"/>
  <c r="U865" i="3"/>
  <c r="U960" i="3"/>
  <c r="U979" i="3"/>
  <c r="U981" i="3"/>
  <c r="U925" i="3"/>
  <c r="BC258" i="70"/>
  <c r="AS258" i="70"/>
  <c r="AA258" i="70"/>
  <c r="X258" i="70"/>
  <c r="C258" i="70"/>
  <c r="X288" i="70"/>
  <c r="AA288" i="70"/>
  <c r="AS288" i="70"/>
  <c r="BC288" i="70"/>
  <c r="BC255" i="70"/>
  <c r="AS255" i="70"/>
  <c r="AA255" i="70"/>
  <c r="X255" i="70"/>
  <c r="C255" i="70"/>
  <c r="BC254" i="70"/>
  <c r="AS254" i="70"/>
  <c r="AA254" i="70"/>
  <c r="X254" i="70"/>
  <c r="C254" i="70"/>
  <c r="BC253" i="70"/>
  <c r="AS253" i="70"/>
  <c r="AA253" i="70"/>
  <c r="X253" i="70"/>
  <c r="C253" i="70"/>
  <c r="BC252" i="70"/>
  <c r="AS252" i="70"/>
  <c r="AA252" i="70"/>
  <c r="X252" i="70"/>
  <c r="C252" i="70"/>
  <c r="C251" i="70"/>
  <c r="AC823" i="3"/>
  <c r="F1064" i="3" a="1"/>
  <c r="BH1064" i="3"/>
  <c r="BG1064" i="3"/>
  <c r="BF1064" i="3"/>
  <c r="BE1064" i="3"/>
  <c r="AZ1064" i="3"/>
  <c r="C1064" i="3"/>
  <c r="S65" i="122"/>
  <c r="R65" i="122"/>
  <c r="U186" i="70"/>
  <c r="U187" i="70"/>
  <c r="X187" i="70"/>
  <c r="U188" i="70"/>
  <c r="X188" i="70"/>
  <c r="U189" i="70"/>
  <c r="X189" i="70"/>
  <c r="BC186" i="70"/>
  <c r="AS186" i="70"/>
  <c r="AA186" i="70"/>
  <c r="X186" i="70"/>
  <c r="C186" i="70"/>
  <c r="BC187" i="70"/>
  <c r="AS187" i="70"/>
  <c r="AA187" i="70"/>
  <c r="C187" i="70"/>
  <c r="BC188" i="70"/>
  <c r="AS188" i="70"/>
  <c r="AA188" i="70"/>
  <c r="C188" i="70"/>
  <c r="BC189" i="70"/>
  <c r="AS189" i="70"/>
  <c r="AA189" i="70"/>
  <c r="C189" i="70"/>
  <c r="F1134" i="3" a="1"/>
  <c r="C1134" i="3"/>
  <c r="U992" i="3"/>
  <c r="BH992" i="3"/>
  <c r="BG992" i="3"/>
  <c r="BF992" i="3"/>
  <c r="BE992" i="3"/>
  <c r="AZ992" i="3"/>
  <c r="AC992" i="3"/>
  <c r="F992" i="3" a="1"/>
  <c r="C992" i="3"/>
  <c r="BH1076" i="3"/>
  <c r="BG1076" i="3"/>
  <c r="BF1076" i="3"/>
  <c r="BE1076" i="3"/>
  <c r="AZ1076" i="3"/>
  <c r="AN1076" i="3"/>
  <c r="AK1076" i="3"/>
  <c r="AC1076" i="3"/>
  <c r="F1076" i="3" a="1"/>
  <c r="C1076" i="3"/>
  <c r="BH1058" i="3"/>
  <c r="BG1058" i="3"/>
  <c r="BF1058" i="3"/>
  <c r="BE1058" i="3"/>
  <c r="AZ1058" i="3"/>
  <c r="AC1058" i="3"/>
  <c r="F1058" i="3" a="1"/>
  <c r="C1058" i="3"/>
  <c r="BH1026" i="3"/>
  <c r="BG1026" i="3"/>
  <c r="BF1026" i="3"/>
  <c r="BE1026" i="3"/>
  <c r="AZ1026" i="3"/>
  <c r="AC1026" i="3"/>
  <c r="F1026" i="3" a="1"/>
  <c r="C1026" i="3"/>
  <c r="V1305" i="3" l="1"/>
  <c r="W1305" i="3"/>
  <c r="X1305" i="3"/>
  <c r="AU1060" i="3"/>
  <c r="AU1034" i="3"/>
  <c r="BB239" i="70"/>
  <c r="BA239" i="70"/>
  <c r="AZ239" i="70"/>
  <c r="BB238" i="70"/>
  <c r="BA238" i="70"/>
  <c r="AZ238" i="70"/>
  <c r="BB240" i="70"/>
  <c r="BA240" i="70"/>
  <c r="AZ240" i="70"/>
  <c r="AU1119" i="3"/>
  <c r="AU1030" i="3"/>
  <c r="X1156" i="3"/>
  <c r="W1156" i="3"/>
  <c r="X1164" i="3"/>
  <c r="W1164" i="3"/>
  <c r="X1163" i="3"/>
  <c r="W1163" i="3"/>
  <c r="Z1249" i="3"/>
  <c r="AU1032" i="3"/>
  <c r="Z1242" i="3"/>
  <c r="X1318" i="3"/>
  <c r="V1318" i="3"/>
  <c r="W1317" i="3"/>
  <c r="X1317" i="3"/>
  <c r="V1317" i="3"/>
  <c r="X1295" i="3"/>
  <c r="W1295" i="3"/>
  <c r="V1295" i="3"/>
  <c r="AW1253" i="3" a="1"/>
  <c r="AU1253" i="3"/>
  <c r="AB75" i="122"/>
  <c r="AU949" i="3"/>
  <c r="W1119" i="3"/>
  <c r="V1119" i="3"/>
  <c r="X1165" i="3"/>
  <c r="W1165" i="3"/>
  <c r="V1165" i="3"/>
  <c r="X1119" i="3"/>
  <c r="W1256" i="3"/>
  <c r="AU1107" i="3"/>
  <c r="AU739" i="3"/>
  <c r="Z1150" i="3"/>
  <c r="AU1061" i="3"/>
  <c r="AU1043" i="3"/>
  <c r="W1304" i="3"/>
  <c r="AU1132" i="3"/>
  <c r="Z1054" i="3"/>
  <c r="W1064" i="3"/>
  <c r="Z1270" i="3"/>
  <c r="Z1254" i="3"/>
  <c r="AU1110" i="3"/>
  <c r="AU1031" i="3"/>
  <c r="Z1032" i="3"/>
  <c r="AU1096" i="3"/>
  <c r="AU711" i="3"/>
  <c r="AU761" i="3"/>
  <c r="Z1110" i="3"/>
  <c r="X1256" i="3"/>
  <c r="W1318" i="3"/>
  <c r="X1304" i="3"/>
  <c r="X1282" i="3"/>
  <c r="W1282" i="3"/>
  <c r="V1282" i="3"/>
  <c r="X1290" i="3"/>
  <c r="W1290" i="3"/>
  <c r="V1290" i="3"/>
  <c r="X1287" i="3"/>
  <c r="W1287" i="3"/>
  <c r="V1287" i="3"/>
  <c r="X1288" i="3"/>
  <c r="W1288" i="3"/>
  <c r="V1288" i="3"/>
  <c r="X1289" i="3"/>
  <c r="W1289" i="3"/>
  <c r="V1289" i="3"/>
  <c r="X1279" i="3"/>
  <c r="W1279" i="3"/>
  <c r="V1279" i="3"/>
  <c r="X1280" i="3"/>
  <c r="W1280" i="3"/>
  <c r="V1280" i="3"/>
  <c r="X1281" i="3"/>
  <c r="W1281" i="3"/>
  <c r="V1281" i="3"/>
  <c r="X1286" i="3"/>
  <c r="W1286" i="3"/>
  <c r="V1286" i="3"/>
  <c r="X1311" i="3"/>
  <c r="W1311" i="3"/>
  <c r="V1311" i="3"/>
  <c r="X41" i="122"/>
  <c r="X38" i="122"/>
  <c r="W59" i="122"/>
  <c r="W56" i="122"/>
  <c r="X105" i="122"/>
  <c r="X102" i="122"/>
  <c r="X1266" i="3"/>
  <c r="AA64" i="122" s="1"/>
  <c r="W1266" i="3"/>
  <c r="V1266" i="3"/>
  <c r="AU1266" i="3"/>
  <c r="AU1249" i="3"/>
  <c r="AU1242" i="3"/>
  <c r="X1139" i="3"/>
  <c r="W1139" i="3"/>
  <c r="V1139" i="3"/>
  <c r="X1137" i="3"/>
  <c r="W1137" i="3"/>
  <c r="V1137" i="3"/>
  <c r="X1301" i="3"/>
  <c r="W1301" i="3"/>
  <c r="V1301" i="3"/>
  <c r="X1302" i="3"/>
  <c r="W1302" i="3"/>
  <c r="V1302" i="3"/>
  <c r="X1152" i="3"/>
  <c r="W1152" i="3"/>
  <c r="V1152" i="3"/>
  <c r="X1154" i="3"/>
  <c r="W1154" i="3"/>
  <c r="V1154" i="3"/>
  <c r="X1294" i="3"/>
  <c r="W1294" i="3"/>
  <c r="V1294" i="3"/>
  <c r="X1160" i="3"/>
  <c r="W1160" i="3"/>
  <c r="V1160" i="3"/>
  <c r="X1161" i="3"/>
  <c r="W1161" i="3"/>
  <c r="V1161" i="3"/>
  <c r="X1150" i="3"/>
  <c r="W1150" i="3"/>
  <c r="V1150" i="3"/>
  <c r="AU1150" i="3"/>
  <c r="AU1146" i="3"/>
  <c r="AU1256" i="3"/>
  <c r="AA141" i="122"/>
  <c r="AB141" i="122"/>
  <c r="AB121" i="122"/>
  <c r="AA121" i="122"/>
  <c r="Z141" i="122"/>
  <c r="Y121" i="122"/>
  <c r="X848" i="3"/>
  <c r="W848" i="3"/>
  <c r="AB95" i="122"/>
  <c r="AA95" i="122"/>
  <c r="Z95" i="122"/>
  <c r="AU1254" i="3"/>
  <c r="AU1270" i="3"/>
  <c r="Z28" i="122"/>
  <c r="Z47" i="122"/>
  <c r="AA28" i="122"/>
  <c r="AA47" i="122"/>
  <c r="Z8" i="122"/>
  <c r="Z23" i="122"/>
  <c r="AA8" i="122"/>
  <c r="AA23" i="122"/>
  <c r="AB8" i="122"/>
  <c r="AB23" i="122"/>
  <c r="AB24" i="122"/>
  <c r="AA24" i="122"/>
  <c r="Z24" i="122"/>
  <c r="AB48" i="122"/>
  <c r="AA48" i="122"/>
  <c r="Z48" i="122"/>
  <c r="Y48" i="122"/>
  <c r="X1145" i="3"/>
  <c r="AB92" i="122"/>
  <c r="AB78" i="122"/>
  <c r="AB94" i="122" s="1"/>
  <c r="AA92" i="122"/>
  <c r="AA78" i="122"/>
  <c r="AA94" i="122" s="1"/>
  <c r="Z92" i="122"/>
  <c r="Z78" i="122"/>
  <c r="Z94" i="122" s="1"/>
  <c r="Y54" i="122"/>
  <c r="Z54" i="122"/>
  <c r="AA54" i="122"/>
  <c r="AB54" i="122"/>
  <c r="Y118" i="122"/>
  <c r="Y100" i="122"/>
  <c r="Y120" i="122" s="1"/>
  <c r="AB100" i="122"/>
  <c r="AA100" i="122"/>
  <c r="Z140" i="122"/>
  <c r="Z138" i="122"/>
  <c r="AB140" i="122"/>
  <c r="AB138" i="122"/>
  <c r="AU1126" i="3"/>
  <c r="AU1123" i="3"/>
  <c r="AU1106" i="3"/>
  <c r="W1122" i="3"/>
  <c r="X1122" i="3"/>
  <c r="Z1089" i="3"/>
  <c r="AU1121" i="3"/>
  <c r="Z1030" i="3"/>
  <c r="AU1129" i="3"/>
  <c r="X1089" i="3"/>
  <c r="W1089" i="3"/>
  <c r="V1089" i="3"/>
  <c r="AU1089" i="3"/>
  <c r="AU1141" i="3"/>
  <c r="Z1116" i="3"/>
  <c r="Z1122" i="3"/>
  <c r="AU1122" i="3"/>
  <c r="X1092" i="3"/>
  <c r="V1149" i="3"/>
  <c r="W1066" i="3"/>
  <c r="X1066" i="3"/>
  <c r="Z1149" i="3"/>
  <c r="W1093" i="3"/>
  <c r="Z1050" i="3"/>
  <c r="W1121" i="3"/>
  <c r="Z1077" i="3"/>
  <c r="Z1098" i="3"/>
  <c r="Z1095" i="3"/>
  <c r="AU685" i="3"/>
  <c r="Z1048" i="3"/>
  <c r="Z1029" i="3"/>
  <c r="Z1093" i="3"/>
  <c r="Z1069" i="3"/>
  <c r="W1252" i="3"/>
  <c r="Z1169" i="3"/>
  <c r="AU1262" i="3"/>
  <c r="Z1092" i="3"/>
  <c r="AU1128" i="3"/>
  <c r="Z1171" i="3"/>
  <c r="Z1033" i="3"/>
  <c r="AU1252" i="3"/>
  <c r="Z1273" i="3"/>
  <c r="Z1082" i="3"/>
  <c r="Z1117" i="3"/>
  <c r="Z1105" i="3"/>
  <c r="AU1261" i="3"/>
  <c r="Z1097" i="3"/>
  <c r="AU1098" i="3"/>
  <c r="AU1124" i="3"/>
  <c r="AU1093" i="3"/>
  <c r="W1124" i="3"/>
  <c r="X1149" i="3"/>
  <c r="W1261" i="3"/>
  <c r="X1117" i="3"/>
  <c r="W1262" i="3"/>
  <c r="W1063" i="3"/>
  <c r="X1252" i="3"/>
  <c r="X1093" i="3"/>
  <c r="X1063" i="3"/>
  <c r="X1121" i="3"/>
  <c r="V1098" i="3"/>
  <c r="X1098" i="3"/>
  <c r="W1117" i="3"/>
  <c r="X1064" i="3"/>
  <c r="X1263" i="3"/>
  <c r="W1069" i="3"/>
  <c r="X1069" i="3"/>
  <c r="AU1069" i="3"/>
  <c r="W1095" i="3"/>
  <c r="X1095" i="3"/>
  <c r="AU1095" i="3"/>
  <c r="X1131" i="3"/>
  <c r="AU1131" i="3"/>
  <c r="AU1120" i="3"/>
  <c r="AU1117" i="3"/>
  <c r="AU1092" i="3"/>
  <c r="AU1105" i="3"/>
  <c r="X1097" i="3"/>
  <c r="W1097" i="3"/>
  <c r="V1097" i="3"/>
  <c r="AU1097" i="3"/>
  <c r="AU1171" i="3"/>
  <c r="AU1169" i="3"/>
  <c r="X1043" i="3"/>
  <c r="W1043" i="3"/>
  <c r="V1043" i="3"/>
  <c r="X1029" i="3"/>
  <c r="AU1029" i="3"/>
  <c r="W1033" i="3"/>
  <c r="X1033" i="3"/>
  <c r="AU1033" i="3"/>
  <c r="W1077" i="3"/>
  <c r="X1077" i="3"/>
  <c r="AU1077" i="3"/>
  <c r="X1082" i="3"/>
  <c r="AU1082" i="3"/>
  <c r="AU1149" i="3"/>
  <c r="X1050" i="3"/>
  <c r="AU1050" i="3"/>
  <c r="AU1273" i="3"/>
  <c r="W1273" i="3"/>
  <c r="V1273" i="3"/>
  <c r="X1258" i="3"/>
  <c r="W1258" i="3"/>
  <c r="V1258" i="3"/>
  <c r="AU1258" i="3"/>
  <c r="X1260" i="3"/>
  <c r="W1260" i="3"/>
  <c r="V1260" i="3"/>
  <c r="AU1260" i="3"/>
  <c r="X1140" i="3"/>
  <c r="W1140" i="3"/>
  <c r="V1140" i="3"/>
  <c r="AU1140" i="3"/>
  <c r="X1158" i="3"/>
  <c r="W1158" i="3"/>
  <c r="V1158" i="3"/>
  <c r="AU1158" i="3"/>
  <c r="X1142" i="3"/>
  <c r="W1142" i="3"/>
  <c r="V1142" i="3"/>
  <c r="AU1142" i="3"/>
  <c r="X1166" i="3"/>
  <c r="W1166" i="3"/>
  <c r="V1166" i="3"/>
  <c r="AU1166" i="3"/>
  <c r="Z1252" i="3"/>
  <c r="Z1121" i="3"/>
  <c r="X1048" i="3"/>
  <c r="AU1048" i="3"/>
  <c r="W1055" i="3"/>
  <c r="X1055" i="3"/>
  <c r="AU1055" i="3"/>
  <c r="Z1125" i="3"/>
  <c r="AU1157" i="3"/>
  <c r="AU1263" i="3"/>
  <c r="W1263" i="3"/>
  <c r="AU1143" i="3"/>
  <c r="Z1063" i="3"/>
  <c r="AU1108" i="3"/>
  <c r="X1261" i="3"/>
  <c r="W1125" i="3"/>
  <c r="W1143" i="3"/>
  <c r="W1128" i="3"/>
  <c r="X1262" i="3"/>
  <c r="X1124" i="3"/>
  <c r="V1125" i="3"/>
  <c r="X1143" i="3"/>
  <c r="X1157" i="3"/>
  <c r="X1128" i="3"/>
  <c r="V1143" i="3"/>
  <c r="AU992" i="3"/>
  <c r="X1108" i="3"/>
  <c r="W1108" i="3"/>
  <c r="W1157" i="3"/>
  <c r="AU1063" i="3"/>
  <c r="AU999" i="3"/>
  <c r="T47" i="122"/>
  <c r="AU1028" i="3"/>
  <c r="AU1023" i="3"/>
  <c r="AU1103" i="3"/>
  <c r="AU1073" i="3"/>
  <c r="AU1115" i="3"/>
  <c r="AU1100" i="3"/>
  <c r="AU1071" i="3"/>
  <c r="AU1272" i="3"/>
  <c r="AU1247" i="3"/>
  <c r="Z1128" i="3"/>
  <c r="Z1108" i="3"/>
  <c r="X1032" i="3"/>
  <c r="W1032" i="3"/>
  <c r="V1032" i="3"/>
  <c r="Z1124" i="3"/>
  <c r="X1125" i="3"/>
  <c r="AU1125" i="3"/>
  <c r="W1103" i="3"/>
  <c r="AU986" i="3"/>
  <c r="AU976" i="3"/>
  <c r="AU1067" i="3"/>
  <c r="AU1075" i="3"/>
  <c r="AU990" i="3"/>
  <c r="AU1079" i="3"/>
  <c r="AU1074" i="3"/>
  <c r="AU1104" i="3"/>
  <c r="AU1271" i="3"/>
  <c r="AU1101" i="3"/>
  <c r="AU1026" i="3"/>
  <c r="AU1058" i="3"/>
  <c r="AU1076" i="3"/>
  <c r="AU1064" i="3"/>
  <c r="AU1020" i="3"/>
  <c r="AU1025" i="3"/>
  <c r="AU1049" i="3"/>
  <c r="AU1046" i="3"/>
  <c r="AU985" i="3"/>
  <c r="AU1066" i="3"/>
  <c r="AU1016" i="3"/>
  <c r="AU1099" i="3"/>
  <c r="AU1135" i="3"/>
  <c r="AU989" i="3"/>
  <c r="AU1044" i="3"/>
  <c r="AU1147" i="3"/>
  <c r="AU1116" i="3"/>
  <c r="AU1130" i="3"/>
  <c r="AU1118" i="3"/>
  <c r="AU1102" i="3"/>
  <c r="AU1080" i="3"/>
  <c r="AU1127" i="3"/>
  <c r="AU1078" i="3"/>
  <c r="AU1018" i="3"/>
  <c r="AU1019" i="3"/>
  <c r="AU943" i="3"/>
  <c r="AU1024" i="3"/>
  <c r="AU1172" i="3"/>
  <c r="AU997" i="3"/>
  <c r="V1067" i="3"/>
  <c r="X1073" i="3"/>
  <c r="Z1028" i="3"/>
  <c r="Z1130" i="3"/>
  <c r="Z1078" i="3"/>
  <c r="X1172" i="3"/>
  <c r="W1172" i="3"/>
  <c r="V1172" i="3"/>
  <c r="Z1066" i="3"/>
  <c r="Z989" i="3"/>
  <c r="Z1019" i="3"/>
  <c r="X1104" i="3"/>
  <c r="X1101" i="3"/>
  <c r="W1104" i="3"/>
  <c r="W1135" i="3"/>
  <c r="W1101" i="3"/>
  <c r="X1103" i="3"/>
  <c r="W1071" i="3"/>
  <c r="X1100" i="3"/>
  <c r="X1079" i="3"/>
  <c r="W1247" i="3"/>
  <c r="W1102" i="3"/>
  <c r="X1247" i="3"/>
  <c r="W1100" i="3"/>
  <c r="X1080" i="3"/>
  <c r="X1067" i="3"/>
  <c r="W1075" i="3"/>
  <c r="X1071" i="3"/>
  <c r="X1075" i="3"/>
  <c r="W1079" i="3"/>
  <c r="W1073" i="3"/>
  <c r="Z1016" i="3"/>
  <c r="Z1099" i="3"/>
  <c r="W1118" i="3"/>
  <c r="Z986" i="3"/>
  <c r="Z1018" i="3"/>
  <c r="Z1147" i="3"/>
  <c r="Z1102" i="3"/>
  <c r="Z1127" i="3"/>
  <c r="Z1024" i="3"/>
  <c r="Z985" i="3"/>
  <c r="Z990" i="3"/>
  <c r="W1080" i="3"/>
  <c r="Z1118" i="3"/>
  <c r="Z1080" i="3"/>
  <c r="Z1135" i="3"/>
  <c r="V1118" i="3"/>
  <c r="X1102" i="3"/>
  <c r="W44" i="122"/>
  <c r="X1118" i="3"/>
  <c r="V1080" i="3"/>
  <c r="W1024" i="3"/>
  <c r="X1024" i="3"/>
  <c r="Z1074" i="3"/>
  <c r="Z1023" i="3"/>
  <c r="X1028" i="3"/>
  <c r="W1018" i="3"/>
  <c r="X1018" i="3"/>
  <c r="W1019" i="3"/>
  <c r="X1019" i="3"/>
  <c r="X1127" i="3"/>
  <c r="W1127" i="3"/>
  <c r="V1127" i="3"/>
  <c r="X1078" i="3"/>
  <c r="W1078" i="3"/>
  <c r="V1078" i="3"/>
  <c r="Z1101" i="3"/>
  <c r="Z1104" i="3"/>
  <c r="Z1079" i="3"/>
  <c r="Z1073" i="3"/>
  <c r="Z1100" i="3"/>
  <c r="Z1075" i="3"/>
  <c r="Z1103" i="3"/>
  <c r="Z1071" i="3"/>
  <c r="Z1247" i="3"/>
  <c r="Z1067" i="3"/>
  <c r="Z1272" i="3"/>
  <c r="Z1271" i="3"/>
  <c r="Z1115" i="3"/>
  <c r="W986" i="3"/>
  <c r="X986" i="3"/>
  <c r="X1135" i="3"/>
  <c r="X990" i="3"/>
  <c r="X985" i="3"/>
  <c r="W985" i="3"/>
  <c r="X1046" i="3"/>
  <c r="W1046" i="3"/>
  <c r="V1046" i="3"/>
  <c r="Z992" i="3"/>
  <c r="Z1076" i="3"/>
  <c r="Z1058" i="3"/>
  <c r="Z1026" i="3"/>
  <c r="U982" i="3"/>
  <c r="BH982" i="3"/>
  <c r="BG982" i="3"/>
  <c r="BF982" i="3"/>
  <c r="BE982" i="3"/>
  <c r="AZ982" i="3"/>
  <c r="AY982" i="3"/>
  <c r="AU982" i="3"/>
  <c r="AC982" i="3"/>
  <c r="F982" i="3" a="1"/>
  <c r="C982" i="3"/>
  <c r="Z1013" i="3"/>
  <c r="V1013" i="3"/>
  <c r="F1013" i="3" a="1"/>
  <c r="C1013" i="3"/>
  <c r="AC1013" i="3"/>
  <c r="AY1013" i="3"/>
  <c r="BE1013" i="3"/>
  <c r="W1013" i="3" s="1"/>
  <c r="BF1013" i="3"/>
  <c r="X1013" i="3" s="1"/>
  <c r="BG1013" i="3"/>
  <c r="BH1013" i="3"/>
  <c r="F1004" i="3" a="1"/>
  <c r="AX1004" i="3"/>
  <c r="AY1004" i="3" s="1"/>
  <c r="AU1004" i="3"/>
  <c r="F956" i="3" a="1"/>
  <c r="AX956" i="3"/>
  <c r="AY956" i="3" s="1"/>
  <c r="AK956" i="3"/>
  <c r="BH956" i="3"/>
  <c r="BG956" i="3"/>
  <c r="BF956" i="3"/>
  <c r="BE956" i="3"/>
  <c r="AZ956" i="3"/>
  <c r="AC956" i="3"/>
  <c r="V956" i="3"/>
  <c r="C956" i="3"/>
  <c r="BH1004" i="3"/>
  <c r="BG1004" i="3"/>
  <c r="BF1004" i="3"/>
  <c r="BE1004" i="3"/>
  <c r="AZ1004" i="3"/>
  <c r="AC1004" i="3"/>
  <c r="V1004" i="3"/>
  <c r="C1004" i="3"/>
  <c r="F1086" i="3" a="1"/>
  <c r="BH1086" i="3"/>
  <c r="BG1086" i="3"/>
  <c r="BF1086" i="3"/>
  <c r="X1086" i="3" s="1"/>
  <c r="BE1086" i="3"/>
  <c r="W1086" i="3" s="1"/>
  <c r="AZ1086" i="3"/>
  <c r="AY1086" i="3"/>
  <c r="AC1086" i="3"/>
  <c r="V1086" i="3"/>
  <c r="C1086" i="3"/>
  <c r="F1085" i="3" a="1"/>
  <c r="F1083" i="3" a="1"/>
  <c r="BH1083" i="3"/>
  <c r="BG1083" i="3"/>
  <c r="BF1083" i="3"/>
  <c r="X1083" i="3" s="1"/>
  <c r="BE1083" i="3"/>
  <c r="W1083" i="3" s="1"/>
  <c r="AZ1083" i="3"/>
  <c r="AY1083" i="3"/>
  <c r="AC1083" i="3"/>
  <c r="V1083" i="3"/>
  <c r="C1083" i="3"/>
  <c r="BH1085" i="3"/>
  <c r="BG1085" i="3"/>
  <c r="BF1085" i="3"/>
  <c r="X1085" i="3" s="1"/>
  <c r="BE1085" i="3"/>
  <c r="W1085" i="3" s="1"/>
  <c r="AZ1085" i="3"/>
  <c r="AY1085" i="3"/>
  <c r="AC1085" i="3"/>
  <c r="V1085" i="3"/>
  <c r="C1085" i="3"/>
  <c r="F1042" i="3" a="1"/>
  <c r="BH1042" i="3"/>
  <c r="BG1042" i="3"/>
  <c r="BF1042" i="3"/>
  <c r="X1042" i="3" s="1"/>
  <c r="BE1042" i="3"/>
  <c r="W1042" i="3" s="1"/>
  <c r="AZ1042" i="3"/>
  <c r="AY1042" i="3"/>
  <c r="C1042" i="3"/>
  <c r="U873" i="3"/>
  <c r="U872" i="3"/>
  <c r="F873" i="3" a="1"/>
  <c r="AX873" i="3"/>
  <c r="AY873" i="3" s="1"/>
  <c r="Z873" i="3"/>
  <c r="BH873" i="3"/>
  <c r="BG873" i="3"/>
  <c r="BF873" i="3"/>
  <c r="BE873" i="3"/>
  <c r="AC873" i="3"/>
  <c r="C873" i="3"/>
  <c r="U928" i="3"/>
  <c r="U874" i="3"/>
  <c r="BH928" i="3"/>
  <c r="BG928" i="3"/>
  <c r="BF928" i="3"/>
  <c r="BE928" i="3"/>
  <c r="AX928" i="3"/>
  <c r="AY928" i="3" s="1"/>
  <c r="AU928" i="3"/>
  <c r="AC928" i="3"/>
  <c r="F928" i="3" a="1"/>
  <c r="C928" i="3"/>
  <c r="U978" i="3"/>
  <c r="U929" i="3"/>
  <c r="U1053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2" i="3"/>
  <c r="Z991" i="3"/>
  <c r="Z863" i="3"/>
  <c r="F984" i="3" a="1"/>
  <c r="AU984" i="3"/>
  <c r="W984" i="3"/>
  <c r="BH984" i="3"/>
  <c r="BG984" i="3"/>
  <c r="BF984" i="3"/>
  <c r="X984" i="3" s="1"/>
  <c r="BE984" i="3"/>
  <c r="AZ984" i="3"/>
  <c r="AY984" i="3"/>
  <c r="AC984" i="3"/>
  <c r="V984" i="3"/>
  <c r="C984" i="3"/>
  <c r="AN621" i="3"/>
  <c r="F1008" i="3" a="1"/>
  <c r="AX1008" i="3"/>
  <c r="AY1008" i="3" s="1"/>
  <c r="AJ1008" i="3"/>
  <c r="AK1008" i="3"/>
  <c r="BH1008" i="3"/>
  <c r="BG1008" i="3"/>
  <c r="BF1008" i="3"/>
  <c r="X1008" i="3" s="1"/>
  <c r="BE1008" i="3"/>
  <c r="W1008" i="3" s="1"/>
  <c r="AC1008" i="3"/>
  <c r="V1008" i="3"/>
  <c r="C1008" i="3"/>
  <c r="AJ1001" i="3"/>
  <c r="AK1001" i="3"/>
  <c r="AJ1002" i="3"/>
  <c r="AK1002" i="3"/>
  <c r="AJ1245" i="3"/>
  <c r="AK1245" i="3"/>
  <c r="AK921" i="3"/>
  <c r="AJ950" i="3"/>
  <c r="AK950" i="3"/>
  <c r="AJ951" i="3"/>
  <c r="AK951" i="3"/>
  <c r="AJ1005" i="3"/>
  <c r="AK1005" i="3"/>
  <c r="AJ1246" i="3"/>
  <c r="AK1246" i="3"/>
  <c r="AJ1248" i="3"/>
  <c r="AK1248" i="3"/>
  <c r="AJ1250" i="3"/>
  <c r="AK1250" i="3"/>
  <c r="AJ1251" i="3"/>
  <c r="AK1251" i="3"/>
  <c r="AJ1255" i="3"/>
  <c r="AK1255" i="3"/>
  <c r="AJ1257" i="3"/>
  <c r="AK1257" i="3"/>
  <c r="AJ1259" i="3"/>
  <c r="AK1259" i="3"/>
  <c r="AJ1264" i="3"/>
  <c r="AK1264" i="3"/>
  <c r="AJ1265" i="3"/>
  <c r="AK1265" i="3"/>
  <c r="AJ1267" i="3"/>
  <c r="AK1267" i="3"/>
  <c r="AJ1268" i="3"/>
  <c r="AK1268" i="3"/>
  <c r="AJ1269" i="3"/>
  <c r="AK1269" i="3"/>
  <c r="AM1238" i="3"/>
  <c r="AN1238" i="3"/>
  <c r="AM1239" i="3"/>
  <c r="AN1239" i="3"/>
  <c r="AM1240" i="3"/>
  <c r="AN1240" i="3"/>
  <c r="AM1241" i="3"/>
  <c r="AN1241" i="3"/>
  <c r="AM1243" i="3"/>
  <c r="AN1243" i="3"/>
  <c r="AM1244" i="3"/>
  <c r="AN1244" i="3"/>
  <c r="AJ1240" i="3"/>
  <c r="AK1240" i="3"/>
  <c r="AJ1007" i="3"/>
  <c r="AK1007" i="3"/>
  <c r="AJ1241" i="3"/>
  <c r="AK1241" i="3"/>
  <c r="AJ1009" i="3"/>
  <c r="AK1009" i="3"/>
  <c r="AJ1072" i="3"/>
  <c r="AJ1021" i="3"/>
  <c r="AK1021" i="3"/>
  <c r="AJ1243" i="3"/>
  <c r="AK1243" i="3"/>
  <c r="AJ1022" i="3"/>
  <c r="AK1022" i="3"/>
  <c r="AJ1010" i="3"/>
  <c r="AK1010" i="3"/>
  <c r="AJ1244" i="3"/>
  <c r="AK1244" i="3"/>
  <c r="AK957" i="3"/>
  <c r="AM1237" i="3"/>
  <c r="AN1237" i="3"/>
  <c r="AJ1237" i="3"/>
  <c r="AK1237" i="3"/>
  <c r="AJ1238" i="3"/>
  <c r="AK1238" i="3"/>
  <c r="AJ1239" i="3"/>
  <c r="AK1239" i="3"/>
  <c r="AJ952" i="3"/>
  <c r="AK952" i="3"/>
  <c r="AU952" i="3" s="1"/>
  <c r="F705" i="3" a="1"/>
  <c r="F980" i="3" a="1"/>
  <c r="AK980" i="3"/>
  <c r="W980" i="3"/>
  <c r="BH980" i="3"/>
  <c r="BG980" i="3"/>
  <c r="BF980" i="3"/>
  <c r="X980" i="3" s="1"/>
  <c r="BE980" i="3"/>
  <c r="AZ980" i="3"/>
  <c r="AY980" i="3"/>
  <c r="AC980" i="3"/>
  <c r="V980" i="3"/>
  <c r="C980" i="3"/>
  <c r="U1045" i="3"/>
  <c r="AY1232" i="3"/>
  <c r="AN1232" i="3"/>
  <c r="AK1232" i="3"/>
  <c r="BH1232" i="3"/>
  <c r="AC1232" i="3"/>
  <c r="C1232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C801" i="3"/>
  <c r="U225" i="70"/>
  <c r="U226" i="70"/>
  <c r="U224" i="70"/>
  <c r="BC224" i="70"/>
  <c r="AS224" i="70"/>
  <c r="AA224" i="70"/>
  <c r="X224" i="70"/>
  <c r="C224" i="70"/>
  <c r="BC225" i="70"/>
  <c r="AS225" i="70"/>
  <c r="AA225" i="70"/>
  <c r="X225" i="70"/>
  <c r="C225" i="70"/>
  <c r="BC226" i="70"/>
  <c r="AS226" i="70"/>
  <c r="AA226" i="70"/>
  <c r="X226" i="70"/>
  <c r="C226" i="70"/>
  <c r="BC219" i="70"/>
  <c r="AS219" i="70"/>
  <c r="AA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3" i="70" a="1"/>
  <c r="F182" i="70" a="1"/>
  <c r="F181" i="70" a="1"/>
  <c r="F180" i="70" a="1"/>
  <c r="U180" i="70"/>
  <c r="U181" i="70"/>
  <c r="U182" i="70"/>
  <c r="U183" i="70"/>
  <c r="BC180" i="70"/>
  <c r="AS180" i="70"/>
  <c r="AA180" i="70"/>
  <c r="X180" i="70"/>
  <c r="C180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68" i="3"/>
  <c r="AM866" i="3"/>
  <c r="AM834" i="3"/>
  <c r="AM831" i="3"/>
  <c r="AM827" i="3"/>
  <c r="U935" i="3"/>
  <c r="W935" i="3" s="1"/>
  <c r="U934" i="3"/>
  <c r="AC935" i="3"/>
  <c r="Z935" i="3"/>
  <c r="F935" i="3" a="1"/>
  <c r="C935" i="3"/>
  <c r="AY935" i="3"/>
  <c r="AZ935" i="3"/>
  <c r="BE935" i="3"/>
  <c r="BF935" i="3"/>
  <c r="BG935" i="3"/>
  <c r="BH935" i="3"/>
  <c r="AX868" i="3"/>
  <c r="AX859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F190" i="70" a="1"/>
  <c r="F191" i="70" a="1"/>
  <c r="F192" i="70" a="1"/>
  <c r="F193" i="70" a="1"/>
  <c r="F184" i="70" a="1"/>
  <c r="F185" i="70" a="1"/>
  <c r="F196" i="70" a="1"/>
  <c r="F198" i="70" a="1"/>
  <c r="F201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5" i="70" a="1"/>
  <c r="F216" i="70" a="1"/>
  <c r="F217" i="70" a="1"/>
  <c r="U799" i="3"/>
  <c r="BH991" i="3"/>
  <c r="BG991" i="3"/>
  <c r="BF991" i="3"/>
  <c r="X991" i="3" s="1"/>
  <c r="BE991" i="3"/>
  <c r="W991" i="3" s="1"/>
  <c r="AZ991" i="3"/>
  <c r="V991" i="3"/>
  <c r="F991" i="3" a="1"/>
  <c r="C991" i="3"/>
  <c r="AB102" i="122" l="1"/>
  <c r="Z98" i="122"/>
  <c r="Z100" i="122" s="1"/>
  <c r="Z101" i="122"/>
  <c r="R126" i="122"/>
  <c r="R129" i="122"/>
  <c r="D52" i="122"/>
  <c r="X67" i="122"/>
  <c r="X64" i="122"/>
  <c r="V101" i="122"/>
  <c r="V98" i="122"/>
  <c r="S125" i="122"/>
  <c r="S122" i="122"/>
  <c r="X33" i="122"/>
  <c r="X30" i="122"/>
  <c r="V33" i="122"/>
  <c r="V30" i="122"/>
  <c r="W105" i="122"/>
  <c r="W102" i="122"/>
  <c r="W37" i="122"/>
  <c r="W34" i="122"/>
  <c r="Y125" i="122"/>
  <c r="Y141" i="122" s="1"/>
  <c r="Y122" i="122"/>
  <c r="Y138" i="122" s="1"/>
  <c r="Y79" i="122"/>
  <c r="Y95" i="122" s="1"/>
  <c r="Y76" i="122"/>
  <c r="X129" i="122"/>
  <c r="X126" i="122"/>
  <c r="V105" i="122"/>
  <c r="V102" i="122"/>
  <c r="U125" i="122"/>
  <c r="U122" i="122"/>
  <c r="U21" i="122"/>
  <c r="U18" i="122"/>
  <c r="W125" i="122"/>
  <c r="W122" i="122"/>
  <c r="X9" i="122"/>
  <c r="V21" i="122"/>
  <c r="V18" i="122"/>
  <c r="X6" i="122"/>
  <c r="Z67" i="122"/>
  <c r="Z75" i="122" s="1"/>
  <c r="Z64" i="122"/>
  <c r="AA75" i="122"/>
  <c r="AU1259" i="3"/>
  <c r="AU1111" i="3"/>
  <c r="AU1134" i="3"/>
  <c r="AU1257" i="3"/>
  <c r="AU1133" i="3"/>
  <c r="AU993" i="3"/>
  <c r="AU1264" i="3"/>
  <c r="AU1265" i="3"/>
  <c r="AU801" i="3"/>
  <c r="AU1232" i="3"/>
  <c r="AU980" i="3"/>
  <c r="AU1237" i="3"/>
  <c r="AU1244" i="3"/>
  <c r="AU1057" i="3"/>
  <c r="AU1027" i="3"/>
  <c r="AU1010" i="3"/>
  <c r="AU1022" i="3"/>
  <c r="AU1243" i="3"/>
  <c r="AU1021" i="3"/>
  <c r="AU1148" i="3"/>
  <c r="AU1062" i="3"/>
  <c r="AU1072" i="3"/>
  <c r="AU1038" i="3"/>
  <c r="AU1037" i="3"/>
  <c r="AU972" i="3"/>
  <c r="AU1009" i="3"/>
  <c r="AU1241" i="3"/>
  <c r="AU1007" i="3"/>
  <c r="AU1240" i="3"/>
  <c r="AU1239" i="3"/>
  <c r="AU1238" i="3"/>
  <c r="AU1008" i="3"/>
  <c r="Z621" i="3"/>
  <c r="AU621" i="3"/>
  <c r="AU1042" i="3"/>
  <c r="AU1083" i="3"/>
  <c r="AU1085" i="3"/>
  <c r="AU1086" i="3"/>
  <c r="AU956" i="3"/>
  <c r="P23" i="122"/>
  <c r="Z801" i="3"/>
  <c r="X873" i="3"/>
  <c r="Z1004" i="3"/>
  <c r="Z982" i="3"/>
  <c r="Z928" i="3"/>
  <c r="Z1085" i="3"/>
  <c r="Z1086" i="3"/>
  <c r="Z1083" i="3"/>
  <c r="Z956" i="3"/>
  <c r="X982" i="3"/>
  <c r="W873" i="3"/>
  <c r="V982" i="3"/>
  <c r="W982" i="3"/>
  <c r="V873" i="3"/>
  <c r="W1004" i="3"/>
  <c r="X1004" i="3"/>
  <c r="W956" i="3"/>
  <c r="X956" i="3"/>
  <c r="X928" i="3"/>
  <c r="W928" i="3"/>
  <c r="V928" i="3"/>
  <c r="V935" i="3"/>
  <c r="Z984" i="3"/>
  <c r="Z1008" i="3"/>
  <c r="X935" i="3"/>
  <c r="Z1232" i="3"/>
  <c r="Z980" i="3"/>
  <c r="X801" i="3"/>
  <c r="U1151" i="3"/>
  <c r="BH1248" i="3"/>
  <c r="AY1248" i="3"/>
  <c r="AN1248" i="3"/>
  <c r="AU1248" i="3" s="1"/>
  <c r="AC1248" i="3"/>
  <c r="C1248" i="3"/>
  <c r="F863" i="3" a="1"/>
  <c r="BH863" i="3"/>
  <c r="BG863" i="3"/>
  <c r="BF863" i="3"/>
  <c r="X863" i="3" s="1"/>
  <c r="BE863" i="3"/>
  <c r="W863" i="3" s="1"/>
  <c r="AZ863" i="3"/>
  <c r="AY863" i="3"/>
  <c r="AC863" i="3"/>
  <c r="V863" i="3"/>
  <c r="C863" i="3"/>
  <c r="F927" i="3" a="1"/>
  <c r="AK927" i="3"/>
  <c r="BH927" i="3"/>
  <c r="BG927" i="3"/>
  <c r="BF927" i="3"/>
  <c r="BE927" i="3"/>
  <c r="AZ927" i="3"/>
  <c r="AY927" i="3"/>
  <c r="AC927" i="3"/>
  <c r="V927" i="3"/>
  <c r="C927" i="3"/>
  <c r="F921" i="3" a="1"/>
  <c r="U921" i="3"/>
  <c r="BH1245" i="3"/>
  <c r="AY1245" i="3"/>
  <c r="AN1245" i="3"/>
  <c r="AU1245" i="3" s="1"/>
  <c r="AC1245" i="3"/>
  <c r="C1245" i="3"/>
  <c r="F983" i="3" a="1"/>
  <c r="W983" i="3"/>
  <c r="BH983" i="3"/>
  <c r="BG983" i="3"/>
  <c r="BF983" i="3"/>
  <c r="X983" i="3" s="1"/>
  <c r="BE983" i="3"/>
  <c r="AZ983" i="3"/>
  <c r="AY983" i="3"/>
  <c r="AC983" i="3"/>
  <c r="V983" i="3"/>
  <c r="C983" i="3"/>
  <c r="U838" i="3"/>
  <c r="V838" i="3" s="1"/>
  <c r="U837" i="3"/>
  <c r="AX838" i="3"/>
  <c r="AY838" i="3" s="1"/>
  <c r="AU838" i="3"/>
  <c r="BH838" i="3"/>
  <c r="BG838" i="3"/>
  <c r="BF838" i="3"/>
  <c r="BE838" i="3"/>
  <c r="AC838" i="3"/>
  <c r="C838" i="3"/>
  <c r="BH973" i="3"/>
  <c r="BG973" i="3"/>
  <c r="BF973" i="3"/>
  <c r="BE973" i="3"/>
  <c r="AX973" i="3"/>
  <c r="AY973" i="3" s="1"/>
  <c r="AU973" i="3"/>
  <c r="AC973" i="3"/>
  <c r="F973" i="3" a="1"/>
  <c r="C973" i="3"/>
  <c r="F979" i="3" a="1"/>
  <c r="AJ979" i="3"/>
  <c r="AK979" i="3"/>
  <c r="BH979" i="3"/>
  <c r="BG979" i="3"/>
  <c r="BF979" i="3"/>
  <c r="BE979" i="3"/>
  <c r="AZ979" i="3"/>
  <c r="AY979" i="3"/>
  <c r="AC979" i="3"/>
  <c r="V979" i="3"/>
  <c r="C979" i="3"/>
  <c r="F1014" i="3" a="1"/>
  <c r="AU1014" i="3"/>
  <c r="BH1014" i="3"/>
  <c r="BG1014" i="3"/>
  <c r="BF1014" i="3"/>
  <c r="BE1014" i="3"/>
  <c r="W1014" i="3" s="1"/>
  <c r="AZ1014" i="3"/>
  <c r="AY1014" i="3"/>
  <c r="AC1014" i="3"/>
  <c r="V1014" i="3"/>
  <c r="C1014" i="3"/>
  <c r="F1015" i="3" a="1"/>
  <c r="AU1015" i="3"/>
  <c r="BH1015" i="3"/>
  <c r="BG1015" i="3"/>
  <c r="BF1015" i="3"/>
  <c r="BE1015" i="3"/>
  <c r="AZ1015" i="3"/>
  <c r="AY1015" i="3"/>
  <c r="AC1015" i="3"/>
  <c r="V1015" i="3"/>
  <c r="C1015" i="3"/>
  <c r="BC149" i="70"/>
  <c r="H102" i="86"/>
  <c r="H101" i="86"/>
  <c r="AB104" i="122" l="1"/>
  <c r="AB120" i="122" s="1"/>
  <c r="AB118" i="122"/>
  <c r="BF1269" i="3"/>
  <c r="BF1270" i="3"/>
  <c r="X1270" i="3" s="1"/>
  <c r="BF1271" i="3"/>
  <c r="BF1272" i="3"/>
  <c r="BF1273" i="3"/>
  <c r="X1273" i="3" s="1"/>
  <c r="AA66" i="122"/>
  <c r="AA74" i="122" s="1"/>
  <c r="AA72" i="122"/>
  <c r="Z66" i="122"/>
  <c r="Z74" i="122" s="1"/>
  <c r="Z72" i="122"/>
  <c r="Y124" i="122"/>
  <c r="Y140" i="122" s="1"/>
  <c r="Y92" i="122"/>
  <c r="Y78" i="122"/>
  <c r="Y94" i="122" s="1"/>
  <c r="AU983" i="3"/>
  <c r="AU979" i="3"/>
  <c r="AU927" i="3"/>
  <c r="Z838" i="3"/>
  <c r="Z1248" i="3"/>
  <c r="Z927" i="3"/>
  <c r="Z979" i="3"/>
  <c r="W927" i="3"/>
  <c r="X927" i="3"/>
  <c r="Z1245" i="3"/>
  <c r="W838" i="3"/>
  <c r="Z973" i="3"/>
  <c r="Z1014" i="3"/>
  <c r="Z983" i="3"/>
  <c r="Z1015" i="3"/>
  <c r="X838" i="3"/>
  <c r="X973" i="3"/>
  <c r="W973" i="3"/>
  <c r="V973" i="3"/>
  <c r="W979" i="3"/>
  <c r="X979" i="3"/>
  <c r="X1014" i="3"/>
  <c r="W1015" i="3"/>
  <c r="X1015" i="3"/>
  <c r="J39" i="47"/>
  <c r="E39" i="47"/>
  <c r="J20" i="47"/>
  <c r="AJ856" i="3"/>
  <c r="AJ855" i="3"/>
  <c r="AJ854" i="3"/>
  <c r="AJ853" i="3"/>
  <c r="K34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2" i="3"/>
  <c r="AZ920" i="3"/>
  <c r="AZ925" i="3"/>
  <c r="AZ926" i="3"/>
  <c r="AZ971" i="3"/>
  <c r="AZ981" i="3"/>
  <c r="AZ934" i="3"/>
  <c r="AZ988" i="3"/>
  <c r="AZ1056" i="3"/>
  <c r="AZ1017" i="3"/>
  <c r="AZ1088" i="3"/>
  <c r="AZ1219" i="3"/>
  <c r="AZ1094" i="3"/>
  <c r="AZ1090" i="3"/>
  <c r="AZ1068" i="3"/>
  <c r="AZ1070" i="3"/>
  <c r="AZ1091" i="3"/>
  <c r="AZ1216" i="3"/>
  <c r="AZ1217" i="3"/>
  <c r="AZ1218" i="3"/>
  <c r="AZ1035" i="3"/>
  <c r="AZ954" i="3"/>
  <c r="AZ976" i="3"/>
  <c r="AZ1009" i="3"/>
  <c r="AZ957" i="3"/>
  <c r="AZ937" i="3"/>
  <c r="AZ958" i="3"/>
  <c r="AZ959" i="3"/>
  <c r="AZ960" i="3"/>
  <c r="AZ1002" i="3"/>
  <c r="AZ950" i="3"/>
  <c r="AZ1250" i="3"/>
  <c r="AZ1065" i="3"/>
  <c r="F1219" i="3" l="1" a="1"/>
  <c r="U1219" i="3"/>
  <c r="BH1219" i="3"/>
  <c r="AY1219" i="3"/>
  <c r="AU1219" i="3"/>
  <c r="AC1219" i="3"/>
  <c r="C1219" i="3"/>
  <c r="AK798" i="3"/>
  <c r="AK799" i="3"/>
  <c r="AK800" i="3"/>
  <c r="AK775" i="3"/>
  <c r="AK774" i="3"/>
  <c r="AU965" i="3"/>
  <c r="AU966" i="3"/>
  <c r="F1088" i="3" a="1"/>
  <c r="F1056" i="3" a="1"/>
  <c r="F981" i="3" a="1"/>
  <c r="C981" i="3"/>
  <c r="AC981" i="3"/>
  <c r="AY981" i="3"/>
  <c r="BE981" i="3"/>
  <c r="BF981" i="3"/>
  <c r="X981" i="3" s="1"/>
  <c r="BG981" i="3"/>
  <c r="BH981" i="3"/>
  <c r="C1056" i="3"/>
  <c r="AC1056" i="3"/>
  <c r="AY1056" i="3"/>
  <c r="BE1056" i="3"/>
  <c r="BF1056" i="3"/>
  <c r="X1056" i="3" s="1"/>
  <c r="BG1056" i="3"/>
  <c r="BH1056" i="3"/>
  <c r="C1088" i="3"/>
  <c r="AC1088" i="3"/>
  <c r="AN1088" i="3"/>
  <c r="AY1088" i="3"/>
  <c r="BE1088" i="3"/>
  <c r="BF1088" i="3"/>
  <c r="X1088" i="3" s="1"/>
  <c r="BG1088" i="3"/>
  <c r="BH1088" i="3"/>
  <c r="Q65" i="122"/>
  <c r="F998" i="3" a="1"/>
  <c r="AX998" i="3"/>
  <c r="AY998" i="3" s="1"/>
  <c r="BH998" i="3"/>
  <c r="BG998" i="3"/>
  <c r="BF998" i="3"/>
  <c r="X998" i="3" s="1"/>
  <c r="BE998" i="3"/>
  <c r="W998" i="3" s="1"/>
  <c r="AC998" i="3"/>
  <c r="V998" i="3"/>
  <c r="C998" i="3"/>
  <c r="W1017" i="3"/>
  <c r="F1017" i="3" a="1"/>
  <c r="C1017" i="3"/>
  <c r="AC1017" i="3"/>
  <c r="AJ1017" i="3"/>
  <c r="AK1017" i="3"/>
  <c r="AY1017" i="3"/>
  <c r="BE1017" i="3"/>
  <c r="BF1017" i="3"/>
  <c r="BG1017" i="3"/>
  <c r="BH1017" i="3"/>
  <c r="F1151" i="3" a="1"/>
  <c r="AU1151" i="3"/>
  <c r="BH1151" i="3"/>
  <c r="AY1151" i="3"/>
  <c r="AC1151" i="3"/>
  <c r="C1151" i="3"/>
  <c r="BH1269" i="3"/>
  <c r="AY1269" i="3"/>
  <c r="AN1269" i="3"/>
  <c r="AU1269" i="3" s="1"/>
  <c r="AC1269" i="3"/>
  <c r="F1269" i="3" a="1"/>
  <c r="C1269" i="3"/>
  <c r="BH1265" i="3"/>
  <c r="AY1265" i="3"/>
  <c r="C1265" i="3"/>
  <c r="BH1264" i="3"/>
  <c r="AY1264" i="3"/>
  <c r="C1264" i="3"/>
  <c r="BH1259" i="3"/>
  <c r="AY1259" i="3"/>
  <c r="C1259" i="3"/>
  <c r="BH1257" i="3"/>
  <c r="AY1257" i="3"/>
  <c r="C1257" i="3"/>
  <c r="U1012" i="3"/>
  <c r="V1012" i="3" s="1"/>
  <c r="U1010" i="3"/>
  <c r="V1010" i="3" s="1"/>
  <c r="F1027" i="3" a="1"/>
  <c r="AX1027" i="3"/>
  <c r="AY1027" i="3" s="1"/>
  <c r="BE1027" i="3"/>
  <c r="W1027" i="3" s="1"/>
  <c r="BF1027" i="3"/>
  <c r="BG1027" i="3"/>
  <c r="BH1027" i="3"/>
  <c r="V1027" i="3"/>
  <c r="AC1027" i="3"/>
  <c r="C1027" i="3"/>
  <c r="V1134" i="3"/>
  <c r="F862" i="3" a="1"/>
  <c r="BH862" i="3"/>
  <c r="BG862" i="3"/>
  <c r="BF862" i="3"/>
  <c r="BE862" i="3"/>
  <c r="AY862" i="3"/>
  <c r="AC862" i="3"/>
  <c r="V862" i="3"/>
  <c r="C862" i="3"/>
  <c r="F931" i="3" a="1"/>
  <c r="AX931" i="3"/>
  <c r="AY931" i="3" s="1"/>
  <c r="AU931" i="3"/>
  <c r="BH931" i="3"/>
  <c r="BG931" i="3"/>
  <c r="BF931" i="3"/>
  <c r="BE931" i="3"/>
  <c r="AC931" i="3"/>
  <c r="V931" i="3"/>
  <c r="C931" i="3"/>
  <c r="F923" i="3" a="1"/>
  <c r="AK923" i="3"/>
  <c r="W923" i="3"/>
  <c r="BH923" i="3"/>
  <c r="BG923" i="3"/>
  <c r="BF923" i="3"/>
  <c r="BE923" i="3"/>
  <c r="AY923" i="3"/>
  <c r="AC923" i="3"/>
  <c r="V923" i="3"/>
  <c r="C923" i="3"/>
  <c r="AU823" i="3"/>
  <c r="AN825" i="3"/>
  <c r="AN826" i="3"/>
  <c r="AN827" i="3"/>
  <c r="AU827" i="3" s="1"/>
  <c r="AN828" i="3"/>
  <c r="AN829" i="3"/>
  <c r="AN830" i="3"/>
  <c r="AN831" i="3"/>
  <c r="AU831" i="3" s="1"/>
  <c r="AN832" i="3"/>
  <c r="AU837" i="3"/>
  <c r="AU841" i="3"/>
  <c r="AU842" i="3"/>
  <c r="AU843" i="3"/>
  <c r="AN844" i="3"/>
  <c r="AN845" i="3"/>
  <c r="AU847" i="3"/>
  <c r="AU849" i="3"/>
  <c r="AN850" i="3"/>
  <c r="AN853" i="3"/>
  <c r="AN855" i="3"/>
  <c r="AN856" i="3"/>
  <c r="AN857" i="3"/>
  <c r="AN865" i="3"/>
  <c r="AN866" i="3"/>
  <c r="AN867" i="3"/>
  <c r="AN868" i="3"/>
  <c r="AN869" i="3"/>
  <c r="AN870" i="3"/>
  <c r="AN871" i="3"/>
  <c r="AN875" i="3"/>
  <c r="AN876" i="3"/>
  <c r="AN877" i="3"/>
  <c r="AN878" i="3"/>
  <c r="AN879" i="3"/>
  <c r="Z879" i="3" s="1"/>
  <c r="AN880" i="3"/>
  <c r="AU883" i="3"/>
  <c r="AU884" i="3"/>
  <c r="AU885" i="3"/>
  <c r="AU886" i="3"/>
  <c r="AU887" i="3"/>
  <c r="AN902" i="3"/>
  <c r="AU894" i="3"/>
  <c r="AU895" i="3"/>
  <c r="AU896" i="3"/>
  <c r="AU897" i="3"/>
  <c r="AU898" i="3"/>
  <c r="AU899" i="3"/>
  <c r="AU964" i="3"/>
  <c r="AU968" i="3"/>
  <c r="AN1112" i="3"/>
  <c r="AU988" i="3"/>
  <c r="AN1173" i="3"/>
  <c r="AN1174" i="3"/>
  <c r="AN1175" i="3"/>
  <c r="AN1176" i="3"/>
  <c r="AN1177" i="3"/>
  <c r="AN1178" i="3"/>
  <c r="AN1179" i="3"/>
  <c r="AN1180" i="3"/>
  <c r="AN1181" i="3"/>
  <c r="AN1182" i="3"/>
  <c r="AN1183" i="3"/>
  <c r="AN1184" i="3"/>
  <c r="AN1185" i="3"/>
  <c r="AN1186" i="3"/>
  <c r="AN1187" i="3"/>
  <c r="AN1188" i="3"/>
  <c r="AN1189" i="3"/>
  <c r="AN1190" i="3"/>
  <c r="AN1191" i="3"/>
  <c r="AU936" i="3"/>
  <c r="AN1192" i="3"/>
  <c r="AN1193" i="3"/>
  <c r="AN1194" i="3"/>
  <c r="AN1195" i="3"/>
  <c r="AN1196" i="3"/>
  <c r="AN1197" i="3"/>
  <c r="AN1198" i="3"/>
  <c r="AN1199" i="3"/>
  <c r="AN1200" i="3"/>
  <c r="AN1201" i="3"/>
  <c r="AN1202" i="3"/>
  <c r="AN1203" i="3"/>
  <c r="AN1204" i="3"/>
  <c r="AN1205" i="3"/>
  <c r="AN1206" i="3"/>
  <c r="AN1207" i="3"/>
  <c r="AN1208" i="3"/>
  <c r="AN1209" i="3"/>
  <c r="AN1210" i="3"/>
  <c r="AN1211" i="3"/>
  <c r="AU1012" i="3"/>
  <c r="AN1212" i="3"/>
  <c r="AN1213" i="3"/>
  <c r="AN1214" i="3"/>
  <c r="AN1215" i="3"/>
  <c r="AU1216" i="3"/>
  <c r="AU1217" i="3"/>
  <c r="AU1218" i="3"/>
  <c r="AN1220" i="3"/>
  <c r="AU939" i="3"/>
  <c r="AU945" i="3"/>
  <c r="AN1221" i="3"/>
  <c r="AU996" i="3"/>
  <c r="AU948" i="3"/>
  <c r="AN1222" i="3"/>
  <c r="AN1223" i="3"/>
  <c r="AN1224" i="3"/>
  <c r="AN1225" i="3"/>
  <c r="AU944" i="3"/>
  <c r="AN1226" i="3"/>
  <c r="AN1227" i="3"/>
  <c r="AN1228" i="3"/>
  <c r="AN1229" i="3"/>
  <c r="AN1230" i="3"/>
  <c r="AN1045" i="3"/>
  <c r="AN1231" i="3"/>
  <c r="AN1233" i="3"/>
  <c r="AN1234" i="3"/>
  <c r="AN1236" i="3"/>
  <c r="AU947" i="3"/>
  <c r="AU995" i="3"/>
  <c r="AU957" i="3"/>
  <c r="AU937" i="3"/>
  <c r="AU1001" i="3"/>
  <c r="AU1002" i="3"/>
  <c r="AU921" i="3"/>
  <c r="AN1246" i="3"/>
  <c r="AU1246" i="3" s="1"/>
  <c r="AN1251" i="3"/>
  <c r="AU1251" i="3" s="1"/>
  <c r="AN1255" i="3"/>
  <c r="AU1255" i="3" s="1"/>
  <c r="AN1267" i="3"/>
  <c r="AU1267" i="3" s="1"/>
  <c r="AN1268" i="3"/>
  <c r="AU1268" i="3" s="1"/>
  <c r="AN1235" i="3"/>
  <c r="AN1250" i="3"/>
  <c r="AU1250" i="3" s="1"/>
  <c r="AU1065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U721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7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6" i="3"/>
  <c r="AN757" i="3"/>
  <c r="AN758" i="3"/>
  <c r="AN759" i="3"/>
  <c r="AN760" i="3"/>
  <c r="Z761" i="3"/>
  <c r="AU765" i="3"/>
  <c r="AN767" i="3"/>
  <c r="AN769" i="3"/>
  <c r="AN770" i="3"/>
  <c r="AN771" i="3"/>
  <c r="AN772" i="3"/>
  <c r="AN773" i="3"/>
  <c r="AN774" i="3"/>
  <c r="AN775" i="3"/>
  <c r="AN778" i="3"/>
  <c r="AN781" i="3"/>
  <c r="AN782" i="3"/>
  <c r="AN783" i="3"/>
  <c r="AU785" i="3"/>
  <c r="AU791" i="3"/>
  <c r="AN794" i="3"/>
  <c r="AN795" i="3"/>
  <c r="AN796" i="3"/>
  <c r="AN797" i="3"/>
  <c r="AN800" i="3"/>
  <c r="AN802" i="3"/>
  <c r="AN803" i="3"/>
  <c r="AU804" i="3"/>
  <c r="AU805" i="3"/>
  <c r="AU806" i="3"/>
  <c r="AN808" i="3"/>
  <c r="AN809" i="3"/>
  <c r="AN817" i="3"/>
  <c r="AN818" i="3"/>
  <c r="AN819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0" i="3"/>
  <c r="AK851" i="3"/>
  <c r="AU851" i="3" s="1"/>
  <c r="AK852" i="3"/>
  <c r="AU852" i="3" s="1"/>
  <c r="AK853" i="3"/>
  <c r="AK854" i="3"/>
  <c r="Z854" i="3" s="1"/>
  <c r="AK855" i="3"/>
  <c r="AK856" i="3"/>
  <c r="AK857" i="3"/>
  <c r="AK858" i="3"/>
  <c r="AK859" i="3"/>
  <c r="AK860" i="3"/>
  <c r="AK861" i="3"/>
  <c r="AK864" i="3"/>
  <c r="AK865" i="3"/>
  <c r="AK879" i="3"/>
  <c r="AK880" i="3"/>
  <c r="AK881" i="3"/>
  <c r="AK882" i="3"/>
  <c r="AK888" i="3"/>
  <c r="AK889" i="3"/>
  <c r="AK890" i="3"/>
  <c r="AK891" i="3"/>
  <c r="AK892" i="3"/>
  <c r="AU892" i="3" s="1"/>
  <c r="AK893" i="3"/>
  <c r="AU893" i="3" s="1"/>
  <c r="AK902" i="3"/>
  <c r="AK900" i="3"/>
  <c r="AK901" i="3"/>
  <c r="AU901" i="3" s="1"/>
  <c r="AK925" i="3"/>
  <c r="AK961" i="3"/>
  <c r="AK962" i="3"/>
  <c r="AK963" i="3"/>
  <c r="AK969" i="3"/>
  <c r="AK970" i="3"/>
  <c r="AK971" i="3"/>
  <c r="AK922" i="3"/>
  <c r="AK913" i="3"/>
  <c r="AK914" i="3"/>
  <c r="AK915" i="3"/>
  <c r="AK916" i="3"/>
  <c r="AK917" i="3"/>
  <c r="AK918" i="3"/>
  <c r="AU918" i="3" s="1"/>
  <c r="AK924" i="3"/>
  <c r="AK1053" i="3"/>
  <c r="AK926" i="3"/>
  <c r="AK1173" i="3"/>
  <c r="AK1174" i="3"/>
  <c r="AK1175" i="3"/>
  <c r="AK1176" i="3"/>
  <c r="AK1177" i="3"/>
  <c r="AK1178" i="3"/>
  <c r="AK1179" i="3"/>
  <c r="AK1180" i="3"/>
  <c r="AK1181" i="3"/>
  <c r="AK1182" i="3"/>
  <c r="AK1183" i="3"/>
  <c r="AK1184" i="3"/>
  <c r="AK1185" i="3"/>
  <c r="AK1186" i="3"/>
  <c r="AK1187" i="3"/>
  <c r="AK1188" i="3"/>
  <c r="AK1189" i="3"/>
  <c r="AK1190" i="3"/>
  <c r="AK1191" i="3"/>
  <c r="AK1192" i="3"/>
  <c r="AK1193" i="3"/>
  <c r="AK1194" i="3"/>
  <c r="AK1195" i="3"/>
  <c r="AK1196" i="3"/>
  <c r="AK1197" i="3"/>
  <c r="AK1198" i="3"/>
  <c r="AK1199" i="3"/>
  <c r="AK1200" i="3"/>
  <c r="AK1201" i="3"/>
  <c r="AK1202" i="3"/>
  <c r="AK955" i="3"/>
  <c r="AK1203" i="3"/>
  <c r="AK1205" i="3"/>
  <c r="AK1206" i="3"/>
  <c r="AK1207" i="3"/>
  <c r="AK1208" i="3"/>
  <c r="AK1209" i="3"/>
  <c r="AK1210" i="3"/>
  <c r="AK1000" i="3"/>
  <c r="AK1011" i="3"/>
  <c r="AK1211" i="3"/>
  <c r="AK1081" i="3"/>
  <c r="AK1113" i="3"/>
  <c r="AK1212" i="3"/>
  <c r="AK1213" i="3"/>
  <c r="AK1214" i="3"/>
  <c r="AK1114" i="3"/>
  <c r="AK1215" i="3"/>
  <c r="AK1220" i="3"/>
  <c r="AK994" i="3"/>
  <c r="AK1221" i="3"/>
  <c r="AK1222" i="3"/>
  <c r="AK1223" i="3"/>
  <c r="AK1224" i="3"/>
  <c r="AK1225" i="3"/>
  <c r="AK1226" i="3"/>
  <c r="AK1227" i="3"/>
  <c r="AK1059" i="3"/>
  <c r="AK1228" i="3"/>
  <c r="AK1036" i="3"/>
  <c r="AK1006" i="3"/>
  <c r="AK1229" i="3"/>
  <c r="AK953" i="3"/>
  <c r="AK954" i="3"/>
  <c r="AK1230" i="3"/>
  <c r="AK1052" i="3"/>
  <c r="AK1231" i="3"/>
  <c r="AK1233" i="3"/>
  <c r="AK1234" i="3"/>
  <c r="AK1236" i="3"/>
  <c r="AK978" i="3"/>
  <c r="AK919" i="3"/>
  <c r="AK975" i="3"/>
  <c r="AK958" i="3"/>
  <c r="AK959" i="3"/>
  <c r="AK960" i="3"/>
  <c r="AK1003" i="3"/>
  <c r="AK977" i="3"/>
  <c r="AK1090" i="3"/>
  <c r="AK1091" i="3"/>
  <c r="AK1235" i="3"/>
  <c r="AK802" i="3"/>
  <c r="AN620" i="3"/>
  <c r="AN619" i="3"/>
  <c r="AN618" i="3"/>
  <c r="AN613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Z666" i="3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X971" i="3"/>
  <c r="AY971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J1112" i="3"/>
  <c r="F962" i="3" a="1"/>
  <c r="BH962" i="3"/>
  <c r="BG962" i="3"/>
  <c r="BF962" i="3"/>
  <c r="X962" i="3" s="1"/>
  <c r="BE962" i="3"/>
  <c r="AY962" i="3"/>
  <c r="AC962" i="3"/>
  <c r="V962" i="3"/>
  <c r="C962" i="3"/>
  <c r="BH951" i="3"/>
  <c r="BG951" i="3"/>
  <c r="BF951" i="3"/>
  <c r="X951" i="3" s="1"/>
  <c r="BE951" i="3"/>
  <c r="AY951" i="3"/>
  <c r="AC951" i="3"/>
  <c r="V951" i="3"/>
  <c r="C951" i="3"/>
  <c r="F879" i="3" a="1"/>
  <c r="AX879" i="3"/>
  <c r="AY879" i="3" s="1"/>
  <c r="AM879" i="3"/>
  <c r="BH879" i="3"/>
  <c r="BG879" i="3"/>
  <c r="BF879" i="3"/>
  <c r="BE879" i="3"/>
  <c r="AC879" i="3"/>
  <c r="V879" i="3"/>
  <c r="C879" i="3"/>
  <c r="BH1134" i="3"/>
  <c r="BG1134" i="3"/>
  <c r="BF1134" i="3"/>
  <c r="BE1134" i="3"/>
  <c r="AY1134" i="3"/>
  <c r="AC1134" i="3"/>
  <c r="P65" i="122"/>
  <c r="P73" i="122" s="1"/>
  <c r="AA171" i="70"/>
  <c r="AA172" i="70"/>
  <c r="BF950" i="3"/>
  <c r="BE950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4" i="3"/>
  <c r="BG865" i="3"/>
  <c r="BG866" i="3"/>
  <c r="BG867" i="3"/>
  <c r="BG868" i="3"/>
  <c r="BG869" i="3"/>
  <c r="BG870" i="3"/>
  <c r="BG871" i="3"/>
  <c r="BG872" i="3"/>
  <c r="BG875" i="3"/>
  <c r="BG876" i="3"/>
  <c r="BG877" i="3"/>
  <c r="BG878" i="3"/>
  <c r="BG936" i="3"/>
  <c r="BG88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902" i="3"/>
  <c r="BG894" i="3"/>
  <c r="BG895" i="3"/>
  <c r="BG896" i="3"/>
  <c r="BG897" i="3"/>
  <c r="BG898" i="3"/>
  <c r="BG899" i="3"/>
  <c r="BG900" i="3"/>
  <c r="BG901" i="3"/>
  <c r="BG903" i="3"/>
  <c r="BG904" i="3"/>
  <c r="BG905" i="3"/>
  <c r="BG906" i="3"/>
  <c r="BG907" i="3"/>
  <c r="BG908" i="3"/>
  <c r="BG909" i="3"/>
  <c r="BG910" i="3"/>
  <c r="BG911" i="3"/>
  <c r="BG912" i="3"/>
  <c r="BG925" i="3"/>
  <c r="BG938" i="3"/>
  <c r="BG940" i="3"/>
  <c r="BG941" i="3"/>
  <c r="BG942" i="3"/>
  <c r="BG943" i="3"/>
  <c r="BG961" i="3"/>
  <c r="BG964" i="3"/>
  <c r="BG967" i="3"/>
  <c r="BG968" i="3"/>
  <c r="BG969" i="3"/>
  <c r="BG922" i="3"/>
  <c r="BG1112" i="3"/>
  <c r="BG913" i="3"/>
  <c r="BG914" i="3"/>
  <c r="BG974" i="3"/>
  <c r="BG915" i="3"/>
  <c r="BG916" i="3"/>
  <c r="BG917" i="3"/>
  <c r="BG918" i="3"/>
  <c r="BG970" i="3"/>
  <c r="BG874" i="3"/>
  <c r="BG924" i="3"/>
  <c r="BG929" i="3"/>
  <c r="BG1031" i="3"/>
  <c r="BG1053" i="3"/>
  <c r="BG926" i="3"/>
  <c r="BG987" i="3"/>
  <c r="BG988" i="3"/>
  <c r="BG955" i="3"/>
  <c r="BG1000" i="3"/>
  <c r="BG1011" i="3"/>
  <c r="BG1012" i="3"/>
  <c r="BG1039" i="3"/>
  <c r="BG1040" i="3"/>
  <c r="BG1081" i="3"/>
  <c r="BG1113" i="3"/>
  <c r="BG1051" i="3"/>
  <c r="BG1114" i="3"/>
  <c r="BG939" i="3"/>
  <c r="BG945" i="3"/>
  <c r="BG994" i="3"/>
  <c r="BG996" i="3"/>
  <c r="BG948" i="3"/>
  <c r="BG944" i="3"/>
  <c r="BG1059" i="3"/>
  <c r="BG1035" i="3"/>
  <c r="BG930" i="3"/>
  <c r="BG1036" i="3"/>
  <c r="BG1006" i="3"/>
  <c r="BG953" i="3"/>
  <c r="BG954" i="3"/>
  <c r="BG1052" i="3"/>
  <c r="BG1045" i="3"/>
  <c r="BG932" i="3"/>
  <c r="BG947" i="3"/>
  <c r="BG995" i="3"/>
  <c r="BG993" i="3"/>
  <c r="BG978" i="3"/>
  <c r="BG949" i="3"/>
  <c r="BG952" i="3"/>
  <c r="BG1007" i="3"/>
  <c r="BG1133" i="3"/>
  <c r="BG1111" i="3"/>
  <c r="BG963" i="3"/>
  <c r="BG1009" i="3"/>
  <c r="BG971" i="3"/>
  <c r="BG965" i="3"/>
  <c r="BG966" i="3"/>
  <c r="BG972" i="3"/>
  <c r="BG919" i="3"/>
  <c r="BG975" i="3"/>
  <c r="BG1037" i="3"/>
  <c r="BG1038" i="3"/>
  <c r="BG1072" i="3"/>
  <c r="BG1062" i="3"/>
  <c r="BG1148" i="3"/>
  <c r="BG1021" i="3"/>
  <c r="BG1022" i="3"/>
  <c r="BG1010" i="3"/>
  <c r="BG1057" i="3"/>
  <c r="BG957" i="3"/>
  <c r="BG937" i="3"/>
  <c r="BG933" i="3"/>
  <c r="BG958" i="3"/>
  <c r="BG959" i="3"/>
  <c r="BG960" i="3"/>
  <c r="BG1003" i="3"/>
  <c r="BG1001" i="3"/>
  <c r="BG977" i="3"/>
  <c r="BG920" i="3"/>
  <c r="BG1002" i="3"/>
  <c r="BG921" i="3"/>
  <c r="BG950" i="3"/>
  <c r="BG1005" i="3"/>
  <c r="BG934" i="3"/>
  <c r="BG1094" i="3"/>
  <c r="BG1090" i="3"/>
  <c r="BG1068" i="3"/>
  <c r="BG1070" i="3"/>
  <c r="BG1091" i="3"/>
  <c r="BG976" i="3"/>
  <c r="BG946" i="3"/>
  <c r="BG1065" i="3"/>
  <c r="U1009" i="3"/>
  <c r="BH1009" i="3"/>
  <c r="BF1009" i="3"/>
  <c r="BE1009" i="3"/>
  <c r="AX1009" i="3"/>
  <c r="AY1009" i="3" s="1"/>
  <c r="AC1009" i="3"/>
  <c r="F1009" i="3" a="1"/>
  <c r="C1009" i="3"/>
  <c r="F1065" i="3" a="1"/>
  <c r="F1250" i="3" a="1"/>
  <c r="F961" i="3" a="1"/>
  <c r="C961" i="3"/>
  <c r="V961" i="3"/>
  <c r="AC961" i="3"/>
  <c r="AY961" i="3"/>
  <c r="BE961" i="3"/>
  <c r="BF961" i="3"/>
  <c r="BH961" i="3"/>
  <c r="X123" i="70"/>
  <c r="BH967" i="3"/>
  <c r="BF967" i="3"/>
  <c r="BE967" i="3"/>
  <c r="W967" i="3" s="1"/>
  <c r="AX967" i="3"/>
  <c r="AY967" i="3" s="1"/>
  <c r="AC967" i="3"/>
  <c r="F967" i="3" a="1"/>
  <c r="C967" i="3"/>
  <c r="U946" i="3"/>
  <c r="V946" i="3" s="1"/>
  <c r="U996" i="3"/>
  <c r="V996" i="3" s="1"/>
  <c r="BH946" i="3"/>
  <c r="BF946" i="3"/>
  <c r="BE946" i="3"/>
  <c r="AX946" i="3"/>
  <c r="AY946" i="3" s="1"/>
  <c r="AC946" i="3"/>
  <c r="C946" i="3"/>
  <c r="F1006" i="3" a="1"/>
  <c r="AX1006" i="3"/>
  <c r="AY1006" i="3" s="1"/>
  <c r="BH1006" i="3"/>
  <c r="BF1006" i="3"/>
  <c r="BE1006" i="3"/>
  <c r="AC1006" i="3"/>
  <c r="V1006" i="3"/>
  <c r="C1006" i="3"/>
  <c r="BH925" i="3"/>
  <c r="BF925" i="3"/>
  <c r="BE925" i="3"/>
  <c r="AX925" i="3"/>
  <c r="AY925" i="3" s="1"/>
  <c r="AC925" i="3"/>
  <c r="F925" i="3" a="1"/>
  <c r="C925" i="3"/>
  <c r="BH937" i="3"/>
  <c r="BF937" i="3"/>
  <c r="BE937" i="3"/>
  <c r="AX937" i="3"/>
  <c r="AY937" i="3" s="1"/>
  <c r="AC937" i="3"/>
  <c r="F937" i="3" a="1"/>
  <c r="C937" i="3"/>
  <c r="U139" i="122"/>
  <c r="V139" i="122"/>
  <c r="X139" i="122"/>
  <c r="U136" i="122"/>
  <c r="V136" i="122"/>
  <c r="W136" i="122"/>
  <c r="X136" i="122"/>
  <c r="U132" i="122"/>
  <c r="V132" i="122"/>
  <c r="W132" i="122"/>
  <c r="X132" i="122"/>
  <c r="U128" i="122"/>
  <c r="V128" i="122"/>
  <c r="W128" i="122"/>
  <c r="X128" i="122"/>
  <c r="U124" i="122"/>
  <c r="V124" i="122"/>
  <c r="W124" i="122"/>
  <c r="X124" i="122"/>
  <c r="U116" i="122"/>
  <c r="V116" i="122"/>
  <c r="W116" i="122"/>
  <c r="X116" i="122"/>
  <c r="U108" i="122"/>
  <c r="V108" i="122"/>
  <c r="W108" i="122"/>
  <c r="X108" i="122"/>
  <c r="W104" i="122"/>
  <c r="X104" i="122"/>
  <c r="T93" i="122"/>
  <c r="U93" i="122"/>
  <c r="V93" i="122"/>
  <c r="X93" i="122"/>
  <c r="U90" i="122"/>
  <c r="V90" i="122"/>
  <c r="W90" i="122"/>
  <c r="X90" i="122"/>
  <c r="U86" i="122"/>
  <c r="V86" i="122"/>
  <c r="W86" i="122"/>
  <c r="X86" i="122"/>
  <c r="U82" i="122"/>
  <c r="V82" i="122"/>
  <c r="W82" i="122"/>
  <c r="X82" i="122"/>
  <c r="X78" i="122"/>
  <c r="U73" i="122"/>
  <c r="V73" i="122"/>
  <c r="W73" i="122"/>
  <c r="X73" i="122"/>
  <c r="U70" i="122"/>
  <c r="V70" i="122"/>
  <c r="W70" i="122"/>
  <c r="X70" i="122"/>
  <c r="U62" i="122"/>
  <c r="V62" i="122"/>
  <c r="X62" i="122"/>
  <c r="U58" i="122"/>
  <c r="W58" i="122"/>
  <c r="U54" i="122"/>
  <c r="V54" i="122"/>
  <c r="X54" i="122"/>
  <c r="U40" i="122"/>
  <c r="X40" i="122"/>
  <c r="V36" i="122"/>
  <c r="W36" i="122"/>
  <c r="X36" i="122"/>
  <c r="U32" i="122"/>
  <c r="V32" i="122"/>
  <c r="W32" i="122"/>
  <c r="X32" i="122"/>
  <c r="V20" i="122"/>
  <c r="X20" i="122"/>
  <c r="U12" i="122"/>
  <c r="V12" i="122"/>
  <c r="W12" i="122"/>
  <c r="X12" i="122"/>
  <c r="BC249" i="70"/>
  <c r="AS249" i="70"/>
  <c r="AA249" i="70"/>
  <c r="X249" i="70"/>
  <c r="C249" i="70"/>
  <c r="BC250" i="70"/>
  <c r="AS250" i="70"/>
  <c r="AA250" i="70"/>
  <c r="X250" i="70"/>
  <c r="C250" i="70"/>
  <c r="BC256" i="70"/>
  <c r="AS256" i="70"/>
  <c r="AA256" i="70"/>
  <c r="X256" i="70"/>
  <c r="C256" i="70"/>
  <c r="BC245" i="70"/>
  <c r="AS245" i="70"/>
  <c r="AA245" i="70"/>
  <c r="X245" i="70"/>
  <c r="C245" i="70"/>
  <c r="BC246" i="70"/>
  <c r="AS246" i="70"/>
  <c r="AA246" i="70"/>
  <c r="X246" i="70"/>
  <c r="C246" i="70"/>
  <c r="BC244" i="70"/>
  <c r="AS244" i="70"/>
  <c r="AA244" i="70"/>
  <c r="X244" i="70"/>
  <c r="C244" i="70"/>
  <c r="BC247" i="70"/>
  <c r="AS247" i="70"/>
  <c r="AA247" i="70"/>
  <c r="X247" i="70"/>
  <c r="C247" i="70"/>
  <c r="BC248" i="70"/>
  <c r="AS248" i="70"/>
  <c r="AA248" i="70"/>
  <c r="X248" i="70"/>
  <c r="C248" i="70"/>
  <c r="BC257" i="70"/>
  <c r="AS257" i="70"/>
  <c r="AA257" i="70"/>
  <c r="X257" i="70"/>
  <c r="C257" i="70"/>
  <c r="U871" i="3"/>
  <c r="V871" i="3" s="1"/>
  <c r="C212" i="70"/>
  <c r="C209" i="70"/>
  <c r="C202" i="70"/>
  <c r="C203" i="70"/>
  <c r="C204" i="70"/>
  <c r="C205" i="70"/>
  <c r="C198" i="70"/>
  <c r="C185" i="70"/>
  <c r="C193" i="70"/>
  <c r="F868" i="3" a="1"/>
  <c r="BH868" i="3"/>
  <c r="BF868" i="3"/>
  <c r="BE868" i="3"/>
  <c r="AY868" i="3"/>
  <c r="AC868" i="3"/>
  <c r="V868" i="3"/>
  <c r="C868" i="3"/>
  <c r="U176" i="70"/>
  <c r="U177" i="70"/>
  <c r="U178" i="70"/>
  <c r="U179" i="70"/>
  <c r="U175" i="70"/>
  <c r="BC178" i="70"/>
  <c r="AS178" i="70"/>
  <c r="AA178" i="70"/>
  <c r="X178" i="70"/>
  <c r="C178" i="70"/>
  <c r="BC179" i="70"/>
  <c r="AS179" i="70"/>
  <c r="AA179" i="70"/>
  <c r="X179" i="70"/>
  <c r="C179" i="70"/>
  <c r="F975" i="3" a="1"/>
  <c r="AY975" i="3"/>
  <c r="BH975" i="3"/>
  <c r="BF975" i="3"/>
  <c r="BE975" i="3"/>
  <c r="AC975" i="3"/>
  <c r="V975" i="3"/>
  <c r="C975" i="3"/>
  <c r="U947" i="3"/>
  <c r="V947" i="3" s="1"/>
  <c r="U913" i="3"/>
  <c r="V913" i="3" s="1"/>
  <c r="BH913" i="3"/>
  <c r="BF913" i="3"/>
  <c r="BE913" i="3"/>
  <c r="AX913" i="3"/>
  <c r="AY913" i="3" s="1"/>
  <c r="AC913" i="3"/>
  <c r="C913" i="3"/>
  <c r="F1000" i="3" a="1"/>
  <c r="F941" i="3" a="1"/>
  <c r="U1000" i="3"/>
  <c r="X1000" i="3" s="1"/>
  <c r="U941" i="3"/>
  <c r="V941" i="3" s="1"/>
  <c r="AX1000" i="3"/>
  <c r="AY1000" i="3" s="1"/>
  <c r="AX941" i="3"/>
  <c r="AY941" i="3" s="1"/>
  <c r="BH1000" i="3"/>
  <c r="BF1000" i="3"/>
  <c r="BE1000" i="3"/>
  <c r="AC1000" i="3"/>
  <c r="C1000" i="3"/>
  <c r="BH941" i="3"/>
  <c r="BF941" i="3"/>
  <c r="BE941" i="3"/>
  <c r="AC941" i="3"/>
  <c r="C941" i="3"/>
  <c r="BH952" i="3"/>
  <c r="BF952" i="3"/>
  <c r="BE952" i="3"/>
  <c r="W952" i="3" s="1"/>
  <c r="AY952" i="3"/>
  <c r="AC952" i="3"/>
  <c r="F952" i="3" a="1"/>
  <c r="C952" i="3"/>
  <c r="AM871" i="3"/>
  <c r="AM875" i="3"/>
  <c r="AM870" i="3"/>
  <c r="AM869" i="3"/>
  <c r="AM876" i="3"/>
  <c r="AM877" i="3"/>
  <c r="AM878" i="3"/>
  <c r="AM628" i="3"/>
  <c r="AM1045" i="3"/>
  <c r="AM880" i="3"/>
  <c r="AM865" i="3"/>
  <c r="AM867" i="3"/>
  <c r="AM850" i="3"/>
  <c r="AM853" i="3"/>
  <c r="AM855" i="3"/>
  <c r="AM856" i="3"/>
  <c r="AM857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3" i="3"/>
  <c r="AJ919" i="3"/>
  <c r="AJ1053" i="3"/>
  <c r="AJ901" i="3"/>
  <c r="AJ1011" i="3"/>
  <c r="AJ955" i="3"/>
  <c r="AJ918" i="3"/>
  <c r="AJ917" i="3"/>
  <c r="AJ916" i="3"/>
  <c r="AJ915" i="3"/>
  <c r="AJ893" i="3"/>
  <c r="AJ892" i="3"/>
  <c r="AJ852" i="3"/>
  <c r="AJ851" i="3"/>
  <c r="AJ850" i="3"/>
  <c r="AJ846" i="3"/>
  <c r="AJ814" i="3"/>
  <c r="AK797" i="3"/>
  <c r="AK796" i="3"/>
  <c r="AK795" i="3"/>
  <c r="AK794" i="3"/>
  <c r="AK793" i="3"/>
  <c r="C1250" i="3"/>
  <c r="C1065" i="3"/>
  <c r="AC1250" i="3"/>
  <c r="AC1065" i="3"/>
  <c r="AY1250" i="3"/>
  <c r="AY1065" i="3"/>
  <c r="BE1065" i="3"/>
  <c r="BF1065" i="3"/>
  <c r="BH1250" i="3"/>
  <c r="BH1065" i="3"/>
  <c r="AY1228" i="3"/>
  <c r="BH1228" i="3"/>
  <c r="AC1228" i="3"/>
  <c r="C1228" i="3"/>
  <c r="F905" i="3" a="1"/>
  <c r="AX905" i="3"/>
  <c r="AY905" i="3" s="1"/>
  <c r="BH905" i="3"/>
  <c r="BF905" i="3"/>
  <c r="BE905" i="3"/>
  <c r="AC905" i="3"/>
  <c r="V905" i="3"/>
  <c r="C905" i="3"/>
  <c r="F871" i="3" a="1"/>
  <c r="AX871" i="3"/>
  <c r="AY871" i="3" s="1"/>
  <c r="BH871" i="3"/>
  <c r="BF871" i="3"/>
  <c r="BE871" i="3"/>
  <c r="AC871" i="3"/>
  <c r="C871" i="3"/>
  <c r="F959" i="3" a="1"/>
  <c r="AX959" i="3"/>
  <c r="AY959" i="3" s="1"/>
  <c r="BH959" i="3"/>
  <c r="BF959" i="3"/>
  <c r="BE959" i="3"/>
  <c r="AC959" i="3"/>
  <c r="V959" i="3"/>
  <c r="C959" i="3"/>
  <c r="F954" i="3" a="1"/>
  <c r="AX954" i="3"/>
  <c r="AY954" i="3" s="1"/>
  <c r="BH954" i="3"/>
  <c r="BF954" i="3"/>
  <c r="BE954" i="3"/>
  <c r="AC954" i="3"/>
  <c r="V954" i="3"/>
  <c r="C954" i="3"/>
  <c r="F1045" i="3" a="1"/>
  <c r="BH976" i="3"/>
  <c r="BF976" i="3"/>
  <c r="BE976" i="3"/>
  <c r="AX976" i="3"/>
  <c r="AY976" i="3" s="1"/>
  <c r="AC976" i="3"/>
  <c r="F976" i="3" a="1"/>
  <c r="C976" i="3"/>
  <c r="F914" i="3" a="1"/>
  <c r="AX914" i="3"/>
  <c r="AY914" i="3" s="1"/>
  <c r="BH914" i="3"/>
  <c r="BF914" i="3"/>
  <c r="BE914" i="3"/>
  <c r="AC914" i="3"/>
  <c r="V914" i="3"/>
  <c r="C914" i="3"/>
  <c r="F918" i="3" a="1"/>
  <c r="AX918" i="3"/>
  <c r="AY918" i="3" s="1"/>
  <c r="BH918" i="3"/>
  <c r="BF918" i="3"/>
  <c r="BE918" i="3"/>
  <c r="AC918" i="3"/>
  <c r="V918" i="3"/>
  <c r="C918" i="3"/>
  <c r="F543" i="3" a="1"/>
  <c r="F825" i="3" a="1"/>
  <c r="BH825" i="3"/>
  <c r="BF825" i="3"/>
  <c r="BE825" i="3"/>
  <c r="AY825" i="3"/>
  <c r="AC825" i="3"/>
  <c r="V825" i="3"/>
  <c r="C825" i="3"/>
  <c r="U866" i="3"/>
  <c r="V866" i="3" s="1"/>
  <c r="F538" i="3" a="1"/>
  <c r="U938" i="3"/>
  <c r="V938" i="3" s="1"/>
  <c r="F870" i="3" a="1"/>
  <c r="AX870" i="3"/>
  <c r="AY870" i="3" s="1"/>
  <c r="BH870" i="3"/>
  <c r="BF870" i="3"/>
  <c r="BE870" i="3"/>
  <c r="AC870" i="3"/>
  <c r="V870" i="3"/>
  <c r="C870" i="3"/>
  <c r="F872" i="3" a="1"/>
  <c r="AX872" i="3"/>
  <c r="AY872" i="3" s="1"/>
  <c r="BH872" i="3"/>
  <c r="BF872" i="3"/>
  <c r="BE872" i="3"/>
  <c r="AC872" i="3"/>
  <c r="V872" i="3"/>
  <c r="C872" i="3"/>
  <c r="F896" i="3" a="1"/>
  <c r="AX896" i="3"/>
  <c r="AY896" i="3" s="1"/>
  <c r="BH896" i="3"/>
  <c r="BF896" i="3"/>
  <c r="BE896" i="3"/>
  <c r="AC896" i="3"/>
  <c r="V896" i="3"/>
  <c r="C896" i="3"/>
  <c r="F898" i="3" a="1"/>
  <c r="AX898" i="3"/>
  <c r="AY898" i="3" s="1"/>
  <c r="BH898" i="3"/>
  <c r="BF898" i="3"/>
  <c r="BE898" i="3"/>
  <c r="AC898" i="3"/>
  <c r="V898" i="3"/>
  <c r="C898" i="3"/>
  <c r="F900" i="3" a="1"/>
  <c r="AX900" i="3"/>
  <c r="AY900" i="3" s="1"/>
  <c r="BH900" i="3"/>
  <c r="BF900" i="3"/>
  <c r="BE900" i="3"/>
  <c r="AC900" i="3"/>
  <c r="V900" i="3"/>
  <c r="C900" i="3"/>
  <c r="F901" i="3" a="1"/>
  <c r="AX901" i="3"/>
  <c r="AY901" i="3" s="1"/>
  <c r="BH901" i="3"/>
  <c r="BF901" i="3"/>
  <c r="BE901" i="3"/>
  <c r="AC901" i="3"/>
  <c r="V901" i="3"/>
  <c r="C901" i="3"/>
  <c r="F889" i="3" a="1"/>
  <c r="AX889" i="3"/>
  <c r="AY889" i="3" s="1"/>
  <c r="BH889" i="3"/>
  <c r="BF889" i="3"/>
  <c r="BE889" i="3"/>
  <c r="AC889" i="3"/>
  <c r="V889" i="3"/>
  <c r="C889" i="3"/>
  <c r="BH1235" i="3"/>
  <c r="AY1235" i="3"/>
  <c r="AC1235" i="3"/>
  <c r="U212" i="70"/>
  <c r="U213" i="70"/>
  <c r="U215" i="70"/>
  <c r="U216" i="70"/>
  <c r="U217" i="70"/>
  <c r="U211" i="70"/>
  <c r="U209" i="70"/>
  <c r="U210" i="70"/>
  <c r="U204" i="70"/>
  <c r="U205" i="70"/>
  <c r="U206" i="70"/>
  <c r="U207" i="70"/>
  <c r="U208" i="70"/>
  <c r="U203" i="70"/>
  <c r="U196" i="70"/>
  <c r="U198" i="70"/>
  <c r="U201" i="70"/>
  <c r="U202" i="70"/>
  <c r="U185" i="70"/>
  <c r="U184" i="70"/>
  <c r="U190" i="70"/>
  <c r="U191" i="70"/>
  <c r="U192" i="70"/>
  <c r="U193" i="70"/>
  <c r="C215" i="70"/>
  <c r="AA215" i="70"/>
  <c r="AS215" i="70"/>
  <c r="BC215" i="70"/>
  <c r="C216" i="70"/>
  <c r="AA216" i="70"/>
  <c r="AS216" i="70"/>
  <c r="BC216" i="70"/>
  <c r="C217" i="70"/>
  <c r="AA217" i="70"/>
  <c r="AS217" i="70"/>
  <c r="BC217" i="70"/>
  <c r="BC213" i="70"/>
  <c r="AS213" i="70"/>
  <c r="AA213" i="70"/>
  <c r="C213" i="70"/>
  <c r="BC209" i="70"/>
  <c r="AS209" i="70"/>
  <c r="AA209" i="70"/>
  <c r="BC210" i="70"/>
  <c r="AS210" i="70"/>
  <c r="AA210" i="70"/>
  <c r="C210" i="70"/>
  <c r="X205" i="70"/>
  <c r="C206" i="70"/>
  <c r="BC205" i="70"/>
  <c r="AS205" i="70"/>
  <c r="AA205" i="70"/>
  <c r="X206" i="70"/>
  <c r="BC206" i="70"/>
  <c r="AS206" i="70"/>
  <c r="AA206" i="70"/>
  <c r="X203" i="70"/>
  <c r="BC203" i="70"/>
  <c r="AS203" i="70"/>
  <c r="AA203" i="70"/>
  <c r="X202" i="70"/>
  <c r="BC201" i="70"/>
  <c r="AS201" i="70"/>
  <c r="AA201" i="70"/>
  <c r="X201" i="70"/>
  <c r="C201" i="70"/>
  <c r="BC202" i="70"/>
  <c r="AS202" i="70"/>
  <c r="AA202" i="70"/>
  <c r="X198" i="70"/>
  <c r="BC196" i="70"/>
  <c r="AS196" i="70"/>
  <c r="AA196" i="70"/>
  <c r="X196" i="70"/>
  <c r="C196" i="70"/>
  <c r="BC198" i="70"/>
  <c r="AS198" i="70"/>
  <c r="AA198" i="70"/>
  <c r="BC193" i="70"/>
  <c r="AS193" i="70"/>
  <c r="AA193" i="70"/>
  <c r="X193" i="70"/>
  <c r="BC192" i="70"/>
  <c r="AS192" i="70"/>
  <c r="AA192" i="70"/>
  <c r="X192" i="70"/>
  <c r="C192" i="70"/>
  <c r="C184" i="70"/>
  <c r="X184" i="70"/>
  <c r="AA184" i="70"/>
  <c r="AS184" i="70"/>
  <c r="BC184" i="70"/>
  <c r="C190" i="70"/>
  <c r="AA190" i="70"/>
  <c r="AS190" i="70"/>
  <c r="BC190" i="70"/>
  <c r="J14" i="47"/>
  <c r="W1003" i="3"/>
  <c r="V960" i="3"/>
  <c r="W1094" i="3"/>
  <c r="W1090" i="3"/>
  <c r="V1091" i="3"/>
  <c r="V1070" i="3"/>
  <c r="F1091" i="3" a="1"/>
  <c r="F1070" i="3" a="1"/>
  <c r="F1068" i="3" a="1"/>
  <c r="F1090" i="3" a="1"/>
  <c r="F1094" i="3" a="1"/>
  <c r="C1094" i="3"/>
  <c r="AC1094" i="3"/>
  <c r="AY1094" i="3"/>
  <c r="BE1094" i="3"/>
  <c r="BF1094" i="3"/>
  <c r="BH1094" i="3"/>
  <c r="C1090" i="3"/>
  <c r="AC1090" i="3"/>
  <c r="AY1090" i="3"/>
  <c r="BE1090" i="3"/>
  <c r="BF1090" i="3"/>
  <c r="BH1090" i="3"/>
  <c r="C1068" i="3"/>
  <c r="AC1068" i="3"/>
  <c r="AY1068" i="3"/>
  <c r="BE1068" i="3"/>
  <c r="BF1068" i="3"/>
  <c r="BH1068" i="3"/>
  <c r="C1070" i="3"/>
  <c r="AC1070" i="3"/>
  <c r="AY1070" i="3"/>
  <c r="BE1070" i="3"/>
  <c r="BF1070" i="3"/>
  <c r="BH1070" i="3"/>
  <c r="C1091" i="3"/>
  <c r="AC1091" i="3"/>
  <c r="AY1091" i="3"/>
  <c r="BE1091" i="3"/>
  <c r="BF1091" i="3"/>
  <c r="BH1091" i="3"/>
  <c r="R47" i="122"/>
  <c r="F1022" i="3" a="1"/>
  <c r="F1072" i="3" a="1"/>
  <c r="F1038" i="3" a="1"/>
  <c r="U1022" i="3"/>
  <c r="V1022" i="3" s="1"/>
  <c r="BH1022" i="3"/>
  <c r="BF1022" i="3"/>
  <c r="BE1022" i="3"/>
  <c r="AX1022" i="3"/>
  <c r="AY1022" i="3" s="1"/>
  <c r="AC1022" i="3"/>
  <c r="C1022" i="3"/>
  <c r="BH1072" i="3"/>
  <c r="BF1072" i="3"/>
  <c r="BE1072" i="3"/>
  <c r="AX1072" i="3"/>
  <c r="AY1072" i="3" s="1"/>
  <c r="AC1072" i="3"/>
  <c r="C1072" i="3"/>
  <c r="BH1038" i="3"/>
  <c r="BF1038" i="3"/>
  <c r="BE1038" i="3"/>
  <c r="AX1038" i="3"/>
  <c r="AY1038" i="3" s="1"/>
  <c r="AC1038" i="3"/>
  <c r="C1038" i="3"/>
  <c r="BH957" i="3"/>
  <c r="BF957" i="3"/>
  <c r="BE957" i="3"/>
  <c r="AX957" i="3"/>
  <c r="AY957" i="3" s="1"/>
  <c r="AC957" i="3"/>
  <c r="F957" i="3" a="1"/>
  <c r="C957" i="3"/>
  <c r="F987" i="3" a="1"/>
  <c r="BH987" i="3"/>
  <c r="BF987" i="3"/>
  <c r="BE987" i="3"/>
  <c r="AY987" i="3"/>
  <c r="AC987" i="3"/>
  <c r="C987" i="3"/>
  <c r="U939" i="3"/>
  <c r="V939" i="3" s="1"/>
  <c r="V934" i="3"/>
  <c r="W988" i="3"/>
  <c r="BH934" i="3"/>
  <c r="BF934" i="3"/>
  <c r="BE934" i="3"/>
  <c r="AY934" i="3"/>
  <c r="AC934" i="3"/>
  <c r="F934" i="3" a="1"/>
  <c r="C934" i="3"/>
  <c r="BH988" i="3"/>
  <c r="BF988" i="3"/>
  <c r="BE988" i="3"/>
  <c r="AC988" i="3"/>
  <c r="F988" i="3" a="1"/>
  <c r="C988" i="3"/>
  <c r="C1268" i="3"/>
  <c r="C1267" i="3"/>
  <c r="C1255" i="3"/>
  <c r="C1251" i="3"/>
  <c r="C1246" i="3"/>
  <c r="C1244" i="3"/>
  <c r="C1243" i="3"/>
  <c r="C1037" i="3"/>
  <c r="C1241" i="3"/>
  <c r="C1240" i="3"/>
  <c r="C1239" i="3"/>
  <c r="C1238" i="3"/>
  <c r="C1231" i="3"/>
  <c r="C996" i="3"/>
  <c r="C1221" i="3"/>
  <c r="C939" i="3"/>
  <c r="C1220" i="3"/>
  <c r="C1215" i="3"/>
  <c r="C1211" i="3"/>
  <c r="C1210" i="3"/>
  <c r="BH996" i="3"/>
  <c r="BF996" i="3"/>
  <c r="BE996" i="3"/>
  <c r="AX996" i="3"/>
  <c r="AY996" i="3" s="1"/>
  <c r="AC996" i="3"/>
  <c r="F996" i="3" a="1"/>
  <c r="BH939" i="3"/>
  <c r="BF939" i="3"/>
  <c r="BE939" i="3"/>
  <c r="AX939" i="3"/>
  <c r="AY939" i="3" s="1"/>
  <c r="AC939" i="3"/>
  <c r="F939" i="3" a="1"/>
  <c r="BH970" i="3"/>
  <c r="BF970" i="3"/>
  <c r="BE970" i="3"/>
  <c r="AX970" i="3"/>
  <c r="AY970" i="3" s="1"/>
  <c r="AC970" i="3"/>
  <c r="F970" i="3" a="1"/>
  <c r="C970" i="3"/>
  <c r="AA149" i="70"/>
  <c r="AA150" i="70"/>
  <c r="AS149" i="70"/>
  <c r="AS150" i="70"/>
  <c r="O47" i="122"/>
  <c r="F932" i="3" a="1"/>
  <c r="BH932" i="3"/>
  <c r="BF932" i="3"/>
  <c r="BE932" i="3"/>
  <c r="AY932" i="3"/>
  <c r="AC932" i="3"/>
  <c r="V932" i="3"/>
  <c r="C932" i="3"/>
  <c r="V978" i="3"/>
  <c r="F978" i="3" a="1"/>
  <c r="F993" i="3" a="1"/>
  <c r="BH978" i="3"/>
  <c r="BF978" i="3"/>
  <c r="BE978" i="3"/>
  <c r="AY978" i="3"/>
  <c r="AC978" i="3"/>
  <c r="C978" i="3"/>
  <c r="BH993" i="3"/>
  <c r="BF993" i="3"/>
  <c r="BE993" i="3"/>
  <c r="AX993" i="3"/>
  <c r="AY993" i="3" s="1"/>
  <c r="AC993" i="3"/>
  <c r="C993" i="3"/>
  <c r="F929" i="3" a="1"/>
  <c r="BH929" i="3"/>
  <c r="BF929" i="3"/>
  <c r="X929" i="3" s="1"/>
  <c r="BE929" i="3"/>
  <c r="W929" i="3" s="1"/>
  <c r="AX929" i="3"/>
  <c r="AY929" i="3" s="1"/>
  <c r="AC929" i="3"/>
  <c r="C929" i="3"/>
  <c r="F942" i="3" a="1"/>
  <c r="F891" i="3" a="1"/>
  <c r="BH942" i="3"/>
  <c r="BF942" i="3"/>
  <c r="BE942" i="3"/>
  <c r="W942" i="3" s="1"/>
  <c r="AX942" i="3"/>
  <c r="AY942" i="3" s="1"/>
  <c r="AC942" i="3"/>
  <c r="C942" i="3"/>
  <c r="BH891" i="3"/>
  <c r="BF891" i="3"/>
  <c r="BE891" i="3"/>
  <c r="W891" i="3" s="1"/>
  <c r="AX891" i="3"/>
  <c r="AY891" i="3" s="1"/>
  <c r="AC891" i="3"/>
  <c r="C891" i="3"/>
  <c r="F943" i="3" a="1"/>
  <c r="F949" i="3" a="1"/>
  <c r="U943" i="3"/>
  <c r="V943" i="3" s="1"/>
  <c r="BH943" i="3"/>
  <c r="BF943" i="3"/>
  <c r="BE943" i="3"/>
  <c r="AX943" i="3"/>
  <c r="AY943" i="3" s="1"/>
  <c r="AC943" i="3"/>
  <c r="C943" i="3"/>
  <c r="BH949" i="3"/>
  <c r="BF949" i="3"/>
  <c r="BE949" i="3"/>
  <c r="W949" i="3" s="1"/>
  <c r="AX949" i="3"/>
  <c r="AY949" i="3" s="1"/>
  <c r="AC949" i="3"/>
  <c r="C949" i="3"/>
  <c r="F866" i="3" a="1"/>
  <c r="BH866" i="3"/>
  <c r="BF866" i="3"/>
  <c r="BE866" i="3"/>
  <c r="AX866" i="3"/>
  <c r="AY866" i="3" s="1"/>
  <c r="AC866" i="3"/>
  <c r="C866" i="3"/>
  <c r="F804" i="3" a="1"/>
  <c r="AX804" i="3"/>
  <c r="AY804" i="3" s="1"/>
  <c r="BH804" i="3"/>
  <c r="BF804" i="3"/>
  <c r="X804" i="3" s="1"/>
  <c r="BE804" i="3"/>
  <c r="AC804" i="3"/>
  <c r="V804" i="3"/>
  <c r="C804" i="3"/>
  <c r="F1059" i="3" a="1"/>
  <c r="F894" i="3" a="1"/>
  <c r="U1059" i="3"/>
  <c r="V1059" i="3" s="1"/>
  <c r="U894" i="3"/>
  <c r="V894" i="3" s="1"/>
  <c r="AX1059" i="3"/>
  <c r="AY1059" i="3" s="1"/>
  <c r="AX894" i="3"/>
  <c r="AY894" i="3" s="1"/>
  <c r="BH1059" i="3"/>
  <c r="BF1059" i="3"/>
  <c r="BE1059" i="3"/>
  <c r="AC1059" i="3"/>
  <c r="C1059" i="3"/>
  <c r="BH894" i="3"/>
  <c r="BF894" i="3"/>
  <c r="BE894" i="3"/>
  <c r="AC894" i="3"/>
  <c r="C894" i="3"/>
  <c r="F1012" i="3" a="1"/>
  <c r="BH1012" i="3"/>
  <c r="BF1012" i="3"/>
  <c r="BE1012" i="3"/>
  <c r="AX1012" i="3"/>
  <c r="AY1012" i="3" s="1"/>
  <c r="AC1012" i="3"/>
  <c r="C1012" i="3"/>
  <c r="BH908" i="3"/>
  <c r="BF908" i="3"/>
  <c r="BE908" i="3"/>
  <c r="AX908" i="3"/>
  <c r="AY908" i="3" s="1"/>
  <c r="AC908" i="3"/>
  <c r="F908" i="3" a="1"/>
  <c r="C908" i="3"/>
  <c r="F1053" i="3" a="1"/>
  <c r="F1052" i="3" a="1"/>
  <c r="F1031" i="3" a="1"/>
  <c r="BH1053" i="3"/>
  <c r="BF1053" i="3"/>
  <c r="X1053" i="3" s="1"/>
  <c r="BE1053" i="3"/>
  <c r="AX1053" i="3"/>
  <c r="AY1053" i="3" s="1"/>
  <c r="AC1053" i="3"/>
  <c r="C1053" i="3"/>
  <c r="BH1052" i="3"/>
  <c r="BF1052" i="3"/>
  <c r="BE1052" i="3"/>
  <c r="AX1052" i="3"/>
  <c r="AY1052" i="3" s="1"/>
  <c r="AC1052" i="3"/>
  <c r="C1052" i="3"/>
  <c r="BH1031" i="3"/>
  <c r="BF1031" i="3"/>
  <c r="BE1031" i="3"/>
  <c r="AX1031" i="3"/>
  <c r="AY1031" i="3" s="1"/>
  <c r="AC1031" i="3"/>
  <c r="C1031" i="3"/>
  <c r="V1111" i="3"/>
  <c r="V1133" i="3"/>
  <c r="F1111" i="3" a="1"/>
  <c r="F1133" i="3" a="1"/>
  <c r="BH1111" i="3"/>
  <c r="BF1111" i="3"/>
  <c r="BE1111" i="3"/>
  <c r="AX1111" i="3"/>
  <c r="AY1111" i="3" s="1"/>
  <c r="AC1111" i="3"/>
  <c r="C1111" i="3"/>
  <c r="BH1133" i="3"/>
  <c r="BF1133" i="3"/>
  <c r="BE1133" i="3"/>
  <c r="AY1133" i="3"/>
  <c r="AC1133" i="3"/>
  <c r="C1133" i="3"/>
  <c r="BH1007" i="3"/>
  <c r="BF1007" i="3"/>
  <c r="BE1007" i="3"/>
  <c r="AX1007" i="3"/>
  <c r="AY1007" i="3" s="1"/>
  <c r="AC1007" i="3"/>
  <c r="F1007" i="3" a="1"/>
  <c r="C1007" i="3"/>
  <c r="F886" i="3" a="1"/>
  <c r="BH886" i="3"/>
  <c r="BF886" i="3"/>
  <c r="BE886" i="3"/>
  <c r="AY886" i="3"/>
  <c r="AC886" i="3"/>
  <c r="V886" i="3"/>
  <c r="C886" i="3"/>
  <c r="U971" i="3"/>
  <c r="V971" i="3" s="1"/>
  <c r="F971" i="3" a="1"/>
  <c r="BH971" i="3"/>
  <c r="BF971" i="3"/>
  <c r="BE971" i="3"/>
  <c r="AC971" i="3"/>
  <c r="C971" i="3"/>
  <c r="F853" i="3" a="1"/>
  <c r="AX853" i="3"/>
  <c r="AY853" i="3" s="1"/>
  <c r="BH853" i="3"/>
  <c r="BF853" i="3"/>
  <c r="BE853" i="3"/>
  <c r="AC853" i="3"/>
  <c r="V853" i="3"/>
  <c r="C853" i="3"/>
  <c r="F861" i="3" a="1"/>
  <c r="F887" i="3" a="1"/>
  <c r="AX887" i="3"/>
  <c r="AY887" i="3" s="1"/>
  <c r="BH887" i="3"/>
  <c r="BF887" i="3"/>
  <c r="BE887" i="3"/>
  <c r="AC887" i="3"/>
  <c r="V887" i="3"/>
  <c r="C887" i="3"/>
  <c r="AX1045" i="3"/>
  <c r="AY1045" i="3" s="1"/>
  <c r="BH1045" i="3"/>
  <c r="BF1045" i="3"/>
  <c r="X1045" i="3" s="1"/>
  <c r="BE1045" i="3"/>
  <c r="W1045" i="3" s="1"/>
  <c r="C1045" i="3"/>
  <c r="U836" i="3"/>
  <c r="V836" i="3" s="1"/>
  <c r="BH836" i="3"/>
  <c r="BF836" i="3"/>
  <c r="BE836" i="3"/>
  <c r="AX836" i="3"/>
  <c r="AY836" i="3" s="1"/>
  <c r="AC836" i="3"/>
  <c r="F836" i="3" a="1"/>
  <c r="C836" i="3"/>
  <c r="AX861" i="3"/>
  <c r="AY861" i="3" s="1"/>
  <c r="BH861" i="3"/>
  <c r="BF861" i="3"/>
  <c r="BE861" i="3"/>
  <c r="AC861" i="3"/>
  <c r="V861" i="3"/>
  <c r="C861" i="3"/>
  <c r="U826" i="3"/>
  <c r="U833" i="3"/>
  <c r="V833" i="3" s="1"/>
  <c r="F826" i="3" a="1"/>
  <c r="AX826" i="3"/>
  <c r="AY826" i="3" s="1"/>
  <c r="BH826" i="3"/>
  <c r="BF826" i="3"/>
  <c r="BE826" i="3"/>
  <c r="AC826" i="3"/>
  <c r="C826" i="3"/>
  <c r="AC950" i="3"/>
  <c r="U846" i="3"/>
  <c r="V846" i="3" s="1"/>
  <c r="W977" i="3"/>
  <c r="F977" i="3" a="1"/>
  <c r="BH977" i="3"/>
  <c r="BF977" i="3"/>
  <c r="BE977" i="3"/>
  <c r="AY977" i="3"/>
  <c r="AC977" i="3"/>
  <c r="V977" i="3"/>
  <c r="C977" i="3"/>
  <c r="W1001" i="3"/>
  <c r="F1001" i="3" a="1"/>
  <c r="BH1001" i="3"/>
  <c r="BF1001" i="3"/>
  <c r="BE1001" i="3"/>
  <c r="AY1001" i="3"/>
  <c r="AC1001" i="3"/>
  <c r="V1001" i="3"/>
  <c r="C1001" i="3"/>
  <c r="U893" i="3"/>
  <c r="V893" i="3" s="1"/>
  <c r="F893" i="3" a="1"/>
  <c r="AX893" i="3"/>
  <c r="AY893" i="3" s="1"/>
  <c r="C893" i="3"/>
  <c r="AC893" i="3"/>
  <c r="BE893" i="3"/>
  <c r="BF893" i="3"/>
  <c r="BH893" i="3"/>
  <c r="F808" i="3" a="1"/>
  <c r="AX808" i="3"/>
  <c r="AY808" i="3" s="1"/>
  <c r="BH808" i="3"/>
  <c r="BF808" i="3"/>
  <c r="BE808" i="3"/>
  <c r="AC808" i="3"/>
  <c r="V808" i="3"/>
  <c r="C808" i="3"/>
  <c r="F916" i="3" a="1"/>
  <c r="AX916" i="3"/>
  <c r="AY916" i="3" s="1"/>
  <c r="BH916" i="3"/>
  <c r="BF916" i="3"/>
  <c r="BE916" i="3"/>
  <c r="AC916" i="3"/>
  <c r="V916" i="3"/>
  <c r="C916" i="3"/>
  <c r="F851" i="3" a="1"/>
  <c r="AX851" i="3"/>
  <c r="AY851" i="3" s="1"/>
  <c r="BH851" i="3"/>
  <c r="BF851" i="3"/>
  <c r="X851" i="3" s="1"/>
  <c r="BE851" i="3"/>
  <c r="AC851" i="3"/>
  <c r="V851" i="3"/>
  <c r="C851" i="3"/>
  <c r="F917" i="3" a="1"/>
  <c r="AX917" i="3"/>
  <c r="AY917" i="3" s="1"/>
  <c r="BE917" i="3"/>
  <c r="BF917" i="3"/>
  <c r="BH917" i="3"/>
  <c r="V917" i="3"/>
  <c r="AC917" i="3"/>
  <c r="C917" i="3"/>
  <c r="U174" i="70"/>
  <c r="X174" i="70"/>
  <c r="BC174" i="70"/>
  <c r="AS174" i="70"/>
  <c r="AA174" i="70"/>
  <c r="C174" i="70"/>
  <c r="AX835" i="3"/>
  <c r="AY835" i="3" s="1"/>
  <c r="BH835" i="3"/>
  <c r="BF835" i="3"/>
  <c r="BE835" i="3"/>
  <c r="AC835" i="3"/>
  <c r="V835" i="3"/>
  <c r="C835" i="3"/>
  <c r="F860" i="3" a="1"/>
  <c r="AX860" i="3"/>
  <c r="AY860" i="3" s="1"/>
  <c r="X860" i="3"/>
  <c r="BH860" i="3"/>
  <c r="BF860" i="3"/>
  <c r="BE860" i="3"/>
  <c r="AC860" i="3"/>
  <c r="V860" i="3"/>
  <c r="C860" i="3"/>
  <c r="C243" i="70"/>
  <c r="X243" i="70"/>
  <c r="AA243" i="70"/>
  <c r="AS243" i="70"/>
  <c r="BC243" i="70"/>
  <c r="K73" i="122"/>
  <c r="E4" i="122"/>
  <c r="F4" i="122"/>
  <c r="G4" i="122"/>
  <c r="I4" i="122"/>
  <c r="K4" i="122"/>
  <c r="N4" i="122"/>
  <c r="O104" i="122"/>
  <c r="U1021" i="3"/>
  <c r="V1021" i="3" s="1"/>
  <c r="U1148" i="3"/>
  <c r="V1148" i="3" s="1"/>
  <c r="BH1057" i="3"/>
  <c r="BF1057" i="3"/>
  <c r="BE1057" i="3"/>
  <c r="AX1057" i="3"/>
  <c r="AY1057" i="3" s="1"/>
  <c r="AC1057" i="3"/>
  <c r="F1057" i="3" a="1"/>
  <c r="C1057" i="3"/>
  <c r="BH1010" i="3"/>
  <c r="BF1010" i="3"/>
  <c r="BE1010" i="3"/>
  <c r="AX1010" i="3"/>
  <c r="AY1010" i="3" s="1"/>
  <c r="AC1010" i="3"/>
  <c r="F1010" i="3" a="1"/>
  <c r="C1010" i="3"/>
  <c r="BH1021" i="3"/>
  <c r="BF1021" i="3"/>
  <c r="BE1021" i="3"/>
  <c r="AX1021" i="3"/>
  <c r="AY1021" i="3" s="1"/>
  <c r="AC1021" i="3"/>
  <c r="F1021" i="3" a="1"/>
  <c r="C1021" i="3"/>
  <c r="BH1148" i="3"/>
  <c r="BF1148" i="3"/>
  <c r="BE1148" i="3"/>
  <c r="AY1148" i="3"/>
  <c r="AC1148" i="3"/>
  <c r="F1148" i="3" a="1"/>
  <c r="C1148" i="3"/>
  <c r="BH1062" i="3"/>
  <c r="BF1062" i="3"/>
  <c r="BE1062" i="3"/>
  <c r="AX1062" i="3"/>
  <c r="AY1062" i="3" s="1"/>
  <c r="AC1062" i="3"/>
  <c r="F1062" i="3" a="1"/>
  <c r="C1062" i="3"/>
  <c r="BH965" i="3"/>
  <c r="BF965" i="3"/>
  <c r="BE965" i="3"/>
  <c r="AX965" i="3"/>
  <c r="AY965" i="3" s="1"/>
  <c r="AC965" i="3"/>
  <c r="U965" i="3"/>
  <c r="V965" i="3" s="1"/>
  <c r="F965" i="3" a="1"/>
  <c r="C965" i="3"/>
  <c r="U963" i="3"/>
  <c r="V963" i="3" s="1"/>
  <c r="U966" i="3"/>
  <c r="V966" i="3" s="1"/>
  <c r="U899" i="3"/>
  <c r="V899" i="3" s="1"/>
  <c r="BH899" i="3"/>
  <c r="BF899" i="3"/>
  <c r="BE899" i="3"/>
  <c r="AX899" i="3"/>
  <c r="AY899" i="3" s="1"/>
  <c r="AC899" i="3"/>
  <c r="F899" i="3" a="1"/>
  <c r="C899" i="3"/>
  <c r="BH897" i="3"/>
  <c r="BF897" i="3"/>
  <c r="BE897" i="3"/>
  <c r="W897" i="3" s="1"/>
  <c r="AX897" i="3"/>
  <c r="AY897" i="3" s="1"/>
  <c r="AC897" i="3"/>
  <c r="F897" i="3" a="1"/>
  <c r="C897" i="3"/>
  <c r="BH895" i="3"/>
  <c r="BF895" i="3"/>
  <c r="BE895" i="3"/>
  <c r="W895" i="3" s="1"/>
  <c r="AX895" i="3"/>
  <c r="AY895" i="3" s="1"/>
  <c r="AC895" i="3"/>
  <c r="F895" i="3" a="1"/>
  <c r="C895" i="3"/>
  <c r="U842" i="3"/>
  <c r="V842" i="3" s="1"/>
  <c r="BH842" i="3"/>
  <c r="BF842" i="3"/>
  <c r="BE842" i="3"/>
  <c r="AX842" i="3"/>
  <c r="AY842" i="3" s="1"/>
  <c r="AC842" i="3"/>
  <c r="F842" i="3" a="1"/>
  <c r="C842" i="3"/>
  <c r="T73" i="122"/>
  <c r="F832" i="3" a="1"/>
  <c r="C832" i="3"/>
  <c r="V832" i="3"/>
  <c r="AC832" i="3"/>
  <c r="AY832" i="3"/>
  <c r="BE832" i="3"/>
  <c r="BF832" i="3"/>
  <c r="BH832" i="3"/>
  <c r="N27" i="122"/>
  <c r="N47" i="122" s="1"/>
  <c r="F972" i="3" a="1"/>
  <c r="AX972" i="3"/>
  <c r="AY972" i="3" s="1"/>
  <c r="F966" i="3" a="1"/>
  <c r="AX966" i="3"/>
  <c r="AY966" i="3" s="1"/>
  <c r="F963" i="3" a="1"/>
  <c r="AX963" i="3"/>
  <c r="AY963" i="3" s="1"/>
  <c r="BH966" i="3"/>
  <c r="BF966" i="3"/>
  <c r="BE966" i="3"/>
  <c r="AC966" i="3"/>
  <c r="C966" i="3"/>
  <c r="BH972" i="3"/>
  <c r="BF972" i="3"/>
  <c r="BE972" i="3"/>
  <c r="AC972" i="3"/>
  <c r="C972" i="3"/>
  <c r="BH963" i="3"/>
  <c r="BF963" i="3"/>
  <c r="BE963" i="3"/>
  <c r="AC963" i="3"/>
  <c r="C963" i="3"/>
  <c r="C948" i="3"/>
  <c r="F948" i="3" a="1"/>
  <c r="AX948" i="3"/>
  <c r="AY948" i="3" s="1"/>
  <c r="F938" i="3" a="1"/>
  <c r="AX938" i="3"/>
  <c r="AY938" i="3" s="1"/>
  <c r="BH948" i="3"/>
  <c r="BF948" i="3"/>
  <c r="X948" i="3" s="1"/>
  <c r="BE948" i="3"/>
  <c r="AC948" i="3"/>
  <c r="C938" i="3"/>
  <c r="AC938" i="3"/>
  <c r="BE938" i="3"/>
  <c r="BF938" i="3"/>
  <c r="BH938" i="3"/>
  <c r="C175" i="70"/>
  <c r="C176" i="70"/>
  <c r="C177" i="70"/>
  <c r="BC207" i="70"/>
  <c r="AS207" i="70"/>
  <c r="AA207" i="70"/>
  <c r="X207" i="70"/>
  <c r="C207" i="70"/>
  <c r="BC208" i="70"/>
  <c r="AS208" i="70"/>
  <c r="AA208" i="70"/>
  <c r="X208" i="70"/>
  <c r="C208" i="70"/>
  <c r="BC211" i="70"/>
  <c r="AS211" i="70"/>
  <c r="AA211" i="70"/>
  <c r="X211" i="70"/>
  <c r="C211" i="70"/>
  <c r="BC204" i="70"/>
  <c r="AS204" i="70"/>
  <c r="AA204" i="70"/>
  <c r="X204" i="70"/>
  <c r="BC191" i="70"/>
  <c r="AS191" i="70"/>
  <c r="AA191" i="70"/>
  <c r="X191" i="70"/>
  <c r="C191" i="70"/>
  <c r="BC177" i="70"/>
  <c r="AS177" i="70"/>
  <c r="AA177" i="70"/>
  <c r="X177" i="70"/>
  <c r="M27" i="122"/>
  <c r="M47" i="122" s="1"/>
  <c r="F792" i="3" a="1"/>
  <c r="AX792" i="3"/>
  <c r="AY792" i="3" s="1"/>
  <c r="BH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BF834" i="3"/>
  <c r="BE834" i="3"/>
  <c r="AC834" i="3"/>
  <c r="V834" i="3"/>
  <c r="C834" i="3"/>
  <c r="BC156" i="70"/>
  <c r="AS156" i="70"/>
  <c r="AA156" i="70"/>
  <c r="X156" i="70"/>
  <c r="C156" i="70"/>
  <c r="F919" i="3" a="1"/>
  <c r="AY919" i="3"/>
  <c r="BH919" i="3"/>
  <c r="BF919" i="3"/>
  <c r="BE919" i="3"/>
  <c r="AC919" i="3"/>
  <c r="V919" i="3"/>
  <c r="C919" i="3"/>
  <c r="F815" i="3" a="1"/>
  <c r="AX815" i="3"/>
  <c r="AY815" i="3" s="1"/>
  <c r="BH815" i="3"/>
  <c r="BF815" i="3"/>
  <c r="BE815" i="3"/>
  <c r="AC815" i="3"/>
  <c r="V815" i="3"/>
  <c r="C815" i="3"/>
  <c r="F1003" i="3" a="1"/>
  <c r="F960" i="3" a="1"/>
  <c r="F958" i="3" a="1"/>
  <c r="F933" i="3" a="1"/>
  <c r="C933" i="3"/>
  <c r="AC933" i="3"/>
  <c r="AY933" i="3"/>
  <c r="BE933" i="3"/>
  <c r="BF933" i="3"/>
  <c r="BH933" i="3"/>
  <c r="C958" i="3"/>
  <c r="AC958" i="3"/>
  <c r="AX958" i="3"/>
  <c r="AY958" i="3" s="1"/>
  <c r="BE958" i="3"/>
  <c r="BF958" i="3"/>
  <c r="BH958" i="3"/>
  <c r="C960" i="3"/>
  <c r="AC960" i="3"/>
  <c r="AX960" i="3"/>
  <c r="AY960" i="3" s="1"/>
  <c r="BE960" i="3"/>
  <c r="BF960" i="3"/>
  <c r="BH960" i="3"/>
  <c r="C1003" i="3"/>
  <c r="AC1003" i="3"/>
  <c r="AX1003" i="3"/>
  <c r="AY1003" i="3" s="1"/>
  <c r="BE1003" i="3"/>
  <c r="BF1003" i="3"/>
  <c r="BH1003" i="3"/>
  <c r="U890" i="3"/>
  <c r="V890" i="3" s="1"/>
  <c r="U940" i="3"/>
  <c r="V940" i="3" s="1"/>
  <c r="F940" i="3" a="1"/>
  <c r="F890" i="3" a="1"/>
  <c r="C890" i="3"/>
  <c r="AC890" i="3"/>
  <c r="AX890" i="3"/>
  <c r="AY890" i="3" s="1"/>
  <c r="BE890" i="3"/>
  <c r="BF890" i="3"/>
  <c r="BH890" i="3"/>
  <c r="C940" i="3"/>
  <c r="AC940" i="3"/>
  <c r="AX940" i="3"/>
  <c r="AY940" i="3" s="1"/>
  <c r="BE940" i="3"/>
  <c r="BF940" i="3"/>
  <c r="BH940" i="3"/>
  <c r="F888" i="3" a="1"/>
  <c r="BH888" i="3"/>
  <c r="BF888" i="3"/>
  <c r="BE888" i="3"/>
  <c r="AX888" i="3"/>
  <c r="AY888" i="3" s="1"/>
  <c r="AC888" i="3"/>
  <c r="C888" i="3"/>
  <c r="AA135" i="70"/>
  <c r="X159" i="70"/>
  <c r="C159" i="70"/>
  <c r="AA159" i="70"/>
  <c r="AS159" i="70"/>
  <c r="BC159" i="70"/>
  <c r="F797" i="3" a="1"/>
  <c r="AX797" i="3"/>
  <c r="AY797" i="3" s="1"/>
  <c r="BH797" i="3"/>
  <c r="BF797" i="3"/>
  <c r="BE797" i="3"/>
  <c r="AC797" i="3"/>
  <c r="V797" i="3"/>
  <c r="C797" i="3"/>
  <c r="F795" i="3" a="1"/>
  <c r="AX795" i="3"/>
  <c r="AY795" i="3" s="1"/>
  <c r="BH795" i="3"/>
  <c r="BF795" i="3"/>
  <c r="BE795" i="3"/>
  <c r="AC795" i="3"/>
  <c r="V795" i="3"/>
  <c r="C795" i="3"/>
  <c r="F791" i="3" a="1"/>
  <c r="AX791" i="3"/>
  <c r="AY791" i="3" s="1"/>
  <c r="BH791" i="3"/>
  <c r="BF791" i="3"/>
  <c r="BE791" i="3"/>
  <c r="AC791" i="3"/>
  <c r="V791" i="3"/>
  <c r="C791" i="3"/>
  <c r="F802" i="3" a="1"/>
  <c r="AX802" i="3"/>
  <c r="AY802" i="3" s="1"/>
  <c r="BH802" i="3"/>
  <c r="BF802" i="3"/>
  <c r="BE802" i="3"/>
  <c r="AC802" i="3"/>
  <c r="V802" i="3"/>
  <c r="C802" i="3"/>
  <c r="X185" i="70"/>
  <c r="AA185" i="70"/>
  <c r="AS185" i="70"/>
  <c r="BC185" i="70"/>
  <c r="X212" i="70"/>
  <c r="AA212" i="70"/>
  <c r="AS212" i="70"/>
  <c r="BC212" i="70"/>
  <c r="X176" i="70"/>
  <c r="AA176" i="70"/>
  <c r="AS176" i="70"/>
  <c r="BC176" i="70"/>
  <c r="X175" i="70"/>
  <c r="AA175" i="70"/>
  <c r="AS175" i="70"/>
  <c r="BC175" i="70"/>
  <c r="AC620" i="3"/>
  <c r="U620" i="3"/>
  <c r="U619" i="3"/>
  <c r="V619" i="3" s="1"/>
  <c r="F620" i="3" a="1"/>
  <c r="C620" i="3"/>
  <c r="AY620" i="3"/>
  <c r="BE620" i="3"/>
  <c r="BF620" i="3"/>
  <c r="S620" i="3"/>
  <c r="BH620" i="3"/>
  <c r="U810" i="3"/>
  <c r="V810" i="3" s="1"/>
  <c r="BH810" i="3"/>
  <c r="BF810" i="3"/>
  <c r="BE810" i="3"/>
  <c r="AX810" i="3"/>
  <c r="AY810" i="3" s="1"/>
  <c r="AC810" i="3"/>
  <c r="F810" i="3" a="1"/>
  <c r="C810" i="3"/>
  <c r="J24" i="47"/>
  <c r="J21" i="47"/>
  <c r="J18" i="47"/>
  <c r="J15" i="47"/>
  <c r="J12" i="47"/>
  <c r="J9" i="47"/>
  <c r="J6" i="47"/>
  <c r="E9" i="47"/>
  <c r="E12" i="47"/>
  <c r="E15" i="47"/>
  <c r="E18" i="47"/>
  <c r="I5" i="47"/>
  <c r="J5" i="47" s="1"/>
  <c r="J8" i="47"/>
  <c r="F819" i="3" a="1"/>
  <c r="C819" i="3"/>
  <c r="V819" i="3"/>
  <c r="AC819" i="3"/>
  <c r="AY819" i="3"/>
  <c r="BE819" i="3"/>
  <c r="BF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5" i="3"/>
  <c r="AC1251" i="3"/>
  <c r="AC1255" i="3"/>
  <c r="AC1267" i="3"/>
  <c r="AC1268" i="3"/>
  <c r="AY1251" i="3"/>
  <c r="AY1255" i="3"/>
  <c r="AY1267" i="3"/>
  <c r="AY1268" i="3"/>
  <c r="BH1251" i="3"/>
  <c r="BH1255" i="3"/>
  <c r="BH1267" i="3"/>
  <c r="BH1268" i="3"/>
  <c r="U920" i="3"/>
  <c r="V920" i="3" s="1"/>
  <c r="F1002" i="3" a="1"/>
  <c r="F920" i="3" a="1"/>
  <c r="BH1002" i="3"/>
  <c r="BF1002" i="3"/>
  <c r="BE1002" i="3"/>
  <c r="AX1002" i="3"/>
  <c r="AY1002" i="3" s="1"/>
  <c r="AC1002" i="3"/>
  <c r="C1002" i="3"/>
  <c r="BH920" i="3"/>
  <c r="BF920" i="3"/>
  <c r="BE920" i="3"/>
  <c r="AX920" i="3"/>
  <c r="AY920" i="3" s="1"/>
  <c r="AC920" i="3"/>
  <c r="C920" i="3"/>
  <c r="C1005" i="3"/>
  <c r="AC1005" i="3"/>
  <c r="AY1005" i="3"/>
  <c r="BE1005" i="3"/>
  <c r="BF1005" i="3"/>
  <c r="BH1005" i="3"/>
  <c r="U950" i="3"/>
  <c r="W950" i="3" s="1"/>
  <c r="F950" i="3" a="1"/>
  <c r="AC1246" i="3"/>
  <c r="AY1246" i="3"/>
  <c r="BH1246" i="3"/>
  <c r="AY950" i="3"/>
  <c r="BH950" i="3"/>
  <c r="C950" i="3"/>
  <c r="V955" i="3"/>
  <c r="F859" i="3" a="1"/>
  <c r="BH859" i="3"/>
  <c r="BF859" i="3"/>
  <c r="BE859" i="3"/>
  <c r="AY859" i="3"/>
  <c r="AC859" i="3"/>
  <c r="V859" i="3"/>
  <c r="C859" i="3"/>
  <c r="I40" i="47"/>
  <c r="J40" i="47" s="1"/>
  <c r="E40" i="47"/>
  <c r="I43" i="47"/>
  <c r="J43" i="47" s="1"/>
  <c r="I41" i="47"/>
  <c r="J41" i="47" s="1"/>
  <c r="J30" i="47"/>
  <c r="I38" i="47"/>
  <c r="J38" i="47" s="1"/>
  <c r="I25" i="47"/>
  <c r="I27" i="47" s="1"/>
  <c r="J27" i="47" s="1"/>
  <c r="J22" i="47"/>
  <c r="J19" i="47"/>
  <c r="J13" i="47"/>
  <c r="J16" i="47"/>
  <c r="J10" i="47"/>
  <c r="J7" i="47"/>
  <c r="J4" i="47"/>
  <c r="E7" i="47"/>
  <c r="E10" i="47"/>
  <c r="E13" i="47"/>
  <c r="E16" i="47"/>
  <c r="E19" i="47"/>
  <c r="E22" i="47"/>
  <c r="E26" i="47"/>
  <c r="F777" i="3" a="1"/>
  <c r="BH777" i="3"/>
  <c r="BF777" i="3"/>
  <c r="BE777" i="3"/>
  <c r="AY777" i="3"/>
  <c r="AC777" i="3"/>
  <c r="V777" i="3"/>
  <c r="C777" i="3"/>
  <c r="F766" i="3" a="1"/>
  <c r="BH766" i="3"/>
  <c r="BF766" i="3"/>
  <c r="BE766" i="3"/>
  <c r="AY766" i="3"/>
  <c r="AC766" i="3"/>
  <c r="V766" i="3"/>
  <c r="C766" i="3"/>
  <c r="E4" i="47"/>
  <c r="E25" i="47"/>
  <c r="E29" i="47"/>
  <c r="E28" i="47"/>
  <c r="E31" i="47"/>
  <c r="E33" i="47"/>
  <c r="E36" i="47"/>
  <c r="E32" i="47"/>
  <c r="E30" i="47"/>
  <c r="E37" i="47"/>
  <c r="E38" i="47"/>
  <c r="E6" i="47"/>
  <c r="E21" i="47"/>
  <c r="E24" i="47"/>
  <c r="E34" i="47"/>
  <c r="AX921" i="3"/>
  <c r="AY921" i="3" s="1"/>
  <c r="AY1244" i="3"/>
  <c r="AY1243" i="3"/>
  <c r="AY1037" i="3"/>
  <c r="AY1241" i="3"/>
  <c r="AY1240" i="3"/>
  <c r="AY1239" i="3"/>
  <c r="AX995" i="3"/>
  <c r="AY995" i="3" s="1"/>
  <c r="AX947" i="3"/>
  <c r="AY947" i="3" s="1"/>
  <c r="AY1238" i="3"/>
  <c r="AX922" i="3"/>
  <c r="AY922" i="3" s="1"/>
  <c r="AY1237" i="3"/>
  <c r="AX930" i="3"/>
  <c r="AY930" i="3" s="1"/>
  <c r="AY924" i="3"/>
  <c r="AX902" i="3"/>
  <c r="AY902" i="3" s="1"/>
  <c r="AY1236" i="3"/>
  <c r="AY1234" i="3"/>
  <c r="AX854" i="3"/>
  <c r="AY854" i="3" s="1"/>
  <c r="AX816" i="3"/>
  <c r="AY816" i="3" s="1"/>
  <c r="AX818" i="3"/>
  <c r="AY818" i="3" s="1"/>
  <c r="AY1233" i="3"/>
  <c r="AY1231" i="3"/>
  <c r="AY1230" i="3"/>
  <c r="AX953" i="3"/>
  <c r="AY953" i="3" s="1"/>
  <c r="AY1229" i="3"/>
  <c r="AX781" i="3"/>
  <c r="AY781" i="3" s="1"/>
  <c r="AX856" i="3"/>
  <c r="AY856" i="3" s="1"/>
  <c r="AX824" i="3"/>
  <c r="AY824" i="3" s="1"/>
  <c r="AX1036" i="3"/>
  <c r="AY1036" i="3" s="1"/>
  <c r="AX1035" i="3"/>
  <c r="AY1035" i="3" s="1"/>
  <c r="AX857" i="3"/>
  <c r="AY857" i="3" s="1"/>
  <c r="AX770" i="3"/>
  <c r="AY770" i="3" s="1"/>
  <c r="AX884" i="3"/>
  <c r="AY884" i="3" s="1"/>
  <c r="AX849" i="3"/>
  <c r="AY849" i="3" s="1"/>
  <c r="AY1227" i="3"/>
  <c r="AY1226" i="3"/>
  <c r="AX847" i="3"/>
  <c r="AY847" i="3" s="1"/>
  <c r="AX867" i="3"/>
  <c r="AY867" i="3" s="1"/>
  <c r="AX806" i="3"/>
  <c r="AY806" i="3" s="1"/>
  <c r="AX944" i="3"/>
  <c r="AY944" i="3" s="1"/>
  <c r="AX881" i="3"/>
  <c r="AY881" i="3" s="1"/>
  <c r="AY1225" i="3"/>
  <c r="AX880" i="3"/>
  <c r="AY880" i="3" s="1"/>
  <c r="AX936" i="3"/>
  <c r="AY936" i="3" s="1"/>
  <c r="AY1224" i="3"/>
  <c r="AX892" i="3"/>
  <c r="AY892" i="3" s="1"/>
  <c r="AX846" i="3"/>
  <c r="AY846" i="3" s="1"/>
  <c r="AX865" i="3"/>
  <c r="AY865" i="3" s="1"/>
  <c r="AX827" i="3"/>
  <c r="AY827" i="3" s="1"/>
  <c r="AX831" i="3"/>
  <c r="AY831" i="3" s="1"/>
  <c r="AY1223" i="3"/>
  <c r="AX788" i="3"/>
  <c r="AY788" i="3" s="1"/>
  <c r="AX882" i="3"/>
  <c r="AY882" i="3" s="1"/>
  <c r="AY1222" i="3"/>
  <c r="AX885" i="3"/>
  <c r="AY885" i="3" s="1"/>
  <c r="AY1221" i="3"/>
  <c r="AX994" i="3"/>
  <c r="AY994" i="3" s="1"/>
  <c r="AX945" i="3"/>
  <c r="AY945" i="3" s="1"/>
  <c r="AY1220" i="3"/>
  <c r="AX911" i="3"/>
  <c r="AY911" i="3" s="1"/>
  <c r="AX841" i="3"/>
  <c r="AY841" i="3" s="1"/>
  <c r="AY1218" i="3"/>
  <c r="AY1217" i="3"/>
  <c r="AY1216" i="3"/>
  <c r="AX829" i="3"/>
  <c r="AY829" i="3" s="1"/>
  <c r="AY1215" i="3"/>
  <c r="AX1114" i="3"/>
  <c r="AY1114" i="3" s="1"/>
  <c r="AX830" i="3"/>
  <c r="AY830" i="3" s="1"/>
  <c r="AY1214" i="3"/>
  <c r="AX805" i="3"/>
  <c r="AY805" i="3" s="1"/>
  <c r="AY1213" i="3"/>
  <c r="AX1051" i="3"/>
  <c r="AY1051" i="3" s="1"/>
  <c r="AX843" i="3"/>
  <c r="AY843" i="3" s="1"/>
  <c r="AY1212" i="3"/>
  <c r="AX1113" i="3"/>
  <c r="AY1113" i="3" s="1"/>
  <c r="AX1081" i="3"/>
  <c r="AY1081" i="3" s="1"/>
  <c r="AX1040" i="3"/>
  <c r="AY1040" i="3" s="1"/>
  <c r="AY1039" i="3"/>
  <c r="AY1211" i="3"/>
  <c r="AX822" i="3"/>
  <c r="AY822" i="3" s="1"/>
  <c r="AX1011" i="3"/>
  <c r="AY1011" i="3" s="1"/>
  <c r="AX852" i="3"/>
  <c r="AY852" i="3" s="1"/>
  <c r="AX821" i="3"/>
  <c r="AY821" i="3" s="1"/>
  <c r="AY1210" i="3"/>
  <c r="AX809" i="3"/>
  <c r="AY809" i="3" s="1"/>
  <c r="AX803" i="3"/>
  <c r="AY803" i="3" s="1"/>
  <c r="AY1209" i="3"/>
  <c r="AY1208" i="3"/>
  <c r="AY1207" i="3"/>
  <c r="AY1206" i="3"/>
  <c r="AY1205" i="3"/>
  <c r="AX820" i="3"/>
  <c r="AY820" i="3" s="1"/>
  <c r="AY1204" i="3"/>
  <c r="AX769" i="3"/>
  <c r="AY769" i="3" s="1"/>
  <c r="AY1203" i="3"/>
  <c r="AX807" i="3"/>
  <c r="AY807" i="3" s="1"/>
  <c r="AX772" i="3"/>
  <c r="AY772" i="3" s="1"/>
  <c r="AX771" i="3"/>
  <c r="AY771" i="3" s="1"/>
  <c r="AX858" i="3"/>
  <c r="AY858" i="3" s="1"/>
  <c r="AX955" i="3"/>
  <c r="AY955" i="3" s="1"/>
  <c r="AX776" i="3"/>
  <c r="AY776" i="3" s="1"/>
  <c r="AX775" i="3"/>
  <c r="AY775" i="3" s="1"/>
  <c r="AX774" i="3"/>
  <c r="AY774" i="3" s="1"/>
  <c r="AX773" i="3"/>
  <c r="AY773" i="3" s="1"/>
  <c r="AY1202" i="3"/>
  <c r="AY1201" i="3"/>
  <c r="AX910" i="3"/>
  <c r="AY910" i="3" s="1"/>
  <c r="AX907" i="3"/>
  <c r="AY907" i="3" s="1"/>
  <c r="AY1200" i="3"/>
  <c r="AY1199" i="3"/>
  <c r="AY1198" i="3"/>
  <c r="AX968" i="3"/>
  <c r="AY968" i="3" s="1"/>
  <c r="AX903" i="3"/>
  <c r="AY903" i="3" s="1"/>
  <c r="AX969" i="3"/>
  <c r="AY969" i="3" s="1"/>
  <c r="AX964" i="3"/>
  <c r="AY964" i="3" s="1"/>
  <c r="AY1197" i="3"/>
  <c r="AY1196" i="3"/>
  <c r="AY1195" i="3"/>
  <c r="AY1194" i="3"/>
  <c r="AY1193" i="3"/>
  <c r="AY1192" i="3"/>
  <c r="AY1191" i="3"/>
  <c r="AY1190" i="3"/>
  <c r="AY1189" i="3"/>
  <c r="AY1188" i="3"/>
  <c r="AX906" i="3"/>
  <c r="AY906" i="3" s="1"/>
  <c r="AY1187" i="3"/>
  <c r="AY1186" i="3"/>
  <c r="AY1185" i="3"/>
  <c r="AY1184" i="3"/>
  <c r="AY1183" i="3"/>
  <c r="AY1182" i="3"/>
  <c r="AY1181" i="3"/>
  <c r="AY1180" i="3"/>
  <c r="AY1179" i="3"/>
  <c r="AY1178" i="3"/>
  <c r="AY1177" i="3"/>
  <c r="AY1176" i="3"/>
  <c r="AY1175" i="3"/>
  <c r="AX783" i="3"/>
  <c r="AY783" i="3" s="1"/>
  <c r="AX782" i="3"/>
  <c r="AY782" i="3" s="1"/>
  <c r="AY1174" i="3"/>
  <c r="AY1173" i="3"/>
  <c r="AY1112" i="3"/>
  <c r="AX812" i="3"/>
  <c r="AY812" i="3" s="1"/>
  <c r="AX823" i="3"/>
  <c r="AY823" i="3" s="1"/>
  <c r="AX811" i="3"/>
  <c r="AY811" i="3" s="1"/>
  <c r="AX909" i="3"/>
  <c r="AY909" i="3" s="1"/>
  <c r="AX814" i="3"/>
  <c r="AY814" i="3" s="1"/>
  <c r="AX974" i="3"/>
  <c r="AY974" i="3" s="1"/>
  <c r="AX904" i="3"/>
  <c r="AY904" i="3" s="1"/>
  <c r="AX817" i="3"/>
  <c r="AY817" i="3" s="1"/>
  <c r="AX780" i="3"/>
  <c r="AY780" i="3" s="1"/>
  <c r="AX779" i="3"/>
  <c r="AY779" i="3" s="1"/>
  <c r="AX855" i="3"/>
  <c r="AY855" i="3" s="1"/>
  <c r="AX778" i="3"/>
  <c r="AY778" i="3" s="1"/>
  <c r="AX813" i="3"/>
  <c r="AY813" i="3" s="1"/>
  <c r="AX926" i="3"/>
  <c r="AY926" i="3" s="1"/>
  <c r="AX828" i="3"/>
  <c r="AY828" i="3" s="1"/>
  <c r="AX875" i="3"/>
  <c r="AY875" i="3" s="1"/>
  <c r="AX864" i="3"/>
  <c r="AY864" i="3" s="1"/>
  <c r="AX878" i="3"/>
  <c r="AY878" i="3" s="1"/>
  <c r="AX837" i="3"/>
  <c r="AY837" i="3" s="1"/>
  <c r="AX912" i="3"/>
  <c r="AY912" i="3" s="1"/>
  <c r="AX876" i="3"/>
  <c r="AY876" i="3" s="1"/>
  <c r="AX796" i="3"/>
  <c r="AY796" i="3" s="1"/>
  <c r="AX874" i="3"/>
  <c r="AY874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7" i="3"/>
  <c r="AY877" i="3" s="1"/>
  <c r="AX790" i="3"/>
  <c r="AY790" i="3" s="1"/>
  <c r="AX869" i="3"/>
  <c r="AY869" i="3" s="1"/>
  <c r="AX845" i="3"/>
  <c r="AY845" i="3" s="1"/>
  <c r="AX844" i="3"/>
  <c r="AY844" i="3" s="1"/>
  <c r="AX850" i="3"/>
  <c r="AY850" i="3" s="1"/>
  <c r="AX915" i="3"/>
  <c r="AY915" i="3" s="1"/>
  <c r="AX883" i="3"/>
  <c r="AY883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15" i="3"/>
  <c r="F840" i="3" a="1"/>
  <c r="BH840" i="3"/>
  <c r="BF840" i="3"/>
  <c r="BE840" i="3"/>
  <c r="AC840" i="3"/>
  <c r="V840" i="3"/>
  <c r="C840" i="3"/>
  <c r="S718" i="3"/>
  <c r="S717" i="3"/>
  <c r="S716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7" i="3"/>
  <c r="BH867" i="3"/>
  <c r="BF867" i="3"/>
  <c r="BE867" i="3"/>
  <c r="AC867" i="3"/>
  <c r="F867" i="3" a="1"/>
  <c r="C867" i="3"/>
  <c r="V944" i="3"/>
  <c r="U881" i="3"/>
  <c r="V881" i="3" s="1"/>
  <c r="BH806" i="3"/>
  <c r="BF806" i="3"/>
  <c r="BE806" i="3"/>
  <c r="AC806" i="3"/>
  <c r="F806" i="3" a="1"/>
  <c r="C806" i="3"/>
  <c r="BH944" i="3"/>
  <c r="BF944" i="3"/>
  <c r="BE944" i="3"/>
  <c r="AC944" i="3"/>
  <c r="F944" i="3" a="1"/>
  <c r="C944" i="3"/>
  <c r="BH881" i="3"/>
  <c r="BF881" i="3"/>
  <c r="BE881" i="3"/>
  <c r="AC881" i="3"/>
  <c r="F881" i="3" a="1"/>
  <c r="C881" i="3"/>
  <c r="F936" i="3" a="1"/>
  <c r="BH936" i="3"/>
  <c r="BF936" i="3"/>
  <c r="BE936" i="3"/>
  <c r="AC936" i="3"/>
  <c r="C936" i="3"/>
  <c r="U857" i="3"/>
  <c r="V857" i="3" s="1"/>
  <c r="BH824" i="3"/>
  <c r="BF824" i="3"/>
  <c r="BE824" i="3"/>
  <c r="AC824" i="3"/>
  <c r="F824" i="3" a="1"/>
  <c r="C824" i="3"/>
  <c r="BH1036" i="3"/>
  <c r="BF1036" i="3"/>
  <c r="BE1036" i="3"/>
  <c r="AC1036" i="3"/>
  <c r="F1036" i="3" a="1"/>
  <c r="C1036" i="3"/>
  <c r="BH1035" i="3"/>
  <c r="BF1035" i="3"/>
  <c r="BE1035" i="3"/>
  <c r="AC1035" i="3"/>
  <c r="C1035" i="3"/>
  <c r="BH857" i="3"/>
  <c r="BF857" i="3"/>
  <c r="BE857" i="3"/>
  <c r="AC857" i="3"/>
  <c r="F857" i="3" a="1"/>
  <c r="C857" i="3"/>
  <c r="BH953" i="3"/>
  <c r="BF953" i="3"/>
  <c r="BE953" i="3"/>
  <c r="AC953" i="3"/>
  <c r="C953" i="3"/>
  <c r="F994" i="3" a="1"/>
  <c r="F945" i="3" a="1"/>
  <c r="V885" i="3"/>
  <c r="C885" i="3"/>
  <c r="BH994" i="3"/>
  <c r="BF994" i="3"/>
  <c r="BE994" i="3"/>
  <c r="AC994" i="3"/>
  <c r="C994" i="3"/>
  <c r="BH945" i="3"/>
  <c r="BF945" i="3"/>
  <c r="BE945" i="3"/>
  <c r="AC945" i="3"/>
  <c r="C945" i="3"/>
  <c r="BH885" i="3"/>
  <c r="BF885" i="3"/>
  <c r="BE885" i="3"/>
  <c r="AC885" i="3"/>
  <c r="F885" i="3" a="1"/>
  <c r="U922" i="3"/>
  <c r="V922" i="3" s="1"/>
  <c r="BH930" i="3"/>
  <c r="BF930" i="3"/>
  <c r="BE930" i="3"/>
  <c r="AC930" i="3"/>
  <c r="F930" i="3" a="1"/>
  <c r="C930" i="3"/>
  <c r="F924" i="3" a="1"/>
  <c r="F902" i="3" a="1"/>
  <c r="BH902" i="3"/>
  <c r="BF902" i="3"/>
  <c r="BE902" i="3"/>
  <c r="AC902" i="3"/>
  <c r="C902" i="3"/>
  <c r="BH924" i="3"/>
  <c r="BF924" i="3"/>
  <c r="BE924" i="3"/>
  <c r="AC924" i="3"/>
  <c r="C924" i="3"/>
  <c r="F922" i="3" a="1"/>
  <c r="BH922" i="3"/>
  <c r="BF922" i="3"/>
  <c r="BE922" i="3"/>
  <c r="AC922" i="3"/>
  <c r="C922" i="3"/>
  <c r="U1114" i="3"/>
  <c r="F1114" i="3" a="1"/>
  <c r="BH1114" i="3"/>
  <c r="BF1114" i="3"/>
  <c r="BE1114" i="3"/>
  <c r="AC1114" i="3"/>
  <c r="C1114" i="3"/>
  <c r="F1113" i="3" a="1"/>
  <c r="F1081" i="3" a="1"/>
  <c r="F1040" i="3" a="1"/>
  <c r="U1113" i="3"/>
  <c r="F1039" i="3" a="1"/>
  <c r="C1039" i="3"/>
  <c r="V1039" i="3"/>
  <c r="AC1039" i="3"/>
  <c r="BE1039" i="3"/>
  <c r="W1039" i="3" s="1"/>
  <c r="BF1039" i="3"/>
  <c r="BH1039" i="3"/>
  <c r="C1040" i="3"/>
  <c r="AC1040" i="3"/>
  <c r="BE1040" i="3"/>
  <c r="BF1040" i="3"/>
  <c r="BH1040" i="3"/>
  <c r="C1081" i="3"/>
  <c r="AC1081" i="3"/>
  <c r="BE1081" i="3"/>
  <c r="BF1081" i="3"/>
  <c r="BH1081" i="3"/>
  <c r="C1113" i="3"/>
  <c r="AC1113" i="3"/>
  <c r="BE1113" i="3"/>
  <c r="BF1113" i="3"/>
  <c r="BH1113" i="3"/>
  <c r="F865" i="3" a="1"/>
  <c r="F827" i="3" a="1"/>
  <c r="F831" i="3" a="1"/>
  <c r="F995" i="3" a="1"/>
  <c r="F947" i="3" a="1"/>
  <c r="BH995" i="3"/>
  <c r="BF995" i="3"/>
  <c r="BE995" i="3"/>
  <c r="AC995" i="3"/>
  <c r="C995" i="3"/>
  <c r="BH947" i="3"/>
  <c r="BF947" i="3"/>
  <c r="BE947" i="3"/>
  <c r="AC947" i="3"/>
  <c r="C947" i="3"/>
  <c r="BH865" i="3"/>
  <c r="BF865" i="3"/>
  <c r="BE865" i="3"/>
  <c r="AC865" i="3"/>
  <c r="C865" i="3"/>
  <c r="BH892" i="3"/>
  <c r="BF892" i="3"/>
  <c r="BE892" i="3"/>
  <c r="AC892" i="3"/>
  <c r="F892" i="3" a="1"/>
  <c r="C892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240" i="3"/>
  <c r="BH1241" i="3"/>
  <c r="BH1037" i="3"/>
  <c r="BH1243" i="3"/>
  <c r="BH1244" i="3"/>
  <c r="BH921" i="3"/>
  <c r="BF1037" i="3"/>
  <c r="BF921" i="3"/>
  <c r="BE1037" i="3"/>
  <c r="BE921" i="3"/>
  <c r="AC1240" i="3"/>
  <c r="AC1241" i="3"/>
  <c r="AC1037" i="3"/>
  <c r="AC1243" i="3"/>
  <c r="AC1244" i="3"/>
  <c r="AC921" i="3"/>
  <c r="C921" i="3"/>
  <c r="BH1238" i="3"/>
  <c r="BH1239" i="3"/>
  <c r="AC1238" i="3"/>
  <c r="AC1239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237" i="3"/>
  <c r="AC1237" i="3"/>
  <c r="BH1237" i="3"/>
  <c r="C1236" i="3"/>
  <c r="AC1236" i="3"/>
  <c r="BH1236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6" i="3" a="1"/>
  <c r="C856" i="3"/>
  <c r="V856" i="3"/>
  <c r="AC856" i="3"/>
  <c r="BE856" i="3"/>
  <c r="BF856" i="3"/>
  <c r="BH856" i="3"/>
  <c r="F858" i="3" a="1"/>
  <c r="C858" i="3"/>
  <c r="V858" i="3"/>
  <c r="AC858" i="3"/>
  <c r="BE858" i="3"/>
  <c r="BF858" i="3"/>
  <c r="BH858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6" i="122"/>
  <c r="S136" i="122"/>
  <c r="R136" i="122"/>
  <c r="Q136" i="122"/>
  <c r="T132" i="122"/>
  <c r="S132" i="122"/>
  <c r="T128" i="122"/>
  <c r="S128" i="122"/>
  <c r="R128" i="122"/>
  <c r="Q128" i="122"/>
  <c r="T108" i="122"/>
  <c r="S108" i="122"/>
  <c r="R108" i="122"/>
  <c r="Q108" i="122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7" i="3"/>
  <c r="BF877" i="3"/>
  <c r="BE877" i="3"/>
  <c r="AC877" i="3"/>
  <c r="F877" i="3" a="1"/>
  <c r="C877" i="3"/>
  <c r="F116" i="122"/>
  <c r="G116" i="122"/>
  <c r="H116" i="122"/>
  <c r="I116" i="122"/>
  <c r="K116" i="122"/>
  <c r="L116" i="122"/>
  <c r="M116" i="122"/>
  <c r="N116" i="122"/>
  <c r="O116" i="122"/>
  <c r="E116" i="122"/>
  <c r="F108" i="122"/>
  <c r="G108" i="122"/>
  <c r="H108" i="122"/>
  <c r="I108" i="122"/>
  <c r="J108" i="122"/>
  <c r="K108" i="122"/>
  <c r="L108" i="122"/>
  <c r="M108" i="122"/>
  <c r="N108" i="122"/>
  <c r="O108" i="122"/>
  <c r="P108" i="122"/>
  <c r="F104" i="122"/>
  <c r="G104" i="122"/>
  <c r="H104" i="122"/>
  <c r="I104" i="122"/>
  <c r="J104" i="122"/>
  <c r="K104" i="122"/>
  <c r="L104" i="122"/>
  <c r="E104" i="122"/>
  <c r="F100" i="122"/>
  <c r="G100" i="122"/>
  <c r="H100" i="122"/>
  <c r="I100" i="122"/>
  <c r="J100" i="122"/>
  <c r="K100" i="122"/>
  <c r="L100" i="122"/>
  <c r="M100" i="122"/>
  <c r="N100" i="122"/>
  <c r="E100" i="122"/>
  <c r="F136" i="122"/>
  <c r="G136" i="122"/>
  <c r="H136" i="122"/>
  <c r="I136" i="122"/>
  <c r="J136" i="122"/>
  <c r="K136" i="122"/>
  <c r="L136" i="122"/>
  <c r="E136" i="122"/>
  <c r="F132" i="122"/>
  <c r="G132" i="122"/>
  <c r="H132" i="122"/>
  <c r="I132" i="122"/>
  <c r="J132" i="122"/>
  <c r="K132" i="122"/>
  <c r="L132" i="122"/>
  <c r="M132" i="122"/>
  <c r="N132" i="122"/>
  <c r="O132" i="122"/>
  <c r="P132" i="122"/>
  <c r="E132" i="122"/>
  <c r="G128" i="122"/>
  <c r="H128" i="122"/>
  <c r="I128" i="122"/>
  <c r="J128" i="122"/>
  <c r="K128" i="122"/>
  <c r="L128" i="122"/>
  <c r="M128" i="122"/>
  <c r="N128" i="122"/>
  <c r="O128" i="122"/>
  <c r="P128" i="122"/>
  <c r="E128" i="122"/>
  <c r="F124" i="122"/>
  <c r="G124" i="122"/>
  <c r="H124" i="122"/>
  <c r="I124" i="122"/>
  <c r="J124" i="122"/>
  <c r="K124" i="122"/>
  <c r="L124" i="122"/>
  <c r="M124" i="122"/>
  <c r="AH142" i="122"/>
  <c r="J139" i="122"/>
  <c r="I139" i="122"/>
  <c r="H139" i="122"/>
  <c r="G139" i="122"/>
  <c r="F139" i="122"/>
  <c r="E139" i="122"/>
  <c r="AH135" i="122"/>
  <c r="AH131" i="122"/>
  <c r="AH127" i="122"/>
  <c r="AH123" i="122"/>
  <c r="H119" i="122"/>
  <c r="F119" i="122"/>
  <c r="E119" i="122"/>
  <c r="AH115" i="122"/>
  <c r="AH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09" i="3"/>
  <c r="V909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15" i="3" a="1"/>
  <c r="BH915" i="3"/>
  <c r="BF915" i="3"/>
  <c r="BE915" i="3"/>
  <c r="AC915" i="3"/>
  <c r="C915" i="3"/>
  <c r="U787" i="3"/>
  <c r="V787" i="3" s="1"/>
  <c r="U740" i="3"/>
  <c r="F745" i="3" a="1"/>
  <c r="BH745" i="3"/>
  <c r="BF745" i="3"/>
  <c r="BE745" i="3"/>
  <c r="AC745" i="3"/>
  <c r="C745" i="3"/>
  <c r="F847" i="3" a="1"/>
  <c r="F880" i="3" a="1"/>
  <c r="U880" i="3"/>
  <c r="V880" i="3" s="1"/>
  <c r="BH847" i="3"/>
  <c r="BF847" i="3"/>
  <c r="BE847" i="3"/>
  <c r="AC847" i="3"/>
  <c r="C847" i="3"/>
  <c r="BH880" i="3"/>
  <c r="BF880" i="3"/>
  <c r="BE880" i="3"/>
  <c r="AC880" i="3"/>
  <c r="C880" i="3"/>
  <c r="U779" i="3"/>
  <c r="V779" i="3" s="1"/>
  <c r="BH854" i="3"/>
  <c r="BF854" i="3"/>
  <c r="BE854" i="3"/>
  <c r="AC854" i="3"/>
  <c r="F854" i="3" a="1"/>
  <c r="C854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2" i="3" a="1"/>
  <c r="BH788" i="3"/>
  <c r="BF788" i="3"/>
  <c r="BE788" i="3"/>
  <c r="AC788" i="3"/>
  <c r="C788" i="3"/>
  <c r="BH882" i="3"/>
  <c r="BF882" i="3"/>
  <c r="BE882" i="3"/>
  <c r="AC882" i="3"/>
  <c r="C882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1" i="3"/>
  <c r="U761" i="3"/>
  <c r="V761" i="3" s="1"/>
  <c r="BH1011" i="3"/>
  <c r="BF1011" i="3"/>
  <c r="BE1011" i="3"/>
  <c r="AC1011" i="3"/>
  <c r="F1011" i="3" a="1"/>
  <c r="C1011" i="3"/>
  <c r="M73" i="122"/>
  <c r="U869" i="3"/>
  <c r="V869" i="3" s="1"/>
  <c r="BH869" i="3"/>
  <c r="BF869" i="3"/>
  <c r="BE869" i="3"/>
  <c r="AC869" i="3"/>
  <c r="F869" i="3" a="1"/>
  <c r="C869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26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89" i="70"/>
  <c r="X290" i="70"/>
  <c r="X291" i="70"/>
  <c r="X292" i="70"/>
  <c r="X293" i="70"/>
  <c r="P93" i="122"/>
  <c r="O93" i="122"/>
  <c r="O73" i="122"/>
  <c r="P47" i="122"/>
  <c r="U1217" i="3"/>
  <c r="V1217" i="3" s="1"/>
  <c r="U1216" i="3"/>
  <c r="BH1216" i="3"/>
  <c r="AC1216" i="3"/>
  <c r="F1216" i="3" a="1"/>
  <c r="C1216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6" i="3"/>
  <c r="V906" i="3" s="1"/>
  <c r="F906" i="3" a="1"/>
  <c r="BH906" i="3"/>
  <c r="BF906" i="3"/>
  <c r="BE906" i="3"/>
  <c r="AC906" i="3"/>
  <c r="C906" i="3"/>
  <c r="BH850" i="3"/>
  <c r="BF850" i="3"/>
  <c r="BE850" i="3"/>
  <c r="AC850" i="3"/>
  <c r="F850" i="3" a="1"/>
  <c r="C850" i="3"/>
  <c r="V852" i="3"/>
  <c r="V821" i="3"/>
  <c r="BH821" i="3"/>
  <c r="BF821" i="3"/>
  <c r="BE821" i="3"/>
  <c r="AC821" i="3"/>
  <c r="F821" i="3" a="1"/>
  <c r="C821" i="3"/>
  <c r="BH852" i="3"/>
  <c r="BF852" i="3"/>
  <c r="BE852" i="3"/>
  <c r="AC852" i="3"/>
  <c r="F852" i="3" a="1"/>
  <c r="C852" i="3"/>
  <c r="BH761" i="3"/>
  <c r="BF761" i="3"/>
  <c r="BE761" i="3"/>
  <c r="AC761" i="3"/>
  <c r="F761" i="3" a="1"/>
  <c r="C761" i="3"/>
  <c r="W951" i="3"/>
  <c r="V967" i="3"/>
  <c r="W925" i="3"/>
  <c r="V925" i="3"/>
  <c r="W937" i="3"/>
  <c r="V937" i="3"/>
  <c r="V952" i="3"/>
  <c r="W959" i="3"/>
  <c r="V976" i="3"/>
  <c r="W825" i="3"/>
  <c r="X825" i="3"/>
  <c r="V970" i="3"/>
  <c r="W1005" i="3"/>
  <c r="V1005" i="3"/>
  <c r="W930" i="3"/>
  <c r="V930" i="3"/>
  <c r="V865" i="3"/>
  <c r="V892" i="3"/>
  <c r="V768" i="3"/>
  <c r="V844" i="3"/>
  <c r="AS172" i="70"/>
  <c r="AS171" i="70"/>
  <c r="V756" i="3"/>
  <c r="V877" i="3"/>
  <c r="G119" i="122"/>
  <c r="AH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4" i="3"/>
  <c r="V809" i="3"/>
  <c r="V800" i="3"/>
  <c r="V850" i="3"/>
  <c r="S124" i="122"/>
  <c r="N136" i="122"/>
  <c r="P136" i="122"/>
  <c r="AS173" i="70"/>
  <c r="BC172" i="70"/>
  <c r="BC171" i="70"/>
  <c r="T90" i="122"/>
  <c r="S90" i="122"/>
  <c r="R90" i="122"/>
  <c r="Q90" i="122"/>
  <c r="T86" i="122"/>
  <c r="S86" i="122"/>
  <c r="R86" i="122"/>
  <c r="Q86" i="122"/>
  <c r="T82" i="122"/>
  <c r="S82" i="122"/>
  <c r="R82" i="122"/>
  <c r="Q82" i="122"/>
  <c r="T70" i="122"/>
  <c r="S70" i="122"/>
  <c r="R70" i="122"/>
  <c r="Q70" i="122"/>
  <c r="Q62" i="122"/>
  <c r="T58" i="122"/>
  <c r="R58" i="122"/>
  <c r="Q58" i="122"/>
  <c r="T54" i="122"/>
  <c r="S54" i="122"/>
  <c r="R54" i="122"/>
  <c r="Q54" i="122"/>
  <c r="T32" i="122"/>
  <c r="S32" i="122"/>
  <c r="Q32" i="122"/>
  <c r="Q20" i="122"/>
  <c r="S20" i="122"/>
  <c r="T20" i="122"/>
  <c r="R12" i="122"/>
  <c r="S12" i="122"/>
  <c r="T12" i="122"/>
  <c r="P12" i="122"/>
  <c r="E90" i="122"/>
  <c r="F90" i="122"/>
  <c r="G90" i="122"/>
  <c r="H90" i="122"/>
  <c r="I90" i="122"/>
  <c r="J90" i="122"/>
  <c r="E86" i="122"/>
  <c r="F86" i="122"/>
  <c r="G86" i="122"/>
  <c r="I86" i="122"/>
  <c r="J86" i="122"/>
  <c r="K86" i="122"/>
  <c r="M86" i="122"/>
  <c r="N86" i="122"/>
  <c r="O86" i="122"/>
  <c r="P86" i="122"/>
  <c r="E82" i="122"/>
  <c r="F82" i="122"/>
  <c r="G82" i="122"/>
  <c r="H82" i="122"/>
  <c r="I82" i="122"/>
  <c r="J82" i="122"/>
  <c r="K82" i="122"/>
  <c r="L82" i="122"/>
  <c r="M82" i="122"/>
  <c r="N82" i="122"/>
  <c r="O82" i="122"/>
  <c r="P82" i="122"/>
  <c r="E78" i="122"/>
  <c r="F78" i="122"/>
  <c r="G78" i="122"/>
  <c r="E70" i="122"/>
  <c r="F70" i="122"/>
  <c r="G70" i="122"/>
  <c r="H70" i="122"/>
  <c r="I70" i="122"/>
  <c r="L70" i="122"/>
  <c r="O70" i="122"/>
  <c r="P70" i="122"/>
  <c r="E66" i="122"/>
  <c r="F66" i="122"/>
  <c r="J66" i="122"/>
  <c r="E62" i="122"/>
  <c r="F62" i="122"/>
  <c r="G62" i="122"/>
  <c r="H62" i="122"/>
  <c r="I62" i="122"/>
  <c r="J62" i="122"/>
  <c r="K62" i="122"/>
  <c r="L62" i="122"/>
  <c r="M62" i="122"/>
  <c r="N62" i="122"/>
  <c r="O62" i="122"/>
  <c r="P62" i="122"/>
  <c r="E58" i="122"/>
  <c r="I58" i="122"/>
  <c r="K58" i="122"/>
  <c r="M58" i="122"/>
  <c r="N58" i="122"/>
  <c r="P58" i="122"/>
  <c r="P54" i="122"/>
  <c r="L54" i="122"/>
  <c r="K54" i="122"/>
  <c r="J54" i="122"/>
  <c r="I54" i="122"/>
  <c r="H54" i="122"/>
  <c r="F54" i="122"/>
  <c r="E54" i="122"/>
  <c r="E40" i="122"/>
  <c r="F40" i="122"/>
  <c r="G40" i="122"/>
  <c r="H40" i="122"/>
  <c r="E36" i="122"/>
  <c r="F36" i="122"/>
  <c r="G36" i="122"/>
  <c r="K36" i="122"/>
  <c r="L36" i="122"/>
  <c r="M36" i="122"/>
  <c r="N36" i="122"/>
  <c r="O36" i="122"/>
  <c r="E32" i="122"/>
  <c r="F32" i="122"/>
  <c r="G32" i="122"/>
  <c r="H32" i="122"/>
  <c r="I32" i="122"/>
  <c r="J32" i="122"/>
  <c r="L32" i="122"/>
  <c r="E28" i="122"/>
  <c r="F28" i="122"/>
  <c r="E20" i="122"/>
  <c r="F20" i="122"/>
  <c r="G20" i="122"/>
  <c r="H20" i="122"/>
  <c r="I20" i="122"/>
  <c r="M20" i="122"/>
  <c r="N20" i="122"/>
  <c r="O20" i="122"/>
  <c r="E12" i="122"/>
  <c r="F12" i="122"/>
  <c r="H12" i="122"/>
  <c r="I12" i="122"/>
  <c r="J12" i="122"/>
  <c r="M12" i="122"/>
  <c r="N12" i="122"/>
  <c r="F8" i="122"/>
  <c r="BC173" i="70"/>
  <c r="F841" i="3" a="1"/>
  <c r="F805" i="3" a="1"/>
  <c r="F1051" i="3" a="1"/>
  <c r="U805" i="3"/>
  <c r="V805" i="3" s="1"/>
  <c r="U843" i="3"/>
  <c r="V843" i="3" s="1"/>
  <c r="BH1051" i="3"/>
  <c r="BF1051" i="3"/>
  <c r="BE1051" i="3"/>
  <c r="AC1051" i="3"/>
  <c r="C1051" i="3"/>
  <c r="BH843" i="3"/>
  <c r="BF843" i="3"/>
  <c r="BE843" i="3"/>
  <c r="AC843" i="3"/>
  <c r="F843" i="3" a="1"/>
  <c r="C843" i="3"/>
  <c r="BH805" i="3"/>
  <c r="BE805" i="3"/>
  <c r="AC805" i="3"/>
  <c r="C805" i="3"/>
  <c r="F911" i="3" a="1"/>
  <c r="F968" i="3" a="1"/>
  <c r="U830" i="3"/>
  <c r="V830" i="3" s="1"/>
  <c r="BH926" i="3"/>
  <c r="BF926" i="3"/>
  <c r="BE926" i="3"/>
  <c r="AC926" i="3"/>
  <c r="C926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4" i="3"/>
  <c r="V884" i="3" s="1"/>
  <c r="U849" i="3"/>
  <c r="V849" i="3" s="1"/>
  <c r="BH770" i="3"/>
  <c r="BF770" i="3"/>
  <c r="BE770" i="3"/>
  <c r="AC770" i="3"/>
  <c r="F770" i="3" a="1"/>
  <c r="C770" i="3"/>
  <c r="BH884" i="3"/>
  <c r="BF884" i="3"/>
  <c r="BE884" i="3"/>
  <c r="AC884" i="3"/>
  <c r="F884" i="3" a="1"/>
  <c r="C884" i="3"/>
  <c r="BH849" i="3"/>
  <c r="BF849" i="3"/>
  <c r="BE849" i="3"/>
  <c r="AC849" i="3"/>
  <c r="F849" i="3" a="1"/>
  <c r="C849" i="3"/>
  <c r="BH955" i="3"/>
  <c r="BF955" i="3"/>
  <c r="BE955" i="3"/>
  <c r="AC955" i="3"/>
  <c r="F955" i="3" a="1"/>
  <c r="C955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26" i="3"/>
  <c r="V781" i="3"/>
  <c r="F685" i="3" a="1"/>
  <c r="BH685" i="3"/>
  <c r="BF685" i="3"/>
  <c r="BE685" i="3"/>
  <c r="AC685" i="3"/>
  <c r="V685" i="3"/>
  <c r="C685" i="3"/>
  <c r="V904" i="3"/>
  <c r="U97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224" i="3"/>
  <c r="C1225" i="3"/>
  <c r="C1226" i="3"/>
  <c r="C1227" i="3"/>
  <c r="C1229" i="3"/>
  <c r="C1230" i="3"/>
  <c r="C1233" i="3"/>
  <c r="C1234" i="3"/>
  <c r="AC1224" i="3"/>
  <c r="AC1225" i="3"/>
  <c r="AC1226" i="3"/>
  <c r="AC1227" i="3"/>
  <c r="AC1229" i="3"/>
  <c r="AC1230" i="3"/>
  <c r="AC1231" i="3"/>
  <c r="AC1233" i="3"/>
  <c r="AC1234" i="3"/>
  <c r="BH1224" i="3"/>
  <c r="BH1225" i="3"/>
  <c r="BH1226" i="3"/>
  <c r="BH1227" i="3"/>
  <c r="BH1229" i="3"/>
  <c r="BH1230" i="3"/>
  <c r="BH1231" i="3"/>
  <c r="BH1233" i="3"/>
  <c r="BH1234" i="3"/>
  <c r="C1223" i="3"/>
  <c r="AC1223" i="3"/>
  <c r="BH1223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222" i="3"/>
  <c r="AC1222" i="3"/>
  <c r="BH1222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4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3" i="3" a="1"/>
  <c r="BH883" i="3"/>
  <c r="BF883" i="3"/>
  <c r="BE883" i="3"/>
  <c r="AC883" i="3"/>
  <c r="V883" i="3"/>
  <c r="C883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217" i="3"/>
  <c r="AC1217" i="3"/>
  <c r="F1217" i="3" a="1"/>
  <c r="C1217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5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221" i="3"/>
  <c r="AC1221" i="3"/>
  <c r="BH1220" i="3"/>
  <c r="AC1220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214" i="3"/>
  <c r="AC1214" i="3"/>
  <c r="BH1214" i="3"/>
  <c r="C1213" i="3"/>
  <c r="AC1213" i="3"/>
  <c r="BH1213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5" i="3"/>
  <c r="BF855" i="3"/>
  <c r="BE855" i="3"/>
  <c r="AC855" i="3"/>
  <c r="F855" i="3" a="1"/>
  <c r="C855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H89" i="122"/>
  <c r="AH85" i="122"/>
  <c r="AH81" i="122"/>
  <c r="AH77" i="122"/>
  <c r="AH69" i="122"/>
  <c r="AH65" i="122"/>
  <c r="AH61" i="122"/>
  <c r="AH57" i="122"/>
  <c r="AH53" i="122"/>
  <c r="AH51" i="122"/>
  <c r="AH50" i="122"/>
  <c r="AH39" i="122"/>
  <c r="AH35" i="122"/>
  <c r="AH31" i="122"/>
  <c r="AH27" i="122"/>
  <c r="AH19" i="122"/>
  <c r="AH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89" i="70"/>
  <c r="BC290" i="70"/>
  <c r="BC291" i="70"/>
  <c r="BC292" i="70"/>
  <c r="BC293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69" i="3"/>
  <c r="BH969" i="3"/>
  <c r="BF969" i="3"/>
  <c r="BE969" i="3"/>
  <c r="AC969" i="3"/>
  <c r="F969" i="3" a="1"/>
  <c r="C969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215" i="3"/>
  <c r="BH829" i="3"/>
  <c r="BH841" i="3"/>
  <c r="BH657" i="3"/>
  <c r="BH1218" i="3"/>
  <c r="BH911" i="3"/>
  <c r="BF751" i="3"/>
  <c r="BF830" i="3"/>
  <c r="BF829" i="3"/>
  <c r="BF841" i="3"/>
  <c r="BF657" i="3"/>
  <c r="BF911" i="3"/>
  <c r="BE751" i="3"/>
  <c r="BE830" i="3"/>
  <c r="BE829" i="3"/>
  <c r="BE841" i="3"/>
  <c r="BE657" i="3"/>
  <c r="BE911" i="3"/>
  <c r="AC751" i="3"/>
  <c r="AC830" i="3"/>
  <c r="AC1215" i="3"/>
  <c r="AC829" i="3"/>
  <c r="AC841" i="3"/>
  <c r="AC657" i="3"/>
  <c r="AC1218" i="3"/>
  <c r="AC911" i="3"/>
  <c r="V751" i="3"/>
  <c r="V657" i="3"/>
  <c r="F1218" i="3" a="1"/>
  <c r="F657" i="3" a="1"/>
  <c r="F829" i="3" a="1"/>
  <c r="F830" i="3" a="1"/>
  <c r="F751" i="3" a="1"/>
  <c r="C751" i="3"/>
  <c r="C830" i="3"/>
  <c r="C829" i="3"/>
  <c r="C841" i="3"/>
  <c r="C657" i="3"/>
  <c r="C1218" i="3"/>
  <c r="C911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89" i="70"/>
  <c r="BH619" i="3"/>
  <c r="BF619" i="3"/>
  <c r="BE619" i="3"/>
  <c r="AC619" i="3"/>
  <c r="F619" i="3" a="1"/>
  <c r="C619" i="3"/>
  <c r="BH1211" i="3"/>
  <c r="BH1212" i="3"/>
  <c r="AC1211" i="3"/>
  <c r="AC1212" i="3"/>
  <c r="C1212" i="3"/>
  <c r="BH1210" i="3"/>
  <c r="AC1210" i="3"/>
  <c r="BH1209" i="3"/>
  <c r="AC1209" i="3"/>
  <c r="C1209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4" i="3"/>
  <c r="C693" i="3"/>
  <c r="C694" i="3"/>
  <c r="C719" i="3"/>
  <c r="C721" i="3"/>
  <c r="C785" i="3"/>
  <c r="C904" i="3"/>
  <c r="C974" i="3"/>
  <c r="C814" i="3"/>
  <c r="C909" i="3"/>
  <c r="C812" i="3"/>
  <c r="C689" i="3"/>
  <c r="C1112" i="3"/>
  <c r="C1173" i="3"/>
  <c r="C1174" i="3"/>
  <c r="C782" i="3"/>
  <c r="C697" i="3"/>
  <c r="C716" i="3"/>
  <c r="C833" i="3"/>
  <c r="C837" i="3"/>
  <c r="C878" i="3"/>
  <c r="C864" i="3"/>
  <c r="C1175" i="3"/>
  <c r="C790" i="3"/>
  <c r="C704" i="3"/>
  <c r="C724" i="3"/>
  <c r="C876" i="3"/>
  <c r="C875" i="3"/>
  <c r="C711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703" i="3"/>
  <c r="C1194" i="3"/>
  <c r="C663" i="3"/>
  <c r="C696" i="3"/>
  <c r="C1195" i="3"/>
  <c r="C1196" i="3"/>
  <c r="C786" i="3"/>
  <c r="C828" i="3"/>
  <c r="C1197" i="3"/>
  <c r="C964" i="3"/>
  <c r="C1198" i="3"/>
  <c r="C912" i="3"/>
  <c r="C903" i="3"/>
  <c r="C968" i="3"/>
  <c r="C698" i="3"/>
  <c r="C713" i="3"/>
  <c r="C765" i="3"/>
  <c r="C1199" i="3"/>
  <c r="C1200" i="3"/>
  <c r="C759" i="3"/>
  <c r="C907" i="3"/>
  <c r="C910" i="3"/>
  <c r="C1201" i="3"/>
  <c r="C1202" i="3"/>
  <c r="C1203" i="3"/>
  <c r="C741" i="3"/>
  <c r="C769" i="3"/>
  <c r="C764" i="3"/>
  <c r="C747" i="3"/>
  <c r="C1204" i="3"/>
  <c r="C707" i="3"/>
  <c r="C734" i="3"/>
  <c r="C702" i="3"/>
  <c r="C736" i="3"/>
  <c r="C726" i="3"/>
  <c r="C728" i="3"/>
  <c r="C750" i="3"/>
  <c r="C1205" i="3"/>
  <c r="C1206" i="3"/>
  <c r="C1207" i="3"/>
  <c r="C1208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8" i="3"/>
  <c r="U864" i="3"/>
  <c r="V790" i="3"/>
  <c r="U704" i="3"/>
  <c r="V876" i="3"/>
  <c r="V875" i="3"/>
  <c r="U711" i="3"/>
  <c r="U703" i="3"/>
  <c r="U663" i="3"/>
  <c r="U696" i="3"/>
  <c r="V786" i="3"/>
  <c r="U828" i="3"/>
  <c r="V964" i="3"/>
  <c r="V912" i="3"/>
  <c r="U903" i="3"/>
  <c r="V907" i="3"/>
  <c r="U910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4" i="3"/>
  <c r="X874" i="3" s="1"/>
  <c r="BF693" i="3"/>
  <c r="BF694" i="3"/>
  <c r="BF719" i="3"/>
  <c r="BF721" i="3"/>
  <c r="BF785" i="3"/>
  <c r="BF904" i="3"/>
  <c r="BF974" i="3"/>
  <c r="BF814" i="3"/>
  <c r="BF909" i="3"/>
  <c r="BF812" i="3"/>
  <c r="BF689" i="3"/>
  <c r="BF1112" i="3"/>
  <c r="BF782" i="3"/>
  <c r="BF697" i="3"/>
  <c r="BF716" i="3"/>
  <c r="BF833" i="3"/>
  <c r="BF837" i="3"/>
  <c r="BF878" i="3"/>
  <c r="BF864" i="3"/>
  <c r="BF790" i="3"/>
  <c r="BF704" i="3"/>
  <c r="BF724" i="3"/>
  <c r="BF876" i="3"/>
  <c r="BF875" i="3"/>
  <c r="BF711" i="3"/>
  <c r="BF703" i="3"/>
  <c r="BF663" i="3"/>
  <c r="BF696" i="3"/>
  <c r="BF786" i="3"/>
  <c r="BF828" i="3"/>
  <c r="BF964" i="3"/>
  <c r="BF912" i="3"/>
  <c r="BF903" i="3"/>
  <c r="BF968" i="3"/>
  <c r="BF698" i="3"/>
  <c r="BF713" i="3"/>
  <c r="BF765" i="3"/>
  <c r="BF759" i="3"/>
  <c r="BF907" i="3"/>
  <c r="BF910" i="3"/>
  <c r="BF741" i="3"/>
  <c r="BF769" i="3"/>
  <c r="BF764" i="3"/>
  <c r="BF747" i="3"/>
  <c r="BF707" i="3"/>
  <c r="BF734" i="3"/>
  <c r="BF702" i="3"/>
  <c r="BF736" i="3"/>
  <c r="BF726" i="3"/>
  <c r="BF728" i="3"/>
  <c r="BF750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208" i="3"/>
  <c r="BH1208" i="3"/>
  <c r="AC1207" i="3"/>
  <c r="BH1207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8" i="3"/>
  <c r="BH638" i="3"/>
  <c r="BH668" i="3"/>
  <c r="BH646" i="3"/>
  <c r="BH904" i="3"/>
  <c r="BH793" i="3"/>
  <c r="BH643" i="3"/>
  <c r="BH665" i="3"/>
  <c r="BH641" i="3"/>
  <c r="BH611" i="3"/>
  <c r="BH874" i="3"/>
  <c r="BH718" i="3"/>
  <c r="BH784" i="3"/>
  <c r="BH644" i="3"/>
  <c r="BH635" i="3"/>
  <c r="BH649" i="3"/>
  <c r="BH704" i="3"/>
  <c r="BH697" i="3"/>
  <c r="BH682" i="3"/>
  <c r="BH974" i="3"/>
  <c r="BH655" i="3"/>
  <c r="BH814" i="3"/>
  <c r="BH812" i="3"/>
  <c r="BH684" i="3"/>
  <c r="BH689" i="3"/>
  <c r="BH1112" i="3"/>
  <c r="BH1173" i="3"/>
  <c r="BH1174" i="3"/>
  <c r="BH694" i="3"/>
  <c r="BH716" i="3"/>
  <c r="BH864" i="3"/>
  <c r="BH1175" i="3"/>
  <c r="BH693" i="3"/>
  <c r="BH790" i="3"/>
  <c r="BH876" i="3"/>
  <c r="BH875" i="3"/>
  <c r="BH660" i="3"/>
  <c r="BH661" i="3"/>
  <c r="BH711" i="3"/>
  <c r="BH1176" i="3"/>
  <c r="BH1177" i="3"/>
  <c r="BH1178" i="3"/>
  <c r="BH1179" i="3"/>
  <c r="BH1180" i="3"/>
  <c r="BH1181" i="3"/>
  <c r="BH1182" i="3"/>
  <c r="BH1183" i="3"/>
  <c r="BH1184" i="3"/>
  <c r="BH1185" i="3"/>
  <c r="BH1186" i="3"/>
  <c r="BH1187" i="3"/>
  <c r="BH1188" i="3"/>
  <c r="BH1189" i="3"/>
  <c r="BH1190" i="3"/>
  <c r="BH1191" i="3"/>
  <c r="BH1192" i="3"/>
  <c r="BH1193" i="3"/>
  <c r="BH673" i="3"/>
  <c r="BH703" i="3"/>
  <c r="BH1194" i="3"/>
  <c r="BH663" i="3"/>
  <c r="BH782" i="3"/>
  <c r="BH679" i="3"/>
  <c r="BH719" i="3"/>
  <c r="BH696" i="3"/>
  <c r="BH1195" i="3"/>
  <c r="BH1196" i="3"/>
  <c r="BH786" i="3"/>
  <c r="BH671" i="3"/>
  <c r="BH651" i="3"/>
  <c r="BH828" i="3"/>
  <c r="BH1197" i="3"/>
  <c r="BH964" i="3"/>
  <c r="BH1198" i="3"/>
  <c r="BH912" i="3"/>
  <c r="BH903" i="3"/>
  <c r="BH968" i="3"/>
  <c r="BH650" i="3"/>
  <c r="BH698" i="3"/>
  <c r="BH713" i="3"/>
  <c r="BH765" i="3"/>
  <c r="BH1199" i="3"/>
  <c r="BH1200" i="3"/>
  <c r="BH759" i="3"/>
  <c r="BH907" i="3"/>
  <c r="BH910" i="3"/>
  <c r="BH1201" i="3"/>
  <c r="BH909" i="3"/>
  <c r="BH1202" i="3"/>
  <c r="BH674" i="3"/>
  <c r="BH1203" i="3"/>
  <c r="BH741" i="3"/>
  <c r="BH769" i="3"/>
  <c r="BH636" i="3"/>
  <c r="BH764" i="3"/>
  <c r="BH747" i="3"/>
  <c r="BH675" i="3"/>
  <c r="BH721" i="3"/>
  <c r="BH1204" i="3"/>
  <c r="BH734" i="3"/>
  <c r="BH728" i="3"/>
  <c r="BH707" i="3"/>
  <c r="BH750" i="3"/>
  <c r="BH726" i="3"/>
  <c r="BH702" i="3"/>
  <c r="BH736" i="3"/>
  <c r="BH1205" i="3"/>
  <c r="BH1206" i="3"/>
  <c r="AC289" i="3"/>
  <c r="AC382" i="3"/>
  <c r="AC1186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4" i="3"/>
  <c r="BE684" i="3"/>
  <c r="BE655" i="3"/>
  <c r="BE974" i="3"/>
  <c r="BE600" i="3"/>
  <c r="BE814" i="3"/>
  <c r="BE689" i="3"/>
  <c r="BE1112" i="3"/>
  <c r="BE767" i="3"/>
  <c r="BE878" i="3"/>
  <c r="BE638" i="3"/>
  <c r="BE668" i="3"/>
  <c r="BE793" i="3"/>
  <c r="BF793" i="3"/>
  <c r="BE643" i="3"/>
  <c r="BE611" i="3"/>
  <c r="BE874" i="3"/>
  <c r="W874" i="3" s="1"/>
  <c r="BE587" i="3"/>
  <c r="BE646" i="3"/>
  <c r="BE644" i="3"/>
  <c r="BE665" i="3"/>
  <c r="BE694" i="3"/>
  <c r="BE716" i="3"/>
  <c r="BE864" i="3"/>
  <c r="BE641" i="3"/>
  <c r="BE693" i="3"/>
  <c r="BE790" i="3"/>
  <c r="BE876" i="3"/>
  <c r="BE875" i="3"/>
  <c r="BE597" i="3"/>
  <c r="BE601" i="3"/>
  <c r="BE660" i="3"/>
  <c r="BE661" i="3"/>
  <c r="BE711" i="3"/>
  <c r="BE704" i="3"/>
  <c r="BE673" i="3"/>
  <c r="BE703" i="3"/>
  <c r="BE663" i="3"/>
  <c r="BE782" i="3"/>
  <c r="BE679" i="3"/>
  <c r="BE719" i="3"/>
  <c r="BE697" i="3"/>
  <c r="BE696" i="3"/>
  <c r="BE682" i="3"/>
  <c r="BE718" i="3"/>
  <c r="BE649" i="3"/>
  <c r="BE784" i="3"/>
  <c r="BE786" i="3"/>
  <c r="BE671" i="3"/>
  <c r="BE651" i="3"/>
  <c r="BE828" i="3"/>
  <c r="BE964" i="3"/>
  <c r="BE912" i="3"/>
  <c r="BE903" i="3"/>
  <c r="BE968" i="3"/>
  <c r="BE650" i="3"/>
  <c r="BE698" i="3"/>
  <c r="BE713" i="3"/>
  <c r="BE765" i="3"/>
  <c r="BE759" i="3"/>
  <c r="BE907" i="3"/>
  <c r="BE910" i="3"/>
  <c r="BE909" i="3"/>
  <c r="BE635" i="3"/>
  <c r="BE674" i="3"/>
  <c r="BE609" i="3"/>
  <c r="BE741" i="3"/>
  <c r="BE769" i="3"/>
  <c r="BE636" i="3"/>
  <c r="BE764" i="3"/>
  <c r="BE747" i="3"/>
  <c r="BE675" i="3"/>
  <c r="BE721" i="3"/>
  <c r="BE734" i="3"/>
  <c r="BE728" i="3"/>
  <c r="BE707" i="3"/>
  <c r="BE750" i="3"/>
  <c r="BE726" i="3"/>
  <c r="BE702" i="3"/>
  <c r="BE736" i="3"/>
  <c r="H107" i="86"/>
  <c r="H106" i="86"/>
  <c r="BF591" i="3" s="1"/>
  <c r="H109" i="86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H94" i="86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4" i="3" a="1"/>
  <c r="F684" i="3" a="1"/>
  <c r="F655" i="3" a="1"/>
  <c r="F974" i="3" a="1"/>
  <c r="F600" i="3" a="1"/>
  <c r="F814" i="3" a="1"/>
  <c r="F689" i="3" a="1"/>
  <c r="F1112" i="3" a="1"/>
  <c r="F767" i="3" a="1"/>
  <c r="F638" i="3" a="1"/>
  <c r="F668" i="3" a="1"/>
  <c r="F793" i="3" a="1"/>
  <c r="F643" i="3" a="1"/>
  <c r="F611" i="3" a="1"/>
  <c r="F874" i="3" a="1"/>
  <c r="F587" i="3" a="1"/>
  <c r="F646" i="3" a="1"/>
  <c r="F644" i="3" a="1"/>
  <c r="F665" i="3" a="1"/>
  <c r="F694" i="3" a="1"/>
  <c r="F716" i="3" a="1"/>
  <c r="F864" i="3" a="1"/>
  <c r="F641" i="3" a="1"/>
  <c r="F693" i="3" a="1"/>
  <c r="F790" i="3" a="1"/>
  <c r="F876" i="3" a="1"/>
  <c r="F875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64" i="3" a="1"/>
  <c r="F912" i="3" a="1"/>
  <c r="F903" i="3" a="1"/>
  <c r="F650" i="3" a="1"/>
  <c r="F698" i="3" a="1"/>
  <c r="F713" i="3" a="1"/>
  <c r="F765" i="3" a="1"/>
  <c r="F759" i="3" a="1"/>
  <c r="F907" i="3" a="1"/>
  <c r="F910" i="3" a="1"/>
  <c r="F909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205" i="3" a="1"/>
  <c r="F1206" i="3" a="1"/>
  <c r="AC587" i="3"/>
  <c r="V646" i="3"/>
  <c r="AC1184" i="3"/>
  <c r="AC1185" i="3"/>
  <c r="AC1187" i="3"/>
  <c r="V674" i="3"/>
  <c r="V635" i="3"/>
  <c r="V661" i="3"/>
  <c r="AC565" i="3"/>
  <c r="AC674" i="3"/>
  <c r="AC575" i="3"/>
  <c r="AC578" i="3"/>
  <c r="AA80" i="70"/>
  <c r="U80" i="70"/>
  <c r="C80" i="70"/>
  <c r="AA79" i="70"/>
  <c r="U79" i="70"/>
  <c r="C79" i="70"/>
  <c r="AC910" i="3"/>
  <c r="AC907" i="3"/>
  <c r="AC759" i="3"/>
  <c r="AC909" i="3"/>
  <c r="AC644" i="3"/>
  <c r="AC912" i="3"/>
  <c r="AC903" i="3"/>
  <c r="AC964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201" i="3"/>
  <c r="AC1202" i="3"/>
  <c r="AC1203" i="3"/>
  <c r="AC1204" i="3"/>
  <c r="AC1205" i="3"/>
  <c r="AC1206" i="3"/>
  <c r="AC968" i="3"/>
  <c r="AC1199" i="3"/>
  <c r="AC1200" i="3"/>
  <c r="AC1196" i="3"/>
  <c r="AC1197" i="3"/>
  <c r="AC1198" i="3"/>
  <c r="AC1195" i="3"/>
  <c r="AC1194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5" i="3"/>
  <c r="AC876" i="3"/>
  <c r="AC790" i="3"/>
  <c r="AC693" i="3"/>
  <c r="AC641" i="3"/>
  <c r="AC668" i="3"/>
  <c r="AC864" i="3"/>
  <c r="AC716" i="3"/>
  <c r="AC694" i="3"/>
  <c r="AC665" i="3"/>
  <c r="AC638" i="3"/>
  <c r="AC643" i="3"/>
  <c r="AC878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4" i="3"/>
  <c r="AC684" i="3"/>
  <c r="AC599" i="3"/>
  <c r="AC974" i="3"/>
  <c r="AC576" i="3"/>
  <c r="AC1191" i="3"/>
  <c r="AC1175" i="3"/>
  <c r="AC546" i="3"/>
  <c r="AC646" i="3"/>
  <c r="AC874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173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174" i="3"/>
  <c r="AC497" i="3"/>
  <c r="AC479" i="3"/>
  <c r="AC490" i="3"/>
  <c r="AC1189" i="3"/>
  <c r="AC1112" i="3"/>
  <c r="AC1190" i="3"/>
  <c r="AC1188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AW848" i="3" s="1" a="1"/>
  <c r="C27" i="47"/>
  <c r="AC486" i="3"/>
  <c r="AC464" i="3"/>
  <c r="AC454" i="3"/>
  <c r="AC448" i="3"/>
  <c r="AC477" i="3"/>
  <c r="AC482" i="3"/>
  <c r="AC1177" i="3"/>
  <c r="AC1178" i="3"/>
  <c r="AC1179" i="3"/>
  <c r="AC1180" i="3"/>
  <c r="AC487" i="3"/>
  <c r="AC491" i="3"/>
  <c r="AC488" i="3"/>
  <c r="AC1182" i="3"/>
  <c r="AC465" i="3"/>
  <c r="AC1183" i="3"/>
  <c r="AC451" i="3"/>
  <c r="AC453" i="3"/>
  <c r="AC1176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8" i="47"/>
  <c r="E11" i="47"/>
  <c r="E17" i="47"/>
  <c r="E23" i="47"/>
  <c r="E20" i="47"/>
  <c r="E41" i="47"/>
  <c r="E43" i="47"/>
  <c r="E14" i="47"/>
  <c r="AC315" i="3"/>
  <c r="AC331" i="3"/>
  <c r="AF64" i="66"/>
  <c r="AF65" i="66"/>
  <c r="J64" i="66"/>
  <c r="J65" i="66"/>
  <c r="J17" i="47"/>
  <c r="J11" i="47"/>
  <c r="AC367" i="3"/>
  <c r="AC376" i="3"/>
  <c r="J23" i="47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193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192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92" i="70"/>
  <c r="AS293" i="70"/>
  <c r="AA292" i="70"/>
  <c r="AA293" i="70"/>
  <c r="C292" i="70"/>
  <c r="C293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90" i="70"/>
  <c r="AS291" i="70"/>
  <c r="AA290" i="70"/>
  <c r="AA291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H47" i="122"/>
  <c r="AH73" i="122"/>
  <c r="Q63" i="69"/>
  <c r="O63" i="69"/>
  <c r="O12" i="122"/>
  <c r="M70" i="122"/>
  <c r="V820" i="3"/>
  <c r="V736" i="3"/>
  <c r="AX26" i="70"/>
  <c r="AX27" i="70"/>
  <c r="AX24" i="70"/>
  <c r="AX25" i="70"/>
  <c r="V778" i="3"/>
  <c r="V1038" i="3"/>
  <c r="V1072" i="3"/>
  <c r="W957" i="3"/>
  <c r="V957" i="3"/>
  <c r="V987" i="3"/>
  <c r="V993" i="3"/>
  <c r="V929" i="3"/>
  <c r="V942" i="3"/>
  <c r="V891" i="3"/>
  <c r="V949" i="3"/>
  <c r="V908" i="3"/>
  <c r="V1053" i="3"/>
  <c r="V1031" i="3"/>
  <c r="V1052" i="3"/>
  <c r="V1007" i="3"/>
  <c r="V1045" i="3"/>
  <c r="V1057" i="3"/>
  <c r="V1062" i="3"/>
  <c r="V895" i="3"/>
  <c r="V972" i="3"/>
  <c r="V948" i="3"/>
  <c r="V933" i="3"/>
  <c r="W933" i="3"/>
  <c r="V888" i="3"/>
  <c r="W1002" i="3"/>
  <c r="V1002" i="3"/>
  <c r="L90" i="122"/>
  <c r="V936" i="3"/>
  <c r="V1035" i="3"/>
  <c r="V953" i="3"/>
  <c r="W924" i="3"/>
  <c r="V924" i="3"/>
  <c r="W902" i="3"/>
  <c r="V902" i="3"/>
  <c r="V827" i="3"/>
  <c r="L40" i="122"/>
  <c r="N54" i="122"/>
  <c r="V847" i="3"/>
  <c r="N40" i="122"/>
  <c r="V788" i="3"/>
  <c r="V882" i="3"/>
  <c r="N70" i="122"/>
  <c r="K78" i="122"/>
  <c r="L12" i="122"/>
  <c r="K12" i="122"/>
  <c r="L86" i="122"/>
  <c r="M54" i="122"/>
  <c r="K70" i="122"/>
  <c r="V1051" i="3"/>
  <c r="V771" i="3"/>
  <c r="V807" i="3"/>
  <c r="V770" i="3"/>
  <c r="Q116" i="122"/>
  <c r="S116" i="122"/>
  <c r="S62" i="122"/>
  <c r="T36" i="122"/>
  <c r="V897" i="3"/>
  <c r="V958" i="3"/>
  <c r="W960" i="3"/>
  <c r="W958" i="3"/>
  <c r="O32" i="122"/>
  <c r="P32" i="122"/>
  <c r="V1036" i="3"/>
  <c r="V824" i="3"/>
  <c r="S104" i="122"/>
  <c r="O8" i="122"/>
  <c r="C1235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BF1192" i="3" l="1"/>
  <c r="BF563" i="3"/>
  <c r="X563" i="3" s="1"/>
  <c r="BF515" i="3"/>
  <c r="X515" i="3" s="1"/>
  <c r="BF536" i="3"/>
  <c r="X536" i="3" s="1"/>
  <c r="BF625" i="3"/>
  <c r="X625" i="3" s="1"/>
  <c r="BF239" i="3"/>
  <c r="X239" i="3" s="1"/>
  <c r="BF226" i="3"/>
  <c r="X226" i="3" s="1"/>
  <c r="BF326" i="3"/>
  <c r="X326" i="3" s="1"/>
  <c r="BF325" i="3"/>
  <c r="X325" i="3" s="1"/>
  <c r="BF1214" i="3"/>
  <c r="BF337" i="3"/>
  <c r="X337" i="3" s="1"/>
  <c r="BF805" i="3"/>
  <c r="X805" i="3" s="1"/>
  <c r="BF340" i="3"/>
  <c r="X340" i="3" s="1"/>
  <c r="W1010" i="3"/>
  <c r="BF564" i="3"/>
  <c r="X564" i="3" s="1"/>
  <c r="BF550" i="3"/>
  <c r="X550" i="3" s="1"/>
  <c r="BF1193" i="3"/>
  <c r="U1319" i="3" a="1"/>
  <c r="X1010" i="3"/>
  <c r="R79" i="122" s="1"/>
  <c r="G13" i="122"/>
  <c r="G10" i="122"/>
  <c r="W29" i="122"/>
  <c r="W26" i="122"/>
  <c r="V29" i="122"/>
  <c r="V26" i="122"/>
  <c r="X29" i="122"/>
  <c r="X49" i="122" s="1"/>
  <c r="X26" i="122"/>
  <c r="W41" i="122"/>
  <c r="W38" i="122"/>
  <c r="W40" i="122" s="1"/>
  <c r="S41" i="122"/>
  <c r="S38" i="122"/>
  <c r="S40" i="122" s="1"/>
  <c r="AZ1312" i="3"/>
  <c r="AZ1313" i="3"/>
  <c r="AZ1307" i="3"/>
  <c r="AZ1308" i="3"/>
  <c r="AZ1309" i="3"/>
  <c r="AZ1266" i="3"/>
  <c r="AZ1249" i="3"/>
  <c r="AZ1242" i="3"/>
  <c r="AZ1304" i="3"/>
  <c r="AZ1305" i="3"/>
  <c r="AZ1137" i="3"/>
  <c r="AZ1139" i="3"/>
  <c r="AZ1302" i="3"/>
  <c r="AZ1301" i="3"/>
  <c r="AZ1300" i="3"/>
  <c r="AZ1299" i="3"/>
  <c r="AZ1155" i="3"/>
  <c r="AZ1153" i="3"/>
  <c r="AZ1152" i="3"/>
  <c r="AZ1161" i="3"/>
  <c r="AZ1160" i="3"/>
  <c r="AZ1294" i="3"/>
  <c r="AZ1154" i="3"/>
  <c r="AZ1162" i="3"/>
  <c r="AZ1284" i="3"/>
  <c r="AZ1277" i="3"/>
  <c r="AZ1285" i="3"/>
  <c r="AZ1278" i="3"/>
  <c r="AZ1144" i="3"/>
  <c r="AZ1150" i="3"/>
  <c r="AZ1146" i="3"/>
  <c r="AZ1318" i="3"/>
  <c r="AZ1317" i="3"/>
  <c r="AZ1159" i="3"/>
  <c r="AZ1315" i="3"/>
  <c r="AZ1138" i="3"/>
  <c r="AZ1136" i="3"/>
  <c r="AZ1303" i="3"/>
  <c r="AW1303" i="3" a="1"/>
  <c r="AZ1256" i="3"/>
  <c r="AZ1254" i="3"/>
  <c r="AZ1270" i="3"/>
  <c r="AZ1145" i="3"/>
  <c r="AZ1314" i="3"/>
  <c r="AZ1316" i="3"/>
  <c r="AW1316" i="3" a="1"/>
  <c r="AW1314" i="3" a="1"/>
  <c r="AZ1306" i="3"/>
  <c r="AZ1310" i="3"/>
  <c r="AW1310" i="3" a="1"/>
  <c r="AW1306" i="3" a="1"/>
  <c r="AZ1296" i="3"/>
  <c r="AW1296" i="3" a="1"/>
  <c r="AZ1293" i="3"/>
  <c r="AW1293" i="3" a="1"/>
  <c r="AZ1291" i="3"/>
  <c r="AZ1292" i="3"/>
  <c r="AW1292" i="3" a="1"/>
  <c r="AW1291" i="3" a="1"/>
  <c r="AZ1276" i="3"/>
  <c r="AZ1283" i="3"/>
  <c r="AW1283" i="3" a="1"/>
  <c r="AW1276" i="3" a="1"/>
  <c r="AZ1275" i="3"/>
  <c r="AW1275" i="3" a="1"/>
  <c r="AZ1274" i="3"/>
  <c r="AW1274" i="3" a="1"/>
  <c r="AZ1126" i="3"/>
  <c r="AX259" i="70"/>
  <c r="AU259" i="70" a="1"/>
  <c r="AX236" i="70"/>
  <c r="AX237" i="70"/>
  <c r="AU237" i="70" a="1"/>
  <c r="AU236" i="70" a="1"/>
  <c r="AX241" i="70"/>
  <c r="AX242" i="70"/>
  <c r="AU242" i="70" a="1"/>
  <c r="AU241" i="70" a="1"/>
  <c r="AX234" i="70"/>
  <c r="AU234" i="70" a="1"/>
  <c r="AX235" i="70"/>
  <c r="AU235" i="70" a="1"/>
  <c r="AX232" i="70"/>
  <c r="AU232" i="70" a="1"/>
  <c r="AX233" i="70"/>
  <c r="AU233" i="70" a="1"/>
  <c r="AX218" i="70"/>
  <c r="AX223" i="70"/>
  <c r="AZ1123" i="3"/>
  <c r="AZ848" i="3"/>
  <c r="AZ1106" i="3"/>
  <c r="AZ1132" i="3"/>
  <c r="AZ1110" i="3"/>
  <c r="AZ1107" i="3"/>
  <c r="AZ1129" i="3"/>
  <c r="AZ1089" i="3"/>
  <c r="AZ1141" i="3"/>
  <c r="AZ1135" i="3"/>
  <c r="AW1249" i="3" a="1"/>
  <c r="AZ953" i="3"/>
  <c r="W1249" i="3"/>
  <c r="V1249" i="3"/>
  <c r="X1242" i="3"/>
  <c r="W1242" i="3"/>
  <c r="V1242" i="3"/>
  <c r="U1303" i="3" a="1"/>
  <c r="X1146" i="3"/>
  <c r="U1293" i="3" a="1"/>
  <c r="U1316" i="3" a="1"/>
  <c r="U1292" i="3" a="1"/>
  <c r="U1291" i="3" a="1"/>
  <c r="U1283" i="3" a="1"/>
  <c r="U1276" i="3" a="1"/>
  <c r="U1275" i="3" a="1"/>
  <c r="U1274" i="3" a="1"/>
  <c r="AH119" i="122"/>
  <c r="AH93" i="122"/>
  <c r="AH139" i="122"/>
  <c r="AX231" i="70"/>
  <c r="AZ1122" i="3"/>
  <c r="AU231" i="70" a="1"/>
  <c r="AZ1034" i="3"/>
  <c r="AZ1131" i="3"/>
  <c r="AZ1120" i="3"/>
  <c r="U1269" i="3" a="1"/>
  <c r="V1000" i="3"/>
  <c r="W1000" i="3"/>
  <c r="AZ1105" i="3"/>
  <c r="AZ1171" i="3"/>
  <c r="AZ1169" i="3"/>
  <c r="AW1171" i="3" a="1"/>
  <c r="AW1169" i="3" a="1"/>
  <c r="U1171" i="3" a="1"/>
  <c r="U1169" i="3" a="1"/>
  <c r="AZ1170" i="3"/>
  <c r="AW1170" i="3" a="1"/>
  <c r="AZ1060" i="3"/>
  <c r="AZ1061" i="3"/>
  <c r="AX227" i="70"/>
  <c r="AU227" i="70" a="1"/>
  <c r="AX228" i="70"/>
  <c r="AU228" i="70" a="1"/>
  <c r="AX229" i="70"/>
  <c r="AU229" i="70" a="1"/>
  <c r="AX230" i="70"/>
  <c r="AU230" i="70" a="1"/>
  <c r="AU279" i="70" a="1"/>
  <c r="AU280" i="70" a="1"/>
  <c r="AX279" i="70"/>
  <c r="AX280" i="70"/>
  <c r="AU281" i="70" a="1"/>
  <c r="AU282" i="70" a="1"/>
  <c r="AX281" i="70"/>
  <c r="AX282" i="70"/>
  <c r="AU283" i="70" a="1"/>
  <c r="AU284" i="70" a="1"/>
  <c r="AX283" i="70"/>
  <c r="AX284" i="70"/>
  <c r="AU276" i="70" a="1"/>
  <c r="AU277" i="70" a="1"/>
  <c r="AU278" i="70" a="1"/>
  <c r="AX276" i="70"/>
  <c r="AX277" i="70"/>
  <c r="AX278" i="70"/>
  <c r="AX272" i="70"/>
  <c r="AX273" i="70"/>
  <c r="AX274" i="70"/>
  <c r="AU274" i="70" a="1"/>
  <c r="AU273" i="70" a="1"/>
  <c r="AU272" i="70" a="1"/>
  <c r="AX286" i="70"/>
  <c r="AU286" i="70" a="1"/>
  <c r="AU269" i="70" a="1"/>
  <c r="AX269" i="70"/>
  <c r="AU270" i="70" a="1"/>
  <c r="AX270" i="70"/>
  <c r="AU271" i="70" a="1"/>
  <c r="AX271" i="70"/>
  <c r="AU275" i="70" a="1"/>
  <c r="AX275" i="70"/>
  <c r="AU285" i="70" a="1"/>
  <c r="AX285" i="70"/>
  <c r="AX267" i="70"/>
  <c r="AU267" i="70" a="1"/>
  <c r="AX266" i="70"/>
  <c r="AU266" i="70" a="1"/>
  <c r="AU268" i="70" a="1"/>
  <c r="AX268" i="70"/>
  <c r="AU287" i="70" a="1"/>
  <c r="AX287" i="70"/>
  <c r="AZ1029" i="3"/>
  <c r="AU260" i="70" a="1"/>
  <c r="AU261" i="70" a="1"/>
  <c r="AX260" i="70"/>
  <c r="AX261" i="70"/>
  <c r="AU262" i="70" a="1"/>
  <c r="AU263" i="70" a="1"/>
  <c r="AU264" i="70" a="1"/>
  <c r="AX262" i="70"/>
  <c r="AX263" i="70"/>
  <c r="AX264" i="70"/>
  <c r="AU265" i="70" a="1"/>
  <c r="AX265" i="70"/>
  <c r="AZ1033" i="3"/>
  <c r="AZ1082" i="3"/>
  <c r="AZ1030" i="3"/>
  <c r="U1268" i="3" a="1"/>
  <c r="U1170" i="3" a="1"/>
  <c r="U1248" i="3" a="1"/>
  <c r="AZ1047" i="3"/>
  <c r="AZ1149" i="3"/>
  <c r="AZ1050" i="3"/>
  <c r="AZ1273" i="3"/>
  <c r="AZ1258" i="3"/>
  <c r="AZ1158" i="3"/>
  <c r="AZ1140" i="3"/>
  <c r="AZ1260" i="3"/>
  <c r="AZ1142" i="3"/>
  <c r="AZ1166" i="3"/>
  <c r="AZ1252" i="3"/>
  <c r="AZ1121" i="3"/>
  <c r="I37" i="47"/>
  <c r="J37" i="47" s="1"/>
  <c r="I26" i="47"/>
  <c r="AW247" i="3" s="1" a="1"/>
  <c r="J25" i="47"/>
  <c r="AZ1048" i="3"/>
  <c r="AZ1063" i="3"/>
  <c r="AX214" i="70"/>
  <c r="AX200" i="70"/>
  <c r="AX199" i="70"/>
  <c r="AX197" i="70"/>
  <c r="AX195" i="70"/>
  <c r="AX194" i="70"/>
  <c r="AZ1108" i="3"/>
  <c r="AZ1128" i="3"/>
  <c r="AZ1032" i="3"/>
  <c r="AZ1157" i="3"/>
  <c r="AZ1261" i="3"/>
  <c r="AZ1262" i="3"/>
  <c r="AZ1263" i="3"/>
  <c r="AZ1143" i="3"/>
  <c r="AZ1125" i="3"/>
  <c r="AZ1124" i="3"/>
  <c r="AZ997" i="3"/>
  <c r="AZ1172" i="3"/>
  <c r="AZ1024" i="3"/>
  <c r="AZ1023" i="3"/>
  <c r="AZ1074" i="3"/>
  <c r="AZ1028" i="3"/>
  <c r="AZ1078" i="3"/>
  <c r="AZ1127" i="3"/>
  <c r="AZ1080" i="3"/>
  <c r="AZ1102" i="3"/>
  <c r="AZ1118" i="3"/>
  <c r="AZ1073" i="3"/>
  <c r="AZ1079" i="3"/>
  <c r="AZ1104" i="3"/>
  <c r="AZ1101" i="3"/>
  <c r="AZ1071" i="3"/>
  <c r="AZ1103" i="3"/>
  <c r="AZ1075" i="3"/>
  <c r="AZ1100" i="3"/>
  <c r="AZ1067" i="3"/>
  <c r="AZ1247" i="3"/>
  <c r="AZ1130" i="3"/>
  <c r="AZ1116" i="3"/>
  <c r="AZ1115" i="3"/>
  <c r="AZ1271" i="3"/>
  <c r="AZ1272" i="3"/>
  <c r="AZ1147" i="3"/>
  <c r="AZ1044" i="3"/>
  <c r="AZ999" i="3"/>
  <c r="AZ1099" i="3"/>
  <c r="AZ1016" i="3"/>
  <c r="AZ1066" i="3"/>
  <c r="AZ990" i="3"/>
  <c r="AZ1046" i="3"/>
  <c r="AZ1049" i="3"/>
  <c r="AZ1025" i="3"/>
  <c r="AZ1020" i="3"/>
  <c r="AX258" i="70"/>
  <c r="AU258" i="70" a="1"/>
  <c r="AU288" i="70" a="1"/>
  <c r="AX288" i="70"/>
  <c r="AX255" i="70"/>
  <c r="AU255" i="70" a="1"/>
  <c r="AX254" i="70"/>
  <c r="AU254" i="70" a="1"/>
  <c r="AX253" i="70"/>
  <c r="AU253" i="70" a="1"/>
  <c r="AX252" i="70"/>
  <c r="AU252" i="70" a="1"/>
  <c r="AU189" i="70" a="1"/>
  <c r="AU188" i="70" a="1"/>
  <c r="AU187" i="70" a="1"/>
  <c r="AU186" i="70" a="1"/>
  <c r="AX186" i="70"/>
  <c r="AX187" i="70"/>
  <c r="AX188" i="70"/>
  <c r="AX189" i="70"/>
  <c r="AZ946" i="3"/>
  <c r="AZ1134" i="3"/>
  <c r="Z881" i="3"/>
  <c r="X833" i="3"/>
  <c r="W1009" i="3"/>
  <c r="AU854" i="3"/>
  <c r="V1003" i="3"/>
  <c r="W947" i="3"/>
  <c r="AU824" i="3"/>
  <c r="X947" i="3"/>
  <c r="V1009" i="3"/>
  <c r="X943" i="3"/>
  <c r="AU1088" i="3"/>
  <c r="AU1017" i="3"/>
  <c r="U1246" i="3" a="1"/>
  <c r="U1259" i="3" a="1"/>
  <c r="U1257" i="3" a="1"/>
  <c r="AU1056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1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235" i="3"/>
  <c r="AU1091" i="3"/>
  <c r="AU1070" i="3"/>
  <c r="AU1068" i="3"/>
  <c r="AU1090" i="3"/>
  <c r="AU1094" i="3"/>
  <c r="AU934" i="3"/>
  <c r="AU951" i="3"/>
  <c r="AU1005" i="3"/>
  <c r="AU950" i="3"/>
  <c r="AU920" i="3"/>
  <c r="AU977" i="3"/>
  <c r="AU1003" i="3"/>
  <c r="AU960" i="3"/>
  <c r="AU959" i="3"/>
  <c r="AU958" i="3"/>
  <c r="AU933" i="3"/>
  <c r="AU975" i="3"/>
  <c r="AU919" i="3"/>
  <c r="AU978" i="3"/>
  <c r="AU932" i="3"/>
  <c r="AU1236" i="3"/>
  <c r="AU1234" i="3"/>
  <c r="AU1233" i="3"/>
  <c r="AU1231" i="3"/>
  <c r="AU1045" i="3"/>
  <c r="AU1052" i="3"/>
  <c r="AU1230" i="3"/>
  <c r="AU954" i="3"/>
  <c r="AU953" i="3"/>
  <c r="AU1229" i="3"/>
  <c r="AU1006" i="3"/>
  <c r="AU1036" i="3"/>
  <c r="AU930" i="3"/>
  <c r="AU1035" i="3"/>
  <c r="AU1228" i="3"/>
  <c r="AU1059" i="3"/>
  <c r="AU1227" i="3"/>
  <c r="AU1226" i="3"/>
  <c r="AU1225" i="3"/>
  <c r="AU1224" i="3"/>
  <c r="AU1223" i="3"/>
  <c r="AU1222" i="3"/>
  <c r="AU1221" i="3"/>
  <c r="AU994" i="3"/>
  <c r="AU1220" i="3"/>
  <c r="AU1215" i="3"/>
  <c r="AU1114" i="3"/>
  <c r="AU1214" i="3"/>
  <c r="AU1213" i="3"/>
  <c r="AU1051" i="3"/>
  <c r="AU1212" i="3"/>
  <c r="AU1113" i="3"/>
  <c r="AU1081" i="3"/>
  <c r="AU1040" i="3"/>
  <c r="AU1039" i="3"/>
  <c r="AU1211" i="3"/>
  <c r="AU1000" i="3"/>
  <c r="AU1210" i="3"/>
  <c r="AU1209" i="3"/>
  <c r="AU1208" i="3"/>
  <c r="AU1207" i="3"/>
  <c r="AU1206" i="3"/>
  <c r="AU1205" i="3"/>
  <c r="AU1204" i="3"/>
  <c r="AU1203" i="3"/>
  <c r="AU955" i="3"/>
  <c r="AU1202" i="3"/>
  <c r="AU1201" i="3"/>
  <c r="AU1200" i="3"/>
  <c r="AU1199" i="3"/>
  <c r="AU1198" i="3"/>
  <c r="AU1197" i="3"/>
  <c r="AU1196" i="3"/>
  <c r="AU1195" i="3"/>
  <c r="AU1194" i="3"/>
  <c r="AU1193" i="3"/>
  <c r="AU1192" i="3"/>
  <c r="AU1191" i="3"/>
  <c r="AU1190" i="3"/>
  <c r="AU1189" i="3"/>
  <c r="AU1188" i="3"/>
  <c r="AU1187" i="3"/>
  <c r="AU1186" i="3"/>
  <c r="AU1185" i="3"/>
  <c r="AU1184" i="3"/>
  <c r="AU1183" i="3"/>
  <c r="AU1182" i="3"/>
  <c r="AU1181" i="3"/>
  <c r="AU1180" i="3"/>
  <c r="AU1179" i="3"/>
  <c r="AU1178" i="3"/>
  <c r="AU1177" i="3"/>
  <c r="AU1176" i="3"/>
  <c r="AU1175" i="3"/>
  <c r="AU1174" i="3"/>
  <c r="AU1173" i="3"/>
  <c r="AU987" i="3"/>
  <c r="AU926" i="3"/>
  <c r="AU1053" i="3"/>
  <c r="AU929" i="3"/>
  <c r="AU924" i="3"/>
  <c r="AU917" i="3"/>
  <c r="AU916" i="3"/>
  <c r="AU915" i="3"/>
  <c r="AU974" i="3"/>
  <c r="AU914" i="3"/>
  <c r="AU913" i="3"/>
  <c r="AU1112" i="3"/>
  <c r="AU922" i="3"/>
  <c r="AU971" i="3"/>
  <c r="AU970" i="3"/>
  <c r="AU969" i="3"/>
  <c r="AU967" i="3"/>
  <c r="AU963" i="3"/>
  <c r="AU962" i="3"/>
  <c r="AU961" i="3"/>
  <c r="AU942" i="3"/>
  <c r="AU941" i="3"/>
  <c r="AU940" i="3"/>
  <c r="AU938" i="3"/>
  <c r="AU925" i="3"/>
  <c r="AU912" i="3"/>
  <c r="AU911" i="3"/>
  <c r="AU910" i="3"/>
  <c r="Z909" i="3"/>
  <c r="AU909" i="3"/>
  <c r="AU908" i="3"/>
  <c r="AU907" i="3"/>
  <c r="AU906" i="3"/>
  <c r="AU905" i="3"/>
  <c r="AU904" i="3"/>
  <c r="Z903" i="3"/>
  <c r="AU903" i="3"/>
  <c r="AU900" i="3"/>
  <c r="AU902" i="3"/>
  <c r="AU891" i="3"/>
  <c r="AU890" i="3"/>
  <c r="AU889" i="3"/>
  <c r="AU888" i="3"/>
  <c r="AU882" i="3"/>
  <c r="AU881" i="3"/>
  <c r="AU880" i="3"/>
  <c r="AU879" i="3"/>
  <c r="Z878" i="3"/>
  <c r="AU878" i="3"/>
  <c r="Z877" i="3"/>
  <c r="AU877" i="3"/>
  <c r="Z876" i="3"/>
  <c r="AU876" i="3"/>
  <c r="Z875" i="3"/>
  <c r="AU875" i="3"/>
  <c r="AU871" i="3"/>
  <c r="AU870" i="3"/>
  <c r="AU869" i="3"/>
  <c r="AU868" i="3"/>
  <c r="AU867" i="3"/>
  <c r="AU866" i="3"/>
  <c r="AU865" i="3"/>
  <c r="AU864" i="3"/>
  <c r="AU861" i="3"/>
  <c r="AU860" i="3"/>
  <c r="AU859" i="3"/>
  <c r="AU858" i="3"/>
  <c r="AU857" i="3"/>
  <c r="AU856" i="3"/>
  <c r="AU855" i="3"/>
  <c r="AU853" i="3"/>
  <c r="AU850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23" i="3"/>
  <c r="AU998" i="3"/>
  <c r="Z799" i="3"/>
  <c r="AU799" i="3"/>
  <c r="Z798" i="3"/>
  <c r="AU798" i="3"/>
  <c r="Z628" i="3"/>
  <c r="AU628" i="3"/>
  <c r="Z639" i="3"/>
  <c r="AU639" i="3"/>
  <c r="W655" i="3"/>
  <c r="U1255" i="3" a="1"/>
  <c r="U1251" i="3" a="1"/>
  <c r="X1130" i="3"/>
  <c r="X121" i="122"/>
  <c r="W121" i="122"/>
  <c r="S121" i="122"/>
  <c r="D118" i="122"/>
  <c r="X100" i="122"/>
  <c r="X120" i="122" s="1"/>
  <c r="X118" i="122"/>
  <c r="W100" i="122"/>
  <c r="W120" i="122" s="1"/>
  <c r="W118" i="122"/>
  <c r="V100" i="122"/>
  <c r="U100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26" i="3"/>
  <c r="Z963" i="3"/>
  <c r="Z871" i="3"/>
  <c r="Z870" i="3"/>
  <c r="Z869" i="3"/>
  <c r="Z867" i="3"/>
  <c r="Z865" i="3"/>
  <c r="Z864" i="3"/>
  <c r="Z861" i="3"/>
  <c r="Z860" i="3"/>
  <c r="Z859" i="3"/>
  <c r="Z858" i="3"/>
  <c r="Z857" i="3"/>
  <c r="Z856" i="3"/>
  <c r="Z855" i="3"/>
  <c r="Z853" i="3"/>
  <c r="Z850" i="3"/>
  <c r="Z845" i="3"/>
  <c r="Z844" i="3"/>
  <c r="Z833" i="3"/>
  <c r="Z825" i="3"/>
  <c r="Z824" i="3"/>
  <c r="V950" i="3"/>
  <c r="U1264" i="3" a="1"/>
  <c r="U1250" i="3" a="1"/>
  <c r="U1065" i="3" a="1"/>
  <c r="W54" i="122"/>
  <c r="W948" i="3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32" i="3" a="1"/>
  <c r="AW219" i="3" a="1"/>
  <c r="AW208" i="3" a="1"/>
  <c r="AW188" i="3" a="1"/>
  <c r="AX219" i="70"/>
  <c r="AX221" i="70"/>
  <c r="AX180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30" i="3" a="1"/>
  <c r="AW217" i="3" a="1"/>
  <c r="AW186" i="3" a="1"/>
  <c r="AX183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4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6" i="70" a="1"/>
  <c r="AX181" i="70"/>
  <c r="AW597" i="3" a="1"/>
  <c r="AW570" i="3" a="1"/>
  <c r="AZ928" i="3"/>
  <c r="AZ1232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6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4" i="70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08" i="3"/>
  <c r="AW595" i="3" a="1"/>
  <c r="AW530" i="3" a="1"/>
  <c r="AW478" i="3" a="1"/>
  <c r="AW401" i="3" a="1"/>
  <c r="AW354" i="3" a="1"/>
  <c r="AW279" i="3" a="1"/>
  <c r="AX220" i="70"/>
  <c r="AW1265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2" i="70"/>
  <c r="AW1264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3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W582" i="3" a="1"/>
  <c r="AW468" i="3" a="1"/>
  <c r="AW396" i="3" a="1"/>
  <c r="AW323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28" i="3" a="1"/>
  <c r="AW192" i="3" a="1"/>
  <c r="AZ1013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24" i="3" a="1"/>
  <c r="AZ801" i="3"/>
  <c r="AX225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23" i="3" a="1"/>
  <c r="AW203" i="3" a="1"/>
  <c r="AW1259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5" i="70" a="1"/>
  <c r="AW1257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232" i="3" a="1"/>
  <c r="AZ1245" i="3"/>
  <c r="AZ1248" i="3"/>
  <c r="AZ973" i="3"/>
  <c r="AZ838" i="3"/>
  <c r="AW798" i="3" a="1"/>
  <c r="AX149" i="70"/>
  <c r="AW1245" i="3" a="1"/>
  <c r="AW1248" i="3" a="1"/>
  <c r="AW1236" i="3" a="1"/>
  <c r="AW1228" i="3" a="1"/>
  <c r="AW1201" i="3" a="1"/>
  <c r="AW1186" i="3" a="1"/>
  <c r="AW969" i="3" a="1"/>
  <c r="AW1243" i="3" a="1"/>
  <c r="AW1234" i="3" a="1"/>
  <c r="AW1220" i="3" a="1"/>
  <c r="AW1200" i="3" a="1"/>
  <c r="AW1185" i="3" a="1"/>
  <c r="AW968" i="3" a="1"/>
  <c r="AW1233" i="3" a="1"/>
  <c r="AW1227" i="3" a="1"/>
  <c r="AW1199" i="3" a="1"/>
  <c r="AW1184" i="3" a="1"/>
  <c r="AW1240" i="3" a="1"/>
  <c r="AW1231" i="3" a="1"/>
  <c r="AW1226" i="3" a="1"/>
  <c r="AW1211" i="3" a="1"/>
  <c r="AW1198" i="3" a="1"/>
  <c r="AW1183" i="3" a="1"/>
  <c r="AW924" i="3" a="1"/>
  <c r="AW964" i="3" a="1"/>
  <c r="AW625" i="3" a="1"/>
  <c r="AW1011" i="3" a="1"/>
  <c r="AW1197" i="3" a="1"/>
  <c r="AW1182" i="3" a="1"/>
  <c r="AW624" i="3" a="1"/>
  <c r="AW1225" i="3" a="1"/>
  <c r="AW1215" i="3" a="1"/>
  <c r="AW1196" i="3" a="1"/>
  <c r="AW1181" i="3" a="1"/>
  <c r="AW918" i="3" a="1"/>
  <c r="AW623" i="3" a="1"/>
  <c r="AW1268" i="3" a="1"/>
  <c r="AW1230" i="3" a="1"/>
  <c r="AW1224" i="3" a="1"/>
  <c r="AW1210" i="3" a="1"/>
  <c r="AW1195" i="3" a="1"/>
  <c r="AW1180" i="3" a="1"/>
  <c r="AW1214" i="3" a="1"/>
  <c r="AW1209" i="3" a="1"/>
  <c r="AW1194" i="3" a="1"/>
  <c r="AW1179" i="3" a="1"/>
  <c r="AW887" i="3" a="1"/>
  <c r="AW621" i="3" a="1"/>
  <c r="AW590" i="3" a="1"/>
  <c r="AW1267" i="3" a="1"/>
  <c r="AW1223" i="3" a="1"/>
  <c r="AW1213" i="3" a="1"/>
  <c r="AW1208" i="3" a="1"/>
  <c r="AW1193" i="3" a="1"/>
  <c r="AW1178" i="3" a="1"/>
  <c r="AW886" i="3" a="1"/>
  <c r="AW1269" i="3" a="1"/>
  <c r="AW1255" i="3" a="1"/>
  <c r="AW1239" i="3" a="1"/>
  <c r="AW1229" i="3" a="1"/>
  <c r="AW1222" i="3" a="1"/>
  <c r="AW1207" i="3" a="1"/>
  <c r="AW1192" i="3" a="1"/>
  <c r="AW1177" i="3" a="1"/>
  <c r="AW1251" i="3" a="1"/>
  <c r="AW1212" i="3" a="1"/>
  <c r="AW1206" i="3" a="1"/>
  <c r="AW1176" i="3" a="1"/>
  <c r="AW1250" i="3" a="1"/>
  <c r="AW1205" i="3" a="1"/>
  <c r="AW1191" i="3" a="1"/>
  <c r="AW1175" i="3" a="1"/>
  <c r="AW1241" i="3" a="1"/>
  <c r="AW1238" i="3" a="1"/>
  <c r="AW1221" i="3" a="1"/>
  <c r="AW1204" i="3" a="1"/>
  <c r="AW1190" i="3" a="1"/>
  <c r="AW1174" i="3" a="1"/>
  <c r="AW1112" i="3" a="1"/>
  <c r="AW884" i="3" a="1"/>
  <c r="C28" i="47"/>
  <c r="AW656" i="3" s="1" a="1"/>
  <c r="AW638" i="3" a="1"/>
  <c r="AW637" i="3" a="1"/>
  <c r="AW610" i="3" a="1"/>
  <c r="AW612" i="3" a="1"/>
  <c r="AW611" i="3" a="1"/>
  <c r="AW1237" i="3" a="1"/>
  <c r="AW1203" i="3" a="1"/>
  <c r="AW1189" i="3" a="1"/>
  <c r="AW1173" i="3" a="1"/>
  <c r="AW922" i="3" a="1"/>
  <c r="C35" i="47"/>
  <c r="AW885" i="3" s="1" a="1"/>
  <c r="AW799" i="3" a="1"/>
  <c r="AW609" i="3" a="1"/>
  <c r="AW1235" i="3" a="1"/>
  <c r="AW1246" i="3" a="1"/>
  <c r="AW1244" i="3" a="1"/>
  <c r="AW1188" i="3" a="1"/>
  <c r="AW882" i="3" a="1"/>
  <c r="AW608" i="3" a="1"/>
  <c r="AW1202" i="3" a="1"/>
  <c r="AW1187" i="3" a="1"/>
  <c r="Z1229" i="3"/>
  <c r="Z1184" i="3"/>
  <c r="W1012" i="3"/>
  <c r="X1012" i="3"/>
  <c r="W938" i="3"/>
  <c r="Z1206" i="3"/>
  <c r="Z1176" i="3"/>
  <c r="W1072" i="3"/>
  <c r="Z894" i="3"/>
  <c r="Z880" i="3"/>
  <c r="W939" i="3"/>
  <c r="Z1236" i="3"/>
  <c r="Z1201" i="3"/>
  <c r="Z1186" i="3"/>
  <c r="W1062" i="3"/>
  <c r="W971" i="3"/>
  <c r="W920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2" i="3"/>
  <c r="Z868" i="3"/>
  <c r="Z866" i="3"/>
  <c r="Z852" i="3"/>
  <c r="Z851" i="3"/>
  <c r="Z849" i="3"/>
  <c r="AW847" i="3" a="1"/>
  <c r="Z847" i="3"/>
  <c r="Z846" i="3"/>
  <c r="Z843" i="3"/>
  <c r="Z842" i="3"/>
  <c r="Z841" i="3"/>
  <c r="Z837" i="3"/>
  <c r="AW834" i="3" a="1"/>
  <c r="Z834" i="3"/>
  <c r="Z831" i="3"/>
  <c r="Z827" i="3"/>
  <c r="AW823" i="3" a="1"/>
  <c r="Z823" i="3"/>
  <c r="W941" i="3"/>
  <c r="X965" i="3"/>
  <c r="W472" i="3"/>
  <c r="W406" i="3"/>
  <c r="X996" i="3"/>
  <c r="Z1213" i="3"/>
  <c r="W894" i="3"/>
  <c r="W1057" i="3"/>
  <c r="W271" i="3"/>
  <c r="U1232" i="3" a="1"/>
  <c r="U1231" i="3" a="1"/>
  <c r="U1230" i="3" a="1"/>
  <c r="AW578" i="3" a="1"/>
  <c r="AW654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2" i="3" a="1"/>
  <c r="AW645" i="3" a="1"/>
  <c r="AW664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09" i="3" a="1"/>
  <c r="AW808" i="3" a="1"/>
  <c r="AW803" i="3" a="1"/>
  <c r="AW802" i="3" a="1"/>
  <c r="AW800" i="3" a="1"/>
  <c r="AW788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46" i="3" a="1"/>
  <c r="AW688" i="3" a="1"/>
  <c r="AW687" i="3" a="1"/>
  <c r="AW686" i="3" a="1"/>
  <c r="AW955" i="3" a="1"/>
  <c r="AW917" i="3" a="1"/>
  <c r="AW916" i="3" a="1"/>
  <c r="AW915" i="3" a="1"/>
  <c r="AW970" i="3" a="1"/>
  <c r="AW967" i="3" a="1"/>
  <c r="AW961" i="3" a="1"/>
  <c r="AW911" i="3" a="1"/>
  <c r="AW909" i="3" a="1"/>
  <c r="AW905" i="3" a="1"/>
  <c r="AW904" i="3" a="1"/>
  <c r="AW903" i="3" a="1"/>
  <c r="AW900" i="3" a="1"/>
  <c r="AW888" i="3" a="1"/>
  <c r="AW880" i="3" a="1"/>
  <c r="AW861" i="3" a="1"/>
  <c r="AW860" i="3" a="1"/>
  <c r="AW855" i="3" a="1"/>
  <c r="AW844" i="3" a="1"/>
  <c r="AW830" i="3" a="1"/>
  <c r="AW829" i="3" a="1"/>
  <c r="AW825" i="3" a="1"/>
  <c r="AW628" i="3" a="1"/>
  <c r="AW639" i="3" a="1"/>
  <c r="W1133" i="3"/>
  <c r="W1059" i="3"/>
  <c r="Z966" i="3"/>
  <c r="Z910" i="3"/>
  <c r="Z902" i="3"/>
  <c r="Z965" i="3"/>
  <c r="Z920" i="3"/>
  <c r="Z1190" i="3"/>
  <c r="Z1174" i="3"/>
  <c r="Z913" i="3"/>
  <c r="Z898" i="3"/>
  <c r="Z885" i="3"/>
  <c r="Z1040" i="3"/>
  <c r="Z1112" i="3"/>
  <c r="Z884" i="3"/>
  <c r="Z1251" i="3"/>
  <c r="Z1214" i="3"/>
  <c r="Z1209" i="3"/>
  <c r="Z1194" i="3"/>
  <c r="Z1179" i="3"/>
  <c r="Z917" i="3"/>
  <c r="Z904" i="3"/>
  <c r="Z888" i="3"/>
  <c r="Z1002" i="3"/>
  <c r="Z1243" i="3"/>
  <c r="Z1234" i="3"/>
  <c r="Z1059" i="3"/>
  <c r="Z1220" i="3"/>
  <c r="Z1012" i="3"/>
  <c r="Z1185" i="3"/>
  <c r="Z969" i="3"/>
  <c r="Z940" i="3"/>
  <c r="Z899" i="3"/>
  <c r="Z1031" i="3"/>
  <c r="Z971" i="3"/>
  <c r="Z912" i="3"/>
  <c r="Z950" i="3"/>
  <c r="Z1233" i="3"/>
  <c r="Z1227" i="3"/>
  <c r="Z1237" i="3"/>
  <c r="W343" i="3"/>
  <c r="X1134" i="3"/>
  <c r="Z1053" i="3"/>
  <c r="Z1037" i="3"/>
  <c r="Z1113" i="3"/>
  <c r="Z1205" i="3"/>
  <c r="Z1191" i="3"/>
  <c r="Z1175" i="3"/>
  <c r="Z921" i="3"/>
  <c r="Z970" i="3"/>
  <c r="X906" i="3"/>
  <c r="W869" i="3"/>
  <c r="W622" i="3"/>
  <c r="W963" i="3"/>
  <c r="W397" i="3"/>
  <c r="Z893" i="3"/>
  <c r="W347" i="3"/>
  <c r="Z1203" i="3"/>
  <c r="Z938" i="3"/>
  <c r="W552" i="3"/>
  <c r="Z930" i="3"/>
  <c r="Z994" i="3"/>
  <c r="W682" i="3"/>
  <c r="W344" i="3"/>
  <c r="W279" i="3"/>
  <c r="W209" i="3"/>
  <c r="X864" i="3"/>
  <c r="W648" i="3"/>
  <c r="V1017" i="3"/>
  <c r="W470" i="3"/>
  <c r="W277" i="3"/>
  <c r="X593" i="3"/>
  <c r="X884" i="3"/>
  <c r="W276" i="3"/>
  <c r="X584" i="3"/>
  <c r="W867" i="3"/>
  <c r="X656" i="3"/>
  <c r="W615" i="3"/>
  <c r="W350" i="3"/>
  <c r="W711" i="3"/>
  <c r="W1134" i="3"/>
  <c r="X871" i="3"/>
  <c r="Z1240" i="3"/>
  <c r="Z1226" i="3"/>
  <c r="Z1198" i="3"/>
  <c r="Z929" i="3"/>
  <c r="Z908" i="3"/>
  <c r="Z1246" i="3"/>
  <c r="W282" i="3"/>
  <c r="W407" i="3"/>
  <c r="W346" i="3"/>
  <c r="W744" i="3"/>
  <c r="W940" i="3"/>
  <c r="W595" i="3"/>
  <c r="W1052" i="3"/>
  <c r="Z1021" i="3"/>
  <c r="Z1230" i="3"/>
  <c r="Z1189" i="3"/>
  <c r="Z1267" i="3"/>
  <c r="Z1196" i="3"/>
  <c r="Z890" i="3"/>
  <c r="Z1187" i="3"/>
  <c r="X806" i="3"/>
  <c r="W280" i="3"/>
  <c r="X613" i="3"/>
  <c r="X753" i="3"/>
  <c r="X894" i="3"/>
  <c r="X987" i="3"/>
  <c r="X828" i="3"/>
  <c r="X249" i="3"/>
  <c r="W976" i="3"/>
  <c r="X976" i="3"/>
  <c r="X1009" i="3"/>
  <c r="W828" i="3"/>
  <c r="Z874" i="3"/>
  <c r="Z906" i="3"/>
  <c r="W617" i="3"/>
  <c r="W966" i="3"/>
  <c r="X703" i="3"/>
  <c r="W365" i="3"/>
  <c r="W318" i="3"/>
  <c r="W286" i="3"/>
  <c r="W270" i="3"/>
  <c r="W717" i="3"/>
  <c r="X842" i="3"/>
  <c r="W663" i="3"/>
  <c r="W386" i="3"/>
  <c r="W831" i="3"/>
  <c r="X1062" i="3"/>
  <c r="W1021" i="3"/>
  <c r="X893" i="3"/>
  <c r="W1053" i="3"/>
  <c r="W943" i="3"/>
  <c r="Z1057" i="3"/>
  <c r="Z1173" i="3"/>
  <c r="Z897" i="3"/>
  <c r="W1038" i="3"/>
  <c r="W383" i="3"/>
  <c r="W1007" i="3"/>
  <c r="W558" i="3"/>
  <c r="W352" i="3"/>
  <c r="W319" i="3"/>
  <c r="X966" i="3"/>
  <c r="W330" i="3"/>
  <c r="W836" i="3"/>
  <c r="X836" i="3"/>
  <c r="X910" i="3"/>
  <c r="W432" i="3"/>
  <c r="W401" i="3"/>
  <c r="W385" i="3"/>
  <c r="W866" i="3"/>
  <c r="V1094" i="3"/>
  <c r="W274" i="3"/>
  <c r="X745" i="3"/>
  <c r="W864" i="3"/>
  <c r="W400" i="3"/>
  <c r="W321" i="3"/>
  <c r="W375" i="3"/>
  <c r="W618" i="3"/>
  <c r="W273" i="3"/>
  <c r="W398" i="3"/>
  <c r="W382" i="3"/>
  <c r="W978" i="3"/>
  <c r="W996" i="3"/>
  <c r="W857" i="3"/>
  <c r="X940" i="3"/>
  <c r="W572" i="3"/>
  <c r="W395" i="3"/>
  <c r="W285" i="3"/>
  <c r="W585" i="3"/>
  <c r="W705" i="3"/>
  <c r="X639" i="3"/>
  <c r="X811" i="3"/>
  <c r="W349" i="3"/>
  <c r="W316" i="3"/>
  <c r="W849" i="3"/>
  <c r="W913" i="3"/>
  <c r="W675" i="3"/>
  <c r="W769" i="3"/>
  <c r="W473" i="3"/>
  <c r="W409" i="3"/>
  <c r="W283" i="3"/>
  <c r="W969" i="3"/>
  <c r="W1216" i="3"/>
  <c r="W899" i="3"/>
  <c r="X913" i="3"/>
  <c r="X899" i="3"/>
  <c r="W946" i="3"/>
  <c r="W551" i="3"/>
  <c r="W810" i="3"/>
  <c r="X810" i="3"/>
  <c r="W433" i="3"/>
  <c r="W972" i="3"/>
  <c r="Z1181" i="3"/>
  <c r="Z1022" i="3"/>
  <c r="Z911" i="3"/>
  <c r="Z968" i="3"/>
  <c r="Z947" i="3"/>
  <c r="Z1200" i="3"/>
  <c r="Z1218" i="3"/>
  <c r="Z1199" i="3"/>
  <c r="Z972" i="3"/>
  <c r="Z948" i="3"/>
  <c r="Z1212" i="3"/>
  <c r="Z936" i="3"/>
  <c r="Z974" i="3"/>
  <c r="Z900" i="3"/>
  <c r="Z958" i="3"/>
  <c r="Z993" i="3"/>
  <c r="Z953" i="3"/>
  <c r="Z1223" i="3"/>
  <c r="Z1208" i="3"/>
  <c r="Z1193" i="3"/>
  <c r="Z1133" i="3"/>
  <c r="Z1235" i="3"/>
  <c r="Z933" i="3"/>
  <c r="Z919" i="3"/>
  <c r="Z1239" i="3"/>
  <c r="Z1222" i="3"/>
  <c r="Z1051" i="3"/>
  <c r="Z1207" i="3"/>
  <c r="Z1192" i="3"/>
  <c r="Z1177" i="3"/>
  <c r="Z915" i="3"/>
  <c r="Z942" i="3"/>
  <c r="Z901" i="3"/>
  <c r="Z886" i="3"/>
  <c r="Z1178" i="3"/>
  <c r="Z1215" i="3"/>
  <c r="Z1003" i="3"/>
  <c r="Z1225" i="3"/>
  <c r="Z916" i="3"/>
  <c r="Z943" i="3"/>
  <c r="Z887" i="3"/>
  <c r="Z1182" i="3"/>
  <c r="Z924" i="3"/>
  <c r="Z964" i="3"/>
  <c r="Z907" i="3"/>
  <c r="Z891" i="3"/>
  <c r="Z1091" i="3"/>
  <c r="X890" i="3"/>
  <c r="U1244" i="3" a="1"/>
  <c r="U1245" i="3" a="1"/>
  <c r="Z1068" i="3"/>
  <c r="Z1090" i="3"/>
  <c r="Z1268" i="3"/>
  <c r="Z1005" i="3"/>
  <c r="Z977" i="3"/>
  <c r="Z1010" i="3"/>
  <c r="Z1148" i="3"/>
  <c r="Z1111" i="3"/>
  <c r="Z932" i="3"/>
  <c r="Z1231" i="3"/>
  <c r="Z954" i="3"/>
  <c r="Z1035" i="3"/>
  <c r="Z1228" i="3"/>
  <c r="Z945" i="3"/>
  <c r="Z939" i="3"/>
  <c r="Z1217" i="3"/>
  <c r="Z1211" i="3"/>
  <c r="Z1202" i="3"/>
  <c r="Z1183" i="3"/>
  <c r="Z892" i="3"/>
  <c r="BF573" i="3"/>
  <c r="X573" i="3" s="1"/>
  <c r="BF522" i="3"/>
  <c r="X522" i="3" s="1"/>
  <c r="BF592" i="3"/>
  <c r="X592" i="3" s="1"/>
  <c r="U138" i="122"/>
  <c r="Z1001" i="3"/>
  <c r="Z1062" i="3"/>
  <c r="Z944" i="3"/>
  <c r="Z1216" i="3"/>
  <c r="Z1011" i="3"/>
  <c r="Z1197" i="3"/>
  <c r="Z1039" i="3"/>
  <c r="Z955" i="3"/>
  <c r="Z1188" i="3"/>
  <c r="Z922" i="3"/>
  <c r="Z883" i="3"/>
  <c r="Z996" i="3"/>
  <c r="Z987" i="3"/>
  <c r="Z895" i="3"/>
  <c r="Z882" i="3"/>
  <c r="Z988" i="3"/>
  <c r="Z925" i="3"/>
  <c r="Z896" i="3"/>
  <c r="Z976" i="3"/>
  <c r="Z1045" i="3"/>
  <c r="X94" i="122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6" i="70"/>
  <c r="AU31" i="70" a="1"/>
  <c r="AU139" i="70" a="1"/>
  <c r="AX205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X139" i="70"/>
  <c r="AX158" i="70"/>
  <c r="AU127" i="70" a="1"/>
  <c r="AX76" i="70"/>
  <c r="AX140" i="70"/>
  <c r="AU33" i="70" a="1"/>
  <c r="AX143" i="70"/>
  <c r="AX138" i="70"/>
  <c r="AX127" i="70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X108" i="70"/>
  <c r="AX22" i="70"/>
  <c r="AX135" i="70"/>
  <c r="AU79" i="70" a="1"/>
  <c r="AU59" i="70" a="1"/>
  <c r="AU44" i="70" a="1"/>
  <c r="AX130" i="70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X84" i="70"/>
  <c r="AX72" i="70"/>
  <c r="AU71" i="70" a="1"/>
  <c r="AU133" i="70" a="1"/>
  <c r="AU85" i="70" a="1"/>
  <c r="AU244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2" i="70"/>
  <c r="AX201" i="70"/>
  <c r="AX248" i="70"/>
  <c r="AU50" i="70" a="1"/>
  <c r="AU51" i="70" a="1"/>
  <c r="AX178" i="70"/>
  <c r="AX290" i="70"/>
  <c r="AX203" i="70"/>
  <c r="AX177" i="70"/>
  <c r="AU247" i="70" a="1"/>
  <c r="AU26" i="70" a="1"/>
  <c r="AX206" i="70"/>
  <c r="AX247" i="70"/>
  <c r="AX175" i="70"/>
  <c r="AX50" i="70"/>
  <c r="AU245" i="70" a="1"/>
  <c r="AX245" i="70"/>
  <c r="AX58" i="70"/>
  <c r="AU248" i="70" a="1"/>
  <c r="AX213" i="70"/>
  <c r="AU56" i="70" a="1"/>
  <c r="AX51" i="70"/>
  <c r="AU249" i="70" a="1"/>
  <c r="AU257" i="70" a="1"/>
  <c r="AU289" i="70" a="1"/>
  <c r="AU57" i="70" a="1"/>
  <c r="AX293" i="70"/>
  <c r="AX249" i="70"/>
  <c r="AX257" i="70"/>
  <c r="AX209" i="70"/>
  <c r="AU24" i="70" a="1"/>
  <c r="AX210" i="70"/>
  <c r="AU25" i="70" a="1"/>
  <c r="AU293" i="70" a="1"/>
  <c r="AU27" i="70" a="1"/>
  <c r="AX55" i="70"/>
  <c r="AU290" i="70" a="1"/>
  <c r="AU174" i="70" a="1"/>
  <c r="AU246" i="70" a="1"/>
  <c r="AX53" i="70"/>
  <c r="AX289" i="70"/>
  <c r="AX184" i="70"/>
  <c r="AX256" i="70"/>
  <c r="AX54" i="70"/>
  <c r="AX217" i="70"/>
  <c r="AX80" i="70"/>
  <c r="AX190" i="70"/>
  <c r="AU256" i="70" a="1"/>
  <c r="AX57" i="70"/>
  <c r="AX192" i="70"/>
  <c r="AU250" i="70" a="1"/>
  <c r="AU53" i="70" a="1"/>
  <c r="AX174" i="70"/>
  <c r="AX185" i="70"/>
  <c r="AX292" i="70"/>
  <c r="AX56" i="70"/>
  <c r="AU292" i="70" a="1"/>
  <c r="AX244" i="70"/>
  <c r="AX246" i="70"/>
  <c r="AX193" i="70"/>
  <c r="AX250" i="70"/>
  <c r="AU54" i="70" a="1"/>
  <c r="AX291" i="70"/>
  <c r="AU291" i="70" a="1"/>
  <c r="AX52" i="70"/>
  <c r="AU80" i="70" a="1"/>
  <c r="AU55" i="70" a="1"/>
  <c r="AX216" i="70"/>
  <c r="AX215" i="70"/>
  <c r="AX198" i="70"/>
  <c r="AX196" i="70"/>
  <c r="AX179" i="70"/>
  <c r="AU52" i="70" a="1"/>
  <c r="AX191" i="70"/>
  <c r="AX204" i="70"/>
  <c r="AX211" i="70"/>
  <c r="AX208" i="70"/>
  <c r="AX207" i="70"/>
  <c r="AX243" i="70"/>
  <c r="AX212" i="70"/>
  <c r="AU243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7" i="3"/>
  <c r="AZ885" i="3"/>
  <c r="AZ898" i="3"/>
  <c r="AZ941" i="3"/>
  <c r="AZ945" i="3"/>
  <c r="AZ949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8" i="3"/>
  <c r="AZ899" i="3"/>
  <c r="AZ942" i="3"/>
  <c r="AZ952" i="3"/>
  <c r="AZ520" i="3"/>
  <c r="AZ860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69" i="3"/>
  <c r="AZ900" i="3"/>
  <c r="AZ943" i="3"/>
  <c r="AZ987" i="3"/>
  <c r="AZ994" i="3"/>
  <c r="AZ1005" i="3"/>
  <c r="AZ996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0" i="3"/>
  <c r="AZ886" i="3"/>
  <c r="AZ901" i="3"/>
  <c r="AZ947" i="3"/>
  <c r="AZ1059" i="3"/>
  <c r="AZ951" i="3"/>
  <c r="AZ563" i="3"/>
  <c r="AZ892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49" i="3"/>
  <c r="AZ871" i="3"/>
  <c r="AZ887" i="3"/>
  <c r="AZ922" i="3"/>
  <c r="AZ944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6" i="3"/>
  <c r="AZ872" i="3"/>
  <c r="AZ888" i="3"/>
  <c r="AZ874" i="3"/>
  <c r="AZ939" i="3"/>
  <c r="AZ621" i="3"/>
  <c r="AZ930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7" i="3"/>
  <c r="AZ875" i="3"/>
  <c r="AZ889" i="3"/>
  <c r="AZ924" i="3"/>
  <c r="AZ948" i="3"/>
  <c r="AZ1036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8" i="3"/>
  <c r="AZ876" i="3"/>
  <c r="AZ890" i="3"/>
  <c r="AZ938" i="3"/>
  <c r="AZ1006" i="3"/>
  <c r="AZ679" i="3"/>
  <c r="AZ929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59" i="3"/>
  <c r="AZ877" i="3"/>
  <c r="AZ891" i="3"/>
  <c r="AZ1031" i="3"/>
  <c r="AZ995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8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1" i="3"/>
  <c r="AZ879" i="3"/>
  <c r="AZ893" i="3"/>
  <c r="AZ931" i="3"/>
  <c r="AZ1045" i="3"/>
  <c r="AZ998" i="3"/>
  <c r="AZ239" i="3"/>
  <c r="AZ262" i="3"/>
  <c r="AZ298" i="3"/>
  <c r="AZ341" i="3"/>
  <c r="AZ453" i="3"/>
  <c r="AZ507" i="3"/>
  <c r="AZ703" i="3"/>
  <c r="AZ724" i="3"/>
  <c r="AZ763" i="3"/>
  <c r="AZ798" i="3"/>
  <c r="AZ842" i="3"/>
  <c r="AZ895" i="3"/>
  <c r="AZ1052" i="3"/>
  <c r="AZ1001" i="3"/>
  <c r="AZ299" i="3"/>
  <c r="AZ342" i="3"/>
  <c r="AZ454" i="3"/>
  <c r="AZ508" i="3"/>
  <c r="AZ545" i="3"/>
  <c r="AZ704" i="3"/>
  <c r="AZ764" i="3"/>
  <c r="AZ799" i="3"/>
  <c r="AZ843" i="3"/>
  <c r="AZ896" i="3"/>
  <c r="AZ978" i="3"/>
  <c r="AZ923" i="3"/>
  <c r="AZ883" i="3"/>
  <c r="AZ300" i="3"/>
  <c r="AZ354" i="3"/>
  <c r="AZ462" i="3"/>
  <c r="AZ509" i="3"/>
  <c r="AZ546" i="3"/>
  <c r="AZ610" i="3"/>
  <c r="AZ705" i="3"/>
  <c r="AZ765" i="3"/>
  <c r="AZ800" i="3"/>
  <c r="AZ844" i="3"/>
  <c r="AZ897" i="3"/>
  <c r="AZ977" i="3"/>
  <c r="AZ301" i="3"/>
  <c r="AZ355" i="3"/>
  <c r="AZ510" i="3"/>
  <c r="AZ547" i="3"/>
  <c r="AZ611" i="3"/>
  <c r="AZ766" i="3"/>
  <c r="AZ802" i="3"/>
  <c r="AZ1053" i="3"/>
  <c r="AZ993" i="3"/>
  <c r="AZ356" i="3"/>
  <c r="AZ413" i="3"/>
  <c r="AZ586" i="3"/>
  <c r="AZ1192" i="3"/>
  <c r="AZ881" i="3"/>
  <c r="AZ357" i="3"/>
  <c r="AZ480" i="3"/>
  <c r="AZ523" i="3"/>
  <c r="AZ587" i="3"/>
  <c r="AZ781" i="3"/>
  <c r="AZ864" i="3"/>
  <c r="AZ1193" i="3"/>
  <c r="AZ481" i="3"/>
  <c r="AZ588" i="3"/>
  <c r="AZ681" i="3"/>
  <c r="AZ782" i="3"/>
  <c r="AZ865" i="3"/>
  <c r="AZ955" i="3"/>
  <c r="AZ287" i="3"/>
  <c r="AZ313" i="3"/>
  <c r="AZ482" i="3"/>
  <c r="AZ589" i="3"/>
  <c r="AZ682" i="3"/>
  <c r="AZ783" i="3"/>
  <c r="AZ932" i="3"/>
  <c r="AZ1000" i="3"/>
  <c r="AZ314" i="3"/>
  <c r="AZ483" i="3"/>
  <c r="AZ590" i="3"/>
  <c r="AZ683" i="3"/>
  <c r="AZ740" i="3"/>
  <c r="AZ784" i="3"/>
  <c r="AZ866" i="3"/>
  <c r="AZ933" i="3"/>
  <c r="AZ230" i="3"/>
  <c r="AZ284" i="3"/>
  <c r="AZ315" i="3"/>
  <c r="AZ484" i="3"/>
  <c r="AZ566" i="3"/>
  <c r="AZ741" i="3"/>
  <c r="AZ785" i="3"/>
  <c r="AZ825" i="3"/>
  <c r="AZ880" i="3"/>
  <c r="AZ936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2" i="3"/>
  <c r="AZ940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4" i="3"/>
  <c r="AZ260" i="3"/>
  <c r="AZ339" i="3"/>
  <c r="AZ435" i="3"/>
  <c r="AZ722" i="3"/>
  <c r="AZ902" i="3"/>
  <c r="AZ261" i="3"/>
  <c r="AZ297" i="3"/>
  <c r="AZ340" i="3"/>
  <c r="AZ452" i="3"/>
  <c r="AZ499" i="3"/>
  <c r="AZ723" i="3"/>
  <c r="AZ762" i="3"/>
  <c r="AZ797" i="3"/>
  <c r="AZ841" i="3"/>
  <c r="AZ894" i="3"/>
  <c r="AZ1051" i="3"/>
  <c r="AZ1003" i="3"/>
  <c r="Z959" i="3"/>
  <c r="Z1219" i="3"/>
  <c r="Z934" i="3"/>
  <c r="Z1204" i="3"/>
  <c r="Z975" i="3"/>
  <c r="Z1072" i="3"/>
  <c r="Z949" i="3"/>
  <c r="Z1052" i="3"/>
  <c r="Z1000" i="3"/>
  <c r="Z1250" i="3"/>
  <c r="Z1255" i="3"/>
  <c r="Z960" i="3"/>
  <c r="Z1038" i="3"/>
  <c r="Z978" i="3"/>
  <c r="Z1224" i="3"/>
  <c r="Z1094" i="3"/>
  <c r="Z1244" i="3"/>
  <c r="Z1241" i="3"/>
  <c r="Z1238" i="3"/>
  <c r="Z1036" i="3"/>
  <c r="Z1221" i="3"/>
  <c r="Z1081" i="3"/>
  <c r="Z1114" i="3"/>
  <c r="Z1210" i="3"/>
  <c r="Z1195" i="3"/>
  <c r="Z998" i="3"/>
  <c r="Z1151" i="3"/>
  <c r="Z1180" i="3"/>
  <c r="Z918" i="3"/>
  <c r="Z905" i="3"/>
  <c r="Z889" i="3"/>
  <c r="Z1269" i="3"/>
  <c r="V138" i="122"/>
  <c r="Z1070" i="3"/>
  <c r="Z957" i="3"/>
  <c r="Z1009" i="3"/>
  <c r="Z914" i="3"/>
  <c r="X92" i="122"/>
  <c r="Z937" i="3"/>
  <c r="Z941" i="3"/>
  <c r="Z952" i="3"/>
  <c r="X950" i="3"/>
  <c r="AZ196" i="3"/>
  <c r="AZ256" i="3"/>
  <c r="AZ272" i="3"/>
  <c r="AZ394" i="3"/>
  <c r="AZ425" i="3"/>
  <c r="AZ441" i="3"/>
  <c r="AZ457" i="3"/>
  <c r="AZ505" i="3"/>
  <c r="AZ633" i="3"/>
  <c r="AZ759" i="3"/>
  <c r="AZ904" i="3"/>
  <c r="AZ969" i="3"/>
  <c r="AZ1184" i="3"/>
  <c r="AZ1200" i="3"/>
  <c r="AZ1012" i="3"/>
  <c r="AZ1220" i="3"/>
  <c r="AZ1148" i="3"/>
  <c r="AZ1255" i="3"/>
  <c r="AZ1228" i="3"/>
  <c r="AZ273" i="3"/>
  <c r="AZ319" i="3"/>
  <c r="AZ426" i="3"/>
  <c r="AZ442" i="3"/>
  <c r="AZ458" i="3"/>
  <c r="AZ506" i="3"/>
  <c r="AZ760" i="3"/>
  <c r="AZ905" i="3"/>
  <c r="AZ970" i="3"/>
  <c r="AZ1185" i="3"/>
  <c r="AZ1201" i="3"/>
  <c r="AZ1221" i="3"/>
  <c r="AZ1021" i="3"/>
  <c r="AZ1257" i="3"/>
  <c r="AZ578" i="3"/>
  <c r="AZ817" i="3"/>
  <c r="AZ962" i="3"/>
  <c r="AZ1241" i="3"/>
  <c r="AZ274" i="3"/>
  <c r="AZ320" i="3"/>
  <c r="AZ427" i="3"/>
  <c r="AZ443" i="3"/>
  <c r="AZ459" i="3"/>
  <c r="AZ555" i="3"/>
  <c r="AZ761" i="3"/>
  <c r="AZ906" i="3"/>
  <c r="AZ1186" i="3"/>
  <c r="AZ1202" i="3"/>
  <c r="AZ1222" i="3"/>
  <c r="AZ1230" i="3"/>
  <c r="AZ1240" i="3"/>
  <c r="AZ1243" i="3"/>
  <c r="AZ1259" i="3"/>
  <c r="AZ656" i="3"/>
  <c r="AZ1213" i="3"/>
  <c r="AZ321" i="3"/>
  <c r="AZ428" i="3"/>
  <c r="AZ444" i="3"/>
  <c r="AZ460" i="3"/>
  <c r="AZ524" i="3"/>
  <c r="AZ556" i="3"/>
  <c r="AZ604" i="3"/>
  <c r="AZ778" i="3"/>
  <c r="AZ907" i="3"/>
  <c r="AZ1187" i="3"/>
  <c r="AZ1223" i="3"/>
  <c r="AZ1231" i="3"/>
  <c r="AZ1022" i="3"/>
  <c r="AZ1264" i="3"/>
  <c r="AZ327" i="3"/>
  <c r="AZ530" i="3"/>
  <c r="AZ1177" i="3"/>
  <c r="AZ276" i="3"/>
  <c r="AZ429" i="3"/>
  <c r="AZ461" i="3"/>
  <c r="AZ525" i="3"/>
  <c r="AZ557" i="3"/>
  <c r="AZ605" i="3"/>
  <c r="AZ779" i="3"/>
  <c r="AZ908" i="3"/>
  <c r="AZ1112" i="3"/>
  <c r="AZ1188" i="3"/>
  <c r="AZ1203" i="3"/>
  <c r="AZ1039" i="3"/>
  <c r="AZ1224" i="3"/>
  <c r="AZ1233" i="3"/>
  <c r="AZ921" i="3"/>
  <c r="AZ1265" i="3"/>
  <c r="AZ466" i="3"/>
  <c r="AZ1208" i="3"/>
  <c r="AZ221" i="3"/>
  <c r="AZ323" i="3"/>
  <c r="AZ526" i="3"/>
  <c r="AZ574" i="3"/>
  <c r="AZ606" i="3"/>
  <c r="AZ684" i="3"/>
  <c r="AZ780" i="3"/>
  <c r="AZ813" i="3"/>
  <c r="AZ909" i="3"/>
  <c r="AZ913" i="3"/>
  <c r="AZ1173" i="3"/>
  <c r="AZ1189" i="3"/>
  <c r="AZ1204" i="3"/>
  <c r="AZ1040" i="3"/>
  <c r="AZ1225" i="3"/>
  <c r="AZ1234" i="3"/>
  <c r="AZ1007" i="3"/>
  <c r="AZ1010" i="3"/>
  <c r="AZ1267" i="3"/>
  <c r="AZ278" i="3"/>
  <c r="AZ324" i="3"/>
  <c r="AZ559" i="3"/>
  <c r="AZ575" i="3"/>
  <c r="AZ607" i="3"/>
  <c r="AZ685" i="3"/>
  <c r="AZ814" i="3"/>
  <c r="AZ910" i="3"/>
  <c r="AZ914" i="3"/>
  <c r="AZ1174" i="3"/>
  <c r="AZ1190" i="3"/>
  <c r="AZ1205" i="3"/>
  <c r="AZ1081" i="3"/>
  <c r="AZ1226" i="3"/>
  <c r="AZ1235" i="3"/>
  <c r="AZ1133" i="3"/>
  <c r="AZ1027" i="3"/>
  <c r="AZ626" i="3"/>
  <c r="AZ736" i="3"/>
  <c r="AZ1246" i="3"/>
  <c r="AZ223" i="3"/>
  <c r="AZ279" i="3"/>
  <c r="AZ325" i="3"/>
  <c r="AZ464" i="3"/>
  <c r="AZ560" i="3"/>
  <c r="AZ576" i="3"/>
  <c r="AZ654" i="3"/>
  <c r="AZ686" i="3"/>
  <c r="AZ815" i="3"/>
  <c r="AZ911" i="3"/>
  <c r="AZ974" i="3"/>
  <c r="AZ1175" i="3"/>
  <c r="AZ1191" i="3"/>
  <c r="AZ1206" i="3"/>
  <c r="AZ1113" i="3"/>
  <c r="AZ1227" i="3"/>
  <c r="AZ1111" i="3"/>
  <c r="AZ1057" i="3"/>
  <c r="AZ688" i="3"/>
  <c r="AZ916" i="3"/>
  <c r="AZ1236" i="3"/>
  <c r="AZ224" i="3"/>
  <c r="AZ326" i="3"/>
  <c r="AZ465" i="3"/>
  <c r="AZ561" i="3"/>
  <c r="AZ577" i="3"/>
  <c r="AZ655" i="3"/>
  <c r="AZ687" i="3"/>
  <c r="AZ816" i="3"/>
  <c r="AZ912" i="3"/>
  <c r="AZ961" i="3"/>
  <c r="AZ915" i="3"/>
  <c r="AZ1176" i="3"/>
  <c r="AZ1207" i="3"/>
  <c r="AZ1212" i="3"/>
  <c r="AZ1244" i="3"/>
  <c r="AZ1268" i="3"/>
  <c r="AZ1269" i="3"/>
  <c r="AZ531" i="3"/>
  <c r="AZ627" i="3"/>
  <c r="AZ855" i="3"/>
  <c r="AZ903" i="3"/>
  <c r="AZ963" i="3"/>
  <c r="AZ1199" i="3"/>
  <c r="AZ226" i="3"/>
  <c r="AZ818" i="3"/>
  <c r="AZ190" i="3"/>
  <c r="AZ964" i="3"/>
  <c r="AZ1151" i="3"/>
  <c r="AZ1114" i="3"/>
  <c r="AZ191" i="3"/>
  <c r="AZ455" i="3"/>
  <c r="AZ629" i="3"/>
  <c r="AZ965" i="3"/>
  <c r="AZ1209" i="3"/>
  <c r="AZ195" i="3"/>
  <c r="AZ469" i="3"/>
  <c r="AZ192" i="3"/>
  <c r="AZ456" i="3"/>
  <c r="AZ966" i="3"/>
  <c r="AZ1178" i="3"/>
  <c r="AZ1210" i="3"/>
  <c r="AZ1072" i="3"/>
  <c r="AZ269" i="3"/>
  <c r="AZ757" i="3"/>
  <c r="AZ1238" i="3"/>
  <c r="AZ1195" i="3"/>
  <c r="AZ631" i="3"/>
  <c r="AZ967" i="3"/>
  <c r="AZ1179" i="3"/>
  <c r="AZ1229" i="3"/>
  <c r="AZ501" i="3"/>
  <c r="AZ1183" i="3"/>
  <c r="AZ756" i="3"/>
  <c r="AZ317" i="3"/>
  <c r="AZ632" i="3"/>
  <c r="AZ968" i="3"/>
  <c r="AZ1180" i="3"/>
  <c r="AZ1011" i="3"/>
  <c r="AZ972" i="3"/>
  <c r="AZ373" i="3"/>
  <c r="AZ706" i="3"/>
  <c r="AZ486" i="3"/>
  <c r="AZ850" i="3"/>
  <c r="AZ193" i="3"/>
  <c r="AZ467" i="3"/>
  <c r="AZ737" i="3"/>
  <c r="AZ1181" i="3"/>
  <c r="AZ1211" i="3"/>
  <c r="AZ1037" i="3"/>
  <c r="AZ917" i="3"/>
  <c r="AZ502" i="3"/>
  <c r="AZ194" i="3"/>
  <c r="AZ440" i="3"/>
  <c r="AZ500" i="3"/>
  <c r="AZ689" i="3"/>
  <c r="AZ738" i="3"/>
  <c r="AZ1182" i="3"/>
  <c r="AZ1038" i="3"/>
  <c r="AZ739" i="3"/>
  <c r="AZ374" i="3"/>
  <c r="AZ1062" i="3"/>
  <c r="AZ1214" i="3"/>
  <c r="AZ227" i="3"/>
  <c r="AZ599" i="3"/>
  <c r="AZ918" i="3"/>
  <c r="AZ228" i="3"/>
  <c r="AZ270" i="3"/>
  <c r="AZ375" i="3"/>
  <c r="AZ407" i="3"/>
  <c r="AZ487" i="3"/>
  <c r="AZ503" i="3"/>
  <c r="AZ919" i="3"/>
  <c r="AZ1215" i="3"/>
  <c r="AZ1237" i="3"/>
  <c r="AZ229" i="3"/>
  <c r="AZ254" i="3"/>
  <c r="AZ271" i="3"/>
  <c r="AZ376" i="3"/>
  <c r="AZ408" i="3"/>
  <c r="AZ488" i="3"/>
  <c r="AZ504" i="3"/>
  <c r="AZ758" i="3"/>
  <c r="AZ975" i="3"/>
  <c r="AZ1194" i="3"/>
  <c r="AZ183" i="3"/>
  <c r="AZ255" i="3"/>
  <c r="AZ377" i="3"/>
  <c r="AZ409" i="3"/>
  <c r="AZ424" i="3"/>
  <c r="AZ657" i="3"/>
  <c r="AZ819" i="3"/>
  <c r="AZ851" i="3"/>
  <c r="AZ1239" i="3"/>
  <c r="AZ184" i="3"/>
  <c r="AZ393" i="3"/>
  <c r="AZ658" i="3"/>
  <c r="AZ820" i="3"/>
  <c r="AZ852" i="3"/>
  <c r="AZ1196" i="3"/>
  <c r="AZ1251" i="3"/>
  <c r="AZ659" i="3"/>
  <c r="AZ821" i="3"/>
  <c r="AZ853" i="3"/>
  <c r="AZ854" i="3"/>
  <c r="AZ1198" i="3"/>
  <c r="AZ185" i="3"/>
  <c r="AZ1197" i="3"/>
  <c r="AZ822" i="3"/>
  <c r="W1219" i="3"/>
  <c r="X797" i="3"/>
  <c r="X1003" i="3"/>
  <c r="I141" i="122"/>
  <c r="W1148" i="3"/>
  <c r="X866" i="3"/>
  <c r="W993" i="3"/>
  <c r="Z1088" i="3"/>
  <c r="Z1056" i="3"/>
  <c r="Z981" i="3"/>
  <c r="X1017" i="3"/>
  <c r="Z1017" i="3"/>
  <c r="W779" i="3"/>
  <c r="W915" i="3"/>
  <c r="H141" i="122"/>
  <c r="X792" i="3"/>
  <c r="X870" i="3"/>
  <c r="W138" i="122"/>
  <c r="W816" i="3"/>
  <c r="Z931" i="3"/>
  <c r="Z1006" i="3"/>
  <c r="X818" i="3"/>
  <c r="Z1027" i="3"/>
  <c r="X783" i="3"/>
  <c r="W890" i="3"/>
  <c r="F95" i="122"/>
  <c r="AE83" i="122"/>
  <c r="H121" i="122"/>
  <c r="W888" i="3"/>
  <c r="W833" i="3"/>
  <c r="X872" i="3"/>
  <c r="E75" i="122"/>
  <c r="K141" i="122"/>
  <c r="AE129" i="122"/>
  <c r="W871" i="3"/>
  <c r="L121" i="122"/>
  <c r="F121" i="122"/>
  <c r="F141" i="122"/>
  <c r="G141" i="122"/>
  <c r="W761" i="3"/>
  <c r="W909" i="3"/>
  <c r="W698" i="3"/>
  <c r="W616" i="3"/>
  <c r="X698" i="3"/>
  <c r="X644" i="3"/>
  <c r="X834" i="3"/>
  <c r="W846" i="3"/>
  <c r="AE109" i="122"/>
  <c r="X1052" i="3"/>
  <c r="X1094" i="3"/>
  <c r="G95" i="122"/>
  <c r="W718" i="3"/>
  <c r="W660" i="3"/>
  <c r="W600" i="3"/>
  <c r="W612" i="3"/>
  <c r="W535" i="3"/>
  <c r="W532" i="3"/>
  <c r="W529" i="3"/>
  <c r="X619" i="3"/>
  <c r="S141" i="122"/>
  <c r="X853" i="3"/>
  <c r="X846" i="3"/>
  <c r="E49" i="122"/>
  <c r="I121" i="122"/>
  <c r="K121" i="122"/>
  <c r="E141" i="122"/>
  <c r="X1068" i="3"/>
  <c r="X946" i="3"/>
  <c r="X1148" i="3"/>
  <c r="X826" i="3"/>
  <c r="X614" i="3"/>
  <c r="X787" i="3"/>
  <c r="W731" i="3"/>
  <c r="X1217" i="3"/>
  <c r="W837" i="3"/>
  <c r="X837" i="3"/>
  <c r="X638" i="3"/>
  <c r="W619" i="3"/>
  <c r="X731" i="3"/>
  <c r="X938" i="3"/>
  <c r="X1072" i="3"/>
  <c r="W1091" i="3"/>
  <c r="X939" i="3"/>
  <c r="X1091" i="3"/>
  <c r="W862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51" i="3"/>
  <c r="Z967" i="3"/>
  <c r="Z962" i="3"/>
  <c r="Z961" i="3"/>
  <c r="X95" i="122"/>
  <c r="W141" i="122"/>
  <c r="W703" i="3"/>
  <c r="I140" i="122"/>
  <c r="W1006" i="3"/>
  <c r="W707" i="3"/>
  <c r="W910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74" i="3"/>
  <c r="X668" i="3"/>
  <c r="X621" i="3"/>
  <c r="X488" i="3"/>
  <c r="U141" i="122"/>
  <c r="W922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09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217" i="3"/>
  <c r="X727" i="3"/>
  <c r="W884" i="3"/>
  <c r="X915" i="3"/>
  <c r="G140" i="122"/>
  <c r="W934" i="3"/>
  <c r="X1070" i="3"/>
  <c r="X75" i="122"/>
  <c r="X141" i="122"/>
  <c r="Z946" i="3"/>
  <c r="Z1134" i="3"/>
  <c r="Z923" i="3"/>
  <c r="V141" i="122"/>
  <c r="V140" i="122"/>
  <c r="U140" i="122"/>
  <c r="X140" i="122"/>
  <c r="W880" i="3"/>
  <c r="I138" i="122"/>
  <c r="W726" i="3"/>
  <c r="W903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74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3" i="3"/>
  <c r="X598" i="3"/>
  <c r="X512" i="3"/>
  <c r="X491" i="3"/>
  <c r="X469" i="3"/>
  <c r="W140" i="122"/>
  <c r="X1059" i="3"/>
  <c r="X934" i="3"/>
  <c r="W987" i="3"/>
  <c r="X1090" i="3"/>
  <c r="X971" i="3"/>
  <c r="X1133" i="3"/>
  <c r="W1022" i="3"/>
  <c r="U20" i="122"/>
  <c r="X324" i="3"/>
  <c r="X246" i="3"/>
  <c r="X243" i="3"/>
  <c r="X245" i="3"/>
  <c r="X248" i="3"/>
  <c r="X247" i="3"/>
  <c r="X241" i="3"/>
  <c r="X215" i="3"/>
  <c r="W736" i="3"/>
  <c r="W702" i="3"/>
  <c r="W734" i="3"/>
  <c r="W721" i="3"/>
  <c r="W747" i="3"/>
  <c r="W764" i="3"/>
  <c r="W609" i="3"/>
  <c r="W674" i="3"/>
  <c r="W635" i="3"/>
  <c r="W907" i="3"/>
  <c r="W759" i="3"/>
  <c r="W765" i="3"/>
  <c r="W713" i="3"/>
  <c r="W912" i="3"/>
  <c r="W964" i="3"/>
  <c r="W651" i="3"/>
  <c r="W786" i="3"/>
  <c r="W679" i="3"/>
  <c r="W673" i="3"/>
  <c r="W661" i="3"/>
  <c r="W875" i="3"/>
  <c r="W876" i="3"/>
  <c r="W790" i="3"/>
  <c r="W693" i="3"/>
  <c r="W641" i="3"/>
  <c r="W694" i="3"/>
  <c r="W646" i="3"/>
  <c r="W643" i="3"/>
  <c r="W878" i="3"/>
  <c r="W767" i="3"/>
  <c r="W689" i="3"/>
  <c r="W904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7" i="3"/>
  <c r="X759" i="3"/>
  <c r="X765" i="3"/>
  <c r="X713" i="3"/>
  <c r="X912" i="3"/>
  <c r="X964" i="3"/>
  <c r="X786" i="3"/>
  <c r="X875" i="3"/>
  <c r="X876" i="3"/>
  <c r="X724" i="3"/>
  <c r="X790" i="3"/>
  <c r="X878" i="3"/>
  <c r="X689" i="3"/>
  <c r="X904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0" i="3"/>
  <c r="V903" i="3"/>
  <c r="V828" i="3"/>
  <c r="V696" i="3"/>
  <c r="V663" i="3"/>
  <c r="V703" i="3"/>
  <c r="V711" i="3"/>
  <c r="V704" i="3"/>
  <c r="V864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69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5" i="3"/>
  <c r="X855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3" i="3"/>
  <c r="X883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74" i="3"/>
  <c r="W685" i="3"/>
  <c r="X685" i="3"/>
  <c r="W678" i="3"/>
  <c r="X678" i="3"/>
  <c r="W781" i="3"/>
  <c r="X781" i="3"/>
  <c r="W955" i="3"/>
  <c r="X955" i="3"/>
  <c r="W770" i="3"/>
  <c r="X770" i="3"/>
  <c r="W771" i="3"/>
  <c r="X771" i="3"/>
  <c r="W807" i="3"/>
  <c r="X807" i="3"/>
  <c r="W926" i="3"/>
  <c r="X926" i="3"/>
  <c r="W1051" i="3"/>
  <c r="X1051" i="3"/>
  <c r="W852" i="3"/>
  <c r="X852" i="3"/>
  <c r="P88" i="122" s="1"/>
  <c r="W821" i="3"/>
  <c r="X821" i="3"/>
  <c r="W850" i="3"/>
  <c r="X850" i="3"/>
  <c r="W800" i="3"/>
  <c r="X800" i="3"/>
  <c r="V1216" i="3"/>
  <c r="W809" i="3"/>
  <c r="X809" i="3"/>
  <c r="W794" i="3"/>
  <c r="X794" i="3"/>
  <c r="W739" i="3"/>
  <c r="X739" i="3"/>
  <c r="V717" i="3"/>
  <c r="W738" i="3"/>
  <c r="X738" i="3"/>
  <c r="W737" i="3"/>
  <c r="X737" i="3"/>
  <c r="V730" i="3"/>
  <c r="W712" i="3"/>
  <c r="X712" i="3"/>
  <c r="W725" i="3"/>
  <c r="X725" i="3"/>
  <c r="W1011" i="3"/>
  <c r="X1011" i="3"/>
  <c r="V822" i="3"/>
  <c r="V782" i="3"/>
  <c r="W882" i="3"/>
  <c r="X882" i="3"/>
  <c r="W788" i="3"/>
  <c r="X788" i="3"/>
  <c r="W763" i="3"/>
  <c r="X763" i="3"/>
  <c r="W714" i="3"/>
  <c r="X714" i="3"/>
  <c r="X700" i="3"/>
  <c r="W700" i="3"/>
  <c r="X748" i="3"/>
  <c r="W748" i="3"/>
  <c r="W854" i="3"/>
  <c r="X854" i="3"/>
  <c r="W847" i="3"/>
  <c r="X847" i="3"/>
  <c r="V740" i="3"/>
  <c r="W760" i="3"/>
  <c r="X760" i="3"/>
  <c r="V823" i="3"/>
  <c r="W877" i="3"/>
  <c r="X877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8" i="3"/>
  <c r="W858" i="3"/>
  <c r="X856" i="3"/>
  <c r="W856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2" i="3"/>
  <c r="X892" i="3"/>
  <c r="W865" i="3"/>
  <c r="X865" i="3"/>
  <c r="V995" i="3"/>
  <c r="V1113" i="3"/>
  <c r="V1081" i="3"/>
  <c r="V1040" i="3"/>
  <c r="V1114" i="3"/>
  <c r="X924" i="3"/>
  <c r="X902" i="3"/>
  <c r="X930" i="3"/>
  <c r="V945" i="3"/>
  <c r="V994" i="3"/>
  <c r="W953" i="3"/>
  <c r="X953" i="3"/>
  <c r="W1035" i="3"/>
  <c r="X1035" i="3"/>
  <c r="W1036" i="3"/>
  <c r="X1036" i="3"/>
  <c r="W824" i="3"/>
  <c r="X824" i="3"/>
  <c r="W936" i="3"/>
  <c r="X936" i="3"/>
  <c r="V867" i="3"/>
  <c r="W840" i="3"/>
  <c r="X840" i="3"/>
  <c r="V915" i="3"/>
  <c r="V816" i="3"/>
  <c r="W766" i="3"/>
  <c r="X766" i="3"/>
  <c r="W777" i="3"/>
  <c r="X777" i="3"/>
  <c r="W859" i="3"/>
  <c r="X859" i="3"/>
  <c r="X1005" i="3"/>
  <c r="X1002" i="3"/>
  <c r="W715" i="3"/>
  <c r="X715" i="3"/>
  <c r="X819" i="3"/>
  <c r="W819" i="3"/>
  <c r="W802" i="3"/>
  <c r="X802" i="3"/>
  <c r="W791" i="3"/>
  <c r="X791" i="3"/>
  <c r="W795" i="3"/>
  <c r="X795" i="3"/>
  <c r="W797" i="3"/>
  <c r="X888" i="3"/>
  <c r="X960" i="3"/>
  <c r="X958" i="3"/>
  <c r="X933" i="3"/>
  <c r="W815" i="3"/>
  <c r="X815" i="3"/>
  <c r="W919" i="3"/>
  <c r="X919" i="3"/>
  <c r="W834" i="3"/>
  <c r="W792" i="3"/>
  <c r="X832" i="3"/>
  <c r="W832" i="3"/>
  <c r="X895" i="3"/>
  <c r="X897" i="3"/>
  <c r="W860" i="3"/>
  <c r="W835" i="3"/>
  <c r="X835" i="3"/>
  <c r="X917" i="3"/>
  <c r="W917" i="3"/>
  <c r="W851" i="3"/>
  <c r="W916" i="3"/>
  <c r="X916" i="3"/>
  <c r="W808" i="3"/>
  <c r="X808" i="3"/>
  <c r="X1001" i="3"/>
  <c r="X977" i="3"/>
  <c r="V826" i="3"/>
  <c r="W861" i="3"/>
  <c r="X861" i="3"/>
  <c r="W887" i="3"/>
  <c r="X887" i="3"/>
  <c r="W853" i="3"/>
  <c r="W886" i="3"/>
  <c r="X886" i="3"/>
  <c r="W908" i="3"/>
  <c r="X908" i="3"/>
  <c r="W804" i="3"/>
  <c r="X949" i="3"/>
  <c r="X891" i="3"/>
  <c r="X942" i="3"/>
  <c r="W932" i="3"/>
  <c r="X932" i="3"/>
  <c r="W970" i="3"/>
  <c r="X970" i="3"/>
  <c r="V988" i="3"/>
  <c r="X957" i="3"/>
  <c r="W1070" i="3"/>
  <c r="V1068" i="3"/>
  <c r="V1090" i="3"/>
  <c r="W889" i="3"/>
  <c r="X889" i="3"/>
  <c r="W901" i="3"/>
  <c r="X901" i="3"/>
  <c r="W900" i="3"/>
  <c r="X900" i="3"/>
  <c r="W898" i="3"/>
  <c r="X898" i="3"/>
  <c r="W896" i="3"/>
  <c r="X896" i="3"/>
  <c r="W872" i="3"/>
  <c r="W870" i="3"/>
  <c r="W918" i="3"/>
  <c r="X918" i="3"/>
  <c r="W914" i="3"/>
  <c r="X914" i="3"/>
  <c r="W954" i="3"/>
  <c r="X954" i="3"/>
  <c r="X959" i="3"/>
  <c r="W905" i="3"/>
  <c r="X905" i="3"/>
  <c r="X952" i="3"/>
  <c r="W975" i="3"/>
  <c r="X975" i="3"/>
  <c r="W868" i="3"/>
  <c r="X868" i="3"/>
  <c r="X937" i="3"/>
  <c r="X925" i="3"/>
  <c r="X1006" i="3"/>
  <c r="X967" i="3"/>
  <c r="X961" i="3"/>
  <c r="W961" i="3"/>
  <c r="W879" i="3"/>
  <c r="X879" i="3"/>
  <c r="W962" i="3"/>
  <c r="X923" i="3"/>
  <c r="X314" i="3"/>
  <c r="X365" i="3"/>
  <c r="X265" i="3"/>
  <c r="F25" i="122"/>
  <c r="AH100" i="122"/>
  <c r="K138" i="122"/>
  <c r="G138" i="122"/>
  <c r="E72" i="122"/>
  <c r="D138" i="122"/>
  <c r="H138" i="122"/>
  <c r="L140" i="122"/>
  <c r="I120" i="122"/>
  <c r="AH132" i="122"/>
  <c r="J140" i="122"/>
  <c r="G120" i="122"/>
  <c r="AH136" i="122"/>
  <c r="H120" i="122"/>
  <c r="AH62" i="122"/>
  <c r="H140" i="122"/>
  <c r="AH104" i="122"/>
  <c r="AH102" i="122"/>
  <c r="AH122" i="122"/>
  <c r="L138" i="122"/>
  <c r="AH124" i="122"/>
  <c r="K118" i="122"/>
  <c r="H118" i="122"/>
  <c r="E118" i="122"/>
  <c r="AH130" i="122"/>
  <c r="AH134" i="122"/>
  <c r="E46" i="122"/>
  <c r="G118" i="122"/>
  <c r="L118" i="122"/>
  <c r="J138" i="122"/>
  <c r="AH18" i="122"/>
  <c r="AH80" i="122"/>
  <c r="AH88" i="122"/>
  <c r="G92" i="122"/>
  <c r="AH60" i="122"/>
  <c r="AH82" i="122"/>
  <c r="E95" i="122"/>
  <c r="E92" i="122"/>
  <c r="F92" i="122"/>
  <c r="X682" i="3"/>
  <c r="X655" i="3"/>
  <c r="X599" i="3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H32" i="122"/>
  <c r="F22" i="122"/>
  <c r="F46" i="122"/>
  <c r="AH30" i="122"/>
  <c r="X1027" i="3"/>
  <c r="X1114" i="3"/>
  <c r="X994" i="3"/>
  <c r="X660" i="3"/>
  <c r="X597" i="3"/>
  <c r="W683" i="3"/>
  <c r="X672" i="3"/>
  <c r="X623" i="3"/>
  <c r="AH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45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H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021" i="3"/>
  <c r="W1111" i="3"/>
  <c r="X988" i="3"/>
  <c r="W1068" i="3"/>
  <c r="W755" i="3"/>
  <c r="W818" i="3"/>
  <c r="X816" i="3"/>
  <c r="X1040" i="3"/>
  <c r="X1039" i="3"/>
  <c r="X963" i="3"/>
  <c r="X972" i="3"/>
  <c r="S67" i="122" s="1"/>
  <c r="W893" i="3"/>
  <c r="X1007" i="3"/>
  <c r="X1111" i="3"/>
  <c r="X1038" i="3"/>
  <c r="X1022" i="3"/>
  <c r="X941" i="3"/>
  <c r="X862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H108" i="122"/>
  <c r="X769" i="3"/>
  <c r="X663" i="3"/>
  <c r="X814" i="3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W826" i="3"/>
  <c r="X1031" i="3"/>
  <c r="X869" i="3"/>
  <c r="X779" i="3"/>
  <c r="X1113" i="3"/>
  <c r="X857" i="3"/>
  <c r="W944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0" i="3"/>
  <c r="W752" i="3"/>
  <c r="W1114" i="3"/>
  <c r="X922" i="3"/>
  <c r="X885" i="3"/>
  <c r="W945" i="3"/>
  <c r="W994" i="3"/>
  <c r="X944" i="3"/>
  <c r="W806" i="3"/>
  <c r="X920" i="3"/>
  <c r="W842" i="3"/>
  <c r="X1057" i="3"/>
  <c r="W1031" i="3"/>
  <c r="X993" i="3"/>
  <c r="X978" i="3"/>
  <c r="AH128" i="122"/>
  <c r="S140" i="122"/>
  <c r="AC82" i="122"/>
  <c r="E94" i="122"/>
  <c r="AD82" i="122"/>
  <c r="W931" i="3"/>
  <c r="X931" i="3"/>
  <c r="J20" i="122"/>
  <c r="AH20" i="122" s="1"/>
  <c r="S138" i="122"/>
  <c r="AH126" i="122"/>
  <c r="U1182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1" i="3"/>
  <c r="X706" i="3"/>
  <c r="W843" i="3"/>
  <c r="W730" i="3"/>
  <c r="W811" i="3"/>
  <c r="X752" i="3"/>
  <c r="W995" i="3"/>
  <c r="W1113" i="3"/>
  <c r="W1040" i="3"/>
  <c r="W881" i="3"/>
  <c r="X867" i="3"/>
  <c r="U1220" i="3" a="1"/>
  <c r="U1211" i="3" a="1"/>
  <c r="U1176" i="3" a="1"/>
  <c r="U1209" i="3" a="1"/>
  <c r="U841" i="3" a="1"/>
  <c r="U1228" i="3" a="1"/>
  <c r="X590" i="3"/>
  <c r="X587" i="3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69" i="3"/>
  <c r="X585" i="3"/>
  <c r="X622" i="3"/>
  <c r="X653" i="3"/>
  <c r="X690" i="3"/>
  <c r="W666" i="3"/>
  <c r="X489" i="3"/>
  <c r="X688" i="3"/>
  <c r="X849" i="3"/>
  <c r="X1216" i="3"/>
  <c r="W823" i="3"/>
  <c r="X831" i="3"/>
  <c r="X995" i="3"/>
  <c r="W1081" i="3"/>
  <c r="W885" i="3"/>
  <c r="X749" i="3"/>
  <c r="X618" i="3"/>
  <c r="W637" i="3"/>
  <c r="X617" i="3"/>
  <c r="X615" i="3"/>
  <c r="W647" i="3"/>
  <c r="W706" i="3"/>
  <c r="X666" i="3"/>
  <c r="X468" i="3"/>
  <c r="W906" i="3"/>
  <c r="X744" i="3"/>
  <c r="W745" i="3"/>
  <c r="X823" i="3"/>
  <c r="X1081" i="3"/>
  <c r="U36" i="122"/>
  <c r="U1037" i="3" a="1"/>
  <c r="O36" i="66" a="1"/>
  <c r="U1184" i="3" a="1"/>
  <c r="U1233" i="3" a="1"/>
  <c r="U1243" i="3" a="1"/>
  <c r="U1190" i="3" a="1"/>
  <c r="U1194" i="3" a="1"/>
  <c r="U1198" i="3" a="1"/>
  <c r="U829" i="3" a="1"/>
  <c r="U1235" i="3" a="1"/>
  <c r="U634" i="3" a="1"/>
  <c r="U1241" i="3" a="1"/>
  <c r="U1205" i="3" a="1"/>
  <c r="U1226" i="3" a="1"/>
  <c r="U1229" i="3" a="1"/>
  <c r="U1197" i="3" a="1"/>
  <c r="U1213" i="3" a="1"/>
  <c r="U1210" i="3" a="1"/>
  <c r="AH106" i="122"/>
  <c r="U1222" i="3" a="1"/>
  <c r="U968" i="3" a="1"/>
  <c r="U1206" i="3" a="1"/>
  <c r="U1199" i="3" a="1"/>
  <c r="U1183" i="3" a="1"/>
  <c r="U1221" i="3" a="1"/>
  <c r="U188" i="3" a="1"/>
  <c r="U1202" i="3" a="1"/>
  <c r="L120" i="122"/>
  <c r="K140" i="122"/>
  <c r="U1187" i="3" a="1"/>
  <c r="U1203" i="3" a="1"/>
  <c r="U1185" i="3" a="1"/>
  <c r="U1200" i="3" a="1"/>
  <c r="E48" i="122"/>
  <c r="AE80" i="122"/>
  <c r="K120" i="122"/>
  <c r="F94" i="122"/>
  <c r="F120" i="122"/>
  <c r="F48" i="122"/>
  <c r="G94" i="122"/>
  <c r="U1238" i="3" a="1"/>
  <c r="U1234" i="3" a="1"/>
  <c r="U301" i="3" a="1"/>
  <c r="U357" i="3" a="1"/>
  <c r="U1192" i="3" a="1"/>
  <c r="U1174" i="3" a="1"/>
  <c r="U475" i="3" a="1"/>
  <c r="U1188" i="3" a="1"/>
  <c r="U1173" i="3" a="1"/>
  <c r="U1186" i="3" a="1"/>
  <c r="U1204" i="3" a="1"/>
  <c r="X718" i="3"/>
  <c r="X665" i="3"/>
  <c r="X581" i="3"/>
  <c r="W627" i="3"/>
  <c r="X627" i="3"/>
  <c r="W604" i="3"/>
  <c r="X604" i="3"/>
  <c r="E74" i="122"/>
  <c r="AH90" i="122"/>
  <c r="W798" i="3"/>
  <c r="X798" i="3"/>
  <c r="W822" i="3"/>
  <c r="X822" i="3"/>
  <c r="W723" i="3"/>
  <c r="X723" i="3"/>
  <c r="J141" i="122"/>
  <c r="W965" i="3"/>
  <c r="Q56" i="66"/>
  <c r="Q36" i="66"/>
  <c r="R36" i="66"/>
  <c r="Q20" i="66"/>
  <c r="R56" i="66"/>
  <c r="R20" i="66"/>
  <c r="R33" i="66"/>
  <c r="U1212" i="3" a="1"/>
  <c r="U1193" i="3" a="1"/>
  <c r="U190" i="3" a="1"/>
  <c r="U1178" i="3" a="1"/>
  <c r="U1227" i="3" a="1"/>
  <c r="U1112" i="3" a="1"/>
  <c r="U1239" i="3" a="1"/>
  <c r="U1225" i="3" a="1"/>
  <c r="U1215" i="3" a="1"/>
  <c r="U1201" i="3" a="1"/>
  <c r="U1223" i="3" a="1"/>
  <c r="U911" i="3" a="1"/>
  <c r="U1189" i="3" a="1"/>
  <c r="F128" i="122"/>
  <c r="AD128" i="122" s="1"/>
  <c r="F138" i="122"/>
  <c r="E124" i="122"/>
  <c r="E138" i="122"/>
  <c r="AE126" i="122"/>
  <c r="E108" i="122"/>
  <c r="AE106" i="122"/>
  <c r="F118" i="122"/>
  <c r="G121" i="122"/>
  <c r="L141" i="122"/>
  <c r="U1207" i="3" a="1"/>
  <c r="U1191" i="3" a="1"/>
  <c r="U214" i="3" a="1"/>
  <c r="U1179" i="3" a="1"/>
  <c r="U1208" i="3" a="1"/>
  <c r="U1181" i="3" a="1"/>
  <c r="U1175" i="3" a="1"/>
  <c r="U1195" i="3" a="1"/>
  <c r="U1180" i="3" a="1"/>
  <c r="U1218" i="3" a="1"/>
  <c r="U487" i="3" a="1"/>
  <c r="U1224" i="3" a="1"/>
  <c r="U1196" i="3" a="1"/>
  <c r="U421" i="3" a="1"/>
  <c r="U1214" i="3" a="1"/>
  <c r="U1177" i="3" a="1"/>
  <c r="U1237" i="3" a="1"/>
  <c r="U1236" i="3" a="1"/>
  <c r="Q97" i="69"/>
  <c r="AU58" i="70" a="1"/>
  <c r="R76" i="122" l="1"/>
  <c r="R92" i="122" s="1"/>
  <c r="X1297" i="3"/>
  <c r="X1167" i="3"/>
  <c r="Z105" i="122" s="1"/>
  <c r="Z121" i="122" s="1"/>
  <c r="W1167" i="3"/>
  <c r="V1167" i="3"/>
  <c r="X1168" i="3"/>
  <c r="W1168" i="3"/>
  <c r="V1168" i="3"/>
  <c r="Q64" i="122"/>
  <c r="Q66" i="122" s="1"/>
  <c r="Q74" i="122" s="1"/>
  <c r="S9" i="122"/>
  <c r="S25" i="122" s="1"/>
  <c r="S29" i="122"/>
  <c r="J29" i="122"/>
  <c r="V9" i="122"/>
  <c r="V25" i="122" s="1"/>
  <c r="G64" i="122"/>
  <c r="G66" i="122" s="1"/>
  <c r="R29" i="122"/>
  <c r="J26" i="122"/>
  <c r="J28" i="122" s="1"/>
  <c r="Q9" i="122"/>
  <c r="I26" i="122"/>
  <c r="I28" i="122" s="1"/>
  <c r="R26" i="122"/>
  <c r="R28" i="122" s="1"/>
  <c r="Q6" i="122"/>
  <c r="S26" i="122"/>
  <c r="D88" i="122"/>
  <c r="D34" i="122"/>
  <c r="Q67" i="122"/>
  <c r="Q75" i="122" s="1"/>
  <c r="P90" i="122"/>
  <c r="G67" i="122"/>
  <c r="I29" i="122"/>
  <c r="D14" i="122"/>
  <c r="P91" i="122"/>
  <c r="V6" i="122"/>
  <c r="S6" i="122"/>
  <c r="O91" i="122"/>
  <c r="O88" i="122"/>
  <c r="O90" i="122" s="1"/>
  <c r="N33" i="122"/>
  <c r="N30" i="122"/>
  <c r="N32" i="122" s="1"/>
  <c r="H79" i="122"/>
  <c r="H76" i="122"/>
  <c r="H78" i="122" s="1"/>
  <c r="M33" i="122"/>
  <c r="M30" i="122"/>
  <c r="M32" i="122" s="1"/>
  <c r="H29" i="122"/>
  <c r="H26" i="122"/>
  <c r="H28" i="122" s="1"/>
  <c r="P29" i="122"/>
  <c r="P26" i="122"/>
  <c r="J5" i="122"/>
  <c r="J2" i="122"/>
  <c r="J4" i="122" s="1"/>
  <c r="E9" i="122"/>
  <c r="E25" i="122" s="1"/>
  <c r="E6" i="122"/>
  <c r="E22" i="122" s="1"/>
  <c r="G29" i="122"/>
  <c r="G49" i="122" s="1"/>
  <c r="G26" i="122"/>
  <c r="G28" i="122" s="1"/>
  <c r="G48" i="122" s="1"/>
  <c r="M41" i="122"/>
  <c r="M38" i="122"/>
  <c r="M40" i="122" s="1"/>
  <c r="K91" i="122"/>
  <c r="K95" i="122" s="1"/>
  <c r="K88" i="122"/>
  <c r="K90" i="122" s="1"/>
  <c r="R33" i="122"/>
  <c r="R30" i="122"/>
  <c r="R32" i="122" s="1"/>
  <c r="Q17" i="122"/>
  <c r="Q14" i="122"/>
  <c r="Q16" i="122" s="1"/>
  <c r="K9" i="122"/>
  <c r="K6" i="122"/>
  <c r="P105" i="122"/>
  <c r="P102" i="122"/>
  <c r="P104" i="122" s="1"/>
  <c r="M67" i="122"/>
  <c r="M75" i="122" s="1"/>
  <c r="M64" i="122"/>
  <c r="M66" i="122" s="1"/>
  <c r="M74" i="122" s="1"/>
  <c r="T105" i="122"/>
  <c r="T102" i="122"/>
  <c r="K41" i="122"/>
  <c r="K38" i="122"/>
  <c r="K40" i="122" s="1"/>
  <c r="O59" i="122"/>
  <c r="O56" i="122"/>
  <c r="O58" i="122" s="1"/>
  <c r="O101" i="122"/>
  <c r="O121" i="122" s="1"/>
  <c r="O98" i="122"/>
  <c r="L9" i="122"/>
  <c r="L6" i="122"/>
  <c r="L8" i="122" s="1"/>
  <c r="R9" i="122"/>
  <c r="R6" i="122"/>
  <c r="T29" i="122"/>
  <c r="T26" i="122"/>
  <c r="W79" i="122"/>
  <c r="W95" i="122" s="1"/>
  <c r="W76" i="122"/>
  <c r="W78" i="122" s="1"/>
  <c r="W94" i="122" s="1"/>
  <c r="R67" i="122"/>
  <c r="R64" i="122"/>
  <c r="R66" i="122" s="1"/>
  <c r="T67" i="122"/>
  <c r="T64" i="122"/>
  <c r="M5" i="122"/>
  <c r="M2" i="122"/>
  <c r="M4" i="122" s="1"/>
  <c r="H9" i="122"/>
  <c r="H6" i="122"/>
  <c r="H8" i="122" s="1"/>
  <c r="O55" i="122"/>
  <c r="O52" i="122"/>
  <c r="O54" i="122" s="1"/>
  <c r="L21" i="122"/>
  <c r="L18" i="122"/>
  <c r="L20" i="122" s="1"/>
  <c r="H37" i="122"/>
  <c r="H34" i="122"/>
  <c r="H36" i="122" s="1"/>
  <c r="J110" i="122"/>
  <c r="J117" i="122"/>
  <c r="J121" i="122" s="1"/>
  <c r="J114" i="122"/>
  <c r="J118" i="122" s="1"/>
  <c r="AH118" i="122" s="1"/>
  <c r="R125" i="122"/>
  <c r="R122" i="122"/>
  <c r="R124" i="122" s="1"/>
  <c r="H5" i="122"/>
  <c r="H2" i="122"/>
  <c r="H4" i="122" s="1"/>
  <c r="K33" i="122"/>
  <c r="K30" i="122"/>
  <c r="K32" i="122" s="1"/>
  <c r="I37" i="122"/>
  <c r="I34" i="122"/>
  <c r="I36" i="122" s="1"/>
  <c r="G59" i="122"/>
  <c r="G56" i="122"/>
  <c r="G58" i="122" s="1"/>
  <c r="I67" i="122"/>
  <c r="I75" i="122" s="1"/>
  <c r="I64" i="122"/>
  <c r="I66" i="122" s="1"/>
  <c r="I74" i="122" s="1"/>
  <c r="J37" i="122"/>
  <c r="J34" i="122"/>
  <c r="J36" i="122" s="1"/>
  <c r="Q5" i="122"/>
  <c r="Q2" i="122"/>
  <c r="Q29" i="122"/>
  <c r="Q26" i="122"/>
  <c r="Q28" i="122" s="1"/>
  <c r="Q125" i="122"/>
  <c r="Q122" i="122"/>
  <c r="R113" i="122"/>
  <c r="R110" i="122"/>
  <c r="R112" i="122" s="1"/>
  <c r="Q133" i="122"/>
  <c r="Q130" i="122"/>
  <c r="Q132" i="122" s="1"/>
  <c r="N79" i="122"/>
  <c r="N76" i="122"/>
  <c r="N78" i="122" s="1"/>
  <c r="R36" i="122"/>
  <c r="R133" i="122"/>
  <c r="R130" i="122"/>
  <c r="R132" i="122" s="1"/>
  <c r="O125" i="122"/>
  <c r="O122" i="122"/>
  <c r="S59" i="122"/>
  <c r="S56" i="122"/>
  <c r="S58" i="122" s="1"/>
  <c r="Q113" i="122"/>
  <c r="Q110" i="122"/>
  <c r="Q112" i="122" s="1"/>
  <c r="O79" i="122"/>
  <c r="O76" i="122"/>
  <c r="O78" i="122" s="1"/>
  <c r="M9" i="122"/>
  <c r="M6" i="122"/>
  <c r="M8" i="122" s="1"/>
  <c r="R101" i="122"/>
  <c r="R98" i="122"/>
  <c r="M137" i="122"/>
  <c r="M141" i="122" s="1"/>
  <c r="M134" i="122"/>
  <c r="P21" i="122"/>
  <c r="P18" i="122"/>
  <c r="P20" i="122" s="1"/>
  <c r="T125" i="122"/>
  <c r="T141" i="122" s="1"/>
  <c r="AG141" i="122" s="1"/>
  <c r="T122" i="122"/>
  <c r="T124" i="122" s="1"/>
  <c r="T140" i="122" s="1"/>
  <c r="T114" i="122"/>
  <c r="T116" i="122" s="1"/>
  <c r="T117" i="122"/>
  <c r="P125" i="122"/>
  <c r="P141" i="122" s="1"/>
  <c r="P122" i="122"/>
  <c r="Q105" i="122"/>
  <c r="Q102" i="122"/>
  <c r="Q104" i="122" s="1"/>
  <c r="Q37" i="122"/>
  <c r="Q34" i="122"/>
  <c r="Q36" i="122" s="1"/>
  <c r="N125" i="122"/>
  <c r="N141" i="122" s="1"/>
  <c r="N122" i="122"/>
  <c r="N138" i="122" s="1"/>
  <c r="Q101" i="122"/>
  <c r="Q98" i="122"/>
  <c r="N29" i="122"/>
  <c r="N26" i="122"/>
  <c r="N28" i="122" s="1"/>
  <c r="M79" i="122"/>
  <c r="M76" i="122"/>
  <c r="M78" i="122" s="1"/>
  <c r="L67" i="122"/>
  <c r="L64" i="122"/>
  <c r="L66" i="122" s="1"/>
  <c r="M29" i="122"/>
  <c r="M26" i="122"/>
  <c r="M28" i="122" s="1"/>
  <c r="L5" i="122"/>
  <c r="L2" i="122"/>
  <c r="L4" i="122" s="1"/>
  <c r="K67" i="122"/>
  <c r="K75" i="122" s="1"/>
  <c r="K64" i="122"/>
  <c r="K72" i="122" s="1"/>
  <c r="M91" i="122"/>
  <c r="M88" i="122"/>
  <c r="M90" i="122" s="1"/>
  <c r="O137" i="122"/>
  <c r="O134" i="122"/>
  <c r="O136" i="122" s="1"/>
  <c r="P79" i="122"/>
  <c r="P76" i="122"/>
  <c r="P78" i="122" s="1"/>
  <c r="N91" i="122"/>
  <c r="N88" i="122"/>
  <c r="N90" i="122" s="1"/>
  <c r="M105" i="122"/>
  <c r="M121" i="122" s="1"/>
  <c r="M102" i="122"/>
  <c r="M118" i="122" s="1"/>
  <c r="N105" i="122"/>
  <c r="N121" i="122" s="1"/>
  <c r="N102" i="122"/>
  <c r="N104" i="122" s="1"/>
  <c r="N120" i="122" s="1"/>
  <c r="J68" i="122"/>
  <c r="AE68" i="122" s="1"/>
  <c r="J71" i="122"/>
  <c r="AE71" i="122" s="1"/>
  <c r="L59" i="122"/>
  <c r="L56" i="122"/>
  <c r="L58" i="122" s="1"/>
  <c r="K21" i="122"/>
  <c r="K18" i="122"/>
  <c r="K20" i="122" s="1"/>
  <c r="H67" i="122"/>
  <c r="H64" i="122"/>
  <c r="H66" i="122" s="1"/>
  <c r="J9" i="122"/>
  <c r="J6" i="122"/>
  <c r="J8" i="122" s="1"/>
  <c r="H87" i="122"/>
  <c r="AE87" i="122" s="1"/>
  <c r="H84" i="122"/>
  <c r="H86" i="122" s="1"/>
  <c r="P41" i="122"/>
  <c r="P38" i="122"/>
  <c r="P40" i="122" s="1"/>
  <c r="H59" i="122"/>
  <c r="H56" i="122"/>
  <c r="H58" i="122" s="1"/>
  <c r="I41" i="122"/>
  <c r="I38" i="122"/>
  <c r="I40" i="122" s="1"/>
  <c r="O29" i="122"/>
  <c r="O26" i="122"/>
  <c r="O28" i="122" s="1"/>
  <c r="I9" i="122"/>
  <c r="I25" i="122" s="1"/>
  <c r="I6" i="122"/>
  <c r="I8" i="122" s="1"/>
  <c r="I24" i="122" s="1"/>
  <c r="F59" i="122"/>
  <c r="F75" i="122" s="1"/>
  <c r="F56" i="122"/>
  <c r="F72" i="122" s="1"/>
  <c r="J41" i="122"/>
  <c r="J38" i="122"/>
  <c r="J40" i="122" s="1"/>
  <c r="L29" i="122"/>
  <c r="L49" i="122" s="1"/>
  <c r="L26" i="122"/>
  <c r="L46" i="122" s="1"/>
  <c r="L79" i="122"/>
  <c r="L95" i="122" s="1"/>
  <c r="L76" i="122"/>
  <c r="L92" i="122" s="1"/>
  <c r="V67" i="122"/>
  <c r="V64" i="122"/>
  <c r="Q79" i="122"/>
  <c r="Q95" i="122" s="1"/>
  <c r="Q76" i="122"/>
  <c r="U105" i="122"/>
  <c r="U121" i="122" s="1"/>
  <c r="U102" i="122"/>
  <c r="G55" i="122"/>
  <c r="G52" i="122"/>
  <c r="AH52" i="122" s="1"/>
  <c r="J79" i="122"/>
  <c r="J95" i="122" s="1"/>
  <c r="J76" i="122"/>
  <c r="J78" i="122" s="1"/>
  <c r="J94" i="122" s="1"/>
  <c r="O41" i="122"/>
  <c r="O38" i="122"/>
  <c r="O40" i="122" s="1"/>
  <c r="J59" i="122"/>
  <c r="J56" i="122"/>
  <c r="J58" i="122" s="1"/>
  <c r="G9" i="122"/>
  <c r="G25" i="122" s="1"/>
  <c r="G6" i="122"/>
  <c r="G8" i="122" s="1"/>
  <c r="O5" i="122"/>
  <c r="O25" i="122" s="1"/>
  <c r="O2" i="122"/>
  <c r="P37" i="122"/>
  <c r="P34" i="122"/>
  <c r="P36" i="122" s="1"/>
  <c r="P67" i="122"/>
  <c r="P75" i="122" s="1"/>
  <c r="P64" i="122"/>
  <c r="P72" i="122" s="1"/>
  <c r="K29" i="122"/>
  <c r="K26" i="122"/>
  <c r="K28" i="122" s="1"/>
  <c r="P5" i="122"/>
  <c r="P2" i="122"/>
  <c r="P4" i="122" s="1"/>
  <c r="T9" i="122"/>
  <c r="T6" i="122"/>
  <c r="P101" i="122"/>
  <c r="P98" i="122"/>
  <c r="D68" i="122"/>
  <c r="D10" i="122"/>
  <c r="Q41" i="122"/>
  <c r="Q38" i="122"/>
  <c r="Q40" i="122" s="1"/>
  <c r="R41" i="122"/>
  <c r="R38" i="122"/>
  <c r="R40" i="122" s="1"/>
  <c r="S79" i="122"/>
  <c r="S95" i="122" s="1"/>
  <c r="S76" i="122"/>
  <c r="S92" i="122" s="1"/>
  <c r="Q13" i="122"/>
  <c r="AE13" i="122" s="1"/>
  <c r="Q10" i="122"/>
  <c r="Q12" i="122" s="1"/>
  <c r="I79" i="122"/>
  <c r="I95" i="122" s="1"/>
  <c r="I76" i="122"/>
  <c r="I78" i="122" s="1"/>
  <c r="I94" i="122" s="1"/>
  <c r="U67" i="122"/>
  <c r="U75" i="122" s="1"/>
  <c r="U64" i="122"/>
  <c r="U79" i="122"/>
  <c r="U95" i="122" s="1"/>
  <c r="U76" i="122"/>
  <c r="U78" i="122" s="1"/>
  <c r="U94" i="122" s="1"/>
  <c r="D80" i="122"/>
  <c r="D30" i="122"/>
  <c r="D76" i="122"/>
  <c r="D26" i="122"/>
  <c r="S37" i="122"/>
  <c r="S34" i="122"/>
  <c r="S36" i="122" s="1"/>
  <c r="V1313" i="3"/>
  <c r="U1310" i="3" a="1"/>
  <c r="W1308" i="3"/>
  <c r="W1313" i="3"/>
  <c r="V1307" i="3"/>
  <c r="W1307" i="3"/>
  <c r="X1307" i="3"/>
  <c r="X1249" i="3"/>
  <c r="X1299" i="3"/>
  <c r="X1153" i="3"/>
  <c r="W1153" i="3"/>
  <c r="V1153" i="3"/>
  <c r="V1155" i="3"/>
  <c r="X1162" i="3"/>
  <c r="W1162" i="3"/>
  <c r="V1162" i="3"/>
  <c r="X1284" i="3"/>
  <c r="AA134" i="122" s="1"/>
  <c r="W1284" i="3"/>
  <c r="V1284" i="3"/>
  <c r="X1277" i="3"/>
  <c r="W1277" i="3"/>
  <c r="V1277" i="3"/>
  <c r="X1285" i="3"/>
  <c r="W1285" i="3"/>
  <c r="V1285" i="3"/>
  <c r="X1278" i="3"/>
  <c r="W1278" i="3"/>
  <c r="V1278" i="3"/>
  <c r="U1240" i="3" a="1"/>
  <c r="V1146" i="3"/>
  <c r="W1146" i="3"/>
  <c r="X1315" i="3"/>
  <c r="W1315" i="3"/>
  <c r="V1315" i="3"/>
  <c r="X1159" i="3"/>
  <c r="W1159" i="3"/>
  <c r="V1159" i="3"/>
  <c r="X1136" i="3"/>
  <c r="W1136" i="3"/>
  <c r="V1136" i="3"/>
  <c r="X1138" i="3"/>
  <c r="W1138" i="3"/>
  <c r="V1138" i="3"/>
  <c r="V95" i="122"/>
  <c r="AU86" i="70" a="1"/>
  <c r="AW641" i="3" a="1"/>
  <c r="AW248" i="3" a="1"/>
  <c r="AW243" i="3" a="1"/>
  <c r="AU92" i="70" a="1"/>
  <c r="AW244" i="3" a="1"/>
  <c r="AU140" i="70" a="1"/>
  <c r="AW246" i="3" a="1"/>
  <c r="AW241" i="3" a="1"/>
  <c r="AU90" i="70" a="1"/>
  <c r="AW659" i="3" a="1"/>
  <c r="AW242" i="3" a="1"/>
  <c r="AW245" i="3" a="1"/>
  <c r="W49" i="122"/>
  <c r="X8" i="122"/>
  <c r="X24" i="122" s="1"/>
  <c r="X25" i="122"/>
  <c r="AU91" i="70" a="1"/>
  <c r="AU84" i="70" a="1"/>
  <c r="AU89" i="70" a="1"/>
  <c r="AW954" i="3" a="1"/>
  <c r="AW845" i="3" a="1"/>
  <c r="AW913" i="3" a="1"/>
  <c r="AW932" i="3" a="1"/>
  <c r="J26" i="47"/>
  <c r="J34" i="47"/>
  <c r="AW783" i="3" a="1"/>
  <c r="AW824" i="3" a="1"/>
  <c r="AW833" i="3" a="1"/>
  <c r="AW653" i="3" a="1"/>
  <c r="AU141" i="70" a="1"/>
  <c r="AW835" i="3" a="1"/>
  <c r="AW950" i="3" a="1"/>
  <c r="AW810" i="3" a="1"/>
  <c r="AW826" i="3" a="1"/>
  <c r="AW832" i="3" a="1"/>
  <c r="AW857" i="3" a="1"/>
  <c r="AW878" i="3" a="1"/>
  <c r="AW889" i="3" a="1"/>
  <c r="AW953" i="3" a="1"/>
  <c r="AW933" i="3" a="1"/>
  <c r="AW751" i="3" a="1"/>
  <c r="AW665" i="3" a="1"/>
  <c r="AW644" i="3" a="1"/>
  <c r="AW649" i="3" a="1"/>
  <c r="AW851" i="3" a="1"/>
  <c r="AW866" i="3" a="1"/>
  <c r="AW931" i="3" a="1"/>
  <c r="AW837" i="3" a="1"/>
  <c r="AW827" i="3" a="1"/>
  <c r="AW846" i="3" a="1"/>
  <c r="AW895" i="3" a="1"/>
  <c r="W28" i="122"/>
  <c r="W48" i="122" s="1"/>
  <c r="W46" i="122"/>
  <c r="V28" i="122"/>
  <c r="X28" i="122"/>
  <c r="X48" i="122" s="1"/>
  <c r="X46" i="122"/>
  <c r="Q44" i="122"/>
  <c r="R44" i="122"/>
  <c r="M44" i="122"/>
  <c r="K44" i="122"/>
  <c r="P44" i="122"/>
  <c r="J44" i="122"/>
  <c r="O44" i="122"/>
  <c r="V78" i="122"/>
  <c r="V94" i="122" s="1"/>
  <c r="V1023" i="3"/>
  <c r="W1023" i="3"/>
  <c r="X1023" i="3"/>
  <c r="V1074" i="3"/>
  <c r="W1074" i="3"/>
  <c r="X1074" i="3"/>
  <c r="R95" i="122"/>
  <c r="V1130" i="3"/>
  <c r="W1130" i="3"/>
  <c r="X1116" i="3"/>
  <c r="D60" i="122" s="1"/>
  <c r="W1116" i="3"/>
  <c r="V1116" i="3"/>
  <c r="V1115" i="3"/>
  <c r="W1115" i="3"/>
  <c r="X1115" i="3"/>
  <c r="V1271" i="3"/>
  <c r="W1271" i="3"/>
  <c r="X1271" i="3"/>
  <c r="Y56" i="122" s="1"/>
  <c r="V1272" i="3"/>
  <c r="W1272" i="3"/>
  <c r="X1272" i="3"/>
  <c r="AB56" i="122" s="1"/>
  <c r="V4" i="122"/>
  <c r="X1044" i="3"/>
  <c r="W1044" i="3"/>
  <c r="V1044" i="3"/>
  <c r="X1016" i="3"/>
  <c r="W1016" i="3"/>
  <c r="V1016" i="3"/>
  <c r="X1099" i="3"/>
  <c r="W1099" i="3"/>
  <c r="V1099" i="3"/>
  <c r="L16" i="122"/>
  <c r="P16" i="122"/>
  <c r="X1049" i="3"/>
  <c r="X1025" i="3"/>
  <c r="U29" i="122" s="1"/>
  <c r="W1025" i="3"/>
  <c r="V1025" i="3"/>
  <c r="AW850" i="3" a="1"/>
  <c r="AW831" i="3" a="1"/>
  <c r="AW896" i="3" a="1"/>
  <c r="AU87" i="70" a="1"/>
  <c r="AU93" i="70" a="1"/>
  <c r="AW853" i="3" a="1"/>
  <c r="AW938" i="3" a="1"/>
  <c r="AW655" i="3" a="1"/>
  <c r="AW854" i="3" a="1"/>
  <c r="AW849" i="3" a="1"/>
  <c r="AW894" i="3" a="1"/>
  <c r="AW805" i="3" a="1"/>
  <c r="AW651" i="3" a="1"/>
  <c r="AW841" i="3" a="1"/>
  <c r="AW852" i="3" a="1"/>
  <c r="AW647" i="3" a="1"/>
  <c r="AW648" i="3" a="1"/>
  <c r="AW650" i="3" a="1"/>
  <c r="AW652" i="3" a="1"/>
  <c r="AW640" i="3" a="1"/>
  <c r="AW657" i="3" a="1"/>
  <c r="C36" i="47"/>
  <c r="AW973" i="3" a="1"/>
  <c r="AW838" i="3" a="1"/>
  <c r="AW1007" i="3" a="1"/>
  <c r="C29" i="47"/>
  <c r="AW635" i="3" a="1"/>
  <c r="AW893" i="3" a="1"/>
  <c r="X992" i="3"/>
  <c r="V992" i="3"/>
  <c r="W992" i="3"/>
  <c r="X1058" i="3"/>
  <c r="W1058" i="3"/>
  <c r="V1058" i="3"/>
  <c r="V1026" i="3"/>
  <c r="X1026" i="3"/>
  <c r="W1026" i="3"/>
  <c r="R104" i="122"/>
  <c r="T62" i="122"/>
  <c r="R116" i="122"/>
  <c r="AH140" i="122"/>
  <c r="V1219" i="3"/>
  <c r="X1219" i="3"/>
  <c r="V1056" i="3"/>
  <c r="V981" i="3"/>
  <c r="W981" i="3"/>
  <c r="AH10" i="122"/>
  <c r="AH138" i="122"/>
  <c r="G12" i="122"/>
  <c r="R20" i="122"/>
  <c r="P116" i="122"/>
  <c r="W921" i="3"/>
  <c r="AC128" i="122"/>
  <c r="X921" i="3"/>
  <c r="R5" i="122" s="1"/>
  <c r="V921" i="3"/>
  <c r="F140" i="122"/>
  <c r="AD108" i="122"/>
  <c r="AC108" i="122"/>
  <c r="E120" i="122"/>
  <c r="E140" i="122"/>
  <c r="P95" i="122" l="1"/>
  <c r="D18" i="122"/>
  <c r="P94" i="122"/>
  <c r="G75" i="122"/>
  <c r="Q141" i="122"/>
  <c r="U6" i="122"/>
  <c r="H25" i="122"/>
  <c r="N49" i="122"/>
  <c r="Z102" i="122"/>
  <c r="Z118" i="122" s="1"/>
  <c r="J75" i="122"/>
  <c r="V1297" i="3"/>
  <c r="W1297" i="3"/>
  <c r="U104" i="122"/>
  <c r="U120" i="122" s="1"/>
  <c r="H75" i="122"/>
  <c r="AE55" i="122"/>
  <c r="D84" i="122"/>
  <c r="D92" i="122" s="1"/>
  <c r="D38" i="122"/>
  <c r="D46" i="122" s="1"/>
  <c r="R2" i="122"/>
  <c r="U26" i="122"/>
  <c r="U9" i="122"/>
  <c r="U25" i="122" s="1"/>
  <c r="T45" i="122"/>
  <c r="T42" i="122"/>
  <c r="T44" i="122" s="1"/>
  <c r="U45" i="122"/>
  <c r="U49" i="122" s="1"/>
  <c r="U42" i="122"/>
  <c r="U44" i="122" s="1"/>
  <c r="S45" i="122"/>
  <c r="S49" i="122" s="1"/>
  <c r="S42" i="122"/>
  <c r="S44" i="122" s="1"/>
  <c r="D42" i="122"/>
  <c r="T5" i="122"/>
  <c r="T25" i="122" s="1"/>
  <c r="T2" i="122"/>
  <c r="T4" i="122" s="1"/>
  <c r="W6" i="122"/>
  <c r="W8" i="122" s="1"/>
  <c r="W9" i="122"/>
  <c r="V59" i="122"/>
  <c r="V75" i="122" s="1"/>
  <c r="V56" i="122"/>
  <c r="V58" i="122" s="1"/>
  <c r="W21" i="122"/>
  <c r="AE21" i="122" s="1"/>
  <c r="W18" i="122"/>
  <c r="W20" i="122" s="1"/>
  <c r="AC20" i="122" s="1"/>
  <c r="V41" i="122"/>
  <c r="V38" i="122"/>
  <c r="T41" i="122"/>
  <c r="T38" i="122"/>
  <c r="T40" i="122" s="1"/>
  <c r="X1312" i="3"/>
  <c r="X1313" i="3"/>
  <c r="W1312" i="3"/>
  <c r="V1312" i="3"/>
  <c r="X1308" i="3"/>
  <c r="V1308" i="3"/>
  <c r="U1306" i="3" a="1"/>
  <c r="W1155" i="3"/>
  <c r="X1155" i="3"/>
  <c r="X1300" i="3"/>
  <c r="V1300" i="3"/>
  <c r="W1300" i="3"/>
  <c r="U1296" i="3" a="1"/>
  <c r="V1299" i="3"/>
  <c r="W1299" i="3"/>
  <c r="AA136" i="122"/>
  <c r="AA140" i="122" s="1"/>
  <c r="AA138" i="122"/>
  <c r="U1314" i="3" a="1"/>
  <c r="AB58" i="122"/>
  <c r="AB74" i="122" s="1"/>
  <c r="AB72" i="122"/>
  <c r="X58" i="122"/>
  <c r="P28" i="122"/>
  <c r="P48" i="122" s="1"/>
  <c r="P46" i="122"/>
  <c r="V66" i="122"/>
  <c r="W62" i="122"/>
  <c r="X66" i="122"/>
  <c r="O49" i="122"/>
  <c r="X22" i="122"/>
  <c r="U118" i="122"/>
  <c r="T121" i="122"/>
  <c r="R141" i="122"/>
  <c r="W92" i="122"/>
  <c r="S75" i="122"/>
  <c r="T118" i="122"/>
  <c r="S28" i="122"/>
  <c r="AH40" i="122"/>
  <c r="AH42" i="122"/>
  <c r="I44" i="122"/>
  <c r="V92" i="122"/>
  <c r="U66" i="122"/>
  <c r="U74" i="122" s="1"/>
  <c r="U72" i="122"/>
  <c r="R78" i="122"/>
  <c r="R94" i="122" s="1"/>
  <c r="P121" i="122"/>
  <c r="K25" i="122"/>
  <c r="T138" i="122"/>
  <c r="AG138" i="122" s="1"/>
  <c r="Q121" i="122"/>
  <c r="Q25" i="122"/>
  <c r="O124" i="122"/>
  <c r="O140" i="122" s="1"/>
  <c r="O138" i="122"/>
  <c r="AE113" i="122"/>
  <c r="Q100" i="122"/>
  <c r="Q120" i="122" s="1"/>
  <c r="Q118" i="122"/>
  <c r="P100" i="122"/>
  <c r="P120" i="122" s="1"/>
  <c r="P118" i="122"/>
  <c r="O100" i="122"/>
  <c r="O120" i="122" s="1"/>
  <c r="O118" i="122"/>
  <c r="AE110" i="122"/>
  <c r="AH110" i="122"/>
  <c r="J112" i="122"/>
  <c r="Q4" i="122"/>
  <c r="Q22" i="122"/>
  <c r="O4" i="122"/>
  <c r="O24" i="122" s="1"/>
  <c r="O22" i="122"/>
  <c r="AE17" i="122"/>
  <c r="AE14" i="122"/>
  <c r="K16" i="122"/>
  <c r="AE98" i="122"/>
  <c r="V1049" i="3"/>
  <c r="U1265" i="3" a="1"/>
  <c r="W1049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W1172" i="3" s="1" a="1"/>
  <c r="AU149" i="70" a="1"/>
  <c r="AW1003" i="3" a="1"/>
  <c r="AU145" i="70" a="1"/>
  <c r="AU147" i="70" a="1"/>
  <c r="AW947" i="3" a="1"/>
  <c r="AW959" i="3" a="1"/>
  <c r="AW962" i="3" a="1"/>
  <c r="AU153" i="70" a="1"/>
  <c r="AW977" i="3" a="1"/>
  <c r="AW806" i="3" a="1"/>
  <c r="AW958" i="3" a="1"/>
  <c r="AW897" i="3" a="1"/>
  <c r="AU143" i="70" a="1"/>
  <c r="AW960" i="3" a="1"/>
  <c r="AW901" i="3" a="1"/>
  <c r="AW843" i="3" a="1"/>
  <c r="AW902" i="3" a="1"/>
  <c r="AW865" i="3" a="1"/>
  <c r="AU155" i="70" a="1"/>
  <c r="AW930" i="3" a="1"/>
  <c r="AW891" i="3" a="1"/>
  <c r="AW890" i="3" a="1"/>
  <c r="AU152" i="70" a="1"/>
  <c r="AW898" i="3" a="1"/>
  <c r="AW923" i="3" a="1"/>
  <c r="AW842" i="3" a="1"/>
  <c r="AU150" i="70" a="1"/>
  <c r="AW948" i="3" a="1"/>
  <c r="AW971" i="3" a="1"/>
  <c r="AU156" i="70" a="1"/>
  <c r="AU144" i="70" a="1"/>
  <c r="AW892" i="3" a="1"/>
  <c r="AW946" i="3" a="1"/>
  <c r="AW881" i="3" a="1"/>
  <c r="AU146" i="70" a="1"/>
  <c r="AW856" i="3" a="1"/>
  <c r="AW965" i="3" a="1"/>
  <c r="AW920" i="3" a="1"/>
  <c r="AU151" i="70" a="1"/>
  <c r="AW976" i="3" a="1"/>
  <c r="AU142" i="70" a="1"/>
  <c r="AW936" i="3" a="1"/>
  <c r="AW879" i="3" a="1"/>
  <c r="AU148" i="70" a="1"/>
  <c r="AW1001" i="3" a="1"/>
  <c r="AW951" i="3" a="1"/>
  <c r="AW1006" i="3" a="1"/>
  <c r="AU154" i="70" a="1"/>
  <c r="AW1005" i="3" a="1"/>
  <c r="AW908" i="3" a="1"/>
  <c r="V1076" i="3"/>
  <c r="X1076" i="3"/>
  <c r="W1076" i="3"/>
  <c r="T72" i="122"/>
  <c r="T104" i="122"/>
  <c r="T120" i="122" s="1"/>
  <c r="AE63" i="122"/>
  <c r="R138" i="122"/>
  <c r="R62" i="122"/>
  <c r="AE10" i="122"/>
  <c r="R121" i="122"/>
  <c r="S78" i="122"/>
  <c r="S94" i="122" s="1"/>
  <c r="T66" i="122"/>
  <c r="T74" i="122" s="1"/>
  <c r="R8" i="122"/>
  <c r="Q49" i="122"/>
  <c r="M94" i="122"/>
  <c r="R75" i="122"/>
  <c r="P92" i="122"/>
  <c r="AH114" i="122"/>
  <c r="K22" i="122"/>
  <c r="N118" i="122"/>
  <c r="O141" i="122"/>
  <c r="AE117" i="122"/>
  <c r="L25" i="122"/>
  <c r="M95" i="122"/>
  <c r="L24" i="122"/>
  <c r="I49" i="122"/>
  <c r="G46" i="122"/>
  <c r="O48" i="122"/>
  <c r="K92" i="122"/>
  <c r="G54" i="122"/>
  <c r="G74" i="122" s="1"/>
  <c r="AE52" i="122"/>
  <c r="J92" i="122"/>
  <c r="H95" i="122"/>
  <c r="U92" i="122"/>
  <c r="J116" i="122"/>
  <c r="AH116" i="122" s="1"/>
  <c r="AE84" i="122"/>
  <c r="AH84" i="122"/>
  <c r="Q48" i="122"/>
  <c r="S8" i="122"/>
  <c r="H24" i="122"/>
  <c r="AH4" i="122"/>
  <c r="AH38" i="122"/>
  <c r="M72" i="122"/>
  <c r="AE37" i="122"/>
  <c r="J70" i="122"/>
  <c r="J74" i="122" s="1"/>
  <c r="M92" i="122"/>
  <c r="I92" i="122"/>
  <c r="AH68" i="122"/>
  <c r="L74" i="122"/>
  <c r="M25" i="122"/>
  <c r="O46" i="122"/>
  <c r="AH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L28" i="122"/>
  <c r="L48" i="122" s="1"/>
  <c r="T8" i="122"/>
  <c r="W1056" i="3"/>
  <c r="J24" i="122"/>
  <c r="M22" i="122"/>
  <c r="M48" i="122"/>
  <c r="N94" i="122"/>
  <c r="K49" i="122"/>
  <c r="AE34" i="122"/>
  <c r="H72" i="122"/>
  <c r="M24" i="122"/>
  <c r="AH56" i="122"/>
  <c r="J72" i="122"/>
  <c r="Q72" i="122"/>
  <c r="AH58" i="122"/>
  <c r="N46" i="122"/>
  <c r="N92" i="122"/>
  <c r="AE133" i="122"/>
  <c r="L72" i="122"/>
  <c r="P66" i="122"/>
  <c r="P74" i="122" s="1"/>
  <c r="AE125" i="122"/>
  <c r="J49" i="122"/>
  <c r="H49" i="122"/>
  <c r="L75" i="122"/>
  <c r="N48" i="122"/>
  <c r="F58" i="122"/>
  <c r="F74" i="122" s="1"/>
  <c r="AE33" i="122"/>
  <c r="K46" i="122"/>
  <c r="P49" i="122"/>
  <c r="K8" i="122"/>
  <c r="K24" i="122" s="1"/>
  <c r="AE114" i="122"/>
  <c r="R46" i="122"/>
  <c r="AE30" i="122"/>
  <c r="Q46" i="122"/>
  <c r="AE122" i="122"/>
  <c r="N124" i="122"/>
  <c r="N140" i="122" s="1"/>
  <c r="H22" i="122"/>
  <c r="M104" i="122"/>
  <c r="I48" i="122"/>
  <c r="J46" i="122"/>
  <c r="J22" i="122"/>
  <c r="G22" i="122"/>
  <c r="H48" i="122"/>
  <c r="AH12" i="122"/>
  <c r="AC12" i="122"/>
  <c r="AD12" i="122"/>
  <c r="AH6" i="122"/>
  <c r="AH34" i="122"/>
  <c r="L22" i="122"/>
  <c r="AD32" i="122"/>
  <c r="Q8" i="122"/>
  <c r="E8" i="122"/>
  <c r="E24" i="122" s="1"/>
  <c r="M136" i="122"/>
  <c r="M138" i="122"/>
  <c r="AE134" i="122"/>
  <c r="AE137" i="122"/>
  <c r="I46" i="122"/>
  <c r="P124" i="122"/>
  <c r="P140" i="122" s="1"/>
  <c r="P138" i="122"/>
  <c r="Q124" i="122"/>
  <c r="Q140" i="122" s="1"/>
  <c r="Q138" i="122"/>
  <c r="AE130" i="122"/>
  <c r="Q78" i="122"/>
  <c r="Q94" i="122" s="1"/>
  <c r="Q92" i="122"/>
  <c r="R48" i="122"/>
  <c r="AC32" i="122"/>
  <c r="M49" i="122"/>
  <c r="K48" i="122"/>
  <c r="R72" i="122"/>
  <c r="AE29" i="122"/>
  <c r="G72" i="122"/>
  <c r="AH64" i="122"/>
  <c r="M46" i="122"/>
  <c r="AH26" i="122"/>
  <c r="H46" i="122"/>
  <c r="AE88" i="122"/>
  <c r="O94" i="122"/>
  <c r="AH66" i="122"/>
  <c r="O92" i="122"/>
  <c r="AE91" i="122"/>
  <c r="O95" i="122"/>
  <c r="H94" i="122"/>
  <c r="AH94" i="122" s="1"/>
  <c r="AH86" i="122"/>
  <c r="AD86" i="122"/>
  <c r="AC86" i="122"/>
  <c r="AH78" i="122"/>
  <c r="R140" i="122"/>
  <c r="AD132" i="122"/>
  <c r="AC132" i="122"/>
  <c r="AH28" i="122"/>
  <c r="AH8" i="122"/>
  <c r="G24" i="122"/>
  <c r="AD90" i="122"/>
  <c r="K94" i="122"/>
  <c r="AC90" i="122"/>
  <c r="J48" i="122"/>
  <c r="AH36" i="122"/>
  <c r="AC36" i="122"/>
  <c r="AD36" i="122"/>
  <c r="Z104" i="122" l="1"/>
  <c r="Z120" i="122" s="1"/>
  <c r="W1298" i="3"/>
  <c r="V1298" i="3"/>
  <c r="X1298" i="3"/>
  <c r="AA102" i="122" s="1"/>
  <c r="AE59" i="122"/>
  <c r="W25" i="122"/>
  <c r="AG25" i="122" s="1"/>
  <c r="V45" i="122"/>
  <c r="V49" i="122" s="1"/>
  <c r="V42" i="122"/>
  <c r="V44" i="122" s="1"/>
  <c r="AC44" i="122" s="1"/>
  <c r="X1309" i="3"/>
  <c r="V1309" i="3"/>
  <c r="W1309" i="3"/>
  <c r="Y58" i="122"/>
  <c r="X72" i="122"/>
  <c r="W24" i="122"/>
  <c r="AE60" i="122"/>
  <c r="AD20" i="122"/>
  <c r="V74" i="122"/>
  <c r="X74" i="122"/>
  <c r="AE18" i="122"/>
  <c r="AD62" i="122"/>
  <c r="W22" i="122"/>
  <c r="U46" i="122"/>
  <c r="T46" i="122"/>
  <c r="T49" i="122"/>
  <c r="S48" i="122"/>
  <c r="V40" i="122"/>
  <c r="S46" i="122"/>
  <c r="AE38" i="122"/>
  <c r="AH44" i="122"/>
  <c r="AE56" i="122"/>
  <c r="V72" i="122"/>
  <c r="AE41" i="122"/>
  <c r="T22" i="122"/>
  <c r="R100" i="122"/>
  <c r="R120" i="122" s="1"/>
  <c r="R118" i="122"/>
  <c r="AC112" i="122"/>
  <c r="AD112" i="122"/>
  <c r="AH112" i="122"/>
  <c r="AE5" i="122"/>
  <c r="R25" i="122"/>
  <c r="T24" i="122"/>
  <c r="Q24" i="122"/>
  <c r="S24" i="122"/>
  <c r="S22" i="122"/>
  <c r="R4" i="122"/>
  <c r="R22" i="122"/>
  <c r="AE26" i="122"/>
  <c r="AC16" i="122"/>
  <c r="AD16" i="122"/>
  <c r="U28" i="122"/>
  <c r="U48" i="122" s="1"/>
  <c r="T28" i="122"/>
  <c r="T48" i="122" s="1"/>
  <c r="AW935" i="3" a="1"/>
  <c r="AW863" i="3" a="1"/>
  <c r="AW862" i="3" a="1"/>
  <c r="AW1004" i="3" a="1"/>
  <c r="AW956" i="3" a="1"/>
  <c r="AW801" i="3" a="1"/>
  <c r="AW979" i="3" a="1"/>
  <c r="AW1014" i="3" a="1"/>
  <c r="AW1027" i="3" a="1"/>
  <c r="AW993" i="3" a="1"/>
  <c r="AW981" i="3" a="1"/>
  <c r="AW949" i="3" a="1"/>
  <c r="AW952" i="3" a="1"/>
  <c r="AW963" i="3" a="1"/>
  <c r="AU177" i="70" a="1"/>
  <c r="AW994" i="3" a="1"/>
  <c r="AW939" i="3" a="1"/>
  <c r="AW966" i="3" a="1"/>
  <c r="AW868" i="3" a="1"/>
  <c r="AW871" i="3" a="1"/>
  <c r="AU179" i="70" a="1"/>
  <c r="AW921" i="3" a="1"/>
  <c r="AU159" i="70" a="1"/>
  <c r="AW942" i="3" a="1"/>
  <c r="AU161" i="70" a="1"/>
  <c r="AW1010" i="3" a="1"/>
  <c r="AW926" i="3" a="1"/>
  <c r="AW941" i="3" a="1"/>
  <c r="AW934" i="3" a="1"/>
  <c r="AU178" i="70" a="1"/>
  <c r="AW995" i="3" a="1"/>
  <c r="AW940" i="3" a="1"/>
  <c r="AW929" i="3" a="1"/>
  <c r="AU157" i="70" a="1"/>
  <c r="AU166" i="70" a="1"/>
  <c r="AW925" i="3" a="1"/>
  <c r="AU160" i="70" a="1"/>
  <c r="AU158" i="70" a="1"/>
  <c r="AU176" i="70" a="1"/>
  <c r="AU175" i="70" a="1"/>
  <c r="AW937" i="3" a="1"/>
  <c r="AW945" i="3" a="1"/>
  <c r="AW1012" i="3" a="1"/>
  <c r="AW1002" i="3" a="1"/>
  <c r="AW899" i="3" a="1"/>
  <c r="AW957" i="3" a="1"/>
  <c r="C38" i="47"/>
  <c r="AW1030" i="3" s="1" a="1"/>
  <c r="AW781" i="3" a="1"/>
  <c r="C31" i="47"/>
  <c r="AW928" i="3" a="1"/>
  <c r="AW874" i="3" a="1"/>
  <c r="AW1217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218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216" i="3" a="1"/>
  <c r="AW716" i="3" a="1"/>
  <c r="AW714" i="3" a="1"/>
  <c r="AC62" i="122"/>
  <c r="R74" i="122"/>
  <c r="AE2" i="122"/>
  <c r="AH24" i="122"/>
  <c r="AE101" i="122"/>
  <c r="AE141" i="122"/>
  <c r="AH54" i="122"/>
  <c r="AC54" i="122"/>
  <c r="AD54" i="122"/>
  <c r="J120" i="122"/>
  <c r="AH120" i="122" s="1"/>
  <c r="AD116" i="122"/>
  <c r="AC116" i="122"/>
  <c r="AD70" i="122"/>
  <c r="AC70" i="122"/>
  <c r="AH70" i="122"/>
  <c r="AH92" i="122"/>
  <c r="AH72" i="122"/>
  <c r="X1151" i="3"/>
  <c r="W1151" i="3"/>
  <c r="V1151" i="3"/>
  <c r="U22" i="122"/>
  <c r="V1088" i="3"/>
  <c r="W1088" i="3"/>
  <c r="AC58" i="122"/>
  <c r="AD58" i="122"/>
  <c r="AH22" i="122"/>
  <c r="AH74" i="122"/>
  <c r="M120" i="122"/>
  <c r="AC124" i="122"/>
  <c r="AH46" i="122"/>
  <c r="AE138" i="122"/>
  <c r="AD124" i="122"/>
  <c r="M140" i="122"/>
  <c r="AC140" i="122" s="1"/>
  <c r="AD136" i="122"/>
  <c r="AC136" i="122"/>
  <c r="AH48" i="122"/>
  <c r="AA118" i="122" l="1"/>
  <c r="AA104" i="122"/>
  <c r="AA120" i="122" s="1"/>
  <c r="AG49" i="122"/>
  <c r="V48" i="122"/>
  <c r="AD48" i="122" s="1"/>
  <c r="AE45" i="122"/>
  <c r="V46" i="122"/>
  <c r="AE46" i="122" s="1"/>
  <c r="AD44" i="122"/>
  <c r="AE42" i="122"/>
  <c r="AE102" i="122"/>
  <c r="AW1063" i="3" a="1"/>
  <c r="AW985" i="3" a="1"/>
  <c r="AW989" i="3" a="1"/>
  <c r="AW990" i="3" a="1"/>
  <c r="AW986" i="3" a="1"/>
  <c r="AW1028" i="3" a="1"/>
  <c r="AW992" i="3" a="1"/>
  <c r="AD40" i="122"/>
  <c r="AE49" i="122"/>
  <c r="AC40" i="122"/>
  <c r="V22" i="122"/>
  <c r="AG22" i="122" s="1"/>
  <c r="AD100" i="122"/>
  <c r="AC100" i="122"/>
  <c r="AD4" i="122"/>
  <c r="R24" i="122"/>
  <c r="AC4" i="122"/>
  <c r="AC28" i="122"/>
  <c r="AD28" i="122"/>
  <c r="AW873" i="3" a="1"/>
  <c r="AW730" i="3" a="1"/>
  <c r="AW872" i="3" a="1"/>
  <c r="AW796" i="3" a="1"/>
  <c r="AW778" i="3" a="1"/>
  <c r="AW729" i="3" a="1"/>
  <c r="AW712" i="3" a="1"/>
  <c r="AW750" i="3" a="1"/>
  <c r="AW760" i="3" a="1"/>
  <c r="AW711" i="3" a="1"/>
  <c r="AW869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7" i="3" a="1"/>
  <c r="AU120" i="70" a="1"/>
  <c r="AW766" i="3" a="1"/>
  <c r="AW733" i="3" a="1"/>
  <c r="AW877" i="3" a="1"/>
  <c r="C32" i="47"/>
  <c r="AW756" i="3" s="1" a="1"/>
  <c r="AW732" i="3" a="1"/>
  <c r="AW876" i="3" a="1"/>
  <c r="C39" i="47"/>
  <c r="AW1052" i="3" s="1" a="1"/>
  <c r="AW991" i="3" a="1"/>
  <c r="AW1013" i="3" a="1"/>
  <c r="AW980" i="3" a="1"/>
  <c r="AW1008" i="3" a="1"/>
  <c r="AW984" i="3" a="1"/>
  <c r="AW982" i="3" a="1"/>
  <c r="AW927" i="3" a="1"/>
  <c r="AW983" i="3" a="1"/>
  <c r="AW1015" i="3" a="1"/>
  <c r="AW1009" i="3" a="1"/>
  <c r="AW972" i="3" a="1"/>
  <c r="AW1062" i="3" a="1"/>
  <c r="AW996" i="3" a="1"/>
  <c r="AW943" i="3" a="1"/>
  <c r="AW988" i="3" a="1"/>
  <c r="AW1057" i="3" a="1"/>
  <c r="AW867" i="3" a="1"/>
  <c r="AU171" i="70" a="1"/>
  <c r="AW1000" i="3" a="1"/>
  <c r="AW804" i="3" a="1"/>
  <c r="AW975" i="3" a="1"/>
  <c r="AU164" i="70" a="1"/>
  <c r="AU165" i="70" a="1"/>
  <c r="AW998" i="3" a="1"/>
  <c r="AW919" i="3" a="1"/>
  <c r="AU162" i="70" a="1"/>
  <c r="AW1219" i="3" a="1"/>
  <c r="AW944" i="3" a="1"/>
  <c r="AU163" i="70" a="1"/>
  <c r="AW978" i="3" a="1"/>
  <c r="U8" i="122"/>
  <c r="AD140" i="122"/>
  <c r="AW1053" i="3" l="1" a="1"/>
  <c r="AW1113" i="3" a="1"/>
  <c r="AG46" i="122"/>
  <c r="AC48" i="122"/>
  <c r="V118" i="122"/>
  <c r="AG118" i="122" s="1"/>
  <c r="V104" i="122"/>
  <c r="AC104" i="122" s="1"/>
  <c r="V121" i="122"/>
  <c r="AE105" i="122"/>
  <c r="AW1041" i="3" a="1"/>
  <c r="AW1032" i="3" a="1"/>
  <c r="AW997" i="3" a="1"/>
  <c r="AW999" i="3" a="1"/>
  <c r="AW1020" i="3" a="1"/>
  <c r="AW1048" i="3" a="1"/>
  <c r="AW1064" i="3" a="1"/>
  <c r="AW1019" i="3" a="1"/>
  <c r="AW1024" i="3" a="1"/>
  <c r="AW1018" i="3" a="1"/>
  <c r="AW1023" i="3" a="1"/>
  <c r="AW1016" i="3" a="1"/>
  <c r="AW1026" i="3" a="1"/>
  <c r="AW1042" i="3" a="1"/>
  <c r="AW1037" i="3" a="1"/>
  <c r="AW1039" i="3" a="1"/>
  <c r="AW1040" i="3" a="1"/>
  <c r="AW1036" i="3" a="1"/>
  <c r="AW1081" i="3" a="1"/>
  <c r="AW1031" i="3" a="1"/>
  <c r="AW1045" i="3" a="1"/>
  <c r="V8" i="122"/>
  <c r="V24" i="122" s="1"/>
  <c r="U24" i="122"/>
  <c r="AU181" i="70" a="1"/>
  <c r="AU180" i="70" a="1"/>
  <c r="AU182" i="70" a="1"/>
  <c r="AU183" i="70" a="1"/>
  <c r="AW1038" i="3" a="1"/>
  <c r="AW1148" i="3" a="1"/>
  <c r="AW1022" i="3" a="1"/>
  <c r="AW1114" i="3" a="1"/>
  <c r="AW1035" i="3" a="1"/>
  <c r="AW987" i="3" a="1"/>
  <c r="AU169" i="70" a="1"/>
  <c r="AU167" i="70" a="1"/>
  <c r="AU170" i="70" a="1"/>
  <c r="C40" i="47"/>
  <c r="AU172" i="70" a="1"/>
  <c r="AU168" i="70" a="1"/>
  <c r="AW779" i="3" a="1"/>
  <c r="AW762" i="3" a="1"/>
  <c r="AW906" i="3" a="1"/>
  <c r="AW761" i="3" a="1"/>
  <c r="AW745" i="3" a="1"/>
  <c r="AW817" i="3" a="1"/>
  <c r="AW795" i="3" a="1"/>
  <c r="AW777" i="3" a="1"/>
  <c r="AW744" i="3" a="1"/>
  <c r="AW728" i="3" a="1"/>
  <c r="AW870" i="3" a="1"/>
  <c r="AW794" i="3" a="1"/>
  <c r="AW727" i="3" a="1"/>
  <c r="AW763" i="3" a="1"/>
  <c r="AW758" i="3" a="1"/>
  <c r="AW875" i="3" a="1"/>
  <c r="AW757" i="3" a="1"/>
  <c r="AW741" i="3" a="1"/>
  <c r="AW883" i="3" a="1"/>
  <c r="AW740" i="3" a="1"/>
  <c r="AW864" i="3" a="1"/>
  <c r="AW910" i="3" a="1"/>
  <c r="AW755" i="3" a="1"/>
  <c r="AW739" i="3" a="1"/>
  <c r="AW771" i="3" a="1"/>
  <c r="AW754" i="3" a="1"/>
  <c r="AW787" i="3" a="1"/>
  <c r="AW753" i="3" a="1"/>
  <c r="AW720" i="3" a="1"/>
  <c r="AW859" i="3" a="1"/>
  <c r="AW807" i="3" a="1"/>
  <c r="AW785" i="3" a="1"/>
  <c r="AW752" i="3" a="1"/>
  <c r="AW912" i="3" a="1"/>
  <c r="AW858" i="3" a="1"/>
  <c r="AW747" i="3" a="1"/>
  <c r="AW784" i="3" a="1"/>
  <c r="AW974" i="3" a="1"/>
  <c r="AW828" i="3" a="1"/>
  <c r="AW914" i="3" a="1"/>
  <c r="AW780" i="3" a="1"/>
  <c r="AW749" i="3" a="1"/>
  <c r="AW700" i="3" a="1"/>
  <c r="AW764" i="3" a="1"/>
  <c r="AW748" i="3" a="1"/>
  <c r="AW715" i="3" a="1"/>
  <c r="AU121" i="70" a="1"/>
  <c r="AU122" i="70" a="1"/>
  <c r="AW1110" i="3" l="1" a="1"/>
  <c r="AW1107" i="3" a="1"/>
  <c r="AW1134" i="3" a="1"/>
  <c r="AW1120" i="3" a="1"/>
  <c r="AW1043" i="3" a="1"/>
  <c r="AW1050" i="3" a="1"/>
  <c r="AW1047" i="3" a="1"/>
  <c r="AW1054" i="3" a="1"/>
  <c r="AW1082" i="3" a="1"/>
  <c r="AW1029" i="3" a="1"/>
  <c r="V120" i="122"/>
  <c r="AC120" i="122" s="1"/>
  <c r="AE118" i="122"/>
  <c r="AD104" i="122"/>
  <c r="AG121" i="122"/>
  <c r="AE121" i="122"/>
  <c r="AW1049" i="3" a="1"/>
  <c r="AW1025" i="3" a="1"/>
  <c r="AW1055" i="3" a="1"/>
  <c r="AW1130" i="3" a="1"/>
  <c r="AW1099" i="3" a="1"/>
  <c r="AW1058" i="3" a="1"/>
  <c r="AW1083" i="3" a="1"/>
  <c r="AW1072" i="3" a="1"/>
  <c r="AW1021" i="3" a="1"/>
  <c r="AU184" i="70" a="1"/>
  <c r="AW1017" i="3" a="1"/>
  <c r="AW1059" i="3" a="1"/>
  <c r="AW1151" i="3" a="1"/>
  <c r="AU185" i="70" a="1"/>
  <c r="AW1051" i="3" a="1"/>
  <c r="C41" i="47"/>
  <c r="AW1270" i="3" s="1" a="1"/>
  <c r="AU173" i="70" a="1"/>
  <c r="AW1084" i="3" l="1" a="1"/>
  <c r="AW1069" i="3" a="1"/>
  <c r="AW1095" i="3" a="1"/>
  <c r="AW1149" i="3" a="1"/>
  <c r="AW1098" i="3" a="1"/>
  <c r="AW1066" i="3" a="1"/>
  <c r="AW1060" i="3" a="1"/>
  <c r="AW1061" i="3" a="1"/>
  <c r="AW1033" i="3" a="1"/>
  <c r="AW1077" i="3" a="1"/>
  <c r="AD120" i="122"/>
  <c r="AU200" i="70" a="1"/>
  <c r="AU199" i="70" a="1"/>
  <c r="AU197" i="70" a="1"/>
  <c r="AU195" i="70" a="1"/>
  <c r="AU194" i="70" a="1"/>
  <c r="AW1127" i="3" a="1"/>
  <c r="AW1078" i="3" a="1"/>
  <c r="AW1074" i="3" a="1"/>
  <c r="AW1071" i="3" a="1"/>
  <c r="AW1067" i="3" a="1"/>
  <c r="AW1115" i="3" a="1"/>
  <c r="AW1076" i="3" a="1"/>
  <c r="AW1086" i="3" a="1"/>
  <c r="AW1085" i="3" a="1"/>
  <c r="AW1133" i="3" a="1"/>
  <c r="AW1056" i="3" a="1"/>
  <c r="AU211" i="70" a="1"/>
  <c r="AU192" i="70" a="1"/>
  <c r="AU193" i="70" a="1"/>
  <c r="AU190" i="70" a="1"/>
  <c r="AU212" i="70" a="1"/>
  <c r="AU191" i="70" a="1"/>
  <c r="AW1070" i="3" a="1"/>
  <c r="AU198" i="70" a="1"/>
  <c r="AU196" i="70" a="1"/>
  <c r="C42" i="47"/>
  <c r="AU219" i="70" l="1" a="1"/>
  <c r="AU221" i="70" a="1"/>
  <c r="AU222" i="70" a="1"/>
  <c r="AU220" i="70" a="1"/>
  <c r="AU218" i="70" a="1"/>
  <c r="AU223" i="70" a="1"/>
  <c r="AW1119" i="3" a="1"/>
  <c r="AW1096" i="3" a="1"/>
  <c r="AW1132" i="3" a="1"/>
  <c r="AW1129" i="3" a="1"/>
  <c r="AW1034" i="3" a="1"/>
  <c r="AW1122" i="3" a="1"/>
  <c r="AW1131" i="3" a="1"/>
  <c r="AW1093" i="3" a="1"/>
  <c r="AW1116" i="3" a="1"/>
  <c r="AW1092" i="3" a="1"/>
  <c r="AW1097" i="3" a="1"/>
  <c r="AW1103" i="3" a="1"/>
  <c r="AW1087" i="3" a="1"/>
  <c r="AU214" i="70" a="1"/>
  <c r="AW1044" i="3" a="1"/>
  <c r="AW1046" i="3" a="1"/>
  <c r="AW1108" i="3" a="1"/>
  <c r="AW1079" i="3" a="1"/>
  <c r="AW1073" i="3" a="1"/>
  <c r="AW1100" i="3" a="1"/>
  <c r="AW1065" i="3" a="1"/>
  <c r="AW1111" i="3" a="1"/>
  <c r="AW1088" i="3" a="1"/>
  <c r="AW1094" i="3" a="1"/>
  <c r="AW1091" i="3" a="1"/>
  <c r="AU202" i="70" a="1"/>
  <c r="AU201" i="70" a="1"/>
  <c r="AU207" i="70" a="1"/>
  <c r="C43" i="47"/>
  <c r="AU205" i="70" a="1"/>
  <c r="AU208" i="70" a="1"/>
  <c r="AU204" i="70" a="1"/>
  <c r="AU206" i="70" a="1"/>
  <c r="AU203" i="70" a="1"/>
  <c r="AU213" i="70" a="1"/>
  <c r="AW1117" i="3" l="1" a="1"/>
  <c r="AW1145" i="3" a="1"/>
  <c r="AW1126" i="3" a="1"/>
  <c r="AW1123" i="3" a="1"/>
  <c r="AW1106" i="3" a="1"/>
  <c r="AW1089" i="3" a="1"/>
  <c r="AW1080" i="3" a="1"/>
  <c r="AW1102" i="3" a="1"/>
  <c r="AW1135" i="3" a="1"/>
  <c r="AW1124" i="3" a="1"/>
  <c r="AW1118" i="3" a="1"/>
  <c r="AW1101" i="3" a="1"/>
  <c r="AW1104" i="3" a="1"/>
  <c r="AW1247" i="3" a="1"/>
  <c r="AW1090" i="3" a="1"/>
  <c r="AU209" i="70" a="1"/>
  <c r="AU210" i="70" a="1"/>
  <c r="C44" i="47"/>
  <c r="AW1147" i="3" s="1" a="1"/>
  <c r="AU215" i="70" a="1"/>
  <c r="AW1271" i="3" l="1" a="1"/>
  <c r="AW1137" i="3" a="1"/>
  <c r="AW1139" i="3" a="1"/>
  <c r="AW1317" i="3" a="1"/>
  <c r="AW1138" i="3" a="1"/>
  <c r="AW1136" i="3" a="1"/>
  <c r="AW1242" i="3" a="1"/>
  <c r="AW1146" i="3" a="1"/>
  <c r="AW1254" i="3" a="1"/>
  <c r="AW1141" i="3" a="1"/>
  <c r="AW1142" i="3" a="1"/>
  <c r="AW1105" i="3" a="1"/>
  <c r="AW1075" i="3" a="1"/>
  <c r="AW1143" i="3" a="1"/>
  <c r="AW1128" i="3" a="1"/>
  <c r="AW1125" i="3" a="1"/>
  <c r="AW1068" i="3" a="1"/>
  <c r="AU216" i="70" a="1"/>
  <c r="C45" i="47"/>
  <c r="AW1155" i="3" l="1" a="1"/>
  <c r="AW1153" i="3" a="1"/>
  <c r="AW1152" i="3" a="1"/>
  <c r="AW1161" i="3" a="1"/>
  <c r="AW1160" i="3" a="1"/>
  <c r="AW1294" i="3" a="1"/>
  <c r="AW1154" i="3" a="1"/>
  <c r="AW1162" i="3" a="1"/>
  <c r="AW1159" i="3" a="1"/>
  <c r="AW1150" i="3" a="1"/>
  <c r="AW1158" i="3" a="1"/>
  <c r="AW1121" i="3" a="1"/>
  <c r="AW1166" i="3" a="1"/>
  <c r="AW1157" i="3" a="1"/>
  <c r="C46" i="47"/>
  <c r="AW1140" i="3" s="1" a="1"/>
  <c r="AU217" i="70" a="1"/>
  <c r="AW1300" i="3" l="1" a="1"/>
  <c r="AW1299" i="3" a="1"/>
  <c r="AW1284" i="3" a="1"/>
  <c r="AW1278" i="3" a="1"/>
  <c r="AW1144" i="3" a="1"/>
  <c r="AW1318" i="3" a="1"/>
  <c r="AW1266" i="3" a="1"/>
  <c r="AW1252" i="3" a="1"/>
  <c r="AW1258" i="3" a="1"/>
  <c r="C47" i="47"/>
  <c r="AW1308" i="3" l="1" a="1"/>
  <c r="AW1307" i="3" a="1"/>
  <c r="AW1305" i="3" a="1"/>
  <c r="AW1304" i="3" a="1"/>
  <c r="AW1302" i="3" a="1"/>
  <c r="AW1301" i="3" a="1"/>
  <c r="AW1277" i="3" a="1"/>
  <c r="AW1285" i="3" a="1"/>
  <c r="AW1315" i="3" a="1"/>
  <c r="AW1256" i="3" a="1"/>
  <c r="C48" i="47"/>
  <c r="AW1262" i="3" a="1"/>
  <c r="AW1272" i="3" a="1"/>
  <c r="AU643" i="3"/>
  <c r="Z643" i="3"/>
  <c r="AW643" i="3" a="1"/>
  <c r="AU661" i="3"/>
  <c r="Z661" i="3"/>
  <c r="AW661" i="3" a="1"/>
  <c r="Z662" i="3"/>
  <c r="AU662" i="3"/>
  <c r="AW662" i="3" a="1"/>
  <c r="Z663" i="3"/>
  <c r="AU663" i="3"/>
  <c r="AW663" i="3" a="1"/>
  <c r="X1147" i="3"/>
  <c r="U1267" i="3" a="1"/>
  <c r="V1147" i="3"/>
  <c r="W1147" i="3"/>
  <c r="Y64" i="122" l="1"/>
  <c r="Y66" i="122" s="1"/>
  <c r="Y74" i="122" s="1"/>
  <c r="Y67" i="122"/>
  <c r="Y75" i="122" s="1"/>
  <c r="D56" i="122"/>
  <c r="D2" i="122"/>
  <c r="AW1309" i="3" a="1"/>
  <c r="AW1260" i="3" a="1"/>
  <c r="C49" i="47"/>
  <c r="AW1312" i="3" s="1" a="1"/>
  <c r="AW1261" i="3" a="1"/>
  <c r="W66" i="122"/>
  <c r="W74" i="122" s="1"/>
  <c r="W75" i="122"/>
  <c r="AG75" i="122" s="1"/>
  <c r="Y72" i="122" l="1"/>
  <c r="C50" i="47"/>
  <c r="AW1273" i="3" a="1"/>
  <c r="AW1263" i="3" a="1"/>
  <c r="W72" i="122"/>
  <c r="AG72" i="122" s="1"/>
  <c r="C51" i="47" l="1"/>
  <c r="C52" i="47" s="1"/>
  <c r="C53" i="47" s="1"/>
  <c r="C54" i="47" s="1"/>
  <c r="AW1313" i="3" a="1"/>
  <c r="D64" i="122" l="1"/>
  <c r="D72" i="122" s="1"/>
  <c r="D6" i="122"/>
  <c r="D22" i="122" s="1"/>
  <c r="AY292" i="70" s="1"/>
  <c r="AY287" i="70" s="1"/>
  <c r="AY286" i="70" s="1"/>
  <c r="AY285" i="70" s="1"/>
  <c r="AY284" i="70" s="1"/>
  <c r="AY283" i="70" s="1"/>
  <c r="AY282" i="70" s="1"/>
  <c r="AY281" i="70" s="1"/>
  <c r="AY280" i="70" s="1"/>
  <c r="AY279" i="70" s="1"/>
  <c r="AY278" i="70" s="1"/>
  <c r="AY277" i="70" s="1"/>
  <c r="AY276" i="70" s="1"/>
  <c r="AY275" i="70" s="1"/>
  <c r="AY274" i="70" s="1"/>
  <c r="AY273" i="70" s="1"/>
  <c r="AY272" i="70" s="1"/>
  <c r="AY271" i="70" s="1"/>
  <c r="AY270" i="70" s="1"/>
  <c r="AY269" i="70" s="1"/>
  <c r="AY268" i="70" s="1"/>
  <c r="AY267" i="70" s="1"/>
  <c r="AY266" i="70" s="1"/>
  <c r="AY265" i="70" s="1"/>
  <c r="AY264" i="70" s="1"/>
  <c r="AY263" i="70" s="1"/>
  <c r="AY262" i="70" s="1"/>
  <c r="AY261" i="70" s="1"/>
  <c r="AY260" i="70" s="1"/>
  <c r="AY259" i="70" s="1"/>
  <c r="AY242" i="70" s="1"/>
  <c r="AY241" i="70" s="1"/>
  <c r="AY237" i="70" s="1"/>
  <c r="AY236" i="70" s="1"/>
  <c r="AY235" i="70" s="1"/>
  <c r="AY234" i="70" s="1"/>
  <c r="AY233" i="70" s="1"/>
  <c r="AY232" i="70" s="1"/>
  <c r="AY231" i="70" s="1"/>
  <c r="AY230" i="70" s="1"/>
  <c r="AY229" i="70" s="1"/>
  <c r="AY228" i="70" s="1"/>
  <c r="AY227" i="70" s="1"/>
  <c r="AY223" i="70" s="1"/>
  <c r="AY218" i="70" s="1"/>
  <c r="AY214" i="70" s="1"/>
  <c r="AY200" i="70" s="1"/>
  <c r="AY199" i="70" s="1"/>
  <c r="AY197" i="70" s="1"/>
  <c r="AY195" i="70" s="1"/>
  <c r="AY194" i="70" s="1"/>
  <c r="BB194" i="70" s="1"/>
  <c r="BA1156" i="3" s="1"/>
  <c r="BA1319" i="3" s="1"/>
  <c r="BA1317" i="3" s="1"/>
  <c r="BA1316" i="3" s="1"/>
  <c r="BA1315" i="3" s="1"/>
  <c r="BA1314" i="3" s="1"/>
  <c r="BA1313" i="3" s="1"/>
  <c r="BA1312" i="3" s="1"/>
  <c r="BA1311" i="3" s="1"/>
  <c r="BA1310" i="3" s="1"/>
  <c r="BA1309" i="3" s="1"/>
  <c r="BA1308" i="3" s="1"/>
  <c r="BA1307" i="3" s="1"/>
  <c r="BA1306" i="3" s="1"/>
  <c r="BA1305" i="3" s="1"/>
  <c r="BA1304" i="3" s="1"/>
  <c r="BA1303" i="3" s="1"/>
  <c r="BA1302" i="3" s="1"/>
  <c r="BA1301" i="3" s="1"/>
  <c r="BA1300" i="3" s="1"/>
  <c r="BA1299" i="3" s="1"/>
  <c r="BA1298" i="3" s="1"/>
  <c r="BA1297" i="3" s="1"/>
  <c r="BA1296" i="3" s="1"/>
  <c r="BA1295" i="3" s="1"/>
  <c r="BA1294" i="3" s="1"/>
  <c r="BA1293" i="3" s="1"/>
  <c r="BA1292" i="3" s="1"/>
  <c r="BA1291" i="3" s="1"/>
  <c r="BA1290" i="3" s="1"/>
  <c r="BA1289" i="3" s="1"/>
  <c r="BA1288" i="3" s="1"/>
  <c r="BA1287" i="3" s="1"/>
  <c r="BA1286" i="3" s="1"/>
  <c r="BA1285" i="3" s="1"/>
  <c r="BA1284" i="3" s="1"/>
  <c r="BA1283" i="3" s="1"/>
  <c r="BA1282" i="3" s="1"/>
  <c r="BA1281" i="3" s="1"/>
  <c r="BA1280" i="3" s="1"/>
  <c r="BA1279" i="3" s="1"/>
  <c r="BA1278" i="3" s="1"/>
  <c r="BA1277" i="3" s="1"/>
  <c r="BA1276" i="3" s="1"/>
  <c r="BA1275" i="3" s="1"/>
  <c r="BA1274" i="3" s="1"/>
  <c r="BA1273" i="3" s="1"/>
  <c r="BD1273" i="3" s="1"/>
  <c r="BA1262" i="3" s="1"/>
  <c r="BA1261" i="3" s="1"/>
  <c r="BA1260" i="3" s="1"/>
  <c r="BA1258" i="3" s="1"/>
  <c r="BA1256" i="3" s="1"/>
  <c r="BD1256" i="3" s="1"/>
  <c r="BA1242" i="3" s="1"/>
  <c r="BD1242" i="3" s="1"/>
  <c r="BA1241" i="3" s="1"/>
  <c r="BD1241" i="3" s="1"/>
  <c r="BA1238" i="3" s="1"/>
  <c r="BA1170" i="3" s="1"/>
  <c r="BA1169" i="3" s="1"/>
  <c r="BA1168" i="3" s="1"/>
  <c r="BA1167" i="3" s="1"/>
  <c r="BA1165" i="3" s="1"/>
  <c r="BA1164" i="3" s="1"/>
  <c r="BA1163" i="3" s="1"/>
  <c r="BA1162" i="3" s="1"/>
  <c r="BA1161" i="3" s="1"/>
  <c r="BA1160" i="3" s="1"/>
  <c r="BA1159" i="3" s="1"/>
  <c r="BA1158" i="3" s="1"/>
  <c r="BA1157" i="3" s="1"/>
  <c r="BA1155" i="3" s="1"/>
  <c r="BA1154" i="3" s="1"/>
  <c r="BA1153" i="3" s="1"/>
  <c r="BA1152" i="3" s="1"/>
  <c r="BA1108" i="3" s="1"/>
  <c r="BD1108" i="3" s="1"/>
  <c r="BA1147" i="3" s="1"/>
  <c r="BD1147" i="3" s="1"/>
  <c r="BA1144" i="3" s="1"/>
  <c r="BA1143" i="3" s="1"/>
  <c r="BA1142" i="3" s="1"/>
  <c r="BA1141" i="3" s="1"/>
  <c r="BD1141" i="3" s="1"/>
  <c r="BA1140" i="3" s="1"/>
  <c r="BA1139" i="3" s="1"/>
  <c r="BA1138" i="3" s="1"/>
  <c r="BA1137" i="3" s="1"/>
  <c r="BA1136" i="3" s="1"/>
  <c r="BA1132" i="3" s="1"/>
  <c r="BD1132" i="3" s="1"/>
  <c r="BA1127" i="3" s="1"/>
  <c r="BD1127" i="3" s="1"/>
  <c r="BA1119" i="3" s="1"/>
  <c r="BA1117" i="3" s="1"/>
  <c r="BA1116" i="3" s="1"/>
  <c r="BD1116" i="3" s="1"/>
  <c r="BA1240" i="3" s="1"/>
  <c r="BD1240" i="3" s="1"/>
  <c r="BA1115" i="3" s="1"/>
  <c r="BD1115" i="3" s="1"/>
  <c r="BA1269" i="3" s="1"/>
  <c r="BD1269" i="3" s="1"/>
  <c r="BA1110" i="3" s="1"/>
  <c r="BA1107" i="3" s="1"/>
  <c r="BA1106" i="3" s="1"/>
  <c r="BD1106" i="3" s="1"/>
  <c r="BA1099" i="3" s="1"/>
  <c r="BD1099" i="3" s="1"/>
  <c r="BA1097" i="3" s="1"/>
  <c r="BA1096" i="3" s="1"/>
  <c r="BA1095" i="3" s="1"/>
  <c r="BA1093" i="3" s="1"/>
  <c r="BA1092" i="3" s="1"/>
  <c r="BA1089" i="3" s="1"/>
  <c r="BD1089" i="3" s="1"/>
  <c r="BA1084" i="3" s="1"/>
  <c r="BA1082" i="3" s="1"/>
  <c r="BA1077" i="3" s="1"/>
  <c r="BD1077" i="3" s="1"/>
  <c r="BA1067" i="3" s="1"/>
  <c r="BD1067" i="3" s="1"/>
  <c r="BA1063" i="3" s="1"/>
  <c r="BA1061" i="3" s="1"/>
  <c r="BA1060" i="3" s="1"/>
  <c r="BA1057" i="3" s="1"/>
  <c r="BA1055" i="3" s="1"/>
  <c r="BA1054" i="3" s="1"/>
  <c r="BA1050" i="3" s="1"/>
  <c r="BD1050" i="3" s="1"/>
  <c r="BA1047" i="3" s="1"/>
  <c r="BA1043" i="3" s="1"/>
  <c r="BA1041" i="3" s="1"/>
  <c r="BA1034" i="3" s="1"/>
  <c r="BA1033" i="3" s="1"/>
  <c r="BD1033" i="3" s="1"/>
  <c r="BA1030" i="3" s="1"/>
  <c r="BA1029" i="3" s="1"/>
  <c r="BA1023" i="3" s="1"/>
  <c r="BD1023" i="3" s="1"/>
  <c r="BA1013" i="3" s="1"/>
  <c r="BA997" i="3" s="1"/>
  <c r="BA991" i="3" s="1"/>
  <c r="BA848" i="3" s="1"/>
  <c r="BA756" i="3" s="1"/>
  <c r="BA663" i="3" s="1"/>
  <c r="BA662" i="3" s="1"/>
  <c r="BA661" i="3" s="1"/>
  <c r="BA643" i="3" s="1"/>
  <c r="BA300" i="3" s="1"/>
  <c r="Z658" i="3" l="1"/>
  <c r="AW658" i="3" a="1"/>
  <c r="AU658" i="3"/>
  <c r="BA1267" i="3"/>
  <c r="BD1267" i="3" s="1"/>
  <c r="BA1135" i="3"/>
  <c r="BA1074" i="3"/>
  <c r="BD1074" i="3" s="1"/>
  <c r="BA1246" i="3" s="1"/>
  <c r="BD1246" i="3" s="1"/>
  <c r="BA1076" i="3" s="1"/>
  <c r="BD1076" i="3" s="1"/>
  <c r="BA1166" i="3"/>
  <c r="BA1058" i="3"/>
  <c r="BD1058" i="3" s="1"/>
  <c r="BA1105" i="3"/>
  <c r="BD1105" i="3" s="1"/>
  <c r="BA1098" i="3" s="1"/>
  <c r="BB1098" i="3" s="1"/>
  <c r="BA1131" i="3"/>
  <c r="BD1131" i="3" s="1"/>
  <c r="BA1150" i="3"/>
  <c r="BD1150" i="3" s="1"/>
  <c r="BA1149" i="3" s="1"/>
  <c r="BD1149" i="3" s="1"/>
  <c r="BA1146" i="3" s="1"/>
  <c r="BD1146" i="3" s="1"/>
  <c r="BA1254" i="3"/>
  <c r="BD1254" i="3" s="1"/>
  <c r="BA1272" i="3"/>
  <c r="BD1272" i="3" s="1"/>
  <c r="AZ195" i="70"/>
  <c r="BB195" i="70"/>
  <c r="BA195" i="70"/>
  <c r="BA227" i="70"/>
  <c r="BB227" i="70"/>
  <c r="AZ227" i="70"/>
  <c r="BB230" i="70"/>
  <c r="AZ230" i="70"/>
  <c r="BA230" i="70"/>
  <c r="BA233" i="70"/>
  <c r="AZ233" i="70"/>
  <c r="BB233" i="70"/>
  <c r="BA236" i="70"/>
  <c r="AZ236" i="70"/>
  <c r="BB236" i="70"/>
  <c r="BB241" i="70"/>
  <c r="BA241" i="70"/>
  <c r="AZ241" i="70"/>
  <c r="AZ261" i="70"/>
  <c r="BA261" i="70"/>
  <c r="BB261" i="70"/>
  <c r="AZ264" i="70"/>
  <c r="BA264" i="70"/>
  <c r="BB264" i="70"/>
  <c r="BB267" i="70"/>
  <c r="BA267" i="70"/>
  <c r="AZ267" i="70"/>
  <c r="AZ270" i="70"/>
  <c r="BA270" i="70"/>
  <c r="BB270" i="70"/>
  <c r="BB273" i="70"/>
  <c r="BA273" i="70"/>
  <c r="AZ273" i="70"/>
  <c r="AZ276" i="70"/>
  <c r="BA276" i="70"/>
  <c r="BB276" i="70"/>
  <c r="AZ279" i="70"/>
  <c r="BA279" i="70"/>
  <c r="BB279" i="70"/>
  <c r="BA282" i="70"/>
  <c r="BB282" i="70"/>
  <c r="AZ282" i="70"/>
  <c r="AZ285" i="70"/>
  <c r="BA285" i="70"/>
  <c r="BB285" i="70"/>
  <c r="AZ194" i="70"/>
  <c r="BA197" i="70"/>
  <c r="AZ197" i="70"/>
  <c r="BB197" i="70"/>
  <c r="BB200" i="70"/>
  <c r="AZ200" i="70"/>
  <c r="BA200" i="70"/>
  <c r="BB218" i="70"/>
  <c r="AZ218" i="70"/>
  <c r="BA218" i="70"/>
  <c r="BA228" i="70"/>
  <c r="BB228" i="70"/>
  <c r="AZ228" i="70"/>
  <c r="AZ231" i="70"/>
  <c r="BA231" i="70"/>
  <c r="BB231" i="70"/>
  <c r="BA234" i="70"/>
  <c r="AZ234" i="70"/>
  <c r="BB234" i="70"/>
  <c r="BA237" i="70"/>
  <c r="AZ237" i="70"/>
  <c r="BB237" i="70"/>
  <c r="AZ242" i="70"/>
  <c r="BB242" i="70"/>
  <c r="BA242" i="70"/>
  <c r="BA259" i="70"/>
  <c r="BB259" i="70"/>
  <c r="AZ259" i="70"/>
  <c r="AZ262" i="70"/>
  <c r="BA262" i="70"/>
  <c r="BB262" i="70"/>
  <c r="AZ265" i="70"/>
  <c r="BA265" i="70"/>
  <c r="BB265" i="70"/>
  <c r="AZ268" i="70"/>
  <c r="BA268" i="70"/>
  <c r="BB268" i="70"/>
  <c r="BA271" i="70"/>
  <c r="BB271" i="70"/>
  <c r="AZ271" i="70"/>
  <c r="BA274" i="70"/>
  <c r="AZ274" i="70"/>
  <c r="BB274" i="70"/>
  <c r="AZ277" i="70"/>
  <c r="BA277" i="70"/>
  <c r="BB277" i="70"/>
  <c r="AZ280" i="70"/>
  <c r="BA280" i="70"/>
  <c r="BB280" i="70"/>
  <c r="AZ283" i="70"/>
  <c r="BB283" i="70"/>
  <c r="BA283" i="70"/>
  <c r="BB286" i="70"/>
  <c r="BA286" i="70"/>
  <c r="AZ286" i="70"/>
  <c r="AY291" i="70"/>
  <c r="AZ292" i="70"/>
  <c r="BB292" i="70"/>
  <c r="BA292" i="70"/>
  <c r="BA194" i="70"/>
  <c r="BA199" i="70"/>
  <c r="AZ199" i="70"/>
  <c r="BB199" i="70"/>
  <c r="AZ214" i="70"/>
  <c r="BB214" i="70"/>
  <c r="BA214" i="70"/>
  <c r="BB223" i="70"/>
  <c r="AZ223" i="70"/>
  <c r="BA223" i="70"/>
  <c r="BB229" i="70"/>
  <c r="BA229" i="70"/>
  <c r="AZ229" i="70"/>
  <c r="AZ232" i="70"/>
  <c r="BB232" i="70"/>
  <c r="BA232" i="70"/>
  <c r="BA235" i="70"/>
  <c r="AZ235" i="70"/>
  <c r="BB235" i="70"/>
  <c r="AZ260" i="70"/>
  <c r="BA260" i="70"/>
  <c r="BB260" i="70"/>
  <c r="AZ263" i="70"/>
  <c r="BA263" i="70"/>
  <c r="BB263" i="70"/>
  <c r="BB266" i="70"/>
  <c r="BA266" i="70"/>
  <c r="AZ266" i="70"/>
  <c r="BB269" i="70"/>
  <c r="BA269" i="70"/>
  <c r="AZ269" i="70"/>
  <c r="BA272" i="70"/>
  <c r="BB272" i="70"/>
  <c r="AZ272" i="70"/>
  <c r="BB275" i="70"/>
  <c r="AZ275" i="70"/>
  <c r="BA275" i="70"/>
  <c r="AZ278" i="70"/>
  <c r="BA278" i="70"/>
  <c r="BB278" i="70"/>
  <c r="AZ281" i="70"/>
  <c r="BA281" i="70"/>
  <c r="BB281" i="70"/>
  <c r="AZ284" i="70"/>
  <c r="BA284" i="70"/>
  <c r="BB284" i="70"/>
  <c r="BA287" i="70"/>
  <c r="BB287" i="70"/>
  <c r="AZ287" i="70"/>
  <c r="W475" i="3"/>
  <c r="X475" i="3"/>
  <c r="V475" i="3"/>
  <c r="W634" i="3"/>
  <c r="V634" i="3"/>
  <c r="X634" i="3"/>
  <c r="BB661" i="3"/>
  <c r="BD661" i="3"/>
  <c r="BC661" i="3"/>
  <c r="BC756" i="3"/>
  <c r="BB756" i="3"/>
  <c r="BD756" i="3"/>
  <c r="V841" i="3"/>
  <c r="X841" i="3"/>
  <c r="W841" i="3"/>
  <c r="BC848" i="3"/>
  <c r="BB848" i="3"/>
  <c r="BD848" i="3"/>
  <c r="V911" i="3"/>
  <c r="X911" i="3"/>
  <c r="W911" i="3"/>
  <c r="X968" i="3"/>
  <c r="W968" i="3"/>
  <c r="V968" i="3"/>
  <c r="BB1029" i="3"/>
  <c r="BC1029" i="3"/>
  <c r="BD1029" i="3"/>
  <c r="BB1054" i="3"/>
  <c r="BD1054" i="3"/>
  <c r="BC1054" i="3"/>
  <c r="BD1057" i="3"/>
  <c r="BB1057" i="3"/>
  <c r="BC1057" i="3"/>
  <c r="BC1060" i="3"/>
  <c r="BB1060" i="3"/>
  <c r="BD1060" i="3"/>
  <c r="BD1063" i="3"/>
  <c r="BB1063" i="3"/>
  <c r="BC1063" i="3"/>
  <c r="BA1026" i="3"/>
  <c r="BD1026" i="3" s="1"/>
  <c r="BA1245" i="3" s="1"/>
  <c r="BB1082" i="3"/>
  <c r="BC1082" i="3"/>
  <c r="BD1082" i="3"/>
  <c r="BC1097" i="3"/>
  <c r="BB1097" i="3"/>
  <c r="BD1097" i="3"/>
  <c r="BA1118" i="3"/>
  <c r="BD1118" i="3" s="1"/>
  <c r="BA1102" i="3" s="1"/>
  <c r="BD1102" i="3" s="1"/>
  <c r="BA1080" i="3" s="1"/>
  <c r="BD1080" i="3" s="1"/>
  <c r="BA1100" i="3" s="1"/>
  <c r="BD1100" i="3" s="1"/>
  <c r="BA1075" i="3" s="1"/>
  <c r="BD1075" i="3" s="1"/>
  <c r="BA1103" i="3" s="1"/>
  <c r="BD1103" i="3" s="1"/>
  <c r="BA1071" i="3" s="1"/>
  <c r="BD1071" i="3" s="1"/>
  <c r="BA1255" i="3" s="1"/>
  <c r="BD1255" i="3" s="1"/>
  <c r="BA1101" i="3" s="1"/>
  <c r="BD1101" i="3" s="1"/>
  <c r="BA1104" i="3" s="1"/>
  <c r="BD1104" i="3" s="1"/>
  <c r="BA1079" i="3" s="1"/>
  <c r="BD1079" i="3" s="1"/>
  <c r="BA1073" i="3" s="1"/>
  <c r="BD1073" i="3" s="1"/>
  <c r="BA1251" i="3" s="1"/>
  <c r="BD1251" i="3" s="1"/>
  <c r="BA1042" i="3" s="1"/>
  <c r="BD1042" i="3" s="1"/>
  <c r="BA1065" i="3" s="1"/>
  <c r="BD1065" i="3" s="1"/>
  <c r="BA1086" i="3" s="1"/>
  <c r="BD1086" i="3" s="1"/>
  <c r="BA1085" i="3" s="1"/>
  <c r="BD1085" i="3" s="1"/>
  <c r="BA1083" i="3" s="1"/>
  <c r="BD1083" i="3" s="1"/>
  <c r="BA1064" i="3" s="1"/>
  <c r="BD1064" i="3" s="1"/>
  <c r="BA1250" i="3" s="1"/>
  <c r="BD1250" i="3" s="1"/>
  <c r="BA1151" i="3" s="1"/>
  <c r="BC1136" i="3"/>
  <c r="BB1136" i="3"/>
  <c r="BD1136" i="3"/>
  <c r="BC1139" i="3"/>
  <c r="BB1139" i="3"/>
  <c r="BD1139" i="3"/>
  <c r="BB1142" i="3"/>
  <c r="BD1142" i="3"/>
  <c r="BC1142" i="3"/>
  <c r="BA1145" i="3"/>
  <c r="BC1153" i="3"/>
  <c r="BB1153" i="3"/>
  <c r="BD1153" i="3"/>
  <c r="BD1157" i="3"/>
  <c r="BB1157" i="3"/>
  <c r="AY293" i="70" s="1"/>
  <c r="BC1157" i="3"/>
  <c r="BC1160" i="3"/>
  <c r="BB1160" i="3"/>
  <c r="BD1160" i="3"/>
  <c r="BC1163" i="3"/>
  <c r="BB1163" i="3"/>
  <c r="BD1163" i="3"/>
  <c r="BC1165" i="3"/>
  <c r="BD1165" i="3"/>
  <c r="BB1165" i="3"/>
  <c r="BB1168" i="3"/>
  <c r="BC1168" i="3"/>
  <c r="BD1168" i="3"/>
  <c r="BB1169" i="3"/>
  <c r="BC1169" i="3"/>
  <c r="BD1169" i="3"/>
  <c r="BD1170" i="3"/>
  <c r="BB1170" i="3"/>
  <c r="BC1170" i="3"/>
  <c r="X1243" i="3"/>
  <c r="W1243" i="3"/>
  <c r="V1243" i="3"/>
  <c r="W1244" i="3"/>
  <c r="X1244" i="3"/>
  <c r="V1244" i="3"/>
  <c r="W1245" i="3"/>
  <c r="X1245" i="3"/>
  <c r="V1245" i="3"/>
  <c r="X1246" i="3"/>
  <c r="V1246" i="3"/>
  <c r="W1246" i="3"/>
  <c r="V1257" i="3"/>
  <c r="X1257" i="3"/>
  <c r="W1257" i="3"/>
  <c r="BC1258" i="3"/>
  <c r="BD1258" i="3"/>
  <c r="BB1258" i="3"/>
  <c r="BD1262" i="3"/>
  <c r="BC1262" i="3"/>
  <c r="BB1262" i="3"/>
  <c r="V1267" i="3"/>
  <c r="X1267" i="3"/>
  <c r="W1267" i="3"/>
  <c r="W1268" i="3"/>
  <c r="X1268" i="3"/>
  <c r="V1268" i="3"/>
  <c r="X1269" i="3"/>
  <c r="V1269" i="3"/>
  <c r="W1269" i="3"/>
  <c r="BA1270" i="3"/>
  <c r="BD1270" i="3" s="1"/>
  <c r="BA1266" i="3" s="1"/>
  <c r="BD1266" i="3" s="1"/>
  <c r="BA1263" i="3" s="1"/>
  <c r="BC1274" i="3"/>
  <c r="BB1274" i="3"/>
  <c r="BD1274" i="3"/>
  <c r="BC1275" i="3"/>
  <c r="BD1275" i="3"/>
  <c r="BB1275" i="3"/>
  <c r="BB1276" i="3"/>
  <c r="BD1276" i="3"/>
  <c r="BC1276" i="3"/>
  <c r="BB1279" i="3"/>
  <c r="BD1279" i="3"/>
  <c r="BC1279" i="3"/>
  <c r="BB1282" i="3"/>
  <c r="BD1282" i="3"/>
  <c r="BC1282" i="3"/>
  <c r="BC1283" i="3"/>
  <c r="BB1283" i="3"/>
  <c r="BD1283" i="3"/>
  <c r="BB1286" i="3"/>
  <c r="BD1286" i="3"/>
  <c r="BC1286" i="3"/>
  <c r="BB1289" i="3"/>
  <c r="BD1289" i="3"/>
  <c r="BC1289" i="3"/>
  <c r="BD1295" i="3"/>
  <c r="BC1295" i="3"/>
  <c r="BB1295" i="3"/>
  <c r="BC1296" i="3"/>
  <c r="BB1296" i="3"/>
  <c r="BD1296" i="3"/>
  <c r="BB1299" i="3"/>
  <c r="BD1299" i="3"/>
  <c r="BC1299" i="3"/>
  <c r="BB1302" i="3"/>
  <c r="BD1302" i="3"/>
  <c r="BC1302" i="3"/>
  <c r="BD1303" i="3"/>
  <c r="BB1303" i="3"/>
  <c r="BC1303" i="3"/>
  <c r="V1306" i="3"/>
  <c r="W1306" i="3"/>
  <c r="X1306" i="3"/>
  <c r="BD1307" i="3"/>
  <c r="BB1307" i="3"/>
  <c r="BC1307" i="3"/>
  <c r="W1310" i="3"/>
  <c r="V1310" i="3"/>
  <c r="X1310" i="3"/>
  <c r="BC1311" i="3"/>
  <c r="BB1311" i="3"/>
  <c r="BD1311" i="3"/>
  <c r="V1314" i="3"/>
  <c r="W1314" i="3"/>
  <c r="X1314" i="3"/>
  <c r="BC1315" i="3"/>
  <c r="BB1315" i="3"/>
  <c r="BD1315" i="3"/>
  <c r="BC1316" i="3"/>
  <c r="BB1316" i="3"/>
  <c r="BD1316" i="3"/>
  <c r="X1319" i="3"/>
  <c r="V1319" i="3"/>
  <c r="W1319" i="3"/>
  <c r="BD1156" i="3"/>
  <c r="BC1156" i="3"/>
  <c r="BB1156" i="3"/>
  <c r="W190" i="3"/>
  <c r="X190" i="3"/>
  <c r="V190" i="3"/>
  <c r="BB300" i="3"/>
  <c r="BC300" i="3"/>
  <c r="BD300" i="3"/>
  <c r="W487" i="3"/>
  <c r="X487" i="3"/>
  <c r="V487" i="3"/>
  <c r="BB663" i="3"/>
  <c r="BD663" i="3"/>
  <c r="BC663" i="3"/>
  <c r="BB1013" i="3"/>
  <c r="BC1013" i="3"/>
  <c r="BD1013" i="3"/>
  <c r="BB1034" i="3"/>
  <c r="BC1034" i="3"/>
  <c r="BD1034" i="3"/>
  <c r="X1037" i="3"/>
  <c r="V1037" i="3"/>
  <c r="W1037" i="3"/>
  <c r="BD1041" i="3"/>
  <c r="BC1041" i="3"/>
  <c r="BB1041" i="3"/>
  <c r="BB1047" i="3"/>
  <c r="BC1047" i="3"/>
  <c r="BD1047" i="3"/>
  <c r="BA1048" i="3"/>
  <c r="X1065" i="3"/>
  <c r="V1065" i="3"/>
  <c r="W1065" i="3"/>
  <c r="BD1084" i="3"/>
  <c r="BB1084" i="3"/>
  <c r="BC1084" i="3"/>
  <c r="BC1093" i="3"/>
  <c r="BD1093" i="3"/>
  <c r="BB1093" i="3"/>
  <c r="BD1096" i="3"/>
  <c r="BB1096" i="3"/>
  <c r="BC1096" i="3"/>
  <c r="BB1110" i="3"/>
  <c r="BD1110" i="3"/>
  <c r="BC1110" i="3"/>
  <c r="BB1117" i="3"/>
  <c r="BD1117" i="3"/>
  <c r="BC1117" i="3"/>
  <c r="BA1129" i="3"/>
  <c r="BD1129" i="3" s="1"/>
  <c r="BA1128" i="3" s="1"/>
  <c r="BD1128" i="3" s="1"/>
  <c r="BA1126" i="3" s="1"/>
  <c r="BD1126" i="3" s="1"/>
  <c r="BA1125" i="3" s="1"/>
  <c r="BD1125" i="3" s="1"/>
  <c r="BA1124" i="3" s="1"/>
  <c r="BD1124" i="3" s="1"/>
  <c r="BA1123" i="3" s="1"/>
  <c r="BD1123" i="3" s="1"/>
  <c r="BA1122" i="3" s="1"/>
  <c r="BD1122" i="3" s="1"/>
  <c r="BA1121" i="3" s="1"/>
  <c r="BD1121" i="3" s="1"/>
  <c r="BA1120" i="3" s="1"/>
  <c r="BB1138" i="3"/>
  <c r="BC1138" i="3"/>
  <c r="BD1138" i="3"/>
  <c r="BD1144" i="3"/>
  <c r="BB1144" i="3"/>
  <c r="BC1144" i="3"/>
  <c r="BA1046" i="3"/>
  <c r="BC1152" i="3"/>
  <c r="BB1152" i="3"/>
  <c r="BD1152" i="3"/>
  <c r="BB1155" i="3"/>
  <c r="BC1155" i="3"/>
  <c r="BD1155" i="3"/>
  <c r="BB1159" i="3"/>
  <c r="BC1159" i="3"/>
  <c r="BD1159" i="3"/>
  <c r="BB1162" i="3"/>
  <c r="BC1162" i="3"/>
  <c r="BD1162" i="3"/>
  <c r="BB1167" i="3"/>
  <c r="BC1167" i="3"/>
  <c r="BD1167" i="3"/>
  <c r="X1173" i="3"/>
  <c r="V1173" i="3"/>
  <c r="W1173" i="3"/>
  <c r="V1174" i="3"/>
  <c r="W1174" i="3"/>
  <c r="X1174" i="3"/>
  <c r="W1175" i="3"/>
  <c r="X1175" i="3"/>
  <c r="V1175" i="3"/>
  <c r="W1176" i="3"/>
  <c r="V1176" i="3"/>
  <c r="X1176" i="3"/>
  <c r="V1177" i="3"/>
  <c r="W1177" i="3"/>
  <c r="X1177" i="3"/>
  <c r="W1178" i="3"/>
  <c r="X1178" i="3"/>
  <c r="V1178" i="3"/>
  <c r="W1179" i="3"/>
  <c r="X1179" i="3"/>
  <c r="V1179" i="3"/>
  <c r="W1180" i="3"/>
  <c r="X1180" i="3"/>
  <c r="V1180" i="3"/>
  <c r="X1181" i="3"/>
  <c r="V1181" i="3"/>
  <c r="W1181" i="3"/>
  <c r="V1182" i="3"/>
  <c r="W1182" i="3"/>
  <c r="X1182" i="3"/>
  <c r="X1183" i="3"/>
  <c r="V1183" i="3"/>
  <c r="W1183" i="3"/>
  <c r="X1184" i="3"/>
  <c r="W1184" i="3"/>
  <c r="V1184" i="3"/>
  <c r="V1185" i="3"/>
  <c r="W1185" i="3"/>
  <c r="X1185" i="3"/>
  <c r="V1186" i="3"/>
  <c r="X1186" i="3"/>
  <c r="W1186" i="3"/>
  <c r="V1187" i="3"/>
  <c r="X1187" i="3"/>
  <c r="W1187" i="3"/>
  <c r="V1188" i="3"/>
  <c r="W1188" i="3"/>
  <c r="X1188" i="3"/>
  <c r="X1189" i="3"/>
  <c r="W1189" i="3"/>
  <c r="V1189" i="3"/>
  <c r="W1190" i="3"/>
  <c r="V1190" i="3"/>
  <c r="X1190" i="3"/>
  <c r="W1191" i="3"/>
  <c r="V1191" i="3"/>
  <c r="X1191" i="3"/>
  <c r="W1192" i="3"/>
  <c r="V1192" i="3"/>
  <c r="X1192" i="3"/>
  <c r="V1193" i="3"/>
  <c r="X1193" i="3"/>
  <c r="W1193" i="3"/>
  <c r="X1194" i="3"/>
  <c r="W1194" i="3"/>
  <c r="V1194" i="3"/>
  <c r="X1195" i="3"/>
  <c r="W1195" i="3"/>
  <c r="V1195" i="3"/>
  <c r="X1196" i="3"/>
  <c r="W1196" i="3"/>
  <c r="V1196" i="3"/>
  <c r="V1197" i="3"/>
  <c r="X1197" i="3"/>
  <c r="W1197" i="3"/>
  <c r="V1198" i="3"/>
  <c r="W1198" i="3"/>
  <c r="X1198" i="3"/>
  <c r="W1199" i="3"/>
  <c r="V1199" i="3"/>
  <c r="X1199" i="3"/>
  <c r="X1200" i="3"/>
  <c r="W1200" i="3"/>
  <c r="V1200" i="3"/>
  <c r="X1201" i="3"/>
  <c r="V1201" i="3"/>
  <c r="W1201" i="3"/>
  <c r="X1202" i="3"/>
  <c r="V1202" i="3"/>
  <c r="W1202" i="3"/>
  <c r="V1203" i="3"/>
  <c r="X1203" i="3"/>
  <c r="W1203" i="3"/>
  <c r="V1204" i="3"/>
  <c r="W1204" i="3"/>
  <c r="X1204" i="3"/>
  <c r="W1205" i="3"/>
  <c r="X1205" i="3"/>
  <c r="V1205" i="3"/>
  <c r="V1206" i="3"/>
  <c r="X1206" i="3"/>
  <c r="W1206" i="3"/>
  <c r="V1207" i="3"/>
  <c r="X1207" i="3"/>
  <c r="W1207" i="3"/>
  <c r="X1208" i="3"/>
  <c r="V1208" i="3"/>
  <c r="W1208" i="3"/>
  <c r="X1209" i="3"/>
  <c r="V1209" i="3"/>
  <c r="W1209" i="3"/>
  <c r="W1210" i="3"/>
  <c r="V1210" i="3"/>
  <c r="X1210" i="3"/>
  <c r="W1211" i="3"/>
  <c r="V1211" i="3"/>
  <c r="X1211" i="3"/>
  <c r="V1212" i="3"/>
  <c r="W1212" i="3"/>
  <c r="X1212" i="3"/>
  <c r="V1213" i="3"/>
  <c r="X1213" i="3"/>
  <c r="W1213" i="3"/>
  <c r="X1214" i="3"/>
  <c r="W1214" i="3"/>
  <c r="V1214" i="3"/>
  <c r="W1215" i="3"/>
  <c r="X1215" i="3"/>
  <c r="V1215" i="3"/>
  <c r="X1220" i="3"/>
  <c r="V1220" i="3"/>
  <c r="W1220" i="3"/>
  <c r="W1221" i="3"/>
  <c r="V1221" i="3"/>
  <c r="X1221" i="3"/>
  <c r="W1222" i="3"/>
  <c r="X1222" i="3"/>
  <c r="V1222" i="3"/>
  <c r="W1223" i="3"/>
  <c r="X1223" i="3"/>
  <c r="V1223" i="3"/>
  <c r="X1224" i="3"/>
  <c r="W1224" i="3"/>
  <c r="V1224" i="3"/>
  <c r="V1225" i="3"/>
  <c r="W1225" i="3"/>
  <c r="X1225" i="3"/>
  <c r="V1226" i="3"/>
  <c r="X1226" i="3"/>
  <c r="W1226" i="3"/>
  <c r="X1227" i="3"/>
  <c r="V1227" i="3"/>
  <c r="W1227" i="3"/>
  <c r="W1228" i="3"/>
  <c r="X1228" i="3"/>
  <c r="V1228" i="3"/>
  <c r="W1229" i="3"/>
  <c r="X1229" i="3"/>
  <c r="V1229" i="3"/>
  <c r="X1230" i="3"/>
  <c r="V1230" i="3"/>
  <c r="W1230" i="3"/>
  <c r="V1231" i="3"/>
  <c r="X1231" i="3"/>
  <c r="W1231" i="3"/>
  <c r="X1232" i="3"/>
  <c r="W1232" i="3"/>
  <c r="V1232" i="3"/>
  <c r="V1233" i="3"/>
  <c r="W1233" i="3"/>
  <c r="X1233" i="3"/>
  <c r="X1234" i="3"/>
  <c r="W1234" i="3"/>
  <c r="V1234" i="3"/>
  <c r="V1235" i="3"/>
  <c r="W1235" i="3"/>
  <c r="X1235" i="3"/>
  <c r="W1236" i="3"/>
  <c r="X1236" i="3"/>
  <c r="V1236" i="3"/>
  <c r="X1237" i="3"/>
  <c r="V1237" i="3"/>
  <c r="W1237" i="3"/>
  <c r="X1238" i="3"/>
  <c r="W1238" i="3"/>
  <c r="V1238" i="3"/>
  <c r="W1239" i="3"/>
  <c r="V1239" i="3"/>
  <c r="X1239" i="3"/>
  <c r="V1240" i="3"/>
  <c r="W1240" i="3"/>
  <c r="X1240" i="3"/>
  <c r="V1241" i="3"/>
  <c r="X1241" i="3"/>
  <c r="W1241" i="3"/>
  <c r="BA1171" i="3"/>
  <c r="V1250" i="3"/>
  <c r="W1250" i="3"/>
  <c r="X1250" i="3"/>
  <c r="V1251" i="3"/>
  <c r="W1251" i="3"/>
  <c r="X1251" i="3"/>
  <c r="X1255" i="3"/>
  <c r="W1255" i="3"/>
  <c r="V1255" i="3"/>
  <c r="BA1252" i="3"/>
  <c r="BD1252" i="3" s="1"/>
  <c r="BA1249" i="3" s="1"/>
  <c r="BD1261" i="3"/>
  <c r="BC1261" i="3"/>
  <c r="BB1261" i="3"/>
  <c r="X1264" i="3"/>
  <c r="W1264" i="3"/>
  <c r="V1264" i="3"/>
  <c r="V1265" i="3"/>
  <c r="X1265" i="3"/>
  <c r="W1265" i="3"/>
  <c r="BC1278" i="3"/>
  <c r="BD1278" i="3"/>
  <c r="BB1278" i="3"/>
  <c r="BC1281" i="3"/>
  <c r="BB1281" i="3"/>
  <c r="BD1281" i="3"/>
  <c r="BB1285" i="3"/>
  <c r="BD1285" i="3"/>
  <c r="BC1285" i="3"/>
  <c r="BD1288" i="3"/>
  <c r="BB1288" i="3"/>
  <c r="BC1288" i="3"/>
  <c r="W1291" i="3"/>
  <c r="V1291" i="3"/>
  <c r="X1291" i="3"/>
  <c r="W1292" i="3"/>
  <c r="V1292" i="3"/>
  <c r="X1292" i="3"/>
  <c r="V1293" i="3"/>
  <c r="W1293" i="3"/>
  <c r="X1293" i="3"/>
  <c r="BC1294" i="3"/>
  <c r="BB1294" i="3"/>
  <c r="BD1294" i="3"/>
  <c r="BB1298" i="3"/>
  <c r="BC1298" i="3"/>
  <c r="BD1298" i="3"/>
  <c r="BD1301" i="3"/>
  <c r="BB1301" i="3"/>
  <c r="BC1301" i="3"/>
  <c r="BB1305" i="3"/>
  <c r="BD1305" i="3"/>
  <c r="BC1305" i="3"/>
  <c r="BB1306" i="3"/>
  <c r="BC1306" i="3"/>
  <c r="BD1306" i="3"/>
  <c r="BC1309" i="3"/>
  <c r="BD1309" i="3"/>
  <c r="BB1309" i="3"/>
  <c r="BC1310" i="3"/>
  <c r="BD1310" i="3"/>
  <c r="BB1310" i="3"/>
  <c r="BC1313" i="3"/>
  <c r="BD1313" i="3"/>
  <c r="BB1313" i="3"/>
  <c r="BC1314" i="3"/>
  <c r="BD1314" i="3"/>
  <c r="BB1314" i="3"/>
  <c r="BA1318" i="3"/>
  <c r="BD1319" i="3"/>
  <c r="BB1319" i="3"/>
  <c r="BC1319" i="3"/>
  <c r="V188" i="3"/>
  <c r="W188" i="3"/>
  <c r="X188" i="3"/>
  <c r="X214" i="3"/>
  <c r="W214" i="3"/>
  <c r="V214" i="3"/>
  <c r="W357" i="3"/>
  <c r="X357" i="3"/>
  <c r="V357" i="3"/>
  <c r="V421" i="3"/>
  <c r="X421" i="3"/>
  <c r="W421" i="3"/>
  <c r="BD643" i="3"/>
  <c r="BB643" i="3"/>
  <c r="BC643" i="3"/>
  <c r="BC662" i="3"/>
  <c r="BB662" i="3"/>
  <c r="BD662" i="3"/>
  <c r="X829" i="3"/>
  <c r="W829" i="3"/>
  <c r="V829" i="3"/>
  <c r="S64" i="122"/>
  <c r="BD991" i="3"/>
  <c r="BB991" i="3"/>
  <c r="BC991" i="3"/>
  <c r="BC997" i="3"/>
  <c r="BB997" i="3"/>
  <c r="BD997" i="3"/>
  <c r="BD1030" i="3"/>
  <c r="BB1030" i="3"/>
  <c r="BC1030" i="3"/>
  <c r="BA1032" i="3"/>
  <c r="BD1043" i="3"/>
  <c r="BB1043" i="3"/>
  <c r="BC1043" i="3"/>
  <c r="BB1055" i="3"/>
  <c r="BC1055" i="3"/>
  <c r="BD1055" i="3"/>
  <c r="BD1061" i="3"/>
  <c r="BB1061" i="3"/>
  <c r="BC1061" i="3"/>
  <c r="BA1069" i="3"/>
  <c r="BA1087" i="3"/>
  <c r="BB1092" i="3"/>
  <c r="BC1092" i="3"/>
  <c r="BD1092" i="3"/>
  <c r="BD1095" i="3"/>
  <c r="BB1095" i="3"/>
  <c r="BC1095" i="3"/>
  <c r="BD1107" i="3"/>
  <c r="BC1107" i="3"/>
  <c r="BB1107" i="3"/>
  <c r="W1112" i="3"/>
  <c r="X1112" i="3"/>
  <c r="V1112" i="3"/>
  <c r="BA1066" i="3"/>
  <c r="BB1119" i="3"/>
  <c r="BC1119" i="3"/>
  <c r="BD1119" i="3"/>
  <c r="BB1137" i="3"/>
  <c r="BC1137" i="3"/>
  <c r="BD1137" i="3"/>
  <c r="BB1140" i="3"/>
  <c r="BC1140" i="3"/>
  <c r="BD1140" i="3"/>
  <c r="BD1143" i="3"/>
  <c r="BC1143" i="3"/>
  <c r="BB1143" i="3"/>
  <c r="BB1154" i="3"/>
  <c r="BC1154" i="3"/>
  <c r="BD1154" i="3"/>
  <c r="BB1158" i="3"/>
  <c r="BD1158" i="3"/>
  <c r="BC1158" i="3"/>
  <c r="BB1161" i="3"/>
  <c r="BC1161" i="3"/>
  <c r="BD1161" i="3"/>
  <c r="BB1164" i="3"/>
  <c r="BC1164" i="3"/>
  <c r="BD1164" i="3"/>
  <c r="W1169" i="3"/>
  <c r="V1169" i="3"/>
  <c r="X1169" i="3"/>
  <c r="V1170" i="3"/>
  <c r="W1170" i="3"/>
  <c r="X1170" i="3"/>
  <c r="X1171" i="3"/>
  <c r="V1171" i="3"/>
  <c r="W1171" i="3"/>
  <c r="X1218" i="3"/>
  <c r="W1218" i="3"/>
  <c r="V1218" i="3"/>
  <c r="BC1238" i="3"/>
  <c r="BD1238" i="3"/>
  <c r="BB1238" i="3"/>
  <c r="X1248" i="3"/>
  <c r="V1248" i="3"/>
  <c r="W1248" i="3"/>
  <c r="W1259" i="3"/>
  <c r="V1259" i="3"/>
  <c r="X1259" i="3"/>
  <c r="BB1260" i="3"/>
  <c r="BC1260" i="3"/>
  <c r="BD1260" i="3"/>
  <c r="V1274" i="3"/>
  <c r="W1274" i="3"/>
  <c r="X1274" i="3"/>
  <c r="W1275" i="3"/>
  <c r="X1275" i="3"/>
  <c r="V1275" i="3"/>
  <c r="W1276" i="3"/>
  <c r="X1276" i="3"/>
  <c r="V1276" i="3"/>
  <c r="BD1277" i="3"/>
  <c r="BB1277" i="3"/>
  <c r="BC1277" i="3"/>
  <c r="BB1280" i="3"/>
  <c r="BC1280" i="3"/>
  <c r="BD1280" i="3"/>
  <c r="W1283" i="3"/>
  <c r="X1283" i="3"/>
  <c r="V1283" i="3"/>
  <c r="BD1284" i="3"/>
  <c r="BB1284" i="3"/>
  <c r="BC1284" i="3"/>
  <c r="BB1287" i="3"/>
  <c r="BC1287" i="3"/>
  <c r="BD1287" i="3"/>
  <c r="BB1290" i="3"/>
  <c r="BC1290" i="3"/>
  <c r="BD1290" i="3"/>
  <c r="BC1291" i="3"/>
  <c r="BD1291" i="3"/>
  <c r="BB1291" i="3"/>
  <c r="BC1292" i="3"/>
  <c r="BD1292" i="3"/>
  <c r="BB1292" i="3"/>
  <c r="BD1293" i="3"/>
  <c r="BC1293" i="3"/>
  <c r="BB1293" i="3"/>
  <c r="V1296" i="3"/>
  <c r="X1296" i="3"/>
  <c r="W1296" i="3"/>
  <c r="BB1297" i="3"/>
  <c r="BD1297" i="3"/>
  <c r="BC1297" i="3"/>
  <c r="BD1300" i="3"/>
  <c r="BC1300" i="3"/>
  <c r="BB1300" i="3"/>
  <c r="X1303" i="3"/>
  <c r="W1303" i="3"/>
  <c r="V1303" i="3"/>
  <c r="BB1304" i="3"/>
  <c r="BC1304" i="3"/>
  <c r="BD1304" i="3"/>
  <c r="BB1308" i="3"/>
  <c r="BC1308" i="3"/>
  <c r="BD1308" i="3"/>
  <c r="BD1312" i="3"/>
  <c r="BB1312" i="3"/>
  <c r="BC1312" i="3"/>
  <c r="V1316" i="3"/>
  <c r="X1316" i="3"/>
  <c r="W1316" i="3"/>
  <c r="BC1317" i="3"/>
  <c r="BB1317" i="3"/>
  <c r="BD1317" i="3"/>
  <c r="BB1135" i="3" l="1"/>
  <c r="BD1135" i="3"/>
  <c r="BB1166" i="3"/>
  <c r="BD1166" i="3"/>
  <c r="BC1166" i="3"/>
  <c r="BD1098" i="3"/>
  <c r="BC1135" i="3"/>
  <c r="BC1098" i="3"/>
  <c r="BB293" i="70"/>
  <c r="BA293" i="70"/>
  <c r="AZ293" i="70"/>
  <c r="AY290" i="70"/>
  <c r="BA291" i="70"/>
  <c r="AZ291" i="70"/>
  <c r="BB291" i="70"/>
  <c r="BD1066" i="3"/>
  <c r="BC1066" i="3"/>
  <c r="BB1066" i="3"/>
  <c r="BD1032" i="3"/>
  <c r="BC1032" i="3"/>
  <c r="BB1032" i="3"/>
  <c r="BD1249" i="3"/>
  <c r="BC1249" i="3"/>
  <c r="BB1249" i="3"/>
  <c r="BB1120" i="3"/>
  <c r="BC1120" i="3"/>
  <c r="BD1120" i="3"/>
  <c r="BD1145" i="3"/>
  <c r="BC1145" i="3"/>
  <c r="BB1145" i="3"/>
  <c r="S72" i="122"/>
  <c r="S66" i="122"/>
  <c r="S74" i="122" s="1"/>
  <c r="N6" i="122"/>
  <c r="N9" i="122"/>
  <c r="BD1171" i="3"/>
  <c r="BB1171" i="3"/>
  <c r="BC1171" i="3"/>
  <c r="BD1048" i="3"/>
  <c r="BC1048" i="3"/>
  <c r="BB1048" i="3"/>
  <c r="T79" i="122"/>
  <c r="T76" i="122"/>
  <c r="BB1151" i="3"/>
  <c r="BD1151" i="3"/>
  <c r="BC1151" i="3"/>
  <c r="N64" i="122"/>
  <c r="N67" i="122"/>
  <c r="P9" i="122"/>
  <c r="P25" i="122" s="1"/>
  <c r="P6" i="122"/>
  <c r="BD1087" i="3"/>
  <c r="BC1087" i="3"/>
  <c r="BB1087" i="3"/>
  <c r="BD1069" i="3"/>
  <c r="BC1069" i="3"/>
  <c r="BB1069" i="3"/>
  <c r="BA1271" i="3"/>
  <c r="BD1271" i="3" s="1"/>
  <c r="BA1268" i="3" s="1"/>
  <c r="BD1268" i="3" s="1"/>
  <c r="BA1265" i="3" s="1"/>
  <c r="BC1318" i="3"/>
  <c r="BD1318" i="3"/>
  <c r="BB1318" i="3"/>
  <c r="BB1046" i="3"/>
  <c r="BC1046" i="3"/>
  <c r="BD1046" i="3"/>
  <c r="BD1263" i="3"/>
  <c r="BC1263" i="3"/>
  <c r="BB1263" i="3"/>
  <c r="BD1245" i="3"/>
  <c r="BC1245" i="3"/>
  <c r="BB1245" i="3"/>
  <c r="O64" i="122"/>
  <c r="O67" i="122"/>
  <c r="O75" i="122" s="1"/>
  <c r="AY289" i="70" l="1"/>
  <c r="AZ290" i="70"/>
  <c r="BA290" i="70"/>
  <c r="BB290" i="70"/>
  <c r="O66" i="122"/>
  <c r="O74" i="122" s="1"/>
  <c r="O72" i="122"/>
  <c r="T78" i="122"/>
  <c r="AE76" i="122"/>
  <c r="T92" i="122"/>
  <c r="BA658" i="3"/>
  <c r="AE6" i="122"/>
  <c r="N22" i="122"/>
  <c r="N8" i="122"/>
  <c r="BA1264" i="3"/>
  <c r="BB1265" i="3"/>
  <c r="BC1265" i="3"/>
  <c r="BD1265" i="3"/>
  <c r="AE67" i="122"/>
  <c r="N75" i="122"/>
  <c r="AE75" i="122" s="1"/>
  <c r="AE79" i="122"/>
  <c r="T95" i="122"/>
  <c r="P22" i="122"/>
  <c r="P8" i="122"/>
  <c r="P24" i="122" s="1"/>
  <c r="AE64" i="122"/>
  <c r="N72" i="122"/>
  <c r="N66" i="122"/>
  <c r="AE9" i="122"/>
  <c r="N25" i="122"/>
  <c r="AE25" i="122" s="1"/>
  <c r="AE72" i="122" l="1"/>
  <c r="AY288" i="70"/>
  <c r="BB289" i="70"/>
  <c r="BA289" i="70"/>
  <c r="AZ289" i="70"/>
  <c r="AC8" i="122"/>
  <c r="N24" i="122"/>
  <c r="AD8" i="122"/>
  <c r="BD658" i="3"/>
  <c r="BB658" i="3"/>
  <c r="BC658" i="3"/>
  <c r="AD78" i="122"/>
  <c r="T94" i="122"/>
  <c r="AC78" i="122"/>
  <c r="AE95" i="122"/>
  <c r="AG95" i="122"/>
  <c r="AE22" i="122"/>
  <c r="AG92" i="122"/>
  <c r="AE92" i="122"/>
  <c r="N74" i="122"/>
  <c r="AD66" i="122"/>
  <c r="AC66" i="122"/>
  <c r="BA1259" i="3"/>
  <c r="BD1264" i="3"/>
  <c r="BB1264" i="3"/>
  <c r="BC1264" i="3"/>
  <c r="AY258" i="70" l="1"/>
  <c r="BB288" i="70"/>
  <c r="BA288" i="70"/>
  <c r="AZ288" i="70"/>
  <c r="BA1257" i="3"/>
  <c r="BB1259" i="3"/>
  <c r="BD1259" i="3"/>
  <c r="BC1259" i="3"/>
  <c r="AD74" i="122"/>
  <c r="AC74" i="122"/>
  <c r="AC94" i="122"/>
  <c r="AD94" i="122"/>
  <c r="AD24" i="122"/>
  <c r="AC24" i="122"/>
  <c r="AY257" i="70" l="1"/>
  <c r="AZ258" i="70"/>
  <c r="BB258" i="70"/>
  <c r="BA258" i="70"/>
  <c r="BA1253" i="3"/>
  <c r="BD1253" i="3" s="1"/>
  <c r="BA1248" i="3" s="1"/>
  <c r="BC1257" i="3"/>
  <c r="BD1257" i="3"/>
  <c r="BB1257" i="3"/>
  <c r="AY256" i="70" l="1"/>
  <c r="BA257" i="70"/>
  <c r="BB257" i="70"/>
  <c r="AZ257" i="70"/>
  <c r="BA1247" i="3"/>
  <c r="BD1247" i="3" s="1"/>
  <c r="BA1244" i="3" s="1"/>
  <c r="BB1248" i="3"/>
  <c r="BD1248" i="3"/>
  <c r="BC1248" i="3"/>
  <c r="AY255" i="70" l="1"/>
  <c r="BB256" i="70"/>
  <c r="BA256" i="70"/>
  <c r="AZ256" i="70"/>
  <c r="BA1243" i="3"/>
  <c r="BB1244" i="3"/>
  <c r="BC1244" i="3"/>
  <c r="BD1244" i="3"/>
  <c r="AY254" i="70" l="1"/>
  <c r="BB255" i="70"/>
  <c r="BA255" i="70"/>
  <c r="AZ255" i="70"/>
  <c r="BA1239" i="3"/>
  <c r="BD1239" i="3" s="1"/>
  <c r="BA1237" i="3" s="1"/>
  <c r="BD1243" i="3"/>
  <c r="BC1243" i="3"/>
  <c r="BB1243" i="3"/>
  <c r="AY253" i="70" l="1"/>
  <c r="BA254" i="70"/>
  <c r="AZ254" i="70"/>
  <c r="BB254" i="70"/>
  <c r="BA1236" i="3"/>
  <c r="BD1237" i="3"/>
  <c r="BC1237" i="3"/>
  <c r="BB1237" i="3"/>
  <c r="AY252" i="70" l="1"/>
  <c r="AZ253" i="70"/>
  <c r="BB253" i="70"/>
  <c r="BA253" i="70"/>
  <c r="BA1235" i="3"/>
  <c r="BC1236" i="3"/>
  <c r="BD1236" i="3"/>
  <c r="BB1236" i="3"/>
  <c r="AY250" i="70" l="1"/>
  <c r="AZ252" i="70"/>
  <c r="BB252" i="70"/>
  <c r="BA252" i="70"/>
  <c r="BA1234" i="3"/>
  <c r="BD1235" i="3"/>
  <c r="BC1235" i="3"/>
  <c r="BB1235" i="3"/>
  <c r="AY249" i="70" l="1"/>
  <c r="AZ250" i="70"/>
  <c r="BA250" i="70"/>
  <c r="BB250" i="70"/>
  <c r="BA1233" i="3"/>
  <c r="BC1234" i="3"/>
  <c r="BD1234" i="3"/>
  <c r="BB1234" i="3"/>
  <c r="AY248" i="70" l="1"/>
  <c r="BA249" i="70"/>
  <c r="AZ249" i="70"/>
  <c r="BB249" i="70"/>
  <c r="BA1232" i="3"/>
  <c r="BD1233" i="3"/>
  <c r="BB1233" i="3"/>
  <c r="BC1233" i="3"/>
  <c r="AY247" i="70" l="1"/>
  <c r="AZ248" i="70"/>
  <c r="BA248" i="70"/>
  <c r="BB248" i="70"/>
  <c r="BA1231" i="3"/>
  <c r="BB1232" i="3"/>
  <c r="BD1232" i="3"/>
  <c r="BC1232" i="3"/>
  <c r="AY246" i="70" l="1"/>
  <c r="BB247" i="70"/>
  <c r="BA247" i="70"/>
  <c r="AZ247" i="70"/>
  <c r="BA1230" i="3"/>
  <c r="BD1231" i="3"/>
  <c r="BB1231" i="3"/>
  <c r="BC1231" i="3"/>
  <c r="AY245" i="70" l="1"/>
  <c r="AZ246" i="70"/>
  <c r="BA246" i="70"/>
  <c r="BB246" i="70"/>
  <c r="BA1229" i="3"/>
  <c r="BC1230" i="3"/>
  <c r="BD1230" i="3"/>
  <c r="BB1230" i="3"/>
  <c r="AY244" i="70" l="1"/>
  <c r="BB245" i="70"/>
  <c r="AZ245" i="70"/>
  <c r="BA245" i="70"/>
  <c r="BA1228" i="3"/>
  <c r="BD1229" i="3"/>
  <c r="BB1229" i="3"/>
  <c r="BC1229" i="3"/>
  <c r="AY243" i="70" l="1"/>
  <c r="BB244" i="70"/>
  <c r="BA244" i="70"/>
  <c r="AZ244" i="70"/>
  <c r="BA1227" i="3"/>
  <c r="BD1228" i="3"/>
  <c r="BC1228" i="3"/>
  <c r="BB1228" i="3"/>
  <c r="AY226" i="70" l="1"/>
  <c r="AZ243" i="70"/>
  <c r="BA243" i="70"/>
  <c r="BB243" i="70"/>
  <c r="BA1226" i="3"/>
  <c r="BD1227" i="3"/>
  <c r="BB1227" i="3"/>
  <c r="BC1227" i="3"/>
  <c r="AY225" i="70" l="1"/>
  <c r="BB226" i="70"/>
  <c r="AZ226" i="70"/>
  <c r="BA226" i="70"/>
  <c r="BA1225" i="3"/>
  <c r="BD1226" i="3"/>
  <c r="BC1226" i="3"/>
  <c r="BB1226" i="3"/>
  <c r="AY224" i="70" l="1"/>
  <c r="AZ225" i="70"/>
  <c r="BA225" i="70"/>
  <c r="BB225" i="70"/>
  <c r="BA1224" i="3"/>
  <c r="BD1225" i="3"/>
  <c r="BC1225" i="3"/>
  <c r="BB1225" i="3"/>
  <c r="AY222" i="70" l="1"/>
  <c r="BA224" i="70"/>
  <c r="AZ224" i="70"/>
  <c r="BB224" i="70"/>
  <c r="BA1223" i="3"/>
  <c r="BC1224" i="3"/>
  <c r="BB1224" i="3"/>
  <c r="BD1224" i="3"/>
  <c r="AY221" i="70" l="1"/>
  <c r="BA222" i="70"/>
  <c r="AZ222" i="70"/>
  <c r="BB222" i="70"/>
  <c r="BA1222" i="3"/>
  <c r="BC1223" i="3"/>
  <c r="BD1223" i="3"/>
  <c r="BB1223" i="3"/>
  <c r="AY220" i="70" l="1"/>
  <c r="BB221" i="70"/>
  <c r="AZ221" i="70"/>
  <c r="BA221" i="70"/>
  <c r="BA1221" i="3"/>
  <c r="BC1222" i="3"/>
  <c r="BB1222" i="3"/>
  <c r="BD1222" i="3"/>
  <c r="AY219" i="70" l="1"/>
  <c r="AZ220" i="70"/>
  <c r="BA220" i="70"/>
  <c r="BB220" i="70"/>
  <c r="BA1220" i="3"/>
  <c r="BC1221" i="3"/>
  <c r="BD1221" i="3"/>
  <c r="BB1221" i="3"/>
  <c r="AY217" i="70" l="1"/>
  <c r="BB219" i="70"/>
  <c r="BA219" i="70"/>
  <c r="AZ219" i="70"/>
  <c r="BA1219" i="3"/>
  <c r="BC1220" i="3"/>
  <c r="BD1220" i="3"/>
  <c r="BB1220" i="3"/>
  <c r="AY216" i="70" l="1"/>
  <c r="BA217" i="70"/>
  <c r="BB217" i="70"/>
  <c r="AZ217" i="70"/>
  <c r="BA1218" i="3"/>
  <c r="BB1219" i="3"/>
  <c r="BC1219" i="3"/>
  <c r="BD1219" i="3"/>
  <c r="AY215" i="70" l="1"/>
  <c r="BA216" i="70"/>
  <c r="BB216" i="70"/>
  <c r="AZ216" i="70"/>
  <c r="BA1217" i="3"/>
  <c r="BC1218" i="3"/>
  <c r="BD1218" i="3"/>
  <c r="BB1218" i="3"/>
  <c r="AY213" i="70" l="1"/>
  <c r="BA215" i="70"/>
  <c r="BB215" i="70"/>
  <c r="AZ215" i="70"/>
  <c r="BA1216" i="3"/>
  <c r="BD1217" i="3"/>
  <c r="BC1217" i="3"/>
  <c r="BB1217" i="3"/>
  <c r="AY212" i="70" l="1"/>
  <c r="BA213" i="70"/>
  <c r="AZ213" i="70"/>
  <c r="BB213" i="70"/>
  <c r="BA1215" i="3"/>
  <c r="BD1215" i="3" s="1"/>
  <c r="BA1214" i="3" s="1"/>
  <c r="BB1216" i="3"/>
  <c r="BC1216" i="3"/>
  <c r="BD1216" i="3"/>
  <c r="AY211" i="70" l="1"/>
  <c r="BA212" i="70"/>
  <c r="AZ212" i="70"/>
  <c r="BB212" i="70"/>
  <c r="BA1213" i="3"/>
  <c r="BD1214" i="3"/>
  <c r="BC1214" i="3"/>
  <c r="BB1214" i="3"/>
  <c r="AY210" i="70" l="1"/>
  <c r="BA211" i="70"/>
  <c r="BB211" i="70"/>
  <c r="AZ211" i="70"/>
  <c r="BA1212" i="3"/>
  <c r="BC1213" i="3"/>
  <c r="BD1213" i="3"/>
  <c r="BB1213" i="3"/>
  <c r="AY209" i="70" l="1"/>
  <c r="BB210" i="70"/>
  <c r="AZ210" i="70"/>
  <c r="BA210" i="70"/>
  <c r="BA1211" i="3"/>
  <c r="BD1212" i="3"/>
  <c r="BB1212" i="3"/>
  <c r="BC1212" i="3"/>
  <c r="AY208" i="70" l="1"/>
  <c r="BB209" i="70"/>
  <c r="BA209" i="70"/>
  <c r="AZ209" i="70"/>
  <c r="BA1210" i="3"/>
  <c r="BD1211" i="3"/>
  <c r="BB1211" i="3"/>
  <c r="BC1211" i="3"/>
  <c r="AY207" i="70" l="1"/>
  <c r="AZ208" i="70"/>
  <c r="BB208" i="70"/>
  <c r="BA208" i="70"/>
  <c r="BA1209" i="3"/>
  <c r="BD1210" i="3"/>
  <c r="BC1210" i="3"/>
  <c r="BB1210" i="3"/>
  <c r="AY206" i="70" l="1"/>
  <c r="AZ207" i="70"/>
  <c r="BB207" i="70"/>
  <c r="BA207" i="70"/>
  <c r="BA1208" i="3"/>
  <c r="BB1209" i="3"/>
  <c r="BC1209" i="3"/>
  <c r="BD1209" i="3"/>
  <c r="AY205" i="70" l="1"/>
  <c r="BB206" i="70"/>
  <c r="BA206" i="70"/>
  <c r="AZ206" i="70"/>
  <c r="BA1207" i="3"/>
  <c r="BD1208" i="3"/>
  <c r="BB1208" i="3"/>
  <c r="BC1208" i="3"/>
  <c r="AY204" i="70" l="1"/>
  <c r="BA205" i="70"/>
  <c r="AZ205" i="70"/>
  <c r="BB205" i="70"/>
  <c r="BA1206" i="3"/>
  <c r="BD1207" i="3"/>
  <c r="BB1207" i="3"/>
  <c r="BC1207" i="3"/>
  <c r="AY203" i="70" l="1"/>
  <c r="BA204" i="70"/>
  <c r="BB204" i="70"/>
  <c r="AZ204" i="70"/>
  <c r="BA1205" i="3"/>
  <c r="BC1206" i="3"/>
  <c r="BD1206" i="3"/>
  <c r="BB1206" i="3"/>
  <c r="AY202" i="70" l="1"/>
  <c r="AZ203" i="70"/>
  <c r="BB203" i="70"/>
  <c r="BA203" i="70"/>
  <c r="BA1204" i="3"/>
  <c r="BC1205" i="3"/>
  <c r="BD1205" i="3"/>
  <c r="BB1205" i="3"/>
  <c r="AY201" i="70" l="1"/>
  <c r="BA202" i="70"/>
  <c r="AZ202" i="70"/>
  <c r="BB202" i="70"/>
  <c r="BA1203" i="3"/>
  <c r="BD1204" i="3"/>
  <c r="BC1204" i="3"/>
  <c r="BB1204" i="3"/>
  <c r="AY198" i="70" l="1"/>
  <c r="BB201" i="70"/>
  <c r="AZ201" i="70"/>
  <c r="BA201" i="70"/>
  <c r="BA1202" i="3"/>
  <c r="BB1203" i="3"/>
  <c r="BD1203" i="3"/>
  <c r="BC1203" i="3"/>
  <c r="AY196" i="70" l="1"/>
  <c r="BB198" i="70"/>
  <c r="BA198" i="70"/>
  <c r="AZ198" i="70"/>
  <c r="BA1201" i="3"/>
  <c r="BC1202" i="3"/>
  <c r="BD1202" i="3"/>
  <c r="BB1202" i="3"/>
  <c r="AY193" i="70" l="1"/>
  <c r="BB196" i="70"/>
  <c r="AZ196" i="70"/>
  <c r="BA196" i="70"/>
  <c r="BA1200" i="3"/>
  <c r="BD1201" i="3"/>
  <c r="BB1201" i="3"/>
  <c r="BC1201" i="3"/>
  <c r="AY192" i="70" l="1"/>
  <c r="BA193" i="70"/>
  <c r="AZ193" i="70"/>
  <c r="BB193" i="70"/>
  <c r="BA1199" i="3"/>
  <c r="BB1200" i="3"/>
  <c r="BD1200" i="3"/>
  <c r="BC1200" i="3"/>
  <c r="AY191" i="70" l="1"/>
  <c r="BB192" i="70"/>
  <c r="BA192" i="70"/>
  <c r="AZ192" i="70"/>
  <c r="BA1198" i="3"/>
  <c r="BD1199" i="3"/>
  <c r="BB1199" i="3"/>
  <c r="BC1199" i="3"/>
  <c r="AY190" i="70" l="1"/>
  <c r="BB191" i="70"/>
  <c r="BA191" i="70"/>
  <c r="AZ191" i="70"/>
  <c r="BA1197" i="3"/>
  <c r="BD1198" i="3"/>
  <c r="BB1198" i="3"/>
  <c r="BC1198" i="3"/>
  <c r="AY189" i="70" l="1"/>
  <c r="AZ190" i="70"/>
  <c r="BA190" i="70"/>
  <c r="BB190" i="70"/>
  <c r="BA1196" i="3"/>
  <c r="BB1197" i="3"/>
  <c r="BD1197" i="3"/>
  <c r="BC1197" i="3"/>
  <c r="AY188" i="70" l="1"/>
  <c r="BA189" i="70"/>
  <c r="AZ189" i="70"/>
  <c r="BB189" i="70"/>
  <c r="BA1195" i="3"/>
  <c r="BC1196" i="3"/>
  <c r="BD1196" i="3"/>
  <c r="BB1196" i="3"/>
  <c r="AY187" i="70" l="1"/>
  <c r="AZ188" i="70"/>
  <c r="BB188" i="70"/>
  <c r="BA188" i="70"/>
  <c r="BA1194" i="3"/>
  <c r="BD1195" i="3"/>
  <c r="BC1195" i="3"/>
  <c r="BB1195" i="3"/>
  <c r="AY186" i="70" l="1"/>
  <c r="BB187" i="70"/>
  <c r="AZ187" i="70"/>
  <c r="BA187" i="70"/>
  <c r="BA1193" i="3"/>
  <c r="BC1194" i="3"/>
  <c r="BD1194" i="3"/>
  <c r="BB1194" i="3"/>
  <c r="AY185" i="70" l="1"/>
  <c r="BA186" i="70"/>
  <c r="AZ186" i="70"/>
  <c r="BB186" i="70"/>
  <c r="BA1192" i="3"/>
  <c r="BB1193" i="3"/>
  <c r="BD1193" i="3"/>
  <c r="BC1193" i="3"/>
  <c r="AY184" i="70" l="1"/>
  <c r="AZ185" i="70"/>
  <c r="BB185" i="70"/>
  <c r="BA185" i="70"/>
  <c r="BA1191" i="3"/>
  <c r="BD1192" i="3"/>
  <c r="BB1192" i="3"/>
  <c r="BC1192" i="3"/>
  <c r="AY183" i="70" l="1"/>
  <c r="BA184" i="70"/>
  <c r="BB184" i="70"/>
  <c r="AZ184" i="70"/>
  <c r="BA1190" i="3"/>
  <c r="BB1191" i="3"/>
  <c r="BC1191" i="3"/>
  <c r="BD1191" i="3"/>
  <c r="AY182" i="70" l="1"/>
  <c r="BA183" i="70"/>
  <c r="BB183" i="70"/>
  <c r="AZ183" i="70"/>
  <c r="BA1189" i="3"/>
  <c r="BC1190" i="3"/>
  <c r="BD1190" i="3"/>
  <c r="BB1190" i="3"/>
  <c r="AY181" i="70" l="1"/>
  <c r="BB182" i="70"/>
  <c r="BA182" i="70"/>
  <c r="AZ182" i="70"/>
  <c r="BA1188" i="3"/>
  <c r="BB1189" i="3"/>
  <c r="BD1189" i="3"/>
  <c r="BC1189" i="3"/>
  <c r="AY180" i="70" l="1"/>
  <c r="BB181" i="70"/>
  <c r="BA181" i="70"/>
  <c r="AZ181" i="70"/>
  <c r="BA1187" i="3"/>
  <c r="BD1188" i="3"/>
  <c r="BC1188" i="3"/>
  <c r="BB1188" i="3"/>
  <c r="AY179" i="70" l="1"/>
  <c r="AZ180" i="70"/>
  <c r="BA180" i="70"/>
  <c r="BB180" i="70"/>
  <c r="BA1186" i="3"/>
  <c r="BD1187" i="3"/>
  <c r="BB1187" i="3"/>
  <c r="BC1187" i="3"/>
  <c r="AY178" i="70" l="1"/>
  <c r="BA179" i="70"/>
  <c r="AZ179" i="70"/>
  <c r="BB179" i="70"/>
  <c r="BA1185" i="3"/>
  <c r="BB1186" i="3"/>
  <c r="BC1186" i="3"/>
  <c r="BD1186" i="3"/>
  <c r="AY177" i="70" l="1"/>
  <c r="BB178" i="70"/>
  <c r="AZ178" i="70"/>
  <c r="BA178" i="70"/>
  <c r="BA1184" i="3"/>
  <c r="BB1185" i="3"/>
  <c r="BC1185" i="3"/>
  <c r="BD1185" i="3"/>
  <c r="AY176" i="70" l="1"/>
  <c r="BB177" i="70"/>
  <c r="AZ177" i="70"/>
  <c r="BA177" i="70"/>
  <c r="BA1183" i="3"/>
  <c r="BC1184" i="3"/>
  <c r="BD1184" i="3"/>
  <c r="BB1184" i="3"/>
  <c r="AY175" i="70" l="1"/>
  <c r="AZ176" i="70"/>
  <c r="BA176" i="70"/>
  <c r="BB176" i="70"/>
  <c r="BA1182" i="3"/>
  <c r="BD1183" i="3"/>
  <c r="BB1183" i="3"/>
  <c r="BC1183" i="3"/>
  <c r="AY174" i="70" l="1"/>
  <c r="AZ175" i="70"/>
  <c r="BA175" i="70"/>
  <c r="BB175" i="70"/>
  <c r="BA1181" i="3"/>
  <c r="BC1182" i="3"/>
  <c r="BD1182" i="3"/>
  <c r="BB1182" i="3"/>
  <c r="AY173" i="70" l="1"/>
  <c r="BB174" i="70"/>
  <c r="BA174" i="70"/>
  <c r="AZ174" i="70"/>
  <c r="BA1180" i="3"/>
  <c r="BC1181" i="3"/>
  <c r="BD1181" i="3"/>
  <c r="BB1181" i="3"/>
  <c r="AY172" i="70" l="1"/>
  <c r="BA173" i="70"/>
  <c r="AZ173" i="70"/>
  <c r="BB173" i="70"/>
  <c r="BA1179" i="3"/>
  <c r="BB1180" i="3"/>
  <c r="BD1180" i="3"/>
  <c r="BC1180" i="3"/>
  <c r="AY171" i="70" l="1"/>
  <c r="BA172" i="70"/>
  <c r="BB172" i="70"/>
  <c r="AZ172" i="70"/>
  <c r="BA1178" i="3"/>
  <c r="BD1179" i="3"/>
  <c r="BC1179" i="3"/>
  <c r="BB1179" i="3"/>
  <c r="AY170" i="70" l="1"/>
  <c r="AZ171" i="70"/>
  <c r="BA171" i="70"/>
  <c r="BB171" i="70"/>
  <c r="BA1177" i="3"/>
  <c r="BC1178" i="3"/>
  <c r="BD1178" i="3"/>
  <c r="BB1178" i="3"/>
  <c r="AY169" i="70" l="1"/>
  <c r="AZ170" i="70"/>
  <c r="BA170" i="70"/>
  <c r="BB170" i="70"/>
  <c r="BA1176" i="3"/>
  <c r="BD1177" i="3"/>
  <c r="BB1177" i="3"/>
  <c r="BC1177" i="3"/>
  <c r="AY168" i="70" l="1"/>
  <c r="AZ169" i="70"/>
  <c r="BB169" i="70"/>
  <c r="BA169" i="70"/>
  <c r="BA1175" i="3"/>
  <c r="BC1176" i="3"/>
  <c r="BD1176" i="3"/>
  <c r="BB1176" i="3"/>
  <c r="AY167" i="70" l="1"/>
  <c r="AZ168" i="70"/>
  <c r="BA168" i="70"/>
  <c r="BB168" i="70"/>
  <c r="BA1174" i="3"/>
  <c r="BD1175" i="3"/>
  <c r="BB1175" i="3"/>
  <c r="BC1175" i="3"/>
  <c r="AY166" i="70" l="1"/>
  <c r="BA167" i="70"/>
  <c r="AZ167" i="70"/>
  <c r="BB167" i="70"/>
  <c r="BA1173" i="3"/>
  <c r="BC1174" i="3"/>
  <c r="BD1174" i="3"/>
  <c r="BB1174" i="3"/>
  <c r="AY165" i="70" l="1"/>
  <c r="BA166" i="70"/>
  <c r="AZ166" i="70"/>
  <c r="BB166" i="70"/>
  <c r="BA1172" i="3"/>
  <c r="BD1173" i="3"/>
  <c r="BB1173" i="3"/>
  <c r="BC1173" i="3"/>
  <c r="AY164" i="70" l="1"/>
  <c r="AZ165" i="70"/>
  <c r="BB165" i="70"/>
  <c r="BA165" i="70"/>
  <c r="BA1148" i="3"/>
  <c r="BB1172" i="3"/>
  <c r="BC1172" i="3"/>
  <c r="BD1172" i="3"/>
  <c r="AY163" i="70" l="1"/>
  <c r="BA164" i="70"/>
  <c r="BB164" i="70"/>
  <c r="AZ164" i="70"/>
  <c r="BA1134" i="3"/>
  <c r="BB1148" i="3"/>
  <c r="BC1148" i="3"/>
  <c r="BD1148" i="3"/>
  <c r="AY162" i="70" l="1"/>
  <c r="AZ163" i="70"/>
  <c r="BA163" i="70"/>
  <c r="BB163" i="70"/>
  <c r="BA1133" i="3"/>
  <c r="BD1134" i="3"/>
  <c r="BC1134" i="3"/>
  <c r="BB1134" i="3"/>
  <c r="AY161" i="70" l="1"/>
  <c r="BA162" i="70"/>
  <c r="BB162" i="70"/>
  <c r="AZ162" i="70"/>
  <c r="BA1130" i="3"/>
  <c r="BD1130" i="3" s="1"/>
  <c r="BA1114" i="3" s="1"/>
  <c r="BC1133" i="3"/>
  <c r="BD1133" i="3"/>
  <c r="BB1133" i="3"/>
  <c r="AY160" i="70" l="1"/>
  <c r="BA161" i="70"/>
  <c r="AZ161" i="70"/>
  <c r="BB161" i="70"/>
  <c r="BA1113" i="3"/>
  <c r="BB1114" i="3"/>
  <c r="BD1114" i="3"/>
  <c r="BC1114" i="3"/>
  <c r="AY159" i="70" l="1"/>
  <c r="BA160" i="70"/>
  <c r="BB160" i="70"/>
  <c r="AZ160" i="70"/>
  <c r="BA1112" i="3"/>
  <c r="BC1113" i="3"/>
  <c r="BD1113" i="3"/>
  <c r="BB1113" i="3"/>
  <c r="AY158" i="70" l="1"/>
  <c r="BA159" i="70"/>
  <c r="BB159" i="70"/>
  <c r="AZ159" i="70"/>
  <c r="BA1111" i="3"/>
  <c r="BD1112" i="3"/>
  <c r="BB1112" i="3"/>
  <c r="BC1112" i="3"/>
  <c r="AY157" i="70" l="1"/>
  <c r="AZ158" i="70"/>
  <c r="BA158" i="70"/>
  <c r="BB158" i="70"/>
  <c r="BA1094" i="3"/>
  <c r="BC1111" i="3"/>
  <c r="BB1111" i="3"/>
  <c r="BD1111" i="3"/>
  <c r="AY156" i="70" l="1"/>
  <c r="AZ157" i="70"/>
  <c r="BA157" i="70"/>
  <c r="BB157" i="70"/>
  <c r="BA1091" i="3"/>
  <c r="BC1094" i="3"/>
  <c r="BD1094" i="3"/>
  <c r="BB1094" i="3"/>
  <c r="AY155" i="70" l="1"/>
  <c r="BB156" i="70"/>
  <c r="AZ156" i="70"/>
  <c r="BA156" i="70"/>
  <c r="BA1090" i="3"/>
  <c r="BD1091" i="3"/>
  <c r="BC1091" i="3"/>
  <c r="BB1091" i="3"/>
  <c r="AY154" i="70" l="1"/>
  <c r="BA155" i="70"/>
  <c r="BB155" i="70"/>
  <c r="AZ155" i="70"/>
  <c r="BA1088" i="3"/>
  <c r="BD1090" i="3"/>
  <c r="BB1090" i="3"/>
  <c r="BC1090" i="3"/>
  <c r="AY153" i="70" l="1"/>
  <c r="BB154" i="70"/>
  <c r="AZ154" i="70"/>
  <c r="BA154" i="70"/>
  <c r="BA1081" i="3"/>
  <c r="BC1088" i="3"/>
  <c r="BB1088" i="3"/>
  <c r="BD1088" i="3"/>
  <c r="AY152" i="70" l="1"/>
  <c r="BB153" i="70"/>
  <c r="BA153" i="70"/>
  <c r="AZ153" i="70"/>
  <c r="BA1078" i="3"/>
  <c r="BD1078" i="3" s="1"/>
  <c r="BA1072" i="3" s="1"/>
  <c r="BC1081" i="3"/>
  <c r="BD1081" i="3"/>
  <c r="BB1081" i="3"/>
  <c r="AY151" i="70" l="1"/>
  <c r="AZ152" i="70"/>
  <c r="BA152" i="70"/>
  <c r="BB152" i="70"/>
  <c r="BA1070" i="3"/>
  <c r="BD1072" i="3"/>
  <c r="BB1072" i="3"/>
  <c r="BC1072" i="3"/>
  <c r="AY150" i="70" l="1"/>
  <c r="BA151" i="70"/>
  <c r="AZ151" i="70"/>
  <c r="BB151" i="70"/>
  <c r="BA1068" i="3"/>
  <c r="BC1070" i="3"/>
  <c r="BB1070" i="3"/>
  <c r="BD1070" i="3"/>
  <c r="AY149" i="70" l="1"/>
  <c r="BA150" i="70"/>
  <c r="BB150" i="70"/>
  <c r="AZ150" i="70"/>
  <c r="BA1062" i="3"/>
  <c r="BB1068" i="3"/>
  <c r="BD1068" i="3"/>
  <c r="BC1068" i="3"/>
  <c r="AY148" i="70" l="1"/>
  <c r="BA149" i="70"/>
  <c r="BB149" i="70"/>
  <c r="AZ149" i="70"/>
  <c r="BA1059" i="3"/>
  <c r="BD1062" i="3"/>
  <c r="BB1062" i="3"/>
  <c r="BC1062" i="3"/>
  <c r="AY147" i="70" l="1"/>
  <c r="AZ148" i="70"/>
  <c r="BB148" i="70"/>
  <c r="BA148" i="70"/>
  <c r="BA1056" i="3"/>
  <c r="BB1059" i="3"/>
  <c r="BC1059" i="3"/>
  <c r="BD1059" i="3"/>
  <c r="AY146" i="70" l="1"/>
  <c r="BB147" i="70"/>
  <c r="AZ147" i="70"/>
  <c r="BA147" i="70"/>
  <c r="BA1053" i="3"/>
  <c r="BB1056" i="3"/>
  <c r="BD1056" i="3"/>
  <c r="BC1056" i="3"/>
  <c r="AY145" i="70" l="1"/>
  <c r="BB146" i="70"/>
  <c r="AZ146" i="70"/>
  <c r="BA146" i="70"/>
  <c r="BA1052" i="3"/>
  <c r="BC1053" i="3"/>
  <c r="BD1053" i="3"/>
  <c r="BB1053" i="3"/>
  <c r="AY144" i="70" l="1"/>
  <c r="BB145" i="70"/>
  <c r="AZ145" i="70"/>
  <c r="BA145" i="70"/>
  <c r="BA1051" i="3"/>
  <c r="BD1052" i="3"/>
  <c r="BB1052" i="3"/>
  <c r="BC1052" i="3"/>
  <c r="AY143" i="70" l="1"/>
  <c r="AZ144" i="70"/>
  <c r="BB144" i="70"/>
  <c r="BA144" i="70"/>
  <c r="BA1049" i="3"/>
  <c r="BD1051" i="3"/>
  <c r="BC1051" i="3"/>
  <c r="BB1051" i="3"/>
  <c r="AY142" i="70" l="1"/>
  <c r="BA143" i="70"/>
  <c r="AZ143" i="70"/>
  <c r="BB143" i="70"/>
  <c r="BA1045" i="3"/>
  <c r="BD1049" i="3"/>
  <c r="BC1049" i="3"/>
  <c r="BB1049" i="3"/>
  <c r="AY141" i="70" l="1"/>
  <c r="AZ142" i="70"/>
  <c r="BA142" i="70"/>
  <c r="BB142" i="70"/>
  <c r="BA1044" i="3"/>
  <c r="BD1045" i="3"/>
  <c r="BB1045" i="3"/>
  <c r="BC1045" i="3"/>
  <c r="AY140" i="70" l="1"/>
  <c r="BB141" i="70"/>
  <c r="BA141" i="70"/>
  <c r="AZ141" i="70"/>
  <c r="BA1040" i="3"/>
  <c r="BB1044" i="3"/>
  <c r="BD1044" i="3"/>
  <c r="BC1044" i="3"/>
  <c r="AY139" i="70" l="1"/>
  <c r="BA140" i="70"/>
  <c r="BB140" i="70"/>
  <c r="AZ140" i="70"/>
  <c r="BA1039" i="3"/>
  <c r="BD1040" i="3"/>
  <c r="BC1040" i="3"/>
  <c r="BB1040" i="3"/>
  <c r="AY138" i="70" l="1"/>
  <c r="BB139" i="70"/>
  <c r="BA139" i="70"/>
  <c r="AZ139" i="70"/>
  <c r="BA1038" i="3"/>
  <c r="BD1039" i="3"/>
  <c r="BC1039" i="3"/>
  <c r="BB1039" i="3"/>
  <c r="AY137" i="70" l="1"/>
  <c r="AZ138" i="70"/>
  <c r="BB138" i="70"/>
  <c r="BA138" i="70"/>
  <c r="BA1037" i="3"/>
  <c r="BC1038" i="3"/>
  <c r="BB1038" i="3"/>
  <c r="BD1038" i="3"/>
  <c r="AY136" i="70" l="1"/>
  <c r="AZ137" i="70"/>
  <c r="BA137" i="70"/>
  <c r="BB137" i="70"/>
  <c r="BA1036" i="3"/>
  <c r="BC1037" i="3"/>
  <c r="BD1037" i="3"/>
  <c r="BB1037" i="3"/>
  <c r="AY135" i="70" l="1"/>
  <c r="BB136" i="70"/>
  <c r="BA136" i="70"/>
  <c r="AZ136" i="70"/>
  <c r="BA1035" i="3"/>
  <c r="BB1036" i="3"/>
  <c r="BD1036" i="3"/>
  <c r="BC1036" i="3"/>
  <c r="AY134" i="70" l="1"/>
  <c r="BB135" i="70"/>
  <c r="BA135" i="70"/>
  <c r="AZ135" i="70"/>
  <c r="BA1031" i="3"/>
  <c r="BD1035" i="3"/>
  <c r="BB1035" i="3"/>
  <c r="BC1035" i="3"/>
  <c r="AY133" i="70" l="1"/>
  <c r="BB134" i="70"/>
  <c r="AZ134" i="70"/>
  <c r="BA134" i="70"/>
  <c r="BA1028" i="3"/>
  <c r="BD1031" i="3"/>
  <c r="BC1031" i="3"/>
  <c r="BB1031" i="3"/>
  <c r="AY132" i="70" l="1"/>
  <c r="BA133" i="70"/>
  <c r="BB133" i="70"/>
  <c r="AZ133" i="70"/>
  <c r="BA1027" i="3"/>
  <c r="BD1028" i="3"/>
  <c r="BC1028" i="3"/>
  <c r="BB1028" i="3"/>
  <c r="AY131" i="70" l="1"/>
  <c r="BB132" i="70"/>
  <c r="BA132" i="70"/>
  <c r="AZ132" i="70"/>
  <c r="BA1025" i="3"/>
  <c r="BD1027" i="3"/>
  <c r="BB1027" i="3"/>
  <c r="BC1027" i="3"/>
  <c r="AY130" i="70" l="1"/>
  <c r="BA131" i="70"/>
  <c r="AZ131" i="70"/>
  <c r="BB131" i="70"/>
  <c r="BA1024" i="3"/>
  <c r="BD1024" i="3" s="1"/>
  <c r="BA1022" i="3" s="1"/>
  <c r="BC1025" i="3"/>
  <c r="BB1025" i="3"/>
  <c r="BD1025" i="3"/>
  <c r="AY129" i="70" l="1"/>
  <c r="BA130" i="70"/>
  <c r="AZ130" i="70"/>
  <c r="BB130" i="70"/>
  <c r="BA1021" i="3"/>
  <c r="BC1022" i="3"/>
  <c r="BD1022" i="3"/>
  <c r="BB1022" i="3"/>
  <c r="AY128" i="70" l="1"/>
  <c r="BA129" i="70"/>
  <c r="BB129" i="70"/>
  <c r="AZ129" i="70"/>
  <c r="BA1020" i="3"/>
  <c r="BB1021" i="3"/>
  <c r="BD1021" i="3"/>
  <c r="BC1021" i="3"/>
  <c r="AY127" i="70" l="1"/>
  <c r="BB128" i="70"/>
  <c r="BA128" i="70"/>
  <c r="AZ128" i="70"/>
  <c r="BA1019" i="3"/>
  <c r="BB1020" i="3"/>
  <c r="BD1020" i="3"/>
  <c r="BC1020" i="3"/>
  <c r="AY126" i="70" l="1"/>
  <c r="AZ127" i="70"/>
  <c r="BA127" i="70"/>
  <c r="BB127" i="70"/>
  <c r="BA1018" i="3"/>
  <c r="BC1019" i="3"/>
  <c r="BB1019" i="3"/>
  <c r="BD1019" i="3"/>
  <c r="AY125" i="70" l="1"/>
  <c r="BA126" i="70"/>
  <c r="AZ126" i="70"/>
  <c r="BB126" i="70"/>
  <c r="BA1017" i="3"/>
  <c r="BB1018" i="3"/>
  <c r="BD1018" i="3"/>
  <c r="BC1018" i="3"/>
  <c r="AY124" i="70" l="1"/>
  <c r="BB125" i="70"/>
  <c r="BA125" i="70"/>
  <c r="AZ125" i="70"/>
  <c r="BA1016" i="3"/>
  <c r="BD1016" i="3" s="1"/>
  <c r="BA1015" i="3" s="1"/>
  <c r="BB1017" i="3"/>
  <c r="BC1017" i="3"/>
  <c r="BD1017" i="3"/>
  <c r="AY123" i="70" l="1"/>
  <c r="AZ124" i="70"/>
  <c r="BB124" i="70"/>
  <c r="BA124" i="70"/>
  <c r="BA1014" i="3"/>
  <c r="BC1015" i="3"/>
  <c r="BD1015" i="3"/>
  <c r="BB1015" i="3"/>
  <c r="AY122" i="70" l="1"/>
  <c r="BB123" i="70"/>
  <c r="AZ123" i="70"/>
  <c r="BA123" i="70"/>
  <c r="BA1012" i="3"/>
  <c r="BC1014" i="3"/>
  <c r="BD1014" i="3"/>
  <c r="BB1014" i="3"/>
  <c r="AY121" i="70" l="1"/>
  <c r="AZ122" i="70"/>
  <c r="BB122" i="70"/>
  <c r="BA122" i="70"/>
  <c r="BA1011" i="3"/>
  <c r="BC1012" i="3"/>
  <c r="BB1012" i="3"/>
  <c r="BD1012" i="3"/>
  <c r="AY120" i="70" l="1"/>
  <c r="BB121" i="70"/>
  <c r="BA121" i="70"/>
  <c r="AZ121" i="70"/>
  <c r="BA1010" i="3"/>
  <c r="BC1011" i="3"/>
  <c r="BD1011" i="3"/>
  <c r="BB1011" i="3"/>
  <c r="AY119" i="70" l="1"/>
  <c r="BB120" i="70"/>
  <c r="BA120" i="70"/>
  <c r="AZ120" i="70"/>
  <c r="BA1009" i="3"/>
  <c r="BC1010" i="3"/>
  <c r="BD1010" i="3"/>
  <c r="BB1010" i="3"/>
  <c r="AY118" i="70" l="1"/>
  <c r="BB119" i="70"/>
  <c r="BA119" i="70"/>
  <c r="AZ119" i="70"/>
  <c r="BA1008" i="3"/>
  <c r="BD1009" i="3"/>
  <c r="BC1009" i="3"/>
  <c r="BB1009" i="3"/>
  <c r="AY117" i="70" l="1"/>
  <c r="BB118" i="70"/>
  <c r="BA118" i="70"/>
  <c r="AZ118" i="70"/>
  <c r="BA1007" i="3"/>
  <c r="BD1008" i="3"/>
  <c r="BB1008" i="3"/>
  <c r="BC1008" i="3"/>
  <c r="AY116" i="70" l="1"/>
  <c r="BB117" i="70"/>
  <c r="AZ117" i="70"/>
  <c r="BA117" i="70"/>
  <c r="BA1006" i="3"/>
  <c r="BC1007" i="3"/>
  <c r="BD1007" i="3"/>
  <c r="BB1007" i="3"/>
  <c r="AY115" i="70" l="1"/>
  <c r="BA116" i="70"/>
  <c r="BB116" i="70"/>
  <c r="AZ116" i="70"/>
  <c r="BA1005" i="3"/>
  <c r="BC1006" i="3"/>
  <c r="BB1006" i="3"/>
  <c r="BD1006" i="3"/>
  <c r="AY114" i="70" l="1"/>
  <c r="AZ115" i="70"/>
  <c r="BA115" i="70"/>
  <c r="BB115" i="70"/>
  <c r="BA1004" i="3"/>
  <c r="BD1005" i="3"/>
  <c r="BC1005" i="3"/>
  <c r="BB1005" i="3"/>
  <c r="AY113" i="70" l="1"/>
  <c r="BB114" i="70"/>
  <c r="AZ114" i="70"/>
  <c r="BA114" i="70"/>
  <c r="BA1003" i="3"/>
  <c r="BB1004" i="3"/>
  <c r="BD1004" i="3"/>
  <c r="BC1004" i="3"/>
  <c r="AY112" i="70" l="1"/>
  <c r="BB113" i="70"/>
  <c r="AZ113" i="70"/>
  <c r="BA113" i="70"/>
  <c r="BA1002" i="3"/>
  <c r="BD1003" i="3"/>
  <c r="BC1003" i="3"/>
  <c r="BB1003" i="3"/>
  <c r="AY111" i="70" l="1"/>
  <c r="BB112" i="70"/>
  <c r="BA112" i="70"/>
  <c r="AZ112" i="70"/>
  <c r="BA1001" i="3"/>
  <c r="BB1002" i="3"/>
  <c r="BD1002" i="3"/>
  <c r="BC1002" i="3"/>
  <c r="AY110" i="70" l="1"/>
  <c r="AZ111" i="70"/>
  <c r="BA111" i="70"/>
  <c r="BB111" i="70"/>
  <c r="BA1000" i="3"/>
  <c r="BC1001" i="3"/>
  <c r="BB1001" i="3"/>
  <c r="BD1001" i="3"/>
  <c r="AY109" i="70" l="1"/>
  <c r="AZ110" i="70"/>
  <c r="BB110" i="70"/>
  <c r="BA110" i="70"/>
  <c r="BA999" i="3"/>
  <c r="BC1000" i="3"/>
  <c r="BB1000" i="3"/>
  <c r="BD1000" i="3"/>
  <c r="AY108" i="70" l="1"/>
  <c r="AZ109" i="70"/>
  <c r="BB109" i="70"/>
  <c r="BA109" i="70"/>
  <c r="BA998" i="3"/>
  <c r="BD999" i="3"/>
  <c r="BC999" i="3"/>
  <c r="BB999" i="3"/>
  <c r="AY107" i="70" l="1"/>
  <c r="BA108" i="70"/>
  <c r="AZ108" i="70"/>
  <c r="BB108" i="70"/>
  <c r="BA996" i="3"/>
  <c r="BB998" i="3"/>
  <c r="BC998" i="3"/>
  <c r="BD998" i="3"/>
  <c r="AY106" i="70" l="1"/>
  <c r="BA107" i="70"/>
  <c r="AZ107" i="70"/>
  <c r="BB107" i="70"/>
  <c r="BA995" i="3"/>
  <c r="BB996" i="3"/>
  <c r="BC996" i="3"/>
  <c r="BD996" i="3"/>
  <c r="AY105" i="70" l="1"/>
  <c r="AZ106" i="70"/>
  <c r="BA106" i="70"/>
  <c r="BB106" i="70"/>
  <c r="BA994" i="3"/>
  <c r="BC995" i="3"/>
  <c r="BB995" i="3"/>
  <c r="BD995" i="3"/>
  <c r="AY104" i="70" l="1"/>
  <c r="BA105" i="70"/>
  <c r="BB105" i="70"/>
  <c r="AZ105" i="70"/>
  <c r="BA993" i="3"/>
  <c r="BD994" i="3"/>
  <c r="BC994" i="3"/>
  <c r="BB994" i="3"/>
  <c r="AY103" i="70" l="1"/>
  <c r="AZ104" i="70"/>
  <c r="BB104" i="70"/>
  <c r="BA104" i="70"/>
  <c r="BA992" i="3"/>
  <c r="BD992" i="3" s="1"/>
  <c r="BA990" i="3" s="1"/>
  <c r="BC993" i="3"/>
  <c r="BB993" i="3"/>
  <c r="BD993" i="3"/>
  <c r="AY102" i="70" l="1"/>
  <c r="AZ103" i="70"/>
  <c r="BA103" i="70"/>
  <c r="BB103" i="70"/>
  <c r="BA989" i="3"/>
  <c r="BC990" i="3"/>
  <c r="BB990" i="3"/>
  <c r="BD990" i="3"/>
  <c r="AY101" i="70" l="1"/>
  <c r="AZ102" i="70"/>
  <c r="BA102" i="70"/>
  <c r="BB102" i="70"/>
  <c r="BA988" i="3"/>
  <c r="BD989" i="3"/>
  <c r="BC989" i="3"/>
  <c r="BB989" i="3"/>
  <c r="AY100" i="70" l="1"/>
  <c r="BA101" i="70"/>
  <c r="BB101" i="70"/>
  <c r="AZ101" i="70"/>
  <c r="BA987" i="3"/>
  <c r="BD988" i="3"/>
  <c r="BC988" i="3"/>
  <c r="BB988" i="3"/>
  <c r="AY99" i="70" l="1"/>
  <c r="BB100" i="70"/>
  <c r="AZ100" i="70"/>
  <c r="BA100" i="70"/>
  <c r="BA986" i="3"/>
  <c r="BB987" i="3"/>
  <c r="BC987" i="3"/>
  <c r="BD987" i="3"/>
  <c r="AY98" i="70" l="1"/>
  <c r="AZ99" i="70"/>
  <c r="BA99" i="70"/>
  <c r="BB99" i="70"/>
  <c r="BA985" i="3"/>
  <c r="BB986" i="3"/>
  <c r="BD986" i="3"/>
  <c r="BC986" i="3"/>
  <c r="AY97" i="70" l="1"/>
  <c r="AZ98" i="70"/>
  <c r="BB98" i="70"/>
  <c r="BA98" i="70"/>
  <c r="BA984" i="3"/>
  <c r="BB985" i="3"/>
  <c r="BD985" i="3"/>
  <c r="BC985" i="3"/>
  <c r="AY96" i="70" l="1"/>
  <c r="BA97" i="70"/>
  <c r="BB97" i="70"/>
  <c r="AZ97" i="70"/>
  <c r="BA983" i="3"/>
  <c r="BB984" i="3"/>
  <c r="BC984" i="3"/>
  <c r="BD984" i="3"/>
  <c r="AY95" i="70" l="1"/>
  <c r="AZ96" i="70"/>
  <c r="BA96" i="70"/>
  <c r="BB96" i="70"/>
  <c r="BA982" i="3"/>
  <c r="BC983" i="3"/>
  <c r="BB983" i="3"/>
  <c r="BD983" i="3"/>
  <c r="AY94" i="70" l="1"/>
  <c r="BA95" i="70"/>
  <c r="BB95" i="70"/>
  <c r="AZ95" i="70"/>
  <c r="BA981" i="3"/>
  <c r="BC982" i="3"/>
  <c r="BB982" i="3"/>
  <c r="BD982" i="3"/>
  <c r="AY93" i="70" l="1"/>
  <c r="BB94" i="70"/>
  <c r="AZ94" i="70"/>
  <c r="BA94" i="70"/>
  <c r="BA980" i="3"/>
  <c r="BC981" i="3"/>
  <c r="BD981" i="3"/>
  <c r="BB981" i="3"/>
  <c r="AY92" i="70" l="1"/>
  <c r="AZ93" i="70"/>
  <c r="BA93" i="70"/>
  <c r="BB93" i="70"/>
  <c r="BA979" i="3"/>
  <c r="BC980" i="3"/>
  <c r="BD980" i="3"/>
  <c r="BB980" i="3"/>
  <c r="AY91" i="70" l="1"/>
  <c r="BB92" i="70"/>
  <c r="AZ92" i="70"/>
  <c r="BA92" i="70"/>
  <c r="BA978" i="3"/>
  <c r="BD979" i="3"/>
  <c r="BB979" i="3"/>
  <c r="BC979" i="3"/>
  <c r="AY90" i="70" l="1"/>
  <c r="BB91" i="70"/>
  <c r="AZ91" i="70"/>
  <c r="BA91" i="70"/>
  <c r="BA977" i="3"/>
  <c r="BD978" i="3"/>
  <c r="BB978" i="3"/>
  <c r="BC978" i="3"/>
  <c r="AY89" i="70" l="1"/>
  <c r="BB90" i="70"/>
  <c r="AZ90" i="70"/>
  <c r="BA90" i="70"/>
  <c r="BA976" i="3"/>
  <c r="BD977" i="3"/>
  <c r="BB977" i="3"/>
  <c r="BC977" i="3"/>
  <c r="AY88" i="70" l="1"/>
  <c r="BA89" i="70"/>
  <c r="BB89" i="70"/>
  <c r="AZ89" i="70"/>
  <c r="BA975" i="3"/>
  <c r="BD976" i="3"/>
  <c r="BC976" i="3"/>
  <c r="BB976" i="3"/>
  <c r="AY87" i="70" l="1"/>
  <c r="BB88" i="70"/>
  <c r="AZ88" i="70"/>
  <c r="BA88" i="70"/>
  <c r="BA974" i="3"/>
  <c r="BD975" i="3"/>
  <c r="BC975" i="3"/>
  <c r="BB975" i="3"/>
  <c r="AY86" i="70" l="1"/>
  <c r="BA87" i="70"/>
  <c r="AZ87" i="70"/>
  <c r="BB87" i="70"/>
  <c r="BA973" i="3"/>
  <c r="BB974" i="3"/>
  <c r="BD974" i="3"/>
  <c r="BC974" i="3"/>
  <c r="AY85" i="70" l="1"/>
  <c r="BA86" i="70"/>
  <c r="BB86" i="70"/>
  <c r="AZ86" i="70"/>
  <c r="BA972" i="3"/>
  <c r="BB973" i="3"/>
  <c r="BC973" i="3"/>
  <c r="BD973" i="3"/>
  <c r="AY84" i="70" l="1"/>
  <c r="AZ85" i="70"/>
  <c r="BB85" i="70"/>
  <c r="BA85" i="70"/>
  <c r="BA971" i="3"/>
  <c r="BD972" i="3"/>
  <c r="BC972" i="3"/>
  <c r="BB972" i="3"/>
  <c r="AY83" i="70" l="1"/>
  <c r="AZ84" i="70"/>
  <c r="BA84" i="70"/>
  <c r="BB84" i="70"/>
  <c r="BA970" i="3"/>
  <c r="BC971" i="3"/>
  <c r="BB971" i="3"/>
  <c r="BD971" i="3"/>
  <c r="AY82" i="70" l="1"/>
  <c r="BB83" i="70"/>
  <c r="BA83" i="70"/>
  <c r="AZ83" i="70"/>
  <c r="BA969" i="3"/>
  <c r="BD970" i="3"/>
  <c r="BB970" i="3"/>
  <c r="BC970" i="3"/>
  <c r="AY81" i="70" l="1"/>
  <c r="BA82" i="70"/>
  <c r="BB82" i="70"/>
  <c r="AZ82" i="70"/>
  <c r="BA968" i="3"/>
  <c r="BC969" i="3"/>
  <c r="BD969" i="3"/>
  <c r="BB969" i="3"/>
  <c r="AY80" i="70" l="1"/>
  <c r="BB81" i="70"/>
  <c r="BA81" i="70"/>
  <c r="AZ81" i="70"/>
  <c r="BA967" i="3"/>
  <c r="BC968" i="3"/>
  <c r="BB968" i="3"/>
  <c r="BD968" i="3"/>
  <c r="AY79" i="70" l="1"/>
  <c r="BA80" i="70"/>
  <c r="AZ80" i="70"/>
  <c r="BB80" i="70"/>
  <c r="BA966" i="3"/>
  <c r="BC967" i="3"/>
  <c r="BD967" i="3"/>
  <c r="BB967" i="3"/>
  <c r="AY78" i="70" l="1"/>
  <c r="AZ79" i="70"/>
  <c r="BB79" i="70"/>
  <c r="BA79" i="70"/>
  <c r="BA965" i="3"/>
  <c r="BB966" i="3"/>
  <c r="BD966" i="3"/>
  <c r="BC966" i="3"/>
  <c r="AY77" i="70" l="1"/>
  <c r="BA78" i="70"/>
  <c r="BB78" i="70"/>
  <c r="AZ78" i="70"/>
  <c r="BA964" i="3"/>
  <c r="BD965" i="3"/>
  <c r="BC965" i="3"/>
  <c r="BB965" i="3"/>
  <c r="AY76" i="70" l="1"/>
  <c r="BA77" i="70"/>
  <c r="AZ77" i="70"/>
  <c r="BB77" i="70"/>
  <c r="BA963" i="3"/>
  <c r="BC964" i="3"/>
  <c r="BB964" i="3"/>
  <c r="BD964" i="3"/>
  <c r="AY75" i="70" l="1"/>
  <c r="BB76" i="70"/>
  <c r="AZ76" i="70"/>
  <c r="BA76" i="70"/>
  <c r="BA962" i="3"/>
  <c r="BD963" i="3"/>
  <c r="BB963" i="3"/>
  <c r="BC963" i="3"/>
  <c r="AY74" i="70" l="1"/>
  <c r="BB75" i="70"/>
  <c r="AZ75" i="70"/>
  <c r="BA75" i="70"/>
  <c r="BA961" i="3"/>
  <c r="BD962" i="3"/>
  <c r="BC962" i="3"/>
  <c r="BB962" i="3"/>
  <c r="AY73" i="70" l="1"/>
  <c r="BB74" i="70"/>
  <c r="AZ74" i="70"/>
  <c r="BA74" i="70"/>
  <c r="BA960" i="3"/>
  <c r="BD961" i="3"/>
  <c r="BC961" i="3"/>
  <c r="BB961" i="3"/>
  <c r="AY72" i="70" l="1"/>
  <c r="AZ73" i="70"/>
  <c r="BA73" i="70"/>
  <c r="BB73" i="70"/>
  <c r="BA959" i="3"/>
  <c r="BC960" i="3"/>
  <c r="BB960" i="3"/>
  <c r="BD960" i="3"/>
  <c r="AY71" i="70" l="1"/>
  <c r="BA72" i="70"/>
  <c r="AZ72" i="70"/>
  <c r="BB72" i="70"/>
  <c r="BA958" i="3"/>
  <c r="BB959" i="3"/>
  <c r="BD959" i="3"/>
  <c r="BC959" i="3"/>
  <c r="AY70" i="70" l="1"/>
  <c r="BB71" i="70"/>
  <c r="BA71" i="70"/>
  <c r="AZ71" i="70"/>
  <c r="BA957" i="3"/>
  <c r="BB958" i="3"/>
  <c r="BC958" i="3"/>
  <c r="BD958" i="3"/>
  <c r="AY69" i="70" l="1"/>
  <c r="BA70" i="70"/>
  <c r="AZ70" i="70"/>
  <c r="BB70" i="70"/>
  <c r="BA956" i="3"/>
  <c r="BB957" i="3"/>
  <c r="BC957" i="3"/>
  <c r="BD957" i="3"/>
  <c r="AY68" i="70" l="1"/>
  <c r="BA69" i="70"/>
  <c r="BB69" i="70"/>
  <c r="AZ69" i="70"/>
  <c r="BA955" i="3"/>
  <c r="BC956" i="3"/>
  <c r="BB956" i="3"/>
  <c r="BD956" i="3"/>
  <c r="AY67" i="70" l="1"/>
  <c r="AZ68" i="70"/>
  <c r="BA68" i="70"/>
  <c r="BB68" i="70"/>
  <c r="BA954" i="3"/>
  <c r="BB955" i="3"/>
  <c r="BD955" i="3"/>
  <c r="BC955" i="3"/>
  <c r="AY66" i="70" l="1"/>
  <c r="BA67" i="70"/>
  <c r="BB67" i="70"/>
  <c r="AZ67" i="70"/>
  <c r="BA953" i="3"/>
  <c r="BB954" i="3"/>
  <c r="BC954" i="3"/>
  <c r="BD954" i="3"/>
  <c r="AY65" i="70" l="1"/>
  <c r="BB66" i="70"/>
  <c r="BA66" i="70"/>
  <c r="AZ66" i="70"/>
  <c r="BA952" i="3"/>
  <c r="BC953" i="3"/>
  <c r="BD953" i="3"/>
  <c r="BB953" i="3"/>
  <c r="AY64" i="70" l="1"/>
  <c r="BB65" i="70"/>
  <c r="BA65" i="70"/>
  <c r="AZ65" i="70"/>
  <c r="BA951" i="3"/>
  <c r="BD952" i="3"/>
  <c r="BB952" i="3"/>
  <c r="BC952" i="3"/>
  <c r="AY63" i="70" l="1"/>
  <c r="BB64" i="70"/>
  <c r="AZ64" i="70"/>
  <c r="BA64" i="70"/>
  <c r="BA950" i="3"/>
  <c r="BB951" i="3"/>
  <c r="BC951" i="3"/>
  <c r="BD951" i="3"/>
  <c r="AY62" i="70" l="1"/>
  <c r="BB63" i="70"/>
  <c r="AZ63" i="70"/>
  <c r="BA63" i="70"/>
  <c r="BA949" i="3"/>
  <c r="BC950" i="3"/>
  <c r="BD950" i="3"/>
  <c r="BB950" i="3"/>
  <c r="AY61" i="70" l="1"/>
  <c r="AZ62" i="70"/>
  <c r="BA62" i="70"/>
  <c r="BB62" i="70"/>
  <c r="BA948" i="3"/>
  <c r="BB949" i="3"/>
  <c r="BC949" i="3"/>
  <c r="BD949" i="3"/>
  <c r="AY60" i="70" l="1"/>
  <c r="BB61" i="70"/>
  <c r="BA61" i="70"/>
  <c r="AZ61" i="70"/>
  <c r="BA947" i="3"/>
  <c r="BD948" i="3"/>
  <c r="BB948" i="3"/>
  <c r="BC948" i="3"/>
  <c r="AY59" i="70" l="1"/>
  <c r="AZ60" i="70"/>
  <c r="BA60" i="70"/>
  <c r="BB60" i="70"/>
  <c r="BA946" i="3"/>
  <c r="BB947" i="3"/>
  <c r="BD947" i="3"/>
  <c r="BC947" i="3"/>
  <c r="AY58" i="70" l="1"/>
  <c r="BB59" i="70"/>
  <c r="AZ59" i="70"/>
  <c r="BA59" i="70"/>
  <c r="BA945" i="3"/>
  <c r="BB946" i="3"/>
  <c r="BC946" i="3"/>
  <c r="BD946" i="3"/>
  <c r="AY57" i="70" l="1"/>
  <c r="BB58" i="70"/>
  <c r="AZ58" i="70"/>
  <c r="BA58" i="70"/>
  <c r="BA944" i="3"/>
  <c r="BB945" i="3"/>
  <c r="BD945" i="3"/>
  <c r="BC945" i="3"/>
  <c r="AY56" i="70" l="1"/>
  <c r="BA57" i="70"/>
  <c r="AZ57" i="70"/>
  <c r="BB57" i="70"/>
  <c r="BA943" i="3"/>
  <c r="BC944" i="3"/>
  <c r="BD944" i="3"/>
  <c r="BB944" i="3"/>
  <c r="AY55" i="70" l="1"/>
  <c r="BA56" i="70"/>
  <c r="BB56" i="70"/>
  <c r="AZ56" i="70"/>
  <c r="BA942" i="3"/>
  <c r="BB943" i="3"/>
  <c r="BC943" i="3"/>
  <c r="BD943" i="3"/>
  <c r="AY54" i="70" l="1"/>
  <c r="BA55" i="70"/>
  <c r="AZ55" i="70"/>
  <c r="BB55" i="70"/>
  <c r="BA941" i="3"/>
  <c r="BC942" i="3"/>
  <c r="BB942" i="3"/>
  <c r="BD942" i="3"/>
  <c r="AY53" i="70" l="1"/>
  <c r="AZ54" i="70"/>
  <c r="BA54" i="70"/>
  <c r="BB54" i="70"/>
  <c r="BA940" i="3"/>
  <c r="BC941" i="3"/>
  <c r="BD941" i="3"/>
  <c r="BB941" i="3"/>
  <c r="AY52" i="70" l="1"/>
  <c r="BA53" i="70"/>
  <c r="BB53" i="70"/>
  <c r="AZ53" i="70"/>
  <c r="BA939" i="3"/>
  <c r="BB940" i="3"/>
  <c r="BC940" i="3"/>
  <c r="BD940" i="3"/>
  <c r="AY51" i="70" l="1"/>
  <c r="AZ52" i="70"/>
  <c r="BA52" i="70"/>
  <c r="BB52" i="70"/>
  <c r="BA938" i="3"/>
  <c r="BC939" i="3"/>
  <c r="BD939" i="3"/>
  <c r="BB939" i="3"/>
  <c r="AY50" i="70" l="1"/>
  <c r="BB51" i="70"/>
  <c r="BA51" i="70"/>
  <c r="AZ51" i="70"/>
  <c r="BA937" i="3"/>
  <c r="BB938" i="3"/>
  <c r="BC938" i="3"/>
  <c r="BD938" i="3"/>
  <c r="AY49" i="70" l="1"/>
  <c r="BB50" i="70"/>
  <c r="AZ50" i="70"/>
  <c r="BA50" i="70"/>
  <c r="BA936" i="3"/>
  <c r="BB937" i="3"/>
  <c r="BC937" i="3"/>
  <c r="BD937" i="3"/>
  <c r="AY48" i="70" l="1"/>
  <c r="AZ49" i="70"/>
  <c r="BB49" i="70"/>
  <c r="BA49" i="70"/>
  <c r="BA935" i="3"/>
  <c r="BB936" i="3"/>
  <c r="BC936" i="3"/>
  <c r="BD936" i="3"/>
  <c r="AY47" i="70" l="1"/>
  <c r="BB48" i="70"/>
  <c r="BA48" i="70"/>
  <c r="AZ48" i="70"/>
  <c r="BA934" i="3"/>
  <c r="BB935" i="3"/>
  <c r="BC935" i="3"/>
  <c r="BD935" i="3"/>
  <c r="AY46" i="70" l="1"/>
  <c r="BA47" i="70"/>
  <c r="AZ47" i="70"/>
  <c r="BB47" i="70"/>
  <c r="BA933" i="3"/>
  <c r="BB934" i="3"/>
  <c r="BD934" i="3"/>
  <c r="BC934" i="3"/>
  <c r="AY45" i="70" l="1"/>
  <c r="BB46" i="70"/>
  <c r="BA46" i="70"/>
  <c r="AZ46" i="70"/>
  <c r="BA932" i="3"/>
  <c r="BD933" i="3"/>
  <c r="BC933" i="3"/>
  <c r="BB933" i="3"/>
  <c r="AY44" i="70" l="1"/>
  <c r="AZ45" i="70"/>
  <c r="BB45" i="70"/>
  <c r="BA45" i="70"/>
  <c r="BA931" i="3"/>
  <c r="BD932" i="3"/>
  <c r="BB932" i="3"/>
  <c r="BC932" i="3"/>
  <c r="AY43" i="70" l="1"/>
  <c r="AZ44" i="70"/>
  <c r="BB44" i="70"/>
  <c r="BA44" i="70"/>
  <c r="BA930" i="3"/>
  <c r="BC931" i="3"/>
  <c r="BD931" i="3"/>
  <c r="BB931" i="3"/>
  <c r="AY42" i="70" l="1"/>
  <c r="BB43" i="70"/>
  <c r="BA43" i="70"/>
  <c r="AZ43" i="70"/>
  <c r="BA929" i="3"/>
  <c r="BD930" i="3"/>
  <c r="BC930" i="3"/>
  <c r="BB930" i="3"/>
  <c r="AY41" i="70" l="1"/>
  <c r="BB42" i="70"/>
  <c r="BA42" i="70"/>
  <c r="AZ42" i="70"/>
  <c r="BA928" i="3"/>
  <c r="BD929" i="3"/>
  <c r="BC929" i="3"/>
  <c r="BB929" i="3"/>
  <c r="AY40" i="70" l="1"/>
  <c r="AZ41" i="70"/>
  <c r="BA41" i="70"/>
  <c r="BB41" i="70"/>
  <c r="BA927" i="3"/>
  <c r="BC928" i="3"/>
  <c r="BB928" i="3"/>
  <c r="BD928" i="3"/>
  <c r="AY39" i="70" l="1"/>
  <c r="BA40" i="70"/>
  <c r="AZ40" i="70"/>
  <c r="BB40" i="70"/>
  <c r="BA926" i="3"/>
  <c r="BD927" i="3"/>
  <c r="BB927" i="3"/>
  <c r="BC927" i="3"/>
  <c r="AY38" i="70" l="1"/>
  <c r="AZ39" i="70"/>
  <c r="BA39" i="70"/>
  <c r="BB39" i="70"/>
  <c r="BA925" i="3"/>
  <c r="BC926" i="3"/>
  <c r="BB926" i="3"/>
  <c r="BD926" i="3"/>
  <c r="AY37" i="70" l="1"/>
  <c r="BA38" i="70"/>
  <c r="BB38" i="70"/>
  <c r="AZ38" i="70"/>
  <c r="BA924" i="3"/>
  <c r="BB925" i="3"/>
  <c r="BC925" i="3"/>
  <c r="BD925" i="3"/>
  <c r="AY36" i="70" l="1"/>
  <c r="BB37" i="70"/>
  <c r="BA37" i="70"/>
  <c r="AZ37" i="70"/>
  <c r="BA923" i="3"/>
  <c r="BC924" i="3"/>
  <c r="BB924" i="3"/>
  <c r="BD924" i="3"/>
  <c r="AY35" i="70" l="1"/>
  <c r="BA36" i="70"/>
  <c r="BB36" i="70"/>
  <c r="AZ36" i="70"/>
  <c r="BA922" i="3"/>
  <c r="BC923" i="3"/>
  <c r="BD923" i="3"/>
  <c r="BB923" i="3"/>
  <c r="AY34" i="70" l="1"/>
  <c r="BA35" i="70"/>
  <c r="AZ35" i="70"/>
  <c r="BB35" i="70"/>
  <c r="BA921" i="3"/>
  <c r="BB922" i="3"/>
  <c r="BC922" i="3"/>
  <c r="BD922" i="3"/>
  <c r="AY33" i="70" l="1"/>
  <c r="AZ34" i="70"/>
  <c r="BA34" i="70"/>
  <c r="BB34" i="70"/>
  <c r="BA920" i="3"/>
  <c r="BC921" i="3"/>
  <c r="BD921" i="3"/>
  <c r="BB921" i="3"/>
  <c r="AY32" i="70" l="1"/>
  <c r="AZ33" i="70"/>
  <c r="BA33" i="70"/>
  <c r="BB33" i="70"/>
  <c r="BA919" i="3"/>
  <c r="BD920" i="3"/>
  <c r="BB920" i="3"/>
  <c r="BC920" i="3"/>
  <c r="AY31" i="70" l="1"/>
  <c r="BB32" i="70"/>
  <c r="BA32" i="70"/>
  <c r="AZ32" i="70"/>
  <c r="BA918" i="3"/>
  <c r="BD919" i="3"/>
  <c r="BC919" i="3"/>
  <c r="BB919" i="3"/>
  <c r="AY30" i="70" l="1"/>
  <c r="AZ31" i="70"/>
  <c r="BB31" i="70"/>
  <c r="BA31" i="70"/>
  <c r="BA917" i="3"/>
  <c r="BD918" i="3"/>
  <c r="BC918" i="3"/>
  <c r="BB918" i="3"/>
  <c r="AY29" i="70" l="1"/>
  <c r="BB30" i="70"/>
  <c r="AZ30" i="70"/>
  <c r="BA30" i="70"/>
  <c r="BA916" i="3"/>
  <c r="BC917" i="3"/>
  <c r="BD917" i="3"/>
  <c r="BB917" i="3"/>
  <c r="AY28" i="70" l="1"/>
  <c r="BB29" i="70"/>
  <c r="AZ29" i="70"/>
  <c r="BA29" i="70"/>
  <c r="BA915" i="3"/>
  <c r="BC916" i="3"/>
  <c r="BB916" i="3"/>
  <c r="BD916" i="3"/>
  <c r="AY27" i="70" l="1"/>
  <c r="AZ28" i="70"/>
  <c r="BA28" i="70"/>
  <c r="BB28" i="70"/>
  <c r="BA914" i="3"/>
  <c r="BC915" i="3"/>
  <c r="BD915" i="3"/>
  <c r="BB915" i="3"/>
  <c r="AY26" i="70" l="1"/>
  <c r="BA27" i="70"/>
  <c r="BB27" i="70"/>
  <c r="AZ27" i="70"/>
  <c r="BA913" i="3"/>
  <c r="BD914" i="3"/>
  <c r="BC914" i="3"/>
  <c r="BB914" i="3"/>
  <c r="AY25" i="70" l="1"/>
  <c r="BB26" i="70"/>
  <c r="AZ26" i="70"/>
  <c r="BA26" i="70"/>
  <c r="BA912" i="3"/>
  <c r="BB913" i="3"/>
  <c r="BC913" i="3"/>
  <c r="BD913" i="3"/>
  <c r="AY24" i="70" l="1"/>
  <c r="BB25" i="70"/>
  <c r="AZ25" i="70"/>
  <c r="BA25" i="70"/>
  <c r="BA911" i="3"/>
  <c r="BC912" i="3"/>
  <c r="BD912" i="3"/>
  <c r="BB912" i="3"/>
  <c r="AY23" i="70" l="1"/>
  <c r="AZ24" i="70"/>
  <c r="BB24" i="70"/>
  <c r="BA24" i="70"/>
  <c r="BA910" i="3"/>
  <c r="BC911" i="3"/>
  <c r="BD911" i="3"/>
  <c r="BB911" i="3"/>
  <c r="AY22" i="70" l="1"/>
  <c r="AZ23" i="70"/>
  <c r="BB23" i="70"/>
  <c r="BA23" i="70"/>
  <c r="BA909" i="3"/>
  <c r="BB910" i="3"/>
  <c r="BC910" i="3"/>
  <c r="BD910" i="3"/>
  <c r="AY21" i="70" l="1"/>
  <c r="AZ22" i="70"/>
  <c r="BA22" i="70"/>
  <c r="BB22" i="70"/>
  <c r="BA908" i="3"/>
  <c r="BB909" i="3"/>
  <c r="BD909" i="3"/>
  <c r="BC909" i="3"/>
  <c r="AY20" i="70" l="1"/>
  <c r="BA21" i="70"/>
  <c r="BB21" i="70"/>
  <c r="AZ21" i="70"/>
  <c r="BA907" i="3"/>
  <c r="BB908" i="3"/>
  <c r="BC908" i="3"/>
  <c r="BD908" i="3"/>
  <c r="AY19" i="70" l="1"/>
  <c r="BB20" i="70"/>
  <c r="AZ20" i="70"/>
  <c r="BA20" i="70"/>
  <c r="BA906" i="3"/>
  <c r="BC907" i="3"/>
  <c r="BD907" i="3"/>
  <c r="BB907" i="3"/>
  <c r="AY18" i="70" l="1"/>
  <c r="BA19" i="70"/>
  <c r="BB19" i="70"/>
  <c r="AZ19" i="70"/>
  <c r="BA905" i="3"/>
  <c r="BD906" i="3"/>
  <c r="BC906" i="3"/>
  <c r="BB906" i="3"/>
  <c r="AY17" i="70" l="1"/>
  <c r="BA18" i="70"/>
  <c r="BB18" i="70"/>
  <c r="AZ18" i="70"/>
  <c r="BA904" i="3"/>
  <c r="BB905" i="3"/>
  <c r="BD905" i="3"/>
  <c r="BC905" i="3"/>
  <c r="AY16" i="70" l="1"/>
  <c r="BB17" i="70"/>
  <c r="BA17" i="70"/>
  <c r="AZ17" i="70"/>
  <c r="BA903" i="3"/>
  <c r="BB904" i="3"/>
  <c r="BC904" i="3"/>
  <c r="BD904" i="3"/>
  <c r="AY15" i="70" l="1"/>
  <c r="AZ16" i="70"/>
  <c r="BB16" i="70"/>
  <c r="BA16" i="70"/>
  <c r="BA902" i="3"/>
  <c r="BC903" i="3"/>
  <c r="BB903" i="3"/>
  <c r="BD903" i="3"/>
  <c r="AY14" i="70" l="1"/>
  <c r="BA15" i="70"/>
  <c r="BB15" i="70"/>
  <c r="AZ15" i="70"/>
  <c r="BA901" i="3"/>
  <c r="BD902" i="3"/>
  <c r="BC902" i="3"/>
  <c r="BB902" i="3"/>
  <c r="AY13" i="70" l="1"/>
  <c r="BA14" i="70"/>
  <c r="AZ14" i="70"/>
  <c r="BB14" i="70"/>
  <c r="BA900" i="3"/>
  <c r="BC901" i="3"/>
  <c r="BB901" i="3"/>
  <c r="BD901" i="3"/>
  <c r="AY12" i="70" l="1"/>
  <c r="AZ13" i="70"/>
  <c r="BA13" i="70"/>
  <c r="BB13" i="70"/>
  <c r="BA899" i="3"/>
  <c r="BC900" i="3"/>
  <c r="BB900" i="3"/>
  <c r="BD900" i="3"/>
  <c r="AY11" i="70" l="1"/>
  <c r="AZ12" i="70"/>
  <c r="BB12" i="70"/>
  <c r="BA12" i="70"/>
  <c r="BA898" i="3"/>
  <c r="BC899" i="3"/>
  <c r="BB899" i="3"/>
  <c r="BD899" i="3"/>
  <c r="AY10" i="70" l="1"/>
  <c r="BA11" i="70"/>
  <c r="BB11" i="70"/>
  <c r="AZ11" i="70"/>
  <c r="BA897" i="3"/>
  <c r="BD898" i="3"/>
  <c r="BB898" i="3"/>
  <c r="BC898" i="3"/>
  <c r="AY9" i="70" l="1"/>
  <c r="AZ10" i="70"/>
  <c r="BA10" i="70"/>
  <c r="BB10" i="70"/>
  <c r="BA896" i="3"/>
  <c r="BC897" i="3"/>
  <c r="BB897" i="3"/>
  <c r="BD897" i="3"/>
  <c r="AY8" i="70" l="1"/>
  <c r="BA9" i="70"/>
  <c r="AZ9" i="70"/>
  <c r="BB9" i="70"/>
  <c r="BA895" i="3"/>
  <c r="BC896" i="3"/>
  <c r="BD896" i="3"/>
  <c r="BB896" i="3"/>
  <c r="AY7" i="70" l="1"/>
  <c r="AZ8" i="70"/>
  <c r="BB8" i="70"/>
  <c r="BA8" i="70"/>
  <c r="BA894" i="3"/>
  <c r="BB895" i="3"/>
  <c r="BC895" i="3"/>
  <c r="BD895" i="3"/>
  <c r="AY6" i="70" l="1"/>
  <c r="BB7" i="70"/>
  <c r="BA7" i="70"/>
  <c r="AZ7" i="70"/>
  <c r="BA893" i="3"/>
  <c r="BB894" i="3"/>
  <c r="BC894" i="3"/>
  <c r="BD894" i="3"/>
  <c r="AY5" i="70" l="1"/>
  <c r="BA6" i="70"/>
  <c r="BB6" i="70"/>
  <c r="AZ6" i="70"/>
  <c r="BA892" i="3"/>
  <c r="BD893" i="3"/>
  <c r="BB893" i="3"/>
  <c r="BC893" i="3"/>
  <c r="AY4" i="70" l="1"/>
  <c r="BA5" i="70"/>
  <c r="AZ5" i="70"/>
  <c r="BB5" i="70"/>
  <c r="BA891" i="3"/>
  <c r="BB892" i="3"/>
  <c r="BC892" i="3"/>
  <c r="BD892" i="3"/>
  <c r="AY3" i="70" l="1"/>
  <c r="AZ4" i="70"/>
  <c r="BA4" i="70"/>
  <c r="BB4" i="70"/>
  <c r="BA890" i="3"/>
  <c r="BB891" i="3"/>
  <c r="BC891" i="3"/>
  <c r="BD891" i="3"/>
  <c r="AY2" i="70" l="1"/>
  <c r="BA3" i="70"/>
  <c r="AZ3" i="70"/>
  <c r="BB3" i="70"/>
  <c r="BA889" i="3"/>
  <c r="BB890" i="3"/>
  <c r="BD890" i="3"/>
  <c r="BC890" i="3"/>
  <c r="BA2" i="70" l="1"/>
  <c r="AZ2" i="70"/>
  <c r="BB2" i="70"/>
  <c r="BA888" i="3"/>
  <c r="BD889" i="3"/>
  <c r="BB889" i="3"/>
  <c r="BC889" i="3"/>
  <c r="BA887" i="3" l="1"/>
  <c r="BD888" i="3"/>
  <c r="BB888" i="3"/>
  <c r="BC888" i="3"/>
  <c r="BA886" i="3" l="1"/>
  <c r="BB887" i="3"/>
  <c r="BC887" i="3"/>
  <c r="BD887" i="3"/>
  <c r="BA885" i="3" l="1"/>
  <c r="BB886" i="3"/>
  <c r="BD886" i="3"/>
  <c r="BC886" i="3"/>
  <c r="BA884" i="3" l="1"/>
  <c r="BB885" i="3"/>
  <c r="BD885" i="3"/>
  <c r="BC885" i="3"/>
  <c r="BA883" i="3" l="1"/>
  <c r="BB884" i="3"/>
  <c r="BC884" i="3"/>
  <c r="BD884" i="3"/>
  <c r="BA882" i="3" l="1"/>
  <c r="BB883" i="3"/>
  <c r="BD883" i="3"/>
  <c r="BC883" i="3"/>
  <c r="BA881" i="3" l="1"/>
  <c r="BC882" i="3"/>
  <c r="BB882" i="3"/>
  <c r="BD882" i="3"/>
  <c r="BA880" i="3" l="1"/>
  <c r="BB881" i="3"/>
  <c r="BC881" i="3"/>
  <c r="BD881" i="3"/>
  <c r="BA879" i="3" l="1"/>
  <c r="BD880" i="3"/>
  <c r="BB880" i="3"/>
  <c r="BC880" i="3"/>
  <c r="BA878" i="3" l="1"/>
  <c r="BC879" i="3"/>
  <c r="BD879" i="3"/>
  <c r="BB879" i="3"/>
  <c r="BA877" i="3" l="1"/>
  <c r="BD878" i="3"/>
  <c r="BC878" i="3"/>
  <c r="BB878" i="3"/>
  <c r="BA876" i="3" l="1"/>
  <c r="BC877" i="3"/>
  <c r="BD877" i="3"/>
  <c r="BB877" i="3"/>
  <c r="BA875" i="3" l="1"/>
  <c r="BC876" i="3"/>
  <c r="BB876" i="3"/>
  <c r="BD876" i="3"/>
  <c r="BA874" i="3" l="1"/>
  <c r="BD875" i="3"/>
  <c r="BC875" i="3"/>
  <c r="BB875" i="3"/>
  <c r="BA873" i="3" l="1"/>
  <c r="BC874" i="3"/>
  <c r="BB874" i="3"/>
  <c r="BD874" i="3"/>
  <c r="BA872" i="3" l="1"/>
  <c r="BC873" i="3"/>
  <c r="BB873" i="3"/>
  <c r="BD873" i="3"/>
  <c r="BA871" i="3" l="1"/>
  <c r="BB872" i="3"/>
  <c r="BC872" i="3"/>
  <c r="BD872" i="3"/>
  <c r="BA870" i="3" l="1"/>
  <c r="BC871" i="3"/>
  <c r="BD871" i="3"/>
  <c r="BB871" i="3"/>
  <c r="BA869" i="3" l="1"/>
  <c r="BC870" i="3"/>
  <c r="BD870" i="3"/>
  <c r="BB870" i="3"/>
  <c r="BA868" i="3" l="1"/>
  <c r="BD869" i="3"/>
  <c r="BC869" i="3"/>
  <c r="BB869" i="3"/>
  <c r="BA867" i="3" l="1"/>
  <c r="BB868" i="3"/>
  <c r="BC868" i="3"/>
  <c r="BD868" i="3"/>
  <c r="BA866" i="3" l="1"/>
  <c r="BB867" i="3"/>
  <c r="BC867" i="3"/>
  <c r="BD867" i="3"/>
  <c r="BA865" i="3" l="1"/>
  <c r="BB866" i="3"/>
  <c r="BC866" i="3"/>
  <c r="BD866" i="3"/>
  <c r="BA864" i="3" l="1"/>
  <c r="BC865" i="3"/>
  <c r="BB865" i="3"/>
  <c r="BD865" i="3"/>
  <c r="BA863" i="3" l="1"/>
  <c r="BB864" i="3"/>
  <c r="BD864" i="3"/>
  <c r="BC864" i="3"/>
  <c r="BA862" i="3" l="1"/>
  <c r="BD863" i="3"/>
  <c r="BB863" i="3"/>
  <c r="BC863" i="3"/>
  <c r="BA861" i="3" l="1"/>
  <c r="BB862" i="3"/>
  <c r="BD862" i="3"/>
  <c r="BC862" i="3"/>
  <c r="BA860" i="3" l="1"/>
  <c r="BD861" i="3"/>
  <c r="BC861" i="3"/>
  <c r="BB861" i="3"/>
  <c r="BA859" i="3" l="1"/>
  <c r="BB860" i="3"/>
  <c r="BD860" i="3"/>
  <c r="BC860" i="3"/>
  <c r="BA858" i="3" l="1"/>
  <c r="BB859" i="3"/>
  <c r="BD859" i="3"/>
  <c r="BC859" i="3"/>
  <c r="BA857" i="3" l="1"/>
  <c r="BB858" i="3"/>
  <c r="BD858" i="3"/>
  <c r="BC858" i="3"/>
  <c r="BA856" i="3" l="1"/>
  <c r="BD857" i="3"/>
  <c r="BB857" i="3"/>
  <c r="BC857" i="3"/>
  <c r="BA855" i="3" l="1"/>
  <c r="BB856" i="3"/>
  <c r="BC856" i="3"/>
  <c r="BD856" i="3"/>
  <c r="BA854" i="3" l="1"/>
  <c r="BD855" i="3"/>
  <c r="BB855" i="3"/>
  <c r="BC855" i="3"/>
  <c r="BA853" i="3" l="1"/>
  <c r="BB854" i="3"/>
  <c r="BD854" i="3"/>
  <c r="BC854" i="3"/>
  <c r="BA852" i="3" l="1"/>
  <c r="BD853" i="3"/>
  <c r="BB853" i="3"/>
  <c r="BC853" i="3"/>
  <c r="BA851" i="3" l="1"/>
  <c r="BD852" i="3"/>
  <c r="BC852" i="3"/>
  <c r="BB852" i="3"/>
  <c r="BA850" i="3" l="1"/>
  <c r="BD851" i="3"/>
  <c r="BC851" i="3"/>
  <c r="BB851" i="3"/>
  <c r="BA849" i="3" l="1"/>
  <c r="BC850" i="3"/>
  <c r="BD850" i="3"/>
  <c r="BB850" i="3"/>
  <c r="BA847" i="3" l="1"/>
  <c r="BB849" i="3"/>
  <c r="BD849" i="3"/>
  <c r="BC849" i="3"/>
  <c r="BA846" i="3" l="1"/>
  <c r="BB847" i="3"/>
  <c r="BC847" i="3"/>
  <c r="BD847" i="3"/>
  <c r="BA845" i="3" l="1"/>
  <c r="BB846" i="3"/>
  <c r="BD846" i="3"/>
  <c r="BC846" i="3"/>
  <c r="BA844" i="3" l="1"/>
  <c r="BD845" i="3"/>
  <c r="BC845" i="3"/>
  <c r="BB845" i="3"/>
  <c r="BA843" i="3" l="1"/>
  <c r="BB844" i="3"/>
  <c r="BC844" i="3"/>
  <c r="BD844" i="3"/>
  <c r="BA842" i="3" l="1"/>
  <c r="BB843" i="3"/>
  <c r="BD843" i="3"/>
  <c r="BC843" i="3"/>
  <c r="BA841" i="3" l="1"/>
  <c r="BD842" i="3"/>
  <c r="BB842" i="3"/>
  <c r="BC842" i="3"/>
  <c r="BA840" i="3" l="1"/>
  <c r="BC841" i="3"/>
  <c r="BD841" i="3"/>
  <c r="BB841" i="3"/>
  <c r="BA839" i="3" l="1"/>
  <c r="BD840" i="3"/>
  <c r="BC840" i="3"/>
  <c r="BB840" i="3"/>
  <c r="BA838" i="3" l="1"/>
  <c r="BC839" i="3"/>
  <c r="BB839" i="3"/>
  <c r="BD839" i="3"/>
  <c r="BA837" i="3" l="1"/>
  <c r="BC838" i="3"/>
  <c r="BB838" i="3"/>
  <c r="BD838" i="3"/>
  <c r="BA836" i="3" l="1"/>
  <c r="BC837" i="3"/>
  <c r="BB837" i="3"/>
  <c r="BD837" i="3"/>
  <c r="BA835" i="3" l="1"/>
  <c r="BD836" i="3"/>
  <c r="BB836" i="3"/>
  <c r="BC836" i="3"/>
  <c r="BA834" i="3" l="1"/>
  <c r="BB835" i="3"/>
  <c r="BC835" i="3"/>
  <c r="BD835" i="3"/>
  <c r="BA833" i="3" l="1"/>
  <c r="BB834" i="3"/>
  <c r="BC834" i="3"/>
  <c r="BD834" i="3"/>
  <c r="BA832" i="3" l="1"/>
  <c r="BB833" i="3"/>
  <c r="BD833" i="3"/>
  <c r="BC833" i="3"/>
  <c r="BA831" i="3" l="1"/>
  <c r="BD832" i="3"/>
  <c r="BB832" i="3"/>
  <c r="BC832" i="3"/>
  <c r="BA830" i="3" l="1"/>
  <c r="BB831" i="3"/>
  <c r="BC831" i="3"/>
  <c r="BD831" i="3"/>
  <c r="BA829" i="3" l="1"/>
  <c r="BB830" i="3"/>
  <c r="BC830" i="3"/>
  <c r="BD830" i="3"/>
  <c r="BA828" i="3" l="1"/>
  <c r="BC829" i="3"/>
  <c r="BD829" i="3"/>
  <c r="BB829" i="3"/>
  <c r="BA827" i="3" l="1"/>
  <c r="BB828" i="3"/>
  <c r="BD828" i="3"/>
  <c r="BC828" i="3"/>
  <c r="BA826" i="3" l="1"/>
  <c r="BC827" i="3"/>
  <c r="BB827" i="3"/>
  <c r="BD827" i="3"/>
  <c r="BA825" i="3" l="1"/>
  <c r="BD826" i="3"/>
  <c r="BC826" i="3"/>
  <c r="BB826" i="3"/>
  <c r="BA824" i="3" l="1"/>
  <c r="BB825" i="3"/>
  <c r="BD825" i="3"/>
  <c r="BC825" i="3"/>
  <c r="BA823" i="3" l="1"/>
  <c r="BC824" i="3"/>
  <c r="BD824" i="3"/>
  <c r="BB824" i="3"/>
  <c r="BA822" i="3" l="1"/>
  <c r="BB823" i="3"/>
  <c r="BD823" i="3"/>
  <c r="BC823" i="3"/>
  <c r="BA821" i="3" l="1"/>
  <c r="BB822" i="3"/>
  <c r="BD822" i="3"/>
  <c r="BC822" i="3"/>
  <c r="BA820" i="3" l="1"/>
  <c r="BB821" i="3"/>
  <c r="BD821" i="3"/>
  <c r="BC821" i="3"/>
  <c r="BA819" i="3" l="1"/>
  <c r="BB820" i="3"/>
  <c r="BD820" i="3"/>
  <c r="BC820" i="3"/>
  <c r="BA818" i="3" l="1"/>
  <c r="BB819" i="3"/>
  <c r="BD819" i="3"/>
  <c r="BC819" i="3"/>
  <c r="BA817" i="3" l="1"/>
  <c r="BC818" i="3"/>
  <c r="BD818" i="3"/>
  <c r="BB818" i="3"/>
  <c r="BA816" i="3" l="1"/>
  <c r="BB817" i="3"/>
  <c r="BD817" i="3"/>
  <c r="BC817" i="3"/>
  <c r="BA815" i="3" l="1"/>
  <c r="BC816" i="3"/>
  <c r="BD816" i="3"/>
  <c r="BB816" i="3"/>
  <c r="BA814" i="3" l="1"/>
  <c r="BB815" i="3"/>
  <c r="BC815" i="3"/>
  <c r="BD815" i="3"/>
  <c r="BA813" i="3" l="1"/>
  <c r="BD814" i="3"/>
  <c r="BB814" i="3"/>
  <c r="BC814" i="3"/>
  <c r="BA812" i="3" l="1"/>
  <c r="BB813" i="3"/>
  <c r="BC813" i="3"/>
  <c r="BD813" i="3"/>
  <c r="BA811" i="3" l="1"/>
  <c r="BC812" i="3"/>
  <c r="BD812" i="3"/>
  <c r="BB812" i="3"/>
  <c r="BA810" i="3" l="1"/>
  <c r="BB811" i="3"/>
  <c r="BD811" i="3"/>
  <c r="BC811" i="3"/>
  <c r="BA809" i="3" l="1"/>
  <c r="BD810" i="3"/>
  <c r="BC810" i="3"/>
  <c r="BB810" i="3"/>
  <c r="BA808" i="3" l="1"/>
  <c r="BC809" i="3"/>
  <c r="BD809" i="3"/>
  <c r="BB809" i="3"/>
  <c r="BA807" i="3" l="1"/>
  <c r="BC808" i="3"/>
  <c r="BB808" i="3"/>
  <c r="BD808" i="3"/>
  <c r="BA806" i="3" l="1"/>
  <c r="BC807" i="3"/>
  <c r="BB807" i="3"/>
  <c r="BD807" i="3"/>
  <c r="BA805" i="3" l="1"/>
  <c r="BB806" i="3"/>
  <c r="BC806" i="3"/>
  <c r="BD806" i="3"/>
  <c r="BA804" i="3" l="1"/>
  <c r="BC805" i="3"/>
  <c r="BB805" i="3"/>
  <c r="BD805" i="3"/>
  <c r="BA803" i="3" l="1"/>
  <c r="BC804" i="3"/>
  <c r="BD804" i="3"/>
  <c r="BB804" i="3"/>
  <c r="BA802" i="3" l="1"/>
  <c r="BC803" i="3"/>
  <c r="BD803" i="3"/>
  <c r="BB803" i="3"/>
  <c r="BA801" i="3" l="1"/>
  <c r="BD802" i="3"/>
  <c r="BC802" i="3"/>
  <c r="BB802" i="3"/>
  <c r="BA800" i="3" l="1"/>
  <c r="BC801" i="3"/>
  <c r="BB801" i="3"/>
  <c r="BD801" i="3"/>
  <c r="BA799" i="3" l="1"/>
  <c r="BD800" i="3"/>
  <c r="BB800" i="3"/>
  <c r="BC800" i="3"/>
  <c r="BA798" i="3" l="1"/>
  <c r="BD799" i="3"/>
  <c r="BC799" i="3"/>
  <c r="BB799" i="3"/>
  <c r="BA797" i="3" l="1"/>
  <c r="BD798" i="3"/>
  <c r="BC798" i="3"/>
  <c r="BB798" i="3"/>
  <c r="BA796" i="3" l="1"/>
  <c r="BD797" i="3"/>
  <c r="BB797" i="3"/>
  <c r="BC797" i="3"/>
  <c r="BA795" i="3" l="1"/>
  <c r="BB796" i="3"/>
  <c r="BC796" i="3"/>
  <c r="BD796" i="3"/>
  <c r="BA794" i="3" l="1"/>
  <c r="BC795" i="3"/>
  <c r="BB795" i="3"/>
  <c r="BD795" i="3"/>
  <c r="BA793" i="3" l="1"/>
  <c r="BD794" i="3"/>
  <c r="BC794" i="3"/>
  <c r="BB794" i="3"/>
  <c r="BA792" i="3" l="1"/>
  <c r="BB793" i="3"/>
  <c r="BC793" i="3"/>
  <c r="BD793" i="3"/>
  <c r="BA791" i="3" l="1"/>
  <c r="BB792" i="3"/>
  <c r="BC792" i="3"/>
  <c r="BD792" i="3"/>
  <c r="BA790" i="3" l="1"/>
  <c r="BB791" i="3"/>
  <c r="BD791" i="3"/>
  <c r="BC791" i="3"/>
  <c r="BA789" i="3" l="1"/>
  <c r="BC790" i="3"/>
  <c r="BD790" i="3"/>
  <c r="BB790" i="3"/>
  <c r="BA788" i="3" l="1"/>
  <c r="BB789" i="3"/>
  <c r="BD789" i="3"/>
  <c r="BC789" i="3"/>
  <c r="BA787" i="3" l="1"/>
  <c r="BD788" i="3"/>
  <c r="BB788" i="3"/>
  <c r="BC788" i="3"/>
  <c r="BA786" i="3" l="1"/>
  <c r="BC787" i="3"/>
  <c r="BD787" i="3"/>
  <c r="BB787" i="3"/>
  <c r="BA785" i="3" l="1"/>
  <c r="BB786" i="3"/>
  <c r="BD786" i="3"/>
  <c r="BC786" i="3"/>
  <c r="BA784" i="3" l="1"/>
  <c r="BB785" i="3"/>
  <c r="BC785" i="3"/>
  <c r="BD785" i="3"/>
  <c r="BA783" i="3" l="1"/>
  <c r="BB784" i="3"/>
  <c r="BD784" i="3"/>
  <c r="BC784" i="3"/>
  <c r="BA782" i="3" l="1"/>
  <c r="BB783" i="3"/>
  <c r="BD783" i="3"/>
  <c r="BC783" i="3"/>
  <c r="BA781" i="3" l="1"/>
  <c r="BB782" i="3"/>
  <c r="BC782" i="3"/>
  <c r="BD782" i="3"/>
  <c r="BA780" i="3" l="1"/>
  <c r="BB781" i="3"/>
  <c r="BC781" i="3"/>
  <c r="BD781" i="3"/>
  <c r="BA779" i="3" l="1"/>
  <c r="BD780" i="3"/>
  <c r="BC780" i="3"/>
  <c r="BB780" i="3"/>
  <c r="BA778" i="3" l="1"/>
  <c r="BB779" i="3"/>
  <c r="BD779" i="3"/>
  <c r="BC779" i="3"/>
  <c r="BA777" i="3" l="1"/>
  <c r="BB778" i="3"/>
  <c r="BD778" i="3"/>
  <c r="BC778" i="3"/>
  <c r="BA776" i="3" l="1"/>
  <c r="BD777" i="3"/>
  <c r="BB777" i="3"/>
  <c r="BC777" i="3"/>
  <c r="BA775" i="3" l="1"/>
  <c r="BB776" i="3"/>
  <c r="BC776" i="3"/>
  <c r="BD776" i="3"/>
  <c r="BA774" i="3" l="1"/>
  <c r="BC775" i="3"/>
  <c r="BD775" i="3"/>
  <c r="BB775" i="3"/>
  <c r="BA773" i="3" l="1"/>
  <c r="BC774" i="3"/>
  <c r="BD774" i="3"/>
  <c r="BB774" i="3"/>
  <c r="BA772" i="3" l="1"/>
  <c r="BB773" i="3"/>
  <c r="BC773" i="3"/>
  <c r="BD773" i="3"/>
  <c r="BA771" i="3" l="1"/>
  <c r="BD772" i="3"/>
  <c r="BB772" i="3"/>
  <c r="BC772" i="3"/>
  <c r="BA770" i="3" l="1"/>
  <c r="BB771" i="3"/>
  <c r="BD771" i="3"/>
  <c r="BC771" i="3"/>
  <c r="BA769" i="3" l="1"/>
  <c r="BC770" i="3"/>
  <c r="BB770" i="3"/>
  <c r="BD770" i="3"/>
  <c r="BA768" i="3" l="1"/>
  <c r="BB769" i="3"/>
  <c r="BC769" i="3"/>
  <c r="BD769" i="3"/>
  <c r="BA767" i="3" l="1"/>
  <c r="BD768" i="3"/>
  <c r="BC768" i="3"/>
  <c r="BB768" i="3"/>
  <c r="BA766" i="3" l="1"/>
  <c r="BB767" i="3"/>
  <c r="BC767" i="3"/>
  <c r="BD767" i="3"/>
  <c r="BA765" i="3" l="1"/>
  <c r="BD766" i="3"/>
  <c r="BC766" i="3"/>
  <c r="BB766" i="3"/>
  <c r="BA764" i="3" l="1"/>
  <c r="BC765" i="3"/>
  <c r="BB765" i="3"/>
  <c r="BD765" i="3"/>
  <c r="BA763" i="3" l="1"/>
  <c r="BC764" i="3"/>
  <c r="BB764" i="3"/>
  <c r="BD764" i="3"/>
  <c r="BA762" i="3" l="1"/>
  <c r="BB763" i="3"/>
  <c r="BD763" i="3"/>
  <c r="BC763" i="3"/>
  <c r="BA761" i="3" l="1"/>
  <c r="BC762" i="3"/>
  <c r="BD762" i="3"/>
  <c r="BB762" i="3"/>
  <c r="BA760" i="3" l="1"/>
  <c r="BD761" i="3"/>
  <c r="BB761" i="3"/>
  <c r="BC761" i="3"/>
  <c r="BA759" i="3" l="1"/>
  <c r="BB760" i="3"/>
  <c r="BD760" i="3"/>
  <c r="BC760" i="3"/>
  <c r="BA758" i="3" l="1"/>
  <c r="BD759" i="3"/>
  <c r="BB759" i="3"/>
  <c r="BC759" i="3"/>
  <c r="BA757" i="3" l="1"/>
  <c r="BD758" i="3"/>
  <c r="BB758" i="3"/>
  <c r="BC758" i="3"/>
  <c r="BA755" i="3" l="1"/>
  <c r="BC757" i="3"/>
  <c r="BB757" i="3"/>
  <c r="BD757" i="3"/>
  <c r="BA754" i="3" l="1"/>
  <c r="BD755" i="3"/>
  <c r="BC755" i="3"/>
  <c r="BB755" i="3"/>
  <c r="BA753" i="3" l="1"/>
  <c r="BD754" i="3"/>
  <c r="BB754" i="3"/>
  <c r="BC754" i="3"/>
  <c r="BA752" i="3" l="1"/>
  <c r="BB753" i="3"/>
  <c r="BC753" i="3"/>
  <c r="BD753" i="3"/>
  <c r="BA751" i="3" l="1"/>
  <c r="BD752" i="3"/>
  <c r="BC752" i="3"/>
  <c r="BB752" i="3"/>
  <c r="BA750" i="3" l="1"/>
  <c r="BD751" i="3"/>
  <c r="BC751" i="3"/>
  <c r="BB751" i="3"/>
  <c r="BA749" i="3" l="1"/>
  <c r="BC750" i="3"/>
  <c r="BD750" i="3"/>
  <c r="BB750" i="3"/>
  <c r="BA748" i="3" l="1"/>
  <c r="BD749" i="3"/>
  <c r="BC749" i="3"/>
  <c r="BB749" i="3"/>
  <c r="BA747" i="3" l="1"/>
  <c r="BB748" i="3"/>
  <c r="BD748" i="3"/>
  <c r="BC748" i="3"/>
  <c r="BA746" i="3" l="1"/>
  <c r="BD747" i="3"/>
  <c r="BB747" i="3"/>
  <c r="BC747" i="3"/>
  <c r="BA745" i="3" l="1"/>
  <c r="BB746" i="3"/>
  <c r="BD746" i="3"/>
  <c r="BC746" i="3"/>
  <c r="BA744" i="3" l="1"/>
  <c r="BB745" i="3"/>
  <c r="BC745" i="3"/>
  <c r="BD745" i="3"/>
  <c r="BA743" i="3" l="1"/>
  <c r="BB744" i="3"/>
  <c r="BC744" i="3"/>
  <c r="BD744" i="3"/>
  <c r="BA742" i="3" l="1"/>
  <c r="BB743" i="3"/>
  <c r="BC743" i="3"/>
  <c r="BD743" i="3"/>
  <c r="BA741" i="3" l="1"/>
  <c r="BD742" i="3"/>
  <c r="BC742" i="3"/>
  <c r="BB742" i="3"/>
  <c r="BA740" i="3" l="1"/>
  <c r="BB741" i="3"/>
  <c r="BC741" i="3"/>
  <c r="BD741" i="3"/>
  <c r="BA739" i="3" l="1"/>
  <c r="BC740" i="3"/>
  <c r="BB740" i="3"/>
  <c r="BD740" i="3"/>
  <c r="BA738" i="3" l="1"/>
  <c r="BB739" i="3"/>
  <c r="BC739" i="3"/>
  <c r="BD739" i="3"/>
  <c r="BA737" i="3" l="1"/>
  <c r="BC738" i="3"/>
  <c r="BB738" i="3"/>
  <c r="BD738" i="3"/>
  <c r="BA736" i="3" l="1"/>
  <c r="BD737" i="3"/>
  <c r="BC737" i="3"/>
  <c r="BB737" i="3"/>
  <c r="BA735" i="3" l="1"/>
  <c r="BD736" i="3"/>
  <c r="BB736" i="3"/>
  <c r="BC736" i="3"/>
  <c r="BA734" i="3" l="1"/>
  <c r="BD735" i="3"/>
  <c r="BB735" i="3"/>
  <c r="BC735" i="3"/>
  <c r="BA733" i="3" l="1"/>
  <c r="BB734" i="3"/>
  <c r="BD734" i="3"/>
  <c r="BC734" i="3"/>
  <c r="BA732" i="3" l="1"/>
  <c r="BC733" i="3"/>
  <c r="BB733" i="3"/>
  <c r="BD733" i="3"/>
  <c r="BA731" i="3" l="1"/>
  <c r="BC732" i="3"/>
  <c r="BB732" i="3"/>
  <c r="BD732" i="3"/>
  <c r="BA730" i="3" l="1"/>
  <c r="BC731" i="3"/>
  <c r="BD731" i="3"/>
  <c r="BB731" i="3"/>
  <c r="BA729" i="3" l="1"/>
  <c r="BB730" i="3"/>
  <c r="BD730" i="3"/>
  <c r="BC730" i="3"/>
  <c r="BA728" i="3" l="1"/>
  <c r="BC729" i="3"/>
  <c r="BD729" i="3"/>
  <c r="BB729" i="3"/>
  <c r="BA727" i="3" l="1"/>
  <c r="BC728" i="3"/>
  <c r="BB728" i="3"/>
  <c r="BD728" i="3"/>
  <c r="BA726" i="3" l="1"/>
  <c r="BD727" i="3"/>
  <c r="BB727" i="3"/>
  <c r="BC727" i="3"/>
  <c r="BA725" i="3" l="1"/>
  <c r="BD726" i="3"/>
  <c r="BC726" i="3"/>
  <c r="BB726" i="3"/>
  <c r="BA724" i="3" l="1"/>
  <c r="BD725" i="3"/>
  <c r="BB725" i="3"/>
  <c r="BC725" i="3"/>
  <c r="BA723" i="3" l="1"/>
  <c r="BC724" i="3"/>
  <c r="BD724" i="3"/>
  <c r="BB724" i="3"/>
  <c r="BA722" i="3" l="1"/>
  <c r="BB723" i="3"/>
  <c r="BC723" i="3"/>
  <c r="BD723" i="3"/>
  <c r="BA721" i="3" l="1"/>
  <c r="BC722" i="3"/>
  <c r="BD722" i="3"/>
  <c r="BB722" i="3"/>
  <c r="BA720" i="3" l="1"/>
  <c r="BD721" i="3"/>
  <c r="BB721" i="3"/>
  <c r="BC721" i="3"/>
  <c r="BA719" i="3" l="1"/>
  <c r="BB720" i="3"/>
  <c r="BD720" i="3"/>
  <c r="BC720" i="3"/>
  <c r="BA718" i="3" l="1"/>
  <c r="BD719" i="3"/>
  <c r="BC719" i="3"/>
  <c r="BB719" i="3"/>
  <c r="BA717" i="3" l="1"/>
  <c r="BD718" i="3"/>
  <c r="BC718" i="3"/>
  <c r="BB718" i="3"/>
  <c r="BA716" i="3" l="1"/>
  <c r="BC717" i="3"/>
  <c r="BD717" i="3"/>
  <c r="BB717" i="3"/>
  <c r="BA715" i="3" l="1"/>
  <c r="BC716" i="3"/>
  <c r="BD716" i="3"/>
  <c r="BB716" i="3"/>
  <c r="BA714" i="3" l="1"/>
  <c r="BD715" i="3"/>
  <c r="BB715" i="3"/>
  <c r="BC715" i="3"/>
  <c r="BA713" i="3" l="1"/>
  <c r="BC714" i="3"/>
  <c r="BB714" i="3"/>
  <c r="BD714" i="3"/>
  <c r="BA712" i="3" l="1"/>
  <c r="BB713" i="3"/>
  <c r="BD713" i="3"/>
  <c r="BC713" i="3"/>
  <c r="BA711" i="3" l="1"/>
  <c r="BB712" i="3"/>
  <c r="BD712" i="3"/>
  <c r="BC712" i="3"/>
  <c r="BA710" i="3" l="1"/>
  <c r="BD711" i="3"/>
  <c r="BC711" i="3"/>
  <c r="BB711" i="3"/>
  <c r="BA709" i="3" l="1"/>
  <c r="BD710" i="3"/>
  <c r="BC710" i="3"/>
  <c r="BB710" i="3"/>
  <c r="BA708" i="3" l="1"/>
  <c r="BB709" i="3"/>
  <c r="BC709" i="3"/>
  <c r="BD709" i="3"/>
  <c r="BA707" i="3" l="1"/>
  <c r="BD708" i="3"/>
  <c r="BC708" i="3"/>
  <c r="BB708" i="3"/>
  <c r="BA706" i="3" l="1"/>
  <c r="BD707" i="3"/>
  <c r="BB707" i="3"/>
  <c r="BC707" i="3"/>
  <c r="BA705" i="3" l="1"/>
  <c r="BC706" i="3"/>
  <c r="BD706" i="3"/>
  <c r="BB706" i="3"/>
  <c r="BA704" i="3" l="1"/>
  <c r="BC705" i="3"/>
  <c r="BB705" i="3"/>
  <c r="BD705" i="3"/>
  <c r="BA703" i="3" l="1"/>
  <c r="BB704" i="3"/>
  <c r="BD704" i="3"/>
  <c r="BC704" i="3"/>
  <c r="BA702" i="3" l="1"/>
  <c r="BB703" i="3"/>
  <c r="BD703" i="3"/>
  <c r="BC703" i="3"/>
  <c r="BA701" i="3" l="1"/>
  <c r="BC702" i="3"/>
  <c r="BB702" i="3"/>
  <c r="BD702" i="3"/>
  <c r="BA700" i="3" l="1"/>
  <c r="BB701" i="3"/>
  <c r="BD701" i="3"/>
  <c r="BC701" i="3"/>
  <c r="BA699" i="3" l="1"/>
  <c r="BC700" i="3"/>
  <c r="BB700" i="3"/>
  <c r="BD700" i="3"/>
  <c r="BA698" i="3" l="1"/>
  <c r="BB699" i="3"/>
  <c r="BD699" i="3"/>
  <c r="BC699" i="3"/>
  <c r="BA697" i="3" l="1"/>
  <c r="BD698" i="3"/>
  <c r="BC698" i="3"/>
  <c r="BB698" i="3"/>
  <c r="BA696" i="3" l="1"/>
  <c r="BD697" i="3"/>
  <c r="BC697" i="3"/>
  <c r="BB697" i="3"/>
  <c r="BA695" i="3" l="1"/>
  <c r="BC696" i="3"/>
  <c r="BB696" i="3"/>
  <c r="BD696" i="3"/>
  <c r="BA694" i="3" l="1"/>
  <c r="BD695" i="3"/>
  <c r="BC695" i="3"/>
  <c r="BB695" i="3"/>
  <c r="BA693" i="3" l="1"/>
  <c r="BB694" i="3"/>
  <c r="BC694" i="3"/>
  <c r="BD694" i="3"/>
  <c r="BA692" i="3" l="1"/>
  <c r="BD693" i="3"/>
  <c r="BB693" i="3"/>
  <c r="BC693" i="3"/>
  <c r="BA691" i="3" l="1"/>
  <c r="BD692" i="3"/>
  <c r="BC692" i="3"/>
  <c r="BB692" i="3"/>
  <c r="BA690" i="3" l="1"/>
  <c r="BB691" i="3"/>
  <c r="BC691" i="3"/>
  <c r="BD691" i="3"/>
  <c r="BA689" i="3" l="1"/>
  <c r="BC690" i="3"/>
  <c r="BD690" i="3"/>
  <c r="BB690" i="3"/>
  <c r="BA688" i="3" l="1"/>
  <c r="BB689" i="3"/>
  <c r="BD689" i="3"/>
  <c r="BC689" i="3"/>
  <c r="BA687" i="3" l="1"/>
  <c r="BB688" i="3"/>
  <c r="BC688" i="3"/>
  <c r="BD688" i="3"/>
  <c r="BA686" i="3" l="1"/>
  <c r="BD687" i="3"/>
  <c r="BB687" i="3"/>
  <c r="BC687" i="3"/>
  <c r="BA685" i="3" l="1"/>
  <c r="BD686" i="3"/>
  <c r="BC686" i="3"/>
  <c r="BB686" i="3"/>
  <c r="BA684" i="3" l="1"/>
  <c r="BD685" i="3"/>
  <c r="BC685" i="3"/>
  <c r="BB685" i="3"/>
  <c r="BA683" i="3" l="1"/>
  <c r="BD684" i="3"/>
  <c r="BB684" i="3"/>
  <c r="BC684" i="3"/>
  <c r="BA682" i="3" l="1"/>
  <c r="BC683" i="3"/>
  <c r="BD683" i="3"/>
  <c r="BB683" i="3"/>
  <c r="BA681" i="3" l="1"/>
  <c r="BB682" i="3"/>
  <c r="BC682" i="3"/>
  <c r="BD682" i="3"/>
  <c r="BA680" i="3" l="1"/>
  <c r="BD681" i="3"/>
  <c r="BC681" i="3"/>
  <c r="BB681" i="3"/>
  <c r="BA679" i="3" l="1"/>
  <c r="BC680" i="3"/>
  <c r="BD680" i="3"/>
  <c r="BB680" i="3"/>
  <c r="BA678" i="3" l="1"/>
  <c r="BC679" i="3"/>
  <c r="BB679" i="3"/>
  <c r="BD679" i="3"/>
  <c r="BA677" i="3" l="1"/>
  <c r="BC678" i="3"/>
  <c r="BB678" i="3"/>
  <c r="BD678" i="3"/>
  <c r="BA676" i="3" l="1"/>
  <c r="BC677" i="3"/>
  <c r="BD677" i="3"/>
  <c r="BB677" i="3"/>
  <c r="BA675" i="3" l="1"/>
  <c r="BD676" i="3"/>
  <c r="BB676" i="3"/>
  <c r="BC676" i="3"/>
  <c r="BA674" i="3" l="1"/>
  <c r="BD675" i="3"/>
  <c r="BB675" i="3"/>
  <c r="BC675" i="3"/>
  <c r="BA673" i="3" l="1"/>
  <c r="BC674" i="3"/>
  <c r="BB674" i="3"/>
  <c r="BD674" i="3"/>
  <c r="BA672" i="3" l="1"/>
  <c r="BD673" i="3"/>
  <c r="BB673" i="3"/>
  <c r="BC673" i="3"/>
  <c r="BA671" i="3" l="1"/>
  <c r="BD672" i="3"/>
  <c r="BC672" i="3"/>
  <c r="BB672" i="3"/>
  <c r="BA670" i="3" l="1"/>
  <c r="BB671" i="3"/>
  <c r="BC671" i="3"/>
  <c r="BD671" i="3"/>
  <c r="BA669" i="3" l="1"/>
  <c r="BB670" i="3"/>
  <c r="BC670" i="3"/>
  <c r="BD670" i="3"/>
  <c r="BA668" i="3" l="1"/>
  <c r="BC669" i="3"/>
  <c r="BB669" i="3"/>
  <c r="BD669" i="3"/>
  <c r="BA667" i="3" l="1"/>
  <c r="BD668" i="3"/>
  <c r="BB668" i="3"/>
  <c r="BC668" i="3"/>
  <c r="BA666" i="3" l="1"/>
  <c r="BD667" i="3"/>
  <c r="BC667" i="3"/>
  <c r="BB667" i="3"/>
  <c r="BA665" i="3" l="1"/>
  <c r="BB666" i="3"/>
  <c r="BC666" i="3"/>
  <c r="BD666" i="3"/>
  <c r="BA664" i="3" l="1"/>
  <c r="BB665" i="3"/>
  <c r="BC665" i="3"/>
  <c r="BD665" i="3"/>
  <c r="BA660" i="3" l="1"/>
  <c r="BD664" i="3"/>
  <c r="BC664" i="3"/>
  <c r="BB664" i="3"/>
  <c r="BA659" i="3" l="1"/>
  <c r="BB660" i="3"/>
  <c r="BD660" i="3"/>
  <c r="BC660" i="3"/>
  <c r="BA657" i="3" l="1"/>
  <c r="BD659" i="3"/>
  <c r="BB659" i="3"/>
  <c r="BC659" i="3"/>
  <c r="BA656" i="3" l="1"/>
  <c r="BD657" i="3"/>
  <c r="BC657" i="3"/>
  <c r="BB657" i="3"/>
  <c r="BA655" i="3" l="1"/>
  <c r="BB656" i="3"/>
  <c r="BC656" i="3"/>
  <c r="BD656" i="3"/>
  <c r="BA654" i="3" l="1"/>
  <c r="BD655" i="3"/>
  <c r="BB655" i="3"/>
  <c r="BC655" i="3"/>
  <c r="BA653" i="3" l="1"/>
  <c r="BD654" i="3"/>
  <c r="BB654" i="3"/>
  <c r="BC654" i="3"/>
  <c r="BA652" i="3" l="1"/>
  <c r="BB653" i="3"/>
  <c r="BD653" i="3"/>
  <c r="BC653" i="3"/>
  <c r="BA651" i="3" l="1"/>
  <c r="BC652" i="3"/>
  <c r="BB652" i="3"/>
  <c r="BD652" i="3"/>
  <c r="BA650" i="3" l="1"/>
  <c r="BC651" i="3"/>
  <c r="BD651" i="3"/>
  <c r="BB651" i="3"/>
  <c r="BA649" i="3" l="1"/>
  <c r="BB650" i="3"/>
  <c r="BC650" i="3"/>
  <c r="BD650" i="3"/>
  <c r="BA648" i="3" l="1"/>
  <c r="BC649" i="3"/>
  <c r="BD649" i="3"/>
  <c r="BB649" i="3"/>
  <c r="BA647" i="3" l="1"/>
  <c r="BB648" i="3"/>
  <c r="BC648" i="3"/>
  <c r="BD648" i="3"/>
  <c r="BA646" i="3" l="1"/>
  <c r="BC647" i="3"/>
  <c r="BD647" i="3"/>
  <c r="BB647" i="3"/>
  <c r="BA645" i="3" l="1"/>
  <c r="BD646" i="3"/>
  <c r="BC646" i="3"/>
  <c r="BB646" i="3"/>
  <c r="BA644" i="3" l="1"/>
  <c r="BD645" i="3"/>
  <c r="BB645" i="3"/>
  <c r="BC645" i="3"/>
  <c r="BA642" i="3" l="1"/>
  <c r="BB644" i="3"/>
  <c r="BD644" i="3"/>
  <c r="BC644" i="3"/>
  <c r="BA641" i="3" l="1"/>
  <c r="BC642" i="3"/>
  <c r="BD642" i="3"/>
  <c r="BB642" i="3"/>
  <c r="BA640" i="3" l="1"/>
  <c r="BC641" i="3"/>
  <c r="BD641" i="3"/>
  <c r="BB641" i="3"/>
  <c r="BA639" i="3" l="1"/>
  <c r="BD640" i="3"/>
  <c r="BC640" i="3"/>
  <c r="BB640" i="3"/>
  <c r="BA638" i="3" l="1"/>
  <c r="BB639" i="3"/>
  <c r="BC639" i="3"/>
  <c r="BD639" i="3"/>
  <c r="BA637" i="3" l="1"/>
  <c r="BC638" i="3"/>
  <c r="BB638" i="3"/>
  <c r="BD638" i="3"/>
  <c r="BA636" i="3" l="1"/>
  <c r="BD637" i="3"/>
  <c r="BC637" i="3"/>
  <c r="BB637" i="3"/>
  <c r="BA635" i="3" l="1"/>
  <c r="BB636" i="3"/>
  <c r="BD636" i="3"/>
  <c r="BC636" i="3"/>
  <c r="BA634" i="3" l="1"/>
  <c r="BB635" i="3"/>
  <c r="BD635" i="3"/>
  <c r="BC635" i="3"/>
  <c r="BA633" i="3" l="1"/>
  <c r="BC634" i="3"/>
  <c r="BD634" i="3"/>
  <c r="BB634" i="3"/>
  <c r="BA632" i="3" l="1"/>
  <c r="BD633" i="3"/>
  <c r="BB633" i="3"/>
  <c r="BC633" i="3"/>
  <c r="BA631" i="3" l="1"/>
  <c r="BD632" i="3"/>
  <c r="BC632" i="3"/>
  <c r="BB632" i="3"/>
  <c r="BA630" i="3" l="1"/>
  <c r="BB631" i="3"/>
  <c r="BC631" i="3"/>
  <c r="BD631" i="3"/>
  <c r="BA629" i="3" l="1"/>
  <c r="BB630" i="3"/>
  <c r="BC630" i="3"/>
  <c r="BD630" i="3"/>
  <c r="BA628" i="3" l="1"/>
  <c r="BC629" i="3"/>
  <c r="BB629" i="3"/>
  <c r="BD629" i="3"/>
  <c r="BA627" i="3" l="1"/>
  <c r="BC628" i="3"/>
  <c r="BD628" i="3"/>
  <c r="BB628" i="3"/>
  <c r="BA626" i="3" l="1"/>
  <c r="BB627" i="3"/>
  <c r="BC627" i="3"/>
  <c r="BD627" i="3"/>
  <c r="BA625" i="3" l="1"/>
  <c r="BD626" i="3"/>
  <c r="BC626" i="3"/>
  <c r="BB626" i="3"/>
  <c r="BA624" i="3" l="1"/>
  <c r="BB625" i="3"/>
  <c r="BC625" i="3"/>
  <c r="BD625" i="3"/>
  <c r="BA623" i="3" l="1"/>
  <c r="BB624" i="3"/>
  <c r="BC624" i="3"/>
  <c r="BD624" i="3"/>
  <c r="BA622" i="3" l="1"/>
  <c r="BB623" i="3"/>
  <c r="BC623" i="3"/>
  <c r="BD623" i="3"/>
  <c r="BA621" i="3" l="1"/>
  <c r="BC622" i="3"/>
  <c r="BB622" i="3"/>
  <c r="BD622" i="3"/>
  <c r="BA620" i="3" l="1"/>
  <c r="BD621" i="3"/>
  <c r="BB621" i="3"/>
  <c r="BC621" i="3"/>
  <c r="BA619" i="3" l="1"/>
  <c r="BD620" i="3"/>
  <c r="BB620" i="3"/>
  <c r="BC620" i="3"/>
  <c r="BA618" i="3" l="1"/>
  <c r="BB619" i="3"/>
  <c r="BC619" i="3"/>
  <c r="BD619" i="3"/>
  <c r="BA617" i="3" l="1"/>
  <c r="BC618" i="3"/>
  <c r="BD618" i="3"/>
  <c r="BB618" i="3"/>
  <c r="BA616" i="3" l="1"/>
  <c r="BB617" i="3"/>
  <c r="BC617" i="3"/>
  <c r="BD617" i="3"/>
  <c r="BA615" i="3" l="1"/>
  <c r="BD616" i="3"/>
  <c r="BB616" i="3"/>
  <c r="BC616" i="3"/>
  <c r="BA614" i="3" l="1"/>
  <c r="BD615" i="3"/>
  <c r="BB615" i="3"/>
  <c r="BC615" i="3"/>
  <c r="BA613" i="3" l="1"/>
  <c r="BB614" i="3"/>
  <c r="BC614" i="3"/>
  <c r="BD614" i="3"/>
  <c r="BA612" i="3" l="1"/>
  <c r="BC613" i="3"/>
  <c r="BD613" i="3"/>
  <c r="BB613" i="3"/>
  <c r="BA611" i="3" l="1"/>
  <c r="BB612" i="3"/>
  <c r="BD612" i="3"/>
  <c r="BC612" i="3"/>
  <c r="BA610" i="3" l="1"/>
  <c r="BB611" i="3"/>
  <c r="BD611" i="3"/>
  <c r="BC611" i="3"/>
  <c r="BA609" i="3" l="1"/>
  <c r="BC610" i="3"/>
  <c r="BB610" i="3"/>
  <c r="BD610" i="3"/>
  <c r="BA608" i="3" l="1"/>
  <c r="BC609" i="3"/>
  <c r="BB609" i="3"/>
  <c r="BD609" i="3"/>
  <c r="BA607" i="3" l="1"/>
  <c r="BD608" i="3"/>
  <c r="BC608" i="3"/>
  <c r="BB608" i="3"/>
  <c r="BA606" i="3" l="1"/>
  <c r="BD607" i="3"/>
  <c r="BB607" i="3"/>
  <c r="BC607" i="3"/>
  <c r="BA605" i="3" l="1"/>
  <c r="BC606" i="3"/>
  <c r="BD606" i="3"/>
  <c r="BB606" i="3"/>
  <c r="BA604" i="3" l="1"/>
  <c r="BD605" i="3"/>
  <c r="BB605" i="3"/>
  <c r="BC605" i="3"/>
  <c r="BA603" i="3" l="1"/>
  <c r="BD604" i="3"/>
  <c r="BB604" i="3"/>
  <c r="BC604" i="3"/>
  <c r="BA602" i="3" l="1"/>
  <c r="BC603" i="3"/>
  <c r="BB603" i="3"/>
  <c r="BD603" i="3"/>
  <c r="BA601" i="3" l="1"/>
  <c r="BD602" i="3"/>
  <c r="BB602" i="3"/>
  <c r="BC602" i="3"/>
  <c r="BA600" i="3" l="1"/>
  <c r="BC601" i="3"/>
  <c r="BB601" i="3"/>
  <c r="BD601" i="3"/>
  <c r="BA599" i="3" l="1"/>
  <c r="BB600" i="3"/>
  <c r="BD600" i="3"/>
  <c r="BC600" i="3"/>
  <c r="BA598" i="3" l="1"/>
  <c r="BC599" i="3"/>
  <c r="BB599" i="3"/>
  <c r="BD599" i="3"/>
  <c r="BA597" i="3" l="1"/>
  <c r="BD598" i="3"/>
  <c r="BC598" i="3"/>
  <c r="BB598" i="3"/>
  <c r="BA596" i="3" l="1"/>
  <c r="BB597" i="3"/>
  <c r="BD597" i="3"/>
  <c r="BC597" i="3"/>
  <c r="BA595" i="3" l="1"/>
  <c r="BC596" i="3"/>
  <c r="BB596" i="3"/>
  <c r="BD596" i="3"/>
  <c r="BA594" i="3" l="1"/>
  <c r="BB595" i="3"/>
  <c r="BD595" i="3"/>
  <c r="BC595" i="3"/>
  <c r="BA593" i="3" l="1"/>
  <c r="BB594" i="3"/>
  <c r="BC594" i="3"/>
  <c r="BD594" i="3"/>
  <c r="BA592" i="3" l="1"/>
  <c r="BD593" i="3"/>
  <c r="BB593" i="3"/>
  <c r="BC593" i="3"/>
  <c r="BA591" i="3" l="1"/>
  <c r="BC592" i="3"/>
  <c r="BD592" i="3"/>
  <c r="BB592" i="3"/>
  <c r="BA590" i="3" l="1"/>
  <c r="BB591" i="3"/>
  <c r="BD591" i="3"/>
  <c r="BC591" i="3"/>
  <c r="BA589" i="3" l="1"/>
  <c r="BB590" i="3"/>
  <c r="BC590" i="3"/>
  <c r="BD590" i="3"/>
  <c r="BA588" i="3" l="1"/>
  <c r="BC589" i="3"/>
  <c r="BB589" i="3"/>
  <c r="BD589" i="3"/>
  <c r="BA587" i="3" l="1"/>
  <c r="BC588" i="3"/>
  <c r="BD588" i="3"/>
  <c r="BB588" i="3"/>
  <c r="BA586" i="3" l="1"/>
  <c r="BD587" i="3"/>
  <c r="BB587" i="3"/>
  <c r="BC587" i="3"/>
  <c r="BA585" i="3" l="1"/>
  <c r="BD586" i="3"/>
  <c r="BC586" i="3"/>
  <c r="BB586" i="3"/>
  <c r="BA584" i="3" l="1"/>
  <c r="BC585" i="3"/>
  <c r="BB585" i="3"/>
  <c r="BD585" i="3"/>
  <c r="BA583" i="3" l="1"/>
  <c r="BC584" i="3"/>
  <c r="BD584" i="3"/>
  <c r="BB584" i="3"/>
  <c r="BA582" i="3" l="1"/>
  <c r="BB583" i="3"/>
  <c r="BC583" i="3"/>
  <c r="BD583" i="3"/>
  <c r="BA581" i="3" l="1"/>
  <c r="BD582" i="3"/>
  <c r="BC582" i="3"/>
  <c r="BB582" i="3"/>
  <c r="BA580" i="3" l="1"/>
  <c r="BB581" i="3"/>
  <c r="BD581" i="3"/>
  <c r="BC581" i="3"/>
  <c r="BA579" i="3" l="1"/>
  <c r="BD580" i="3"/>
  <c r="BC580" i="3"/>
  <c r="BB580" i="3"/>
  <c r="BA578" i="3" l="1"/>
  <c r="BD579" i="3"/>
  <c r="BB579" i="3"/>
  <c r="BC579" i="3"/>
  <c r="BA577" i="3" l="1"/>
  <c r="BD578" i="3"/>
  <c r="BB578" i="3"/>
  <c r="BC578" i="3"/>
  <c r="BA576" i="3" l="1"/>
  <c r="BC577" i="3"/>
  <c r="BB577" i="3"/>
  <c r="BD577" i="3"/>
  <c r="BA575" i="3" l="1"/>
  <c r="BB576" i="3"/>
  <c r="BC576" i="3"/>
  <c r="BD576" i="3"/>
  <c r="BA574" i="3" l="1"/>
  <c r="BB575" i="3"/>
  <c r="BD575" i="3"/>
  <c r="BC575" i="3"/>
  <c r="BA573" i="3" l="1"/>
  <c r="BC574" i="3"/>
  <c r="BB574" i="3"/>
  <c r="BD574" i="3"/>
  <c r="BA572" i="3" l="1"/>
  <c r="BB573" i="3"/>
  <c r="BD573" i="3"/>
  <c r="BC573" i="3"/>
  <c r="BA571" i="3" l="1"/>
  <c r="BB572" i="3"/>
  <c r="BC572" i="3"/>
  <c r="BD572" i="3"/>
  <c r="BA570" i="3" l="1"/>
  <c r="BD571" i="3"/>
  <c r="BB571" i="3"/>
  <c r="BC571" i="3"/>
  <c r="BA569" i="3" l="1"/>
  <c r="BC570" i="3"/>
  <c r="BD570" i="3"/>
  <c r="BB570" i="3"/>
  <c r="BA568" i="3" l="1"/>
  <c r="BB569" i="3"/>
  <c r="BD569" i="3"/>
  <c r="BC569" i="3"/>
  <c r="BA567" i="3" l="1"/>
  <c r="BD568" i="3"/>
  <c r="BC568" i="3"/>
  <c r="BB568" i="3"/>
  <c r="BA566" i="3" l="1"/>
  <c r="BC567" i="3"/>
  <c r="BB567" i="3"/>
  <c r="BD567" i="3"/>
  <c r="BA565" i="3" l="1"/>
  <c r="BB566" i="3"/>
  <c r="BD566" i="3"/>
  <c r="BC566" i="3"/>
  <c r="BA564" i="3" l="1"/>
  <c r="BB565" i="3"/>
  <c r="BC565" i="3"/>
  <c r="BD565" i="3"/>
  <c r="BA563" i="3" l="1"/>
  <c r="BC564" i="3"/>
  <c r="BB564" i="3"/>
  <c r="BD564" i="3"/>
  <c r="BA562" i="3" l="1"/>
  <c r="BC563" i="3"/>
  <c r="BB563" i="3"/>
  <c r="BD563" i="3"/>
  <c r="BA561" i="3" l="1"/>
  <c r="BD562" i="3"/>
  <c r="BC562" i="3"/>
  <c r="BB562" i="3"/>
  <c r="BA560" i="3" l="1"/>
  <c r="BC561" i="3"/>
  <c r="BB561" i="3"/>
  <c r="BD561" i="3"/>
  <c r="BA559" i="3" l="1"/>
  <c r="BD560" i="3"/>
  <c r="BC560" i="3"/>
  <c r="BB560" i="3"/>
  <c r="BA558" i="3" l="1"/>
  <c r="BD559" i="3"/>
  <c r="BC559" i="3"/>
  <c r="BB559" i="3"/>
  <c r="BA557" i="3" l="1"/>
  <c r="BB558" i="3"/>
  <c r="BD558" i="3"/>
  <c r="BC558" i="3"/>
  <c r="BA556" i="3" l="1"/>
  <c r="BD557" i="3"/>
  <c r="BC557" i="3"/>
  <c r="BB557" i="3"/>
  <c r="BA555" i="3" l="1"/>
  <c r="BD556" i="3"/>
  <c r="BC556" i="3"/>
  <c r="BB556" i="3"/>
  <c r="BA554" i="3" l="1"/>
  <c r="BC555" i="3"/>
  <c r="BB555" i="3"/>
  <c r="BD555" i="3"/>
  <c r="BA553" i="3" l="1"/>
  <c r="BD554" i="3"/>
  <c r="BC554" i="3"/>
  <c r="BB554" i="3"/>
  <c r="BA552" i="3" l="1"/>
  <c r="BB553" i="3"/>
  <c r="BD553" i="3"/>
  <c r="BC553" i="3"/>
  <c r="BA551" i="3" l="1"/>
  <c r="BC552" i="3"/>
  <c r="BB552" i="3"/>
  <c r="BD552" i="3"/>
  <c r="BA550" i="3" l="1"/>
  <c r="BD551" i="3"/>
  <c r="BC551" i="3"/>
  <c r="BB551" i="3"/>
  <c r="BA549" i="3" l="1"/>
  <c r="BC550" i="3"/>
  <c r="BB550" i="3"/>
  <c r="BD550" i="3"/>
  <c r="BA548" i="3" l="1"/>
  <c r="BD549" i="3"/>
  <c r="BB549" i="3"/>
  <c r="BC549" i="3"/>
  <c r="BA547" i="3" l="1"/>
  <c r="BB548" i="3"/>
  <c r="BC548" i="3"/>
  <c r="BD548" i="3"/>
  <c r="BA546" i="3" l="1"/>
  <c r="BD547" i="3"/>
  <c r="BB547" i="3"/>
  <c r="BC547" i="3"/>
  <c r="BA545" i="3" l="1"/>
  <c r="BC546" i="3"/>
  <c r="BD546" i="3"/>
  <c r="BB546" i="3"/>
  <c r="BA544" i="3" l="1"/>
  <c r="BD545" i="3"/>
  <c r="BC545" i="3"/>
  <c r="BB545" i="3"/>
  <c r="BA543" i="3" l="1"/>
  <c r="BC544" i="3"/>
  <c r="BD544" i="3"/>
  <c r="BB544" i="3"/>
  <c r="BA542" i="3" l="1"/>
  <c r="BC543" i="3"/>
  <c r="BB543" i="3"/>
  <c r="BD543" i="3"/>
  <c r="BA541" i="3" l="1"/>
  <c r="BB542" i="3"/>
  <c r="BD542" i="3"/>
  <c r="BC542" i="3"/>
  <c r="BA540" i="3" l="1"/>
  <c r="BC541" i="3"/>
  <c r="BD541" i="3"/>
  <c r="BB541" i="3"/>
  <c r="BA539" i="3" l="1"/>
  <c r="BD540" i="3"/>
  <c r="BC540" i="3"/>
  <c r="BB540" i="3"/>
  <c r="BA538" i="3" l="1"/>
  <c r="BB539" i="3"/>
  <c r="BC539" i="3"/>
  <c r="BD539" i="3"/>
  <c r="BA537" i="3" l="1"/>
  <c r="BC538" i="3"/>
  <c r="BD538" i="3"/>
  <c r="BB538" i="3"/>
  <c r="BA536" i="3" l="1"/>
  <c r="BD537" i="3"/>
  <c r="BB537" i="3"/>
  <c r="BC537" i="3"/>
  <c r="BA535" i="3" l="1"/>
  <c r="BD536" i="3"/>
  <c r="BC536" i="3"/>
  <c r="BB536" i="3"/>
  <c r="BA534" i="3" l="1"/>
  <c r="BD535" i="3"/>
  <c r="BC535" i="3"/>
  <c r="BB535" i="3"/>
  <c r="BA533" i="3" l="1"/>
  <c r="BB534" i="3"/>
  <c r="BC534" i="3"/>
  <c r="BD534" i="3"/>
  <c r="BA532" i="3" l="1"/>
  <c r="BC533" i="3"/>
  <c r="BD533" i="3"/>
  <c r="BB533" i="3"/>
  <c r="BA531" i="3" l="1"/>
  <c r="BD532" i="3"/>
  <c r="BC532" i="3"/>
  <c r="BB532" i="3"/>
  <c r="BA530" i="3" l="1"/>
  <c r="BB531" i="3"/>
  <c r="BC531" i="3"/>
  <c r="BD531" i="3"/>
  <c r="BA529" i="3" l="1"/>
  <c r="BB530" i="3"/>
  <c r="BC530" i="3"/>
  <c r="BD530" i="3"/>
  <c r="BA528" i="3" l="1"/>
  <c r="BB529" i="3"/>
  <c r="BC529" i="3"/>
  <c r="BD529" i="3"/>
  <c r="BA527" i="3" l="1"/>
  <c r="BB528" i="3"/>
  <c r="BD528" i="3"/>
  <c r="BC528" i="3"/>
  <c r="BA526" i="3" l="1"/>
  <c r="BD527" i="3"/>
  <c r="BB527" i="3"/>
  <c r="BC527" i="3"/>
  <c r="BA525" i="3" l="1"/>
  <c r="BB526" i="3"/>
  <c r="BC526" i="3"/>
  <c r="BD526" i="3"/>
  <c r="BA524" i="3" l="1"/>
  <c r="BB525" i="3"/>
  <c r="BC525" i="3"/>
  <c r="BD525" i="3"/>
  <c r="BA523" i="3" l="1"/>
  <c r="BB524" i="3"/>
  <c r="BD524" i="3"/>
  <c r="BC524" i="3"/>
  <c r="BA522" i="3" l="1"/>
  <c r="BD523" i="3"/>
  <c r="BC523" i="3"/>
  <c r="BB523" i="3"/>
  <c r="BA521" i="3" l="1"/>
  <c r="BD522" i="3"/>
  <c r="BB522" i="3"/>
  <c r="BC522" i="3"/>
  <c r="BA520" i="3" l="1"/>
  <c r="BB521" i="3"/>
  <c r="BC521" i="3"/>
  <c r="BD521" i="3"/>
  <c r="BA519" i="3" l="1"/>
  <c r="BB520" i="3"/>
  <c r="BC520" i="3"/>
  <c r="BD520" i="3"/>
  <c r="BA518" i="3" l="1"/>
  <c r="BD519" i="3"/>
  <c r="BB519" i="3"/>
  <c r="BC519" i="3"/>
  <c r="BA517" i="3" l="1"/>
  <c r="BD518" i="3"/>
  <c r="BB518" i="3"/>
  <c r="BC518" i="3"/>
  <c r="BA516" i="3" l="1"/>
  <c r="BB517" i="3"/>
  <c r="BC517" i="3"/>
  <c r="BD517" i="3"/>
  <c r="BA515" i="3" l="1"/>
  <c r="BD516" i="3"/>
  <c r="BB516" i="3"/>
  <c r="BC516" i="3"/>
  <c r="BA514" i="3" l="1"/>
  <c r="BD515" i="3"/>
  <c r="BC515" i="3"/>
  <c r="BB515" i="3"/>
  <c r="BA513" i="3" l="1"/>
  <c r="BC514" i="3"/>
  <c r="BB514" i="3"/>
  <c r="BD514" i="3"/>
  <c r="BA512" i="3" l="1"/>
  <c r="BD513" i="3"/>
  <c r="BC513" i="3"/>
  <c r="BB513" i="3"/>
  <c r="BA511" i="3" l="1"/>
  <c r="BB512" i="3"/>
  <c r="BD512" i="3"/>
  <c r="BC512" i="3"/>
  <c r="BA510" i="3" l="1"/>
  <c r="BC511" i="3"/>
  <c r="BD511" i="3"/>
  <c r="BB511" i="3"/>
  <c r="BA509" i="3" l="1"/>
  <c r="BC510" i="3"/>
  <c r="BB510" i="3"/>
  <c r="BD510" i="3"/>
  <c r="BA508" i="3" l="1"/>
  <c r="BC509" i="3"/>
  <c r="BD509" i="3"/>
  <c r="BB509" i="3"/>
  <c r="BA507" i="3" l="1"/>
  <c r="BB508" i="3"/>
  <c r="BD508" i="3"/>
  <c r="BC508" i="3"/>
  <c r="BA506" i="3" l="1"/>
  <c r="BC507" i="3"/>
  <c r="BD507" i="3"/>
  <c r="BB507" i="3"/>
  <c r="BA505" i="3" l="1"/>
  <c r="BB506" i="3"/>
  <c r="BD506" i="3"/>
  <c r="BC506" i="3"/>
  <c r="BA504" i="3" l="1"/>
  <c r="BC505" i="3"/>
  <c r="BB505" i="3"/>
  <c r="BD505" i="3"/>
  <c r="BA503" i="3" l="1"/>
  <c r="BB504" i="3"/>
  <c r="BD504" i="3"/>
  <c r="BC504" i="3"/>
  <c r="BA502" i="3" l="1"/>
  <c r="BC503" i="3"/>
  <c r="BD503" i="3"/>
  <c r="BB503" i="3"/>
  <c r="BA501" i="3" l="1"/>
  <c r="BB502" i="3"/>
  <c r="BD502" i="3"/>
  <c r="BC502" i="3"/>
  <c r="BA500" i="3" l="1"/>
  <c r="BC501" i="3"/>
  <c r="BB501" i="3"/>
  <c r="BD501" i="3"/>
  <c r="BA499" i="3" l="1"/>
  <c r="BC500" i="3"/>
  <c r="BB500" i="3"/>
  <c r="BD500" i="3"/>
  <c r="BA498" i="3" l="1"/>
  <c r="BD499" i="3"/>
  <c r="BC499" i="3"/>
  <c r="BB499" i="3"/>
  <c r="BA497" i="3" l="1"/>
  <c r="BC498" i="3"/>
  <c r="BB498" i="3"/>
  <c r="BD498" i="3"/>
  <c r="BA496" i="3" l="1"/>
  <c r="BC497" i="3"/>
  <c r="BB497" i="3"/>
  <c r="BD497" i="3"/>
  <c r="BA495" i="3" l="1"/>
  <c r="BB496" i="3"/>
  <c r="BD496" i="3"/>
  <c r="BC496" i="3"/>
  <c r="BA494" i="3" l="1"/>
  <c r="BC495" i="3"/>
  <c r="BB495" i="3"/>
  <c r="BD495" i="3"/>
  <c r="BA493" i="3" l="1"/>
  <c r="BC494" i="3"/>
  <c r="BB494" i="3"/>
  <c r="BD494" i="3"/>
  <c r="BA492" i="3" l="1"/>
  <c r="BD493" i="3"/>
  <c r="BB493" i="3"/>
  <c r="BC493" i="3"/>
  <c r="BA491" i="3" l="1"/>
  <c r="BD492" i="3"/>
  <c r="BC492" i="3"/>
  <c r="BB492" i="3"/>
  <c r="BA490" i="3" l="1"/>
  <c r="BD491" i="3"/>
  <c r="BC491" i="3"/>
  <c r="BB491" i="3"/>
  <c r="BA489" i="3" l="1"/>
  <c r="BB490" i="3"/>
  <c r="BD490" i="3"/>
  <c r="BC490" i="3"/>
  <c r="BA488" i="3" l="1"/>
  <c r="BD489" i="3"/>
  <c r="BB489" i="3"/>
  <c r="BC489" i="3"/>
  <c r="BA487" i="3" l="1"/>
  <c r="BC488" i="3"/>
  <c r="BB488" i="3"/>
  <c r="BD488" i="3"/>
  <c r="BA486" i="3" l="1"/>
  <c r="BC487" i="3"/>
  <c r="BD487" i="3"/>
  <c r="BB487" i="3"/>
  <c r="BA485" i="3" l="1"/>
  <c r="BB486" i="3"/>
  <c r="BC486" i="3"/>
  <c r="BD486" i="3"/>
  <c r="BA484" i="3" l="1"/>
  <c r="BC485" i="3"/>
  <c r="BD485" i="3"/>
  <c r="BB485" i="3"/>
  <c r="BA483" i="3" l="1"/>
  <c r="BD484" i="3"/>
  <c r="BC484" i="3"/>
  <c r="BB484" i="3"/>
  <c r="BA482" i="3" l="1"/>
  <c r="BD483" i="3"/>
  <c r="BC483" i="3"/>
  <c r="BB483" i="3"/>
  <c r="BA481" i="3" l="1"/>
  <c r="BD482" i="3"/>
  <c r="BC482" i="3"/>
  <c r="BB482" i="3"/>
  <c r="BA480" i="3" l="1"/>
  <c r="BB481" i="3"/>
  <c r="BD481" i="3"/>
  <c r="BC481" i="3"/>
  <c r="BA479" i="3" l="1"/>
  <c r="BD480" i="3"/>
  <c r="BC480" i="3"/>
  <c r="BB480" i="3"/>
  <c r="BA478" i="3" l="1"/>
  <c r="BD479" i="3"/>
  <c r="BB479" i="3"/>
  <c r="BC479" i="3"/>
  <c r="BA477" i="3" l="1"/>
  <c r="BB478" i="3"/>
  <c r="BC478" i="3"/>
  <c r="BD478" i="3"/>
  <c r="BA476" i="3" l="1"/>
  <c r="BB477" i="3"/>
  <c r="BC477" i="3"/>
  <c r="BD477" i="3"/>
  <c r="BA475" i="3" l="1"/>
  <c r="BC476" i="3"/>
  <c r="BD476" i="3"/>
  <c r="BB476" i="3"/>
  <c r="BA474" i="3" l="1"/>
  <c r="BC475" i="3"/>
  <c r="BD475" i="3"/>
  <c r="BB475" i="3"/>
  <c r="BA473" i="3" l="1"/>
  <c r="BB474" i="3"/>
  <c r="BC474" i="3"/>
  <c r="BD474" i="3"/>
  <c r="BA472" i="3" l="1"/>
  <c r="BC473" i="3"/>
  <c r="BD473" i="3"/>
  <c r="BB473" i="3"/>
  <c r="BA471" i="3" l="1"/>
  <c r="BB472" i="3"/>
  <c r="BD472" i="3"/>
  <c r="BC472" i="3"/>
  <c r="BA470" i="3" l="1"/>
  <c r="BB471" i="3"/>
  <c r="BC471" i="3"/>
  <c r="BD471" i="3"/>
  <c r="BA469" i="3" l="1"/>
  <c r="BB470" i="3"/>
  <c r="BC470" i="3"/>
  <c r="BD470" i="3"/>
  <c r="BA468" i="3" l="1"/>
  <c r="BD469" i="3"/>
  <c r="BB469" i="3"/>
  <c r="BC469" i="3"/>
  <c r="BA467" i="3" l="1"/>
  <c r="BD468" i="3"/>
  <c r="BC468" i="3"/>
  <c r="BB468" i="3"/>
  <c r="BA466" i="3" l="1"/>
  <c r="BD467" i="3"/>
  <c r="BB467" i="3"/>
  <c r="BC467" i="3"/>
  <c r="BA465" i="3" l="1"/>
  <c r="BB466" i="3"/>
  <c r="BC466" i="3"/>
  <c r="BD466" i="3"/>
  <c r="BA464" i="3" l="1"/>
  <c r="BC465" i="3"/>
  <c r="BD465" i="3"/>
  <c r="BB465" i="3"/>
  <c r="BA463" i="3" l="1"/>
  <c r="BC464" i="3"/>
  <c r="BB464" i="3"/>
  <c r="BD464" i="3"/>
  <c r="BA462" i="3" l="1"/>
  <c r="BC463" i="3"/>
  <c r="BB463" i="3"/>
  <c r="BD463" i="3"/>
  <c r="BA461" i="3" l="1"/>
  <c r="BD462" i="3"/>
  <c r="BB462" i="3"/>
  <c r="BC462" i="3"/>
  <c r="BA460" i="3" l="1"/>
  <c r="BB461" i="3"/>
  <c r="BC461" i="3"/>
  <c r="BD461" i="3"/>
  <c r="BA459" i="3" l="1"/>
  <c r="BC460" i="3"/>
  <c r="BD460" i="3"/>
  <c r="BB460" i="3"/>
  <c r="BA458" i="3" l="1"/>
  <c r="BB459" i="3"/>
  <c r="BD459" i="3"/>
  <c r="BC459" i="3"/>
  <c r="BA457" i="3" l="1"/>
  <c r="BD458" i="3"/>
  <c r="BB458" i="3"/>
  <c r="BC458" i="3"/>
  <c r="BA456" i="3" l="1"/>
  <c r="BC457" i="3"/>
  <c r="BD457" i="3"/>
  <c r="BB457" i="3"/>
  <c r="BA455" i="3" l="1"/>
  <c r="BB456" i="3"/>
  <c r="BC456" i="3"/>
  <c r="BD456" i="3"/>
  <c r="BA454" i="3" l="1"/>
  <c r="BB455" i="3"/>
  <c r="BC455" i="3"/>
  <c r="BD455" i="3"/>
  <c r="BA453" i="3" l="1"/>
  <c r="BB454" i="3"/>
  <c r="BD454" i="3"/>
  <c r="BC454" i="3"/>
  <c r="BA452" i="3" l="1"/>
  <c r="BC453" i="3"/>
  <c r="BD453" i="3"/>
  <c r="BB453" i="3"/>
  <c r="BA451" i="3" l="1"/>
  <c r="BD452" i="3"/>
  <c r="BB452" i="3"/>
  <c r="BC452" i="3"/>
  <c r="BA450" i="3" l="1"/>
  <c r="BB451" i="3"/>
  <c r="BD451" i="3"/>
  <c r="BC451" i="3"/>
  <c r="BA449" i="3" l="1"/>
  <c r="BC450" i="3"/>
  <c r="BB450" i="3"/>
  <c r="BD450" i="3"/>
  <c r="BA448" i="3" l="1"/>
  <c r="BD449" i="3"/>
  <c r="BB449" i="3"/>
  <c r="BC449" i="3"/>
  <c r="BA447" i="3" l="1"/>
  <c r="BD448" i="3"/>
  <c r="BB448" i="3"/>
  <c r="BC448" i="3"/>
  <c r="BA446" i="3" l="1"/>
  <c r="BC447" i="3"/>
  <c r="BB447" i="3"/>
  <c r="BD447" i="3"/>
  <c r="BA445" i="3" l="1"/>
  <c r="BD446" i="3"/>
  <c r="BB446" i="3"/>
  <c r="BC446" i="3"/>
  <c r="BA444" i="3" l="1"/>
  <c r="BD445" i="3"/>
  <c r="BC445" i="3"/>
  <c r="BB445" i="3"/>
  <c r="BA443" i="3" l="1"/>
  <c r="BB444" i="3"/>
  <c r="BC444" i="3"/>
  <c r="BD444" i="3"/>
  <c r="BA442" i="3" l="1"/>
  <c r="BD443" i="3"/>
  <c r="BC443" i="3"/>
  <c r="BB443" i="3"/>
  <c r="BA441" i="3" l="1"/>
  <c r="BB442" i="3"/>
  <c r="BD442" i="3"/>
  <c r="BC442" i="3"/>
  <c r="BA440" i="3" l="1"/>
  <c r="BB441" i="3"/>
  <c r="BD441" i="3"/>
  <c r="BC441" i="3"/>
  <c r="BA439" i="3" l="1"/>
  <c r="BB440" i="3"/>
  <c r="BC440" i="3"/>
  <c r="BD440" i="3"/>
  <c r="BA438" i="3" l="1"/>
  <c r="BB439" i="3"/>
  <c r="BD439" i="3"/>
  <c r="BC439" i="3"/>
  <c r="BA437" i="3" l="1"/>
  <c r="BC438" i="3"/>
  <c r="BB438" i="3"/>
  <c r="BD438" i="3"/>
  <c r="BA436" i="3" l="1"/>
  <c r="BD437" i="3"/>
  <c r="BB437" i="3"/>
  <c r="BC437" i="3"/>
  <c r="BA435" i="3" l="1"/>
  <c r="BB436" i="3"/>
  <c r="BC436" i="3"/>
  <c r="BD436" i="3"/>
  <c r="BA434" i="3" l="1"/>
  <c r="BC435" i="3"/>
  <c r="BB435" i="3"/>
  <c r="BD435" i="3"/>
  <c r="BA433" i="3" l="1"/>
  <c r="BC434" i="3"/>
  <c r="BD434" i="3"/>
  <c r="BB434" i="3"/>
  <c r="BA432" i="3" l="1"/>
  <c r="BB433" i="3"/>
  <c r="BD433" i="3"/>
  <c r="BC433" i="3"/>
  <c r="BA431" i="3" l="1"/>
  <c r="BB432" i="3"/>
  <c r="BD432" i="3"/>
  <c r="BC432" i="3"/>
  <c r="BA430" i="3" l="1"/>
  <c r="BC431" i="3"/>
  <c r="BB431" i="3"/>
  <c r="BD431" i="3"/>
  <c r="BA429" i="3" l="1"/>
  <c r="BD430" i="3"/>
  <c r="BC430" i="3"/>
  <c r="BB430" i="3"/>
  <c r="BA428" i="3" l="1"/>
  <c r="BD429" i="3"/>
  <c r="BB429" i="3"/>
  <c r="BC429" i="3"/>
  <c r="BA427" i="3" l="1"/>
  <c r="BD428" i="3"/>
  <c r="BB428" i="3"/>
  <c r="BC428" i="3"/>
  <c r="BA426" i="3" l="1"/>
  <c r="BD427" i="3"/>
  <c r="BC427" i="3"/>
  <c r="BB427" i="3"/>
  <c r="BA425" i="3" l="1"/>
  <c r="BB426" i="3"/>
  <c r="BD426" i="3"/>
  <c r="BC426" i="3"/>
  <c r="BA424" i="3" l="1"/>
  <c r="BD425" i="3"/>
  <c r="BC425" i="3"/>
  <c r="BB425" i="3"/>
  <c r="BA423" i="3" l="1"/>
  <c r="BC424" i="3"/>
  <c r="BD424" i="3"/>
  <c r="BB424" i="3"/>
  <c r="BA422" i="3" l="1"/>
  <c r="BC423" i="3"/>
  <c r="BD423" i="3"/>
  <c r="BB423" i="3"/>
  <c r="BA421" i="3" l="1"/>
  <c r="BB422" i="3"/>
  <c r="BC422" i="3"/>
  <c r="BD422" i="3"/>
  <c r="BA420" i="3" l="1"/>
  <c r="BD421" i="3"/>
  <c r="BB421" i="3"/>
  <c r="BC421" i="3"/>
  <c r="BA419" i="3" l="1"/>
  <c r="BC420" i="3"/>
  <c r="BB420" i="3"/>
  <c r="BD420" i="3"/>
  <c r="BA418" i="3" l="1"/>
  <c r="BC419" i="3"/>
  <c r="BD419" i="3"/>
  <c r="BB419" i="3"/>
  <c r="BA417" i="3" l="1"/>
  <c r="BD418" i="3"/>
  <c r="BB418" i="3"/>
  <c r="BC418" i="3"/>
  <c r="BA416" i="3" l="1"/>
  <c r="BB417" i="3"/>
  <c r="BC417" i="3"/>
  <c r="BD417" i="3"/>
  <c r="BA415" i="3" l="1"/>
  <c r="BB416" i="3"/>
  <c r="BC416" i="3"/>
  <c r="BD416" i="3"/>
  <c r="BA414" i="3" l="1"/>
  <c r="BC415" i="3"/>
  <c r="BB415" i="3"/>
  <c r="BD415" i="3"/>
  <c r="BA413" i="3" l="1"/>
  <c r="BC414" i="3"/>
  <c r="BB414" i="3"/>
  <c r="BD414" i="3"/>
  <c r="BA412" i="3" l="1"/>
  <c r="BD413" i="3"/>
  <c r="BC413" i="3"/>
  <c r="BB413" i="3"/>
  <c r="BA411" i="3" l="1"/>
  <c r="BD412" i="3"/>
  <c r="BB412" i="3"/>
  <c r="BC412" i="3"/>
  <c r="BA410" i="3" l="1"/>
  <c r="BC411" i="3"/>
  <c r="BD411" i="3"/>
  <c r="BB411" i="3"/>
  <c r="BA409" i="3" l="1"/>
  <c r="BC410" i="3"/>
  <c r="BD410" i="3"/>
  <c r="BB410" i="3"/>
  <c r="BA408" i="3" l="1"/>
  <c r="BB409" i="3"/>
  <c r="BD409" i="3"/>
  <c r="BC409" i="3"/>
  <c r="BA407" i="3" l="1"/>
  <c r="BD408" i="3"/>
  <c r="BC408" i="3"/>
  <c r="BB408" i="3"/>
  <c r="BA406" i="3" l="1"/>
  <c r="BB407" i="3"/>
  <c r="BC407" i="3"/>
  <c r="BD407" i="3"/>
  <c r="BA405" i="3" l="1"/>
  <c r="BC406" i="3"/>
  <c r="BD406" i="3"/>
  <c r="BB406" i="3"/>
  <c r="BA404" i="3" l="1"/>
  <c r="BB405" i="3"/>
  <c r="BC405" i="3"/>
  <c r="BD405" i="3"/>
  <c r="BA403" i="3" l="1"/>
  <c r="BD404" i="3"/>
  <c r="BC404" i="3"/>
  <c r="BB404" i="3"/>
  <c r="BA402" i="3" l="1"/>
  <c r="BD403" i="3"/>
  <c r="BC403" i="3"/>
  <c r="BB403" i="3"/>
  <c r="BA401" i="3" l="1"/>
  <c r="BB402" i="3"/>
  <c r="BD402" i="3"/>
  <c r="BC402" i="3"/>
  <c r="BA400" i="3" l="1"/>
  <c r="BB401" i="3"/>
  <c r="BD401" i="3"/>
  <c r="BC401" i="3"/>
  <c r="BA399" i="3" l="1"/>
  <c r="BD400" i="3"/>
  <c r="BC400" i="3"/>
  <c r="BB400" i="3"/>
  <c r="BA398" i="3" l="1"/>
  <c r="BC399" i="3"/>
  <c r="BD399" i="3"/>
  <c r="BB399" i="3"/>
  <c r="BA397" i="3" l="1"/>
  <c r="BC398" i="3"/>
  <c r="BB398" i="3"/>
  <c r="BD398" i="3"/>
  <c r="BA396" i="3" l="1"/>
  <c r="BC397" i="3"/>
  <c r="BB397" i="3"/>
  <c r="BD397" i="3"/>
  <c r="BA395" i="3" l="1"/>
  <c r="BB396" i="3"/>
  <c r="BC396" i="3"/>
  <c r="BD396" i="3"/>
  <c r="BA394" i="3" l="1"/>
  <c r="BC395" i="3"/>
  <c r="BB395" i="3"/>
  <c r="BD395" i="3"/>
  <c r="BA393" i="3" l="1"/>
  <c r="BD394" i="3"/>
  <c r="BB394" i="3"/>
  <c r="BC394" i="3"/>
  <c r="BA392" i="3" l="1"/>
  <c r="BD393" i="3"/>
  <c r="BB393" i="3"/>
  <c r="BC393" i="3"/>
  <c r="BA391" i="3" l="1"/>
  <c r="BC392" i="3"/>
  <c r="BB392" i="3"/>
  <c r="BD392" i="3"/>
  <c r="BA390" i="3" l="1"/>
  <c r="BD391" i="3"/>
  <c r="BB391" i="3"/>
  <c r="BC391" i="3"/>
  <c r="BA389" i="3" l="1"/>
  <c r="BC390" i="3"/>
  <c r="BD390" i="3"/>
  <c r="BB390" i="3"/>
  <c r="BA388" i="3" l="1"/>
  <c r="BD389" i="3"/>
  <c r="BB389" i="3"/>
  <c r="BC389" i="3"/>
  <c r="BA387" i="3" l="1"/>
  <c r="BB388" i="3"/>
  <c r="BD388" i="3"/>
  <c r="BC388" i="3"/>
  <c r="BA386" i="3" l="1"/>
  <c r="BB387" i="3"/>
  <c r="BD387" i="3"/>
  <c r="BC387" i="3"/>
  <c r="BA385" i="3" l="1"/>
  <c r="BB386" i="3"/>
  <c r="BC386" i="3"/>
  <c r="BD386" i="3"/>
  <c r="BA384" i="3" l="1"/>
  <c r="BB385" i="3"/>
  <c r="BD385" i="3"/>
  <c r="BC385" i="3"/>
  <c r="BA383" i="3" l="1"/>
  <c r="BD384" i="3"/>
  <c r="BC384" i="3"/>
  <c r="BB384" i="3"/>
  <c r="BA382" i="3" l="1"/>
  <c r="BD383" i="3"/>
  <c r="BB383" i="3"/>
  <c r="BC383" i="3"/>
  <c r="BA381" i="3" l="1"/>
  <c r="BC382" i="3"/>
  <c r="BB382" i="3"/>
  <c r="BD382" i="3"/>
  <c r="BA380" i="3" l="1"/>
  <c r="BC381" i="3"/>
  <c r="BD381" i="3"/>
  <c r="BB381" i="3"/>
  <c r="BA379" i="3" l="1"/>
  <c r="BB380" i="3"/>
  <c r="BD380" i="3"/>
  <c r="BC380" i="3"/>
  <c r="BA378" i="3" l="1"/>
  <c r="BC379" i="3"/>
  <c r="BB379" i="3"/>
  <c r="BD379" i="3"/>
  <c r="BA377" i="3" l="1"/>
  <c r="BC378" i="3"/>
  <c r="BD378" i="3"/>
  <c r="BB378" i="3"/>
  <c r="BA376" i="3" l="1"/>
  <c r="BD377" i="3"/>
  <c r="BC377" i="3"/>
  <c r="BB377" i="3"/>
  <c r="BA375" i="3" l="1"/>
  <c r="BC376" i="3"/>
  <c r="BB376" i="3"/>
  <c r="BD376" i="3"/>
  <c r="BA374" i="3" l="1"/>
  <c r="BC375" i="3"/>
  <c r="BB375" i="3"/>
  <c r="BD375" i="3"/>
  <c r="BA373" i="3" l="1"/>
  <c r="BC374" i="3"/>
  <c r="BB374" i="3"/>
  <c r="BD374" i="3"/>
  <c r="BA372" i="3" l="1"/>
  <c r="BC373" i="3"/>
  <c r="BD373" i="3"/>
  <c r="BB373" i="3"/>
  <c r="BA371" i="3" l="1"/>
  <c r="BC372" i="3"/>
  <c r="BB372" i="3"/>
  <c r="BD372" i="3"/>
  <c r="BA370" i="3" l="1"/>
  <c r="BD371" i="3"/>
  <c r="BC371" i="3"/>
  <c r="BB371" i="3"/>
  <c r="BA369" i="3" l="1"/>
  <c r="BD370" i="3"/>
  <c r="BC370" i="3"/>
  <c r="BB370" i="3"/>
  <c r="BA368" i="3" l="1"/>
  <c r="BD369" i="3"/>
  <c r="BB369" i="3"/>
  <c r="BC369" i="3"/>
  <c r="BA367" i="3" l="1"/>
  <c r="BB368" i="3"/>
  <c r="BC368" i="3"/>
  <c r="BD368" i="3"/>
  <c r="BA366" i="3" l="1"/>
  <c r="BB367" i="3"/>
  <c r="BC367" i="3"/>
  <c r="BD367" i="3"/>
  <c r="BA365" i="3" l="1"/>
  <c r="BC366" i="3"/>
  <c r="BB366" i="3"/>
  <c r="BD366" i="3"/>
  <c r="BA364" i="3" l="1"/>
  <c r="BC365" i="3"/>
  <c r="BB365" i="3"/>
  <c r="BD365" i="3"/>
  <c r="BA363" i="3" l="1"/>
  <c r="BC364" i="3"/>
  <c r="BB364" i="3"/>
  <c r="BD364" i="3"/>
  <c r="BA362" i="3" l="1"/>
  <c r="BB363" i="3"/>
  <c r="BC363" i="3"/>
  <c r="BD363" i="3"/>
  <c r="BA361" i="3" l="1"/>
  <c r="BB362" i="3"/>
  <c r="BC362" i="3"/>
  <c r="BD362" i="3"/>
  <c r="BA360" i="3" l="1"/>
  <c r="BC361" i="3"/>
  <c r="BB361" i="3"/>
  <c r="BD361" i="3"/>
  <c r="BA359" i="3" l="1"/>
  <c r="BB360" i="3"/>
  <c r="BC360" i="3"/>
  <c r="BD360" i="3"/>
  <c r="BA358" i="3" l="1"/>
  <c r="BD359" i="3"/>
  <c r="BB359" i="3"/>
  <c r="BC359" i="3"/>
  <c r="BA357" i="3" l="1"/>
  <c r="BC358" i="3"/>
  <c r="BD358" i="3"/>
  <c r="BB358" i="3"/>
  <c r="BA356" i="3" l="1"/>
  <c r="BB357" i="3"/>
  <c r="BD357" i="3"/>
  <c r="BC357" i="3"/>
  <c r="BA355" i="3" l="1"/>
  <c r="BD356" i="3"/>
  <c r="BB356" i="3"/>
  <c r="BC356" i="3"/>
  <c r="BA354" i="3" l="1"/>
  <c r="BB355" i="3"/>
  <c r="BD355" i="3"/>
  <c r="BC355" i="3"/>
  <c r="BA353" i="3" l="1"/>
  <c r="BC354" i="3"/>
  <c r="BB354" i="3"/>
  <c r="BD354" i="3"/>
  <c r="BA352" i="3" l="1"/>
  <c r="BD353" i="3"/>
  <c r="BB353" i="3"/>
  <c r="BC353" i="3"/>
  <c r="BA351" i="3" l="1"/>
  <c r="BC352" i="3"/>
  <c r="BB352" i="3"/>
  <c r="BD352" i="3"/>
  <c r="BA350" i="3" l="1"/>
  <c r="BC351" i="3"/>
  <c r="BB351" i="3"/>
  <c r="BD351" i="3"/>
  <c r="BA349" i="3" l="1"/>
  <c r="BC350" i="3"/>
  <c r="BD350" i="3"/>
  <c r="BB350" i="3"/>
  <c r="BA348" i="3" l="1"/>
  <c r="BC349" i="3"/>
  <c r="BB349" i="3"/>
  <c r="BD349" i="3"/>
  <c r="BA347" i="3" l="1"/>
  <c r="BC348" i="3"/>
  <c r="BB348" i="3"/>
  <c r="BD348" i="3"/>
  <c r="BA346" i="3" l="1"/>
  <c r="BC347" i="3"/>
  <c r="BD347" i="3"/>
  <c r="BB347" i="3"/>
  <c r="BA345" i="3" l="1"/>
  <c r="BC346" i="3"/>
  <c r="BD346" i="3"/>
  <c r="BB346" i="3"/>
  <c r="BA344" i="3" l="1"/>
  <c r="BC345" i="3"/>
  <c r="BD345" i="3"/>
  <c r="BB345" i="3"/>
  <c r="BA343" i="3" l="1"/>
  <c r="BC344" i="3"/>
  <c r="BB344" i="3"/>
  <c r="BD344" i="3"/>
  <c r="BA342" i="3" l="1"/>
  <c r="BC343" i="3"/>
  <c r="BD343" i="3"/>
  <c r="BB343" i="3"/>
  <c r="BA341" i="3" l="1"/>
  <c r="BD342" i="3"/>
  <c r="BB342" i="3"/>
  <c r="BC342" i="3"/>
  <c r="BA340" i="3" l="1"/>
  <c r="BC341" i="3"/>
  <c r="BD341" i="3"/>
  <c r="BB341" i="3"/>
  <c r="BA339" i="3" l="1"/>
  <c r="BD340" i="3"/>
  <c r="BB340" i="3"/>
  <c r="BC340" i="3"/>
  <c r="BA338" i="3" l="1"/>
  <c r="BB339" i="3"/>
  <c r="BC339" i="3"/>
  <c r="BD339" i="3"/>
  <c r="BA337" i="3" l="1"/>
  <c r="BB338" i="3"/>
  <c r="BC338" i="3"/>
  <c r="BD338" i="3"/>
  <c r="BA336" i="3" l="1"/>
  <c r="BC337" i="3"/>
  <c r="BD337" i="3"/>
  <c r="BB337" i="3"/>
  <c r="BA335" i="3" l="1"/>
  <c r="BB336" i="3"/>
  <c r="BD336" i="3"/>
  <c r="BC336" i="3"/>
  <c r="BA334" i="3" l="1"/>
  <c r="BD335" i="3"/>
  <c r="BC335" i="3"/>
  <c r="BB335" i="3"/>
  <c r="BA333" i="3" l="1"/>
  <c r="BC334" i="3"/>
  <c r="BD334" i="3"/>
  <c r="BB334" i="3"/>
  <c r="BA332" i="3" l="1"/>
  <c r="BC333" i="3"/>
  <c r="BB333" i="3"/>
  <c r="BD333" i="3"/>
  <c r="BA331" i="3" l="1"/>
  <c r="BD332" i="3"/>
  <c r="BB332" i="3"/>
  <c r="BC332" i="3"/>
  <c r="BA330" i="3" l="1"/>
  <c r="BD331" i="3"/>
  <c r="BC331" i="3"/>
  <c r="BB331" i="3"/>
  <c r="BA329" i="3" l="1"/>
  <c r="BC330" i="3"/>
  <c r="BD330" i="3"/>
  <c r="BB330" i="3"/>
  <c r="BA328" i="3" l="1"/>
  <c r="BC329" i="3"/>
  <c r="BD329" i="3"/>
  <c r="BB329" i="3"/>
  <c r="BA327" i="3" l="1"/>
  <c r="BC328" i="3"/>
  <c r="BB328" i="3"/>
  <c r="BD328" i="3"/>
  <c r="BA326" i="3" l="1"/>
  <c r="BC327" i="3"/>
  <c r="BB327" i="3"/>
  <c r="BD327" i="3"/>
  <c r="BA325" i="3" l="1"/>
  <c r="BD326" i="3"/>
  <c r="BB326" i="3"/>
  <c r="BC326" i="3"/>
  <c r="BA324" i="3" l="1"/>
  <c r="BD325" i="3"/>
  <c r="BB325" i="3"/>
  <c r="BC325" i="3"/>
  <c r="BA323" i="3" l="1"/>
  <c r="BD324" i="3"/>
  <c r="BB324" i="3"/>
  <c r="BC324" i="3"/>
  <c r="BA322" i="3" l="1"/>
  <c r="BB323" i="3"/>
  <c r="BC323" i="3"/>
  <c r="BD323" i="3"/>
  <c r="BA321" i="3" l="1"/>
  <c r="BD322" i="3"/>
  <c r="BC322" i="3"/>
  <c r="BB322" i="3"/>
  <c r="BA320" i="3" l="1"/>
  <c r="BD321" i="3"/>
  <c r="BB321" i="3"/>
  <c r="BC321" i="3"/>
  <c r="BA319" i="3" l="1"/>
  <c r="BD320" i="3"/>
  <c r="BB320" i="3"/>
  <c r="BC320" i="3"/>
  <c r="BA318" i="3" l="1"/>
  <c r="BD319" i="3"/>
  <c r="BC319" i="3"/>
  <c r="BB319" i="3"/>
  <c r="BA317" i="3" l="1"/>
  <c r="BC318" i="3"/>
  <c r="BB318" i="3"/>
  <c r="BD318" i="3"/>
  <c r="BA316" i="3" l="1"/>
  <c r="BB317" i="3"/>
  <c r="BD317" i="3"/>
  <c r="BC317" i="3"/>
  <c r="BA315" i="3" l="1"/>
  <c r="BC316" i="3"/>
  <c r="BD316" i="3"/>
  <c r="BB316" i="3"/>
  <c r="BA314" i="3" l="1"/>
  <c r="BC315" i="3"/>
  <c r="BB315" i="3"/>
  <c r="BD315" i="3"/>
  <c r="BA313" i="3" l="1"/>
  <c r="BC314" i="3"/>
  <c r="BB314" i="3"/>
  <c r="BD314" i="3"/>
  <c r="BA312" i="3" l="1"/>
  <c r="BB313" i="3"/>
  <c r="BC313" i="3"/>
  <c r="BD313" i="3"/>
  <c r="BA311" i="3" l="1"/>
  <c r="BD312" i="3"/>
  <c r="BC312" i="3"/>
  <c r="BB312" i="3"/>
  <c r="BA310" i="3" l="1"/>
  <c r="BB311" i="3"/>
  <c r="BC311" i="3"/>
  <c r="BD311" i="3"/>
  <c r="BA309" i="3" l="1"/>
  <c r="BC310" i="3"/>
  <c r="BB310" i="3"/>
  <c r="BD310" i="3"/>
  <c r="BA308" i="3" l="1"/>
  <c r="BB309" i="3"/>
  <c r="BD309" i="3"/>
  <c r="BC309" i="3"/>
  <c r="BA307" i="3" l="1"/>
  <c r="BD308" i="3"/>
  <c r="BB308" i="3"/>
  <c r="BC308" i="3"/>
  <c r="BA306" i="3" l="1"/>
  <c r="BD307" i="3"/>
  <c r="BC307" i="3"/>
  <c r="BB307" i="3"/>
  <c r="BA305" i="3" l="1"/>
  <c r="BB306" i="3"/>
  <c r="BC306" i="3"/>
  <c r="BD306" i="3"/>
  <c r="BA304" i="3" l="1"/>
  <c r="BB305" i="3"/>
  <c r="BC305" i="3"/>
  <c r="BD305" i="3"/>
  <c r="BA303" i="3" l="1"/>
  <c r="BB304" i="3"/>
  <c r="BC304" i="3"/>
  <c r="BD304" i="3"/>
  <c r="BA302" i="3" l="1"/>
  <c r="BC303" i="3"/>
  <c r="BD303" i="3"/>
  <c r="BB303" i="3"/>
  <c r="BA301" i="3" l="1"/>
  <c r="BD302" i="3"/>
  <c r="BC302" i="3"/>
  <c r="BB302" i="3"/>
  <c r="V301" i="3" l="1"/>
  <c r="BA299" i="3" s="1"/>
  <c r="BC301" i="3"/>
  <c r="BB301" i="3"/>
  <c r="BD301" i="3"/>
  <c r="BA298" i="3" l="1"/>
  <c r="BD299" i="3"/>
  <c r="BB299" i="3"/>
  <c r="BC299" i="3"/>
  <c r="BA297" i="3" l="1"/>
  <c r="BD298" i="3"/>
  <c r="BB298" i="3"/>
  <c r="BC298" i="3"/>
  <c r="BA296" i="3" l="1"/>
  <c r="BB297" i="3"/>
  <c r="BC297" i="3"/>
  <c r="BD297" i="3"/>
  <c r="BA295" i="3" l="1"/>
  <c r="BD296" i="3"/>
  <c r="BC296" i="3"/>
  <c r="BB296" i="3"/>
  <c r="BA294" i="3" l="1"/>
  <c r="BB295" i="3"/>
  <c r="BC295" i="3"/>
  <c r="BD295" i="3"/>
  <c r="BA293" i="3" l="1"/>
  <c r="BC294" i="3"/>
  <c r="BD294" i="3"/>
  <c r="BB294" i="3"/>
  <c r="BA292" i="3" l="1"/>
  <c r="BD293" i="3"/>
  <c r="BC293" i="3"/>
  <c r="BB293" i="3"/>
  <c r="BA291" i="3" l="1"/>
  <c r="BB292" i="3"/>
  <c r="BC292" i="3"/>
  <c r="BD292" i="3"/>
  <c r="BA290" i="3" l="1"/>
  <c r="BB291" i="3"/>
  <c r="BD291" i="3"/>
  <c r="BC291" i="3"/>
  <c r="BA289" i="3" l="1"/>
  <c r="BC290" i="3"/>
  <c r="BD290" i="3"/>
  <c r="BB290" i="3"/>
  <c r="BA288" i="3" l="1"/>
  <c r="BD289" i="3"/>
  <c r="BB289" i="3"/>
  <c r="BC289" i="3"/>
  <c r="BA287" i="3" l="1"/>
  <c r="BC288" i="3"/>
  <c r="BB288" i="3"/>
  <c r="BD288" i="3"/>
  <c r="BA286" i="3" l="1"/>
  <c r="BC287" i="3"/>
  <c r="BD287" i="3"/>
  <c r="BB287" i="3"/>
  <c r="BA285" i="3" l="1"/>
  <c r="BB286" i="3"/>
  <c r="BD286" i="3"/>
  <c r="BC286" i="3"/>
  <c r="BA284" i="3" l="1"/>
  <c r="BB285" i="3"/>
  <c r="BC285" i="3"/>
  <c r="BD285" i="3"/>
  <c r="BA283" i="3" l="1"/>
  <c r="BB284" i="3"/>
  <c r="BC284" i="3"/>
  <c r="BD284" i="3"/>
  <c r="BA282" i="3" l="1"/>
  <c r="BD283" i="3"/>
  <c r="BB283" i="3"/>
  <c r="BC283" i="3"/>
  <c r="BA281" i="3" l="1"/>
  <c r="BC282" i="3"/>
  <c r="BB282" i="3"/>
  <c r="BD282" i="3"/>
  <c r="BA280" i="3" l="1"/>
  <c r="BB281" i="3"/>
  <c r="BD281" i="3"/>
  <c r="BC281" i="3"/>
  <c r="BA279" i="3" l="1"/>
  <c r="BC280" i="3"/>
  <c r="BD280" i="3"/>
  <c r="BB280" i="3"/>
  <c r="BA278" i="3" l="1"/>
  <c r="BC279" i="3"/>
  <c r="BD279" i="3"/>
  <c r="BB279" i="3"/>
  <c r="BA277" i="3" l="1"/>
  <c r="BC278" i="3"/>
  <c r="BD278" i="3"/>
  <c r="BB278" i="3"/>
  <c r="BA276" i="3" l="1"/>
  <c r="BB277" i="3"/>
  <c r="BD277" i="3"/>
  <c r="BC277" i="3"/>
  <c r="BA275" i="3" l="1"/>
  <c r="BD276" i="3"/>
  <c r="BB276" i="3"/>
  <c r="BC276" i="3"/>
  <c r="BA274" i="3" l="1"/>
  <c r="BC275" i="3"/>
  <c r="BB275" i="3"/>
  <c r="BD275" i="3"/>
  <c r="BA273" i="3" l="1"/>
  <c r="BB274" i="3"/>
  <c r="BD274" i="3"/>
  <c r="BC274" i="3"/>
  <c r="BA272" i="3" l="1"/>
  <c r="BC273" i="3"/>
  <c r="BB273" i="3"/>
  <c r="BD273" i="3"/>
  <c r="BA271" i="3" l="1"/>
  <c r="BC272" i="3"/>
  <c r="BB272" i="3"/>
  <c r="BD272" i="3"/>
  <c r="BA270" i="3" l="1"/>
  <c r="BB271" i="3"/>
  <c r="BD271" i="3"/>
  <c r="BC271" i="3"/>
  <c r="BA269" i="3" l="1"/>
  <c r="BC270" i="3"/>
  <c r="BB270" i="3"/>
  <c r="BD270" i="3"/>
  <c r="BA268" i="3" l="1"/>
  <c r="BB269" i="3"/>
  <c r="BC269" i="3"/>
  <c r="BD269" i="3"/>
  <c r="BA267" i="3" l="1"/>
  <c r="BD268" i="3"/>
  <c r="BC268" i="3"/>
  <c r="BB268" i="3"/>
  <c r="BA266" i="3" l="1"/>
  <c r="BB267" i="3"/>
  <c r="BC267" i="3"/>
  <c r="BD267" i="3"/>
  <c r="BA265" i="3" l="1"/>
  <c r="BC266" i="3"/>
  <c r="BD266" i="3"/>
  <c r="BB266" i="3"/>
  <c r="BA264" i="3" l="1"/>
  <c r="BB265" i="3"/>
  <c r="BC265" i="3"/>
  <c r="BD265" i="3"/>
  <c r="BA263" i="3" l="1"/>
  <c r="BB264" i="3"/>
  <c r="BC264" i="3"/>
  <c r="BD264" i="3"/>
  <c r="BA262" i="3" l="1"/>
  <c r="BD263" i="3"/>
  <c r="BC263" i="3"/>
  <c r="BB263" i="3"/>
  <c r="BA261" i="3" l="1"/>
  <c r="BB262" i="3"/>
  <c r="BD262" i="3"/>
  <c r="BC262" i="3"/>
  <c r="BA260" i="3" l="1"/>
  <c r="BB261" i="3"/>
  <c r="BC261" i="3"/>
  <c r="BD261" i="3"/>
  <c r="BA259" i="3" l="1"/>
  <c r="BC260" i="3"/>
  <c r="BD260" i="3"/>
  <c r="BB260" i="3"/>
  <c r="BA258" i="3" l="1"/>
  <c r="BD259" i="3"/>
  <c r="BB259" i="3"/>
  <c r="BC259" i="3"/>
  <c r="BA257" i="3" l="1"/>
  <c r="BB258" i="3"/>
  <c r="BC258" i="3"/>
  <c r="BD258" i="3"/>
  <c r="BA256" i="3" l="1"/>
  <c r="BD257" i="3"/>
  <c r="BB257" i="3"/>
  <c r="BC257" i="3"/>
  <c r="BA255" i="3" l="1"/>
  <c r="BB256" i="3"/>
  <c r="BD256" i="3"/>
  <c r="BC256" i="3"/>
  <c r="BA254" i="3" l="1"/>
  <c r="BC255" i="3"/>
  <c r="BD255" i="3"/>
  <c r="BB255" i="3"/>
  <c r="BA253" i="3" l="1"/>
  <c r="BC254" i="3"/>
  <c r="BB254" i="3"/>
  <c r="BD254" i="3"/>
  <c r="BA252" i="3" l="1"/>
  <c r="BB253" i="3"/>
  <c r="BD253" i="3"/>
  <c r="BC253" i="3"/>
  <c r="BA251" i="3" l="1"/>
  <c r="BB252" i="3"/>
  <c r="BC252" i="3"/>
  <c r="BD252" i="3"/>
  <c r="BA250" i="3" l="1"/>
  <c r="BD251" i="3"/>
  <c r="BC251" i="3"/>
  <c r="BB251" i="3"/>
  <c r="BA249" i="3" l="1"/>
  <c r="BD250" i="3"/>
  <c r="BB250" i="3"/>
  <c r="BC250" i="3"/>
  <c r="BA248" i="3" l="1"/>
  <c r="BC249" i="3"/>
  <c r="BD249" i="3"/>
  <c r="BB249" i="3"/>
  <c r="BA247" i="3" l="1"/>
  <c r="BD248" i="3"/>
  <c r="BB248" i="3"/>
  <c r="BC248" i="3"/>
  <c r="BA246" i="3" l="1"/>
  <c r="BC247" i="3"/>
  <c r="BB247" i="3"/>
  <c r="BD247" i="3"/>
  <c r="BA245" i="3" l="1"/>
  <c r="BC246" i="3"/>
  <c r="BD246" i="3"/>
  <c r="BB246" i="3"/>
  <c r="BA244" i="3" l="1"/>
  <c r="BD245" i="3"/>
  <c r="BC245" i="3"/>
  <c r="BB245" i="3"/>
  <c r="BA243" i="3" l="1"/>
  <c r="BB244" i="3"/>
  <c r="BD244" i="3"/>
  <c r="BC244" i="3"/>
  <c r="BA242" i="3" l="1"/>
  <c r="BC243" i="3"/>
  <c r="BD243" i="3"/>
  <c r="BB243" i="3"/>
  <c r="BA241" i="3" l="1"/>
  <c r="BC242" i="3"/>
  <c r="BD242" i="3"/>
  <c r="BB242" i="3"/>
  <c r="BA240" i="3" l="1"/>
  <c r="BD241" i="3"/>
  <c r="BB241" i="3"/>
  <c r="BC241" i="3"/>
  <c r="BA239" i="3" l="1"/>
  <c r="BC240" i="3"/>
  <c r="BB240" i="3"/>
  <c r="BD240" i="3"/>
  <c r="BA238" i="3" l="1"/>
  <c r="BD239" i="3"/>
  <c r="BB239" i="3"/>
  <c r="BC239" i="3"/>
  <c r="BA237" i="3" l="1"/>
  <c r="BB238" i="3"/>
  <c r="BD238" i="3"/>
  <c r="BC238" i="3"/>
  <c r="BA236" i="3" l="1"/>
  <c r="BD237" i="3"/>
  <c r="BC237" i="3"/>
  <c r="BB237" i="3"/>
  <c r="BA235" i="3" l="1"/>
  <c r="BC236" i="3"/>
  <c r="BB236" i="3"/>
  <c r="BD236" i="3"/>
  <c r="BA234" i="3" l="1"/>
  <c r="BD235" i="3"/>
  <c r="BB235" i="3"/>
  <c r="BC235" i="3"/>
  <c r="BA233" i="3" l="1"/>
  <c r="BB234" i="3"/>
  <c r="BD234" i="3"/>
  <c r="BC234" i="3"/>
  <c r="BA232" i="3" l="1"/>
  <c r="BC233" i="3"/>
  <c r="BB233" i="3"/>
  <c r="BD233" i="3"/>
  <c r="BA231" i="3" l="1"/>
  <c r="BC232" i="3"/>
  <c r="BB232" i="3"/>
  <c r="BD232" i="3"/>
  <c r="BA230" i="3" l="1"/>
  <c r="BB231" i="3"/>
  <c r="BC231" i="3"/>
  <c r="BD231" i="3"/>
  <c r="BA229" i="3" l="1"/>
  <c r="BD230" i="3"/>
  <c r="BB230" i="3"/>
  <c r="BC230" i="3"/>
  <c r="BA228" i="3" l="1"/>
  <c r="BC229" i="3"/>
  <c r="BD229" i="3"/>
  <c r="BB229" i="3"/>
  <c r="BA227" i="3" l="1"/>
  <c r="BB228" i="3"/>
  <c r="BC228" i="3"/>
  <c r="BD228" i="3"/>
  <c r="BA226" i="3" l="1"/>
  <c r="BD227" i="3"/>
  <c r="BB227" i="3"/>
  <c r="BC227" i="3"/>
  <c r="BA225" i="3" l="1"/>
  <c r="BD226" i="3"/>
  <c r="BB226" i="3"/>
  <c r="BC226" i="3"/>
  <c r="BA224" i="3" l="1"/>
  <c r="BD225" i="3"/>
  <c r="BC225" i="3"/>
  <c r="BB225" i="3"/>
  <c r="BA223" i="3" l="1"/>
  <c r="BD224" i="3"/>
  <c r="BC224" i="3"/>
  <c r="BB224" i="3"/>
  <c r="BA222" i="3" l="1"/>
  <c r="BC223" i="3"/>
  <c r="BB223" i="3"/>
  <c r="BD223" i="3"/>
  <c r="BA221" i="3" l="1"/>
  <c r="BB222" i="3"/>
  <c r="BD222" i="3"/>
  <c r="BC222" i="3"/>
  <c r="BA220" i="3" l="1"/>
  <c r="BC221" i="3"/>
  <c r="BD221" i="3"/>
  <c r="BB221" i="3"/>
  <c r="BA219" i="3" l="1"/>
  <c r="BB220" i="3"/>
  <c r="BC220" i="3"/>
  <c r="BD220" i="3"/>
  <c r="BA218" i="3" l="1"/>
  <c r="BC219" i="3"/>
  <c r="BD219" i="3"/>
  <c r="BB219" i="3"/>
  <c r="BA217" i="3" l="1"/>
  <c r="BD218" i="3"/>
  <c r="BB218" i="3"/>
  <c r="BC218" i="3"/>
  <c r="BA216" i="3" l="1"/>
  <c r="BB217" i="3"/>
  <c r="BD217" i="3"/>
  <c r="BC217" i="3"/>
  <c r="BA215" i="3" l="1"/>
  <c r="BC216" i="3"/>
  <c r="BB216" i="3"/>
  <c r="BD216" i="3"/>
  <c r="BA214" i="3" l="1"/>
  <c r="BD215" i="3"/>
  <c r="BC215" i="3"/>
  <c r="BB215" i="3"/>
  <c r="BA213" i="3" l="1"/>
  <c r="BD214" i="3"/>
  <c r="BC214" i="3"/>
  <c r="BB214" i="3"/>
  <c r="BA212" i="3" l="1"/>
  <c r="BD213" i="3"/>
  <c r="BC213" i="3"/>
  <c r="BB213" i="3"/>
  <c r="BA211" i="3" l="1"/>
  <c r="BB212" i="3"/>
  <c r="BC212" i="3"/>
  <c r="BD212" i="3"/>
  <c r="BA210" i="3" l="1"/>
  <c r="BD211" i="3"/>
  <c r="BC211" i="3"/>
  <c r="BB211" i="3"/>
  <c r="BA209" i="3" l="1"/>
  <c r="BB210" i="3"/>
  <c r="BC210" i="3"/>
  <c r="BD210" i="3"/>
  <c r="BA208" i="3" l="1"/>
  <c r="BB209" i="3"/>
  <c r="BC209" i="3"/>
  <c r="BD209" i="3"/>
  <c r="BA207" i="3" l="1"/>
  <c r="BD208" i="3"/>
  <c r="BC208" i="3"/>
  <c r="BB208" i="3"/>
  <c r="BA206" i="3" l="1"/>
  <c r="BB207" i="3"/>
  <c r="BC207" i="3"/>
  <c r="BD207" i="3"/>
  <c r="BA205" i="3" l="1"/>
  <c r="BC206" i="3"/>
  <c r="BD206" i="3"/>
  <c r="BB206" i="3"/>
  <c r="BA204" i="3" l="1"/>
  <c r="BB205" i="3"/>
  <c r="BC205" i="3"/>
  <c r="BD205" i="3"/>
  <c r="BA203" i="3" l="1"/>
  <c r="BD204" i="3"/>
  <c r="BB204" i="3"/>
  <c r="BC204" i="3"/>
  <c r="BA202" i="3" l="1"/>
  <c r="BC203" i="3"/>
  <c r="BD203" i="3"/>
  <c r="BB203" i="3"/>
  <c r="BA201" i="3" l="1"/>
  <c r="BB202" i="3"/>
  <c r="BD202" i="3"/>
  <c r="BC202" i="3"/>
  <c r="BA200" i="3" l="1"/>
  <c r="BC201" i="3"/>
  <c r="BB201" i="3"/>
  <c r="BD201" i="3"/>
  <c r="BA199" i="3" l="1"/>
  <c r="BD200" i="3"/>
  <c r="BC200" i="3"/>
  <c r="BB200" i="3"/>
  <c r="BA198" i="3" l="1"/>
  <c r="BC199" i="3"/>
  <c r="BB199" i="3"/>
  <c r="BD199" i="3"/>
  <c r="BA197" i="3" l="1"/>
  <c r="BD198" i="3"/>
  <c r="BB198" i="3"/>
  <c r="BC198" i="3"/>
  <c r="BA196" i="3" l="1"/>
  <c r="BC197" i="3"/>
  <c r="BD197" i="3"/>
  <c r="BB197" i="3"/>
  <c r="BA195" i="3" l="1"/>
  <c r="BB196" i="3"/>
  <c r="BD196" i="3"/>
  <c r="BC196" i="3"/>
  <c r="BA194" i="3" l="1"/>
  <c r="BC195" i="3"/>
  <c r="BD195" i="3"/>
  <c r="BB195" i="3"/>
  <c r="BA193" i="3" l="1"/>
  <c r="BD194" i="3"/>
  <c r="BB194" i="3"/>
  <c r="BC194" i="3"/>
  <c r="BA192" i="3" l="1"/>
  <c r="BB193" i="3"/>
  <c r="BD193" i="3"/>
  <c r="BC193" i="3"/>
  <c r="BA191" i="3" l="1"/>
  <c r="BB192" i="3"/>
  <c r="BD192" i="3"/>
  <c r="BC192" i="3"/>
  <c r="BA190" i="3" l="1"/>
  <c r="BD191" i="3"/>
  <c r="BB191" i="3"/>
  <c r="BC191" i="3"/>
  <c r="BA189" i="3" l="1"/>
  <c r="BB190" i="3"/>
  <c r="BD190" i="3"/>
  <c r="BC190" i="3"/>
  <c r="BA188" i="3" l="1"/>
  <c r="BC189" i="3"/>
  <c r="BD189" i="3"/>
  <c r="BB189" i="3"/>
  <c r="BA187" i="3" l="1"/>
  <c r="BD188" i="3"/>
  <c r="BC188" i="3"/>
  <c r="BB188" i="3"/>
  <c r="BA186" i="3" l="1"/>
  <c r="BC187" i="3"/>
  <c r="BD187" i="3"/>
  <c r="BB187" i="3"/>
  <c r="BA185" i="3" l="1"/>
  <c r="BB186" i="3"/>
  <c r="BD186" i="3"/>
  <c r="BC186" i="3"/>
  <c r="BA184" i="3" l="1"/>
  <c r="BC185" i="3"/>
  <c r="BB185" i="3"/>
  <c r="BD185" i="3"/>
  <c r="BA183" i="3" l="1"/>
  <c r="BB184" i="3"/>
  <c r="BC184" i="3"/>
  <c r="BD184" i="3"/>
  <c r="BA182" i="3" l="1"/>
  <c r="BD183" i="3"/>
  <c r="BB183" i="3"/>
  <c r="BC183" i="3"/>
  <c r="BC182" i="3" l="1"/>
  <c r="BD182" i="3"/>
  <c r="BB18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8B83B415-7832-49E1-A2D5-99ECCE3F2C9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7A5D7130-9963-4382-A7D4-EF6242C0D61D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296A3352-F37F-452D-BA27-BA43C88EA8A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tc={5CA97146-699A-4692-805C-D56FDE5EE3C9}</author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tc={4FD07580-3CE1-4478-954E-35430B325C5E}</author>
    <author>tc={DAFC344A-E572-449F-B49F-074640A1A5BD}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tc={DDE985C2-DDA3-4BF5-AF15-7C48F7D5A940}</author>
    <author>tc={120C12AA-60B0-4211-9F23-FF07E6AFAEE9}</author>
    <author>tc={D6473CA1-0479-4F6B-85D5-0EE0BC5FB679}</author>
    <author>tc={5224EFEA-BD5E-459B-9DF7-348F2FDE2750}</author>
    <author>tc={F81843B6-B9B4-44F9-A3DE-342518B588D3}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tc={8CA8356F-6EF6-4F2C-BAEE-76C18DAF90A4}</author>
    <author>tc={D2911FD1-D0E8-4799-B007-BAE3DAA199A2}</author>
    <author>tc={43440A95-1916-4D88-9D45-0958CD8EB9E8}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tc={DC4D7903-D60F-45C8-94A5-0A0C0772D298}</author>
    <author>tc={7A49A645-7AA8-4183-B1E1-0A35A0A5EA2B}</author>
    <author>tc={4BF00CFA-1ACF-4015-A1A0-E79C68400029}</author>
    <author>tc={115C5FF5-FEC4-4AB6-9D73-82322841A1B6}</author>
    <author>tc={B6110AC7-1A51-4357-8DBE-56BB14FC901B}</author>
    <author>tc={323ED7BD-35DA-4C11-856F-CB1290B0CD3A}</author>
    <author>tc={DA90BF6B-9B6C-492A-8744-ACFBEB9BFDEB}</author>
    <author>tc={F69B77C1-B0FA-41E5-A133-0CCA84983AC7}</author>
    <author>tc={64543C54-94F1-499D-A574-6B1FEFCA5985}</author>
    <author>tc={1A3129A1-4214-4FDA-8907-92DD1154B236}</author>
    <author>tc={3CB34E3C-7836-403B-8B6D-482A67CACF40}</author>
    <author>tc={B8FF5108-9672-4716-8C5C-682CAAA28FD0}</author>
    <author>tc={01462573-6834-4307-B995-0F42529E29F0}</author>
    <author>tc={9A8B6D26-700C-4995-A44B-17195B4D3803}</author>
    <author>tc={C68E912E-0F47-4262-8B72-9C0CB640099B}</author>
    <author>tc={181787A5-C957-4369-B916-9EF2B10B0B29}</author>
    <author>tc={2FECA532-8647-4DB4-AF2D-CEBCDE71EAC6}</author>
    <author>tc={3BC74ED4-80DE-4D44-B1D7-3A9E8E3856AE}</author>
    <author>tc={AE905FF9-1A24-48AF-ADC0-7B7DDB22D380}</author>
    <author>tc={027703A0-DB47-42DB-A294-04B4051077BC}</author>
    <author>tc={751E858E-EEFF-4E27-AE5C-E89C1F177E3D}</author>
    <author>tc={3CD71756-D6E6-4455-9752-3EF98BD253E8}</author>
    <author>tc={120B9E1F-CE25-47CA-81EF-44C8B0551B4A}</author>
    <author>tc={B2F9B5D4-37D6-4AB1-896E-E80FB09DC12B}</author>
    <author>tc={A7ABA424-4834-4DE5-B726-721EBFDBC408}</author>
  </authors>
  <commentList>
    <comment ref="X3" authorId="0" shapeId="0" xr:uid="{5CA97146-699A-4692-805C-D56FDE5EE3C9}">
      <text>
        <t>[线程批注]
你的Excel版本可读取此线程批注; 但如果在更新版本的Excel中打开文件，则对批注所作的任何改动都将被删除。了解详细信息: https://go.microsoft.com/fwlink/?linkid=870924
注释:
    AEU 空班 - 5F</t>
      </text>
    </comment>
    <comment ref="G7" authorId="1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2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3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4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5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6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7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8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9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10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T7" authorId="11" shapeId="0" xr:uid="{E1080EE9-85FF-4B32-9FF9-C0E22B82EB7E}">
      <text>
        <t>[线程批注]
你的Excel版本可读取此线程批注; 但如果在更新版本的Excel中打开文件，则对批注所作的任何改动都将被删除。了解详细信息: https://go.microsoft.com/fwlink/?linkid=870924
注释:
    COSCO AMC 24F +家电约5F+世桦FAK 7F</t>
      </text>
    </comment>
    <comment ref="U7" authorId="12" shapeId="0" xr:uid="{32CC2AD9-4A9D-4558-AC46-78E5EB6385C2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24F+家电约20F</t>
      </text>
    </comment>
    <comment ref="V7" authorId="13" shapeId="0" xr:uid="{4FD07580-3CE1-4478-954E-35430B325C5E}">
      <text>
        <t>[线程批注]
你的Excel版本可读取此线程批注; 但如果在更新版本的Excel中打开文件，则对批注所作的任何改动都将被删除。了解详细信息: https://go.microsoft.com/fwlink/?linkid=870924
注释:
    危险品MSK 2F(276584236)
答复:
    COSCO AMC 24F+家电约(EMC)10F</t>
      </text>
    </comment>
    <comment ref="W7" authorId="14" shapeId="0" xr:uid="{DAFC344A-E572-449F-B49F-074640A1A5BD}">
      <text>
        <t>[线程批注]
你的Excel版本可读取此线程批注; 但如果在更新版本的Excel中打开文件，则对批注所作的任何改动都将被删除。了解详细信息: https://go.microsoft.com/fwlink/?linkid=870924
注释:
    COSCO AMC 44F+ 家电12F</t>
      </text>
    </comment>
    <comment ref="G11" authorId="15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7" authorId="16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7" authorId="17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7" authorId="18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7" authorId="19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7" authorId="20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7" authorId="21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7" authorId="22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7" authorId="23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7" authorId="24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7" authorId="25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14F+ 危险品2F
答复:
    MSK危险品2F(276027831 )</t>
      </text>
    </comment>
    <comment ref="U27" authorId="26" shapeId="0" xr:uid="{DDE985C2-DDA3-4BF5-AF15-7C48F7D5A940}">
      <text>
        <t>[线程批注]
你的Excel版本可读取此线程批注; 但如果在更新版本的Excel中打开文件，则对批注所作的任何改动都将被删除。了解详细信息: https://go.microsoft.com/fwlink/?linkid=870924
注释:
    MSK危险品舱位2F(276339822)
答复:
    COSCO AMC 5F +MSK 3F</t>
      </text>
    </comment>
    <comment ref="M39" authorId="27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9" authorId="28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9" authorId="29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X39" authorId="30" shapeId="0" xr:uid="{F81843B6-B9B4-44F9-A3DE-342518B588D3}">
      <text>
        <t>[线程批注]
你的Excel版本可读取此线程批注; 但如果在更新版本的Excel中打开文件，则对批注所作的任何改动都将被删除。了解详细信息: https://go.microsoft.com/fwlink/?linkid=870924
注释:
    AEM3 空班 -2F</t>
      </text>
    </comment>
    <comment ref="M43" authorId="31" shapeId="0" xr:uid="{F43A3276-A18F-4BB7-AB6E-D5C9DB4BAA17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43" authorId="32" shapeId="0" xr:uid="{BC2E4E7B-59C0-4547-BCD3-58CAF06DD122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O53" authorId="33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S57" authorId="34" shapeId="0" xr:uid="{F7A08F39-AFC0-406D-9F58-7AB94DC9E88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T57" authorId="35" shapeId="0" xr:uid="{2BC94DEA-64D9-4F63-9A34-2EC8C783BE2D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57" authorId="36" shapeId="0" xr:uid="{8CA8356F-6EF6-4F2C-BAEE-76C18DAF90A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57" authorId="37" shapeId="0" xr:uid="{D2911FD1-D0E8-4799-B007-BAE3DAA199A2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Z57" authorId="38" shapeId="0" xr:uid="{43440A95-1916-4D88-9D45-0958CD8EB9E8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N65" authorId="39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65" authorId="40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65" authorId="41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65" authorId="42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65" authorId="43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M69" authorId="44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9" authorId="45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9" authorId="46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9" authorId="47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77" authorId="48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77" authorId="49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77" authorId="50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77" authorId="51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77" authorId="52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V77" authorId="53" shapeId="0" xr:uid="{DC4D7903-D60F-45C8-94A5-0A0C0772D298}">
      <text>
        <t>[线程批注]
你的Excel版本可读取此线程批注; 但如果在更新版本的Excel中打开文件，则对批注所作的任何改动都将被删除。了解详细信息: https://go.microsoft.com/fwlink/?linkid=870924
注释:
    AEM1-4F空班</t>
      </text>
    </comment>
    <comment ref="Y77" authorId="54" shapeId="0" xr:uid="{7A49A645-7AA8-4183-B1E1-0A35A0A5EA2B}">
      <text>
        <t>[线程批注]
你的Excel版本可读取此线程批注; 但如果在更新版本的Excel中打开文件，则对批注所作的任何改动都将被删除。了解详细信息: https://go.microsoft.com/fwlink/?linkid=870924
注释:
    AEM2-2F空班</t>
      </text>
    </comment>
    <comment ref="L89" authorId="55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9" authorId="56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R89" authorId="57" shapeId="0" xr:uid="{B6110AC7-1A51-4357-8DBE-56BB14FC901B}">
      <text>
        <t>[线程批注]
你的Excel版本可读取此线程批注; 但如果在更新版本的Excel中打开文件，则对批注所作的任何改动都将被删除。了解详细信息: https://go.microsoft.com/fwlink/?linkid=870924
注释:
    AEM3空班</t>
      </text>
    </comment>
    <comment ref="T89" authorId="58" shapeId="0" xr:uid="{323ED7BD-35DA-4C11-856F-CB1290B0CD3A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89" authorId="59" shapeId="0" xr:uid="{DA90BF6B-9B6C-492A-8744-ACFBEB9BFDEB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89" authorId="60" shapeId="0" xr:uid="{F69B77C1-B0FA-41E5-A133-0CCA84983AC7}">
      <text>
        <t>[线程批注]
你的Excel版本可读取此线程批注; 但如果在更新版本的Excel中打开文件，则对批注所作的任何改动都将被删除。了解详细信息: https://go.microsoft.com/fwlink/?linkid=870924
注释:
    AEM3-1F缺货</t>
      </text>
    </comment>
    <comment ref="N99" authorId="61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9" authorId="62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S99" authorId="63" shapeId="0" xr:uid="{3CB34E3C-7836-403B-8B6D-482A67CACF40}">
      <text>
        <t>[线程批注]
你的Excel版本可读取此线程批注; 但如果在更新版本的Excel中打开文件，则对批注所作的任何改动都将被删除。了解详细信息: https://go.microsoft.com/fwlink/?linkid=870924
注释:
    新新运 one 2F</t>
      </text>
    </comment>
    <comment ref="X99" authorId="64" shapeId="0" xr:uid="{B8FF5108-9672-4716-8C5C-682CAAA28FD0}">
      <text>
        <t>[线程批注]
你的Excel版本可读取此线程批注; 但如果在更新版本的Excel中打开文件，则对批注所作的任何改动都将被删除。了解详细信息: https://go.microsoft.com/fwlink/?linkid=870924
注释:
    AEU1-4T空班</t>
      </text>
    </comment>
    <comment ref="M103" authorId="65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103" authorId="66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W103" authorId="67" shapeId="0" xr:uid="{C68E912E-0F47-4262-8B72-9C0CB640099B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AEU5-2T没货，AEU3-10T待定
</t>
      </text>
    </comment>
    <comment ref="X103" authorId="68" shapeId="0" xr:uid="{181787A5-C957-4369-B916-9EF2B10B0B29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Y103" authorId="69" shapeId="0" xr:uid="{2FECA532-8647-4DB4-AF2D-CEBCDE71EAC6}">
      <text>
        <t>[线程批注]
你的Excel版本可读取此线程批注; 但如果在更新版本的Excel中打开文件，则对批注所作的任何改动都将被删除。了解详细信息: https://go.microsoft.com/fwlink/?linkid=870924
注释:
    AEU4-6T空班</t>
      </text>
    </comment>
    <comment ref="M123" authorId="70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23" authorId="71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23" authorId="72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X123" authorId="73" shapeId="0" xr:uid="{751E858E-EEFF-4E27-AE5C-E89C1F177E3D}">
      <text>
        <t>[线程批注]
你的Excel版本可读取此线程批注; 但如果在更新版本的Excel中打开文件，则对批注所作的任何改动都将被删除。了解详细信息: https://go.microsoft.com/fwlink/?linkid=870924
注释:
    AEM1-4T空班</t>
      </text>
    </comment>
    <comment ref="Y131" authorId="74" shapeId="0" xr:uid="{3CD71756-D6E6-4455-9752-3EF98BD253E8}">
      <text>
        <t>[线程批注]
你的Excel版本可读取此线程批注; 但如果在更新版本的Excel中打开文件，则对批注所作的任何改动都将被删除。了解详细信息: https://go.microsoft.com/fwlink/?linkid=870924
注释:
    AEM2-2T空班</t>
      </text>
    </comment>
    <comment ref="N135" authorId="75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S139" authorId="76" shapeId="0" xr:uid="{B2F9B5D4-37D6-4AB1-896E-E80FB09DC12B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T139" authorId="77" shapeId="0" xr:uid="{A7ABA424-4834-4DE5-B726-721EBFDBC408}">
      <text>
        <t>[线程批注]
你的Excel版本可读取此线程批注; 但如果在更新版本的Excel中打开文件，则对批注所作的任何改动都将被删除。了解详细信息: https://go.microsoft.com/fwlink/?linkid=870924
注释:
    AEM3-2T 没货 AEM2 -2T空班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tc={A54BB2EE-EC15-4CDE-AF1A-4786FEEC45FE}</author>
    <author>tc={8B0B66F5-9FF6-48F7-B717-C31160F3A052}</author>
    <author>tc={44EDB937-B3D6-49C4-8323-5A4C2C65BCE8}</author>
    <author>tc={D040380E-565C-4558-A506-06F7B1C075FC}</author>
    <author>tc={E9273281-B330-419B-B025-4722B381B609}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tc={B9FFCAA4-9821-40D4-AFCA-D3D6803F59B1}</author>
    <author>tc={9192ADF5-7544-4DE3-9BFD-764EE308F242}</author>
    <author>tc={2BED387B-E666-45F1-8CA4-DB9E1D8C02D6}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tc={154A06E7-4C0E-4285-AE41-29DCA5D250B5}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tc={ED201946-84E6-42A3-A881-44996C726AB5}</author>
    <author>tc={0322FBD2-9597-4027-8929-89D6EDAD980E}</author>
    <author>tc={F55A1DDD-081F-4D5D-8DEF-79B496731F99}</author>
    <author>tc={2F3CFDBE-D55E-4245-88F9-179DD808A4E2}</author>
    <author>TCL</author>
    <author>tc={ADACFBB9-178D-46C7-AA59-77077C0F3A9F}</author>
    <author>tc={07F1A622-02D3-41F8-A34E-E4467A9B8D60}</author>
    <author>tc={3D8C2884-F411-4A74-B750-D5C52A3B0DB7}</author>
    <author>tc={A4BC1F17-891D-4A4D-85B6-16E12F840F87}</author>
    <author>tc={30EFEC93-7E92-4F17-8F39-DCD31CE8A920}</author>
    <author>tc={40E7E0AC-D547-4D57-9767-8C313674ABAB}</author>
    <author>tc={9810B57E-93CC-4901-BA65-E039C3A7A50F}</author>
    <author>tc={74A5619B-C8BF-4065-BE94-1390574F29DA}</author>
    <author>tc={184D869F-BD63-4D33-9708-93DF5F81D135}</author>
    <author>tc={EC9B1E43-D22A-4734-AA29-65BA28D7AAC4}</author>
    <author>tc={87C68EEC-2CDB-461B-ABA3-649871D6402B}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tc={0979DD86-91C8-4F68-97ED-D199B27E32D4}</author>
    <author>tc={D67F99D3-65CA-4A4E-8098-1E42DAF220E2}</author>
    <author>tc={526B05C7-B91E-4B6F-99AB-11CC6861CC35}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D835" authorId="175" shapeId="0" xr:uid="{A54BB2EE-EC15-4CDE-AF1A-4786FEEC45FE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POPV260807038</t>
      </text>
    </comment>
    <comment ref="AS835" authorId="176" shapeId="0" xr:uid="{8B0B66F5-9FF6-48F7-B717-C31160F3A052}">
      <text>
        <t>[线程批注]
你的Excel版本可读取此线程批注; 但如果在更新版本的Excel中打开文件，则对批注所作的任何改动都将被删除。了解详细信息: https://go.microsoft.com/fwlink/?linkid=870924
注释:
    Previous MBL EGLV149606435972</t>
      </text>
    </comment>
    <comment ref="AD837" authorId="177" shapeId="0" xr:uid="{44EDB937-B3D6-49C4-8323-5A4C2C65BCE8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AS837" authorId="178" shapeId="0" xr:uid="{D040380E-565C-4558-A506-06F7B1C075FC}">
      <text>
        <t>[线程批注]
你的Excel版本可读取此线程批注; 但如果在更新版本的Excel中打开文件，则对批注所作的任何改动都将被删除。了解详细信息: https://go.microsoft.com/fwlink/?linkid=870924
注释:
    Previous BL NO.EGLV149606435972</t>
      </text>
    </comment>
    <comment ref="AD838" authorId="179" shapeId="0" xr:uid="{E9273281-B330-419B-B025-4722B381B609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0" authorId="180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1" authorId="181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2" authorId="182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83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84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2" authorId="185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3" authorId="186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D878" authorId="187" shapeId="0" xr:uid="{EC149913-37E2-4CD9-9D3B-7ACE7CEF6A84}">
      <text>
        <t>[线程批注]
你的Excel版本可读取此线程批注; 但如果在更新版本的Excel中打开文件，则对批注所作的任何改动都将被删除。了解详细信息: https://go.microsoft.com/fwlink/?linkid=870924
注释:
    old PO ref POPV260814047</t>
      </text>
    </comment>
    <comment ref="A906" authorId="188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08" authorId="189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1" authorId="190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P913" authorId="191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15" authorId="192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16" authorId="193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17" authorId="194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18" authorId="195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18" authorId="196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AB920" authorId="197" shapeId="0" xr:uid="{B9FFCAA4-9821-40D4-AFCA-D3D6803F59B1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8-22 , 5 CTS picked up on 8-23</t>
      </text>
    </comment>
    <comment ref="A942" authorId="198" shapeId="0" xr:uid="{9192ADF5-7544-4DE3-9BFD-764EE308F242}">
      <text>
        <t>[线程批注]
你的Excel版本可读取此线程批注; 但如果在更新版本的Excel中打开文件，则对批注所作的任何改动都将被删除。了解详细信息: https://go.microsoft.com/fwlink/?linkid=870924
注释:
    按8月份价格</t>
      </text>
    </comment>
    <comment ref="A946" authorId="199" shapeId="0" xr:uid="{2BED387B-E666-45F1-8CA4-DB9E1D8C02D6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50" authorId="200" shapeId="0" xr:uid="{B6103755-A2D9-4237-BE0F-73E2D421A355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52" authorId="201" shapeId="0" xr:uid="{AF0A9FE6-52F0-440D-8035-DE2E08435734}">
      <text>
        <t>[线程批注]
你的Excel版本可读取此线程批注; 但如果在更新版本的Excel中打开文件，则对批注所作的任何改动都将被删除。了解详细信息: https://go.microsoft.com/fwlink/?linkid=870924
注释:
    按7月份价格</t>
      </text>
    </comment>
    <comment ref="P962" authorId="202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70" authorId="203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70" authorId="204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73" authorId="205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76" authorId="206" shapeId="0" xr:uid="{4DD6BC17-B30D-4998-9423-8197D10336B8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9" authorId="207" shapeId="0" xr:uid="{2CB1CCF2-C3F8-4D21-9AB1-5AD07A7185F9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80" authorId="208" shapeId="0" xr:uid="{0BB13111-F872-409A-A12E-3E21DE2DD01A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981" authorId="209" shapeId="0" xr:uid="{80A5E73E-B107-4AE2-A0F3-C4440CE4160D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8-29, 1 CTS picked  up on 8-30</t>
      </text>
    </comment>
    <comment ref="A986" authorId="210" shapeId="0" xr:uid="{49D76FF7-6CBA-4D62-8184-58735AB41A1C}">
      <text>
        <t>[线程批注]
你的Excel版本可读取此线程批注; 但如果在更新版本的Excel中打开文件，则对批注所作的任何改动都将被删除。了解详细信息: https://go.microsoft.com/fwlink/?linkid=870924
注释:
    1柜塞6000pcs连接器
答复:
    GF0700002079</t>
      </text>
    </comment>
    <comment ref="A990" authorId="211" shapeId="0" xr:uid="{245F032C-1B07-4C1E-9663-477EB1228C06}">
      <text>
        <t>[线程批注]
你的Excel版本可读取此线程批注; 但如果在更新版本的Excel中打开文件，则对批注所作的任何改动都将被删除。了解详细信息: https://go.microsoft.com/fwlink/?linkid=870924
注释:
    一个柜6月价格一个柜7月价格</t>
      </text>
    </comment>
    <comment ref="AB992" authorId="212" shapeId="0" xr:uid="{629020F1-A3EA-46B1-AC58-6CA04442137D}">
      <text>
        <t>[线程批注]
你的Excel版本可读取此线程批注; 但如果在更新版本的Excel中打开文件，则对批注所作的任何改动都将被删除。了解详细信息: https://go.microsoft.com/fwlink/?linkid=870924
注释:
    10 CTS picked up 8-30 ,1 CTS picked up 8-31</t>
      </text>
    </comment>
    <comment ref="AB1003" authorId="213" shapeId="0" xr:uid="{154A06E7-4C0E-4285-AE41-29DCA5D250B5}">
      <text>
        <t>[线程批注]
你的Excel版本可读取此线程批注; 但如果在更新版本的Excel中打开文件，则对批注所作的任何改动都将被删除。了解详细信息: https://go.microsoft.com/fwlink/?linkid=870924
注释:
    3 containers pickup on 3rd SEP,2 containers pickup on 4th SEP.</t>
      </text>
    </comment>
    <comment ref="A1004" authorId="214" shapeId="0" xr:uid="{A9DFCB20-B7D3-4B8F-8217-36379078B7ED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009" authorId="215" shapeId="0" xr:uid="{79560F1F-A330-405F-9ABC-B6839C0A019C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P1011" authorId="216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11" authorId="217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12" authorId="218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18" authorId="219" shapeId="0" xr:uid="{ED201946-84E6-42A3-A881-44996C726AB5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B1018" authorId="220" shapeId="0" xr:uid="{0322FBD2-9597-4027-8929-89D6EDAD980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P1039" authorId="221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40" authorId="222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47" authorId="223" shapeId="0" xr:uid="{4D33407D-B9A7-4DAD-B519-BB1F2A85D5AC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Y1051" authorId="223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AB1054" authorId="224" shapeId="0" xr:uid="{ADACFBB9-178D-46C7-AA59-77077C0F3A9F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9-12 , 4 CTS picked up on 9-13</t>
      </text>
    </comment>
    <comment ref="Y1059" authorId="223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A1074" authorId="225" shapeId="0" xr:uid="{07F1A622-02D3-41F8-A34E-E4467A9B8D60}">
      <text>
        <t>[线程批注]
你的Excel版本可读取此线程批注; 但如果在更新版本的Excel中打开文件，则对批注所作的任何改动都将被删除。了解详细信息: https://go.microsoft.com/fwlink/?linkid=870924
注释:
    GF0700002079</t>
      </text>
    </comment>
    <comment ref="P1081" authorId="226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B1088" authorId="227" shapeId="0" xr:uid="{A4BC1F17-891D-4A4D-85B6-16E12F840F87}">
      <text>
        <t>[线程批注]
你的Excel版本可读取此线程批注; 但如果在更新版本的Excel中打开文件，则对批注所作的任何改动都将被删除。了解详细信息: https://go.microsoft.com/fwlink/?linkid=870924
注释:
    8 CTS picked up on 9-19 ,3 CTS picked up on 9-20</t>
      </text>
    </comment>
    <comment ref="P1113" authorId="228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14" authorId="229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B1116" authorId="230" shapeId="0" xr:uid="{9810B57E-93CC-4901-BA65-E039C3A7A50F}">
      <text>
        <t>[线程批注]
你的Excel版本可读取此线程批注; 但如果在更新版本的Excel中打开文件，则对批注所作的任何改动都将被删除。了解详细信息: https://go.microsoft.com/fwlink/?linkid=870924
注释:
    9-21-4F,9-22-1F</t>
      </text>
    </comment>
    <comment ref="AB1117" authorId="231" shapeId="0" xr:uid="{74A5619B-C8BF-4065-BE94-1390574F29DA}">
      <text>
        <t>[线程批注]
你的Excel版本可读取此线程批注; 但如果在更新版本的Excel中打开文件，则对批注所作的任何改动都将被删除。了解详细信息: https://go.microsoft.com/fwlink/?linkid=870924
注释:
    8 Cts picked up on 10-01 ,1 Cts picked up on 10-02</t>
      </text>
    </comment>
    <comment ref="J1122" authorId="232" shapeId="0" xr:uid="{184D869F-BD63-4D33-9708-93DF5F81D135}">
      <text>
        <t>[线程批注]
你的Excel版本可读取此线程批注; 但如果在更新版本的Excel中打开文件，则对批注所作的任何改动都将被删除。了解详细信息: https://go.microsoft.com/fwlink/?linkid=870924
注释:
    菲律宾APBG</t>
      </text>
    </comment>
    <comment ref="U1176" authorId="233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211" authorId="234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212" authorId="235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216" authorId="236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217" authorId="237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218" authorId="238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219" authorId="239" shapeId="0" xr:uid="{E0A69871-1B1B-4155-BC45-7EED2A7E75D0}">
      <text>
        <t>[线程批注]
你的Excel版本可读取此线程批注; 但如果在更新版本的Excel中打开文件，则对批注所作的任何改动都将被删除。了解详细信息: https://go.microsoft.com/fwlink/?linkid=870924
注释:
    非欧订单</t>
      </text>
    </comment>
    <comment ref="P1233" authorId="240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234" authorId="241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1249" authorId="242" shapeId="0" xr:uid="{526B05C7-B91E-4B6F-99AB-11CC6861CC35}">
      <text>
        <t>[线程批注]
你的Excel版本可读取此线程批注; 但如果在更新版本的Excel中打开文件，则对批注所作的任何改动都将被删除。了解详细信息: https://go.microsoft.com/fwlink/?linkid=870924
注释:
    跟倩晴说不在新方舟开，在EUCT记录好价格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  <author>tc={2E00BE70-28F0-426D-8DB5-8B7A1849C17F}</author>
    <author>tc={048A3401-D290-407B-B869-B5170A6AC83F}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N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N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N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N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N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N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N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N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  <comment ref="Z173" authorId="54" shapeId="0" xr:uid="{2E00BE70-28F0-426D-8DB5-8B7A1849C17F}">
      <text>
        <t>[线程批注]
你的Excel版本可读取此线程批注; 但如果在更新版本的Excel中打开文件，则对批注所作的任何改动都将被删除。了解详细信息: https://go.microsoft.com/fwlink/?linkid=870924
注释:
    1 pick-up on 09-18, another pick-up on 09-19</t>
      </text>
    </comment>
    <comment ref="R290" authorId="55" shapeId="0" xr:uid="{048A3401-D290-407B-B869-B5170A6AC83F}">
      <text>
        <t>[线程批注]
你的Excel版本可读取此线程批注; 但如果在更新版本的Excel中打开文件，则对批注所作的任何改动都将被删除。了解详细信息: https://go.microsoft.com/fwlink/?linkid=870924
注释:
    新方舟系统库存171pcs, 40pcs被户用提走，暂未开单。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  <author>tc={0DF4761A-5909-4063-8472-1DC0C905BEE8}</author>
    <author>tc={94001541-E4A2-4439-B422-67E9E95FBB34}</author>
    <author>tc={FC8FAC09-49D3-45F4-B31D-1E474DFD1756}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6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7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8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  <comment ref="L76" authorId="9" shapeId="0" xr:uid="{0DF4761A-5909-4063-8472-1DC0C905BEE8}">
      <text>
        <t>[线程批注]
你的Excel版本可读取此线程批注; 但如果在更新版本的Excel中打开文件，则对批注所作的任何改动都将被删除。了解详细信息: https://go.microsoft.com/fwlink/?linkid=870924
注释:
    Transfer order PVAE260903000044</t>
      </text>
    </comment>
    <comment ref="L77" authorId="10" shapeId="0" xr:uid="{94001541-E4A2-4439-B422-67E9E95FBB34}">
      <text>
        <t>[线程批注]
你的Excel版本可读取此线程批注; 但如果在更新版本的Excel中打开文件，则对批注所作的任何改动都将被删除。了解详细信息: https://go.microsoft.com/fwlink/?linkid=870924
注释:
    PVAE260923000039</t>
      </text>
    </comment>
    <comment ref="B78" authorId="11" shapeId="0" xr:uid="{FC8FAC09-49D3-45F4-B31D-1E474DFD1756}">
      <text>
        <t>[线程批注]
你的Excel版本可读取此线程批注; 但如果在更新版本的Excel中打开文件，则对批注所作的任何改动都将被删除。了解详细信息: https://go.microsoft.com/fwlink/?linkid=870924
注释:
    CH0126091100003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<sst xmlns="http://schemas.openxmlformats.org/spreadsheetml/2006/main" count="103579" uniqueCount="10740">
  <si>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</si>
  <si>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</si>
  <si>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</si>
  <si>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</si>
  <si>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</si>
  <si>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</si>
  <si>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</si>
  <si>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</si>
  <si>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</si>
  <si>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</si>
  <si>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</si>
  <si>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</si>
  <si>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</si>
  <si>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</si>
  <si>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</si>
  <si>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</si>
  <si>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</si>
  <si>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</si>
  <si>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</si>
  <si>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</si>
  <si>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</si>
  <si>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</si>
  <si>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</si>
  <si>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</si>
  <si>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</si>
  <si>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</si>
  <si>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</si>
  <si>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</si>
  <si>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</si>
  <si>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</si>
  <si>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</si>
  <si>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</si>
  <si>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</si>
  <si>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</si>
  <si>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</si>
  <si>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</si>
  <si>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</si>
  <si>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</si>
  <si>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</si>
  <si>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</si>
  <si>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</si>
  <si>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</si>
  <si>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</si>
  <si>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</si>
  <si>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</si>
  <si>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</si>
  <si>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</si>
  <si>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</si>
  <si>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</si>
  <si>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</si>
  <si>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</si>
  <si>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</si>
  <si>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</si>
  <si>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</si>
  <si>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</si>
  <si>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</si>
  <si>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</si>
  <si>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</si>
  <si>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</si>
  <si>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</si>
  <si>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</si>
  <si>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Tianjin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</si>
  <si>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</si>
  <si>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</si>
  <si>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</si>
  <si>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</si>
  <si>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</si>
  <si>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</si>
  <si>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</si>
  <si>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</si>
  <si>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</si>
  <si>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</si>
  <si>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</si>
  <si>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</si>
  <si>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</si>
  <si>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</si>
  <si>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</si>
  <si>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</si>
  <si>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FOS SUR MER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</si>
  <si>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</si>
  <si>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</si>
  <si>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</si>
  <si>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</si>
  <si>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</si>
  <si>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</si>
  <si>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</si>
  <si>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AEM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</si>
  <si>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</si>
  <si>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</si>
  <si>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</si>
  <si>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</si>
  <si>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</si>
  <si>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</si>
  <si>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</si>
  <si>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</si>
  <si>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</si>
  <si>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</si>
  <si>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</si>
  <si>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</si>
  <si>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</si>
  <si>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</si>
  <si>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</si>
  <si>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</si>
  <si>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</si>
  <si>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</si>
  <si>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ROTTERDAM</t>
  </si>
  <si>
    <t>TPVB20251205010</t>
  </si>
  <si>
    <t>COSU6437850970</t>
  </si>
  <si>
    <t>White glazing</t>
  </si>
  <si>
    <t>AEU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</si>
  <si>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</si>
  <si>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</si>
  <si>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</si>
  <si>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</si>
  <si>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</si>
  <si>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</si>
  <si>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</si>
  <si>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</si>
  <si>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</si>
  <si>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</si>
  <si>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</si>
  <si>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</si>
  <si>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</si>
  <si>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Shanghai</t>
  </si>
  <si>
    <t>VALENCIA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</si>
  <si>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</si>
  <si>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</si>
  <si>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</si>
  <si>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</si>
  <si>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</si>
  <si>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</si>
  <si>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</si>
  <si>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</si>
  <si>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</si>
  <si>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</si>
  <si>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</si>
  <si>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</si>
  <si>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</si>
  <si>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</si>
  <si>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</si>
  <si>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</si>
  <si>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</si>
  <si>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</si>
  <si>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</si>
  <si>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</si>
  <si>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</si>
  <si>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</si>
  <si>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</si>
  <si>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</si>
  <si>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</si>
  <si>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</si>
  <si>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</si>
  <si>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</si>
  <si>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</si>
  <si>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</si>
  <si>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</si>
  <si>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</si>
  <si>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</si>
  <si>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</si>
  <si>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</si>
  <si>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</si>
  <si>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</si>
  <si>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</si>
  <si>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</si>
  <si>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</si>
  <si>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</si>
  <si>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</si>
  <si>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</si>
  <si>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</si>
  <si>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</si>
  <si>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</si>
  <si>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</si>
  <si>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</si>
  <si>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</si>
  <si>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</si>
  <si>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</si>
  <si>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</si>
  <si>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</si>
  <si>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</si>
  <si>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</si>
  <si>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</si>
  <si>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</si>
  <si>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</si>
  <si>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</si>
  <si>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</si>
  <si>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</si>
  <si>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</si>
  <si>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</si>
  <si>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</si>
  <si>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</si>
  <si>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</si>
  <si>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</si>
  <si>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</si>
  <si>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</si>
  <si>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</si>
  <si>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</si>
  <si>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</si>
  <si>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　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</si>
  <si>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</si>
  <si>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</si>
  <si>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</si>
  <si>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</si>
  <si>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</si>
  <si>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</si>
  <si>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</si>
  <si>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</si>
  <si>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</si>
  <si>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</si>
  <si>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</si>
  <si>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</si>
  <si>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</si>
  <si>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</si>
  <si>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</si>
  <si>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</si>
  <si>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</si>
  <si>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</si>
  <si>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</si>
  <si>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</si>
  <si>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</si>
  <si>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</si>
  <si>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</si>
  <si>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</si>
  <si>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</si>
  <si>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</si>
  <si>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</si>
  <si>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</si>
  <si>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</si>
  <si>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</si>
  <si>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</si>
  <si>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</si>
  <si>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</si>
  <si>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</si>
  <si>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</si>
  <si>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</si>
  <si>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</si>
  <si>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</si>
  <si>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</si>
  <si>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</si>
  <si>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</si>
  <si>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</si>
  <si>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</si>
  <si>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</si>
  <si>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</si>
  <si>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</si>
  <si>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</si>
  <si>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</si>
  <si>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</si>
  <si>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</si>
  <si>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</si>
  <si>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</si>
  <si>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</si>
  <si>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</si>
  <si>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</si>
  <si>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</si>
  <si>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</si>
  <si>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</si>
  <si>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</si>
  <si>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</si>
  <si>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</si>
  <si>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</si>
  <si>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</si>
  <si>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</si>
  <si>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</si>
  <si>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</si>
  <si>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</si>
  <si>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</si>
  <si>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</si>
  <si>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</si>
  <si>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</si>
  <si>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</si>
  <si>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</si>
  <si>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</si>
  <si>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</si>
  <si>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</si>
  <si>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</si>
  <si>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</si>
  <si>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</si>
  <si>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</si>
  <si>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</si>
  <si>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</si>
  <si>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</si>
  <si>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</si>
  <si>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</si>
  <si>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</si>
  <si>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</si>
  <si>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</si>
  <si>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</si>
  <si>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</si>
  <si>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</si>
  <si>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</si>
  <si>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</si>
  <si>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</si>
  <si>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</si>
  <si>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</si>
  <si>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</si>
  <si>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</si>
  <si>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</si>
  <si>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</si>
  <si>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</si>
  <si>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</si>
  <si>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</si>
  <si>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</si>
  <si>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</si>
  <si>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</si>
  <si>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</si>
  <si>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</si>
  <si>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</si>
  <si>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</si>
  <si>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</si>
  <si>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</si>
  <si>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</si>
  <si>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</si>
  <si>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</si>
  <si>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</si>
  <si>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GENOA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</si>
  <si>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</si>
  <si>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</si>
  <si>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</si>
  <si>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</si>
  <si>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</si>
  <si>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</si>
  <si>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</si>
  <si>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</si>
  <si>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</si>
  <si>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</si>
  <si>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</si>
  <si>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</si>
  <si>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</si>
  <si>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</si>
  <si>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</si>
  <si>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</si>
  <si>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</si>
  <si>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</si>
  <si>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</si>
  <si>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</si>
  <si>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</si>
  <si>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</si>
  <si>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</si>
  <si>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</si>
  <si>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</si>
  <si>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</si>
  <si>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</si>
  <si>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</si>
  <si>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</si>
  <si>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</si>
  <si>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</si>
  <si>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</si>
  <si>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</si>
  <si>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</si>
  <si>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</si>
  <si>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</si>
  <si>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</si>
  <si>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</si>
  <si>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</si>
  <si>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</si>
  <si>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</si>
  <si>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LE HAVRE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</si>
  <si>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</si>
  <si>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</si>
  <si>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</si>
  <si>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</si>
  <si>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</si>
  <si>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</si>
  <si>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</si>
  <si>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</si>
  <si>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</si>
  <si>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</si>
  <si>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</si>
  <si>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</si>
  <si>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</si>
  <si>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</si>
  <si>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</si>
  <si>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</si>
  <si>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</si>
  <si>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</si>
  <si>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</si>
  <si>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</si>
  <si>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</si>
  <si>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</si>
  <si>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</si>
  <si>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</si>
  <si>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</si>
  <si>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</si>
  <si>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</si>
  <si>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</si>
  <si>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</si>
  <si>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</si>
  <si>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</si>
  <si>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</si>
  <si>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</si>
  <si>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</si>
  <si>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</si>
  <si>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</si>
  <si>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</si>
  <si>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</si>
  <si>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</si>
  <si>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</si>
  <si>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</si>
  <si>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</si>
  <si>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</si>
  <si>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</si>
  <si>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</si>
  <si>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</si>
  <si>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</si>
  <si>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</si>
  <si>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</si>
  <si>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</si>
  <si>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</si>
  <si>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</si>
  <si>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</si>
  <si>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</si>
  <si>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</si>
  <si>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</si>
  <si>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</si>
  <si>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</si>
  <si>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</si>
  <si>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</si>
  <si>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</si>
  <si>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</si>
  <si>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</si>
  <si>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</si>
  <si>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</si>
  <si>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</si>
  <si>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</si>
  <si>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</si>
  <si>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</si>
  <si>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</si>
  <si>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</si>
  <si>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</si>
  <si>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</si>
  <si>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</si>
  <si>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</si>
  <si>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</si>
  <si>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</si>
  <si>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</si>
  <si>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</si>
  <si>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</si>
  <si>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</si>
  <si>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</si>
  <si>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</si>
  <si>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</si>
  <si>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</si>
  <si>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</si>
  <si>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</si>
  <si>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</si>
  <si>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</si>
  <si>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</si>
  <si>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</si>
  <si>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</si>
  <si>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</si>
  <si>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</si>
  <si>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</si>
  <si>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</si>
  <si>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</si>
  <si>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</si>
  <si>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</si>
  <si>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FELIXSTOWE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</si>
  <si>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</si>
  <si>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</si>
  <si>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</si>
  <si>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</si>
  <si>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</si>
  <si>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</si>
  <si>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</si>
  <si>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</si>
  <si>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</si>
  <si>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</si>
  <si>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</si>
  <si>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</si>
  <si>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</si>
  <si>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</si>
  <si>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</si>
  <si>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</si>
  <si>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</si>
  <si>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</si>
  <si>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</si>
  <si>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</si>
  <si>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</si>
  <si>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</si>
  <si>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</si>
  <si>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</si>
  <si>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</si>
  <si>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</si>
  <si>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</si>
  <si>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</si>
  <si>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</si>
  <si>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</si>
  <si>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</si>
  <si>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</si>
  <si>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</si>
  <si>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</si>
  <si>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</si>
  <si>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</si>
  <si>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</si>
  <si>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</si>
  <si>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</si>
  <si>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</si>
  <si>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</si>
  <si>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</si>
  <si>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</si>
  <si>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</si>
  <si>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</si>
  <si>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</si>
  <si>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</si>
  <si>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</si>
  <si>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</si>
  <si>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</si>
  <si>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</si>
  <si>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</si>
  <si>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</si>
  <si>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</si>
  <si>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</si>
  <si>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</si>
  <si>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</si>
  <si>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</si>
  <si>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</si>
  <si>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</si>
  <si>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</si>
  <si>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</si>
  <si>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</si>
  <si>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</si>
  <si>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</si>
  <si>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</si>
  <si>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</si>
  <si>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</si>
  <si>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</si>
  <si>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</si>
  <si>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</si>
  <si>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</si>
  <si>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</si>
  <si>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</si>
  <si>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</si>
  <si>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</si>
  <si>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</si>
  <si>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</si>
  <si>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</si>
  <si>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</si>
  <si>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</si>
  <si>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</si>
  <si>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</si>
  <si>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</si>
  <si>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CORK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</si>
  <si>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</si>
  <si>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</si>
  <si>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</si>
  <si>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</si>
  <si>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</si>
  <si>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</si>
  <si>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</si>
  <si>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</si>
  <si>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</si>
  <si>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</si>
  <si>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</si>
  <si>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</si>
  <si>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</si>
  <si>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</si>
  <si>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</si>
  <si>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</si>
  <si>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</si>
  <si>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</si>
  <si>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</si>
  <si>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</si>
  <si>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</si>
  <si>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</si>
  <si>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</si>
  <si>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</si>
  <si>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</si>
  <si>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</si>
  <si>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</si>
  <si>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</si>
  <si>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</si>
  <si>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</si>
  <si>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</si>
  <si>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</si>
  <si>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</si>
  <si>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</si>
  <si>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</si>
  <si>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</si>
  <si>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</si>
  <si>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</si>
  <si>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</si>
  <si>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</si>
  <si>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</si>
  <si>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</si>
  <si>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</si>
  <si>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</si>
  <si>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</si>
  <si>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</si>
  <si>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</si>
  <si>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</si>
  <si>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</si>
  <si>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</si>
  <si>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</si>
  <si>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</si>
  <si>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</si>
  <si>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</si>
  <si>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</si>
  <si>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</si>
  <si>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</si>
  <si>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</si>
  <si>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</si>
  <si>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</si>
  <si>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</si>
  <si>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</si>
  <si>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</si>
  <si>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</si>
  <si>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</si>
  <si>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</si>
  <si>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</si>
  <si>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</si>
  <si>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</si>
  <si>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</si>
  <si>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</si>
  <si>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</si>
  <si>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</si>
  <si>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</si>
  <si>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</si>
  <si>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</si>
  <si>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</si>
  <si>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</si>
  <si>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</si>
  <si>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</si>
  <si>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</si>
  <si>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</si>
  <si>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</si>
  <si>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</si>
  <si>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</si>
  <si>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</si>
  <si>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</si>
  <si>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</si>
  <si>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</si>
  <si>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</si>
  <si>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</si>
  <si>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</si>
  <si>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</si>
  <si>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</si>
  <si>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</si>
  <si>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</si>
  <si>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</si>
  <si>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</si>
  <si>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</si>
  <si>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</si>
  <si>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</si>
  <si>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</si>
  <si>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</si>
  <si>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</si>
  <si>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</si>
  <si>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</si>
  <si>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</si>
  <si>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</si>
  <si>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</si>
  <si>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</si>
  <si>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</si>
  <si>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</si>
  <si>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</si>
  <si>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</si>
  <si>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</si>
  <si>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</si>
  <si>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</si>
  <si>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</si>
  <si>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</si>
  <si>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</si>
  <si>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</si>
  <si>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</si>
  <si>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</si>
  <si>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</si>
  <si>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</si>
  <si>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</si>
  <si>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</si>
  <si>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</si>
  <si>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</si>
  <si>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</si>
  <si>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</si>
  <si>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</si>
  <si>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</si>
  <si>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</si>
  <si>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</si>
  <si>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</si>
  <si>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</si>
  <si>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</si>
  <si>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</si>
  <si>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</si>
  <si>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</si>
  <si>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</si>
  <si>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</si>
  <si>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</si>
  <si>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</si>
  <si>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</si>
  <si>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</si>
  <si>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</si>
  <si>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</si>
  <si>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</si>
  <si>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</si>
  <si>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</si>
  <si>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</si>
  <si>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</si>
  <si>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</si>
  <si>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</si>
  <si>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</si>
  <si>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</si>
  <si>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</si>
  <si>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</si>
  <si>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</si>
  <si>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</si>
  <si>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</si>
  <si>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</si>
  <si>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</si>
  <si>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</si>
  <si>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</si>
  <si>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</si>
  <si>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</si>
  <si>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</si>
  <si>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</si>
  <si>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</si>
  <si>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</si>
  <si>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</si>
  <si>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</si>
  <si>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</si>
  <si>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</si>
  <si>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</si>
  <si>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</si>
  <si>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</si>
  <si>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</si>
  <si>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</si>
  <si>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</si>
  <si>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</si>
  <si>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</si>
  <si>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</si>
  <si>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</si>
  <si>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</si>
  <si>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</si>
  <si>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</si>
  <si>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</si>
  <si>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</si>
  <si>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</si>
  <si>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</si>
  <si>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</si>
  <si>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</si>
  <si>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</si>
  <si>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</si>
  <si>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</si>
  <si>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</si>
  <si>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</si>
  <si>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</si>
  <si>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</si>
  <si>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</si>
  <si>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</si>
  <si>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</si>
  <si>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</si>
  <si>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</si>
  <si>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</si>
  <si>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</si>
  <si>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</si>
  <si>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</si>
  <si>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</si>
  <si>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</si>
  <si>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</si>
  <si>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</si>
  <si>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</si>
  <si>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</si>
  <si>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</si>
  <si>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</si>
  <si>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</si>
  <si>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</si>
  <si>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</si>
  <si>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</si>
  <si>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</si>
  <si>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</si>
  <si>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</si>
  <si>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</si>
  <si>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</si>
  <si>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</si>
  <si>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</si>
  <si>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</si>
  <si>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</si>
  <si>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</si>
  <si>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</si>
  <si>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</si>
  <si>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</si>
  <si>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</si>
  <si>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</si>
  <si>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</si>
  <si>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</si>
  <si>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</si>
  <si>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</si>
  <si>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</si>
  <si>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</si>
  <si>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</si>
  <si>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</si>
  <si>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</si>
  <si>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</si>
  <si>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</si>
  <si>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</si>
  <si>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</si>
  <si>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</si>
  <si>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</si>
  <si>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</si>
  <si>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</si>
  <si>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</si>
  <si>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</si>
  <si>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</si>
  <si>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</si>
  <si>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</si>
  <si>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</si>
  <si>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</si>
  <si>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</si>
  <si>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</si>
  <si>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</si>
  <si>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</si>
  <si>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</si>
  <si>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</si>
  <si>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</si>
  <si>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</si>
  <si>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</si>
  <si>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</si>
  <si>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</si>
  <si>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</si>
  <si>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</si>
  <si>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</si>
  <si>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</si>
  <si>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</si>
  <si>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</si>
  <si>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</si>
  <si>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</si>
  <si>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</si>
  <si>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</si>
  <si>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</si>
  <si>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</si>
  <si>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</si>
  <si>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</si>
  <si>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</si>
  <si>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</si>
  <si>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</si>
  <si>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</si>
  <si>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</si>
  <si>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</si>
  <si>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</si>
  <si>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</si>
  <si>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</si>
  <si>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</si>
  <si>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</si>
  <si>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</si>
  <si>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</si>
  <si>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</si>
  <si>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</si>
  <si>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</si>
  <si>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</si>
  <si>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</si>
  <si>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</si>
  <si>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</si>
  <si>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</si>
  <si>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</si>
  <si>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</si>
  <si>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</si>
  <si>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</si>
  <si>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</si>
  <si>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</si>
  <si>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</si>
  <si>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</si>
  <si>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</si>
  <si>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</si>
  <si>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</si>
  <si>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</si>
  <si>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</si>
  <si>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</si>
  <si>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</si>
  <si>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</si>
  <si>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</si>
  <si>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</si>
  <si>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</si>
  <si>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</si>
  <si>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</si>
  <si>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</si>
  <si>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</si>
  <si>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</si>
  <si>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</si>
  <si>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</si>
  <si>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</si>
  <si>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</si>
  <si>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</si>
  <si>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</si>
  <si>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</si>
  <si>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</si>
  <si>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</si>
  <si>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</si>
  <si>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</si>
  <si>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</si>
  <si>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</si>
  <si>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GDANSK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</si>
  <si>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</si>
  <si>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</si>
  <si>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</si>
  <si>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</si>
  <si>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</si>
  <si>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</si>
  <si>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</si>
  <si>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</si>
  <si>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</si>
  <si>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</si>
  <si>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</si>
  <si>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</si>
  <si>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</si>
  <si>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</si>
  <si>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</si>
  <si>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</si>
  <si>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</si>
  <si>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</si>
  <si>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</si>
  <si>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</si>
  <si>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</si>
  <si>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</si>
  <si>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</si>
  <si>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</si>
  <si>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</si>
  <si>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</si>
  <si>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</si>
  <si>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</si>
  <si>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</si>
  <si>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</si>
  <si>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</si>
  <si>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</si>
  <si>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</si>
  <si>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</si>
  <si>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</si>
  <si>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</si>
  <si>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</si>
  <si>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</si>
  <si>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</si>
  <si>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</si>
  <si>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</si>
  <si>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</si>
  <si>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</si>
  <si>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</si>
  <si>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</si>
  <si>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</si>
  <si>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</si>
  <si>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</si>
  <si>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</si>
  <si>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</si>
  <si>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</si>
  <si>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</si>
  <si>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</si>
  <si>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</si>
  <si>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</si>
  <si>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</si>
  <si>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</si>
  <si>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</si>
  <si>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</si>
  <si>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</si>
  <si>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</si>
  <si>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</si>
  <si>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IN-TRANSIT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</si>
  <si>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</si>
  <si>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</si>
  <si>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</si>
  <si>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</si>
  <si>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</si>
  <si>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</si>
  <si>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</si>
  <si>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</si>
  <si>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</si>
  <si>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</si>
  <si>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</si>
  <si>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</si>
  <si>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</si>
  <si>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</si>
  <si>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</si>
  <si>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</si>
  <si>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</si>
  <si>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</si>
  <si>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</si>
  <si>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</si>
  <si>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</si>
  <si>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</si>
  <si>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</si>
  <si>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</si>
  <si>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</si>
  <si>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</si>
  <si>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</si>
  <si>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</si>
  <si>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</si>
  <si>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</si>
  <si>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</si>
  <si>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</si>
  <si>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</si>
  <si>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</si>
  <si>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</si>
  <si>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</si>
  <si>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</si>
  <si>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</si>
  <si>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</si>
  <si>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</si>
  <si>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</si>
  <si>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</si>
  <si>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</si>
  <si>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</si>
  <si>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</si>
  <si>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</si>
  <si>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</si>
  <si>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</si>
  <si>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</si>
  <si>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</si>
  <si>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</si>
  <si>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</si>
  <si>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</si>
  <si>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</si>
  <si>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</si>
  <si>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</si>
  <si>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</si>
  <si>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</si>
  <si>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</si>
  <si>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</si>
  <si>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</si>
  <si>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</si>
  <si>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</si>
  <si>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</si>
  <si>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</si>
  <si>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</si>
  <si>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</si>
  <si>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</si>
  <si>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</si>
  <si>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</si>
  <si>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</si>
  <si>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</si>
  <si>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</si>
  <si>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</si>
  <si>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</si>
  <si>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</si>
  <si>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</si>
  <si>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</si>
  <si>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</si>
  <si>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</si>
  <si>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</si>
  <si>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</si>
  <si>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</si>
  <si>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</si>
  <si>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</si>
  <si>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</si>
  <si>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</si>
  <si>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</si>
  <si>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</si>
  <si>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</si>
  <si>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</si>
  <si>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</si>
  <si>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</si>
  <si>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</si>
  <si>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</si>
  <si>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</si>
  <si>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</si>
  <si>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</si>
  <si>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</si>
  <si>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</si>
  <si>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</si>
  <si>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</si>
  <si>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</si>
  <si>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</si>
  <si>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</si>
  <si>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</si>
  <si>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</si>
  <si>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</si>
  <si>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</si>
  <si>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</si>
  <si>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</si>
  <si>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</si>
  <si>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</si>
  <si>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</si>
  <si>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</si>
  <si>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</si>
  <si>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</si>
  <si>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</si>
  <si>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</si>
  <si>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</si>
  <si>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</si>
  <si>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</si>
  <si>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</si>
  <si>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</si>
  <si>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</si>
  <si>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</si>
  <si>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</si>
  <si>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</si>
  <si>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</si>
  <si>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</si>
  <si>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</si>
  <si>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</si>
  <si>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ANTWERP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</si>
  <si>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</si>
  <si>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</si>
  <si>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</si>
  <si>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</si>
  <si>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</si>
  <si>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</si>
  <si>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</si>
  <si>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</si>
  <si>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</si>
  <si>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</si>
  <si>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</si>
  <si>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</si>
  <si>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</si>
  <si>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</si>
  <si>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</si>
  <si>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</si>
  <si>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</si>
  <si>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</si>
  <si>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</si>
  <si>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</si>
  <si>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</si>
  <si>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</si>
  <si>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</si>
  <si>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</si>
  <si>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</si>
  <si>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</si>
  <si>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</si>
  <si>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</si>
  <si>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</si>
  <si>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</si>
  <si>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</si>
  <si>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</si>
  <si>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</si>
  <si>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</si>
  <si>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</si>
  <si>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</si>
  <si>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</si>
  <si>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</si>
  <si>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</si>
  <si>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</si>
  <si>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</si>
  <si>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</si>
  <si>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</si>
  <si>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</si>
  <si>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</si>
  <si>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</si>
  <si>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</si>
  <si>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</si>
  <si>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</si>
  <si>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</si>
  <si>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</si>
  <si>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</si>
  <si>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</si>
  <si>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</si>
  <si>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</si>
  <si>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</si>
  <si>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</si>
  <si>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</si>
  <si>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</si>
  <si>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</si>
  <si>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</si>
  <si>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</si>
  <si>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</si>
  <si>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</si>
  <si>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</si>
  <si>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</si>
  <si>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</si>
  <si>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</si>
  <si>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</si>
  <si>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</si>
  <si>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</si>
  <si>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</si>
  <si>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</si>
  <si>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</si>
  <si>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</si>
  <si>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</si>
  <si>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</si>
  <si>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</si>
  <si>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</si>
  <si>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</si>
  <si>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</si>
  <si>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</si>
  <si>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</si>
  <si>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</si>
  <si>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</si>
  <si>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</si>
  <si>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</si>
  <si>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</si>
  <si>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</si>
  <si>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</si>
  <si>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</si>
  <si>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</si>
  <si>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</si>
  <si>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</si>
  <si>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</si>
  <si>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</si>
  <si>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</si>
  <si>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</si>
  <si>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</si>
  <si>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</si>
  <si>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</si>
  <si>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</si>
  <si>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</si>
  <si>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</si>
  <si>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</si>
  <si>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</si>
  <si>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</si>
  <si>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</si>
  <si>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</si>
  <si>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</si>
  <si>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</si>
  <si>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</si>
  <si>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</si>
  <si>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</si>
  <si>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</si>
  <si>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</si>
  <si>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</si>
  <si>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</si>
  <si>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</si>
  <si>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</si>
  <si>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</si>
  <si>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</si>
  <si>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</si>
  <si>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</si>
  <si>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</si>
  <si>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</si>
  <si>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</si>
  <si>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</si>
  <si>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</si>
  <si>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</si>
  <si>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</si>
  <si>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</si>
  <si>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</si>
  <si>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</si>
  <si>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</si>
  <si>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</si>
  <si>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</si>
  <si>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</si>
  <si>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</si>
  <si>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</si>
  <si>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</si>
  <si>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</si>
  <si>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</si>
  <si>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</si>
  <si>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</si>
  <si>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</si>
  <si>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</si>
  <si>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</si>
  <si>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</si>
  <si>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</si>
  <si>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</si>
  <si>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</si>
  <si>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</si>
  <si>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</si>
  <si>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</si>
  <si>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</si>
  <si>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</si>
  <si>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</si>
  <si>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</si>
  <si>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</si>
  <si>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</si>
  <si>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</si>
  <si>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</si>
  <si>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</si>
  <si>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</si>
  <si>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</si>
  <si>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</si>
  <si>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</si>
  <si>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</si>
  <si>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</si>
  <si>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</si>
  <si>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</si>
  <si>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</si>
  <si>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</si>
  <si>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</si>
  <si>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</si>
  <si>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</si>
  <si>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</si>
  <si>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</si>
  <si>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</si>
  <si>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</si>
  <si>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</si>
  <si>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</si>
  <si>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</si>
  <si>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</si>
  <si>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</si>
  <si>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</si>
  <si>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</si>
  <si>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</si>
  <si>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</si>
  <si>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</si>
  <si>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</si>
  <si>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</si>
  <si>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</si>
  <si>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</si>
  <si>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</si>
  <si>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</si>
  <si>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</si>
  <si>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</si>
  <si>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</si>
  <si>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</si>
  <si>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</si>
  <si>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</si>
  <si>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</si>
  <si>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</si>
  <si>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</si>
  <si>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</si>
  <si>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</si>
  <si>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</si>
  <si>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</si>
  <si>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</si>
  <si>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</si>
  <si>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</si>
  <si>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</si>
  <si>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</si>
  <si>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</si>
  <si>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</si>
  <si>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</si>
  <si>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</si>
  <si>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</si>
  <si>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</si>
  <si>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</si>
  <si>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</si>
  <si>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</si>
  <si>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</si>
  <si>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</si>
  <si>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</si>
  <si>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</si>
  <si>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</si>
  <si>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</si>
  <si>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</si>
  <si>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</si>
  <si>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</si>
  <si>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</si>
  <si>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</si>
  <si>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</si>
  <si>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</si>
  <si>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</si>
  <si>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</si>
  <si>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</si>
  <si>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</si>
  <si>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</si>
  <si>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</si>
  <si>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</si>
  <si>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</si>
  <si>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</si>
  <si>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</si>
  <si>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</si>
  <si>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</si>
  <si>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</si>
  <si>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</si>
  <si>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</si>
  <si>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</si>
  <si>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</si>
  <si>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</si>
  <si>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</si>
  <si>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</si>
  <si>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</si>
  <si>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</si>
  <si>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</si>
  <si>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</si>
  <si>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</si>
  <si>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</si>
  <si>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</si>
  <si>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</si>
  <si>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</si>
  <si>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</si>
  <si>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</si>
  <si>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</si>
  <si>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</si>
  <si>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</si>
  <si>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</si>
  <si>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</si>
  <si>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</si>
  <si>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</si>
  <si>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</si>
  <si>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</si>
  <si>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</si>
  <si>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</si>
  <si>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</si>
  <si>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</si>
  <si>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</si>
  <si>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</si>
  <si>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</si>
  <si>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</si>
  <si>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</si>
  <si>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</si>
  <si>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</si>
  <si>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</si>
  <si>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</si>
  <si>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</si>
  <si>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</si>
  <si>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</si>
  <si>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</si>
  <si>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</si>
  <si>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</si>
  <si>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</si>
  <si>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</si>
  <si>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</si>
  <si>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</si>
  <si>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</si>
  <si>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</si>
  <si>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</si>
  <si>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</si>
  <si>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</si>
  <si>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</si>
  <si>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</si>
  <si>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</si>
  <si>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</si>
  <si>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</si>
  <si>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</si>
  <si>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</si>
  <si>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</si>
  <si>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</si>
  <si>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</si>
  <si>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</si>
  <si>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</si>
  <si>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</si>
  <si>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</si>
  <si>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</si>
  <si>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</si>
  <si>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</si>
  <si>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</si>
  <si>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</si>
  <si>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</si>
  <si>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</si>
  <si>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</si>
  <si>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</si>
  <si>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</si>
  <si>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</si>
  <si>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</si>
  <si>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</si>
  <si>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</si>
  <si>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</si>
  <si>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</si>
  <si>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</si>
  <si>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</si>
  <si>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</si>
  <si>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</si>
  <si>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</si>
  <si>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</si>
  <si>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</si>
  <si>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</si>
  <si>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</si>
  <si>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</si>
  <si>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</si>
  <si>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</si>
  <si>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</si>
  <si>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</si>
  <si>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</si>
  <si>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</si>
  <si>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</si>
  <si>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</si>
  <si>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</si>
  <si>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</si>
  <si>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</si>
  <si>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</si>
  <si>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</si>
  <si>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</si>
  <si>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</si>
  <si>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</si>
  <si>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</si>
  <si>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</si>
  <si>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</si>
  <si>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</si>
  <si>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</si>
  <si>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</si>
  <si>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</si>
  <si>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</si>
  <si>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</si>
  <si>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</si>
  <si>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</si>
  <si>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</si>
  <si>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</si>
  <si>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</si>
  <si>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</si>
  <si>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</si>
  <si>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</si>
  <si>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</si>
  <si>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</si>
  <si>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</si>
  <si>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</si>
  <si>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</si>
  <si>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</si>
  <si>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</si>
  <si>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</si>
  <si>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</si>
  <si>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</si>
  <si>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</si>
  <si>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</si>
  <si>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</si>
  <si>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</si>
  <si>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</si>
  <si>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</si>
  <si>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</si>
  <si>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</si>
  <si>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</si>
  <si>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</si>
  <si>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</si>
  <si>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</si>
  <si>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</si>
  <si>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</si>
  <si>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</si>
  <si>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</si>
  <si>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</si>
  <si>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</si>
  <si>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</si>
  <si>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</si>
  <si>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</si>
  <si>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</si>
  <si>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</si>
  <si>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</si>
  <si>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</si>
  <si>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</si>
  <si>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</si>
  <si>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</si>
  <si>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</si>
  <si>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</si>
  <si>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</si>
  <si>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</si>
  <si>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</si>
  <si>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</si>
  <si>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</si>
  <si>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</si>
  <si>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</si>
  <si>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</si>
  <si>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</si>
  <si>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</si>
  <si>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</si>
  <si>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</si>
  <si>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</si>
  <si>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</si>
  <si>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</si>
  <si>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</si>
  <si>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</si>
  <si>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</si>
  <si>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</si>
  <si>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</si>
  <si>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</si>
  <si>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</si>
  <si>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NINGBO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</si>
  <si>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</si>
  <si>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</si>
  <si>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</si>
  <si>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</si>
  <si>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</si>
  <si>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</si>
  <si>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</si>
  <si>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</si>
  <si>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</si>
  <si>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</si>
  <si>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</si>
  <si>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</si>
  <si>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</si>
  <si>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</si>
  <si>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</si>
  <si>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</si>
  <si>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</si>
  <si>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</si>
  <si>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</si>
  <si>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</si>
  <si>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</si>
  <si>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</si>
  <si>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</si>
  <si>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</si>
  <si>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</si>
  <si>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</si>
  <si>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</si>
  <si>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</si>
  <si>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</si>
  <si>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</si>
  <si>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</si>
  <si>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</si>
  <si>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</si>
  <si>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</si>
  <si>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</si>
  <si>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NAPLES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</si>
  <si>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</si>
  <si>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</si>
  <si>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</si>
  <si>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</si>
  <si>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</si>
  <si>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</si>
  <si>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</si>
  <si>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</si>
  <si>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</si>
  <si>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</si>
  <si>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</si>
  <si>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</si>
  <si>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</si>
  <si>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</si>
  <si>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</si>
  <si>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</si>
  <si>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</si>
  <si>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</si>
  <si>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</si>
  <si>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</si>
  <si>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</si>
  <si>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</si>
  <si>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</si>
  <si>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</si>
  <si>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</si>
  <si>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</si>
  <si>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</si>
  <si>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</si>
  <si>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</si>
  <si>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</si>
  <si>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</si>
  <si>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</si>
  <si>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</si>
  <si>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</si>
  <si>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</si>
  <si>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</si>
  <si>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</si>
  <si>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</si>
  <si>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</si>
  <si>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</si>
  <si>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</si>
  <si>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</si>
  <si>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</si>
  <si>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</si>
  <si>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</si>
  <si>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</si>
  <si>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</si>
  <si>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</si>
  <si>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</si>
  <si>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</si>
  <si>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</si>
  <si>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</si>
  <si>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</si>
  <si>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</si>
  <si>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</si>
  <si>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</si>
  <si>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</si>
  <si>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</si>
  <si>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</si>
  <si>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</si>
  <si>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</si>
  <si>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</si>
  <si>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</si>
  <si>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</si>
  <si>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</si>
  <si>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</si>
  <si>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</si>
  <si>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</si>
  <si>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</si>
  <si>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</si>
  <si>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</si>
  <si>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</si>
  <si>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</si>
  <si>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</si>
  <si>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</si>
  <si>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</si>
  <si>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</si>
  <si>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</si>
  <si>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</si>
  <si>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</si>
  <si>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</si>
  <si>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</si>
  <si>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</si>
  <si>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</si>
  <si>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</si>
  <si>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</si>
  <si>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</si>
  <si>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</si>
  <si>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</si>
  <si>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</si>
  <si>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</si>
  <si>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</si>
  <si>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</si>
  <si>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</si>
  <si>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</si>
  <si>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</si>
  <si>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</si>
  <si>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</si>
  <si>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</si>
  <si>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</si>
  <si>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</si>
  <si>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</si>
  <si>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</si>
  <si>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</si>
  <si>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</si>
  <si>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</si>
  <si>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</si>
  <si>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</si>
  <si>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</si>
  <si>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</si>
  <si>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</si>
  <si>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</si>
  <si>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</si>
  <si>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</si>
  <si>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</si>
  <si>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</si>
  <si>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</si>
  <si>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</si>
  <si>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</si>
  <si>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</si>
  <si>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</si>
  <si>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</si>
  <si>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</si>
  <si>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</si>
  <si>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</si>
  <si>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</si>
  <si>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</si>
  <si>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</si>
  <si>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</si>
  <si>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</si>
  <si>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</si>
  <si>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</si>
  <si>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</si>
  <si>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</si>
  <si>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</si>
  <si>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</si>
  <si>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</si>
  <si>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</si>
  <si>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</si>
  <si>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</si>
  <si>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</si>
  <si>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</si>
  <si>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</si>
  <si>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</si>
  <si>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</si>
  <si>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</si>
  <si>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</si>
  <si>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</si>
  <si>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</si>
  <si>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</si>
  <si>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</si>
  <si>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</si>
  <si>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</si>
  <si>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</si>
  <si>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</si>
  <si>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</si>
  <si>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</si>
  <si>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</si>
  <si>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</si>
  <si>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</si>
  <si>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</si>
  <si>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</si>
  <si>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</si>
  <si>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</si>
  <si>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</si>
  <si>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</si>
  <si>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</si>
  <si>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</si>
  <si>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</si>
  <si>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</si>
  <si>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</si>
  <si>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</si>
  <si>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</si>
  <si>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</si>
  <si>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</si>
  <si>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</si>
  <si>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</si>
  <si>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</si>
  <si>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</si>
  <si>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</si>
  <si>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</si>
  <si>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</si>
  <si>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</si>
  <si>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</si>
  <si>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</si>
  <si>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</si>
  <si>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</si>
  <si>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</si>
  <si>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</si>
  <si>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</si>
  <si>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</si>
  <si>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</si>
  <si>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</si>
  <si>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</si>
  <si>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</si>
  <si>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</si>
  <si>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</si>
  <si>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</si>
  <si>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</si>
  <si>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</si>
  <si>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</si>
  <si>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</si>
  <si>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</si>
  <si>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</si>
  <si>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</si>
  <si>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</si>
  <si>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</si>
  <si>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</si>
  <si>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</si>
  <si>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</si>
  <si>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</si>
  <si>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</si>
  <si>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</si>
  <si>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</si>
  <si>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</si>
  <si>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</si>
  <si>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</si>
  <si>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</si>
  <si>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</si>
  <si>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</si>
  <si>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</si>
  <si>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</si>
  <si>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</si>
  <si>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</si>
  <si>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</si>
  <si>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</si>
  <si>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</si>
  <si>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</si>
  <si>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</si>
  <si>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</si>
  <si>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</si>
  <si>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</si>
  <si>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</si>
  <si>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</si>
  <si>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</si>
  <si>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</si>
  <si>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</si>
  <si>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</si>
  <si>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</si>
  <si>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</si>
  <si>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</si>
  <si>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</si>
  <si>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</si>
  <si>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</si>
  <si>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</si>
  <si>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</si>
  <si>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</si>
  <si>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</si>
  <si>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</si>
  <si>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</si>
  <si>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</si>
  <si>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</si>
  <si>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</si>
  <si>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</si>
  <si>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</si>
  <si>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</si>
  <si>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</si>
  <si>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</si>
  <si>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</si>
  <si>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</si>
  <si>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</si>
  <si>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</si>
  <si>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</si>
  <si>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</si>
  <si>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</si>
  <si>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</si>
  <si>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</si>
  <si>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</si>
  <si>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</si>
  <si>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</si>
  <si>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</si>
  <si>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</si>
  <si>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</si>
  <si>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</si>
  <si>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</si>
  <si>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</si>
  <si>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</si>
  <si>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</si>
  <si>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</si>
  <si>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</si>
  <si>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</si>
  <si>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</si>
  <si>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</si>
  <si>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</si>
  <si>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</si>
  <si>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</si>
  <si>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</si>
  <si>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</si>
  <si>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</si>
  <si>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</si>
  <si>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</si>
  <si>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</si>
  <si>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</si>
  <si>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</si>
  <si>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</si>
  <si>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</si>
  <si>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</si>
  <si>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</si>
  <si>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</si>
  <si>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</si>
  <si>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</si>
  <si>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</si>
  <si>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</si>
  <si>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</si>
  <si>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</si>
  <si>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</si>
  <si>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</si>
  <si>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</si>
  <si>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</si>
  <si>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</si>
  <si>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</si>
  <si>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</si>
  <si>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</si>
  <si>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</si>
  <si>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</si>
  <si>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</si>
  <si>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</si>
  <si>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</si>
  <si>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</si>
  <si>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</si>
  <si>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</si>
  <si>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</si>
  <si>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</si>
  <si>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</si>
  <si>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</si>
  <si>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</si>
  <si>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</si>
  <si>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</si>
  <si>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</si>
  <si>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</si>
  <si>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</si>
  <si>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</si>
  <si>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</si>
  <si>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</si>
  <si>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</si>
  <si>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</si>
  <si>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</si>
  <si>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</si>
  <si>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</si>
  <si>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</si>
  <si>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</si>
  <si>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</si>
  <si>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</si>
  <si>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</si>
  <si>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</si>
  <si>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</si>
  <si>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</si>
  <si>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</si>
  <si>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</si>
  <si>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</si>
  <si>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</si>
  <si>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</si>
  <si>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</si>
  <si>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</si>
  <si>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</si>
  <si>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</si>
  <si>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</si>
  <si>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</si>
  <si>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</si>
  <si>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</si>
  <si>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</si>
  <si>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</si>
  <si>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</si>
  <si>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</si>
  <si>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</si>
  <si>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</si>
  <si>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</si>
  <si>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</si>
  <si>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</si>
  <si>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</si>
  <si>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</si>
  <si>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</si>
  <si>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</si>
  <si>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</si>
  <si>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</si>
  <si>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</si>
  <si>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</si>
  <si>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</si>
  <si>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</si>
  <si>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</si>
  <si>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</si>
  <si>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</si>
  <si>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</si>
  <si>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</si>
  <si>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</si>
  <si>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</si>
  <si>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</si>
  <si>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</si>
  <si>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</si>
  <si>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</si>
  <si>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</si>
  <si>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</si>
  <si>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</si>
  <si>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</si>
  <si>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</si>
  <si>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</si>
  <si>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</si>
  <si>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</si>
  <si>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</si>
  <si>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</si>
  <si>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</si>
  <si>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</si>
  <si>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</si>
  <si>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</si>
  <si>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</si>
  <si>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</si>
  <si>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</si>
  <si>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</si>
  <si>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</si>
  <si>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</si>
  <si>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</si>
  <si>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</si>
  <si>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</si>
  <si>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</si>
  <si>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</si>
  <si>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</si>
  <si>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</si>
  <si>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</si>
  <si>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</si>
  <si>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</si>
  <si>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</si>
  <si>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</si>
  <si>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</si>
  <si>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</si>
  <si>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</si>
  <si>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</si>
  <si>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</si>
  <si>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</si>
  <si>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</si>
  <si>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</si>
  <si>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</si>
  <si>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</si>
  <si>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</si>
  <si>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</si>
  <si>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</si>
  <si>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</si>
  <si>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</si>
  <si>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</si>
  <si>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</si>
  <si>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</si>
  <si>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</si>
  <si>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</si>
  <si>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</si>
  <si>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</si>
  <si>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</si>
  <si>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</si>
  <si>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</si>
  <si>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</si>
  <si>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</si>
  <si>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</si>
  <si>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</si>
  <si>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</si>
  <si>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</si>
  <si>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</si>
  <si>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</si>
  <si>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</si>
  <si>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</si>
  <si>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</si>
  <si>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</si>
  <si>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</si>
  <si>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</si>
  <si>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</si>
  <si>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</si>
  <si>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</si>
  <si>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</si>
  <si>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</si>
  <si>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</si>
  <si>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</si>
  <si>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</si>
  <si>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</si>
  <si>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</si>
  <si>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</si>
  <si>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</si>
  <si>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</si>
  <si>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</si>
  <si>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</si>
  <si>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</si>
  <si>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</si>
  <si>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</si>
  <si>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</si>
  <si>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</si>
  <si>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</si>
  <si>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</si>
  <si>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</si>
  <si>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</si>
  <si>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</si>
  <si>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</si>
  <si>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</si>
  <si>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</si>
  <si>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</si>
  <si>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</si>
  <si>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</si>
  <si>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</si>
  <si>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</si>
  <si>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</si>
  <si>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</si>
  <si>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</si>
  <si>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</si>
  <si>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</si>
  <si>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</si>
  <si>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</si>
  <si>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</si>
  <si>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</si>
  <si>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</si>
  <si>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</si>
  <si>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</si>
  <si>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</si>
  <si>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</si>
  <si>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</si>
  <si>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</si>
  <si>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</si>
  <si>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</si>
  <si>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</si>
  <si>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</si>
  <si>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</si>
  <si>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</si>
  <si>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</si>
  <si>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</si>
  <si>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</si>
  <si>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</si>
  <si>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</si>
  <si>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</si>
  <si>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</si>
  <si>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</si>
  <si>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</si>
  <si>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</si>
  <si>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</si>
  <si>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</si>
  <si>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</si>
  <si>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</si>
  <si>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</si>
  <si>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</si>
  <si>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</si>
  <si>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</si>
  <si>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</si>
  <si>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</si>
  <si>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</si>
  <si>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</si>
  <si>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</si>
  <si>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</si>
  <si>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</si>
  <si>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</si>
  <si>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</si>
  <si>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</si>
  <si>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</si>
  <si>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</si>
  <si>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</si>
  <si>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</si>
  <si>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</si>
  <si>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</si>
  <si>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</si>
  <si>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</si>
  <si>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</si>
  <si>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</si>
  <si>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</si>
  <si>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</si>
  <si>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</si>
  <si>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</si>
  <si>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</si>
  <si>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</si>
  <si>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</si>
  <si>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</si>
  <si>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</si>
  <si>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</si>
  <si>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</si>
  <si>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</si>
  <si>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</si>
  <si>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</si>
  <si>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</si>
  <si>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</si>
  <si>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</si>
  <si>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</si>
  <si>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</si>
  <si>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</si>
  <si>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</si>
  <si>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</si>
  <si>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</si>
  <si>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</si>
  <si>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</si>
  <si>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</si>
  <si>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</si>
  <si>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</si>
  <si>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</si>
  <si>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</si>
  <si>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</si>
  <si>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</si>
  <si>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</si>
  <si>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</si>
  <si>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</si>
  <si>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</si>
  <si>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</si>
  <si>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</si>
  <si>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</si>
  <si>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</si>
  <si>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</si>
  <si>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</si>
  <si>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</si>
  <si>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</si>
  <si>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</si>
  <si>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</si>
  <si>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</si>
  <si>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</si>
  <si>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</si>
  <si>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</si>
  <si>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</si>
  <si>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</si>
  <si>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</si>
  <si>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</si>
  <si>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</si>
  <si>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</si>
  <si>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</si>
  <si>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</si>
  <si>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</si>
  <si>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</si>
  <si>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</si>
  <si>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</si>
  <si>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</si>
  <si>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</si>
  <si>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</si>
  <si>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</si>
  <si>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</si>
  <si>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</si>
  <si>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</si>
  <si>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</si>
  <si>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</si>
  <si>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</si>
  <si>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</si>
  <si>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</si>
  <si>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</si>
  <si>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</si>
  <si>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</si>
  <si>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</si>
  <si>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</si>
  <si>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</si>
  <si>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</si>
  <si>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</si>
  <si>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</si>
  <si>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</si>
  <si>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</si>
  <si>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</si>
  <si>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</si>
  <si>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</si>
  <si>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</si>
  <si>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</si>
  <si>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</si>
  <si>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</si>
  <si>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</si>
  <si>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</si>
  <si>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</si>
  <si>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</si>
  <si>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</si>
  <si>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</si>
  <si>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</si>
  <si>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</si>
  <si>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</si>
  <si>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</si>
  <si>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</si>
  <si>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</si>
  <si>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</si>
  <si>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</si>
  <si>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</si>
  <si>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</si>
  <si>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</si>
  <si>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</si>
  <si>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</si>
  <si>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</si>
  <si>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</si>
  <si>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</si>
  <si>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</si>
  <si>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</si>
  <si>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</si>
  <si>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</si>
  <si>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</si>
  <si>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</si>
  <si>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</si>
  <si>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</si>
  <si>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</si>
  <si>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</si>
  <si>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</si>
  <si>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</si>
  <si>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</si>
  <si>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</si>
  <si>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</si>
  <si>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</si>
  <si>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</si>
  <si>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</si>
  <si>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</si>
  <si>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</si>
  <si>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</si>
  <si>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</si>
  <si>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</si>
  <si>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</si>
  <si>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</si>
  <si>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</si>
  <si>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</si>
  <si>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</si>
  <si>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</si>
  <si>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</si>
  <si>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</si>
  <si>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</si>
  <si>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</si>
  <si>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</si>
  <si>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</si>
  <si>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</si>
  <si>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</si>
  <si>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</si>
  <si>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</si>
  <si>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</si>
  <si>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</si>
  <si>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</si>
  <si>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</si>
  <si>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</si>
  <si>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</si>
  <si>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</si>
  <si>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</si>
  <si>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</si>
  <si>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</si>
  <si>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</si>
  <si>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</si>
  <si>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</si>
  <si>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</si>
  <si>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</si>
  <si>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</si>
  <si>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</si>
  <si>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</si>
  <si>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</si>
  <si>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</si>
  <si>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</si>
  <si>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</si>
  <si>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</si>
  <si>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</si>
  <si>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</si>
  <si>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</si>
  <si>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</si>
  <si>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</si>
  <si>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</si>
  <si>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</si>
  <si>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</si>
  <si>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</si>
  <si>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</si>
  <si>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</si>
  <si>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</si>
  <si>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</si>
  <si>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</si>
  <si>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</si>
  <si>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</si>
  <si>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</si>
  <si>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</si>
  <si>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</si>
  <si>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</si>
  <si>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</si>
  <si>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</si>
  <si>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</si>
  <si>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</si>
  <si>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</si>
  <si>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</si>
  <si>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</si>
  <si>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</si>
  <si>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</si>
  <si>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</si>
  <si>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</si>
  <si>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</si>
  <si>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</si>
  <si>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</si>
  <si>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</si>
  <si>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</si>
  <si>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</si>
  <si>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</si>
  <si>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</si>
  <si>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</si>
  <si>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</si>
  <si>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</si>
  <si>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</si>
  <si>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</si>
  <si>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</si>
  <si>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</si>
  <si>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</si>
  <si>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</si>
  <si>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</si>
  <si>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</si>
  <si>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</si>
  <si>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</si>
  <si>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</si>
  <si>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</si>
  <si>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</si>
  <si>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</si>
  <si>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</si>
  <si>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</si>
  <si>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</si>
  <si>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</si>
  <si>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</si>
  <si>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</si>
  <si>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</si>
  <si>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</si>
  <si>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</si>
  <si>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</si>
  <si>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</si>
  <si>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</si>
  <si>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</si>
  <si>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</si>
  <si>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</si>
  <si>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</si>
  <si>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</si>
  <si>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</si>
  <si>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</si>
  <si>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</si>
  <si>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</si>
  <si>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</si>
  <si>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</si>
  <si>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</si>
  <si>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</si>
  <si>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</si>
  <si>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</si>
  <si>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</si>
  <si>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</si>
  <si>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</si>
  <si>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</si>
  <si>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</si>
  <si>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</si>
  <si>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</si>
  <si>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</si>
  <si>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</si>
  <si>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</si>
  <si>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</si>
  <si>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</si>
  <si>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</si>
  <si>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</si>
  <si>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</si>
  <si>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</si>
  <si>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</si>
  <si>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</si>
  <si>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</si>
  <si>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</si>
  <si>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</si>
  <si>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</si>
  <si>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</si>
  <si>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</si>
  <si>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</si>
  <si>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</si>
  <si>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</si>
  <si>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</si>
  <si>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</si>
  <si>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</si>
  <si>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</si>
  <si>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</si>
  <si>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</si>
  <si>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</si>
  <si>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</si>
  <si>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</si>
  <si>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</si>
  <si>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</si>
  <si>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</si>
  <si>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</si>
  <si>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</si>
  <si>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</si>
  <si>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</si>
  <si>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</si>
  <si>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</si>
  <si>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</si>
  <si>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</si>
  <si>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</si>
  <si>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</si>
  <si>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</si>
  <si>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</si>
  <si>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</si>
  <si>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</si>
  <si>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</si>
  <si>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</si>
  <si>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</si>
  <si>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</si>
  <si>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</si>
  <si>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</si>
  <si>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</si>
  <si>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</si>
  <si>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</si>
  <si>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</si>
  <si>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</si>
  <si>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</si>
  <si>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</si>
  <si>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</si>
  <si>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</si>
  <si>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</si>
  <si>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</si>
  <si>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</si>
  <si>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</si>
  <si>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</si>
  <si>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</si>
  <si>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</si>
  <si>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</si>
  <si>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</si>
  <si>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</si>
  <si>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</si>
  <si>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</si>
  <si>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</si>
  <si>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</si>
  <si>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</si>
  <si>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</si>
  <si>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</si>
  <si>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</si>
  <si>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</si>
  <si>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</si>
  <si>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</si>
  <si>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</si>
  <si>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</si>
  <si>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</si>
  <si>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</si>
  <si>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</si>
  <si>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</si>
  <si>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</si>
  <si>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</si>
  <si>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w41 PICK-UP</t>
  </si>
  <si>
    <t>w42 PICK-UP</t>
  </si>
  <si>
    <t>w43 PICK-UP</t>
  </si>
  <si>
    <t>w44 PICK-UP</t>
  </si>
  <si>
    <t>缺货（no cargo）</t>
  </si>
  <si>
    <t>缺柜(no CTs)</t>
  </si>
  <si>
    <t>PLAN SUM VS ACTUAL SUM</t>
  </si>
  <si>
    <t>NOTE</t>
  </si>
  <si>
    <t>end wk 26</t>
  </si>
  <si>
    <t>plans in ODP</t>
  </si>
  <si>
    <t>available slots</t>
  </si>
  <si>
    <t>GAP</t>
  </si>
  <si>
    <t>Actual Shipment</t>
  </si>
  <si>
    <t>SH AEU SUM</t>
  </si>
  <si>
    <t>THESSALONIKI</t>
  </si>
  <si>
    <t>SH AEM SUM</t>
  </si>
  <si>
    <t>TJ AEU SUM</t>
  </si>
  <si>
    <t>TJ AEM SUM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</si>
  <si>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</si>
  <si>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</si>
  <si>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</si>
  <si>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</si>
  <si>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</si>
  <si>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</si>
  <si>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</si>
  <si>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</si>
  <si>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</si>
  <si>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</si>
  <si>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</si>
  <si>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</si>
  <si>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</si>
  <si>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</si>
  <si>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</si>
  <si>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</si>
  <si>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</si>
  <si>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</si>
  <si>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</si>
  <si>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</si>
  <si>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</si>
  <si>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</si>
  <si>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</si>
  <si>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</si>
  <si>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</si>
  <si>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</si>
  <si>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</si>
  <si>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</si>
  <si>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</si>
  <si>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</si>
  <si>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</si>
  <si>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</si>
  <si>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</si>
  <si>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</si>
  <si>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</si>
  <si>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</si>
  <si>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</si>
  <si>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</si>
  <si>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</si>
  <si>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</si>
  <si>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</si>
  <si>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</si>
  <si>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</si>
  <si>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</si>
  <si>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</si>
  <si>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</si>
  <si>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</si>
  <si>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</si>
  <si>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</si>
  <si>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</si>
  <si>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</si>
  <si>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</si>
  <si>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</si>
  <si>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</si>
  <si>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</si>
  <si>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</si>
  <si>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</si>
  <si>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</si>
  <si>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</si>
  <si>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</si>
  <si>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</si>
  <si>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</si>
  <si>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</si>
  <si>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</si>
  <si>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</si>
  <si>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</si>
  <si>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</si>
  <si>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</si>
  <si>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</si>
  <si>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</si>
  <si>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</si>
  <si>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</si>
  <si>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</si>
  <si>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</si>
  <si>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</si>
  <si>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</si>
  <si>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</si>
  <si>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</si>
  <si>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</si>
  <si>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</si>
  <si>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</si>
  <si>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</si>
  <si>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</si>
  <si>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</si>
  <si>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</si>
  <si>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</si>
  <si>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</si>
  <si>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</si>
  <si>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</si>
  <si>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</si>
  <si>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</si>
  <si>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</si>
  <si>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</si>
  <si>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</si>
  <si>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</si>
  <si>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</si>
  <si>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</si>
  <si>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</si>
  <si>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</si>
  <si>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</si>
  <si>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</si>
  <si>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</si>
  <si>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</si>
  <si>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</si>
  <si>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</si>
  <si>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</si>
  <si>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</si>
  <si>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</si>
  <si>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</si>
  <si>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</si>
  <si>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</si>
  <si>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</si>
  <si>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</si>
  <si>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</si>
  <si>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</si>
  <si>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</si>
  <si>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</si>
  <si>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</si>
  <si>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</si>
  <si>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</si>
  <si>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</si>
  <si>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</si>
  <si>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</si>
  <si>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</si>
  <si>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</si>
  <si>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</si>
  <si>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</si>
  <si>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</si>
  <si>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</si>
  <si>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</si>
  <si>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</si>
  <si>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</si>
  <si>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</si>
  <si>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</si>
  <si>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</si>
  <si>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</si>
  <si>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</si>
  <si>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</si>
  <si>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</si>
  <si>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</si>
  <si>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</si>
  <si>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</si>
  <si>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</si>
  <si>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</si>
  <si>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</si>
  <si>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</si>
  <si>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</si>
  <si>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</si>
  <si>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</si>
  <si>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</si>
  <si>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</si>
  <si>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</si>
  <si>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</si>
  <si>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</si>
  <si>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</si>
  <si>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</si>
  <si>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</si>
  <si>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</si>
  <si>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</si>
  <si>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</si>
  <si>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</si>
  <si>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</si>
  <si>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</si>
  <si>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</si>
  <si>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</si>
  <si>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</si>
  <si>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</si>
  <si>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</si>
  <si>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</si>
  <si>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</si>
  <si>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</si>
  <si>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</si>
  <si>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</si>
  <si>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</si>
  <si>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</si>
  <si>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</si>
  <si>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</si>
  <si>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</si>
  <si>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</si>
  <si>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</si>
  <si>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</si>
  <si>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</si>
  <si>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</si>
  <si>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</si>
  <si>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</si>
  <si>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</si>
  <si>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</si>
  <si>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</si>
  <si>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</si>
  <si>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</si>
  <si>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</si>
  <si>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</si>
  <si>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</si>
  <si>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</si>
  <si>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</si>
  <si>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</si>
  <si>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</si>
  <si>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</si>
  <si>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</si>
  <si>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</si>
  <si>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</si>
  <si>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</si>
  <si>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</si>
  <si>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</si>
  <si>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</si>
  <si>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</si>
  <si>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</si>
  <si>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</si>
  <si>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</si>
  <si>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</si>
  <si>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</si>
  <si>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</si>
  <si>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</si>
  <si>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</si>
  <si>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</si>
  <si>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</si>
  <si>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</si>
  <si>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</si>
  <si>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</si>
  <si>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</si>
  <si>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Voltaneo</t>
  </si>
  <si>
    <t>France and Switzerland Region</t>
  </si>
  <si>
    <t>POPV251231175</t>
  </si>
  <si>
    <t>CMA CGM JULES VERNE 0MELDW1MA</t>
  </si>
  <si>
    <t>COSU6423991700</t>
  </si>
  <si>
    <t>MAY019.02</t>
  </si>
  <si>
    <t>APPROSUD ENVIRONNEMENT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</si>
  <si>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</si>
  <si>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</si>
  <si>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</si>
  <si>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</si>
  <si>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</si>
  <si>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</si>
  <si>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</si>
  <si>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</si>
  <si>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</si>
  <si>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</si>
  <si>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</si>
  <si>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</si>
  <si>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</si>
  <si>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</si>
  <si>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</si>
  <si>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</si>
  <si>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</si>
  <si>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</si>
  <si>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</si>
  <si>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</si>
  <si>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</si>
  <si>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</si>
  <si>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</si>
  <si>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</si>
  <si>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</si>
  <si>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</si>
  <si>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</si>
  <si>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</si>
  <si>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</si>
  <si>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</si>
  <si>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</si>
  <si>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</si>
  <si>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</si>
  <si>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</si>
  <si>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</si>
  <si>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</si>
  <si>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</si>
  <si>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</si>
  <si>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</si>
  <si>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</si>
  <si>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</si>
  <si>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</si>
  <si>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</si>
  <si>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</si>
  <si>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</si>
  <si>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</si>
  <si>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</si>
  <si>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</si>
  <si>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</si>
  <si>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</si>
  <si>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</si>
  <si>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</si>
  <si>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</si>
  <si>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</si>
  <si>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</si>
  <si>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</si>
  <si>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</si>
  <si>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</si>
  <si>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</si>
  <si>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</si>
  <si>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</si>
  <si>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</si>
  <si>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</si>
  <si>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</si>
  <si>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</si>
  <si>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</si>
  <si>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</si>
  <si>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</si>
  <si>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</si>
  <si>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</si>
  <si>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</si>
  <si>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</si>
  <si>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</si>
  <si>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</si>
  <si>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</si>
  <si>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</si>
  <si>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</si>
  <si>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</si>
  <si>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</si>
  <si>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</si>
  <si>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</si>
  <si>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</si>
  <si>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</si>
  <si>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</si>
  <si>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</si>
  <si>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</si>
  <si>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</si>
  <si>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</si>
  <si>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</si>
  <si>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</si>
  <si>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</si>
  <si>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</si>
  <si>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</si>
  <si>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</si>
  <si>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</si>
  <si>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</si>
  <si>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</si>
  <si>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</si>
  <si>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</si>
  <si>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</si>
  <si>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</si>
  <si>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</si>
  <si>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</si>
  <si>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</si>
  <si>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</si>
  <si>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</si>
  <si>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</si>
  <si>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</si>
  <si>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</si>
  <si>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</si>
  <si>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</si>
  <si>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</si>
  <si>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</si>
  <si>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</si>
  <si>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</si>
  <si>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</si>
  <si>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</si>
  <si>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</si>
  <si>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</si>
  <si>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</si>
  <si>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</si>
  <si>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</si>
  <si>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</si>
  <si>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</si>
  <si>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</si>
  <si>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</si>
  <si>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</si>
  <si>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</si>
  <si>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</si>
  <si>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</si>
  <si>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</si>
  <si>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</si>
  <si>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</si>
  <si>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</si>
  <si>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</si>
  <si>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</si>
  <si>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</si>
  <si>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</si>
  <si>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</si>
  <si>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</si>
  <si>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</si>
  <si>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</si>
  <si>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</si>
  <si>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</si>
  <si>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</si>
  <si>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</si>
  <si>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</si>
  <si>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</si>
  <si>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</si>
  <si>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</si>
  <si>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</si>
  <si>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</si>
  <si>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</si>
  <si>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</si>
  <si>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</si>
  <si>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</si>
  <si>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</si>
  <si>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</si>
  <si>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</si>
  <si>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</si>
  <si>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</si>
  <si>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</si>
  <si>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</si>
  <si>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</si>
  <si>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</si>
  <si>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</si>
  <si>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</si>
  <si>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</si>
  <si>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</si>
  <si>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</si>
  <si>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</si>
  <si>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</si>
  <si>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</si>
  <si>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</si>
  <si>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</si>
  <si>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</si>
  <si>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</si>
  <si>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</si>
  <si>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</si>
  <si>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</si>
  <si>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</si>
  <si>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</si>
  <si>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</si>
  <si>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</si>
  <si>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</si>
  <si>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</si>
  <si>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</si>
  <si>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</si>
  <si>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</si>
  <si>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</si>
  <si>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</si>
  <si>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</si>
  <si>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</si>
  <si>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</si>
  <si>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</si>
  <si>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</si>
  <si>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</si>
  <si>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</si>
  <si>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</si>
  <si>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</si>
  <si>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</si>
  <si>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</si>
  <si>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</si>
  <si>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</si>
  <si>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</si>
  <si>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</si>
  <si>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</si>
  <si>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</si>
  <si>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</si>
  <si>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</si>
  <si>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</si>
  <si>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</si>
  <si>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</si>
  <si>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</si>
  <si>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</si>
  <si>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</si>
  <si>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</si>
  <si>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</si>
  <si>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</si>
  <si>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</si>
  <si>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</si>
  <si>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</si>
  <si>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</si>
  <si>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</si>
  <si>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</si>
  <si>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</si>
  <si>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</si>
  <si>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</si>
  <si>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</si>
  <si>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</si>
  <si>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</si>
  <si>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</si>
  <si>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</si>
  <si>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</si>
  <si>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</si>
  <si>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</si>
  <si>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</si>
  <si>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</si>
  <si>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</si>
  <si>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</si>
  <si>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</si>
  <si>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</si>
  <si>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</si>
  <si>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</si>
  <si>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</si>
  <si>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</si>
  <si>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</si>
  <si>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</si>
  <si>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</si>
  <si>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</si>
  <si>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</si>
  <si>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</si>
  <si>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</si>
  <si>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</si>
  <si>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</si>
  <si>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</si>
  <si>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</si>
  <si>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</si>
  <si>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</si>
  <si>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</si>
  <si>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</si>
  <si>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</si>
  <si>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</si>
  <si>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</si>
  <si>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</si>
  <si>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</si>
  <si>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</si>
  <si>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</si>
  <si>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</si>
  <si>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</si>
  <si>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</si>
  <si>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</si>
  <si>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</si>
  <si>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</si>
  <si>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</si>
  <si>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</si>
  <si>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</si>
  <si>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</si>
  <si>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</si>
  <si>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</si>
  <si>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</si>
  <si>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</si>
  <si>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</si>
  <si>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</si>
  <si>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</si>
  <si>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</si>
  <si>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</si>
  <si>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</si>
  <si>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</si>
  <si>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</si>
  <si>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</si>
  <si>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</si>
  <si>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</si>
  <si>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</si>
  <si>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</si>
  <si>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</si>
  <si>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</si>
  <si>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</si>
  <si>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</si>
  <si>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</si>
  <si>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</si>
  <si>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</si>
  <si>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</si>
  <si>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</si>
  <si>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</si>
  <si>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</si>
  <si>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</si>
  <si>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</si>
  <si>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</si>
  <si>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</si>
  <si>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</si>
  <si>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</si>
  <si>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</si>
  <si>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</si>
  <si>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</si>
  <si>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</si>
  <si>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</si>
  <si>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</si>
  <si>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</si>
  <si>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</si>
  <si>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</si>
  <si>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</si>
  <si>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</si>
  <si>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</si>
  <si>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</si>
  <si>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</si>
  <si>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</si>
  <si>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</si>
  <si>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</si>
  <si>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</si>
  <si>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</si>
  <si>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</si>
  <si>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</si>
  <si>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</si>
  <si>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</si>
  <si>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</si>
  <si>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</si>
  <si>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</si>
  <si>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</si>
  <si>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</si>
  <si>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</si>
  <si>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</si>
  <si>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</si>
  <si>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</si>
  <si>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</si>
  <si>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</si>
  <si>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</si>
  <si>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</si>
  <si>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</si>
  <si>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</si>
  <si>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</si>
  <si>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</si>
  <si>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</si>
  <si>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</si>
  <si>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</si>
  <si>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</si>
  <si>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</si>
  <si>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</si>
  <si>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</si>
  <si>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</si>
  <si>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</si>
  <si>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</si>
  <si>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</si>
  <si>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</si>
  <si>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</si>
  <si>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</si>
  <si>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</si>
  <si>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</si>
  <si>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</si>
  <si>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</si>
  <si>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</si>
  <si>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</si>
  <si>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</si>
  <si>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</si>
  <si>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</si>
  <si>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</si>
  <si>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</si>
  <si>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</si>
  <si>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</si>
  <si>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</si>
  <si>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</si>
  <si>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</si>
  <si>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</si>
  <si>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</si>
  <si>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</si>
  <si>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</si>
  <si>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</si>
  <si>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</si>
  <si>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</si>
  <si>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</si>
  <si>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</si>
  <si>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</si>
  <si>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</si>
  <si>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</si>
  <si>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</si>
  <si>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</si>
  <si>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</si>
  <si>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</si>
  <si>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</si>
  <si>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</si>
  <si>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</si>
  <si>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</si>
  <si>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</si>
  <si>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</si>
  <si>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</si>
  <si>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</si>
  <si>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</si>
  <si>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</si>
  <si>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</si>
  <si>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</si>
  <si>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</si>
  <si>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</si>
  <si>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</si>
  <si>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</si>
  <si>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</si>
  <si>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</si>
  <si>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</si>
  <si>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</si>
  <si>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</si>
  <si>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</si>
  <si>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</si>
  <si>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</si>
  <si>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</si>
  <si>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</si>
  <si>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</si>
  <si>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</si>
  <si>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</si>
  <si>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</si>
  <si>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</si>
  <si>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</si>
  <si>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</si>
  <si>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</si>
  <si>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</si>
  <si>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</si>
  <si>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</si>
  <si>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</si>
  <si>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</si>
  <si>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</si>
  <si>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</si>
  <si>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</si>
  <si>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</si>
  <si>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</si>
  <si>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</si>
  <si>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</si>
  <si>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</si>
  <si>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</si>
  <si>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</si>
  <si>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</si>
  <si>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</si>
  <si>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</si>
  <si>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</si>
  <si>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</si>
  <si>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</si>
  <si>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</si>
  <si>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</si>
  <si>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</si>
  <si>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</si>
  <si>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</si>
  <si>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</si>
  <si>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</si>
  <si>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</si>
  <si>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</si>
  <si>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</si>
  <si>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</si>
  <si>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</si>
  <si>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</si>
  <si>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</si>
  <si>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</si>
  <si>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</si>
  <si>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</si>
  <si>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</si>
  <si>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</si>
  <si>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</si>
  <si>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</si>
  <si>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</si>
  <si>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</si>
  <si>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</si>
  <si>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</si>
  <si>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</si>
  <si>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</si>
  <si>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</si>
  <si>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</si>
  <si>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</si>
  <si>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</si>
  <si>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</si>
  <si>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</si>
  <si>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</si>
  <si>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</si>
  <si>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</si>
  <si>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</si>
  <si>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</si>
  <si>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</si>
  <si>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</si>
  <si>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</si>
  <si>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</si>
  <si>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</si>
  <si>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</si>
  <si>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</si>
  <si>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</si>
  <si>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</si>
  <si>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</si>
  <si>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</si>
  <si>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</si>
  <si>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</si>
  <si>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</si>
  <si>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</si>
  <si>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</si>
  <si>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</si>
  <si>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</si>
  <si>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</si>
  <si>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</si>
  <si>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</si>
  <si>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</si>
  <si>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</si>
  <si>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</si>
  <si>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</si>
  <si>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</si>
  <si>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</si>
  <si>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</si>
  <si>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</si>
  <si>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</si>
  <si>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</si>
  <si>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</si>
  <si>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</si>
  <si>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</si>
  <si>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</si>
  <si>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</si>
  <si>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</si>
  <si>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</si>
  <si>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</si>
  <si>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</si>
  <si>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</si>
  <si>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</si>
  <si>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</si>
  <si>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</si>
  <si>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</si>
  <si>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</si>
  <si>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</si>
  <si>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</si>
  <si>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</si>
  <si>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</si>
  <si>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</si>
  <si>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</si>
  <si>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</si>
  <si>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</si>
  <si>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</si>
  <si>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</si>
  <si>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</si>
  <si>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</si>
  <si>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</si>
  <si>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</si>
  <si>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</si>
  <si>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</si>
  <si>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</si>
  <si>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</si>
  <si>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</si>
  <si>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</si>
  <si>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</si>
  <si>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</si>
  <si>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</si>
  <si>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</si>
  <si>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</si>
  <si>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</si>
  <si>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</si>
  <si>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</si>
  <si>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</si>
  <si>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</si>
  <si>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</si>
  <si>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</si>
  <si>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</si>
  <si>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</si>
  <si>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</si>
  <si>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</si>
  <si>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</si>
  <si>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</si>
  <si>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</si>
  <si>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</si>
  <si>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</si>
  <si>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</si>
  <si>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</si>
  <si>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</si>
  <si>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</si>
  <si>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</si>
  <si>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</si>
  <si>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</si>
  <si>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</si>
  <si>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</si>
  <si>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</si>
  <si>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</si>
  <si>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</si>
  <si>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</si>
  <si>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</si>
  <si>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</si>
  <si>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</si>
  <si>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</si>
  <si>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</si>
  <si>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</si>
  <si>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</si>
  <si>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</si>
  <si>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</si>
  <si>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</si>
  <si>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</si>
  <si>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</si>
  <si>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</si>
  <si>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</si>
  <si>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</si>
  <si>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</si>
  <si>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</si>
  <si>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</si>
  <si>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</si>
  <si>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</si>
  <si>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</si>
  <si>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</si>
  <si>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</si>
  <si>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</si>
  <si>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</si>
  <si>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</si>
  <si>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</si>
  <si>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</si>
  <si>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</si>
  <si>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</si>
  <si>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</si>
  <si>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</si>
  <si>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</si>
  <si>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</si>
  <si>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</si>
  <si>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</si>
  <si>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</si>
  <si>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</si>
  <si>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</si>
  <si>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</si>
  <si>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</si>
  <si>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</si>
  <si>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</si>
  <si>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</si>
  <si>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</si>
  <si>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</si>
  <si>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</si>
  <si>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</si>
  <si>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</si>
  <si>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</si>
  <si>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</si>
  <si>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</si>
  <si>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</si>
  <si>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</si>
  <si>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</si>
  <si>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</si>
  <si>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</si>
  <si>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</si>
  <si>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</si>
  <si>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</si>
  <si>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</si>
  <si>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</si>
  <si>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</si>
  <si>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</si>
  <si>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</si>
  <si>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</si>
  <si>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</si>
  <si>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</si>
  <si>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</si>
  <si>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</si>
  <si>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</si>
  <si>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</si>
  <si>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</si>
  <si>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</si>
  <si>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</si>
  <si>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</si>
  <si>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</si>
  <si>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</si>
  <si>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</si>
  <si>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</si>
  <si>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</si>
  <si>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</si>
  <si>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</si>
  <si>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</si>
  <si>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</si>
  <si>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</si>
  <si>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</si>
  <si>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</si>
  <si>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</si>
  <si>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</si>
  <si>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</si>
  <si>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</si>
  <si>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</si>
  <si>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</si>
  <si>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</si>
  <si>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</si>
  <si>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</si>
  <si>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</si>
  <si>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</si>
  <si>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</si>
  <si>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</si>
  <si>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</si>
  <si>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</si>
  <si>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</si>
  <si>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</si>
  <si>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</si>
  <si>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</si>
  <si>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</si>
  <si>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</si>
  <si>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</si>
  <si>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</si>
  <si>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</si>
  <si>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</si>
  <si>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</si>
  <si>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</si>
  <si>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</si>
  <si>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</si>
  <si>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</si>
  <si>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</si>
  <si>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</si>
  <si>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</si>
  <si>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</si>
  <si>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</si>
  <si>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</si>
  <si>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</si>
  <si>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</si>
  <si>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</si>
  <si>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</si>
  <si>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</si>
  <si>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</si>
  <si>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</si>
  <si>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</si>
  <si>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</si>
  <si>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</si>
  <si>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</si>
  <si>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</si>
  <si>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</si>
  <si>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</si>
  <si>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</si>
  <si>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</si>
  <si>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</si>
  <si>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</si>
  <si>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</si>
  <si>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</si>
  <si>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</si>
  <si>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</si>
  <si>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</si>
  <si>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</si>
  <si>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</si>
  <si>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</si>
  <si>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</si>
  <si>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</si>
  <si>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</si>
  <si>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</si>
  <si>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</si>
  <si>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</si>
  <si>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</si>
  <si>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</si>
  <si>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</si>
  <si>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</si>
  <si>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</si>
  <si>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</si>
  <si>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</si>
  <si>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</si>
  <si>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</si>
  <si>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</si>
  <si>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</si>
  <si>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</si>
  <si>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</si>
  <si>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</si>
  <si>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</si>
  <si>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</si>
  <si>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</si>
  <si>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</si>
  <si>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</si>
  <si>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</si>
  <si>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</si>
  <si>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</si>
  <si>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</si>
  <si>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</si>
  <si>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</si>
  <si>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</si>
  <si>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</si>
  <si>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</si>
  <si>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</si>
  <si>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</si>
  <si>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</si>
  <si>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</si>
  <si>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</si>
  <si>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</si>
  <si>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</si>
  <si>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</si>
  <si>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</si>
  <si>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</si>
  <si>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</si>
  <si>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</si>
  <si>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</si>
  <si>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</si>
  <si>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</si>
  <si>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</si>
  <si>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</si>
  <si>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</si>
  <si>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</si>
  <si>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</si>
  <si>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</si>
  <si>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</si>
  <si>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</si>
  <si>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</si>
  <si>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</si>
  <si>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</si>
  <si>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</si>
  <si>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</si>
  <si>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</si>
  <si>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</si>
  <si>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</si>
  <si>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</si>
  <si>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</si>
  <si>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</si>
  <si>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</si>
  <si>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</si>
  <si>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</si>
  <si>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</si>
  <si>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</si>
  <si>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</si>
  <si>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</si>
  <si>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</si>
  <si>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</si>
  <si>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</si>
  <si>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</si>
  <si>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</si>
  <si>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</si>
  <si>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</si>
  <si>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</si>
  <si>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</si>
  <si>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</si>
  <si>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</si>
  <si>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</si>
  <si>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</si>
  <si>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</si>
  <si>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</si>
  <si>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</si>
  <si>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</si>
  <si>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</si>
  <si>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</si>
  <si>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</si>
  <si>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</si>
  <si>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</si>
  <si>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</si>
  <si>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</si>
  <si>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</si>
  <si>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</si>
  <si>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</si>
  <si>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</si>
  <si>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</si>
  <si>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</si>
  <si>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</si>
  <si>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</si>
  <si>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</si>
  <si>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</si>
  <si>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</si>
  <si>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</si>
  <si>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</si>
  <si>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</si>
  <si>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</si>
  <si>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</si>
  <si>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</si>
  <si>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</si>
  <si>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</si>
  <si>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</si>
  <si>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</si>
  <si>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</si>
  <si>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</si>
  <si>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</si>
  <si>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</si>
  <si>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</si>
  <si>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</si>
  <si>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</si>
  <si>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</si>
  <si>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</si>
  <si>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</si>
  <si>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</si>
  <si>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</si>
  <si>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</si>
  <si>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</si>
  <si>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</si>
  <si>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</si>
  <si>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</si>
  <si>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</si>
  <si>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</si>
  <si>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</si>
  <si>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</si>
  <si>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</si>
  <si>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</si>
  <si>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</si>
  <si>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</si>
  <si>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</si>
  <si>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</si>
  <si>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</si>
  <si>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</si>
  <si>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</si>
  <si>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</si>
  <si>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</si>
  <si>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</si>
  <si>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</si>
  <si>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</si>
  <si>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</si>
  <si>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</si>
  <si>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</si>
  <si>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</si>
  <si>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</si>
  <si>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</si>
  <si>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</si>
  <si>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</si>
  <si>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</si>
  <si>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</si>
  <si>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</si>
  <si>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</si>
  <si>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</si>
  <si>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</si>
  <si>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</si>
  <si>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</si>
  <si>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</si>
  <si>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</si>
  <si>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</si>
  <si>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</si>
  <si>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</si>
  <si>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</si>
  <si>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</si>
  <si>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</si>
  <si>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</si>
  <si>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</si>
  <si>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</si>
  <si>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</si>
  <si>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</si>
  <si>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</si>
  <si>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</si>
  <si>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</si>
  <si>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</si>
  <si>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</si>
  <si>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</si>
  <si>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</si>
  <si>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</si>
  <si>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</si>
  <si>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</si>
  <si>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</si>
  <si>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</si>
  <si>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</si>
  <si>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</si>
  <si>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</si>
  <si>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</si>
  <si>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</si>
  <si>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</si>
  <si>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</si>
  <si>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</si>
  <si>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</si>
  <si>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</si>
  <si>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</si>
  <si>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</si>
  <si>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</si>
  <si>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</si>
  <si>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</si>
  <si>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</si>
  <si>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</si>
  <si>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</si>
  <si>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</si>
  <si>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</si>
  <si>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</si>
  <si>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</si>
  <si>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</si>
  <si>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</si>
  <si>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</si>
  <si>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</si>
  <si>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</si>
  <si>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</si>
  <si>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</si>
  <si>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</si>
  <si>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</si>
  <si>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</si>
  <si>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</si>
  <si>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</si>
  <si>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</si>
  <si>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</si>
  <si>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</si>
  <si>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</si>
  <si>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</si>
  <si>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</si>
  <si>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</si>
  <si>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</si>
  <si>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</si>
  <si>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</si>
  <si>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</si>
  <si>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</si>
  <si>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</si>
  <si>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</si>
  <si>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</si>
  <si>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</si>
  <si>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</si>
  <si>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</si>
  <si>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</si>
  <si>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</si>
  <si>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</si>
  <si>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</si>
  <si>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</si>
  <si>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</si>
  <si>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</si>
  <si>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</si>
  <si>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</si>
  <si>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</si>
  <si>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</si>
  <si>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</si>
  <si>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</si>
  <si>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</si>
  <si>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</si>
  <si>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</si>
  <si>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</si>
  <si>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</si>
  <si>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</si>
  <si>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</si>
  <si>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</si>
  <si>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</si>
  <si>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</si>
  <si>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</si>
  <si>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</si>
  <si>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</si>
  <si>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</si>
  <si>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</si>
  <si>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</si>
  <si>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</si>
  <si>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</si>
  <si>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</si>
  <si>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</si>
  <si>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</si>
  <si>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</si>
  <si>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</si>
  <si>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</si>
  <si>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</si>
  <si>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</si>
  <si>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</si>
  <si>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</si>
  <si>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</si>
  <si>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</si>
  <si>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</si>
  <si>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</si>
  <si>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</si>
  <si>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</si>
  <si>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</si>
  <si>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</si>
  <si>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</si>
  <si>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</si>
  <si>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</si>
  <si>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</si>
  <si>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</si>
  <si>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</si>
  <si>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</si>
  <si>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</si>
  <si>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</si>
  <si>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</si>
  <si>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</si>
  <si>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</si>
  <si>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</si>
  <si>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</si>
  <si>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</si>
  <si>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</si>
  <si>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</si>
  <si>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</si>
  <si>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</si>
  <si>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</si>
  <si>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</si>
  <si>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</si>
  <si>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</si>
  <si>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</si>
  <si>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</si>
  <si>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</si>
  <si>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</si>
  <si>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</si>
  <si>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</si>
  <si>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</si>
  <si>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</si>
  <si>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</si>
  <si>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</si>
  <si>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</si>
  <si>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</si>
  <si>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</si>
  <si>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</si>
  <si>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</si>
  <si>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</si>
  <si>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</si>
  <si>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</si>
  <si>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</si>
  <si>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</si>
  <si>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</si>
  <si>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</si>
  <si>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</si>
  <si>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</si>
  <si>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</si>
  <si>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</si>
  <si>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</si>
  <si>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</si>
  <si>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</si>
  <si>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</si>
  <si>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</si>
  <si>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</si>
  <si>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</si>
  <si>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</si>
  <si>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</si>
  <si>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</si>
  <si>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</si>
  <si>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</si>
  <si>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</si>
  <si>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</si>
  <si>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</si>
  <si>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</si>
  <si>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</si>
  <si>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</si>
  <si>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</si>
  <si>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</si>
  <si>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</si>
  <si>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</si>
  <si>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</si>
  <si>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</si>
  <si>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</si>
  <si>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</si>
  <si>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</si>
  <si>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</si>
  <si>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</si>
  <si>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</si>
  <si>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</si>
  <si>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</si>
  <si>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</si>
  <si>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</si>
  <si>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</si>
  <si>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</si>
  <si>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</si>
  <si>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</si>
  <si>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</si>
  <si>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</si>
  <si>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</si>
  <si>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</si>
  <si>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</si>
  <si>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</si>
  <si>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</si>
  <si>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</si>
  <si>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</si>
  <si>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</si>
  <si>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</si>
  <si>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</si>
  <si>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</si>
  <si>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</si>
  <si>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</si>
  <si>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</si>
  <si>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</si>
  <si>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</si>
  <si>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</si>
  <si>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</si>
  <si>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</si>
  <si>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</si>
  <si>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</si>
  <si>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</si>
  <si>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</si>
  <si>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</si>
  <si>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</si>
  <si>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</si>
  <si>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</si>
  <si>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</si>
  <si>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</si>
  <si>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</si>
  <si>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</si>
  <si>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</si>
  <si>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</si>
  <si>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</si>
  <si>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</si>
  <si>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</si>
  <si>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</si>
  <si>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</si>
  <si>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</si>
  <si>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</si>
  <si>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</si>
  <si>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</si>
  <si>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</si>
  <si>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</si>
  <si>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</si>
  <si>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</si>
  <si>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</si>
  <si>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</si>
  <si>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</si>
  <si>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</si>
  <si>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</si>
  <si>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</si>
  <si>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</si>
  <si>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</si>
  <si>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</si>
  <si>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</si>
  <si>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</si>
  <si>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</si>
  <si>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</si>
  <si>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</si>
  <si>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</si>
  <si>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</si>
  <si>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</si>
  <si>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</si>
  <si>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</si>
  <si>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</si>
  <si>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</si>
  <si>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</si>
  <si>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</si>
  <si>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</si>
  <si>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</si>
  <si>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</si>
  <si>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</si>
  <si>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</si>
  <si>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</si>
  <si>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</si>
  <si>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</si>
  <si>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</si>
  <si>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</si>
  <si>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</si>
  <si>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</si>
  <si>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</si>
  <si>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</si>
  <si>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</si>
  <si>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</si>
  <si>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</si>
  <si>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</si>
  <si>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</si>
  <si>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</si>
  <si>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</si>
  <si>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</si>
  <si>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</si>
  <si>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</si>
  <si>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</si>
  <si>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</si>
  <si>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</si>
  <si>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</si>
  <si>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</si>
  <si>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</si>
  <si>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</si>
  <si>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</si>
  <si>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</si>
  <si>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</si>
  <si>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</si>
  <si>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</si>
  <si>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</si>
  <si>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</si>
  <si>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</si>
  <si>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</si>
  <si>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</si>
  <si>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</si>
  <si>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</si>
  <si>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</si>
  <si>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</si>
  <si>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</si>
  <si>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</si>
  <si>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</si>
  <si>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</si>
  <si>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</si>
  <si>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</si>
  <si>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</si>
  <si>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</si>
  <si>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</si>
  <si>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</si>
  <si>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</si>
  <si>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</si>
  <si>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</si>
  <si>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</si>
  <si>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</si>
  <si>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</si>
  <si>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</si>
  <si>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</si>
  <si>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</si>
  <si>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</si>
  <si>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</si>
  <si>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</si>
  <si>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</si>
  <si>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</si>
  <si>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</si>
  <si>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</si>
  <si>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</si>
  <si>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</si>
  <si>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</si>
  <si>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</si>
  <si>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</si>
  <si>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</si>
  <si>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</si>
  <si>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</si>
  <si>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</si>
  <si>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</si>
  <si>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</si>
  <si>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</si>
  <si>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</si>
  <si>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</si>
  <si>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</si>
  <si>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</si>
  <si>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</si>
  <si>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</si>
  <si>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</si>
  <si>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</si>
  <si>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</si>
  <si>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</si>
  <si>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</si>
  <si>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</si>
  <si>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</si>
  <si>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</si>
  <si>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</si>
  <si>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</si>
  <si>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</si>
  <si>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</si>
  <si>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</si>
  <si>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</si>
  <si>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</si>
  <si>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</si>
  <si>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</si>
  <si>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</si>
  <si>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</si>
  <si>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</si>
  <si>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</si>
  <si>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</si>
  <si>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</si>
  <si>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</si>
  <si>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</si>
  <si>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</si>
  <si>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</si>
  <si>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</si>
  <si>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</si>
  <si>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</si>
  <si>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</si>
  <si>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</si>
  <si>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</si>
  <si>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</si>
  <si>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</si>
  <si>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</si>
  <si>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</si>
  <si>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</si>
  <si>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</si>
  <si>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</si>
  <si>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</si>
  <si>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</si>
  <si>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</si>
  <si>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</si>
  <si>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</si>
  <si>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</si>
  <si>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</si>
  <si>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</si>
  <si>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</si>
  <si>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</si>
  <si>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</si>
  <si>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</si>
  <si>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</si>
  <si>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</si>
  <si>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</si>
  <si>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</si>
  <si>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</si>
  <si>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</si>
  <si>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</si>
  <si>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</si>
  <si>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</si>
  <si>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</si>
  <si>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</si>
  <si>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</si>
  <si>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</si>
  <si>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</si>
  <si>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</si>
  <si>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</si>
  <si>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</si>
  <si>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</si>
  <si>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</si>
  <si>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</si>
  <si>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</si>
  <si>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</si>
  <si>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</si>
  <si>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</si>
  <si>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</si>
  <si>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</si>
  <si>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</si>
  <si>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</si>
  <si>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</si>
  <si>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</si>
  <si>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</si>
  <si>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</si>
  <si>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</si>
  <si>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</si>
  <si>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</si>
  <si>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</si>
  <si>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</si>
  <si>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</si>
  <si>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</si>
  <si>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</si>
  <si>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</si>
  <si>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</si>
  <si>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</si>
  <si>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</si>
  <si>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</si>
  <si>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</si>
  <si>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</si>
  <si>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</si>
  <si>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</si>
  <si>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</si>
  <si>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</si>
  <si>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</si>
  <si>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</si>
  <si>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</si>
  <si>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</si>
  <si>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</si>
  <si>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</si>
  <si>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</si>
  <si>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</si>
  <si>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</si>
  <si>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</si>
  <si>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</si>
  <si>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</si>
  <si>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</si>
  <si>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</si>
  <si>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</si>
  <si>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</si>
  <si>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</si>
  <si>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</si>
  <si>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</si>
  <si>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</si>
  <si>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</si>
  <si>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</si>
  <si>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</si>
  <si>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</si>
  <si>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</si>
  <si>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</si>
  <si>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</si>
  <si>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</si>
  <si>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</si>
  <si>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</si>
  <si>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</si>
  <si>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</si>
  <si>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</si>
  <si>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</si>
  <si>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</si>
  <si>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</si>
  <si>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</si>
  <si>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</si>
  <si>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</si>
  <si>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</si>
  <si>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</si>
  <si>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</si>
  <si>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</si>
  <si>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</si>
  <si>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</si>
  <si>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</si>
  <si>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</si>
  <si>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</si>
  <si>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</si>
  <si>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</si>
  <si>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</si>
  <si>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</si>
  <si>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</si>
  <si>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</si>
  <si>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</si>
  <si>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</si>
  <si>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</si>
  <si>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</si>
  <si>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</si>
  <si>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</si>
  <si>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</si>
  <si>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</si>
  <si>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</si>
  <si>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</si>
  <si>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</si>
  <si>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</si>
  <si>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</si>
  <si>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</si>
  <si>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</si>
  <si>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</si>
  <si>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</si>
  <si>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</si>
  <si>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</si>
  <si>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</si>
  <si>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</si>
  <si>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</si>
  <si>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</si>
  <si>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</si>
  <si>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</si>
  <si>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</si>
  <si>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</si>
  <si>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</si>
  <si>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</si>
  <si>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</si>
  <si>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</si>
  <si>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</si>
  <si>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</si>
  <si>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</si>
  <si>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</si>
  <si>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</si>
  <si>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</si>
  <si>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</si>
  <si>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</si>
  <si>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</si>
  <si>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</si>
  <si>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</si>
  <si>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</si>
  <si>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</si>
  <si>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</si>
  <si>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</si>
  <si>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</si>
  <si>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</si>
  <si>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</si>
  <si>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</si>
  <si>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</si>
  <si>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</si>
  <si>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</si>
  <si>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</si>
  <si>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</si>
  <si>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</si>
  <si>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</si>
  <si>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</si>
  <si>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</si>
  <si>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</si>
  <si>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</si>
  <si>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</si>
  <si>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</si>
  <si>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</si>
  <si>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</si>
  <si>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</si>
  <si>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</si>
  <si>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</si>
  <si>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</si>
  <si>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</si>
  <si>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</si>
  <si>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</si>
  <si>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</si>
  <si>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</si>
  <si>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</si>
  <si>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</si>
  <si>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</si>
  <si>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</si>
  <si>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</si>
  <si>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</si>
  <si>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</si>
  <si>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</si>
  <si>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</si>
  <si>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</si>
  <si>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</si>
  <si>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</si>
  <si>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</si>
  <si>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</si>
  <si>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</si>
  <si>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</si>
  <si>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</si>
  <si>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</si>
  <si>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</si>
  <si>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</si>
  <si>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</si>
  <si>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</si>
  <si>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</si>
  <si>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</si>
  <si>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</si>
  <si>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</si>
  <si>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</si>
  <si>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</si>
  <si>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</si>
  <si>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</si>
  <si>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</si>
  <si>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</si>
  <si>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</si>
  <si>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</si>
  <si>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</si>
  <si>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</si>
  <si>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</si>
  <si>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</si>
  <si>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</si>
  <si>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</si>
  <si>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</si>
  <si>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</si>
  <si>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</si>
  <si>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</si>
  <si>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</si>
  <si>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</si>
  <si>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</si>
  <si>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</si>
  <si>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</si>
  <si>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</si>
  <si>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</si>
  <si>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</si>
  <si>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</si>
  <si>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</si>
  <si>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</si>
  <si>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</si>
  <si>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</si>
  <si>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</si>
  <si>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</si>
  <si>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</si>
  <si>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</si>
  <si>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</si>
  <si>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</si>
  <si>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</si>
  <si>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</si>
  <si>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</si>
  <si>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</si>
  <si>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</si>
  <si>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</si>
  <si>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</si>
  <si>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</si>
  <si>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</si>
  <si>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</si>
  <si>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</si>
  <si>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</si>
  <si>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</si>
  <si>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</si>
  <si>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</si>
  <si>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</si>
  <si>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</si>
  <si>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</si>
  <si>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</si>
  <si>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</si>
  <si>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</si>
  <si>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</si>
  <si>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</si>
  <si>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</si>
  <si>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</si>
  <si>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</si>
  <si>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</si>
  <si>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</si>
  <si>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</si>
  <si>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</si>
  <si>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</si>
  <si>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</si>
  <si>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</si>
  <si>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</si>
  <si>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</si>
  <si>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</si>
  <si>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</si>
  <si>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</si>
  <si>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</si>
  <si>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</si>
  <si>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</si>
  <si>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</si>
  <si>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</si>
  <si>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</si>
  <si>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</si>
  <si>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</si>
  <si>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</si>
  <si>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</si>
  <si>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</si>
  <si>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</si>
  <si>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</si>
  <si>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</si>
  <si>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</si>
  <si>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</si>
  <si>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</si>
  <si>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</si>
  <si>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</si>
  <si>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</si>
  <si>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</si>
  <si>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</si>
  <si>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</si>
  <si>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</si>
  <si>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</si>
  <si>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</si>
  <si>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</si>
  <si>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</si>
  <si>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</si>
  <si>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</si>
  <si>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</si>
  <si>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</si>
  <si>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</si>
  <si>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</si>
  <si>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</si>
  <si>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</si>
  <si>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</si>
  <si>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</si>
  <si>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</si>
  <si>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</si>
  <si>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</si>
  <si>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</si>
  <si>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</si>
  <si>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</si>
  <si>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</si>
  <si>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</si>
  <si>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</si>
  <si>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</si>
  <si>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</si>
  <si>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</si>
  <si>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</si>
  <si>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</si>
  <si>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</si>
  <si>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</si>
  <si>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</si>
  <si>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</si>
  <si>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</si>
  <si>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</si>
  <si>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</si>
  <si>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</si>
  <si>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</si>
  <si>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</si>
  <si>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</si>
  <si>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</si>
  <si>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</si>
  <si>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</si>
  <si>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</si>
  <si>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</si>
  <si>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</si>
  <si>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</si>
  <si>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</si>
  <si>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</si>
  <si>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</si>
  <si>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</si>
  <si>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t>Pick- Up Date</t>
  </si>
  <si>
    <t>149600468534</t>
  </si>
  <si>
    <t>149600418545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</si>
  <si>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</si>
  <si>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</si>
  <si>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</si>
  <si>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</si>
  <si>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</si>
  <si>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</si>
  <si>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</si>
  <si>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</si>
  <si>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</si>
  <si>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</si>
  <si>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</si>
  <si>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</si>
  <si>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</si>
  <si>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</si>
  <si>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</si>
  <si>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</si>
  <si>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</si>
  <si>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</si>
  <si>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</si>
  <si>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</si>
  <si>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</si>
  <si>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</si>
  <si>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</si>
  <si>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</si>
  <si>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</si>
  <si>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</si>
  <si>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</si>
  <si>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</si>
  <si>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</si>
  <si>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</si>
  <si>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</si>
  <si>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</si>
  <si>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</si>
  <si>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</si>
  <si>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</si>
  <si>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</si>
  <si>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</si>
  <si>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</si>
  <si>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</si>
  <si>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</si>
  <si>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</si>
  <si>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</si>
  <si>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</si>
  <si>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</si>
  <si>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</si>
  <si>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</si>
  <si>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</si>
  <si>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</si>
  <si>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</si>
  <si>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</si>
  <si>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</si>
  <si>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</si>
  <si>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</si>
  <si>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</si>
  <si>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</si>
  <si>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</si>
  <si>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</si>
  <si>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</si>
  <si>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</si>
  <si>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</si>
  <si>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</si>
  <si>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</si>
  <si>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</si>
  <si>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</si>
  <si>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</si>
  <si>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</si>
  <si>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</si>
  <si>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</si>
  <si>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</si>
  <si>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</si>
  <si>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</si>
  <si>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</si>
  <si>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</si>
  <si>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</si>
  <si>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</si>
  <si>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</si>
  <si>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</si>
  <si>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</si>
  <si>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</si>
  <si>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</si>
  <si>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</si>
  <si>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</si>
  <si>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</si>
  <si>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</si>
  <si>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</si>
  <si>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</si>
  <si>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</si>
  <si>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</si>
  <si>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</si>
  <si>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</si>
  <si>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</si>
  <si>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</si>
  <si>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</si>
  <si>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</si>
  <si>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</si>
  <si>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</si>
  <si>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</si>
  <si>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</si>
  <si>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</si>
  <si>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</si>
  <si>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</si>
  <si>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</si>
  <si>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</si>
  <si>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</si>
  <si>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</si>
  <si>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</si>
  <si>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</si>
  <si>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</si>
  <si>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</si>
  <si>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</si>
  <si>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</si>
  <si>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</si>
  <si>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</si>
  <si>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</si>
  <si>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</si>
  <si>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</si>
  <si>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</si>
  <si>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</si>
  <si>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</si>
  <si>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</si>
  <si>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</si>
  <si>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</si>
  <si>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</si>
  <si>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</si>
  <si>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</si>
  <si>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</si>
  <si>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</si>
  <si>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</si>
  <si>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</si>
  <si>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</si>
  <si>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</si>
  <si>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</si>
  <si>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</si>
  <si>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</si>
  <si>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</si>
  <si>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</si>
  <si>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</si>
  <si>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</si>
  <si>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</si>
  <si>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</si>
  <si>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</si>
  <si>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</si>
  <si>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</si>
  <si>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</si>
  <si>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</si>
  <si>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</si>
  <si>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</si>
  <si>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</si>
  <si>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</si>
  <si>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</si>
  <si>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</si>
  <si>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</si>
  <si>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</si>
  <si>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</si>
  <si>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</si>
  <si>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</si>
  <si>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</si>
  <si>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</si>
  <si>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</si>
  <si>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</si>
  <si>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</si>
  <si>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</si>
  <si>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</si>
  <si>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</si>
  <si>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</si>
  <si>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</si>
  <si>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</si>
  <si>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</si>
  <si>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</si>
  <si>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</si>
  <si>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</si>
  <si>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</si>
  <si>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</si>
  <si>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</si>
  <si>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</si>
  <si>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</si>
  <si>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</si>
  <si>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</si>
  <si>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</si>
  <si>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</si>
  <si>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</si>
  <si>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</si>
  <si>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</si>
  <si>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</si>
  <si>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</si>
  <si>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</si>
  <si>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</si>
  <si>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</si>
  <si>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</si>
  <si>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</si>
  <si>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</si>
  <si>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</si>
  <si>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</si>
  <si>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</si>
  <si>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</si>
  <si>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</si>
  <si>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</si>
  <si>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</si>
  <si>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</si>
  <si>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</si>
  <si>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</si>
  <si>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</si>
  <si>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</si>
  <si>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</si>
  <si>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</si>
  <si>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</si>
  <si>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</si>
  <si>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</si>
  <si>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</si>
  <si>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</si>
  <si>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</si>
  <si>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</si>
  <si>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</si>
  <si>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</si>
  <si>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</si>
  <si>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</si>
  <si>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</si>
  <si>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</si>
  <si>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</si>
  <si>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</si>
  <si>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</si>
  <si>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</si>
  <si>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</si>
  <si>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</si>
  <si>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</si>
  <si>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</si>
  <si>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</si>
  <si>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</si>
  <si>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</si>
  <si>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</si>
  <si>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</si>
  <si>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</si>
  <si>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</si>
  <si>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</si>
  <si>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</si>
  <si>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</si>
  <si>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</si>
  <si>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</si>
  <si>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</si>
  <si>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</si>
  <si>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</si>
  <si>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</si>
  <si>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</si>
  <si>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</si>
  <si>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</si>
  <si>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</si>
  <si>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</si>
  <si>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</si>
  <si>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</si>
  <si>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</si>
  <si>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</si>
  <si>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</si>
  <si>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</si>
  <si>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</si>
  <si>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</si>
  <si>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</si>
  <si>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</si>
  <si>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</si>
  <si>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</si>
  <si>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</si>
  <si>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</si>
  <si>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</si>
  <si>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</si>
  <si>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</si>
  <si>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</si>
  <si>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</si>
  <si>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</si>
  <si>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</si>
  <si>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</si>
  <si>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</si>
  <si>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</si>
  <si>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</si>
  <si>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</si>
  <si>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</si>
  <si>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</si>
  <si>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</si>
  <si>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</si>
  <si>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</si>
  <si>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</si>
  <si>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</si>
  <si>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</si>
  <si>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</si>
  <si>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</si>
  <si>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</si>
  <si>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</si>
  <si>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</si>
  <si>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</si>
  <si>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</si>
  <si>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</si>
  <si>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</si>
  <si>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</si>
  <si>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</si>
  <si>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</si>
  <si>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</si>
  <si>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</si>
  <si>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</si>
  <si>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</si>
  <si>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</si>
  <si>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</si>
  <si>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</si>
  <si>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</si>
  <si>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</si>
  <si>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</si>
  <si>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</si>
  <si>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</si>
  <si>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</si>
  <si>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</si>
  <si>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</si>
  <si>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</si>
  <si>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</si>
  <si>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</si>
  <si>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</si>
  <si>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</si>
  <si>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</si>
  <si>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</si>
  <si>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</si>
  <si>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</si>
  <si>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</si>
  <si>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</si>
  <si>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</si>
  <si>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</si>
  <si>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</si>
  <si>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</si>
  <si>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</si>
  <si>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</si>
  <si>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</si>
  <si>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</si>
  <si>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</si>
  <si>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</si>
  <si>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</si>
  <si>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</si>
  <si>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</si>
  <si>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</si>
  <si>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</si>
  <si>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</si>
  <si>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</si>
  <si>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</si>
  <si>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</si>
  <si>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</si>
  <si>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</si>
  <si>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</si>
  <si>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COSCO SHIPPING LEO 036W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</si>
  <si>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</si>
  <si>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</si>
  <si>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</si>
  <si>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</si>
  <si>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</si>
  <si>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</si>
  <si>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</si>
  <si>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</si>
  <si>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</si>
  <si>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</si>
  <si>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</si>
  <si>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</si>
  <si>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</si>
  <si>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</si>
  <si>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</si>
  <si>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</si>
  <si>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</si>
  <si>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26May009.12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</si>
  <si>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</si>
  <si>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</si>
  <si>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</si>
  <si>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</si>
  <si>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</si>
  <si>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</si>
  <si>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</si>
  <si>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</si>
  <si>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</si>
  <si>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</si>
  <si>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</si>
  <si>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</si>
  <si>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</si>
  <si>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</si>
  <si>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</si>
  <si>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</si>
  <si>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</si>
  <si>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</si>
  <si>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</si>
  <si>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</si>
  <si>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</si>
  <si>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</si>
  <si>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</si>
  <si>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</si>
  <si>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</si>
  <si>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</si>
  <si>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</si>
  <si>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</si>
  <si>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</si>
  <si>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</si>
  <si>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</si>
  <si>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</si>
  <si>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</si>
  <si>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</si>
  <si>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</si>
  <si>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</si>
  <si>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</si>
  <si>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</si>
  <si>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</si>
  <si>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</si>
  <si>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</si>
  <si>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</si>
  <si>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</si>
  <si>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</si>
  <si>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</si>
  <si>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</si>
  <si>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</si>
  <si>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</si>
  <si>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</si>
  <si>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</si>
  <si>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</si>
  <si>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</si>
  <si>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</si>
  <si>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</si>
  <si>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</si>
  <si>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</si>
  <si>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</si>
  <si>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</si>
  <si>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</si>
  <si>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</si>
  <si>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</si>
  <si>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</si>
  <si>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</si>
  <si>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</si>
  <si>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</si>
  <si>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</si>
  <si>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</si>
  <si>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</si>
  <si>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</si>
  <si>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</si>
  <si>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</si>
  <si>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</si>
  <si>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</si>
  <si>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</si>
  <si>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</si>
  <si>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</si>
  <si>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</si>
  <si>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</si>
  <si>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</si>
  <si>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</si>
  <si>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</si>
  <si>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</si>
  <si>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</si>
  <si>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</si>
  <si>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</si>
  <si>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</si>
  <si>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</si>
  <si>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</si>
  <si>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</si>
  <si>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</si>
  <si>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</si>
  <si>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</si>
  <si>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</si>
  <si>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</si>
  <si>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</si>
  <si>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</si>
  <si>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</si>
  <si>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</si>
  <si>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</si>
  <si>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</si>
  <si>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</si>
  <si>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</si>
  <si>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</si>
  <si>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</si>
  <si>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</si>
  <si>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</si>
  <si>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</si>
  <si>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</si>
  <si>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</si>
  <si>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</si>
  <si>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</si>
  <si>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</si>
  <si>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</si>
  <si>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</si>
  <si>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</si>
  <si>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</si>
  <si>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</si>
  <si>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</si>
  <si>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</si>
  <si>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</si>
  <si>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</si>
  <si>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</si>
  <si>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</si>
  <si>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</si>
  <si>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</si>
  <si>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</si>
  <si>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</si>
  <si>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</si>
  <si>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</si>
  <si>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</si>
  <si>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</si>
  <si>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</si>
  <si>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</si>
  <si>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</si>
  <si>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</si>
  <si>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</si>
  <si>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</si>
  <si>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</si>
  <si>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</si>
  <si>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</si>
  <si>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</si>
  <si>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</si>
  <si>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</si>
  <si>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</si>
  <si>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</si>
  <si>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</si>
  <si>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</si>
  <si>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</si>
  <si>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</si>
  <si>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</si>
  <si>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</si>
  <si>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</si>
  <si>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</si>
  <si>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</si>
  <si>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</si>
  <si>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</si>
  <si>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</si>
  <si>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</si>
  <si>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</si>
  <si>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</si>
  <si>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</si>
  <si>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COSCO SHIPPING GEMINI 036W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</si>
  <si>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</si>
  <si>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</si>
  <si>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</si>
  <si>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</si>
  <si>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</si>
  <si>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</si>
  <si>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</si>
  <si>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</si>
  <si>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</si>
  <si>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</si>
  <si>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</si>
  <si>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</si>
  <si>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</si>
  <si>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</si>
  <si>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</si>
  <si>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</si>
  <si>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</si>
  <si>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</si>
  <si>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</si>
  <si>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</si>
  <si>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</si>
  <si>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</si>
  <si>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</si>
  <si>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</si>
  <si>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</si>
  <si>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</si>
  <si>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</si>
  <si>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</si>
  <si>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</si>
  <si>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</si>
  <si>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</si>
  <si>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</si>
  <si>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</si>
  <si>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</si>
  <si>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</si>
  <si>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</si>
  <si>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</si>
  <si>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</si>
  <si>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</si>
  <si>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</si>
  <si>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</si>
  <si>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</si>
  <si>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</si>
  <si>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</si>
  <si>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</si>
  <si>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</si>
  <si>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</si>
  <si>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</si>
  <si>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</si>
  <si>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</si>
  <si>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</si>
  <si>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</si>
  <si>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</si>
  <si>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</si>
  <si>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</si>
  <si>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</si>
  <si>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</si>
  <si>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</si>
  <si>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</si>
  <si>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</si>
  <si>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</si>
  <si>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</si>
  <si>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</si>
  <si>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</si>
  <si>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</si>
  <si>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</si>
  <si>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</si>
  <si>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</si>
  <si>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</si>
  <si>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</si>
  <si>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</si>
  <si>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</si>
  <si>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</si>
  <si>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</si>
  <si>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</si>
  <si>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</si>
  <si>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</si>
  <si>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</si>
  <si>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</si>
  <si>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</si>
  <si>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</si>
  <si>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</si>
  <si>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</si>
  <si>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</si>
  <si>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</si>
  <si>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</si>
  <si>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</si>
  <si>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</si>
  <si>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</si>
  <si>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</si>
  <si>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</si>
  <si>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</si>
  <si>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</si>
  <si>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</si>
  <si>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</si>
  <si>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</si>
  <si>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</si>
  <si>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</si>
  <si>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</si>
  <si>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</si>
  <si>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</si>
  <si>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</si>
  <si>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</si>
  <si>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</si>
  <si>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</si>
  <si>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</si>
  <si>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</si>
  <si>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</si>
  <si>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</si>
  <si>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</si>
  <si>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</si>
  <si>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</si>
  <si>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</si>
  <si>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</si>
  <si>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</si>
  <si>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</si>
  <si>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</si>
  <si>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</si>
  <si>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</si>
  <si>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</si>
  <si>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</si>
  <si>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</si>
  <si>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</si>
  <si>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</si>
  <si>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</si>
  <si>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</si>
  <si>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</si>
  <si>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</si>
  <si>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</si>
  <si>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</si>
  <si>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</si>
  <si>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</si>
  <si>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</si>
  <si>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</si>
  <si>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</si>
  <si>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</si>
  <si>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</si>
  <si>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</si>
  <si>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</si>
  <si>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</si>
  <si>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</si>
  <si>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</si>
  <si>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</si>
  <si>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</si>
  <si>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</si>
  <si>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</si>
  <si>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</si>
  <si>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</si>
  <si>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</si>
  <si>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</si>
  <si>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</si>
  <si>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</si>
  <si>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</si>
  <si>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</si>
  <si>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</si>
  <si>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</si>
  <si>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</si>
  <si>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</si>
  <si>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</si>
  <si>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</si>
  <si>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</si>
  <si>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</si>
  <si>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</si>
  <si>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</si>
  <si>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</si>
  <si>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</si>
  <si>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</si>
  <si>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</si>
  <si>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</si>
  <si>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</si>
  <si>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</si>
  <si>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</si>
  <si>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</si>
  <si>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</si>
  <si>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</si>
  <si>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</si>
  <si>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</si>
  <si>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</si>
  <si>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</si>
  <si>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</si>
  <si>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</si>
  <si>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</si>
  <si>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</si>
  <si>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</si>
  <si>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</si>
  <si>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</si>
  <si>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</si>
  <si>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</si>
  <si>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</si>
  <si>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</si>
  <si>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</si>
  <si>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</si>
  <si>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</si>
  <si>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</si>
  <si>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</si>
  <si>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</si>
  <si>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</si>
  <si>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</si>
  <si>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</si>
  <si>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</si>
  <si>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</si>
  <si>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</si>
  <si>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</si>
  <si>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</si>
  <si>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</si>
  <si>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</si>
  <si>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</si>
  <si>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</si>
  <si>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</si>
  <si>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</si>
  <si>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</si>
  <si>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</si>
  <si>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</si>
  <si>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</si>
  <si>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</si>
  <si>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</si>
  <si>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</si>
  <si>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</si>
  <si>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</si>
  <si>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</si>
  <si>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</si>
  <si>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</si>
  <si>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</si>
  <si>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</si>
  <si>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</si>
  <si>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</si>
  <si>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</si>
  <si>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</si>
  <si>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</si>
  <si>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</si>
  <si>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</si>
  <si>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</si>
  <si>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</si>
  <si>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</si>
  <si>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</si>
  <si>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</si>
  <si>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</si>
  <si>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</si>
  <si>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</si>
  <si>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</si>
  <si>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</si>
  <si>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</si>
  <si>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</si>
  <si>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</si>
  <si>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</si>
  <si>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</si>
  <si>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</si>
  <si>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</si>
  <si>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</si>
  <si>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</si>
  <si>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</si>
  <si>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</si>
  <si>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</si>
  <si>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</si>
  <si>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</si>
  <si>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</si>
  <si>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</si>
  <si>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</si>
  <si>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</si>
  <si>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</si>
  <si>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</si>
  <si>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</si>
  <si>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</si>
  <si>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</si>
  <si>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</si>
  <si>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</si>
  <si>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</si>
  <si>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</si>
  <si>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</si>
  <si>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</si>
  <si>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</si>
  <si>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</si>
  <si>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</si>
  <si>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</si>
  <si>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</si>
  <si>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</si>
  <si>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</si>
  <si>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</si>
  <si>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</si>
  <si>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</si>
  <si>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</si>
  <si>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</si>
  <si>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</si>
  <si>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</si>
  <si>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</si>
  <si>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</si>
  <si>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</si>
  <si>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</si>
  <si>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</si>
  <si>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</si>
  <si>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</si>
  <si>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</si>
  <si>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</si>
  <si>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</si>
  <si>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</si>
  <si>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</si>
  <si>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</si>
  <si>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</si>
  <si>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</si>
  <si>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</si>
  <si>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</si>
  <si>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</si>
  <si>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</si>
  <si>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</si>
  <si>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</si>
  <si>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</si>
  <si>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</si>
  <si>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</si>
  <si>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</si>
  <si>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</si>
  <si>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</si>
  <si>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</si>
  <si>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</si>
  <si>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</si>
  <si>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</si>
  <si>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</si>
  <si>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</si>
  <si>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</si>
  <si>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</si>
  <si>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</si>
  <si>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</si>
  <si>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</si>
  <si>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</si>
  <si>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</si>
  <si>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</si>
  <si>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</si>
  <si>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</si>
  <si>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</si>
  <si>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</si>
  <si>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</si>
  <si>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</si>
  <si>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</si>
  <si>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</si>
  <si>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</si>
  <si>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</si>
  <si>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</si>
  <si>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</si>
  <si>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</si>
  <si>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</si>
  <si>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</si>
  <si>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</si>
  <si>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</si>
  <si>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</si>
  <si>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</si>
  <si>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</si>
  <si>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</si>
  <si>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</si>
  <si>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</si>
  <si>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</si>
  <si>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</si>
  <si>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</si>
  <si>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</si>
  <si>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</si>
  <si>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</si>
  <si>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</si>
  <si>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</si>
  <si>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</si>
  <si>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</si>
  <si>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</si>
  <si>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</si>
  <si>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</si>
  <si>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</si>
  <si>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</si>
  <si>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</si>
  <si>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</si>
  <si>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</si>
  <si>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</si>
  <si>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</si>
  <si>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</si>
  <si>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</si>
  <si>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</si>
  <si>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</si>
  <si>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</si>
  <si>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</si>
  <si>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</si>
  <si>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</si>
  <si>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</si>
  <si>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</si>
  <si>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</si>
  <si>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</si>
  <si>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</si>
  <si>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</si>
  <si>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</si>
  <si>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</si>
  <si>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</si>
  <si>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</si>
  <si>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</si>
  <si>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</si>
  <si>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</si>
  <si>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</si>
  <si>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</si>
  <si>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</si>
  <si>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</si>
  <si>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</si>
  <si>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</si>
  <si>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</si>
  <si>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</si>
  <si>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</si>
  <si>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</si>
  <si>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</si>
  <si>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</si>
  <si>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</si>
  <si>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</si>
  <si>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</si>
  <si>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</si>
  <si>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</si>
  <si>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</si>
  <si>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</si>
  <si>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</si>
  <si>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</si>
  <si>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</si>
  <si>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</si>
  <si>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</si>
  <si>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</si>
  <si>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</si>
  <si>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</si>
  <si>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</si>
  <si>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</si>
  <si>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</si>
  <si>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</si>
  <si>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</si>
  <si>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</si>
  <si>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</si>
  <si>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</si>
  <si>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</si>
  <si>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</si>
  <si>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</si>
  <si>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</si>
  <si>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</si>
  <si>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</si>
  <si>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</si>
  <si>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</si>
  <si>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</si>
  <si>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</si>
  <si>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</si>
  <si>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</si>
  <si>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</si>
  <si>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</si>
  <si>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</si>
  <si>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</si>
  <si>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</si>
  <si>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</si>
  <si>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</si>
  <si>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</si>
  <si>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</si>
  <si>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</si>
  <si>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</si>
  <si>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</si>
  <si>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</si>
  <si>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</si>
  <si>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</si>
  <si>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</si>
  <si>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</si>
  <si>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</si>
  <si>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</si>
  <si>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</si>
  <si>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</si>
  <si>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</si>
  <si>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</si>
  <si>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</si>
  <si>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</si>
  <si>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</si>
  <si>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</si>
  <si>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</si>
  <si>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</si>
  <si>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</si>
  <si>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</si>
  <si>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</si>
  <si>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</si>
  <si>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</si>
  <si>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</si>
  <si>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</si>
  <si>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</si>
  <si>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</si>
  <si>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</si>
  <si>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</si>
  <si>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</si>
  <si>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</si>
  <si>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</si>
  <si>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</si>
  <si>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</si>
  <si>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</si>
  <si>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</si>
  <si>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</si>
  <si>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</si>
  <si>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</si>
  <si>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</si>
  <si>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</si>
  <si>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</si>
  <si>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</si>
  <si>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</si>
  <si>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</si>
  <si>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</si>
  <si>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</si>
  <si>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</si>
  <si>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</si>
  <si>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</si>
  <si>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</si>
  <si>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</si>
  <si>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</si>
  <si>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</si>
  <si>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</si>
  <si>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</si>
  <si>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</si>
  <si>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</si>
  <si>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</si>
  <si>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</si>
  <si>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</si>
  <si>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</si>
  <si>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</si>
  <si>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</si>
  <si>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</si>
  <si>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</si>
  <si>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</si>
  <si>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</si>
  <si>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</si>
  <si>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</si>
  <si>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</si>
  <si>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</si>
  <si>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</si>
  <si>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</si>
  <si>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</si>
  <si>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</si>
  <si>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</si>
  <si>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</si>
  <si>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</si>
  <si>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</si>
  <si>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</si>
  <si>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</si>
  <si>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</si>
  <si>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</si>
  <si>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</si>
  <si>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</si>
  <si>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</si>
  <si>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</si>
  <si>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</si>
  <si>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</si>
  <si>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</si>
  <si>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</si>
  <si>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</si>
  <si>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</si>
  <si>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</si>
  <si>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</si>
  <si>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</si>
  <si>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</si>
  <si>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</si>
  <si>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</si>
  <si>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</si>
  <si>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</si>
  <si>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</si>
  <si>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</si>
  <si>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</si>
  <si>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</si>
  <si>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</si>
  <si>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</si>
  <si>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</si>
  <si>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</si>
  <si>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</si>
  <si>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</si>
  <si>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</si>
  <si>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</si>
  <si>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</si>
  <si>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</si>
  <si>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</si>
  <si>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</si>
  <si>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</si>
  <si>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</si>
  <si>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</si>
  <si>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</si>
  <si>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</si>
  <si>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</si>
  <si>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</si>
  <si>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</si>
  <si>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</si>
  <si>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</si>
  <si>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</si>
  <si>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</si>
  <si>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</si>
  <si>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</si>
  <si>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</si>
  <si>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</si>
  <si>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</si>
  <si>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</si>
  <si>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</si>
  <si>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</si>
  <si>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</si>
  <si>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</si>
  <si>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</si>
  <si>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</si>
  <si>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</si>
  <si>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</si>
  <si>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</si>
  <si>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</si>
  <si>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</si>
  <si>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</si>
  <si>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</si>
  <si>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</si>
  <si>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</si>
  <si>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</si>
  <si>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</si>
  <si>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</si>
  <si>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</si>
  <si>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</si>
  <si>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</si>
  <si>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</si>
  <si>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</si>
  <si>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</si>
  <si>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</si>
  <si>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</si>
  <si>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</si>
  <si>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</si>
  <si>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</si>
  <si>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</si>
  <si>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</si>
  <si>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</si>
  <si>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</si>
  <si>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</si>
  <si>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</si>
  <si>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</si>
  <si>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</si>
  <si>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</si>
  <si>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</si>
  <si>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</si>
  <si>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</si>
  <si>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</si>
  <si>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</si>
  <si>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</si>
  <si>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</si>
  <si>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</si>
  <si>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</si>
  <si>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</si>
  <si>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</si>
  <si>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</si>
  <si>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</si>
  <si>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</si>
  <si>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</si>
  <si>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</si>
  <si>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</si>
  <si>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</si>
  <si>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</si>
  <si>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</si>
  <si>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</si>
  <si>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</si>
  <si>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</si>
  <si>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</si>
  <si>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</si>
  <si>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</si>
  <si>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</si>
  <si>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</si>
  <si>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</si>
  <si>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</si>
  <si>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</si>
  <si>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</si>
  <si>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</si>
  <si>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</si>
  <si>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</si>
  <si>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</si>
  <si>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</si>
  <si>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</si>
  <si>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</si>
  <si>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</si>
  <si>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</si>
  <si>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</si>
  <si>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</si>
  <si>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</si>
  <si>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</si>
  <si>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</si>
  <si>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</si>
  <si>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</si>
  <si>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</si>
  <si>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</si>
  <si>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</si>
  <si>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</si>
  <si>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</si>
  <si>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</si>
  <si>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</si>
  <si>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</si>
  <si>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</si>
  <si>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</si>
  <si>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</si>
  <si>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</si>
  <si>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</si>
  <si>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</si>
  <si>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</si>
  <si>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</si>
  <si>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</si>
  <si>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</si>
  <si>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</si>
  <si>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</si>
  <si>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</si>
  <si>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</si>
  <si>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</si>
  <si>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</si>
  <si>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</si>
  <si>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</si>
  <si>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</si>
  <si>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</si>
  <si>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</si>
  <si>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</si>
  <si>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</si>
  <si>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</si>
  <si>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</si>
  <si>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</si>
  <si>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</si>
  <si>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</si>
  <si>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</si>
  <si>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</si>
  <si>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</si>
  <si>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</si>
  <si>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</si>
  <si>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</si>
  <si>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</si>
  <si>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</si>
  <si>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</si>
  <si>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</si>
  <si>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</si>
  <si>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</si>
  <si>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</si>
  <si>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</si>
  <si>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</si>
  <si>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</si>
  <si>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</si>
  <si>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</si>
  <si>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</si>
  <si>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</si>
  <si>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</si>
  <si>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</si>
  <si>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</si>
  <si>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</si>
  <si>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</si>
  <si>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</si>
  <si>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</si>
  <si>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</si>
  <si>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</si>
  <si>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</si>
  <si>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</si>
  <si>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</si>
  <si>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</si>
  <si>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</si>
  <si>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</si>
  <si>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</si>
  <si>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</si>
  <si>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</si>
  <si>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</si>
  <si>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</si>
  <si>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</si>
  <si>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</si>
  <si>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</si>
  <si>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</si>
  <si>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</si>
  <si>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</si>
  <si>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</si>
  <si>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</si>
  <si>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</si>
  <si>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</si>
  <si>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</si>
  <si>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</si>
  <si>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</si>
  <si>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</si>
  <si>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</si>
  <si>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</si>
  <si>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</si>
  <si>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</si>
  <si>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</si>
  <si>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</si>
  <si>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</si>
  <si>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</si>
  <si>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</si>
  <si>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</si>
  <si>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</si>
  <si>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</si>
  <si>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</si>
  <si>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</si>
  <si>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</si>
  <si>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</si>
  <si>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</si>
  <si>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</si>
  <si>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</si>
  <si>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</si>
  <si>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</si>
  <si>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</si>
  <si>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</si>
  <si>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</si>
  <si>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</si>
  <si>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</si>
  <si>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</si>
  <si>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</si>
  <si>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</si>
  <si>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</si>
  <si>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</si>
  <si>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</si>
  <si>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</si>
  <si>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</si>
  <si>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</si>
  <si>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</si>
  <si>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</si>
  <si>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</si>
  <si>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</si>
  <si>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</si>
  <si>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</si>
  <si>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</si>
  <si>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</si>
  <si>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</si>
  <si>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</si>
  <si>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</si>
  <si>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</si>
  <si>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</si>
  <si>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</si>
  <si>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</si>
  <si>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</si>
  <si>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</si>
  <si>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</si>
  <si>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</si>
  <si>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</si>
  <si>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</si>
  <si>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</si>
  <si>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</si>
  <si>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</si>
  <si>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</si>
  <si>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</si>
  <si>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</si>
  <si>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</si>
  <si>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</si>
  <si>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</si>
  <si>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</si>
  <si>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</si>
  <si>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</si>
  <si>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</si>
  <si>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</si>
  <si>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</si>
  <si>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</si>
  <si>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</si>
  <si>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</si>
  <si>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</si>
  <si>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</si>
  <si>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</si>
  <si>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</si>
  <si>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</si>
  <si>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</si>
  <si>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</si>
  <si>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</si>
  <si>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</si>
  <si>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</si>
  <si>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</si>
  <si>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</si>
  <si>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</si>
  <si>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</si>
  <si>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</si>
  <si>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</si>
  <si>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</si>
  <si>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</si>
  <si>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</si>
  <si>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</si>
  <si>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</si>
  <si>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</si>
  <si>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</si>
  <si>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</si>
  <si>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</si>
  <si>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</si>
  <si>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</si>
  <si>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</si>
  <si>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</si>
  <si>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</si>
  <si>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</si>
  <si>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</si>
  <si>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</si>
  <si>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</si>
  <si>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</si>
  <si>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</si>
  <si>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</si>
  <si>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</si>
  <si>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</si>
  <si>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</si>
  <si>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</si>
  <si>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</si>
  <si>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</si>
  <si>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</si>
  <si>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</si>
  <si>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</si>
  <si>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</si>
  <si>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</si>
  <si>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</si>
  <si>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</si>
  <si>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</si>
  <si>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</si>
  <si>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</si>
  <si>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</si>
  <si>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</si>
  <si>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</si>
  <si>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</si>
  <si>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</si>
  <si>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</si>
  <si>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</si>
  <si>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</si>
  <si>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</si>
  <si>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</si>
  <si>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</si>
  <si>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</si>
  <si>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</si>
  <si>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</si>
  <si>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</si>
  <si>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</si>
  <si>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</si>
  <si>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</si>
  <si>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</si>
  <si>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</si>
  <si>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</si>
  <si>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</si>
  <si>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</si>
  <si>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</si>
  <si>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</si>
  <si>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</si>
  <si>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</si>
  <si>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</si>
  <si>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</si>
  <si>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</si>
  <si>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</si>
  <si>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</si>
  <si>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</si>
  <si>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</si>
  <si>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</si>
  <si>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</si>
  <si>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</si>
  <si>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</si>
  <si>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</si>
  <si>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</si>
  <si>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</si>
  <si>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</si>
  <si>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</si>
  <si>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</si>
  <si>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</si>
  <si>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</si>
  <si>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</si>
  <si>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</si>
  <si>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</si>
  <si>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</si>
  <si>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</si>
  <si>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</si>
  <si>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</si>
  <si>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26J丶1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</si>
  <si>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</si>
  <si>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</si>
  <si>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</si>
  <si>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</si>
  <si>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</si>
  <si>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</si>
  <si>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</si>
  <si>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</si>
  <si>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</si>
  <si>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</si>
  <si>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</si>
  <si>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</si>
  <si>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</si>
  <si>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</si>
  <si>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</si>
  <si>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</si>
  <si>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</si>
  <si>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</si>
  <si>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SPTN-&gt; solar fabrk</t>
  </si>
  <si>
    <t>DE0126080400009</t>
  </si>
  <si>
    <t>POPV260903007</t>
  </si>
  <si>
    <t>TPVB20260731025-1</t>
  </si>
  <si>
    <t>EGLV149607977931</t>
  </si>
  <si>
    <t>EGLV149606435972</t>
  </si>
  <si>
    <t>26May011.18</t>
  </si>
  <si>
    <t>Energy 3000 -&gt; hold</t>
  </si>
  <si>
    <t>POPV260806028</t>
  </si>
  <si>
    <t>TPVB20260731025</t>
  </si>
  <si>
    <t>26May012.18</t>
  </si>
  <si>
    <t xml:space="preserve">
POPV260903008</t>
  </si>
  <si>
    <t>26May012.18.01</t>
  </si>
  <si>
    <t xml:space="preserve">
POPV260903009</t>
  </si>
  <si>
    <t>COSCO SHIPPING HIMALAYAS 048W</t>
  </si>
  <si>
    <t>TPVB20260731028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</si>
  <si>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</si>
  <si>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</si>
  <si>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</si>
  <si>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</si>
  <si>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</si>
  <si>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</si>
  <si>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</si>
  <si>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</si>
  <si>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</si>
  <si>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</si>
  <si>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</si>
  <si>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</si>
  <si>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</si>
  <si>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</si>
  <si>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</si>
  <si>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</si>
  <si>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</si>
  <si>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</si>
  <si>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</si>
  <si>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</si>
  <si>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</si>
  <si>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</si>
  <si>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</si>
  <si>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</si>
  <si>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</si>
  <si>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</si>
  <si>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</si>
  <si>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</si>
  <si>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</si>
  <si>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</si>
  <si>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</si>
  <si>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</si>
  <si>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</si>
  <si>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</si>
  <si>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</si>
  <si>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</si>
  <si>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GF0700001535</t>
  </si>
  <si>
    <t>HSM-NT48-JH470 CFP</t>
  </si>
  <si>
    <t>POPV260821028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</si>
  <si>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</si>
  <si>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</si>
  <si>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</si>
  <si>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</si>
  <si>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</si>
  <si>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</si>
  <si>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</si>
  <si>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</si>
  <si>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</si>
  <si>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</si>
  <si>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</si>
  <si>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</si>
  <si>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</si>
  <si>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</si>
  <si>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</si>
  <si>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</si>
  <si>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</si>
  <si>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</si>
  <si>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</si>
  <si>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</si>
  <si>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</si>
  <si>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</si>
  <si>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</si>
  <si>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</si>
  <si>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</si>
  <si>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</si>
  <si>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</si>
  <si>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</si>
  <si>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</si>
  <si>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</si>
  <si>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</si>
  <si>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</si>
  <si>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</si>
  <si>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</si>
  <si>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</si>
  <si>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</si>
  <si>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</si>
  <si>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</si>
  <si>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</si>
  <si>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</si>
  <si>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</si>
  <si>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</si>
  <si>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</si>
  <si>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</si>
  <si>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</si>
  <si>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</si>
  <si>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</si>
  <si>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</si>
  <si>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</si>
  <si>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</si>
  <si>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</si>
  <si>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</si>
  <si>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</si>
  <si>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</si>
  <si>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</si>
  <si>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</si>
  <si>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</si>
  <si>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</si>
  <si>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</si>
  <si>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</si>
  <si>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</si>
  <si>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</si>
  <si>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</si>
  <si>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</si>
  <si>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</si>
  <si>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</si>
  <si>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</si>
  <si>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</si>
  <si>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</si>
  <si>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</si>
  <si>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</si>
  <si>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</si>
  <si>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</si>
  <si>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</si>
  <si>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</si>
  <si>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</si>
  <si>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</si>
  <si>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</si>
  <si>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</si>
  <si>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</si>
  <si>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</si>
  <si>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</si>
  <si>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</si>
  <si>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</si>
  <si>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</si>
  <si>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</si>
  <si>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</si>
  <si>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</si>
  <si>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</si>
  <si>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</si>
  <si>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</si>
  <si>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</si>
  <si>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</si>
  <si>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</si>
  <si>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</si>
  <si>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</si>
  <si>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</si>
  <si>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</si>
  <si>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</si>
  <si>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</si>
  <si>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</si>
  <si>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</si>
  <si>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</si>
  <si>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</si>
  <si>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</si>
  <si>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</si>
  <si>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</si>
  <si>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</si>
  <si>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</si>
  <si>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POPV260901007</t>
  </si>
  <si>
    <t>TPVB20260833019-1</t>
  </si>
  <si>
    <t>COSU6462350050-&gt;COSU6462350051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</si>
  <si>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</si>
  <si>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</si>
  <si>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</si>
  <si>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</si>
  <si>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</si>
  <si>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</si>
  <si>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</si>
  <si>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</si>
  <si>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</si>
  <si>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</si>
  <si>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</si>
  <si>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</si>
  <si>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</si>
  <si>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</si>
  <si>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</si>
  <si>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</si>
  <si>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</si>
  <si>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</si>
  <si>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</si>
  <si>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</si>
  <si>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</si>
  <si>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</si>
  <si>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</si>
  <si>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</si>
  <si>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</si>
  <si>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</si>
  <si>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</si>
  <si>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</si>
  <si>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</si>
  <si>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</si>
  <si>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</si>
  <si>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</si>
  <si>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</si>
  <si>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</si>
  <si>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</si>
  <si>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</si>
  <si>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</si>
  <si>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</si>
  <si>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</si>
  <si>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</si>
  <si>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</si>
  <si>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</si>
  <si>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</si>
  <si>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</si>
  <si>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</si>
  <si>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</si>
  <si>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</si>
  <si>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</si>
  <si>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</si>
  <si>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</si>
  <si>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</si>
  <si>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</si>
  <si>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</si>
  <si>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</si>
  <si>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</si>
  <si>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</si>
  <si>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</si>
  <si>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</si>
  <si>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</si>
  <si>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</si>
  <si>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</si>
  <si>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</si>
  <si>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</si>
  <si>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</si>
  <si>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</si>
  <si>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</si>
  <si>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</si>
  <si>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</si>
  <si>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</si>
  <si>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</si>
  <si>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</si>
  <si>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</si>
  <si>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</si>
  <si>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</si>
  <si>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</si>
  <si>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</si>
  <si>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26Jul017.02</t>
  </si>
  <si>
    <t>POPV260814054</t>
  </si>
  <si>
    <t>COSCO SHIPPING GALAXY 030W转 COSCO SHIPPING LIBRA 036W</t>
  </si>
  <si>
    <t>TPVB20260833006</t>
  </si>
  <si>
    <t>COSU9508762590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</si>
  <si>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</si>
  <si>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</si>
  <si>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</si>
  <si>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</si>
  <si>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</si>
  <si>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</si>
  <si>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</si>
  <si>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</si>
  <si>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</si>
  <si>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</si>
  <si>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</si>
  <si>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</si>
  <si>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</si>
  <si>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</si>
  <si>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</si>
  <si>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</si>
  <si>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</si>
  <si>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</si>
  <si>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</si>
  <si>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</si>
  <si>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</si>
  <si>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</si>
  <si>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</si>
  <si>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</si>
  <si>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</si>
  <si>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</si>
  <si>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</si>
  <si>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</si>
  <si>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</si>
  <si>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</si>
  <si>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</si>
  <si>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</si>
  <si>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</si>
  <si>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</si>
  <si>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26Jul011.12</t>
  </si>
  <si>
    <t>POPV260821030</t>
  </si>
  <si>
    <t>COSCO SHIPPING SOLAR 037W</t>
  </si>
  <si>
    <t>TPVB20260833028</t>
  </si>
  <si>
    <t>COSU9508944650</t>
  </si>
  <si>
    <t>26Jun006.01.01</t>
  </si>
  <si>
    <t>POPV260821056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</si>
  <si>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</si>
  <si>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</si>
  <si>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</si>
  <si>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</si>
  <si>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</si>
  <si>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</si>
  <si>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</si>
  <si>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</si>
  <si>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</si>
  <si>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</si>
  <si>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</si>
  <si>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</si>
  <si>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</si>
  <si>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</si>
  <si>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</si>
  <si>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</si>
  <si>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</si>
  <si>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</si>
  <si>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</si>
  <si>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</si>
  <si>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</si>
  <si>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</si>
  <si>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</si>
  <si>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</si>
  <si>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</si>
  <si>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</si>
  <si>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</si>
  <si>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</si>
  <si>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</si>
  <si>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</si>
  <si>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</si>
  <si>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</si>
  <si>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</si>
  <si>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</si>
  <si>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</si>
  <si>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</si>
  <si>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</si>
  <si>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</si>
  <si>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</si>
  <si>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</si>
  <si>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</si>
  <si>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</si>
  <si>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</si>
  <si>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</si>
  <si>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</si>
  <si>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</si>
  <si>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</si>
  <si>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</si>
  <si>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</si>
  <si>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</si>
  <si>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</si>
  <si>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</si>
  <si>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</si>
  <si>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</si>
  <si>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</si>
  <si>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</si>
  <si>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</si>
  <si>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</si>
  <si>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</si>
  <si>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</si>
  <si>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</si>
  <si>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</si>
  <si>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</si>
  <si>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PLISH7H42464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</si>
  <si>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</si>
  <si>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</si>
  <si>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</si>
  <si>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</si>
  <si>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</si>
  <si>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</si>
  <si>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</si>
  <si>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</si>
  <si>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</si>
  <si>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</si>
  <si>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</si>
  <si>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</si>
  <si>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</si>
  <si>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</si>
  <si>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</si>
  <si>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</si>
  <si>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</si>
  <si>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</si>
  <si>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</si>
  <si>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</si>
  <si>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</si>
  <si>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</si>
  <si>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</si>
  <si>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</si>
  <si>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</si>
  <si>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</si>
  <si>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</si>
  <si>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EVER GIFTED 0767-030W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</si>
  <si>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</si>
  <si>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</si>
  <si>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</si>
  <si>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</si>
  <si>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</si>
  <si>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</si>
  <si>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</si>
  <si>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</si>
  <si>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</si>
  <si>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</si>
  <si>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</si>
  <si>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</si>
  <si>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</si>
  <si>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</si>
  <si>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</si>
  <si>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</si>
  <si>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</si>
  <si>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</si>
  <si>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</si>
  <si>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</si>
  <si>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</si>
  <si>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</si>
  <si>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</si>
  <si>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</si>
  <si>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</si>
  <si>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</si>
  <si>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</si>
  <si>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</si>
  <si>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26Jul004.03</t>
  </si>
  <si>
    <t>POPV260911046</t>
  </si>
  <si>
    <t>MAERSK EL PALOMAR 633W</t>
  </si>
  <si>
    <t>TPVB20260834011</t>
  </si>
  <si>
    <t>26Jul016.07</t>
  </si>
  <si>
    <t>POPV260911050</t>
  </si>
  <si>
    <t>26Jul016.10</t>
  </si>
  <si>
    <t>七月31日</t>
  </si>
  <si>
    <t>POPV260911053</t>
  </si>
  <si>
    <t>TPVB20260834031</t>
  </si>
  <si>
    <t>26Aug001.01</t>
  </si>
  <si>
    <t>POPV260911061</t>
  </si>
  <si>
    <t>26Jul019.02</t>
  </si>
  <si>
    <t>POPV260911054</t>
  </si>
  <si>
    <t>26Aug002.01</t>
  </si>
  <si>
    <t>n/a</t>
    <phoneticPr fontId="0" type="noConversion"/>
  </si>
  <si>
    <t>POPV260904017</t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</si>
  <si>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</si>
  <si>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</si>
  <si>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</si>
  <si>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</si>
  <si>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</si>
  <si>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</si>
  <si>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</si>
  <si>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POPV260902032</t>
  </si>
  <si>
    <t>EVER ATOP 1415W</t>
  </si>
  <si>
    <t>TPVB20260834039</t>
  </si>
  <si>
    <t>COSU9509346010</t>
  </si>
  <si>
    <t>26Aug008.02.01</t>
  </si>
  <si>
    <t>SPUK/Greentech Glasgow 669</t>
  </si>
  <si>
    <t>POPV260902033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</si>
  <si>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</si>
  <si>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</si>
  <si>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</si>
  <si>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</si>
  <si>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</si>
  <si>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</si>
  <si>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</si>
  <si>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ongoing B/L change</t>
  </si>
  <si>
    <t>Ecostal Yomatec--&gt;SPTN</t>
  </si>
  <si>
    <t>FR0126072800016</t>
  </si>
  <si>
    <t>POPV260902026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</si>
  <si>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</si>
  <si>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</si>
  <si>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</si>
  <si>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</si>
  <si>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</si>
  <si>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</si>
  <si>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</si>
  <si>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</si>
  <si>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POPV260911040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</si>
  <si>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</si>
  <si>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</si>
  <si>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</si>
  <si>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</si>
  <si>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</si>
  <si>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</si>
  <si>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</si>
  <si>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</si>
  <si>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</si>
  <si>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</si>
  <si>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</si>
  <si>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</si>
  <si>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</si>
  <si>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</si>
  <si>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</si>
  <si>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</si>
  <si>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</si>
  <si>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</si>
  <si>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</si>
  <si>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</si>
  <si>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</si>
  <si>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</si>
  <si>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POPV260902019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</si>
  <si>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</si>
  <si>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</si>
  <si>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</si>
  <si>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</si>
  <si>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</si>
  <si>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</si>
  <si>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</si>
  <si>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</si>
  <si>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</si>
  <si>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</si>
  <si>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</si>
  <si>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</si>
  <si>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</si>
  <si>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</si>
  <si>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</si>
  <si>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</si>
  <si>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</si>
  <si>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</si>
  <si>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</si>
  <si>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</si>
  <si>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</si>
  <si>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</si>
  <si>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</si>
  <si>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</si>
  <si>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</si>
  <si>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</si>
  <si>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</si>
  <si>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</si>
  <si>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</si>
  <si>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</si>
  <si>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</si>
  <si>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</si>
  <si>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</si>
  <si>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</si>
  <si>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</si>
  <si>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</si>
  <si>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</si>
  <si>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</si>
  <si>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</si>
  <si>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</si>
  <si>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</si>
  <si>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</si>
  <si>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</si>
  <si>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</si>
  <si>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</si>
  <si>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</si>
  <si>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</si>
  <si>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</si>
  <si>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</si>
  <si>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</si>
  <si>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</si>
  <si>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</si>
  <si>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</si>
  <si>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26May008.02</t>
  </si>
  <si>
    <t>POPV260814028</t>
  </si>
  <si>
    <t>MSC AMELIA QS634A</t>
  </si>
  <si>
    <t>TPVB20260834013</t>
  </si>
  <si>
    <t>177KVBTTXVNN3407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</si>
  <si>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</si>
  <si>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</si>
  <si>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</si>
  <si>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</si>
  <si>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</si>
  <si>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</si>
  <si>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</si>
  <si>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POPV260828032</t>
  </si>
  <si>
    <t>OOCL SPAIN 013W</t>
  </si>
  <si>
    <t>TPVB20260835016</t>
  </si>
  <si>
    <t>COSU6464353550</t>
  </si>
  <si>
    <t>26Jul017.01.02</t>
  </si>
  <si>
    <t>POPV260902020</t>
  </si>
  <si>
    <t>TPVB20260835014</t>
  </si>
  <si>
    <t>COSU6463656670</t>
  </si>
  <si>
    <t>26Aug002.05</t>
  </si>
  <si>
    <t>POPV260902017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</si>
  <si>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</si>
  <si>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</si>
  <si>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</si>
  <si>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</si>
  <si>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</si>
  <si>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</si>
  <si>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</si>
  <si>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</si>
  <si>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</si>
  <si>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</si>
  <si>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</si>
  <si>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</si>
  <si>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</si>
  <si>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</si>
  <si>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</si>
  <si>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</si>
  <si>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</si>
  <si>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</si>
  <si>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</si>
  <si>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</si>
  <si>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</si>
  <si>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</si>
  <si>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</si>
  <si>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</si>
  <si>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</si>
  <si>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</si>
  <si>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TPVB20260835010</t>
  </si>
  <si>
    <t>CHN3830802</t>
  </si>
  <si>
    <t>26Aug025.06</t>
  </si>
  <si>
    <t>POPV260828038</t>
  </si>
  <si>
    <t>TPVB20260835002</t>
  </si>
  <si>
    <t>CHN3830701A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</si>
  <si>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</si>
  <si>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</si>
  <si>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</si>
  <si>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</si>
  <si>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</si>
  <si>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</si>
  <si>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</si>
  <si>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TPVB20260835030</t>
  </si>
  <si>
    <t>CHN3830701B</t>
  </si>
  <si>
    <t>26Aug009.01</t>
  </si>
  <si>
    <t>POPV260904009</t>
  </si>
  <si>
    <t>TPVB20260835025</t>
  </si>
  <si>
    <t>EGLV149606777784</t>
  </si>
  <si>
    <t>26Aug025.07</t>
  </si>
  <si>
    <t>POPV260904015</t>
  </si>
  <si>
    <t>26Jul010.02</t>
  </si>
  <si>
    <t>POPV260904012</t>
  </si>
  <si>
    <t>TPVB20260835026</t>
  </si>
  <si>
    <t>EGLV149608002216</t>
  </si>
  <si>
    <t>26Jun015.07.03</t>
  </si>
  <si>
    <t>w35 PICK-UP</t>
    <phoneticPr fontId="0" type="noConversion"/>
  </si>
  <si>
    <t>replacemnet</t>
  </si>
  <si>
    <t>POPV260904014</t>
  </si>
  <si>
    <t>TPVB20260835027</t>
  </si>
  <si>
    <t>EGLV149608002437</t>
  </si>
  <si>
    <t>26Aug010.10</t>
  </si>
  <si>
    <t>FAST FORWARD THINKING</t>
  </si>
  <si>
    <t>GR0126081900006</t>
  </si>
  <si>
    <t>POPV260902027</t>
  </si>
  <si>
    <t>Thessaloniki</t>
  </si>
  <si>
    <t>OOCL INDONESIA 037W</t>
  </si>
  <si>
    <t>TPVB20260835028</t>
  </si>
  <si>
    <t>COSU6464798030</t>
  </si>
  <si>
    <t>26Aug002.03</t>
  </si>
  <si>
    <t>POPV260902016</t>
  </si>
  <si>
    <t>TPVB20260835019</t>
  </si>
  <si>
    <t>COSU6464354100</t>
  </si>
  <si>
    <t>26Jul016.09</t>
  </si>
  <si>
    <t>POPV260902021</t>
  </si>
  <si>
    <t>CMA CGM ALEXANDER VON HUMBOLDT 0MEONW1MA</t>
  </si>
  <si>
    <t>TPVB20260835020</t>
  </si>
  <si>
    <t>COSU6463662040</t>
  </si>
  <si>
    <t>26Aug001.02</t>
  </si>
  <si>
    <t>POPV260911060</t>
  </si>
  <si>
    <t>MARY MAERSK 635W</t>
  </si>
  <si>
    <t>TPVB20260835004</t>
  </si>
  <si>
    <t>26Jul016.05</t>
  </si>
  <si>
    <t>POPV260911049</t>
  </si>
  <si>
    <t>26Aug019.03</t>
  </si>
  <si>
    <t>POPV260911057</t>
  </si>
  <si>
    <t>26Jul004.03.01</t>
  </si>
  <si>
    <t>POPV260902028</t>
  </si>
  <si>
    <t>TPVB20260835029</t>
  </si>
  <si>
    <t>COSU6464243200</t>
  </si>
  <si>
    <t>26Aug019.02</t>
  </si>
  <si>
    <t>n/a</t>
    <phoneticPr fontId="6" type="noConversion"/>
  </si>
  <si>
    <t>POPV260902036</t>
  </si>
  <si>
    <t>26Jul014.05</t>
  </si>
  <si>
    <t>POPV260902022</t>
  </si>
  <si>
    <t>CMA CGM ALEXANDER VON 
HUMBOLDT 0MEONW1MA</t>
  </si>
  <si>
    <t>TPVB20260835021</t>
  </si>
  <si>
    <t>COSU6463660760</t>
  </si>
  <si>
    <t>26Jul017.01</t>
  </si>
  <si>
    <t>POPV260904011</t>
  </si>
  <si>
    <t>TPVB20260835005</t>
  </si>
  <si>
    <t>COSU9509312590</t>
  </si>
  <si>
    <t>26Aug007.02.02</t>
  </si>
  <si>
    <t>POPV260904007</t>
  </si>
  <si>
    <t>TPVB20260835007</t>
  </si>
  <si>
    <t>COSU9509256240</t>
  </si>
  <si>
    <t>26Aug007.07</t>
  </si>
  <si>
    <t>POPV260904008</t>
  </si>
  <si>
    <t>TPVB20260835009</t>
  </si>
  <si>
    <t>COSU9509255750</t>
  </si>
  <si>
    <t>26Aug007.02.02.02</t>
  </si>
  <si>
    <t>POPV260902018</t>
  </si>
  <si>
    <t>ONE FOREVER/010W</t>
  </si>
  <si>
    <t>other</t>
  </si>
  <si>
    <t>TPVB20260835006</t>
  </si>
  <si>
    <t>N232636432</t>
  </si>
  <si>
    <t>26Aug008.02</t>
  </si>
  <si>
    <t>POPV260902034</t>
  </si>
  <si>
    <t>EVER GREET 1416W</t>
  </si>
  <si>
    <t>TPVB20260835011</t>
  </si>
  <si>
    <t>COSU9509265340</t>
  </si>
  <si>
    <t>26Jul007.06.01</t>
  </si>
  <si>
    <t>POPV260902024</t>
  </si>
  <si>
    <t xml:space="preserve">CMA CGM ALEXANDER VON </t>
  </si>
  <si>
    <t>TPVB20260835008</t>
  </si>
  <si>
    <t>COSU9509256340</t>
  </si>
  <si>
    <t>26Aug003.03</t>
  </si>
  <si>
    <t>POPV260902023</t>
  </si>
  <si>
    <t>COSCO SHIPPING STAR 030W</t>
  </si>
  <si>
    <t>TPVB20260835012</t>
  </si>
  <si>
    <t>COSU9509275330</t>
  </si>
  <si>
    <t>26Aug004.04.01</t>
  </si>
  <si>
    <t>POPV260902025</t>
  </si>
  <si>
    <t>26Aug004.06</t>
  </si>
  <si>
    <t>POPV260828028</t>
  </si>
  <si>
    <t>TPVB20260835023</t>
  </si>
  <si>
    <t>COSU9509296080</t>
  </si>
  <si>
    <t>26Aug006.01</t>
  </si>
  <si>
    <t>八月20日</t>
  </si>
  <si>
    <t>POPV260902030</t>
  </si>
  <si>
    <t>TPVB20260835024</t>
  </si>
  <si>
    <t>COSU9509296500</t>
  </si>
  <si>
    <t>26Jun021.07.04</t>
  </si>
  <si>
    <t>POPV260902029</t>
  </si>
  <si>
    <t>TPVB20260835013</t>
  </si>
  <si>
    <t>COSU9509296870</t>
  </si>
  <si>
    <t>26Jun021.10</t>
  </si>
  <si>
    <t>POPV260902031</t>
  </si>
  <si>
    <t>MSC AMBRA QS636A</t>
  </si>
  <si>
    <t>TPVB20260835015</t>
  </si>
  <si>
    <t>177KVBTTXVNN3613</t>
  </si>
  <si>
    <t>26Aug004.04.02</t>
  </si>
  <si>
    <t>POPV260902035</t>
  </si>
  <si>
    <t>26Aug009.01.01</t>
  </si>
  <si>
    <t>POPV260911032</t>
  </si>
  <si>
    <t>CMA CGM CHAMPS ELYSEES / 0FMN4W1MA</t>
  </si>
  <si>
    <t>TPVB20260936001</t>
  </si>
  <si>
    <t>CHN3880669</t>
  </si>
  <si>
    <t>26Aug025.02</t>
  </si>
  <si>
    <t>POPV260911045</t>
  </si>
  <si>
    <t>26Aug002.06</t>
  </si>
  <si>
    <t>POPV260904016</t>
  </si>
  <si>
    <t>OOCL VALENCIA 011W</t>
  </si>
  <si>
    <t>TPVB20260936008</t>
  </si>
  <si>
    <t>COSU6464780390</t>
  </si>
  <si>
    <t>26Aug009.02</t>
  </si>
  <si>
    <t>POPV260911038</t>
  </si>
  <si>
    <t>TPVB20260936009</t>
  </si>
  <si>
    <t>COSU6464774420</t>
  </si>
  <si>
    <t>26Aug009.04</t>
  </si>
  <si>
    <t>POPV260911042</t>
  </si>
  <si>
    <t>EVER APEX 1417-015W</t>
  </si>
  <si>
    <t>TPVB20260936011</t>
  </si>
  <si>
    <t>COSU6464775680</t>
  </si>
  <si>
    <t>26Aug009.06</t>
  </si>
  <si>
    <t>POPV260911043</t>
  </si>
  <si>
    <t>OOCL UNITED KINGDOM 038W</t>
  </si>
  <si>
    <t>TPVB20260936012</t>
  </si>
  <si>
    <t>COSU6464778420</t>
  </si>
  <si>
    <t>26Aug019.01</t>
  </si>
  <si>
    <t>POPV260911058</t>
  </si>
  <si>
    <t>CMA CGM PATAGONIA 0MEOPW1MA</t>
  </si>
  <si>
    <t>TPVB20260936013</t>
  </si>
  <si>
    <t>COSU6464781690</t>
  </si>
  <si>
    <t>26Aug005.03</t>
  </si>
  <si>
    <t>Tianjin(transport to yixing for  shipment)</t>
  </si>
  <si>
    <t>Keep for FR</t>
  </si>
  <si>
    <t>POPV260911062</t>
  </si>
  <si>
    <t>CSCL PACIFIC OCEAN 067W</t>
  </si>
  <si>
    <t>TPVB20260936014</t>
  </si>
  <si>
    <t>COSU6464783150</t>
  </si>
  <si>
    <t>26Aug006.03</t>
  </si>
  <si>
    <t>Tianjin (transport to yixing for shipment)</t>
  </si>
  <si>
    <t>POPV260911065</t>
  </si>
  <si>
    <t>26Aug010.13</t>
  </si>
  <si>
    <t>POPV260904010</t>
  </si>
  <si>
    <t>COSCO SHIPPING ROSE 047W</t>
  </si>
  <si>
    <t>TPVB20260936015</t>
  </si>
  <si>
    <t>COSU6464784160</t>
  </si>
  <si>
    <t>26Aug010.15</t>
  </si>
  <si>
    <t>POPV260911044</t>
  </si>
  <si>
    <t>TPVB20260936016</t>
  </si>
  <si>
    <t>COSU6465498240</t>
  </si>
  <si>
    <t>26Aug020.01</t>
  </si>
  <si>
    <t>POPV260911051</t>
  </si>
  <si>
    <t>EUGEN MAERSK</t>
  </si>
  <si>
    <t>TPVB20260936002</t>
  </si>
  <si>
    <t>26Aug010.06</t>
  </si>
  <si>
    <t>AVJ CONSTRUCTIONS </t>
  </si>
  <si>
    <t>U2</t>
    <phoneticPr fontId="0" type="noConversion"/>
  </si>
  <si>
    <t>RS0126081900007</t>
  </si>
  <si>
    <t>Yes</t>
    <phoneticPr fontId="6" type="noConversion"/>
  </si>
  <si>
    <t>POPV260918060</t>
  </si>
  <si>
    <t>TPVB20260836004</t>
  </si>
  <si>
    <t>EGLV149607783982</t>
  </si>
  <si>
    <t>26Aug006.01.01</t>
  </si>
  <si>
    <t>Tianjin to Yixing</t>
  </si>
  <si>
    <t>POPV260918037</t>
  </si>
  <si>
    <t>CMA CGM KERGUELEN 0MEORW</t>
  </si>
  <si>
    <t>TPVB20260936017</t>
  </si>
  <si>
    <t>COSU9509736950</t>
  </si>
  <si>
    <t>26Aug006.05</t>
  </si>
  <si>
    <t>POPV260924025</t>
  </si>
  <si>
    <t>TPVB20260936018</t>
  </si>
  <si>
    <t>COSU9509736980</t>
  </si>
  <si>
    <t>26Aug005.07</t>
  </si>
  <si>
    <t>POPV260924018</t>
  </si>
  <si>
    <t>26Aug006.06</t>
  </si>
  <si>
    <t>POPV261010011</t>
  </si>
  <si>
    <t>EVER GRADE 029W</t>
  </si>
  <si>
    <t>TPVB20260936019</t>
  </si>
  <si>
    <t>COSU9509739210</t>
  </si>
  <si>
    <t>26Jul009.02</t>
  </si>
  <si>
    <t>GF0700001541</t>
  </si>
  <si>
    <t>HSM-NT48-HH475</t>
  </si>
  <si>
    <t>POPV260918046</t>
  </si>
  <si>
    <t>TPVB20260936003</t>
  </si>
  <si>
    <t>COSU9509606910</t>
  </si>
  <si>
    <t>26Jul009.04</t>
  </si>
  <si>
    <t>POPV260918045</t>
  </si>
  <si>
    <t>EVER APEX 1417W</t>
  </si>
  <si>
    <t>TPVB20260936007</t>
  </si>
  <si>
    <t>COSU9509606920</t>
  </si>
  <si>
    <t>26Aug010.16</t>
  </si>
  <si>
    <t>POPV260918063</t>
  </si>
  <si>
    <t>26Aug020.07</t>
  </si>
  <si>
    <t>POPV260918053</t>
  </si>
  <si>
    <t>26Jul007.05</t>
  </si>
  <si>
    <t>七月18日</t>
  </si>
  <si>
    <t>POPV260911035</t>
  </si>
  <si>
    <t>TPVB20260936005</t>
  </si>
  <si>
    <t>COSU9509650560</t>
  </si>
  <si>
    <t>26Jul007.06</t>
  </si>
  <si>
    <t>POPV260911039</t>
  </si>
  <si>
    <t>TPVB20260936006</t>
  </si>
  <si>
    <t>COSU9509488350</t>
  </si>
  <si>
    <t>26Aug005</t>
  </si>
  <si>
    <t>POPV260904018</t>
  </si>
  <si>
    <t>COSCO SHIPPING ARIES 038W</t>
  </si>
  <si>
    <t>TPVB20260836005</t>
  </si>
  <si>
    <t>COSU9509531260</t>
  </si>
  <si>
    <t>26Aug005.04</t>
  </si>
  <si>
    <t>POPV260904019</t>
  </si>
  <si>
    <t>TPVB20260836006</t>
  </si>
  <si>
    <t>COSU9509531180</t>
  </si>
  <si>
    <t>26Jun021.01</t>
  </si>
  <si>
    <t>HC500改FOS 补舱</t>
  </si>
  <si>
    <t>POPV260904013</t>
  </si>
  <si>
    <t>TPVB20260836002</t>
  </si>
  <si>
    <t>COSU6464983000</t>
  </si>
  <si>
    <t>26Jun021.02</t>
  </si>
  <si>
    <t>POPV260911066</t>
  </si>
  <si>
    <t>TPVB20260836003</t>
  </si>
  <si>
    <t>COSU9509511700</t>
  </si>
  <si>
    <t>26Aug011.01</t>
  </si>
  <si>
    <t>DE0126080600001</t>
  </si>
  <si>
    <t>GF0700002174</t>
  </si>
  <si>
    <t>POPV260911029</t>
  </si>
  <si>
    <t>MSC OLIVER V.GT636W</t>
  </si>
  <si>
    <t>TPVB20260836001</t>
  </si>
  <si>
    <t>SYNSHA26SE090924</t>
  </si>
  <si>
    <t>N235186781</t>
  </si>
  <si>
    <t>26Aug012.01</t>
  </si>
  <si>
    <t>GF0700002178</t>
  </si>
  <si>
    <t>POPV260911033</t>
  </si>
  <si>
    <t>26Aug003.02</t>
  </si>
  <si>
    <t>Tianjin(transport to Yixing for shipment)</t>
  </si>
  <si>
    <t>PL0126090800021</t>
  </si>
  <si>
    <t>Gdasnk</t>
  </si>
  <si>
    <t>POPV260915017</t>
  </si>
  <si>
    <t>OOCL FINLAND 009W</t>
  </si>
  <si>
    <t>TPVB20260937012</t>
  </si>
  <si>
    <t>COSU6465715640</t>
  </si>
  <si>
    <t>26Aug020.05</t>
  </si>
  <si>
    <t>POPV260918032</t>
  </si>
  <si>
    <t>EVER ALLY 0LAO1W1MA/1419004W</t>
  </si>
  <si>
    <t xml:space="preserve">TPVB20260937001 </t>
  </si>
  <si>
    <t>CHN3908478</t>
  </si>
  <si>
    <t>26Jul009.01</t>
  </si>
  <si>
    <t>POPV260918044</t>
  </si>
  <si>
    <t>CHN3908494</t>
  </si>
  <si>
    <t>26Aug020.04</t>
  </si>
  <si>
    <t>POPV260918033</t>
  </si>
  <si>
    <t>26Jun033.03</t>
  </si>
  <si>
    <t>w37 PICK-UP</t>
    <phoneticPr fontId="6" type="noConversion"/>
  </si>
  <si>
    <t>POPV260918049</t>
  </si>
  <si>
    <t>CMA CGM SEINE / 0FMMWW1MA</t>
  </si>
  <si>
    <t>TPVB20260937002</t>
  </si>
  <si>
    <t>CHN3908524</t>
  </si>
  <si>
    <t>26Jul009.05</t>
  </si>
  <si>
    <t>POPV260918043</t>
  </si>
  <si>
    <t>CHN3908534</t>
  </si>
  <si>
    <t>26Aug020.02</t>
  </si>
  <si>
    <t>POPV260918041</t>
  </si>
  <si>
    <t>26Aug002.08</t>
  </si>
  <si>
    <t>POPV260911059</t>
  </si>
  <si>
    <t>EVER GLOBE 1418-027W</t>
  </si>
  <si>
    <t>TPVB20260937007</t>
  </si>
  <si>
    <t>COSU6465717250</t>
  </si>
  <si>
    <t>26Jun033.02</t>
  </si>
  <si>
    <t>POPV260911034</t>
  </si>
  <si>
    <t>26Jul009.03</t>
  </si>
  <si>
    <t>POPV260911052</t>
  </si>
  <si>
    <t>COSCO FORTUNE 084W</t>
  </si>
  <si>
    <t>TPVB20260937006</t>
  </si>
  <si>
    <t>COSU6466066070</t>
  </si>
  <si>
    <t>26Jul020.01</t>
  </si>
  <si>
    <t>GF0700002179</t>
  </si>
  <si>
    <t>HSM-NT48-HH480</t>
  </si>
  <si>
    <t>POPV260911056</t>
  </si>
  <si>
    <t>26Aug009.08</t>
  </si>
  <si>
    <t>POPV260918035</t>
  </si>
  <si>
    <t>TPVB20260937008</t>
  </si>
  <si>
    <t>COSU6466067620</t>
  </si>
  <si>
    <t>26Aug009.07</t>
  </si>
  <si>
    <t>POPV260918034</t>
  </si>
  <si>
    <t>TPVB20260937003</t>
  </si>
  <si>
    <t>EGLV149607770881</t>
  </si>
  <si>
    <t>26Aug025.03</t>
  </si>
  <si>
    <t>POPV260918030</t>
  </si>
  <si>
    <t>26Aug006.02</t>
  </si>
  <si>
    <t>POPV260918039</t>
  </si>
  <si>
    <t>CMA CGM KERGUELEN 
0MEORW1MA</t>
  </si>
  <si>
    <t>TPVB20260937009</t>
  </si>
  <si>
    <t>COSU6465719640</t>
  </si>
  <si>
    <t>26Aug010.08</t>
  </si>
  <si>
    <t>w37 PICK-UP</t>
    <phoneticPr fontId="0" type="noConversion"/>
  </si>
  <si>
    <t>POPV260918061</t>
  </si>
  <si>
    <t>TEXAS TRIUMPH 039W</t>
  </si>
  <si>
    <t>TPVB20260837002</t>
  </si>
  <si>
    <t>EGLV149608078905</t>
  </si>
  <si>
    <t>26Jul006.02</t>
  </si>
  <si>
    <t>POPV260918047</t>
  </si>
  <si>
    <t>TPVB20260937011</t>
  </si>
  <si>
    <t>COSU9509811770</t>
  </si>
  <si>
    <t>26Aug020.03</t>
  </si>
  <si>
    <t>POPV260924032</t>
  </si>
  <si>
    <t>EVER GLOBE 1418W</t>
  </si>
  <si>
    <t>TPVB20260937010</t>
  </si>
  <si>
    <t>COSU9509811250</t>
  </si>
  <si>
    <t>26Aug020.06</t>
  </si>
  <si>
    <t>POPV260918048</t>
  </si>
  <si>
    <t>TPVB20260937013</t>
  </si>
  <si>
    <t>COSU9509912990</t>
  </si>
  <si>
    <t>26Aug005.01</t>
  </si>
  <si>
    <t>八月25日</t>
  </si>
  <si>
    <t>POPV260911063</t>
  </si>
  <si>
    <t>COSCO SHIPPING LEO 037W</t>
  </si>
  <si>
    <t>TPVB20260937004</t>
  </si>
  <si>
    <t>COSU9509601430</t>
  </si>
  <si>
    <t>26Aug005.06</t>
  </si>
  <si>
    <t>POPV260911064</t>
  </si>
  <si>
    <t>TPVB20260937005</t>
  </si>
  <si>
    <t>COSU9509601740</t>
  </si>
  <si>
    <t>26Aug011.05</t>
  </si>
  <si>
    <t>POPV260911030</t>
  </si>
  <si>
    <t>BIG GEORGE  26038E</t>
  </si>
  <si>
    <t>TPVB20260837001</t>
  </si>
  <si>
    <t>ONEYTSNG80406501</t>
  </si>
  <si>
    <t>ONEYTSNG80406500</t>
  </si>
  <si>
    <t>26Aug012</t>
  </si>
  <si>
    <t>POPV260911031</t>
  </si>
  <si>
    <t>26Jul007.08</t>
  </si>
  <si>
    <t>PL0126090800018</t>
  </si>
  <si>
    <t>POPV260921025</t>
  </si>
  <si>
    <t>OOCL TURKIYE 012W</t>
  </si>
  <si>
    <t>TPVB20260938001</t>
  </si>
  <si>
    <t>COSU6466858750</t>
  </si>
  <si>
    <t>26Aug010.11</t>
  </si>
  <si>
    <t>POPV260918062</t>
  </si>
  <si>
    <t>EVER ALLY 1419-004W</t>
  </si>
  <si>
    <t>TPVB20260938004</t>
  </si>
  <si>
    <t>COSU6467013360</t>
  </si>
  <si>
    <t>26Aug013.03</t>
  </si>
  <si>
    <t>DE0126080300006</t>
    <phoneticPr fontId="2" type="noConversion"/>
  </si>
  <si>
    <t>GF0700002173</t>
  </si>
  <si>
    <t>S4-DG490-108BC-FB</t>
  </si>
  <si>
    <t>Batch 1-11</t>
  </si>
  <si>
    <t>POPV260918029</t>
  </si>
  <si>
    <t>TPVB20260838005</t>
  </si>
  <si>
    <t>COSU6466678170</t>
  </si>
  <si>
    <t>26Aug014.07</t>
  </si>
  <si>
    <t>GF0700002172</t>
  </si>
  <si>
    <t>S4-DG485-108BC-FB</t>
  </si>
  <si>
    <t>POPV260918028</t>
  </si>
  <si>
    <t>26Aug014.01</t>
  </si>
  <si>
    <t>Batch 1-8</t>
  </si>
  <si>
    <t>POPV260921029</t>
  </si>
  <si>
    <t>COSCO SHIPPING ALPS 049W</t>
  </si>
  <si>
    <t>TPVB20260838006</t>
  </si>
  <si>
    <t>COSU6466631520</t>
  </si>
  <si>
    <t>26Aug016.01</t>
  </si>
  <si>
    <t>POPV260921030</t>
  </si>
  <si>
    <t>OOCL SCANDINAVIA 038W</t>
  </si>
  <si>
    <t>TPVB20260938005</t>
  </si>
  <si>
    <t>COSU6467015120</t>
  </si>
  <si>
    <t>26Aug005.05</t>
  </si>
  <si>
    <t>POPV260918040</t>
  </si>
  <si>
    <t>CMA CGM MARCO POLO 
0MEOTW1MA</t>
  </si>
  <si>
    <t>TPVB20260938006</t>
  </si>
  <si>
    <t>COSU6467017560</t>
  </si>
  <si>
    <t>26Aug015.01</t>
  </si>
  <si>
    <t>POPV260918027</t>
  </si>
  <si>
    <t>TPVB20260938007</t>
  </si>
  <si>
    <t>COSU6467016280</t>
  </si>
  <si>
    <t>26Aug010.14</t>
  </si>
  <si>
    <t>U2</t>
    <phoneticPr fontId="6" type="noConversion"/>
  </si>
  <si>
    <t>w38 PICK-UP</t>
    <phoneticPr fontId="6" type="noConversion"/>
  </si>
  <si>
    <t>ready-10.23快船，300pcs连接器一起出</t>
  </si>
  <si>
    <t>POPV260918059</t>
  </si>
  <si>
    <t>TPVB20260938008</t>
  </si>
  <si>
    <t>COSU6467090510</t>
  </si>
  <si>
    <t>26Aug016.03</t>
  </si>
  <si>
    <t>POPV260918026</t>
  </si>
  <si>
    <t>26Aug010.09</t>
  </si>
  <si>
    <t>w38 PICK-UP</t>
    <phoneticPr fontId="0" type="noConversion"/>
  </si>
  <si>
    <t>POPV261010010</t>
  </si>
  <si>
    <t>BRUSSELS MAERSK 639W</t>
  </si>
  <si>
    <t>TPVB20260938002</t>
  </si>
  <si>
    <t>26Aug010.17</t>
  </si>
  <si>
    <t>POPV261010009</t>
  </si>
  <si>
    <t>TPVB20260938003</t>
  </si>
  <si>
    <t>26Aug016.10</t>
  </si>
  <si>
    <t>POPV260924027</t>
  </si>
  <si>
    <t>TPVB20260838011</t>
  </si>
  <si>
    <t>COSU9510012530</t>
  </si>
  <si>
    <t>26Aug015.02</t>
  </si>
  <si>
    <t>POPV260929036</t>
  </si>
  <si>
    <t>EVER ALLY 1419W</t>
  </si>
  <si>
    <t>TPVB20260838009</t>
  </si>
  <si>
    <t>COSU6467892390</t>
  </si>
  <si>
    <t>26Aug016.05</t>
  </si>
  <si>
    <t>POPV260929032</t>
  </si>
  <si>
    <t>TPVB20260838010</t>
  </si>
  <si>
    <t>COSU9510035910</t>
  </si>
  <si>
    <t>26Jun021.03</t>
  </si>
  <si>
    <t>POPV260918042</t>
  </si>
  <si>
    <t>COSCO SHIPPING GEMINI 037W</t>
  </si>
  <si>
    <t>TPVB20260838004</t>
  </si>
  <si>
    <t>COSU9509786940</t>
  </si>
  <si>
    <t>26Aug006.07</t>
  </si>
  <si>
    <t>POPV260918036</t>
  </si>
  <si>
    <t>TPVB20260838007</t>
  </si>
  <si>
    <t>COSU9509787370</t>
  </si>
  <si>
    <t>26Aug011.02</t>
  </si>
  <si>
    <t>POPV260918052</t>
  </si>
  <si>
    <t>MSC METTE / GT637W</t>
  </si>
  <si>
    <t>TPVB20260838001</t>
  </si>
  <si>
    <t>SYNSHA26SE090890</t>
  </si>
  <si>
    <t>N235186779A</t>
  </si>
  <si>
    <t>26Aug011.03</t>
  </si>
  <si>
    <t>POPV260918051</t>
  </si>
  <si>
    <t>N235186779B</t>
  </si>
  <si>
    <t>26Aug011.06</t>
  </si>
  <si>
    <t>POPV260918050</t>
  </si>
  <si>
    <t>26Aug011.04</t>
  </si>
  <si>
    <t>POPV260921022</t>
  </si>
  <si>
    <t>MSC METTE  GT638W</t>
  </si>
  <si>
    <t>TPVB20260838008</t>
  </si>
  <si>
    <t>SKDFS2609166</t>
  </si>
  <si>
    <t>N235187239</t>
  </si>
  <si>
    <t>26Aug012.02</t>
  </si>
  <si>
    <t>POPV260921026</t>
  </si>
  <si>
    <t>26Aug025.04</t>
  </si>
  <si>
    <t>POPV260921023</t>
  </si>
  <si>
    <t>TPVB20260939001</t>
  </si>
  <si>
    <t>EGLV149608289604</t>
  </si>
  <si>
    <t xml:space="preserve">EGLV149608289604   </t>
  </si>
  <si>
    <t>26Aug015.10</t>
  </si>
  <si>
    <t>POPV260921024</t>
  </si>
  <si>
    <t>TPVB20260939004</t>
  </si>
  <si>
    <t>EGLV149608748919</t>
  </si>
  <si>
    <t>26Aug013.02</t>
  </si>
  <si>
    <t>Batch 1-11，9/20</t>
  </si>
  <si>
    <t>POPV260921027</t>
  </si>
  <si>
    <t>COSCO SHIPPING GEMINI
037W</t>
  </si>
  <si>
    <t>TPVB20260939005</t>
  </si>
  <si>
    <t>COSU6467917120</t>
  </si>
  <si>
    <t>26Aug014.03</t>
  </si>
  <si>
    <t>DE0126080300006</t>
  </si>
  <si>
    <t>Batch 2-8，9/20</t>
  </si>
  <si>
    <t>POPV260924026</t>
  </si>
  <si>
    <t>26Aug013.06</t>
  </si>
  <si>
    <t>Batch 3-5，9/26</t>
  </si>
  <si>
    <t>POPV260929034</t>
  </si>
  <si>
    <t>EVER ACT 1420-019W</t>
  </si>
  <si>
    <t>TPVB20260939006</t>
  </si>
  <si>
    <t>COSU6467917960</t>
  </si>
  <si>
    <t>26Aug013.05</t>
  </si>
  <si>
    <t>Batch 3-8，9/20</t>
  </si>
  <si>
    <t>POPV260924036</t>
  </si>
  <si>
    <t>COSCO SHIPPING ANDES 049W</t>
  </si>
  <si>
    <t>TPVB20260939007</t>
  </si>
  <si>
    <t>COSU6467919240</t>
  </si>
  <si>
    <t>26Aug013.01</t>
  </si>
  <si>
    <t>Batch 1-11，9/23</t>
  </si>
  <si>
    <t>POPV260924037</t>
  </si>
  <si>
    <t>TPVB20260939008</t>
  </si>
  <si>
    <t>COSU6467919750</t>
  </si>
  <si>
    <t>26Aug013.07</t>
  </si>
  <si>
    <t>POPV260924038</t>
  </si>
  <si>
    <t>26Aug014.05</t>
  </si>
  <si>
    <t>Batch 3-5，9/23</t>
  </si>
  <si>
    <t>POPV260924040</t>
  </si>
  <si>
    <t>26Aug014.04</t>
  </si>
  <si>
    <t>Batch 3-11，9/24</t>
  </si>
  <si>
    <t>POPV260924041</t>
  </si>
  <si>
    <t>TPVB20260939009</t>
  </si>
  <si>
    <t>COSU6467920310</t>
  </si>
  <si>
    <t>26Aug013.04</t>
  </si>
  <si>
    <t>Batch 2-5，9/24</t>
  </si>
  <si>
    <t>POPV260924039</t>
  </si>
  <si>
    <t>26Aug002.07</t>
  </si>
  <si>
    <t>POPV261010030</t>
  </si>
  <si>
    <t>EVER AEON 1420-009W</t>
  </si>
  <si>
    <t>TPVB20260939012</t>
  </si>
  <si>
    <t>EGLV149608598577</t>
  </si>
  <si>
    <t>26Aug016.04</t>
  </si>
  <si>
    <t>POPV261010028</t>
  </si>
  <si>
    <t>26Aug015.04</t>
  </si>
  <si>
    <t>POPV261010007</t>
  </si>
  <si>
    <t>26Aug016.06</t>
  </si>
  <si>
    <t>POPV261010027</t>
  </si>
  <si>
    <t>EVER GLORY 0772-030W</t>
  </si>
  <si>
    <t>TPVB20260939013</t>
  </si>
  <si>
    <t>COSU6468132880</t>
  </si>
  <si>
    <t>26Aug016.02</t>
  </si>
  <si>
    <t>POPV261010026</t>
  </si>
  <si>
    <t>TPVB20260939016</t>
  </si>
  <si>
    <t>COSU6467810590</t>
  </si>
  <si>
    <t>26Aug015.03</t>
  </si>
  <si>
    <t>POPV261010006</t>
  </si>
  <si>
    <t>TPVB20260939014</t>
  </si>
  <si>
    <t>COSU6468136360</t>
  </si>
  <si>
    <t>26Aug016.11</t>
  </si>
  <si>
    <t>POPV261010023</t>
  </si>
  <si>
    <t>CMA CGM BERENICE MEOVW1MA</t>
  </si>
  <si>
    <t>TPVB20260939017</t>
  </si>
  <si>
    <t>COSU6468139070</t>
  </si>
  <si>
    <t>26Aug015.12</t>
  </si>
  <si>
    <t>POPV261010005</t>
  </si>
  <si>
    <t>CMA CGM BERENICE 0MEOVW1MA</t>
  </si>
  <si>
    <t>TPVB20260939015</t>
  </si>
  <si>
    <t>COSU6468138550</t>
  </si>
  <si>
    <t>26Aug003.09</t>
  </si>
  <si>
    <t>Local WH</t>
    <phoneticPr fontId="6" type="noConversion"/>
  </si>
  <si>
    <t>POPV260924022</t>
  </si>
  <si>
    <t>CSCL AUTUMN 075E</t>
  </si>
  <si>
    <t>TPVB20260939018</t>
  </si>
  <si>
    <t>COSU9510101310</t>
  </si>
  <si>
    <t>26Aug022.02</t>
  </si>
  <si>
    <t>COSCO SHIPPING CAPRICORN
042W</t>
  </si>
  <si>
    <t>TPVB20261042002HL</t>
  </si>
  <si>
    <t>COSU9510260410</t>
  </si>
  <si>
    <t>26Aug022.05</t>
  </si>
  <si>
    <t>TPVB20261042003HL</t>
  </si>
  <si>
    <t>COSU9510260340</t>
  </si>
  <si>
    <t>26Aug003.10</t>
  </si>
  <si>
    <t>26Aug003.05</t>
  </si>
  <si>
    <t>POPV260924020</t>
  </si>
  <si>
    <t>TPVB20260939011</t>
  </si>
  <si>
    <t>COSU9510100890</t>
  </si>
  <si>
    <t>PO FIRM</t>
  </si>
  <si>
    <t>26Jun021.05</t>
  </si>
  <si>
    <t>POPV260924023</t>
  </si>
  <si>
    <t>COSCO SHIPPING SAGITTARIUS
035W</t>
  </si>
  <si>
    <t>TPVB20260939003</t>
  </si>
  <si>
    <t>COSU9509997120</t>
  </si>
  <si>
    <t>26Jun022.02</t>
  </si>
  <si>
    <t>POPV260924024</t>
  </si>
  <si>
    <t>26Aug024.1</t>
  </si>
  <si>
    <t>Local WH/Project Solar Lable</t>
  </si>
  <si>
    <t>GF0700001868</t>
  </si>
  <si>
    <t>EVO-P-HSM-ND54-DR505</t>
  </si>
  <si>
    <t>Dec--to be assured</t>
  </si>
  <si>
    <t>POPV260924029</t>
  </si>
  <si>
    <t>TPVB20260939002</t>
  </si>
  <si>
    <t>COSU6467723460</t>
  </si>
  <si>
    <t>26Aug003.07</t>
  </si>
  <si>
    <t>PL0126090800022</t>
  </si>
  <si>
    <t>Gdasnk，9/22</t>
  </si>
  <si>
    <t>POPV260924019</t>
  </si>
  <si>
    <t>OOCL GDYNIA 011W</t>
  </si>
  <si>
    <t>TPVB20260939010</t>
  </si>
  <si>
    <t>COSU6467808410</t>
  </si>
  <si>
    <t>26Aug014.06</t>
  </si>
  <si>
    <t>Batch 4-8，9/28</t>
  </si>
  <si>
    <t>POPV261010008</t>
  </si>
  <si>
    <t>COSCO SHIPPING SAGITTARIUS 035W</t>
  </si>
  <si>
    <t>TPVB20260940008</t>
  </si>
  <si>
    <t>COSU6468384010</t>
  </si>
  <si>
    <t>26Aug016.08</t>
  </si>
  <si>
    <t>POPV261010025</t>
  </si>
  <si>
    <t>TPVB20260940009</t>
  </si>
  <si>
    <t>EGLV149608894273</t>
  </si>
  <si>
    <t>26Aug014.08</t>
  </si>
  <si>
    <t>Batch 3-11，9/27</t>
  </si>
  <si>
    <t>POPV260929033</t>
  </si>
  <si>
    <t>COSCO DENMARK 070W</t>
  </si>
  <si>
    <t>TPVB20260940010</t>
  </si>
  <si>
    <t>COSU6468580080</t>
  </si>
  <si>
    <t>26Aug005.08</t>
  </si>
  <si>
    <t>POPV261010013</t>
  </si>
  <si>
    <t>APL VANDA 0MEOXW1MA</t>
  </si>
  <si>
    <t>TPVB20260940011</t>
  </si>
  <si>
    <t>COSU6468731340</t>
  </si>
  <si>
    <t>26Aug015.06</t>
  </si>
  <si>
    <t>POPV261010004</t>
  </si>
  <si>
    <t>26Aug010.18</t>
  </si>
  <si>
    <t>TCL SUN INC</t>
  </si>
  <si>
    <t>TPVO2026090401</t>
  </si>
  <si>
    <t>DAVAO</t>
  </si>
  <si>
    <t>CMA CGM CAIMEP / 0BYPSS</t>
  </si>
  <si>
    <t>PLISH7H48052</t>
  </si>
  <si>
    <t>CPL0514940</t>
  </si>
  <si>
    <t>26Aug015.13</t>
  </si>
  <si>
    <t>POPV261010003</t>
  </si>
  <si>
    <t>EVER AEON 1420W</t>
  </si>
  <si>
    <t>TPVB20260940004</t>
  </si>
  <si>
    <t>COSU9510012710</t>
  </si>
  <si>
    <t>26Aug015.05</t>
  </si>
  <si>
    <t>EVER GLORY 030W</t>
  </si>
  <si>
    <t>TPVB20260940006</t>
  </si>
  <si>
    <t>COSU9510036320</t>
  </si>
  <si>
    <t>26Aug015.07</t>
  </si>
  <si>
    <t>POPV261010002</t>
  </si>
  <si>
    <t>APL VANDA 0MEOXW</t>
  </si>
  <si>
    <t>TPVB20261040001XT</t>
  </si>
  <si>
    <t>COSU9510251200</t>
  </si>
  <si>
    <t>26Aug016.12</t>
  </si>
  <si>
    <t>POPV261010029</t>
  </si>
  <si>
    <t>26Aug016.09</t>
  </si>
  <si>
    <t>POPV261010024</t>
  </si>
  <si>
    <t>TPVB20260940007</t>
  </si>
  <si>
    <t>COSU9510030740</t>
  </si>
  <si>
    <t>26Aug022.03</t>
  </si>
  <si>
    <t>POPV261010016</t>
  </si>
  <si>
    <t>OOCL SWEDEN 009W</t>
  </si>
  <si>
    <t>TPVB20260940012</t>
  </si>
  <si>
    <t>COSU9510092930</t>
  </si>
  <si>
    <t>26Aug024.05</t>
  </si>
  <si>
    <t>POPV261010033</t>
  </si>
  <si>
    <t>TPVB20260940015</t>
  </si>
  <si>
    <t>COSU6468723370</t>
  </si>
  <si>
    <t>26Aug004.07</t>
  </si>
  <si>
    <t>POPV261010017</t>
  </si>
  <si>
    <t>TPVB20260940013</t>
  </si>
  <si>
    <t>COSU9510092840</t>
  </si>
  <si>
    <t>26Aug015.09</t>
  </si>
  <si>
    <t>TPVB20260940002</t>
  </si>
  <si>
    <t>COSU9510036150</t>
  </si>
  <si>
    <t>26Aug015.11</t>
  </si>
  <si>
    <t>POPV261010001</t>
  </si>
  <si>
    <t>CMA CGM BERENICE 0MEOVW</t>
  </si>
  <si>
    <t>TPVB20260940003</t>
  </si>
  <si>
    <t>COSU9510036540</t>
  </si>
  <si>
    <t>26Aug003.04</t>
  </si>
  <si>
    <t>POPV261010021</t>
  </si>
  <si>
    <t>TPVB20260940014</t>
  </si>
  <si>
    <t>COSU9510170300</t>
  </si>
  <si>
    <t>26Aug003.06</t>
  </si>
  <si>
    <t>Local WH</t>
    <phoneticPr fontId="0" type="noConversion"/>
  </si>
  <si>
    <t>POPV261010020</t>
  </si>
  <si>
    <t>26Aug022.01</t>
  </si>
  <si>
    <t>POPV261010015</t>
  </si>
  <si>
    <t>26Oct010.1</t>
  </si>
  <si>
    <t>10月9日（TBD）</t>
  </si>
  <si>
    <t>OOCL ZEEBRUGGE 011W</t>
  </si>
  <si>
    <t>TPVB20260941001JP</t>
  </si>
  <si>
    <t>COSU6469843890</t>
  </si>
  <si>
    <t>26Oct009.08</t>
  </si>
  <si>
    <t>26Oct010.2</t>
  </si>
  <si>
    <t>TPVB20260941002JP</t>
  </si>
  <si>
    <t>COSU6469843490</t>
  </si>
  <si>
    <t>26Oct009.07</t>
  </si>
  <si>
    <t>26Aug018.05</t>
  </si>
  <si>
    <t>不急优先BC</t>
  </si>
  <si>
    <t>TPVB20260941003JP</t>
  </si>
  <si>
    <t>COSU6469220480</t>
  </si>
  <si>
    <t>26Aug016.07</t>
  </si>
  <si>
    <t>10月4日</t>
  </si>
  <si>
    <t>POPV261010022</t>
  </si>
  <si>
    <t>COSCO SHIPPING TAURUS 038W</t>
  </si>
  <si>
    <t>TPVB20260941004JP</t>
  </si>
  <si>
    <t>COSU6469326980</t>
  </si>
  <si>
    <t>26Aug017.04</t>
  </si>
  <si>
    <t>10月8日</t>
  </si>
  <si>
    <t>POPV261010032</t>
  </si>
  <si>
    <t>TPVB20260941005JP</t>
  </si>
  <si>
    <t>COSU6469320380</t>
  </si>
  <si>
    <t>26Aug017.01</t>
  </si>
  <si>
    <t>POPV261010034</t>
  </si>
  <si>
    <t>TPVB20260941006JP</t>
  </si>
  <si>
    <t>COSU6469326430</t>
  </si>
  <si>
    <t>26Aug015.15</t>
  </si>
  <si>
    <t>10月6日</t>
  </si>
  <si>
    <t>POPV261010031</t>
  </si>
  <si>
    <t>TPVB20260941007JP</t>
  </si>
  <si>
    <t>COSU6469323740</t>
  </si>
  <si>
    <t>26Aug022.04</t>
  </si>
  <si>
    <t>POPV261010014</t>
  </si>
  <si>
    <t>OOCL PORTUGAL 008W</t>
  </si>
  <si>
    <t>TPVB20261041002HL</t>
  </si>
  <si>
    <t>COSU9510309650</t>
  </si>
  <si>
    <t>26Aug003.11</t>
  </si>
  <si>
    <t>POPV261010019</t>
  </si>
  <si>
    <t>26Aug021.1</t>
  </si>
  <si>
    <t>POPV261010018</t>
  </si>
  <si>
    <t>26Aug005.02</t>
  </si>
  <si>
    <t>POPV261010012</t>
  </si>
  <si>
    <t>TPVB20261041001HL</t>
  </si>
  <si>
    <t>COSU9510182110</t>
  </si>
  <si>
    <t>26Aug024.1.01</t>
  </si>
  <si>
    <t>POPV261010035</t>
  </si>
  <si>
    <t>TPVB20261041003HL</t>
  </si>
  <si>
    <t>COSU6469165090</t>
  </si>
  <si>
    <t>26Aug021.2</t>
  </si>
  <si>
    <t>COSCO SHIPPING CAPRICORN 042W</t>
  </si>
  <si>
    <t>TPVB20261042001HL</t>
  </si>
  <si>
    <t>COSU9510309930</t>
  </si>
  <si>
    <t>26Aug025.05</t>
  </si>
  <si>
    <t>缅甸</t>
    <phoneticPr fontId="0" type="noConversion"/>
  </si>
  <si>
    <t>Yangon</t>
  </si>
  <si>
    <t>AS SERENA/636W</t>
  </si>
  <si>
    <t>TPVO2026041101</t>
  </si>
  <si>
    <t>26Oct007.06</t>
  </si>
  <si>
    <t>GF0700002314</t>
  </si>
  <si>
    <t>SPR-BE54-DD490</t>
  </si>
  <si>
    <t>OOCL GRACE 001W</t>
  </si>
  <si>
    <t>TPVB20261042003XT</t>
  </si>
  <si>
    <t>COSU6469938130</t>
  </si>
  <si>
    <t>26Oct009.01</t>
  </si>
  <si>
    <t>TPVB20261042002XT</t>
  </si>
  <si>
    <t>COSU6469938750</t>
  </si>
  <si>
    <t>26Oct007.01</t>
  </si>
  <si>
    <t>EVER ACE 1423-020W</t>
  </si>
  <si>
    <t>TPVB20261042004XT</t>
  </si>
  <si>
    <t>COSU6469939280</t>
  </si>
  <si>
    <t>26Oct009.02</t>
  </si>
  <si>
    <t>COSCO SHIPPING PANAMA 007W</t>
  </si>
  <si>
    <t>TPVB20261042001XT</t>
  </si>
  <si>
    <t>COSU6469939670</t>
  </si>
  <si>
    <t>26Oct016.01</t>
  </si>
  <si>
    <t>GF0700002193</t>
  </si>
  <si>
    <t>HSM-NT66-GH650 CFP</t>
  </si>
  <si>
    <t xml:space="preserve"> TPVB20261042001JP</t>
  </si>
  <si>
    <t>COSU6471068810</t>
  </si>
  <si>
    <t>26Aug017.02</t>
  </si>
  <si>
    <t>COSCO SHIPPING NEBULA 034W</t>
  </si>
  <si>
    <t>COSU6469942450</t>
  </si>
  <si>
    <t>26Aug018.06</t>
  </si>
  <si>
    <t>26Oct014.02</t>
  </si>
  <si>
    <t>GF0700002185</t>
  </si>
  <si>
    <t>HSM-NT48-GH480 CFP</t>
  </si>
  <si>
    <t>CMA CGM BOUGAINVILLE MEX020W19</t>
  </si>
  <si>
    <t>COSU6469945290</t>
  </si>
  <si>
    <t>26Oct007.03</t>
  </si>
  <si>
    <t>26Oct007.04</t>
  </si>
  <si>
    <t>26Oct007.05</t>
  </si>
  <si>
    <t>AEM2</t>
  </si>
  <si>
    <t>26Oct009.09</t>
  </si>
  <si>
    <t>IT进口商标签</t>
  </si>
  <si>
    <t>26Oct009.10</t>
  </si>
  <si>
    <t>26Oct009.16</t>
  </si>
  <si>
    <t>26Oct009</t>
  </si>
  <si>
    <t>26Aug017.05</t>
  </si>
  <si>
    <t>26Oct009.15</t>
  </si>
  <si>
    <t>TPVB20261041003XT</t>
  </si>
  <si>
    <t>COSU9510425590</t>
  </si>
  <si>
    <t>26Oct009.12</t>
  </si>
  <si>
    <t>26Aug013</t>
  </si>
  <si>
    <t>26Aug009</t>
  </si>
  <si>
    <t>26Aug014</t>
  </si>
  <si>
    <t>26Aug001.03</t>
  </si>
  <si>
    <t>TPVB20261041001XT</t>
  </si>
  <si>
    <t>COSU9510418660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</si>
  <si>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</si>
  <si>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</si>
  <si>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</si>
  <si>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</si>
  <si>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</si>
  <si>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</si>
  <si>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</si>
  <si>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</si>
  <si>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</si>
  <si>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</si>
  <si>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</si>
  <si>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</si>
  <si>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</si>
  <si>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</si>
  <si>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</si>
  <si>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</si>
  <si>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</si>
  <si>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</si>
  <si>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</si>
  <si>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</si>
  <si>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</si>
  <si>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</si>
  <si>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</si>
  <si>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</si>
  <si>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</si>
  <si>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</si>
  <si>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</si>
  <si>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</si>
  <si>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26Jun022</t>
  </si>
  <si>
    <t>26Jun033</t>
  </si>
  <si>
    <t>26Jun034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</si>
  <si>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</si>
  <si>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</si>
  <si>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</si>
  <si>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</si>
  <si>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</si>
  <si>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</si>
  <si>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</si>
  <si>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</si>
  <si>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</si>
  <si>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</si>
  <si>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</si>
  <si>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</si>
  <si>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</si>
  <si>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</si>
  <si>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</si>
  <si>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TPVO2026080701</t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</si>
  <si>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</si>
  <si>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</si>
  <si>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</si>
  <si>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</si>
  <si>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</si>
  <si>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</si>
  <si>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</si>
  <si>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</si>
  <si>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</si>
  <si>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</si>
  <si>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</si>
  <si>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</si>
  <si>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</si>
  <si>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</si>
  <si>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</si>
  <si>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</si>
  <si>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</si>
  <si>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</si>
  <si>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</si>
  <si>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</si>
  <si>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</si>
  <si>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</si>
  <si>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26Aug003</t>
  </si>
  <si>
    <t>26Aug004</t>
  </si>
  <si>
    <t>26Aug004.1</t>
  </si>
  <si>
    <t>26Aug006</t>
  </si>
  <si>
    <t>26Aug007</t>
  </si>
  <si>
    <t>26Aug008</t>
    <phoneticPr fontId="0" type="noConversion"/>
  </si>
  <si>
    <t>26Aug010</t>
  </si>
  <si>
    <t>26Aug010.12</t>
  </si>
  <si>
    <t>26Aug025</t>
  </si>
  <si>
    <t>26Aug025.08</t>
  </si>
  <si>
    <t>缅甸，ready</t>
  </si>
  <si>
    <t>26Aug011</t>
  </si>
  <si>
    <t>26Aug015</t>
  </si>
  <si>
    <t>26Aug015.08</t>
  </si>
  <si>
    <t>26Aug015.16</t>
  </si>
  <si>
    <t>26Aug015.14</t>
  </si>
  <si>
    <t>TPVB20261041002XT</t>
  </si>
  <si>
    <t>COSU9510418590</t>
  </si>
  <si>
    <t>26Aug016</t>
  </si>
  <si>
    <t>26Aug016.13</t>
  </si>
  <si>
    <t>26Aug017</t>
  </si>
  <si>
    <t>26Aug017.03</t>
  </si>
  <si>
    <t>26Aug018</t>
  </si>
  <si>
    <t>26Aug018.04</t>
  </si>
  <si>
    <t>w45 PICK-UP</t>
  </si>
  <si>
    <t>不急</t>
  </si>
  <si>
    <t>26Aug018.01</t>
  </si>
  <si>
    <t>26Aug018.02</t>
  </si>
  <si>
    <t>26Aug018.03</t>
  </si>
  <si>
    <t>w46 PICK-UP</t>
  </si>
  <si>
    <t>26Aug019</t>
  </si>
  <si>
    <t>26Aug020</t>
  </si>
  <si>
    <t>26Aug021.3</t>
  </si>
  <si>
    <t>26Aug021</t>
  </si>
  <si>
    <t>26Aug022</t>
  </si>
  <si>
    <t>042W</t>
  </si>
  <si>
    <t>26Aug024</t>
  </si>
  <si>
    <t>26Aug024.1.02</t>
  </si>
  <si>
    <t>26Aug024.2</t>
  </si>
  <si>
    <t>Dec Jan-to be assured</t>
  </si>
  <si>
    <t>26Aug024.3</t>
  </si>
  <si>
    <t>Jan</t>
  </si>
  <si>
    <t>26Aug024.4</t>
  </si>
  <si>
    <t>Feb</t>
  </si>
  <si>
    <t>26Oct001</t>
  </si>
  <si>
    <t>GF0700002273</t>
  </si>
  <si>
    <t>26Oct002</t>
  </si>
  <si>
    <t>GF0700002322</t>
  </si>
  <si>
    <t>HSM-ND66-GR635</t>
  </si>
  <si>
    <t>26Oct003</t>
  </si>
  <si>
    <t>GF0700002119</t>
  </si>
  <si>
    <t>26Oct003.01</t>
  </si>
  <si>
    <t>26Oct003.02</t>
  </si>
  <si>
    <t>26Oct003.03</t>
  </si>
  <si>
    <t>26Oct003.04</t>
  </si>
  <si>
    <t>w47 PICK-UP</t>
  </si>
  <si>
    <t>慢船即可</t>
  </si>
  <si>
    <t>26Oct003.05</t>
  </si>
  <si>
    <t>w49 PICK-UP</t>
  </si>
  <si>
    <t>26Oct003.06</t>
  </si>
  <si>
    <t>w50 PICK-UP</t>
  </si>
  <si>
    <t>26Oct004</t>
  </si>
  <si>
    <t>GF0700002268</t>
  </si>
  <si>
    <t>26Oct004.01</t>
  </si>
  <si>
    <t>26Oct004.02</t>
  </si>
  <si>
    <t>26Oct004.03</t>
  </si>
  <si>
    <t>26Oct004.04</t>
  </si>
  <si>
    <t>26Oct004.05</t>
  </si>
  <si>
    <t>26Oct004.06</t>
  </si>
  <si>
    <t>w48 PICK-UP</t>
  </si>
  <si>
    <t>26Oct004.07</t>
  </si>
  <si>
    <t>w51 PICK-UP</t>
  </si>
  <si>
    <t>26Oct005</t>
  </si>
  <si>
    <t>26Oct006</t>
  </si>
  <si>
    <t>26Oct007</t>
  </si>
  <si>
    <t>26Oct007.02</t>
  </si>
  <si>
    <t>26Oct007.07</t>
  </si>
  <si>
    <t>IE0126082700021</t>
  </si>
  <si>
    <t>No - GTG</t>
  </si>
  <si>
    <t>26Oct009.13</t>
  </si>
  <si>
    <t>26Oct009.14</t>
  </si>
  <si>
    <t>26Oct009.03</t>
  </si>
  <si>
    <t>26Oct009.04</t>
  </si>
  <si>
    <t>26Oct009.05</t>
  </si>
  <si>
    <t>26Oct009.06</t>
  </si>
  <si>
    <t>26Oct010</t>
  </si>
  <si>
    <t>26Oct010.3</t>
  </si>
  <si>
    <t>26Oct010.4</t>
  </si>
  <si>
    <t>26Oct012</t>
  </si>
  <si>
    <t>26Oct012.1</t>
  </si>
  <si>
    <t>26Oct012.2</t>
  </si>
  <si>
    <t>26Oct012.3</t>
  </si>
  <si>
    <t>26Oct013</t>
  </si>
  <si>
    <t>GF0700002340</t>
  </si>
  <si>
    <t>HSM-NT48-HH485</t>
  </si>
  <si>
    <t>26Oct009.11</t>
  </si>
  <si>
    <t>26Oct013.2</t>
  </si>
  <si>
    <t>26Oct013.3</t>
  </si>
  <si>
    <t>26Oct014</t>
  </si>
  <si>
    <t>26Oct014.01</t>
  </si>
  <si>
    <t>26Oct015</t>
  </si>
  <si>
    <t>GF0700002311</t>
  </si>
  <si>
    <t>HSM-NT48-GH485 CFP</t>
  </si>
  <si>
    <t>26Oct015.01</t>
  </si>
  <si>
    <t>26Oct015.02</t>
  </si>
  <si>
    <t>26Oct016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</si>
  <si>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</si>
  <si>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</si>
  <si>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</si>
  <si>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</si>
  <si>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</si>
  <si>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</si>
  <si>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</si>
  <si>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</si>
  <si>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</si>
  <si>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</si>
  <si>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</si>
  <si>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</si>
  <si>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</si>
  <si>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</si>
  <si>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</si>
  <si>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</si>
  <si>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</si>
  <si>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</si>
  <si>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</si>
  <si>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</si>
  <si>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</si>
  <si>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</si>
  <si>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</si>
  <si>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</si>
  <si>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</si>
  <si>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</si>
  <si>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</si>
  <si>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</si>
  <si>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</si>
  <si>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</si>
  <si>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</si>
  <si>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</si>
  <si>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</si>
  <si>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</si>
  <si>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</si>
  <si>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</si>
  <si>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</si>
  <si>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</si>
  <si>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</si>
  <si>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</si>
  <si>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</si>
  <si>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</si>
  <si>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</si>
  <si>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</si>
  <si>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</si>
  <si>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</si>
  <si>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</si>
  <si>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</si>
  <si>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</si>
  <si>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</si>
  <si>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</si>
  <si>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</si>
  <si>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</si>
  <si>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</si>
  <si>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</si>
  <si>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</si>
  <si>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</si>
  <si>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</si>
  <si>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</si>
  <si>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</si>
  <si>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</si>
  <si>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</si>
  <si>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</si>
  <si>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</si>
  <si>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</si>
  <si>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</si>
  <si>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</si>
  <si>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</si>
  <si>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</si>
  <si>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</si>
  <si>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</si>
  <si>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</si>
  <si>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</si>
  <si>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</si>
  <si>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</si>
  <si>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</si>
  <si>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</si>
  <si>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</si>
  <si>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</si>
  <si>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</si>
  <si>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</si>
  <si>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</si>
  <si>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</si>
  <si>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</si>
  <si>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</si>
  <si>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</si>
  <si>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</si>
  <si>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</si>
  <si>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</si>
  <si>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</si>
  <si>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</si>
  <si>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</si>
  <si>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</si>
  <si>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</si>
  <si>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</si>
  <si>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</si>
  <si>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</si>
  <si>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</si>
  <si>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</si>
  <si>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</si>
  <si>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</si>
  <si>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</si>
  <si>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</si>
  <si>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</si>
  <si>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</si>
  <si>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</si>
  <si>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</si>
  <si>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</si>
  <si>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</si>
  <si>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</si>
  <si>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</si>
  <si>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</si>
  <si>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</si>
  <si>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</si>
  <si>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</si>
  <si>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</si>
  <si>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</si>
  <si>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</si>
  <si>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</si>
  <si>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</si>
  <si>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</si>
  <si>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</si>
  <si>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</si>
  <si>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</si>
  <si>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</si>
  <si>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</si>
  <si>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</si>
  <si>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</si>
  <si>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</si>
  <si>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</si>
  <si>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</si>
  <si>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</si>
  <si>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</si>
  <si>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</si>
  <si>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</si>
  <si>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</si>
  <si>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</si>
  <si>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</si>
  <si>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</si>
  <si>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</si>
  <si>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</si>
  <si>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</si>
  <si>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</si>
  <si>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</si>
  <si>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</si>
  <si>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</si>
  <si>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</si>
  <si>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</si>
  <si>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</si>
  <si>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</si>
  <si>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</si>
  <si>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</si>
  <si>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</si>
  <si>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</si>
  <si>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</si>
  <si>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</si>
  <si>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</si>
  <si>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</si>
  <si>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</si>
  <si>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</si>
  <si>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</si>
  <si>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</si>
  <si>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</si>
  <si>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</si>
  <si>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</si>
  <si>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</si>
  <si>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</si>
  <si>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</si>
  <si>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</si>
  <si>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</si>
  <si>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</si>
  <si>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</si>
  <si>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</si>
  <si>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</si>
  <si>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</si>
  <si>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</si>
  <si>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</si>
  <si>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</si>
  <si>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</si>
  <si>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</si>
  <si>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</si>
  <si>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</si>
  <si>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</si>
  <si>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</si>
  <si>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</si>
  <si>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</si>
  <si>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</si>
  <si>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</si>
  <si>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</si>
  <si>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</si>
  <si>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TPVB20260421002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</si>
  <si>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</si>
  <si>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</si>
  <si>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</si>
  <si>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</si>
  <si>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</si>
  <si>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</si>
  <si>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</si>
  <si>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</si>
  <si>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</si>
  <si>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</si>
  <si>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</si>
  <si>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</si>
  <si>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PB0626061100001</t>
  </si>
  <si>
    <t>MAERSK BERMUDA/622E</t>
  </si>
  <si>
    <t>TPVO2026051501</t>
  </si>
  <si>
    <t>26FEB002. FREE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</si>
  <si>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</si>
  <si>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</si>
  <si>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</si>
  <si>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</si>
  <si>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</si>
  <si>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</si>
  <si>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</si>
  <si>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</si>
  <si>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</si>
  <si>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</si>
  <si>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</si>
  <si>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</si>
  <si>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</si>
  <si>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</si>
  <si>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</si>
  <si>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</si>
  <si>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</si>
  <si>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</si>
  <si>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</si>
  <si>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</si>
  <si>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</si>
  <si>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</si>
  <si>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</si>
  <si>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</si>
  <si>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</si>
  <si>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</si>
  <si>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</si>
  <si>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</si>
  <si>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</si>
  <si>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</si>
  <si>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</si>
  <si>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</si>
  <si>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</si>
  <si>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</si>
  <si>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</si>
  <si>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</si>
  <si>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CT04&amp;CT05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</si>
  <si>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</si>
  <si>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</si>
  <si>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</si>
  <si>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</si>
  <si>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</si>
  <si>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</si>
  <si>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</si>
  <si>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</si>
  <si>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</si>
  <si>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</si>
  <si>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</si>
  <si>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</si>
  <si>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</si>
  <si>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</si>
  <si>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</si>
  <si>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</si>
  <si>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</si>
  <si>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</si>
  <si>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</si>
  <si>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</si>
  <si>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</si>
  <si>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</si>
  <si>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</si>
  <si>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</si>
  <si>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</si>
  <si>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</si>
  <si>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</si>
  <si>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</si>
  <si>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</si>
  <si>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</si>
  <si>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</si>
  <si>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</si>
  <si>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</si>
  <si>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</si>
  <si>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</si>
  <si>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</si>
  <si>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</si>
  <si>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</si>
  <si>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</si>
  <si>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</si>
  <si>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</si>
  <si>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</si>
  <si>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</si>
  <si>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</si>
  <si>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</si>
  <si>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</si>
  <si>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</si>
  <si>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</si>
  <si>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</si>
  <si>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</si>
  <si>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</si>
  <si>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</si>
  <si>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</si>
  <si>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</si>
  <si>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</si>
  <si>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</si>
  <si>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</si>
  <si>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</si>
  <si>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</si>
  <si>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</si>
  <si>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</si>
  <si>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</si>
  <si>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</si>
  <si>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</si>
  <si>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</si>
  <si>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</si>
  <si>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</si>
  <si>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</si>
  <si>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</si>
  <si>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</si>
  <si>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</si>
  <si>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</si>
  <si>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</si>
  <si>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</si>
  <si>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</si>
  <si>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</si>
  <si>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</si>
  <si>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</si>
  <si>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</si>
  <si>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</si>
  <si>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</si>
  <si>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</si>
  <si>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</si>
  <si>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</si>
  <si>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</si>
  <si>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</si>
  <si>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</si>
  <si>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</si>
  <si>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</si>
  <si>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</si>
  <si>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</si>
  <si>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</si>
  <si>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</si>
  <si>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</si>
  <si>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</si>
  <si>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</si>
  <si>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</si>
  <si>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</si>
  <si>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</si>
  <si>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</si>
  <si>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</si>
  <si>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</si>
  <si>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</si>
  <si>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</si>
  <si>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</si>
  <si>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</si>
  <si>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</si>
  <si>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</si>
  <si>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</si>
  <si>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</si>
  <si>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</si>
  <si>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</si>
  <si>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>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</si>
  <si>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</si>
  <si>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</si>
  <si>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</si>
  <si>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</si>
  <si>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</si>
  <si>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</si>
  <si>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</si>
  <si>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</si>
  <si>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</si>
  <si>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</si>
  <si>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</si>
  <si>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</si>
  <si>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</si>
  <si>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</si>
  <si>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</si>
  <si>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</si>
  <si>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</si>
  <si>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</si>
  <si>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</si>
  <si>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</si>
  <si>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</si>
  <si>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</si>
  <si>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</si>
  <si>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</si>
  <si>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</si>
  <si>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</si>
  <si>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</si>
  <si>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</si>
  <si>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</si>
  <si>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</si>
  <si>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</si>
  <si>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</si>
  <si>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</si>
  <si>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</si>
  <si>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</si>
  <si>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</si>
  <si>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</si>
  <si>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</si>
  <si>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</si>
  <si>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</si>
  <si>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</si>
  <si>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</si>
  <si>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</si>
  <si>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</si>
  <si>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</si>
  <si>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</si>
  <si>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</si>
  <si>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</si>
  <si>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</si>
  <si>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</si>
  <si>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</si>
  <si>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</si>
  <si>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</si>
  <si>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</si>
  <si>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</si>
  <si>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</si>
  <si>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</si>
  <si>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</si>
  <si>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</si>
  <si>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</si>
  <si>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</si>
  <si>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</si>
  <si>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</si>
  <si>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</si>
  <si>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</si>
  <si>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</si>
  <si>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</si>
  <si>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</si>
  <si>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>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</si>
  <si>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</si>
  <si>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</si>
  <si>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</si>
  <si>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</si>
  <si>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</si>
  <si>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</si>
  <si>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</si>
  <si>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</si>
  <si>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</si>
  <si>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</si>
  <si>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</si>
  <si>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</si>
  <si>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</si>
  <si>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</si>
  <si>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</si>
  <si>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</si>
  <si>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</si>
  <si>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</si>
  <si>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</si>
  <si>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</si>
  <si>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</si>
  <si>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</si>
  <si>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</si>
  <si>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</si>
  <si>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</si>
  <si>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</si>
  <si>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</si>
  <si>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</si>
  <si>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</si>
  <si>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</si>
  <si>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</si>
  <si>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</si>
  <si>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POPV260911025</t>
  </si>
  <si>
    <t>AL DAHNA EXPRESS/637W</t>
  </si>
  <si>
    <t>TPVB20260828001</t>
  </si>
  <si>
    <t>26AUG002.05</t>
  </si>
  <si>
    <t>CT11</t>
  </si>
  <si>
    <t>POPV260904025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</si>
  <si>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</si>
  <si>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</si>
  <si>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</si>
  <si>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</si>
  <si>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</si>
  <si>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</si>
  <si>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</si>
  <si>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</si>
  <si>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POPV260911026</t>
  </si>
  <si>
    <t>EUGEN MAERSK / 637W</t>
  </si>
  <si>
    <t>TPVB20260811002</t>
  </si>
  <si>
    <t>26AUG005.05</t>
  </si>
  <si>
    <t>CT15&amp;CT16</t>
  </si>
  <si>
    <t>POPV260918058</t>
  </si>
  <si>
    <t>ALETTE MAERSK / 638W</t>
  </si>
  <si>
    <t>TPVB20260811003</t>
  </si>
  <si>
    <t>26AUG005.06</t>
  </si>
  <si>
    <t>CT17&amp;CT18</t>
  </si>
  <si>
    <t>POPV260918056</t>
  </si>
  <si>
    <t>MANILA MAERSK / 638W</t>
  </si>
  <si>
    <t>TPVB20260811001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</si>
  <si>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</si>
  <si>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</si>
  <si>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</si>
  <si>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</si>
  <si>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</si>
  <si>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</si>
  <si>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</si>
  <si>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</si>
  <si>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TPVB20260727002</t>
  </si>
  <si>
    <t>EGLV149606753567</t>
  </si>
  <si>
    <t>149606753567</t>
  </si>
  <si>
    <t>26AUG010.01</t>
  </si>
  <si>
    <t>HUIZHOU</t>
  </si>
  <si>
    <t>GF0700001956</t>
  </si>
  <si>
    <t>TCL BlueArk X1 8kw inverter</t>
  </si>
  <si>
    <t>BlueArk X1 8kw 1P hybrid Inverter</t>
  </si>
  <si>
    <t>CT22-20GP</t>
  </si>
  <si>
    <t>W34 PICK-UP</t>
  </si>
  <si>
    <t>BANGKOK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</si>
  <si>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</si>
  <si>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</si>
  <si>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</si>
  <si>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</si>
  <si>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</si>
  <si>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</si>
  <si>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</si>
  <si>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</si>
  <si>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</si>
  <si>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</si>
  <si>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</si>
  <si>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</si>
  <si>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</si>
  <si>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</si>
  <si>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POPV260911027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</si>
  <si>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</si>
  <si>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</si>
  <si>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</si>
  <si>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</si>
  <si>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</si>
  <si>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</si>
  <si>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</si>
  <si>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POPV260911024</t>
  </si>
  <si>
    <t>TPVB20260828003</t>
  </si>
  <si>
    <t>COSU9509675570</t>
  </si>
  <si>
    <t>26SEP004.02</t>
  </si>
  <si>
    <t>26SEP001.02</t>
  </si>
  <si>
    <t>CT17</t>
  </si>
  <si>
    <t>W37 PICK UP</t>
  </si>
  <si>
    <t>POPV260923007</t>
  </si>
  <si>
    <t>London Gateway</t>
  </si>
  <si>
    <t>TPVB20260828002</t>
  </si>
  <si>
    <t>26SEP002.06</t>
  </si>
  <si>
    <t>26SEP004.06</t>
  </si>
  <si>
    <t>26SEP008.07</t>
  </si>
  <si>
    <t>26SEP002.01</t>
  </si>
  <si>
    <t>W38 PICK-UP</t>
  </si>
  <si>
    <t xml:space="preserve">
POPV260918057</t>
  </si>
  <si>
    <t>CMA CGM MARCO POLO/0MEOTW1MA</t>
  </si>
  <si>
    <t>TPVB20260903002</t>
  </si>
  <si>
    <t>COSU9509801490</t>
  </si>
  <si>
    <t>26SEP003.01</t>
  </si>
  <si>
    <t>26SEP003-FREE</t>
  </si>
  <si>
    <t>26SEP004.01</t>
  </si>
  <si>
    <t>26SEP001.01</t>
  </si>
  <si>
    <t xml:space="preserve">
POPV260929035</t>
  </si>
  <si>
    <t>OOCL SCANDINAVIA/038W</t>
  </si>
  <si>
    <t>TPVB20260903003</t>
  </si>
  <si>
    <t>COSU9509760720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</si>
  <si>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</si>
  <si>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</si>
  <si>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</si>
  <si>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</si>
  <si>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</si>
  <si>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</si>
  <si>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</si>
  <si>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</si>
  <si>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</si>
  <si>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</si>
  <si>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POPV260929039</t>
  </si>
  <si>
    <t>TPVB20260903006</t>
  </si>
  <si>
    <t>COSU9510016200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</si>
  <si>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</si>
  <si>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</si>
  <si>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</si>
  <si>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</si>
  <si>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</si>
  <si>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</si>
  <si>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</si>
  <si>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POPV261009003</t>
  </si>
  <si>
    <t>TPVB20260903008</t>
  </si>
  <si>
    <t>COSU9510115320</t>
  </si>
  <si>
    <t>26SEP007.02</t>
  </si>
  <si>
    <t>26SEP008.01</t>
  </si>
  <si>
    <t>CT08&amp;CT09</t>
  </si>
  <si>
    <t>W38 PICK-UP</t>
    <phoneticPr fontId="0" type="noConversion"/>
  </si>
  <si>
    <t>POPV261009004</t>
  </si>
  <si>
    <t>GENOVA EXPRESS/639W</t>
  </si>
  <si>
    <t>TPVB20260903001</t>
  </si>
  <si>
    <t>26SEP008-FREE</t>
  </si>
  <si>
    <t>26SEP008.02</t>
  </si>
  <si>
    <t>POPV261009005</t>
  </si>
  <si>
    <t>BANGKOK MAERSK/638W</t>
  </si>
  <si>
    <t>TPVB20260903004</t>
  </si>
  <si>
    <t xml:space="preserve">	
POPV261009006</t>
  </si>
  <si>
    <t>UMM QARN / 642W</t>
  </si>
  <si>
    <t>TPVB20260903005</t>
  </si>
  <si>
    <t>26SEP008.03</t>
  </si>
  <si>
    <t>CT12&amp;CT13</t>
  </si>
  <si>
    <t>POPV261009002</t>
  </si>
  <si>
    <t>AL NEFUD / 640W</t>
  </si>
  <si>
    <t>TPVB20260903007</t>
  </si>
  <si>
    <t>26SEP008.04</t>
  </si>
  <si>
    <t>CT14&amp;CT15</t>
  </si>
  <si>
    <t>W41 PICK-UP</t>
  </si>
  <si>
    <t>TPVB20260921002</t>
  </si>
  <si>
    <t>26SEP008.05</t>
  </si>
  <si>
    <t>CT16</t>
  </si>
  <si>
    <t>W42 PICK-UP</t>
  </si>
  <si>
    <t>BERLIN MAERSK 641W</t>
  </si>
  <si>
    <t>TPVB20260921003</t>
  </si>
  <si>
    <t>GF0700002256</t>
  </si>
  <si>
    <t>BLUEARK X1 5K-SP</t>
  </si>
  <si>
    <t>CT18-20GP</t>
  </si>
  <si>
    <t>26SEP010</t>
  </si>
  <si>
    <t>GF0700002254</t>
  </si>
  <si>
    <t>BLUEARK X1 6K-SP</t>
  </si>
  <si>
    <t>26SEP011</t>
  </si>
  <si>
    <t>GF0700002251</t>
  </si>
  <si>
    <t>BLUEARK X1 8K-SP</t>
  </si>
  <si>
    <t>26SEP012</t>
  </si>
  <si>
    <t>GF0700002262</t>
  </si>
  <si>
    <t>BLUEARK X1 8.0 BMH</t>
  </si>
  <si>
    <t>26SEP013</t>
  </si>
  <si>
    <t>GF0700002264</t>
  </si>
  <si>
    <t>TCL BlueArk X1 8kwh slave pack</t>
  </si>
  <si>
    <t>BLUEARK X1 8.0 BSH</t>
  </si>
  <si>
    <t>26SEP014</t>
  </si>
  <si>
    <t xml:space="preserve">HUIZHOU </t>
  </si>
  <si>
    <t>GF0700002295</t>
  </si>
  <si>
    <t>Energy Storage Accessories</t>
  </si>
  <si>
    <t>YDS70-C16</t>
  </si>
  <si>
    <t>26SEP015</t>
  </si>
  <si>
    <t>CT19-20GP</t>
  </si>
  <si>
    <t>W35 PICKUP</t>
  </si>
  <si>
    <t>ARIONAS/0CP71S1NC</t>
  </si>
  <si>
    <t>TPVO2026080701-2</t>
  </si>
  <si>
    <t>AOU0260978</t>
  </si>
  <si>
    <t>26SEP016</t>
  </si>
  <si>
    <t>26SEP017</t>
  </si>
  <si>
    <t>26SEP018</t>
  </si>
  <si>
    <t>XUANCHENG</t>
  </si>
  <si>
    <t>GF0700002191</t>
  </si>
  <si>
    <t>TCL-SRSL8G1-AS</t>
  </si>
  <si>
    <t>CT20</t>
  </si>
  <si>
    <t>W44 PICKUP</t>
  </si>
  <si>
    <t>26SEP019</t>
  </si>
  <si>
    <t>GF0700002189</t>
  </si>
  <si>
    <t>TCL-SRSL12G1-AS</t>
  </si>
  <si>
    <t>26SEP020</t>
  </si>
  <si>
    <t>GF0700002040</t>
  </si>
  <si>
    <t>TCL-RLB16.1G1-AS</t>
  </si>
  <si>
    <t>26SEP020-FREE</t>
  </si>
  <si>
    <t>26SEP021</t>
  </si>
  <si>
    <t>GF0700002261</t>
  </si>
  <si>
    <t>C&amp;I ESS</t>
  </si>
  <si>
    <t>BLUEARK X5</t>
  </si>
  <si>
    <t>CT21-20GP</t>
  </si>
  <si>
    <t>W38 PICKUP</t>
  </si>
  <si>
    <t>NANSHA</t>
  </si>
  <si>
    <t>Laem Chabang</t>
  </si>
  <si>
    <t>MERATUS TOMINI / 638S</t>
  </si>
  <si>
    <t>TPVO2026091101</t>
  </si>
  <si>
    <t>26SEP022</t>
  </si>
  <si>
    <t>W41 PICKUP</t>
  </si>
  <si>
    <t>SHENG LI JI/643S</t>
  </si>
  <si>
    <t>TPVO2026092502</t>
  </si>
  <si>
    <t>26SEP023</t>
  </si>
  <si>
    <t>GF0700002248</t>
  </si>
  <si>
    <t>CT23-20GP</t>
  </si>
  <si>
    <t>W42 PICKUP</t>
  </si>
  <si>
    <t>TPVO2026092501</t>
  </si>
  <si>
    <t>26SEP024</t>
  </si>
  <si>
    <t>26SEP026</t>
  </si>
  <si>
    <t>CT24-20GP</t>
  </si>
  <si>
    <t>Manila</t>
  </si>
  <si>
    <t>26SEP027</t>
  </si>
  <si>
    <t>26SEP028</t>
  </si>
  <si>
    <t>26SEP031</t>
  </si>
  <si>
    <t>GF0700001997</t>
  </si>
  <si>
    <t>Inverter Dummy</t>
  </si>
  <si>
    <t>BlueArk X1 8K-SP Dummy</t>
  </si>
  <si>
    <t>26SEP032</t>
  </si>
  <si>
    <t>GF0700001992</t>
  </si>
  <si>
    <t>Battery pack Dummy</t>
  </si>
  <si>
    <t>BlueArk X1 8.0 BMH Dummy</t>
  </si>
  <si>
    <t>26SEP033</t>
  </si>
  <si>
    <t>GF0700001991</t>
  </si>
  <si>
    <t>BlueArk X1 8.0 BSH Dummy</t>
  </si>
  <si>
    <t>26SEP029</t>
  </si>
  <si>
    <t>CT25</t>
  </si>
  <si>
    <t>DAMIETTA EXPRESS / 640W</t>
  </si>
  <si>
    <t>TPVB20260921004</t>
  </si>
  <si>
    <t>26SEP030</t>
  </si>
  <si>
    <t>GF0700002222</t>
  </si>
  <si>
    <t>X5-BC100</t>
  </si>
  <si>
    <t>26OCT001</t>
  </si>
  <si>
    <t>W39 PICKUP</t>
  </si>
  <si>
    <t>POPV260929040</t>
  </si>
  <si>
    <t>TPVB20260921001</t>
  </si>
  <si>
    <t>COSU6468636810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</si>
  <si>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</si>
  <si>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</si>
  <si>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</si>
  <si>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</si>
  <si>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</si>
  <si>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</si>
  <si>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</si>
  <si>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</si>
  <si>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COSCO SHIPPING NEBULA/034W</t>
  </si>
  <si>
    <t>TPVB20260921006</t>
  </si>
  <si>
    <t>COSU6469962990</t>
  </si>
  <si>
    <t>26OCT002.02</t>
  </si>
  <si>
    <t>26OCT004.02</t>
  </si>
  <si>
    <t>26OCT002.03</t>
  </si>
  <si>
    <t>26OCT004.03</t>
  </si>
  <si>
    <t>26OCT005.01</t>
  </si>
  <si>
    <t>MAERSK HALIFAX 643W</t>
  </si>
  <si>
    <t>TPVB20260921005</t>
  </si>
  <si>
    <t>26OCT005-FREE</t>
  </si>
  <si>
    <t>26OCT005.02</t>
  </si>
  <si>
    <t>W43 PICKUP</t>
  </si>
  <si>
    <t>TPVB20261011001</t>
  </si>
  <si>
    <t>26OCT005.03</t>
  </si>
  <si>
    <t>26NOV002.01</t>
  </si>
  <si>
    <t>FOS</t>
  </si>
  <si>
    <t>26NOV002-FREE</t>
  </si>
  <si>
    <t>26NOV003</t>
  </si>
  <si>
    <t>26NOV003-FREE</t>
  </si>
  <si>
    <t>26NOV004.01</t>
  </si>
  <si>
    <t>26NOV004-FREE</t>
  </si>
  <si>
    <t>26NOV001</t>
  </si>
  <si>
    <t>26NOV001-FREE</t>
  </si>
  <si>
    <t>26NOV004.02</t>
  </si>
  <si>
    <t>26NOV002.02</t>
  </si>
  <si>
    <t>26NOV004.03</t>
  </si>
  <si>
    <t>26NOV002.03</t>
  </si>
  <si>
    <t>26NOV004.04</t>
  </si>
  <si>
    <t>26NOV002.04</t>
  </si>
  <si>
    <t>26NOV004.05</t>
  </si>
  <si>
    <t>26NOV002.05</t>
  </si>
  <si>
    <t>26NOV004.06</t>
  </si>
  <si>
    <t>26NOV002.06</t>
  </si>
  <si>
    <t>W45 PICKUP</t>
  </si>
  <si>
    <t>26NOV004.07</t>
  </si>
  <si>
    <t>26NOV002.07</t>
  </si>
  <si>
    <t>26NOV004.08</t>
  </si>
  <si>
    <t>26NOV002.08</t>
  </si>
  <si>
    <t>W46 PICKUP</t>
  </si>
  <si>
    <t>26NOV004.09</t>
  </si>
  <si>
    <t>26NOV005.01</t>
  </si>
  <si>
    <t>CT10&amp;CT11</t>
  </si>
  <si>
    <t>26NOV005-FREE</t>
  </si>
  <si>
    <t>26NOV005.02</t>
  </si>
  <si>
    <t>W46PICKUP</t>
  </si>
  <si>
    <t>GF0700000032</t>
  </si>
  <si>
    <t>On gird inverter</t>
  </si>
  <si>
    <t>TCL-GS5K-G1</t>
  </si>
  <si>
    <t>GF0700000030</t>
  </si>
  <si>
    <t>TCL-GT12K-G1</t>
  </si>
  <si>
    <t>202505+06</t>
  </si>
  <si>
    <t>GF0700000049</t>
  </si>
  <si>
    <t>Electrical Box</t>
  </si>
  <si>
    <t>TCL BS40-G1</t>
  </si>
  <si>
    <t>GF0700000050</t>
  </si>
  <si>
    <t>TCL BT50-G1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</si>
  <si>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</si>
  <si>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</si>
  <si>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</si>
  <si>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</si>
  <si>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</si>
  <si>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</si>
  <si>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</si>
  <si>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</si>
  <si>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</si>
  <si>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</si>
  <si>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POPV260903009</t>
  </si>
  <si>
    <t>Offshore purchase</t>
  </si>
  <si>
    <t>FR0626080700002</t>
  </si>
  <si>
    <t>PV</t>
  </si>
  <si>
    <t>In Stock</t>
  </si>
  <si>
    <t>Approved</t>
  </si>
  <si>
    <t>POPV260903008</t>
  </si>
  <si>
    <t>FR0626080700001</t>
  </si>
  <si>
    <t>FR0626090200022</t>
  </si>
  <si>
    <t>In Transit</t>
  </si>
  <si>
    <t>FR0626090200007</t>
  </si>
  <si>
    <t>FR0626090200021</t>
  </si>
  <si>
    <t>FR0626090200020</t>
  </si>
  <si>
    <t>FR0626090200019</t>
  </si>
  <si>
    <t>FR0626090200003</t>
  </si>
  <si>
    <t>FR0626090200018</t>
  </si>
  <si>
    <t>FR0626090200002</t>
  </si>
  <si>
    <t>FR0626090200004</t>
  </si>
  <si>
    <t>FR0626090200005</t>
  </si>
  <si>
    <t>FR0626090200006</t>
  </si>
  <si>
    <t>FR0626090200008</t>
  </si>
  <si>
    <t>FR0626090200009</t>
  </si>
  <si>
    <t>FR0626090200010</t>
  </si>
  <si>
    <t>FR0626090200011</t>
  </si>
  <si>
    <t>FR0626090200012</t>
  </si>
  <si>
    <t>FR0626090200013</t>
  </si>
  <si>
    <t>FR0626090200014</t>
  </si>
  <si>
    <t>FR0626090200015</t>
  </si>
  <si>
    <t>FR0626090200016</t>
  </si>
  <si>
    <t>FR0626090200017</t>
  </si>
  <si>
    <t>FR0626081400005</t>
  </si>
  <si>
    <t>Replacement PO for PO#POPV260814047 | 26May012.07 | BL Correction</t>
  </si>
  <si>
    <t>FR0626083000001</t>
  </si>
  <si>
    <t>FR0626083000002</t>
  </si>
  <si>
    <t>FR0626082800019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</si>
  <si>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</si>
  <si>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</si>
  <si>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</si>
  <si>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</si>
  <si>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</si>
  <si>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</si>
  <si>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</si>
  <si>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</si>
  <si>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FR0626082800007</t>
  </si>
  <si>
    <t>FR0626082800008</t>
  </si>
  <si>
    <t>FR0626082800009</t>
  </si>
  <si>
    <t>FR0626082800010</t>
  </si>
  <si>
    <t>FR0626082800006</t>
  </si>
  <si>
    <t>FR0626082800005</t>
  </si>
  <si>
    <t>ESS-AUGPO-CT19&amp;CT20&amp;CT21</t>
  </si>
  <si>
    <t>ESS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</si>
  <si>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</si>
  <si>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</si>
  <si>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</si>
  <si>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</si>
  <si>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</si>
  <si>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</si>
  <si>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SO DE0626080600026,DHL#1788864486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</si>
  <si>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</si>
  <si>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</si>
  <si>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</si>
  <si>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FR0626082800001</t>
  </si>
  <si>
    <t>ESS-WH AUG PO 1040SETS-CT04&amp;CT07&amp;CT08</t>
  </si>
  <si>
    <t>26AUG002.03
26AUG004.04
26AUG002.03
26AUG004.04
26AUG002.04
26AUG004.05</t>
  </si>
  <si>
    <t>FR0626082700006</t>
  </si>
  <si>
    <t>ESS-WH650SETS-CT12 &amp;CT13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</si>
  <si>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</si>
  <si>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</si>
  <si>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</si>
  <si>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</si>
  <si>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</si>
  <si>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</si>
  <si>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</si>
  <si>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</si>
  <si>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</si>
  <si>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</si>
  <si>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</si>
  <si>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</si>
  <si>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</si>
  <si>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</si>
  <si>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</si>
  <si>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</si>
  <si>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</si>
  <si>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</si>
  <si>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</si>
  <si>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</si>
  <si>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</si>
  <si>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</si>
  <si>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</si>
  <si>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</si>
  <si>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</si>
  <si>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</si>
  <si>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</si>
  <si>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</si>
  <si>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</si>
  <si>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</si>
  <si>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</si>
  <si>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</si>
  <si>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</si>
  <si>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</si>
  <si>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</si>
  <si>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</si>
  <si>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</si>
  <si>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</si>
  <si>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</si>
  <si>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</si>
  <si>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</si>
  <si>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</si>
  <si>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</si>
  <si>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</si>
  <si>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</si>
  <si>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</si>
  <si>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</si>
  <si>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</si>
  <si>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</si>
  <si>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</si>
  <si>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</si>
  <si>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</si>
  <si>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</si>
  <si>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</si>
  <si>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</si>
  <si>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</si>
  <si>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</si>
  <si>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</si>
  <si>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</si>
  <si>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</si>
  <si>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</si>
  <si>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</si>
  <si>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</si>
  <si>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</si>
  <si>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</si>
  <si>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</si>
  <si>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</si>
  <si>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</si>
  <si>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</si>
  <si>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</si>
  <si>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</si>
  <si>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</si>
  <si>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</si>
  <si>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</si>
  <si>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</si>
  <si>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</si>
  <si>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</si>
  <si>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</si>
  <si>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</si>
  <si>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</si>
  <si>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</si>
  <si>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</si>
  <si>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</si>
  <si>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</si>
  <si>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POPV260814047</t>
  </si>
  <si>
    <t>Reversed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</si>
  <si>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</si>
  <si>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</si>
  <si>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</si>
  <si>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</si>
  <si>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</si>
  <si>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</si>
  <si>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</si>
  <si>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</si>
  <si>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</si>
  <si>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</si>
  <si>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</si>
  <si>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</si>
  <si>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</si>
  <si>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</si>
  <si>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</si>
  <si>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</si>
  <si>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</si>
  <si>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</si>
  <si>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</si>
  <si>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</si>
  <si>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</si>
  <si>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</si>
  <si>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</si>
  <si>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</si>
  <si>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</si>
  <si>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</si>
  <si>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</si>
  <si>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</si>
  <si>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</si>
  <si>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</si>
  <si>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</si>
  <si>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</si>
  <si>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</si>
  <si>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</si>
  <si>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FR0626081000002</t>
  </si>
  <si>
    <t>ESS-WH650SETS CT05 &amp; CT06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</si>
  <si>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</si>
  <si>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</si>
  <si>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</si>
  <si>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</si>
  <si>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</si>
  <si>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</si>
  <si>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</si>
  <si>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</si>
  <si>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</si>
  <si>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</si>
  <si>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</si>
  <si>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</si>
  <si>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</si>
  <si>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POPV260807039</t>
  </si>
  <si>
    <t>POPV260807038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</si>
  <si>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</si>
  <si>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</si>
  <si>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</si>
  <si>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</si>
  <si>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</si>
  <si>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</si>
  <si>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</si>
  <si>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</si>
  <si>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</si>
  <si>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</si>
  <si>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</si>
  <si>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</si>
  <si>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</si>
  <si>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</si>
  <si>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</si>
  <si>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</si>
  <si>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</si>
  <si>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</si>
  <si>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</si>
  <si>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</si>
  <si>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</si>
  <si>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</si>
  <si>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</si>
  <si>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</si>
  <si>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</si>
  <si>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</si>
  <si>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</si>
  <si>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</si>
  <si>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</si>
  <si>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</si>
  <si>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</si>
  <si>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</si>
  <si>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</si>
  <si>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</si>
  <si>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</si>
  <si>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</si>
  <si>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</si>
  <si>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</si>
  <si>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</si>
  <si>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</si>
  <si>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</si>
  <si>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</si>
  <si>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</si>
  <si>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</si>
  <si>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</si>
  <si>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</si>
  <si>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</si>
  <si>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</si>
  <si>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</si>
  <si>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</si>
  <si>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</si>
  <si>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</si>
  <si>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</si>
  <si>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</si>
  <si>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</si>
  <si>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</si>
  <si>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</si>
  <si>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</si>
  <si>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</si>
  <si>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</si>
  <si>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</si>
  <si>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</si>
  <si>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</si>
  <si>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</si>
  <si>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</si>
  <si>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</si>
  <si>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</si>
  <si>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FR0626072800004</t>
  </si>
  <si>
    <t>ESS-WH650sets-CT01&amp;CT02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</si>
  <si>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</si>
  <si>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</si>
  <si>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</si>
  <si>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</si>
  <si>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</si>
  <si>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</si>
  <si>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</si>
  <si>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</si>
  <si>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</si>
  <si>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</si>
  <si>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</si>
  <si>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</si>
  <si>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</si>
  <si>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</si>
  <si>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</si>
  <si>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</si>
  <si>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</si>
  <si>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</si>
  <si>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</si>
  <si>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</si>
  <si>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</si>
  <si>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</si>
  <si>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</si>
  <si>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</si>
  <si>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</si>
  <si>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</si>
  <si>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</si>
  <si>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</si>
  <si>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</si>
  <si>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</si>
  <si>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</si>
  <si>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</si>
  <si>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</si>
  <si>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</si>
  <si>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</si>
  <si>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</si>
  <si>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</si>
  <si>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</si>
  <si>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</si>
  <si>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</si>
  <si>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</si>
  <si>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</si>
  <si>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</si>
  <si>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</si>
  <si>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</si>
  <si>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</si>
  <si>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</si>
  <si>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</si>
  <si>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</si>
  <si>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</si>
  <si>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</si>
  <si>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</si>
  <si>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</si>
  <si>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</si>
  <si>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</si>
  <si>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</si>
  <si>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</si>
  <si>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</si>
  <si>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</si>
  <si>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</si>
  <si>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</si>
  <si>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</si>
  <si>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</si>
  <si>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</si>
  <si>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</si>
  <si>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</si>
  <si>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</si>
  <si>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</si>
  <si>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</si>
  <si>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</si>
  <si>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</si>
  <si>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</si>
  <si>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</si>
  <si>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</si>
  <si>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</si>
  <si>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</si>
  <si>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</si>
  <si>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</si>
  <si>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</si>
  <si>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</si>
  <si>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</si>
  <si>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</si>
  <si>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</si>
  <si>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</si>
  <si>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</si>
  <si>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</si>
  <si>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</si>
  <si>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</si>
  <si>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</si>
  <si>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</si>
  <si>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</si>
  <si>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</si>
  <si>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</si>
  <si>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</si>
  <si>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</si>
  <si>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</si>
  <si>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</si>
  <si>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</si>
  <si>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</si>
  <si>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</si>
  <si>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</si>
  <si>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</si>
  <si>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</si>
  <si>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</si>
  <si>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</si>
  <si>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</si>
  <si>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</si>
  <si>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</si>
  <si>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</si>
  <si>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</si>
  <si>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</si>
  <si>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</si>
  <si>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</si>
  <si>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</si>
  <si>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</si>
  <si>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</si>
  <si>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</si>
  <si>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</si>
  <si>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</si>
  <si>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</si>
  <si>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</si>
  <si>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</si>
  <si>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</si>
  <si>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</si>
  <si>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</si>
  <si>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</si>
  <si>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</si>
  <si>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</si>
  <si>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</si>
  <si>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</si>
  <si>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</si>
  <si>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</si>
  <si>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</si>
  <si>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</si>
  <si>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</si>
  <si>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</si>
  <si>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</si>
  <si>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</si>
  <si>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</si>
  <si>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</si>
  <si>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</si>
  <si>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</si>
  <si>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</si>
  <si>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</si>
  <si>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</si>
  <si>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</si>
  <si>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</si>
  <si>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</si>
  <si>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</si>
  <si>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</si>
  <si>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</si>
  <si>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</si>
  <si>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</si>
  <si>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</si>
  <si>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</si>
  <si>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</si>
  <si>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</si>
  <si>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</si>
  <si>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</si>
  <si>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</si>
  <si>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</si>
  <si>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</si>
  <si>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</si>
  <si>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</si>
  <si>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</si>
  <si>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</si>
  <si>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</si>
  <si>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</si>
  <si>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</si>
  <si>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</si>
  <si>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</si>
  <si>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</si>
  <si>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</si>
  <si>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</si>
  <si>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</si>
  <si>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</si>
  <si>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</si>
  <si>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</si>
  <si>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</si>
  <si>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FR0626062600022</t>
  </si>
  <si>
    <t>FR0626062600023</t>
  </si>
  <si>
    <t>POPV260624018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</si>
  <si>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</si>
  <si>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</si>
  <si>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</si>
  <si>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</si>
  <si>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</si>
  <si>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</si>
  <si>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</si>
  <si>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</si>
  <si>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</si>
  <si>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</si>
  <si>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</si>
  <si>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</si>
  <si>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</si>
  <si>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</si>
  <si>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</si>
  <si>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</si>
  <si>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</si>
  <si>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</si>
  <si>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</si>
  <si>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</si>
  <si>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</si>
  <si>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</si>
  <si>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</si>
  <si>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</si>
  <si>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</si>
  <si>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</si>
  <si>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</si>
  <si>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</si>
  <si>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</si>
  <si>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</si>
  <si>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</si>
  <si>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</si>
  <si>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</si>
  <si>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</si>
  <si>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</si>
  <si>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</si>
  <si>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</si>
  <si>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</si>
  <si>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</si>
  <si>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</si>
  <si>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</si>
  <si>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</si>
  <si>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</si>
  <si>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</si>
  <si>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</si>
  <si>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</si>
  <si>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</si>
  <si>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</si>
  <si>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</si>
  <si>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</si>
  <si>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</si>
  <si>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</si>
  <si>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</si>
  <si>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</si>
  <si>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</si>
  <si>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</si>
  <si>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</si>
  <si>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</si>
  <si>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</si>
  <si>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</si>
  <si>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</si>
  <si>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</si>
  <si>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</si>
  <si>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</si>
  <si>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</si>
  <si>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</si>
  <si>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</si>
  <si>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</si>
  <si>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</si>
  <si>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</si>
  <si>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</si>
  <si>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</si>
  <si>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</si>
  <si>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</si>
  <si>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</si>
  <si>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</si>
  <si>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</si>
  <si>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</si>
  <si>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</si>
  <si>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</si>
  <si>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</si>
  <si>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</si>
  <si>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</si>
  <si>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</si>
  <si>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</si>
  <si>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</si>
  <si>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</si>
  <si>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</si>
  <si>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</si>
  <si>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</si>
  <si>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</si>
  <si>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</si>
  <si>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</si>
  <si>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</si>
  <si>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</si>
  <si>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</si>
  <si>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</si>
  <si>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</si>
  <si>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</si>
  <si>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</si>
  <si>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</si>
  <si>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</si>
  <si>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</si>
  <si>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</si>
  <si>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</si>
  <si>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</si>
  <si>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</si>
  <si>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</si>
  <si>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</si>
  <si>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</si>
  <si>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</si>
  <si>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</si>
  <si>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</si>
  <si>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</si>
  <si>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</si>
  <si>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</si>
  <si>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</si>
  <si>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</si>
  <si>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</si>
  <si>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</si>
  <si>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</si>
  <si>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</si>
  <si>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</si>
  <si>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</si>
  <si>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</si>
  <si>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</si>
  <si>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</si>
  <si>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</si>
  <si>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</si>
  <si>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</si>
  <si>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</si>
  <si>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</si>
  <si>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</si>
  <si>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</si>
  <si>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</si>
  <si>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</si>
  <si>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</si>
  <si>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</si>
  <si>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</si>
  <si>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</si>
  <si>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</si>
  <si>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</si>
  <si>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</si>
  <si>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</si>
  <si>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</si>
  <si>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</si>
  <si>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</si>
  <si>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</si>
  <si>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</si>
  <si>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</si>
  <si>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</si>
  <si>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</si>
  <si>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</si>
  <si>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</si>
  <si>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</si>
  <si>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</si>
  <si>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</si>
  <si>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</si>
  <si>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</si>
  <si>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</si>
  <si>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</si>
  <si>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</si>
  <si>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</si>
  <si>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</si>
  <si>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</si>
  <si>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</si>
  <si>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</si>
  <si>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</si>
  <si>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</si>
  <si>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</si>
  <si>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</si>
  <si>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</si>
  <si>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</si>
  <si>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</si>
  <si>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26APR001.01,JULY002-04,26APR002,26APR002.FREE,26APR003.01,JULY004-06,26APR005</t>
  </si>
  <si>
    <t>FR0626051500028</t>
  </si>
  <si>
    <t>ESS-26APR001~005 Batch 2-CT02 &amp; CT03</t>
  </si>
  <si>
    <t>26APR001,26APR001.FREE,26APR003.02,26APR003.FREE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</si>
  <si>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</si>
  <si>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</si>
  <si>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</si>
  <si>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</si>
  <si>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</si>
  <si>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</si>
  <si>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</si>
  <si>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</si>
  <si>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</si>
  <si>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</si>
  <si>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</si>
  <si>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</si>
  <si>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</si>
  <si>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</si>
  <si>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</si>
  <si>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</si>
  <si>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</si>
  <si>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</si>
  <si>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</si>
  <si>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</si>
  <si>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</si>
  <si>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</si>
  <si>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</si>
  <si>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</si>
  <si>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</si>
  <si>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</si>
  <si>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</si>
  <si>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</si>
  <si>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</si>
  <si>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</si>
  <si>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</si>
  <si>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</si>
  <si>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</si>
  <si>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</si>
  <si>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</si>
  <si>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</si>
  <si>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</si>
  <si>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</si>
  <si>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</si>
  <si>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</si>
  <si>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</si>
  <si>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</si>
  <si>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</si>
  <si>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</si>
  <si>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</si>
  <si>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FR0626050800001</t>
  </si>
  <si>
    <t>ESS-26APR011</t>
  </si>
  <si>
    <t>POPV260508003</t>
  </si>
  <si>
    <t>FR0626050800002</t>
  </si>
  <si>
    <t>ESS-26APR016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</si>
  <si>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</si>
  <si>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</si>
  <si>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</si>
  <si>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</si>
  <si>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</si>
  <si>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</si>
  <si>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</si>
  <si>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</si>
  <si>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</si>
  <si>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</si>
  <si>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</si>
  <si>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</si>
  <si>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</si>
  <si>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</si>
  <si>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</si>
  <si>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</si>
  <si>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</si>
  <si>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</si>
  <si>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</si>
  <si>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</si>
  <si>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</si>
  <si>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</si>
  <si>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</si>
  <si>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</si>
  <si>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</si>
  <si>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</si>
  <si>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</si>
  <si>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</si>
  <si>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</si>
  <si>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</si>
  <si>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</si>
  <si>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</si>
  <si>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</si>
  <si>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</si>
  <si>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</si>
  <si>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</si>
  <si>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</si>
  <si>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</si>
  <si>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</si>
  <si>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</si>
  <si>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</si>
  <si>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</si>
  <si>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</si>
  <si>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</si>
  <si>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</si>
  <si>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</si>
  <si>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</si>
  <si>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</si>
  <si>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</si>
  <si>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</si>
  <si>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</si>
  <si>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</si>
  <si>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</si>
  <si>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</si>
  <si>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</si>
  <si>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</si>
  <si>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</si>
  <si>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</si>
  <si>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</si>
  <si>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</si>
  <si>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</si>
  <si>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</si>
  <si>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</si>
  <si>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</si>
  <si>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</si>
  <si>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</si>
  <si>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</si>
  <si>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</si>
  <si>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</si>
  <si>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</si>
  <si>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</si>
  <si>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</si>
  <si>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</si>
  <si>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</si>
  <si>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</si>
  <si>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</si>
  <si>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</si>
  <si>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</si>
  <si>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FR0626042200001</t>
  </si>
  <si>
    <t>ESS-APR005-01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</si>
  <si>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</si>
  <si>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</si>
  <si>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</si>
  <si>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</si>
  <si>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</si>
  <si>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</si>
  <si>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</si>
  <si>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</si>
  <si>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</si>
  <si>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</si>
  <si>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</si>
  <si>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</si>
  <si>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</si>
  <si>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</si>
  <si>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</si>
  <si>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</si>
  <si>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</si>
  <si>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</si>
  <si>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</si>
  <si>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</si>
  <si>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</si>
  <si>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</si>
  <si>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</si>
  <si>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</si>
  <si>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</si>
  <si>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</si>
  <si>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</si>
  <si>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</si>
  <si>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</si>
  <si>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</si>
  <si>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</si>
  <si>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</si>
  <si>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</si>
  <si>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</si>
  <si>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</si>
  <si>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</si>
  <si>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</si>
  <si>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</si>
  <si>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</si>
  <si>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</si>
  <si>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</si>
  <si>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</si>
  <si>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</si>
  <si>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</si>
  <si>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</si>
  <si>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</si>
  <si>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</si>
  <si>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</si>
  <si>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</si>
  <si>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</si>
  <si>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</si>
  <si>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</si>
  <si>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</si>
  <si>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</si>
  <si>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</si>
  <si>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</si>
  <si>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</si>
  <si>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</si>
  <si>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</si>
  <si>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</si>
  <si>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</si>
  <si>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</si>
  <si>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</si>
  <si>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</si>
  <si>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</si>
  <si>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</si>
  <si>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</si>
  <si>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</si>
  <si>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</si>
  <si>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</si>
  <si>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</si>
  <si>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</si>
  <si>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</si>
  <si>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</si>
  <si>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</si>
  <si>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</si>
  <si>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</si>
  <si>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</si>
  <si>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</si>
  <si>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</si>
  <si>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</si>
  <si>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</si>
  <si>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</si>
  <si>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</si>
  <si>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</si>
  <si>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</si>
  <si>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</si>
  <si>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</si>
  <si>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</si>
  <si>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</si>
  <si>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</si>
  <si>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</si>
  <si>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</si>
  <si>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</si>
  <si>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</si>
  <si>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</si>
  <si>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</si>
  <si>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</si>
  <si>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</si>
  <si>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</si>
  <si>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</si>
  <si>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</si>
  <si>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</si>
  <si>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</si>
  <si>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</si>
  <si>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</si>
  <si>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</si>
  <si>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</si>
  <si>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</si>
  <si>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</si>
  <si>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</si>
  <si>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</si>
  <si>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</si>
  <si>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</si>
  <si>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</si>
  <si>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</si>
  <si>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</si>
  <si>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</si>
  <si>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</si>
  <si>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</si>
  <si>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</si>
  <si>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</si>
  <si>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</si>
  <si>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</si>
  <si>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</si>
  <si>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</si>
  <si>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</si>
  <si>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</si>
  <si>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</si>
  <si>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</si>
  <si>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</si>
  <si>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</si>
  <si>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</si>
  <si>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</si>
  <si>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</si>
  <si>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</si>
  <si>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</si>
  <si>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</si>
  <si>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</si>
  <si>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</si>
  <si>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</si>
  <si>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</si>
  <si>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</si>
  <si>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</si>
  <si>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</si>
  <si>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</si>
  <si>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</si>
  <si>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</si>
  <si>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</si>
  <si>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</si>
  <si>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</si>
  <si>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</si>
  <si>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</si>
  <si>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</si>
  <si>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</si>
  <si>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</si>
  <si>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</si>
  <si>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</si>
  <si>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</si>
  <si>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</si>
  <si>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</si>
  <si>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</si>
  <si>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</si>
  <si>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</si>
  <si>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</si>
  <si>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</si>
  <si>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</si>
  <si>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</si>
  <si>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</si>
  <si>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</si>
  <si>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</si>
  <si>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</si>
  <si>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</si>
  <si>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</si>
  <si>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</si>
  <si>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</si>
  <si>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</si>
  <si>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</si>
  <si>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</si>
  <si>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</si>
  <si>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</si>
  <si>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</si>
  <si>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</si>
  <si>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</si>
  <si>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</si>
  <si>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</si>
  <si>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</si>
  <si>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</si>
  <si>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</si>
  <si>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</si>
  <si>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</si>
  <si>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</si>
  <si>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</si>
  <si>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</si>
  <si>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</si>
  <si>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</si>
  <si>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</si>
  <si>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</si>
  <si>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</si>
  <si>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</si>
  <si>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</si>
  <si>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</si>
  <si>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</si>
  <si>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</si>
  <si>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</si>
  <si>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</si>
  <si>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</si>
  <si>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</si>
  <si>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</si>
  <si>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</si>
  <si>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</si>
  <si>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</si>
  <si>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</si>
  <si>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</si>
  <si>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</si>
  <si>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</si>
  <si>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</si>
  <si>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</si>
  <si>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</si>
  <si>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</si>
  <si>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</si>
  <si>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</si>
  <si>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</si>
  <si>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</si>
  <si>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</si>
  <si>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</si>
  <si>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</si>
  <si>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</si>
  <si>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</si>
  <si>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</si>
  <si>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</si>
  <si>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</si>
  <si>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</si>
  <si>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</si>
  <si>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</si>
  <si>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</si>
  <si>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</si>
  <si>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</si>
  <si>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</si>
  <si>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</si>
  <si>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</si>
  <si>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</si>
  <si>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</si>
  <si>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</si>
  <si>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</si>
  <si>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</si>
  <si>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</si>
  <si>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</si>
  <si>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</si>
  <si>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</si>
  <si>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</si>
  <si>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</si>
  <si>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</si>
  <si>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</si>
  <si>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</si>
  <si>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</si>
  <si>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</si>
  <si>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</si>
  <si>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</si>
  <si>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</si>
  <si>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</si>
  <si>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</si>
  <si>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</si>
  <si>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</si>
  <si>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</si>
  <si>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</si>
  <si>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</si>
  <si>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</si>
  <si>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</si>
  <si>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</si>
  <si>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</si>
  <si>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</si>
  <si>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</si>
  <si>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</si>
  <si>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</si>
  <si>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</si>
  <si>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</si>
  <si>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</si>
  <si>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</si>
  <si>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</si>
  <si>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</si>
  <si>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</si>
  <si>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</si>
  <si>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</si>
  <si>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</si>
  <si>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</si>
  <si>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</si>
  <si>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</si>
  <si>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</si>
  <si>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</si>
  <si>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</si>
  <si>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</si>
  <si>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</si>
  <si>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</si>
  <si>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</si>
  <si>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</si>
  <si>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</si>
  <si>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</si>
  <si>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</si>
  <si>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</si>
  <si>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</si>
  <si>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</si>
  <si>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</si>
  <si>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</si>
  <si>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</si>
  <si>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</si>
  <si>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</si>
  <si>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</si>
  <si>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</si>
  <si>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</si>
  <si>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</si>
  <si>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</si>
  <si>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</si>
  <si>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</si>
  <si>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</si>
  <si>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</si>
  <si>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</si>
  <si>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</si>
  <si>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</si>
  <si>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</si>
  <si>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</si>
  <si>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</si>
  <si>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</si>
  <si>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</si>
  <si>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</si>
  <si>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</si>
  <si>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</si>
  <si>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</si>
  <si>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</si>
  <si>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</si>
  <si>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</si>
  <si>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</si>
  <si>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</si>
  <si>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</si>
  <si>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</si>
  <si>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</si>
  <si>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</si>
  <si>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</si>
  <si>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</si>
  <si>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</si>
  <si>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</si>
  <si>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</si>
  <si>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</si>
  <si>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</si>
  <si>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</si>
  <si>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</si>
  <si>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</si>
  <si>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</si>
  <si>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</si>
  <si>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</si>
  <si>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</si>
  <si>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</si>
  <si>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</si>
  <si>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</si>
  <si>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</si>
  <si>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</si>
  <si>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</si>
  <si>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</si>
  <si>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</si>
  <si>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</si>
  <si>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</si>
  <si>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</si>
  <si>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</si>
  <si>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</si>
  <si>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</si>
  <si>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</si>
  <si>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</si>
  <si>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</si>
  <si>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</si>
  <si>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</si>
  <si>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</si>
  <si>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</si>
  <si>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</si>
  <si>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</si>
  <si>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</si>
  <si>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</si>
  <si>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</si>
  <si>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</si>
  <si>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</si>
  <si>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</si>
  <si>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</si>
  <si>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</si>
  <si>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</si>
  <si>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</si>
  <si>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</si>
  <si>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</si>
  <si>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</si>
  <si>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</si>
  <si>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</si>
  <si>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</si>
  <si>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</si>
  <si>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</si>
  <si>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</si>
  <si>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</si>
  <si>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</si>
  <si>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</si>
  <si>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</si>
  <si>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</si>
  <si>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</si>
  <si>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</si>
  <si>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</si>
  <si>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</si>
  <si>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</si>
  <si>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</si>
  <si>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</si>
  <si>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</si>
  <si>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</si>
  <si>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</si>
  <si>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</si>
  <si>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</si>
  <si>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</si>
  <si>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</si>
  <si>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</si>
  <si>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</si>
  <si>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</si>
  <si>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</si>
  <si>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</si>
  <si>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</si>
  <si>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</si>
  <si>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</si>
  <si>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</si>
  <si>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</si>
  <si>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</si>
  <si>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</si>
  <si>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</si>
  <si>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</si>
  <si>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</si>
  <si>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</si>
  <si>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</si>
  <si>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</si>
  <si>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</si>
  <si>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</si>
  <si>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</si>
  <si>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</si>
  <si>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</si>
  <si>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</si>
  <si>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</si>
  <si>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</si>
  <si>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</si>
  <si>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</si>
  <si>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</si>
  <si>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</si>
  <si>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</si>
  <si>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</si>
  <si>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</si>
  <si>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</si>
  <si>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</si>
  <si>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FR0626012600021</t>
  </si>
  <si>
    <t>OCT001-02,OCT006-FREE,OCT002,OCT007-FREE,OCT003,OCT008-FREE,OCT004-02,OCT009-FREE,NOV001-02,NOV002-02</t>
  </si>
  <si>
    <t>FR0626012600020</t>
  </si>
  <si>
    <t>OCT004-01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</si>
  <si>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</si>
  <si>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</si>
  <si>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</si>
  <si>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</si>
  <si>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</si>
  <si>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</si>
  <si>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</si>
  <si>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</si>
  <si>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</si>
  <si>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</si>
  <si>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</si>
  <si>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</si>
  <si>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</si>
  <si>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</si>
  <si>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</si>
  <si>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</si>
  <si>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</si>
  <si>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</si>
  <si>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</si>
  <si>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</si>
  <si>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</si>
  <si>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</si>
  <si>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</si>
  <si>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</si>
  <si>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</si>
  <si>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</si>
  <si>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</si>
  <si>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</si>
  <si>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</si>
  <si>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</si>
  <si>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</si>
  <si>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</si>
  <si>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</si>
  <si>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</si>
  <si>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</si>
  <si>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</si>
  <si>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</si>
  <si>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</si>
  <si>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</si>
  <si>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</si>
  <si>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</si>
  <si>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</si>
  <si>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</si>
  <si>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</si>
  <si>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</si>
  <si>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</si>
  <si>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</si>
  <si>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</si>
  <si>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</si>
  <si>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</si>
  <si>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</si>
  <si>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</si>
  <si>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</si>
  <si>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</si>
  <si>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</si>
  <si>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</si>
  <si>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</si>
  <si>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</si>
  <si>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</si>
  <si>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</si>
  <si>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</si>
  <si>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</si>
  <si>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</si>
  <si>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</si>
  <si>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</si>
  <si>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</si>
  <si>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</si>
  <si>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</si>
  <si>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</si>
  <si>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</si>
  <si>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</si>
  <si>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</si>
  <si>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</si>
  <si>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</si>
  <si>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</si>
  <si>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</si>
  <si>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</si>
  <si>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</si>
  <si>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</si>
  <si>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</si>
  <si>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</si>
  <si>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</si>
  <si>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</si>
  <si>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</si>
  <si>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</si>
  <si>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</si>
  <si>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</si>
  <si>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</si>
  <si>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</si>
  <si>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</si>
  <si>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</si>
  <si>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</si>
  <si>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</si>
  <si>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</si>
  <si>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</si>
  <si>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</si>
  <si>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</si>
  <si>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</si>
  <si>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</si>
  <si>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</si>
  <si>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</si>
  <si>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</si>
  <si>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</si>
  <si>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</si>
  <si>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</si>
  <si>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</si>
  <si>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</si>
  <si>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</si>
  <si>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</si>
  <si>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</si>
  <si>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</si>
  <si>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</si>
  <si>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</si>
  <si>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</si>
  <si>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</si>
  <si>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</si>
  <si>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</si>
  <si>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</si>
  <si>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</si>
  <si>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</si>
  <si>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</si>
  <si>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</si>
  <si>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</si>
  <si>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</si>
  <si>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</si>
  <si>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</si>
  <si>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</si>
  <si>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</si>
  <si>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</si>
  <si>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</si>
  <si>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</si>
  <si>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</si>
  <si>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</si>
  <si>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</si>
  <si>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</si>
  <si>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</si>
  <si>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</si>
  <si>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</si>
  <si>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</si>
  <si>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</si>
  <si>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</si>
  <si>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</si>
  <si>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</si>
  <si>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</si>
  <si>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</si>
  <si>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</si>
  <si>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</si>
  <si>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</si>
  <si>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</si>
  <si>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</si>
  <si>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</si>
  <si>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</si>
  <si>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</si>
  <si>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</si>
  <si>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</si>
  <si>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</si>
  <si>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</si>
  <si>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</si>
  <si>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</si>
  <si>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</si>
  <si>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</si>
  <si>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</si>
  <si>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</si>
  <si>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</si>
  <si>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</si>
  <si>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</si>
  <si>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</si>
  <si>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</si>
  <si>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</si>
  <si>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</si>
  <si>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</si>
  <si>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</si>
  <si>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</si>
  <si>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</si>
  <si>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</si>
  <si>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</si>
  <si>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</si>
  <si>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</si>
  <si>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</si>
  <si>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</si>
  <si>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</si>
  <si>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</si>
  <si>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</si>
  <si>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</si>
  <si>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</si>
  <si>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</si>
  <si>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</si>
  <si>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</si>
  <si>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</si>
  <si>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</si>
  <si>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</si>
  <si>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</si>
  <si>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</si>
  <si>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</si>
  <si>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</si>
  <si>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</si>
  <si>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</si>
  <si>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</si>
  <si>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</si>
  <si>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</si>
  <si>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</si>
  <si>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</si>
  <si>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</si>
  <si>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</si>
  <si>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</si>
  <si>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</si>
  <si>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</si>
  <si>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</si>
  <si>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</si>
  <si>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</si>
  <si>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</si>
  <si>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</si>
  <si>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</si>
  <si>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</si>
  <si>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</si>
  <si>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</si>
  <si>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</si>
  <si>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</si>
  <si>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</si>
  <si>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</si>
  <si>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</si>
  <si>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</si>
  <si>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</si>
  <si>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</si>
  <si>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</si>
  <si>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</si>
  <si>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</si>
  <si>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</si>
  <si>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</si>
  <si>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</si>
  <si>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</si>
  <si>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</si>
  <si>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</si>
  <si>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</si>
  <si>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</si>
  <si>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</si>
  <si>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</si>
  <si>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</si>
  <si>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</si>
  <si>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</si>
  <si>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</si>
  <si>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</si>
  <si>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</si>
  <si>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</si>
  <si>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</si>
  <si>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</si>
  <si>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</si>
  <si>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</si>
  <si>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</si>
  <si>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</si>
  <si>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</si>
  <si>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</si>
  <si>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</si>
  <si>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</si>
  <si>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</si>
  <si>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</si>
  <si>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</si>
  <si>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</si>
  <si>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</si>
  <si>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</si>
  <si>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</si>
  <si>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</si>
  <si>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</si>
  <si>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</si>
  <si>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</si>
  <si>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</si>
  <si>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</si>
  <si>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</si>
  <si>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No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</si>
  <si>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</si>
  <si>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</si>
  <si>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</si>
  <si>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</si>
  <si>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</si>
  <si>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</si>
  <si>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</si>
  <si>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</si>
  <si>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</si>
  <si>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</si>
  <si>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</si>
  <si>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</si>
  <si>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</si>
  <si>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</si>
  <si>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</si>
  <si>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</si>
  <si>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</si>
  <si>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</si>
  <si>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</si>
  <si>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</si>
  <si>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</si>
  <si>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</si>
  <si>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</si>
  <si>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</si>
  <si>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</si>
  <si>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</si>
  <si>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</si>
  <si>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</si>
  <si>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</si>
  <si>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</si>
  <si>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</si>
  <si>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</si>
  <si>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</si>
  <si>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</si>
  <si>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</si>
  <si>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</si>
  <si>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</si>
  <si>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</si>
  <si>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</si>
  <si>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</si>
  <si>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</si>
  <si>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</si>
  <si>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</si>
  <si>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</si>
  <si>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</si>
  <si>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</si>
  <si>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</si>
  <si>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</si>
  <si>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</si>
  <si>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</si>
  <si>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</si>
  <si>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</si>
  <si>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</si>
  <si>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</si>
  <si>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</si>
  <si>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</si>
  <si>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</si>
  <si>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</si>
  <si>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</si>
  <si>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</si>
  <si>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</si>
  <si>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</si>
  <si>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</si>
  <si>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</si>
  <si>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</si>
  <si>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</si>
  <si>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</si>
  <si>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</si>
  <si>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MBL/Booking Format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</si>
  <si>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</si>
  <si>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</si>
  <si>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</si>
  <si>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</si>
  <si>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</si>
  <si>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</si>
  <si>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EGLV</t>
  </si>
  <si>
    <t>EGLV149606436090;149600418545</t>
  </si>
  <si>
    <t>https://www.evergreen-shipping.cn/servlet/TDB1_CargoTracking.do</t>
  </si>
  <si>
    <t>Yangming</t>
  </si>
  <si>
    <t>https://www.yangming.com/en/esolution/cargo_tracking</t>
  </si>
  <si>
    <t>CMA</t>
  </si>
  <si>
    <t>TJN0504226;CHN3908494</t>
  </si>
  <si>
    <t>https://www.cma-cgm.com/ebusiness/tracking</t>
  </si>
  <si>
    <t>ONEY</t>
  </si>
  <si>
    <t>ONEYSH6YSH016600(search without the prefix "ONEY");TS6NC4254400</t>
  </si>
  <si>
    <t>https://www.one-line.com/one-ecom/manage-shipment/cargo-tracking</t>
  </si>
  <si>
    <t>HMM</t>
  </si>
  <si>
    <t>HDMUSHAZ9TA99500;TSNE54420600;HDMUTSNE54420600(search without the prefix "HDMU")</t>
  </si>
  <si>
    <t>https://www.hmm21.com/e-service/general/trackNTrace/TrackNTrace.do</t>
  </si>
  <si>
    <t>OOCL</t>
  </si>
  <si>
    <t>https://www.oocl.com/eng/ourservices/eservices/cargotracking/pages/cargotracking.aspx</t>
  </si>
  <si>
    <t>(全部)</t>
  </si>
  <si>
    <t>Sum of CONTAINERS</t>
  </si>
  <si>
    <t>列标签</t>
  </si>
  <si>
    <t>行标签</t>
  </si>
  <si>
    <t>总计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</si>
  <si>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</si>
  <si>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</si>
  <si>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</si>
  <si>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</si>
  <si>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</si>
  <si>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</si>
  <si>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</si>
  <si>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</si>
  <si>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</si>
  <si>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</si>
  <si>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Qingdao / Valencia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</si>
  <si>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</si>
  <si>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</si>
  <si>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</si>
  <si>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</si>
  <si>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</si>
  <si>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</si>
  <si>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</si>
  <si>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</si>
  <si>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</si>
  <si>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</si>
  <si>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</si>
  <si>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Qingdao / FOS</t>
  </si>
  <si>
    <t>Ningbo / Zeebrugge</t>
  </si>
  <si>
    <t>Shanghai / Piraeus</t>
  </si>
  <si>
    <t>Zeebrugge</t>
  </si>
  <si>
    <t>Ningbo / Piraeus</t>
  </si>
  <si>
    <t>Qingdao / Piraeus</t>
  </si>
  <si>
    <t>refresh to exclude zero lines</t>
  </si>
  <si>
    <t>(多项)</t>
  </si>
  <si>
    <t>Editing / Approving / #N/A</t>
  </si>
  <si>
    <t>(空白)</t>
  </si>
  <si>
    <t>remove old POs already received at port</t>
  </si>
  <si>
    <t>Sum of QUANTITY</t>
  </si>
  <si>
    <t>below Pivot keep for Julia</t>
  </si>
  <si>
    <t>求和项:QUANTITY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</si>
  <si>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</si>
  <si>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</si>
  <si>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</si>
  <si>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</si>
  <si>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</si>
  <si>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</si>
  <si>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</si>
  <si>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</si>
  <si>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</si>
  <si>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</si>
  <si>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</si>
  <si>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</si>
  <si>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</si>
  <si>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</si>
  <si>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</si>
  <si>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</si>
  <si>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</si>
  <si>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</si>
  <si>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</si>
  <si>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</si>
  <si>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</si>
  <si>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</si>
  <si>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</si>
  <si>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</si>
  <si>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</si>
  <si>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</si>
  <si>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</si>
  <si>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</si>
  <si>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</si>
  <si>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</si>
  <si>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</si>
  <si>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</si>
  <si>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</si>
  <si>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</si>
  <si>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</si>
  <si>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</si>
  <si>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</si>
  <si>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</si>
  <si>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</si>
  <si>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</si>
  <si>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</si>
  <si>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</si>
  <si>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</si>
  <si>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</si>
  <si>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</si>
  <si>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</si>
  <si>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</si>
  <si>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</si>
  <si>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</si>
  <si>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</si>
  <si>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</si>
  <si>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</si>
  <si>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</si>
  <si>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</si>
  <si>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</si>
  <si>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</si>
  <si>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</si>
  <si>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</si>
  <si>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</si>
  <si>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</si>
  <si>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</si>
  <si>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</si>
  <si>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</si>
  <si>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</si>
  <si>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</si>
  <si>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</si>
  <si>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</si>
  <si>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</si>
  <si>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</si>
  <si>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</si>
  <si>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</si>
  <si>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</si>
  <si>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</si>
  <si>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</si>
  <si>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</si>
  <si>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</si>
  <si>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</si>
  <si>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</si>
  <si>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</si>
  <si>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</si>
  <si>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</si>
  <si>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</si>
  <si>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</si>
  <si>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</si>
  <si>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</si>
  <si>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</si>
  <si>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</si>
  <si>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</si>
  <si>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</si>
  <si>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</si>
  <si>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</si>
  <si>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</si>
  <si>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</si>
  <si>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</si>
  <si>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</si>
  <si>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</si>
  <si>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</si>
  <si>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</si>
  <si>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</si>
  <si>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</si>
  <si>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</si>
  <si>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</si>
  <si>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</si>
  <si>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</si>
  <si>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</si>
  <si>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</si>
  <si>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</si>
  <si>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</si>
  <si>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</si>
  <si>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</si>
  <si>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</si>
  <si>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</si>
  <si>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</si>
  <si>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</si>
  <si>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</si>
  <si>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</si>
  <si>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</si>
  <si>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</si>
  <si>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</si>
  <si>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</si>
  <si>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</si>
  <si>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</si>
  <si>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</si>
  <si>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</si>
  <si>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</si>
  <si>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</si>
  <si>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</si>
  <si>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</si>
  <si>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</si>
  <si>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</si>
  <si>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</si>
  <si>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</si>
  <si>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</si>
  <si>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</si>
  <si>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</si>
  <si>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</si>
  <si>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</si>
  <si>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</si>
  <si>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</si>
  <si>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</si>
  <si>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</si>
  <si>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</si>
  <si>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</si>
  <si>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</si>
  <si>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</si>
  <si>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</si>
  <si>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</si>
  <si>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</si>
  <si>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</si>
  <si>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</si>
  <si>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</si>
  <si>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</si>
  <si>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</si>
  <si>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</si>
  <si>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</si>
  <si>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</si>
  <si>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</si>
  <si>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</si>
  <si>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</si>
  <si>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</si>
  <si>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</si>
  <si>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</si>
  <si>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</si>
  <si>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</si>
  <si>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</si>
  <si>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</si>
  <si>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</si>
  <si>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</si>
  <si>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</si>
  <si>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</si>
  <si>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</si>
  <si>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</si>
  <si>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</si>
  <si>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</si>
  <si>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</si>
  <si>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</si>
  <si>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</si>
  <si>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</si>
  <si>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</si>
  <si>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</si>
  <si>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</si>
  <si>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</si>
  <si>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</si>
  <si>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</si>
  <si>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</si>
  <si>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</si>
  <si>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</si>
  <si>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</si>
  <si>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</si>
  <si>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</si>
  <si>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</si>
  <si>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</si>
  <si>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</si>
  <si>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</si>
  <si>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</si>
  <si>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</si>
  <si>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</si>
  <si>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</si>
  <si>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</si>
  <si>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</si>
  <si>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</si>
  <si>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</si>
  <si>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</si>
  <si>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</si>
  <si>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</si>
  <si>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</si>
  <si>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</si>
  <si>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</si>
  <si>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</si>
  <si>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</si>
  <si>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</si>
  <si>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</si>
  <si>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</si>
  <si>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</si>
  <si>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</si>
  <si>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</si>
  <si>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</si>
  <si>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</si>
  <si>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</si>
  <si>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</si>
  <si>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</si>
  <si>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</si>
  <si>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</si>
  <si>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</si>
  <si>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</si>
  <si>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</si>
  <si>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</si>
  <si>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</si>
  <si>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</si>
  <si>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</si>
  <si>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</si>
  <si>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</si>
  <si>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</si>
  <si>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</si>
  <si>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</si>
  <si>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</si>
  <si>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</si>
  <si>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</si>
  <si>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</si>
  <si>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</si>
  <si>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</si>
  <si>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</si>
  <si>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</si>
  <si>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</si>
  <si>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</si>
  <si>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</si>
  <si>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</si>
  <si>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</si>
  <si>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</si>
  <si>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</si>
  <si>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</si>
  <si>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</si>
  <si>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</si>
  <si>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</si>
  <si>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</si>
  <si>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</si>
  <si>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</si>
  <si>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</si>
  <si>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</si>
  <si>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</si>
  <si>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</si>
  <si>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</si>
  <si>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</si>
  <si>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</si>
  <si>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</si>
  <si>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</si>
  <si>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</si>
  <si>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</si>
  <si>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</si>
  <si>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</si>
  <si>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</si>
  <si>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</si>
  <si>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</si>
  <si>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</si>
  <si>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</si>
  <si>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</si>
  <si>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</si>
  <si>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</si>
  <si>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</si>
  <si>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</si>
  <si>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</si>
  <si>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</si>
  <si>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</si>
  <si>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</si>
  <si>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</si>
  <si>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</si>
  <si>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</si>
  <si>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</si>
  <si>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</si>
  <si>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</si>
  <si>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</si>
  <si>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</si>
  <si>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</si>
  <si>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</si>
  <si>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</si>
  <si>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</si>
  <si>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</si>
  <si>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</si>
  <si>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</si>
  <si>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</si>
  <si>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</si>
  <si>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</si>
  <si>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</si>
  <si>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</si>
  <si>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</si>
  <si>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</si>
  <si>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</si>
  <si>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</si>
  <si>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</si>
  <si>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</si>
  <si>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</si>
  <si>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</si>
  <si>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</si>
  <si>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</si>
  <si>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</si>
  <si>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</si>
  <si>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</si>
  <si>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</si>
  <si>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</si>
  <si>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</si>
  <si>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</si>
  <si>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</si>
  <si>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</si>
  <si>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</si>
  <si>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</si>
  <si>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</si>
  <si>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</si>
  <si>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</si>
  <si>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</si>
  <si>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</si>
  <si>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</si>
  <si>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</si>
  <si>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</si>
  <si>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</si>
  <si>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</si>
  <si>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</si>
  <si>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</si>
  <si>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</si>
  <si>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</si>
  <si>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</si>
  <si>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</si>
  <si>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</si>
  <si>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</si>
  <si>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</si>
  <si>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</si>
  <si>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</si>
  <si>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</si>
  <si>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</si>
  <si>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</si>
  <si>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</si>
  <si>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</si>
  <si>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</si>
  <si>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</si>
  <si>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</si>
  <si>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</si>
  <si>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</si>
  <si>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</si>
  <si>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</si>
  <si>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</si>
  <si>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</si>
  <si>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</si>
  <si>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</si>
  <si>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</si>
  <si>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</si>
  <si>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</si>
  <si>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</si>
  <si>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</si>
  <si>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</si>
  <si>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</si>
  <si>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</si>
  <si>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</si>
  <si>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</si>
  <si>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</si>
  <si>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</si>
  <si>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</si>
  <si>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</si>
  <si>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</si>
  <si>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</si>
  <si>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</si>
  <si>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</si>
  <si>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</si>
  <si>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</si>
  <si>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</si>
  <si>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</si>
  <si>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</si>
  <si>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</si>
  <si>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</si>
  <si>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</si>
  <si>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</si>
  <si>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</si>
  <si>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</si>
  <si>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</si>
  <si>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</si>
  <si>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</si>
  <si>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</si>
  <si>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</si>
  <si>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</si>
  <si>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</si>
  <si>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</si>
  <si>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</si>
  <si>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</si>
  <si>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</si>
  <si>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</si>
  <si>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</si>
  <si>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</si>
  <si>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</si>
  <si>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</si>
  <si>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</si>
  <si>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</si>
  <si>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</si>
  <si>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</si>
  <si>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</si>
  <si>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</si>
  <si>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</si>
  <si>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</si>
  <si>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</si>
  <si>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</si>
  <si>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</si>
  <si>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</si>
  <si>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</si>
  <si>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</si>
  <si>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</si>
  <si>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</si>
  <si>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</si>
  <si>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</si>
  <si>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</si>
  <si>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</si>
  <si>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</si>
  <si>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</si>
  <si>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</si>
  <si>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</si>
  <si>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</si>
  <si>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</si>
  <si>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</si>
  <si>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</si>
  <si>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</si>
  <si>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</si>
  <si>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</si>
  <si>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</si>
  <si>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</si>
  <si>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</si>
  <si>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</si>
  <si>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</si>
  <si>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</si>
  <si>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</si>
  <si>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</si>
  <si>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</si>
  <si>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</si>
  <si>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</si>
  <si>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</si>
  <si>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</si>
  <si>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</si>
  <si>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</si>
  <si>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</si>
  <si>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</si>
  <si>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</si>
  <si>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</si>
  <si>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</si>
  <si>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</si>
  <si>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</si>
  <si>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</si>
  <si>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</si>
  <si>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</si>
  <si>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</si>
  <si>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</si>
  <si>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</si>
  <si>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</si>
  <si>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</si>
  <si>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</si>
  <si>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</si>
  <si>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</si>
  <si>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</si>
  <si>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</si>
  <si>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</si>
  <si>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</si>
  <si>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</si>
  <si>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</si>
  <si>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</si>
  <si>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</si>
  <si>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</si>
  <si>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</si>
  <si>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</si>
  <si>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</si>
  <si>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</si>
  <si>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</si>
  <si>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</si>
  <si>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</si>
  <si>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</si>
  <si>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</si>
  <si>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</si>
  <si>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</si>
  <si>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</si>
  <si>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</si>
  <si>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</si>
  <si>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</si>
  <si>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</si>
  <si>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</si>
  <si>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</si>
  <si>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</si>
  <si>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</si>
  <si>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</si>
  <si>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</si>
  <si>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</si>
  <si>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</si>
  <si>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</si>
  <si>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</si>
  <si>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</si>
  <si>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</si>
  <si>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</si>
  <si>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</si>
  <si>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</si>
  <si>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</si>
  <si>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</si>
  <si>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</si>
  <si>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</si>
  <si>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</si>
  <si>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Type/
Customer PO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</si>
  <si>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</si>
  <si>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</si>
  <si>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</si>
  <si>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</si>
  <si>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</si>
  <si>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</si>
  <si>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</si>
  <si>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</si>
  <si>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</si>
  <si>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</si>
  <si>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</si>
  <si>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</si>
  <si>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</si>
  <si>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</si>
  <si>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</si>
  <si>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</si>
  <si>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</si>
  <si>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</si>
  <si>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</si>
  <si>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</si>
  <si>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</si>
  <si>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</si>
  <si>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</si>
  <si>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</si>
  <si>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</si>
  <si>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</si>
  <si>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</si>
  <si>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</si>
  <si>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</si>
  <si>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</si>
  <si>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</si>
  <si>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</si>
  <si>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</si>
  <si>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</si>
  <si>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</si>
  <si>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</si>
  <si>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</si>
  <si>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</si>
  <si>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</si>
  <si>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</si>
  <si>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</si>
  <si>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</si>
  <si>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</si>
  <si>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</si>
  <si>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</si>
  <si>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</si>
  <si>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</si>
  <si>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</si>
  <si>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</si>
  <si>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</si>
  <si>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</si>
  <si>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</si>
  <si>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</si>
  <si>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</si>
  <si>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</si>
  <si>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</si>
  <si>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</si>
  <si>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</si>
  <si>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</si>
  <si>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</si>
  <si>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</si>
  <si>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</si>
  <si>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</si>
  <si>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</si>
  <si>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</si>
  <si>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</si>
  <si>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</si>
  <si>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</si>
  <si>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</si>
  <si>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</si>
  <si>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</si>
  <si>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</si>
  <si>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</si>
  <si>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</si>
  <si>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</si>
  <si>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</si>
  <si>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</si>
  <si>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</si>
  <si>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</si>
  <si>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</si>
  <si>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</si>
  <si>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</si>
  <si>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</si>
  <si>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</si>
  <si>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</si>
  <si>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</si>
  <si>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</si>
  <si>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</si>
  <si>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</si>
  <si>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</si>
  <si>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</si>
  <si>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</si>
  <si>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</si>
  <si>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</si>
  <si>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</si>
  <si>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</si>
  <si>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</si>
  <si>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</si>
  <si>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</si>
  <si>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</si>
  <si>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</si>
  <si>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</si>
  <si>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</si>
  <si>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</si>
  <si>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</si>
  <si>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</si>
  <si>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</si>
  <si>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</si>
  <si>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</si>
  <si>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</si>
  <si>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</si>
  <si>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</si>
  <si>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</si>
  <si>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</si>
  <si>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</si>
  <si>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</si>
  <si>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</si>
  <si>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</si>
  <si>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</si>
  <si>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</si>
  <si>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</si>
  <si>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</si>
  <si>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</si>
  <si>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</si>
  <si>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</si>
  <si>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</si>
  <si>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</si>
  <si>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</si>
  <si>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</si>
  <si>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</si>
  <si>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</si>
  <si>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</si>
  <si>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</si>
  <si>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</si>
  <si>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</si>
  <si>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</si>
  <si>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</si>
  <si>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</si>
  <si>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</si>
  <si>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</si>
  <si>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</si>
  <si>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</si>
  <si>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</si>
  <si>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</si>
  <si>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</si>
  <si>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</si>
  <si>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</si>
  <si>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</si>
  <si>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</si>
  <si>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</si>
  <si>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</si>
  <si>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</si>
  <si>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</si>
  <si>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</si>
  <si>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</si>
  <si>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</si>
  <si>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</si>
  <si>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</si>
  <si>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</si>
  <si>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</si>
  <si>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</si>
  <si>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</si>
  <si>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</si>
  <si>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Hybrid inverter dummy</t>
  </si>
  <si>
    <t>BlueArk X1 8K-SP</t>
  </si>
  <si>
    <t>TPVO2026050701</t>
  </si>
  <si>
    <t>AIRI20260501</t>
  </si>
  <si>
    <t>battery dummy</t>
  </si>
  <si>
    <t>BlueArk X1 8.0 BMH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</si>
  <si>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</si>
  <si>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</si>
  <si>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</si>
  <si>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</si>
  <si>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</si>
  <si>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</si>
  <si>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</si>
  <si>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</si>
  <si>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TPVO2026051103</t>
  </si>
  <si>
    <t>AIRI20260502</t>
  </si>
  <si>
    <t>GF0700001995</t>
  </si>
  <si>
    <t>TCL BlueArk X5 C&amp;I system Dummy</t>
  </si>
  <si>
    <t>BlueArk X5-50K-100 Dummy</t>
  </si>
  <si>
    <t>Italy</t>
  </si>
  <si>
    <t>TPVO20260523001</t>
  </si>
  <si>
    <t>CTS26051692</t>
  </si>
  <si>
    <t>BlueArk X1 8kw Inverter Dummy</t>
  </si>
  <si>
    <t>BlueArk X1 8kwh BMH PACK Dummy</t>
  </si>
  <si>
    <t>BlueArk X1 8kwh BSH PACK Dummy</t>
  </si>
  <si>
    <t>GF0700001996</t>
  </si>
  <si>
    <t>BlueArk X1 15kw Inverter Dummy</t>
  </si>
  <si>
    <t>BlueArk X1 15K-TP Dummy</t>
  </si>
  <si>
    <t xml:space="preserve">Blue Ark Sample </t>
  </si>
  <si>
    <t>Manila North</t>
  </si>
  <si>
    <t>TPVO2026051103-1</t>
  </si>
  <si>
    <t>LK26070021</t>
  </si>
  <si>
    <t xml:space="preserve">FOB </t>
  </si>
  <si>
    <t>Nansha</t>
  </si>
  <si>
    <t>CONGO</t>
  </si>
  <si>
    <t>TPVO2026062601</t>
  </si>
  <si>
    <t>SWA0460960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</si>
  <si>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</si>
  <si>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</si>
  <si>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</si>
  <si>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</si>
  <si>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</si>
  <si>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</si>
  <si>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</si>
  <si>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</si>
  <si>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</si>
  <si>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</si>
  <si>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</si>
  <si>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</si>
  <si>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</si>
  <si>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</si>
  <si>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</si>
  <si>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</si>
  <si>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</si>
  <si>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</si>
  <si>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</si>
  <si>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Samples for Stocking</t>
  </si>
  <si>
    <t>Energy meter</t>
  </si>
  <si>
    <t>France</t>
  </si>
  <si>
    <t>POPV260918004</t>
  </si>
  <si>
    <t>TPVO20260910001</t>
  </si>
  <si>
    <t>DHL#6042693683</t>
  </si>
  <si>
    <t>GF0700002224</t>
  </si>
  <si>
    <t>X5-TCL-PC BOX -Parallel</t>
  </si>
  <si>
    <t xml:space="preserve">Shenzhen </t>
  </si>
  <si>
    <t>Switzerland</t>
  </si>
  <si>
    <t>GF0700002225</t>
  </si>
  <si>
    <t>X5-TCL-PC BOX -Confluence</t>
  </si>
  <si>
    <t>GF0700002223</t>
  </si>
  <si>
    <t>W10-ESTS500-EU</t>
  </si>
  <si>
    <t>Connectors for Customer</t>
  </si>
  <si>
    <t>GF0700002221</t>
  </si>
  <si>
    <t>Connection Cable</t>
  </si>
  <si>
    <t xml:space="preserve"> Italy</t>
  </si>
  <si>
    <t>POPV260924033</t>
  </si>
  <si>
    <t>TPVO20260924001</t>
  </si>
  <si>
    <t>Level</t>
  </si>
  <si>
    <t>Comments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</si>
  <si>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</si>
  <si>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</si>
  <si>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</si>
  <si>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</si>
  <si>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</si>
  <si>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</si>
  <si>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</si>
  <si>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</si>
  <si>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</si>
  <si>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</si>
  <si>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</si>
  <si>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</si>
  <si>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</si>
  <si>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</si>
  <si>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</si>
  <si>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</si>
  <si>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</si>
  <si>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</si>
  <si>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</si>
  <si>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</si>
  <si>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</si>
  <si>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</si>
  <si>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</si>
  <si>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</si>
  <si>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</si>
  <si>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</si>
  <si>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</si>
  <si>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</si>
  <si>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</si>
  <si>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</si>
  <si>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</si>
  <si>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</si>
  <si>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</si>
  <si>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</si>
  <si>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</si>
  <si>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</si>
  <si>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</si>
  <si>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</si>
  <si>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</si>
  <si>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</si>
  <si>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</si>
  <si>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</si>
  <si>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</si>
  <si>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</si>
  <si>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</si>
  <si>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</si>
  <si>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</si>
  <si>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</si>
  <si>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</si>
  <si>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</si>
  <si>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</si>
  <si>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</si>
  <si>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</si>
  <si>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</si>
  <si>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</si>
  <si>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</si>
  <si>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</si>
  <si>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</si>
  <si>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</si>
  <si>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</si>
  <si>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</si>
  <si>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</si>
  <si>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</si>
  <si>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</si>
  <si>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</si>
  <si>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</si>
  <si>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</si>
  <si>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</si>
  <si>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</si>
  <si>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</si>
  <si>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</si>
  <si>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</si>
  <si>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</si>
  <si>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</si>
  <si>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</si>
  <si>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</si>
  <si>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</si>
  <si>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</si>
  <si>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</si>
  <si>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</si>
  <si>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</si>
  <si>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</si>
  <si>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</si>
  <si>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</si>
  <si>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</si>
  <si>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</si>
  <si>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</si>
  <si>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</si>
  <si>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</si>
  <si>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</si>
  <si>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</si>
  <si>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</si>
  <si>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</si>
  <si>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</si>
  <si>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GF0700001869</t>
  </si>
  <si>
    <t>EVO-P-HSM-ND54-DR500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</si>
  <si>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</si>
  <si>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</si>
  <si>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</si>
  <si>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</si>
  <si>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</si>
  <si>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</si>
  <si>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</si>
  <si>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</si>
  <si>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</si>
  <si>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</si>
  <si>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</si>
  <si>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</si>
  <si>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</si>
  <si>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</si>
  <si>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</si>
  <si>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</si>
  <si>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</si>
  <si>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</si>
  <si>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</si>
  <si>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</si>
  <si>
    <t>BC+Half-Cuts,±1.2m,Black Frame,Black glazing,Bi-facial,LY7</t>
  </si>
  <si>
    <t>TOPCon+3-Cuts, +1.2m, Silver Frame, Transparent+ White Film, Bi- facial,LY7</t>
  </si>
  <si>
    <t>TOPCon+Half-Cuts,±1.4m,Silver Frame,White glazing,Bi-facial,LY2</t>
  </si>
  <si>
    <t>TOPCon+Half-Cuts,±1400mm,Silver Frame,Transparent+Redirection Film,Bi-facial,LY2</t>
  </si>
  <si>
    <t>TOPCon+3-Cuts,±1.2m,Black Frame,Transparent+Black Film,Mono-facial,LY7</t>
  </si>
  <si>
    <t>TOPCon+3-Cuts, +1.2m, Silver Frame, Transparent+ White Film, Bi-facial,LY7</t>
  </si>
  <si>
    <t>±1600mm</t>
    <phoneticPr fontId="64" type="noConversion"/>
  </si>
  <si>
    <t>TOPCon+3-Cuts,±1.6m,Silver Frame,Transparent+Redirection Film,Bi-facial,LY0</t>
  </si>
  <si>
    <t xml:space="preserve">ETD On S/O
</t>
  </si>
  <si>
    <t>-</t>
  </si>
  <si>
    <t>26JUNE002-FREE+26JUL008-FREE</t>
  </si>
  <si>
    <t>Pick-up assumption</t>
  </si>
  <si>
    <t>Date</t>
  </si>
  <si>
    <t>Index</t>
  </si>
  <si>
    <t>in Days</t>
  </si>
  <si>
    <t>in Weeks</t>
  </si>
  <si>
    <t>Customs+Leg3</t>
  </si>
  <si>
    <t>Cosco Line</t>
  </si>
  <si>
    <t>Country</t>
  </si>
  <si>
    <t>G2G</t>
  </si>
  <si>
    <t>Priority</t>
  </si>
  <si>
    <t>w01 PICK-UP</t>
  </si>
  <si>
    <t>Netherlands</t>
  </si>
  <si>
    <t>w02 PICK-UP</t>
  </si>
  <si>
    <t>TIANJINFELIXSTOWE</t>
  </si>
  <si>
    <t>w03 PICK-UP</t>
  </si>
  <si>
    <t>Yes - GTG</t>
  </si>
  <si>
    <t>w04 PICK-UP</t>
  </si>
  <si>
    <t>FCA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</si>
  <si>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</si>
  <si>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</si>
  <si>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</si>
  <si>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</si>
  <si>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</si>
  <si>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</si>
  <si>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</si>
  <si>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</si>
  <si>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</si>
  <si>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</si>
  <si>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</si>
  <si>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</si>
  <si>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</si>
  <si>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</si>
  <si>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</si>
  <si>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</si>
  <si>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</si>
  <si>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</si>
  <si>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</si>
  <si>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</si>
  <si>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</si>
  <si>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</si>
  <si>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PIRAEUS-Thessaloniki</t>
  </si>
  <si>
    <t>w17 PICK-UP</t>
  </si>
  <si>
    <t>Cyprus</t>
  </si>
  <si>
    <t>SANIBRAVA 96 SL</t>
  </si>
  <si>
    <t>same as GDANSK</t>
  </si>
  <si>
    <t>same as Tianjin port assumption</t>
  </si>
  <si>
    <t>TBD</t>
  </si>
  <si>
    <t>Southern Europe</t>
    <phoneticPr fontId="0" type="noConversion"/>
  </si>
  <si>
    <t>max of RTM/CORK assumption</t>
  </si>
  <si>
    <t>w49PICK-UP</t>
  </si>
  <si>
    <t>PVLFR026</t>
  </si>
  <si>
    <t>PVLFR025</t>
  </si>
  <si>
    <t>PVLFR028</t>
  </si>
  <si>
    <t>PVLFR024</t>
  </si>
  <si>
    <t>PVLFR027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</si>
</sst>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mm/dd/yy;@"/>
    <numFmt numFmtId="191" formatCode="m/d/yyyy;@"/>
    <numFmt numFmtId="192" formatCode="m/d/yyyy"/>
  </numFmts>
  <fonts count="87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8"/>
      <color rgb="FFFF0000"/>
      <name val="Microsoft YaHei"/>
      <family val="2"/>
    </font>
    <font>
      <sz val="8"/>
      <color theme="1"/>
      <name val="Microsoft YaHei"/>
      <family val="2"/>
    </font>
    <font>
      <sz val="9"/>
      <color theme="1"/>
      <name val="Arial"/>
      <family val="2"/>
    </font>
    <font>
      <sz val="11"/>
      <color theme="1"/>
      <name val="Aptos"/>
      <family val="2"/>
      <charset val="1"/>
    </font>
    <font>
      <sz val="8"/>
      <color rgb="FF000000"/>
      <name val="Lexend Deca"/>
      <charset val="134"/>
    </font>
    <font>
      <sz val="11"/>
      <color rgb="FF000000"/>
      <name val="宋体"/>
      <family val="3"/>
      <charset val="134"/>
    </font>
    <font>
      <sz val="11"/>
      <color rgb="FFC00000"/>
      <name val="宋体"/>
      <family val="3"/>
      <charset val="134"/>
    </font>
    <font>
      <sz val="8"/>
      <color theme="1"/>
      <name val="Arial"/>
      <family val="2"/>
    </font>
    <font>
      <sz val="8"/>
      <color rgb="FF000000"/>
      <name val="Lexend Deca"/>
      <charset val="134"/>
    </font>
  </fonts>
  <fills count="5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EBCDF7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402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19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0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1" xfId="0" applyFont="1" applyBorder="1"/>
    <xf numFmtId="0" fontId="37" fillId="0" borderId="22" xfId="0" applyFont="1" applyBorder="1"/>
    <xf numFmtId="0" fontId="38" fillId="0" borderId="23" xfId="0" applyFont="1" applyBorder="1"/>
    <xf numFmtId="0" fontId="38" fillId="0" borderId="24" xfId="0" applyFont="1" applyBorder="1"/>
    <xf numFmtId="0" fontId="39" fillId="0" borderId="24" xfId="0" applyFont="1" applyBorder="1"/>
    <xf numFmtId="15" fontId="38" fillId="0" borderId="24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8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5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19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19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8" xfId="0" applyFont="1" applyFill="1" applyBorder="1" applyAlignment="1">
      <alignment horizontal="left" vertical="center" wrapText="1"/>
    </xf>
    <xf numFmtId="0" fontId="11" fillId="2" borderId="18" xfId="0" applyFont="1" applyFill="1" applyBorder="1" applyAlignment="1">
      <alignment vertical="center" wrapText="1"/>
    </xf>
    <xf numFmtId="179" fontId="11" fillId="8" borderId="18" xfId="2863" applyNumberFormat="1" applyFont="1" applyFill="1" applyBorder="1" applyAlignment="1">
      <alignment horizontal="left" vertical="center" wrapText="1"/>
    </xf>
    <xf numFmtId="0" fontId="11" fillId="7" borderId="18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6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19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8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19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0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0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19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19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19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0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0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19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19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8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9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177" fontId="7" fillId="43" borderId="1" xfId="0" applyNumberFormat="1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center"/>
    </xf>
    <xf numFmtId="178" fontId="7" fillId="43" borderId="1" xfId="0" applyNumberFormat="1" applyFont="1" applyFill="1" applyBorder="1" applyAlignment="1">
      <alignment horizontal="left"/>
    </xf>
    <xf numFmtId="179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left"/>
    </xf>
    <xf numFmtId="177" fontId="7" fillId="43" borderId="2" xfId="0" applyNumberFormat="1" applyFont="1" applyFill="1" applyBorder="1" applyAlignment="1">
      <alignment horizontal="center"/>
    </xf>
    <xf numFmtId="0" fontId="7" fillId="43" borderId="19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19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19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9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9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9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176" fontId="49" fillId="18" borderId="4" xfId="0" applyNumberFormat="1" applyFont="1" applyFill="1" applyBorder="1" applyAlignment="1">
      <alignment horizontal="left" vertical="center"/>
    </xf>
    <xf numFmtId="188" fontId="49" fillId="18" borderId="4" xfId="0" applyNumberFormat="1" applyFont="1" applyFill="1" applyBorder="1" applyAlignment="1">
      <alignment horizontal="left" vertical="center"/>
    </xf>
    <xf numFmtId="184" fontId="49" fillId="18" borderId="4" xfId="0" applyNumberFormat="1" applyFont="1" applyFill="1" applyBorder="1" applyAlignment="1">
      <alignment horizontal="left" vertical="center"/>
    </xf>
    <xf numFmtId="178" fontId="49" fillId="18" borderId="4" xfId="0" applyNumberFormat="1" applyFont="1" applyFill="1" applyBorder="1" applyAlignment="1">
      <alignment horizontal="left" vertical="center"/>
    </xf>
    <xf numFmtId="179" fontId="49" fillId="18" borderId="4" xfId="0" applyNumberFormat="1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19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7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8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0" fontId="11" fillId="11" borderId="19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10" fillId="6" borderId="9" xfId="0" applyNumberFormat="1" applyFont="1" applyFill="1" applyBorder="1" applyAlignment="1">
      <alignment horizontal="left"/>
    </xf>
    <xf numFmtId="179" fontId="8" fillId="43" borderId="4" xfId="0" applyNumberFormat="1" applyFont="1" applyFill="1" applyBorder="1" applyAlignment="1">
      <alignment horizontal="left"/>
    </xf>
    <xf numFmtId="0" fontId="73" fillId="43" borderId="4" xfId="0" applyFont="1" applyFill="1" applyBorder="1"/>
    <xf numFmtId="179" fontId="8" fillId="43" borderId="13" xfId="0" applyNumberFormat="1" applyFont="1" applyFill="1" applyBorder="1" applyAlignment="1">
      <alignment horizontal="left"/>
    </xf>
    <xf numFmtId="1" fontId="44" fillId="34" borderId="26" xfId="0" applyNumberFormat="1" applyFont="1" applyFill="1" applyBorder="1" applyAlignment="1">
      <alignment horizontal="left" vertical="center" wrapText="1"/>
    </xf>
    <xf numFmtId="0" fontId="68" fillId="28" borderId="19" xfId="0" applyFont="1" applyFill="1" applyBorder="1" applyAlignment="1">
      <alignment vertical="center"/>
    </xf>
    <xf numFmtId="0" fontId="67" fillId="28" borderId="19" xfId="0" applyFont="1" applyFill="1" applyBorder="1" applyAlignment="1">
      <alignment horizontal="center"/>
    </xf>
    <xf numFmtId="0" fontId="66" fillId="26" borderId="4" xfId="0" applyFont="1" applyFill="1" applyBorder="1"/>
    <xf numFmtId="178" fontId="8" fillId="28" borderId="1" xfId="0" applyNumberFormat="1" applyFont="1" applyFill="1" applyBorder="1" applyAlignment="1">
      <alignment horizontal="left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178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0" fontId="46" fillId="0" borderId="13" xfId="0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19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179" fontId="10" fillId="43" borderId="4" xfId="0" applyNumberFormat="1" applyFont="1" applyFill="1" applyBorder="1" applyAlignment="1">
      <alignment horizontal="left"/>
    </xf>
    <xf numFmtId="179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9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84" fontId="48" fillId="0" borderId="4" xfId="0" applyNumberFormat="1" applyFont="1" applyBorder="1" applyAlignment="1">
      <alignment vertical="center" wrapText="1"/>
    </xf>
    <xf numFmtId="0" fontId="49" fillId="0" borderId="4" xfId="0" applyFont="1" applyBorder="1" applyAlignment="1">
      <alignment vertical="center"/>
    </xf>
    <xf numFmtId="0" fontId="74" fillId="0" borderId="0" xfId="0" applyFont="1"/>
    <xf numFmtId="178" fontId="46" fillId="14" borderId="4" xfId="0" applyNumberFormat="1" applyFont="1" applyFill="1" applyBorder="1" applyAlignment="1">
      <alignment horizontal="left" vertical="center"/>
    </xf>
    <xf numFmtId="178" fontId="8" fillId="9" borderId="4" xfId="0" applyNumberFormat="1" applyFont="1" applyFill="1" applyBorder="1" applyAlignment="1">
      <alignment horizontal="left"/>
    </xf>
    <xf numFmtId="178" fontId="49" fillId="46" borderId="4" xfId="0" applyNumberFormat="1" applyFont="1" applyFill="1" applyBorder="1" applyAlignment="1">
      <alignment horizontal="left" vertical="center"/>
    </xf>
    <xf numFmtId="188" fontId="46" fillId="0" borderId="4" xfId="2863" applyNumberFormat="1" applyFont="1" applyFill="1" applyBorder="1" applyAlignment="1">
      <alignment horizontal="left" vertical="center"/>
    </xf>
    <xf numFmtId="179" fontId="46" fillId="0" borderId="13" xfId="2863" applyNumberFormat="1" applyFont="1" applyFill="1" applyBorder="1" applyAlignment="1">
      <alignment horizontal="left" vertical="center"/>
    </xf>
    <xf numFmtId="178" fontId="46" fillId="0" borderId="13" xfId="0" applyNumberFormat="1" applyFont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6" fillId="0" borderId="4" xfId="0" applyFont="1" applyBorder="1" applyAlignment="1">
      <alignment horizontal="left" vertical="center"/>
    </xf>
    <xf numFmtId="178" fontId="46" fillId="3" borderId="13" xfId="0" applyNumberFormat="1" applyFont="1" applyFill="1" applyBorder="1" applyAlignment="1">
      <alignment horizontal="left" vertical="center"/>
    </xf>
    <xf numFmtId="179" fontId="7" fillId="43" borderId="2" xfId="0" applyNumberFormat="1" applyFont="1" applyFill="1" applyBorder="1" applyAlignment="1">
      <alignment horizontal="left"/>
    </xf>
    <xf numFmtId="176" fontId="49" fillId="0" borderId="13" xfId="0" applyNumberFormat="1" applyFont="1" applyBorder="1" applyAlignment="1">
      <alignment horizontal="left" vertical="center"/>
    </xf>
    <xf numFmtId="188" fontId="49" fillId="0" borderId="13" xfId="0" applyNumberFormat="1" applyFont="1" applyBorder="1" applyAlignment="1">
      <alignment horizontal="left" vertical="center"/>
    </xf>
    <xf numFmtId="178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84" fontId="49" fillId="0" borderId="13" xfId="0" applyNumberFormat="1" applyFont="1" applyBorder="1" applyAlignment="1">
      <alignment horizontal="left" vertical="center"/>
    </xf>
    <xf numFmtId="0" fontId="7" fillId="43" borderId="1" xfId="0" applyFont="1" applyFill="1" applyBorder="1"/>
    <xf numFmtId="0" fontId="63" fillId="3" borderId="19" xfId="0" applyFont="1" applyFill="1" applyBorder="1" applyAlignment="1">
      <alignment horizontal="left" vertical="center"/>
    </xf>
    <xf numFmtId="178" fontId="49" fillId="3" borderId="13" xfId="2863" applyNumberFormat="1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9" fontId="7" fillId="9" borderId="12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8" fontId="7" fillId="9" borderId="9" xfId="0" applyNumberFormat="1" applyFont="1" applyFill="1" applyBorder="1" applyAlignment="1">
      <alignment horizontal="left"/>
    </xf>
    <xf numFmtId="179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9" fontId="7" fillId="9" borderId="16" xfId="0" applyNumberFormat="1" applyFont="1" applyFill="1" applyBorder="1" applyAlignment="1">
      <alignment horizontal="left"/>
    </xf>
    <xf numFmtId="178" fontId="7" fillId="9" borderId="13" xfId="0" applyNumberFormat="1" applyFont="1" applyFill="1" applyBorder="1" applyAlignment="1">
      <alignment horizontal="left"/>
    </xf>
    <xf numFmtId="0" fontId="46" fillId="45" borderId="4" xfId="0" applyFont="1" applyFill="1" applyBorder="1" applyAlignment="1">
      <alignment horizontal="left" vertical="center"/>
    </xf>
    <xf numFmtId="178" fontId="46" fillId="45" borderId="4" xfId="0" applyNumberFormat="1" applyFont="1" applyFill="1" applyBorder="1" applyAlignment="1">
      <alignment horizontal="left" vertical="center"/>
    </xf>
    <xf numFmtId="180" fontId="46" fillId="45" borderId="4" xfId="0" applyNumberFormat="1" applyFont="1" applyFill="1" applyBorder="1" applyAlignment="1">
      <alignment horizontal="left" vertical="center"/>
    </xf>
    <xf numFmtId="176" fontId="46" fillId="45" borderId="4" xfId="0" applyNumberFormat="1" applyFont="1" applyFill="1" applyBorder="1" applyAlignment="1">
      <alignment horizontal="left" vertical="center"/>
    </xf>
    <xf numFmtId="188" fontId="46" fillId="45" borderId="4" xfId="2863" applyNumberFormat="1" applyFont="1" applyFill="1" applyBorder="1" applyAlignment="1">
      <alignment horizontal="left" vertical="center"/>
    </xf>
    <xf numFmtId="184" fontId="46" fillId="45" borderId="4" xfId="0" applyNumberFormat="1" applyFont="1" applyFill="1" applyBorder="1" applyAlignment="1">
      <alignment horizontal="left" vertical="center"/>
    </xf>
    <xf numFmtId="179" fontId="46" fillId="45" borderId="4" xfId="0" applyNumberFormat="1" applyFont="1" applyFill="1" applyBorder="1" applyAlignment="1">
      <alignment horizontal="left" vertical="center"/>
    </xf>
    <xf numFmtId="178" fontId="46" fillId="45" borderId="4" xfId="2863" applyNumberFormat="1" applyFont="1" applyFill="1" applyBorder="1" applyAlignment="1">
      <alignment horizontal="left" vertical="center"/>
    </xf>
    <xf numFmtId="0" fontId="51" fillId="47" borderId="4" xfId="0" applyFont="1" applyFill="1" applyBorder="1"/>
    <xf numFmtId="0" fontId="56" fillId="0" borderId="0" xfId="0" applyFont="1"/>
    <xf numFmtId="190" fontId="66" fillId="26" borderId="4" xfId="0" applyNumberFormat="1" applyFont="1" applyFill="1" applyBorder="1" applyAlignment="1">
      <alignment horizontal="center" vertical="center"/>
    </xf>
    <xf numFmtId="190" fontId="66" fillId="26" borderId="13" xfId="0" applyNumberFormat="1" applyFont="1" applyFill="1" applyBorder="1" applyAlignment="1">
      <alignment horizontal="center" vertical="center"/>
    </xf>
    <xf numFmtId="0" fontId="77" fillId="44" borderId="4" xfId="0" applyFont="1" applyFill="1" applyBorder="1"/>
    <xf numFmtId="178" fontId="77" fillId="44" borderId="4" xfId="0" applyNumberFormat="1" applyFont="1" applyFill="1" applyBorder="1"/>
    <xf numFmtId="178" fontId="63" fillId="8" borderId="4" xfId="2863" quotePrefix="1" applyNumberFormat="1" applyFont="1" applyFill="1" applyBorder="1" applyAlignment="1">
      <alignment horizontal="left" vertical="center"/>
    </xf>
    <xf numFmtId="178" fontId="46" fillId="9" borderId="13" xfId="0" applyNumberFormat="1" applyFont="1" applyFill="1" applyBorder="1" applyAlignment="1">
      <alignment horizontal="left" vertical="center"/>
    </xf>
    <xf numFmtId="0" fontId="7" fillId="3" borderId="31" xfId="0" applyFont="1" applyFill="1" applyBorder="1" applyAlignment="1">
      <alignment horizontal="left" vertical="center"/>
    </xf>
    <xf numFmtId="0" fontId="0" fillId="0" borderId="32" xfId="0" applyBorder="1"/>
    <xf numFmtId="0" fontId="6" fillId="0" borderId="32" xfId="1536" applyBorder="1" applyAlignment="1" applyProtection="1"/>
    <xf numFmtId="0" fontId="26" fillId="11" borderId="32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2" xfId="0" applyBorder="1" applyAlignment="1">
      <alignment vertical="center"/>
    </xf>
    <xf numFmtId="0" fontId="0" fillId="0" borderId="32" xfId="0" applyBorder="1" applyAlignment="1">
      <alignment vertical="center" wrapText="1"/>
    </xf>
    <xf numFmtId="0" fontId="28" fillId="22" borderId="32" xfId="2865" applyBorder="1" applyAlignment="1">
      <alignment horizontal="center" vertical="center"/>
    </xf>
    <xf numFmtId="0" fontId="60" fillId="0" borderId="32" xfId="0" applyFont="1" applyBorder="1"/>
    <xf numFmtId="0" fontId="13" fillId="12" borderId="32" xfId="0" applyFont="1" applyFill="1" applyBorder="1" applyAlignment="1">
      <alignment horizontal="center" vertical="center" wrapText="1"/>
    </xf>
    <xf numFmtId="0" fontId="26" fillId="20" borderId="32" xfId="0" applyFont="1" applyFill="1" applyBorder="1"/>
    <xf numFmtId="177" fontId="11" fillId="2" borderId="3" xfId="0" applyNumberFormat="1" applyFont="1" applyFill="1" applyBorder="1" applyAlignment="1">
      <alignment horizontal="center" vertical="center" wrapText="1"/>
    </xf>
    <xf numFmtId="0" fontId="49" fillId="9" borderId="13" xfId="0" applyFont="1" applyFill="1" applyBorder="1" applyAlignment="1">
      <alignment horizontal="left" vertical="center"/>
    </xf>
    <xf numFmtId="179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80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84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8" fontId="46" fillId="46" borderId="4" xfId="0" applyNumberFormat="1" applyFont="1" applyFill="1" applyBorder="1" applyAlignment="1">
      <alignment horizontal="left" vertical="center"/>
    </xf>
    <xf numFmtId="178" fontId="46" fillId="48" borderId="4" xfId="0" applyNumberFormat="1" applyFont="1" applyFill="1" applyBorder="1" applyAlignment="1">
      <alignment horizontal="left" vertical="center"/>
    </xf>
    <xf numFmtId="178" fontId="49" fillId="48" borderId="4" xfId="0" applyNumberFormat="1" applyFont="1" applyFill="1" applyBorder="1" applyAlignment="1">
      <alignment horizontal="left" vertical="center"/>
    </xf>
    <xf numFmtId="178" fontId="49" fillId="48" borderId="13" xfId="0" applyNumberFormat="1" applyFont="1" applyFill="1" applyBorder="1" applyAlignment="1">
      <alignment horizontal="left" vertical="center"/>
    </xf>
    <xf numFmtId="187" fontId="49" fillId="0" borderId="4" xfId="0" applyNumberFormat="1" applyFont="1" applyBorder="1" applyAlignment="1">
      <alignment horizontal="center" vertical="center"/>
    </xf>
    <xf numFmtId="187" fontId="49" fillId="0" borderId="5" xfId="0" applyNumberFormat="1" applyFont="1" applyBorder="1" applyAlignment="1">
      <alignment horizontal="center" vertical="center"/>
    </xf>
    <xf numFmtId="187" fontId="46" fillId="0" borderId="4" xfId="0" applyNumberFormat="1" applyFont="1" applyBorder="1" applyAlignment="1">
      <alignment horizontal="center" vertical="center"/>
    </xf>
    <xf numFmtId="187" fontId="46" fillId="45" borderId="4" xfId="0" applyNumberFormat="1" applyFont="1" applyFill="1" applyBorder="1" applyAlignment="1">
      <alignment horizontal="center" vertical="center"/>
    </xf>
    <xf numFmtId="187" fontId="49" fillId="3" borderId="4" xfId="0" applyNumberFormat="1" applyFont="1" applyFill="1" applyBorder="1" applyAlignment="1">
      <alignment horizontal="center" vertical="center"/>
    </xf>
    <xf numFmtId="187" fontId="49" fillId="9" borderId="4" xfId="0" applyNumberFormat="1" applyFont="1" applyFill="1" applyBorder="1" applyAlignment="1">
      <alignment horizontal="center" vertical="center"/>
    </xf>
    <xf numFmtId="187" fontId="49" fillId="14" borderId="4" xfId="0" applyNumberFormat="1" applyFont="1" applyFill="1" applyBorder="1" applyAlignment="1">
      <alignment horizontal="center" vertical="center"/>
    </xf>
    <xf numFmtId="187" fontId="49" fillId="3" borderId="13" xfId="0" applyNumberFormat="1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191" fontId="49" fillId="0" borderId="4" xfId="0" applyNumberFormat="1" applyFont="1" applyBorder="1" applyAlignment="1">
      <alignment horizontal="left" vertical="center"/>
    </xf>
    <xf numFmtId="0" fontId="78" fillId="43" borderId="29" xfId="0" applyFont="1" applyFill="1" applyBorder="1"/>
    <xf numFmtId="0" fontId="61" fillId="43" borderId="29" xfId="0" applyFont="1" applyFill="1" applyBorder="1"/>
    <xf numFmtId="0" fontId="69" fillId="26" borderId="4" xfId="0" applyFont="1" applyFill="1" applyBorder="1" applyAlignment="1">
      <alignment horizontal="center"/>
    </xf>
    <xf numFmtId="179" fontId="46" fillId="0" borderId="4" xfId="2863" applyNumberFormat="1" applyFont="1" applyBorder="1" applyAlignment="1">
      <alignment horizontal="left" vertical="center"/>
    </xf>
    <xf numFmtId="187" fontId="49" fillId="18" borderId="4" xfId="0" applyNumberFormat="1" applyFont="1" applyFill="1" applyBorder="1" applyAlignment="1">
      <alignment horizontal="center" vertical="center"/>
    </xf>
    <xf numFmtId="0" fontId="48" fillId="0" borderId="4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left"/>
    </xf>
    <xf numFmtId="0" fontId="67" fillId="28" borderId="4" xfId="0" applyFont="1" applyFill="1" applyBorder="1" applyAlignment="1">
      <alignment horizontal="left"/>
    </xf>
    <xf numFmtId="14" fontId="67" fillId="28" borderId="4" xfId="0" applyNumberFormat="1" applyFont="1" applyFill="1" applyBorder="1" applyAlignment="1">
      <alignment horizontal="center"/>
    </xf>
    <xf numFmtId="14" fontId="67" fillId="28" borderId="13" xfId="0" applyNumberFormat="1" applyFont="1" applyFill="1" applyBorder="1" applyAlignment="1">
      <alignment horizontal="center"/>
    </xf>
    <xf numFmtId="0" fontId="67" fillId="28" borderId="13" xfId="0" applyFont="1" applyFill="1" applyBorder="1" applyAlignment="1">
      <alignment horizontal="left"/>
    </xf>
    <xf numFmtId="1" fontId="0" fillId="0" borderId="0" xfId="0" applyNumberFormat="1"/>
    <xf numFmtId="187" fontId="46" fillId="9" borderId="4" xfId="0" applyNumberFormat="1" applyFont="1" applyFill="1" applyBorder="1" applyAlignment="1">
      <alignment horizontal="center" vertical="center"/>
    </xf>
    <xf numFmtId="176" fontId="49" fillId="3" borderId="13" xfId="0" applyNumberFormat="1" applyFont="1" applyFill="1" applyBorder="1" applyAlignment="1">
      <alignment horizontal="center" vertical="center"/>
    </xf>
    <xf numFmtId="16" fontId="46" fillId="0" borderId="13" xfId="0" applyNumberFormat="1" applyFont="1" applyBorder="1" applyAlignment="1">
      <alignment horizontal="left" vertical="center"/>
    </xf>
    <xf numFmtId="179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6" fontId="46" fillId="0" borderId="4" xfId="0" applyNumberFormat="1" applyFont="1" applyBorder="1" applyAlignment="1">
      <alignment horizontal="left" vertical="center"/>
    </xf>
    <xf numFmtId="180" fontId="46" fillId="0" borderId="13" xfId="0" applyNumberFormat="1" applyFont="1" applyBorder="1" applyAlignment="1">
      <alignment horizontal="left" vertical="center"/>
    </xf>
    <xf numFmtId="179" fontId="49" fillId="0" borderId="13" xfId="2863" applyNumberFormat="1" applyFont="1" applyFill="1" applyBorder="1" applyAlignment="1">
      <alignment horizontal="left" vertical="center"/>
    </xf>
    <xf numFmtId="188" fontId="46" fillId="0" borderId="13" xfId="0" applyNumberFormat="1" applyFont="1" applyBorder="1" applyAlignment="1">
      <alignment vertical="center"/>
    </xf>
    <xf numFmtId="184" fontId="46" fillId="0" borderId="13" xfId="0" applyNumberFormat="1" applyFont="1" applyBorder="1" applyAlignment="1">
      <alignment vertical="center"/>
    </xf>
    <xf numFmtId="188" fontId="46" fillId="0" borderId="4" xfId="0" applyNumberFormat="1" applyFont="1" applyBorder="1" applyAlignment="1">
      <alignment vertical="center"/>
    </xf>
    <xf numFmtId="184" fontId="46" fillId="0" borderId="4" xfId="0" applyNumberFormat="1" applyFont="1" applyBorder="1" applyAlignment="1">
      <alignment vertical="center"/>
    </xf>
    <xf numFmtId="0" fontId="75" fillId="0" borderId="4" xfId="0" applyFont="1" applyBorder="1" applyAlignment="1">
      <alignment horizontal="left" vertical="center"/>
    </xf>
    <xf numFmtId="178" fontId="50" fillId="0" borderId="13" xfId="0" applyNumberFormat="1" applyFont="1" applyBorder="1" applyAlignment="1">
      <alignment horizontal="left" vertical="center"/>
    </xf>
    <xf numFmtId="16" fontId="49" fillId="0" borderId="13" xfId="0" applyNumberFormat="1" applyFont="1" applyBorder="1" applyAlignment="1">
      <alignment horizontal="left" vertical="center"/>
    </xf>
    <xf numFmtId="0" fontId="50" fillId="0" borderId="13" xfId="0" applyFont="1" applyBorder="1" applyAlignment="1">
      <alignment horizontal="left" vertical="center"/>
    </xf>
    <xf numFmtId="180" fontId="49" fillId="0" borderId="13" xfId="0" applyNumberFormat="1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 wrapText="1"/>
    </xf>
    <xf numFmtId="179" fontId="63" fillId="8" borderId="4" xfId="2863" applyNumberFormat="1" applyFont="1" applyFill="1" applyBorder="1" applyAlignment="1">
      <alignment horizontal="left" vertical="center" wrapText="1"/>
    </xf>
    <xf numFmtId="0" fontId="63" fillId="7" borderId="4" xfId="0" applyFont="1" applyFill="1" applyBorder="1" applyAlignment="1">
      <alignment horizontal="left" vertical="center" wrapText="1"/>
    </xf>
    <xf numFmtId="187" fontId="49" fillId="41" borderId="4" xfId="0" applyNumberFormat="1" applyFont="1" applyFill="1" applyBorder="1" applyAlignment="1">
      <alignment horizontal="center" vertical="center"/>
    </xf>
    <xf numFmtId="2" fontId="49" fillId="0" borderId="4" xfId="0" applyNumberFormat="1" applyFont="1" applyBorder="1" applyAlignment="1">
      <alignment horizontal="center" vertical="center"/>
    </xf>
    <xf numFmtId="0" fontId="49" fillId="9" borderId="4" xfId="0" applyFont="1" applyFill="1" applyBorder="1" applyAlignment="1">
      <alignment horizontal="center" vertical="center"/>
    </xf>
    <xf numFmtId="187" fontId="50" fillId="3" borderId="4" xfId="0" applyNumberFormat="1" applyFont="1" applyFill="1" applyBorder="1" applyAlignment="1">
      <alignment horizontal="center" vertical="center"/>
    </xf>
    <xf numFmtId="176" fontId="48" fillId="2" borderId="4" xfId="0" applyNumberFormat="1" applyFont="1" applyFill="1" applyBorder="1" applyAlignment="1">
      <alignment horizontal="center" vertical="center" wrapText="1"/>
    </xf>
    <xf numFmtId="176" fontId="49" fillId="0" borderId="4" xfId="0" applyNumberFormat="1" applyFont="1" applyBorder="1" applyAlignment="1">
      <alignment horizontal="center" vertical="center"/>
    </xf>
    <xf numFmtId="176" fontId="49" fillId="9" borderId="4" xfId="0" applyNumberFormat="1" applyFont="1" applyFill="1" applyBorder="1" applyAlignment="1">
      <alignment horizontal="center" vertical="center"/>
    </xf>
    <xf numFmtId="179" fontId="49" fillId="0" borderId="4" xfId="2863" applyNumberFormat="1" applyFont="1" applyFill="1" applyBorder="1" applyAlignment="1">
      <alignment horizontal="center" vertical="center"/>
    </xf>
    <xf numFmtId="179" fontId="49" fillId="9" borderId="4" xfId="2863" applyNumberFormat="1" applyFont="1" applyFill="1" applyBorder="1" applyAlignment="1">
      <alignment horizontal="center" vertical="center"/>
    </xf>
    <xf numFmtId="176" fontId="49" fillId="14" borderId="4" xfId="0" applyNumberFormat="1" applyFont="1" applyFill="1" applyBorder="1" applyAlignment="1">
      <alignment horizontal="center" vertical="center"/>
    </xf>
    <xf numFmtId="176" fontId="49" fillId="3" borderId="4" xfId="0" applyNumberFormat="1" applyFont="1" applyFill="1" applyBorder="1" applyAlignment="1">
      <alignment horizontal="center" vertical="center"/>
    </xf>
    <xf numFmtId="176" fontId="49" fillId="6" borderId="4" xfId="0" applyNumberFormat="1" applyFont="1" applyFill="1" applyBorder="1" applyAlignment="1">
      <alignment horizontal="center" vertical="center"/>
    </xf>
    <xf numFmtId="176" fontId="46" fillId="0" borderId="4" xfId="0" applyNumberFormat="1" applyFont="1" applyBorder="1" applyAlignment="1">
      <alignment horizontal="center" vertical="center"/>
    </xf>
    <xf numFmtId="176" fontId="50" fillId="0" borderId="4" xfId="0" applyNumberFormat="1" applyFont="1" applyBorder="1" applyAlignment="1">
      <alignment horizontal="center" vertical="center"/>
    </xf>
    <xf numFmtId="176" fontId="49" fillId="0" borderId="5" xfId="0" applyNumberFormat="1" applyFont="1" applyBorder="1" applyAlignment="1">
      <alignment horizontal="center" vertical="center"/>
    </xf>
    <xf numFmtId="176" fontId="46" fillId="0" borderId="13" xfId="0" applyNumberFormat="1" applyFont="1" applyBorder="1" applyAlignment="1">
      <alignment horizontal="center" vertical="center"/>
    </xf>
    <xf numFmtId="176" fontId="46" fillId="45" borderId="4" xfId="0" applyNumberFormat="1" applyFont="1" applyFill="1" applyBorder="1" applyAlignment="1">
      <alignment horizontal="center" vertical="center"/>
    </xf>
    <xf numFmtId="176" fontId="49" fillId="0" borderId="13" xfId="0" applyNumberFormat="1" applyFont="1" applyBorder="1" applyAlignment="1">
      <alignment horizontal="center" vertical="center"/>
    </xf>
    <xf numFmtId="176" fontId="50" fillId="3" borderId="4" xfId="0" applyNumberFormat="1" applyFont="1" applyFill="1" applyBorder="1" applyAlignment="1">
      <alignment horizontal="center" vertical="center"/>
    </xf>
    <xf numFmtId="176" fontId="49" fillId="18" borderId="4" xfId="0" applyNumberFormat="1" applyFont="1" applyFill="1" applyBorder="1" applyAlignment="1">
      <alignment horizontal="center" vertical="center"/>
    </xf>
    <xf numFmtId="0" fontId="19" fillId="15" borderId="33" xfId="2864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 wrapText="1"/>
    </xf>
    <xf numFmtId="0" fontId="20" fillId="16" borderId="33" xfId="2864" applyFont="1" applyFill="1" applyBorder="1" applyAlignment="1">
      <alignment horizontal="left" vertical="center" wrapText="1"/>
    </xf>
    <xf numFmtId="0" fontId="19" fillId="2" borderId="33" xfId="2864" applyFont="1" applyFill="1" applyBorder="1" applyAlignment="1">
      <alignment horizontal="left" vertical="center"/>
    </xf>
    <xf numFmtId="0" fontId="19" fillId="2" borderId="33" xfId="2864" applyFont="1" applyFill="1" applyBorder="1" applyAlignment="1">
      <alignment horizontal="center" vertical="center" wrapText="1"/>
    </xf>
    <xf numFmtId="181" fontId="19" fillId="2" borderId="33" xfId="2864" applyNumberFormat="1" applyFont="1" applyFill="1" applyBorder="1" applyAlignment="1">
      <alignment horizontal="left" vertical="center"/>
    </xf>
    <xf numFmtId="0" fontId="19" fillId="2" borderId="33" xfId="2864" applyNumberFormat="1" applyFont="1" applyFill="1" applyBorder="1" applyAlignment="1">
      <alignment horizontal="center" vertical="center" wrapText="1"/>
    </xf>
    <xf numFmtId="182" fontId="19" fillId="2" borderId="33" xfId="2863" applyNumberFormat="1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vertical="center" wrapText="1"/>
    </xf>
    <xf numFmtId="0" fontId="20" fillId="2" borderId="33" xfId="2864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horizontal="left" vertical="center" wrapText="1"/>
    </xf>
    <xf numFmtId="180" fontId="19" fillId="2" borderId="33" xfId="2864" applyNumberFormat="1" applyFont="1" applyFill="1" applyBorder="1" applyAlignment="1">
      <alignment horizontal="center" vertical="center" wrapText="1"/>
    </xf>
    <xf numFmtId="180" fontId="20" fillId="2" borderId="33" xfId="2864" applyNumberFormat="1" applyFont="1" applyFill="1" applyBorder="1" applyAlignment="1">
      <alignment horizontal="center" vertical="center" wrapText="1"/>
    </xf>
    <xf numFmtId="180" fontId="19" fillId="15" borderId="33" xfId="2864" applyNumberFormat="1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/>
    </xf>
    <xf numFmtId="180" fontId="7" fillId="3" borderId="33" xfId="0" applyNumberFormat="1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left" vertical="center"/>
    </xf>
    <xf numFmtId="0" fontId="9" fillId="3" borderId="33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vertical="center"/>
    </xf>
    <xf numFmtId="0" fontId="10" fillId="3" borderId="33" xfId="0" applyFont="1" applyFill="1" applyBorder="1" applyAlignment="1">
      <alignment vertical="center"/>
    </xf>
    <xf numFmtId="0" fontId="7" fillId="0" borderId="33" xfId="0" applyFont="1" applyBorder="1" applyAlignment="1">
      <alignment horizontal="center" vertical="center"/>
    </xf>
    <xf numFmtId="0" fontId="7" fillId="9" borderId="33" xfId="0" applyFont="1" applyFill="1" applyBorder="1" applyAlignment="1">
      <alignment vertical="center"/>
    </xf>
    <xf numFmtId="0" fontId="7" fillId="9" borderId="33" xfId="0" applyFont="1" applyFill="1" applyBorder="1" applyAlignment="1">
      <alignment horizontal="left" vertical="center"/>
    </xf>
    <xf numFmtId="180" fontId="7" fillId="0" borderId="33" xfId="0" applyNumberFormat="1" applyFont="1" applyBorder="1" applyAlignment="1">
      <alignment horizontal="center" vertical="center"/>
    </xf>
    <xf numFmtId="0" fontId="7" fillId="0" borderId="34" xfId="0" applyFont="1" applyBorder="1" applyAlignment="1">
      <alignment vertical="center"/>
    </xf>
    <xf numFmtId="180" fontId="7" fillId="3" borderId="33" xfId="0" applyNumberFormat="1" applyFont="1" applyFill="1" applyBorder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7" fillId="9" borderId="33" xfId="0" applyFont="1" applyFill="1" applyBorder="1" applyAlignment="1">
      <alignment horizontal="center" vertical="center"/>
    </xf>
    <xf numFmtId="180" fontId="7" fillId="9" borderId="33" xfId="0" applyNumberFormat="1" applyFont="1" applyFill="1" applyBorder="1" applyAlignment="1">
      <alignment horizontal="left" vertical="center"/>
    </xf>
    <xf numFmtId="0" fontId="13" fillId="12" borderId="8" xfId="0" applyFont="1" applyFill="1" applyBorder="1" applyAlignment="1">
      <alignment horizontal="center" vertical="center"/>
    </xf>
    <xf numFmtId="179" fontId="49" fillId="0" borderId="9" xfId="2863" applyNumberFormat="1" applyFont="1" applyFill="1" applyBorder="1" applyAlignment="1">
      <alignment horizontal="left" vertical="center"/>
    </xf>
    <xf numFmtId="178" fontId="49" fillId="49" borderId="4" xfId="0" applyNumberFormat="1" applyFont="1" applyFill="1" applyBorder="1" applyAlignment="1">
      <alignment horizontal="left" vertical="center"/>
    </xf>
    <xf numFmtId="178" fontId="46" fillId="49" borderId="13" xfId="0" applyNumberFormat="1" applyFont="1" applyFill="1" applyBorder="1" applyAlignment="1">
      <alignment horizontal="left" vertical="center"/>
    </xf>
    <xf numFmtId="178" fontId="46" fillId="49" borderId="4" xfId="0" applyNumberFormat="1" applyFont="1" applyFill="1" applyBorder="1" applyAlignment="1">
      <alignment horizontal="left" vertical="center"/>
    </xf>
    <xf numFmtId="178" fontId="49" fillId="49" borderId="13" xfId="0" applyNumberFormat="1" applyFont="1" applyFill="1" applyBorder="1" applyAlignment="1">
      <alignment horizontal="left" vertical="center"/>
    </xf>
    <xf numFmtId="0" fontId="7" fillId="5" borderId="4" xfId="0" applyFont="1" applyFill="1" applyBorder="1"/>
    <xf numFmtId="0" fontId="59" fillId="5" borderId="0" xfId="0" applyFont="1" applyFill="1" applyAlignment="1">
      <alignment horizontal="left"/>
    </xf>
    <xf numFmtId="0" fontId="7" fillId="17" borderId="3" xfId="0" applyFont="1" applyFill="1" applyBorder="1" applyAlignment="1">
      <alignment horizontal="left"/>
    </xf>
    <xf numFmtId="0" fontId="7" fillId="49" borderId="2" xfId="0" applyFont="1" applyFill="1" applyBorder="1" applyAlignment="1">
      <alignment horizontal="left"/>
    </xf>
    <xf numFmtId="0" fontId="7" fillId="49" borderId="1" xfId="0" applyFont="1" applyFill="1" applyBorder="1" applyAlignment="1">
      <alignment horizontal="left"/>
    </xf>
    <xf numFmtId="178" fontId="7" fillId="49" borderId="4" xfId="0" applyNumberFormat="1" applyFont="1" applyFill="1" applyBorder="1" applyAlignment="1">
      <alignment horizontal="center"/>
    </xf>
    <xf numFmtId="179" fontId="7" fillId="49" borderId="4" xfId="0" applyNumberFormat="1" applyFont="1" applyFill="1" applyBorder="1" applyAlignment="1">
      <alignment horizontal="left"/>
    </xf>
    <xf numFmtId="0" fontId="7" fillId="49" borderId="13" xfId="0" applyFont="1" applyFill="1" applyBorder="1" applyAlignment="1">
      <alignment horizontal="left" vertical="center"/>
    </xf>
    <xf numFmtId="0" fontId="7" fillId="49" borderId="1" xfId="0" applyFont="1" applyFill="1" applyBorder="1" applyAlignment="1">
      <alignment horizontal="center"/>
    </xf>
    <xf numFmtId="0" fontId="7" fillId="49" borderId="9" xfId="0" applyFont="1" applyFill="1" applyBorder="1"/>
    <xf numFmtId="0" fontId="7" fillId="49" borderId="4" xfId="0" applyFont="1" applyFill="1" applyBorder="1"/>
    <xf numFmtId="0" fontId="10" fillId="49" borderId="4" xfId="0" applyFont="1" applyFill="1" applyBorder="1"/>
    <xf numFmtId="0" fontId="7" fillId="49" borderId="13" xfId="0" applyFont="1" applyFill="1" applyBorder="1" applyAlignment="1">
      <alignment horizontal="left"/>
    </xf>
    <xf numFmtId="0" fontId="10" fillId="49" borderId="13" xfId="0" applyFont="1" applyFill="1" applyBorder="1"/>
    <xf numFmtId="177" fontId="7" fillId="49" borderId="1" xfId="0" applyNumberFormat="1" applyFont="1" applyFill="1" applyBorder="1" applyAlignment="1">
      <alignment horizontal="left"/>
    </xf>
    <xf numFmtId="177" fontId="7" fillId="49" borderId="4" xfId="0" applyNumberFormat="1" applyFont="1" applyFill="1" applyBorder="1" applyAlignment="1">
      <alignment horizontal="center"/>
    </xf>
    <xf numFmtId="0" fontId="7" fillId="49" borderId="4" xfId="0" applyFont="1" applyFill="1" applyBorder="1" applyAlignment="1">
      <alignment horizontal="left"/>
    </xf>
    <xf numFmtId="178" fontId="7" fillId="49" borderId="1" xfId="0" applyNumberFormat="1" applyFont="1" applyFill="1" applyBorder="1" applyAlignment="1">
      <alignment horizontal="left"/>
    </xf>
    <xf numFmtId="179" fontId="7" fillId="49" borderId="1" xfId="0" applyNumberFormat="1" applyFont="1" applyFill="1" applyBorder="1" applyAlignment="1">
      <alignment horizontal="left"/>
    </xf>
    <xf numFmtId="0" fontId="8" fillId="49" borderId="1" xfId="0" applyFont="1" applyFill="1" applyBorder="1" applyAlignment="1">
      <alignment horizontal="left"/>
    </xf>
    <xf numFmtId="178" fontId="7" fillId="49" borderId="4" xfId="0" applyNumberFormat="1" applyFont="1" applyFill="1" applyBorder="1" applyAlignment="1">
      <alignment horizontal="left"/>
    </xf>
    <xf numFmtId="0" fontId="7" fillId="49" borderId="0" xfId="0" applyFont="1" applyFill="1" applyAlignment="1">
      <alignment horizontal="left"/>
    </xf>
    <xf numFmtId="0" fontId="59" fillId="49" borderId="0" xfId="0" applyFont="1" applyFill="1" applyAlignment="1">
      <alignment horizontal="left"/>
    </xf>
    <xf numFmtId="179" fontId="7" fillId="5" borderId="16" xfId="0" applyNumberFormat="1" applyFont="1" applyFill="1" applyBorder="1" applyAlignment="1">
      <alignment horizontal="left"/>
    </xf>
    <xf numFmtId="0" fontId="79" fillId="5" borderId="4" xfId="0" applyFont="1" applyFill="1" applyBorder="1"/>
    <xf numFmtId="180" fontId="46" fillId="3" borderId="13" xfId="0" applyNumberFormat="1" applyFont="1" applyFill="1" applyBorder="1" applyAlignment="1">
      <alignment horizontal="left" vertical="center"/>
    </xf>
    <xf numFmtId="176" fontId="46" fillId="3" borderId="13" xfId="0" applyNumberFormat="1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center" vertical="center"/>
    </xf>
    <xf numFmtId="188" fontId="46" fillId="3" borderId="13" xfId="0" applyNumberFormat="1" applyFont="1" applyFill="1" applyBorder="1" applyAlignment="1">
      <alignment horizontal="left" vertical="center"/>
    </xf>
    <xf numFmtId="184" fontId="46" fillId="3" borderId="4" xfId="0" applyNumberFormat="1" applyFont="1" applyFill="1" applyBorder="1" applyAlignment="1">
      <alignment horizontal="left" vertical="center"/>
    </xf>
    <xf numFmtId="16" fontId="46" fillId="3" borderId="13" xfId="0" applyNumberFormat="1" applyFont="1" applyFill="1" applyBorder="1" applyAlignment="1">
      <alignment horizontal="left" vertical="center"/>
    </xf>
    <xf numFmtId="179" fontId="46" fillId="3" borderId="13" xfId="0" applyNumberFormat="1" applyFont="1" applyFill="1" applyBorder="1" applyAlignment="1">
      <alignment horizontal="left" vertical="center"/>
    </xf>
    <xf numFmtId="178" fontId="46" fillId="3" borderId="4" xfId="2863" applyNumberFormat="1" applyFont="1" applyFill="1" applyBorder="1" applyAlignment="1">
      <alignment horizontal="left" vertical="center"/>
    </xf>
    <xf numFmtId="0" fontId="46" fillId="3" borderId="1" xfId="0" applyFont="1" applyFill="1" applyBorder="1" applyAlignment="1">
      <alignment horizontal="left" vertical="center"/>
    </xf>
    <xf numFmtId="187" fontId="46" fillId="0" borderId="13" xfId="0" applyNumberFormat="1" applyFont="1" applyBorder="1" applyAlignment="1">
      <alignment horizontal="center" vertical="center"/>
    </xf>
    <xf numFmtId="187" fontId="46" fillId="3" borderId="13" xfId="0" applyNumberFormat="1" applyFont="1" applyFill="1" applyBorder="1" applyAlignment="1">
      <alignment horizontal="center" vertical="center"/>
    </xf>
    <xf numFmtId="188" fontId="46" fillId="3" borderId="4" xfId="2863" applyNumberFormat="1" applyFont="1" applyFill="1" applyBorder="1" applyAlignment="1">
      <alignment horizontal="left" vertical="center"/>
    </xf>
    <xf numFmtId="187" fontId="46" fillId="3" borderId="4" xfId="0" applyNumberFormat="1" applyFont="1" applyFill="1" applyBorder="1" applyAlignment="1">
      <alignment horizontal="center" vertical="center"/>
    </xf>
    <xf numFmtId="179" fontId="46" fillId="3" borderId="4" xfId="0" applyNumberFormat="1" applyFont="1" applyFill="1" applyBorder="1" applyAlignment="1">
      <alignment horizontal="left" vertical="center"/>
    </xf>
    <xf numFmtId="0" fontId="68" fillId="26" borderId="13" xfId="0" applyFont="1" applyFill="1" applyBorder="1" applyAlignment="1">
      <alignment horizontal="left"/>
    </xf>
    <xf numFmtId="0" fontId="80" fillId="0" borderId="0" xfId="0" applyFont="1"/>
    <xf numFmtId="0" fontId="0" fillId="0" borderId="32" xfId="0" applyBorder="1" applyAlignment="1">
      <alignment horizontal="left" vertical="center"/>
    </xf>
    <xf numFmtId="0" fontId="0" fillId="0" borderId="32" xfId="0" applyBorder="1" applyAlignment="1">
      <alignment horizontal="left" vertical="center" wrapText="1"/>
    </xf>
    <xf numFmtId="0" fontId="0" fillId="0" borderId="36" xfId="0" applyBorder="1" applyAlignment="1">
      <alignment wrapText="1"/>
    </xf>
    <xf numFmtId="0" fontId="0" fillId="0" borderId="37" xfId="0" applyBorder="1" applyAlignment="1">
      <alignment horizontal="left" vertical="center"/>
    </xf>
    <xf numFmtId="0" fontId="0" fillId="0" borderId="8" xfId="0" applyBorder="1"/>
    <xf numFmtId="0" fontId="6" fillId="0" borderId="4" xfId="1536" applyBorder="1" applyAlignment="1" applyProtection="1">
      <alignment horizontal="left" vertical="center"/>
    </xf>
    <xf numFmtId="178" fontId="49" fillId="26" borderId="4" xfId="2863" applyNumberFormat="1" applyFont="1" applyFill="1" applyBorder="1" applyAlignment="1">
      <alignment horizontal="left" vertical="center"/>
    </xf>
    <xf numFmtId="178" fontId="46" fillId="26" borderId="4" xfId="2863" applyNumberFormat="1" applyFont="1" applyFill="1" applyBorder="1" applyAlignment="1">
      <alignment horizontal="left" vertical="center"/>
    </xf>
    <xf numFmtId="178" fontId="49" fillId="48" borderId="4" xfId="2863" applyNumberFormat="1" applyFont="1" applyFill="1" applyBorder="1" applyAlignment="1">
      <alignment horizontal="left" vertical="center"/>
    </xf>
    <xf numFmtId="178" fontId="46" fillId="48" borderId="4" xfId="2863" applyNumberFormat="1" applyFont="1" applyFill="1" applyBorder="1" applyAlignment="1">
      <alignment horizontal="left" vertical="center"/>
    </xf>
    <xf numFmtId="0" fontId="81" fillId="0" borderId="0" xfId="0" applyFont="1"/>
    <xf numFmtId="188" fontId="46" fillId="3" borderId="4" xfId="0" applyNumberFormat="1" applyFont="1" applyFill="1" applyBorder="1" applyAlignment="1">
      <alignment horizontal="left" vertical="center"/>
    </xf>
    <xf numFmtId="179" fontId="46" fillId="3" borderId="4" xfId="2863" applyNumberFormat="1" applyFont="1" applyFill="1" applyBorder="1" applyAlignment="1">
      <alignment horizontal="left" vertical="center"/>
    </xf>
    <xf numFmtId="0" fontId="26" fillId="0" borderId="32" xfId="0" applyFont="1" applyBorder="1"/>
    <xf numFmtId="0" fontId="0" fillId="0" borderId="32" xfId="0" applyBorder="1" applyAlignment="1">
      <alignment horizontal="center"/>
    </xf>
    <xf numFmtId="1" fontId="0" fillId="0" borderId="32" xfId="0" applyNumberFormat="1" applyBorder="1" applyAlignment="1">
      <alignment horizontal="center"/>
    </xf>
    <xf numFmtId="180" fontId="46" fillId="9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center" vertical="center"/>
    </xf>
    <xf numFmtId="188" fontId="46" fillId="9" borderId="4" xfId="2863" applyNumberFormat="1" applyFont="1" applyFill="1" applyBorder="1" applyAlignment="1">
      <alignment horizontal="left" vertical="center"/>
    </xf>
    <xf numFmtId="179" fontId="46" fillId="9" borderId="4" xfId="0" applyNumberFormat="1" applyFont="1" applyFill="1" applyBorder="1" applyAlignment="1">
      <alignment horizontal="left" vertical="center"/>
    </xf>
    <xf numFmtId="178" fontId="46" fillId="9" borderId="4" xfId="2863" applyNumberFormat="1" applyFont="1" applyFill="1" applyBorder="1" applyAlignment="1">
      <alignment horizontal="left" vertical="center"/>
    </xf>
    <xf numFmtId="0" fontId="46" fillId="8" borderId="4" xfId="0" applyFont="1" applyFill="1" applyBorder="1" applyAlignment="1">
      <alignment horizontal="left" vertical="center"/>
    </xf>
    <xf numFmtId="0" fontId="49" fillId="8" borderId="4" xfId="0" applyFont="1" applyFill="1" applyBorder="1" applyAlignment="1">
      <alignment horizontal="left" vertical="center"/>
    </xf>
    <xf numFmtId="180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center" vertical="center"/>
    </xf>
    <xf numFmtId="188" fontId="49" fillId="8" borderId="4" xfId="0" applyNumberFormat="1" applyFont="1" applyFill="1" applyBorder="1" applyAlignment="1">
      <alignment horizontal="left" vertical="center"/>
    </xf>
    <xf numFmtId="184" fontId="49" fillId="8" borderId="4" xfId="0" applyNumberFormat="1" applyFont="1" applyFill="1" applyBorder="1" applyAlignment="1">
      <alignment horizontal="left" vertical="center"/>
    </xf>
    <xf numFmtId="187" fontId="49" fillId="8" borderId="4" xfId="0" applyNumberFormat="1" applyFont="1" applyFill="1" applyBorder="1" applyAlignment="1">
      <alignment horizontal="center" vertical="center"/>
    </xf>
    <xf numFmtId="178" fontId="49" fillId="8" borderId="4" xfId="0" applyNumberFormat="1" applyFont="1" applyFill="1" applyBorder="1" applyAlignment="1">
      <alignment horizontal="left" vertical="center"/>
    </xf>
    <xf numFmtId="179" fontId="49" fillId="8" borderId="4" xfId="2863" applyNumberFormat="1" applyFont="1" applyFill="1" applyBorder="1" applyAlignment="1">
      <alignment horizontal="left" vertical="center"/>
    </xf>
    <xf numFmtId="0" fontId="49" fillId="8" borderId="4" xfId="0" quotePrefix="1" applyFont="1" applyFill="1" applyBorder="1" applyAlignment="1">
      <alignment horizontal="left" vertical="center"/>
    </xf>
    <xf numFmtId="0" fontId="7" fillId="9" borderId="1" xfId="0" quotePrefix="1" applyFont="1" applyFill="1" applyBorder="1"/>
    <xf numFmtId="178" fontId="7" fillId="28" borderId="3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center"/>
    </xf>
    <xf numFmtId="14" fontId="7" fillId="5" borderId="1" xfId="0" applyNumberFormat="1" applyFont="1" applyFill="1" applyBorder="1" applyAlignment="1">
      <alignment horizontal="left"/>
    </xf>
    <xf numFmtId="0" fontId="68" fillId="8" borderId="4" xfId="0" applyFont="1" applyFill="1" applyBorder="1" applyAlignment="1">
      <alignment horizontal="left"/>
    </xf>
    <xf numFmtId="0" fontId="82" fillId="51" borderId="4" xfId="0" applyFont="1" applyFill="1" applyBorder="1"/>
    <xf numFmtId="187" fontId="49" fillId="0" borderId="13" xfId="0" applyNumberFormat="1" applyFont="1" applyBorder="1" applyAlignment="1">
      <alignment horizontal="center" vertical="center"/>
    </xf>
    <xf numFmtId="179" fontId="49" fillId="0" borderId="13" xfId="0" applyNumberFormat="1" applyFont="1" applyBorder="1" applyAlignment="1">
      <alignment horizontal="left" vertical="center"/>
    </xf>
    <xf numFmtId="178" fontId="49" fillId="0" borderId="13" xfId="2863" applyNumberFormat="1" applyFont="1" applyFill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0" fontId="49" fillId="11" borderId="13" xfId="0" applyFont="1" applyFill="1" applyBorder="1" applyAlignment="1">
      <alignment horizontal="left" vertical="center"/>
    </xf>
    <xf numFmtId="180" fontId="49" fillId="11" borderId="13" xfId="0" applyNumberFormat="1" applyFont="1" applyFill="1" applyBorder="1" applyAlignment="1">
      <alignment horizontal="left" vertical="center"/>
    </xf>
    <xf numFmtId="176" fontId="49" fillId="11" borderId="13" xfId="0" applyNumberFormat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center" vertical="center"/>
    </xf>
    <xf numFmtId="188" fontId="49" fillId="11" borderId="13" xfId="0" applyNumberFormat="1" applyFont="1" applyFill="1" applyBorder="1" applyAlignment="1">
      <alignment horizontal="left" vertical="center"/>
    </xf>
    <xf numFmtId="184" fontId="49" fillId="11" borderId="4" xfId="0" applyNumberFormat="1" applyFont="1" applyFill="1" applyBorder="1" applyAlignment="1">
      <alignment horizontal="left" vertical="center"/>
    </xf>
    <xf numFmtId="187" fontId="49" fillId="11" borderId="13" xfId="0" applyNumberFormat="1" applyFont="1" applyFill="1" applyBorder="1" applyAlignment="1">
      <alignment horizontal="center" vertical="center"/>
    </xf>
    <xf numFmtId="178" fontId="49" fillId="11" borderId="13" xfId="0" applyNumberFormat="1" applyFont="1" applyFill="1" applyBorder="1" applyAlignment="1">
      <alignment horizontal="left" vertical="center"/>
    </xf>
    <xf numFmtId="179" fontId="49" fillId="11" borderId="13" xfId="0" applyNumberFormat="1" applyFont="1" applyFill="1" applyBorder="1" applyAlignment="1">
      <alignment horizontal="left" vertical="center"/>
    </xf>
    <xf numFmtId="178" fontId="49" fillId="11" borderId="4" xfId="0" applyNumberFormat="1" applyFont="1" applyFill="1" applyBorder="1" applyAlignment="1">
      <alignment horizontal="left" vertical="center"/>
    </xf>
    <xf numFmtId="178" fontId="49" fillId="11" borderId="4" xfId="2863" applyNumberFormat="1" applyFont="1" applyFill="1" applyBorder="1" applyAlignment="1">
      <alignment horizontal="left" vertical="center"/>
    </xf>
    <xf numFmtId="179" fontId="49" fillId="11" borderId="13" xfId="2863" applyNumberFormat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left" vertical="center"/>
    </xf>
    <xf numFmtId="0" fontId="49" fillId="11" borderId="1" xfId="0" applyFont="1" applyFill="1" applyBorder="1" applyAlignment="1">
      <alignment horizontal="left" vertical="center"/>
    </xf>
    <xf numFmtId="0" fontId="46" fillId="11" borderId="16" xfId="0" applyFont="1" applyFill="1" applyBorder="1" applyAlignment="1">
      <alignment horizontal="left" vertical="center"/>
    </xf>
    <xf numFmtId="176" fontId="49" fillId="11" borderId="13" xfId="0" applyNumberFormat="1" applyFont="1" applyFill="1" applyBorder="1" applyAlignment="1">
      <alignment horizontal="center" vertical="center"/>
    </xf>
    <xf numFmtId="188" fontId="49" fillId="11" borderId="4" xfId="0" applyNumberFormat="1" applyFont="1" applyFill="1" applyBorder="1" applyAlignment="1">
      <alignment horizontal="left" vertical="center"/>
    </xf>
    <xf numFmtId="184" fontId="49" fillId="11" borderId="13" xfId="0" applyNumberFormat="1" applyFont="1" applyFill="1" applyBorder="1" applyAlignment="1">
      <alignment horizontal="left" vertical="center"/>
    </xf>
    <xf numFmtId="179" fontId="49" fillId="11" borderId="4" xfId="0" applyNumberFormat="1" applyFont="1" applyFill="1" applyBorder="1" applyAlignment="1">
      <alignment horizontal="left" vertical="center"/>
    </xf>
    <xf numFmtId="179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187" fontId="49" fillId="11" borderId="4" xfId="0" applyNumberFormat="1" applyFont="1" applyFill="1" applyBorder="1" applyAlignment="1">
      <alignment horizontal="center" vertical="center"/>
    </xf>
    <xf numFmtId="16" fontId="49" fillId="11" borderId="4" xfId="0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178" fontId="49" fillId="26" borderId="4" xfId="0" applyNumberFormat="1" applyFont="1" applyFill="1" applyBorder="1" applyAlignment="1">
      <alignment horizontal="left" vertical="center"/>
    </xf>
    <xf numFmtId="178" fontId="7" fillId="49" borderId="1" xfId="0" applyNumberFormat="1" applyFont="1" applyFill="1" applyBorder="1" applyAlignment="1">
      <alignment horizontal="center"/>
    </xf>
    <xf numFmtId="179" fontId="7" fillId="49" borderId="16" xfId="0" applyNumberFormat="1" applyFont="1" applyFill="1" applyBorder="1" applyAlignment="1">
      <alignment horizontal="left"/>
    </xf>
    <xf numFmtId="179" fontId="7" fillId="49" borderId="2" xfId="0" applyNumberFormat="1" applyFont="1" applyFill="1" applyBorder="1" applyAlignment="1">
      <alignment horizontal="left"/>
    </xf>
    <xf numFmtId="14" fontId="7" fillId="49" borderId="1" xfId="0" applyNumberFormat="1" applyFont="1" applyFill="1" applyBorder="1" applyAlignment="1">
      <alignment horizontal="left"/>
    </xf>
    <xf numFmtId="0" fontId="67" fillId="8" borderId="13" xfId="0" applyFont="1" applyFill="1" applyBorder="1" applyAlignment="1">
      <alignment horizontal="center"/>
    </xf>
    <xf numFmtId="0" fontId="67" fillId="8" borderId="13" xfId="0" applyFont="1" applyFill="1" applyBorder="1" applyAlignment="1">
      <alignment horizontal="left"/>
    </xf>
    <xf numFmtId="0" fontId="68" fillId="8" borderId="13" xfId="0" applyFont="1" applyFill="1" applyBorder="1" applyAlignment="1">
      <alignment horizontal="center"/>
    </xf>
    <xf numFmtId="0" fontId="68" fillId="8" borderId="13" xfId="0" applyFont="1" applyFill="1" applyBorder="1" applyAlignment="1">
      <alignment horizontal="left"/>
    </xf>
    <xf numFmtId="190" fontId="66" fillId="8" borderId="13" xfId="0" applyNumberFormat="1" applyFont="1" applyFill="1" applyBorder="1" applyAlignment="1">
      <alignment horizontal="center" vertical="center"/>
    </xf>
    <xf numFmtId="0" fontId="67" fillId="0" borderId="0" xfId="0" applyFont="1"/>
    <xf numFmtId="179" fontId="7" fillId="28" borderId="16" xfId="0" applyNumberFormat="1" applyFont="1" applyFill="1" applyBorder="1" applyAlignment="1">
      <alignment horizontal="left"/>
    </xf>
    <xf numFmtId="179" fontId="7" fillId="17" borderId="16" xfId="0" applyNumberFormat="1" applyFont="1" applyFill="1" applyBorder="1" applyAlignment="1">
      <alignment horizontal="left"/>
    </xf>
    <xf numFmtId="190" fontId="66" fillId="26" borderId="13" xfId="0" applyNumberFormat="1" applyFont="1" applyFill="1" applyBorder="1"/>
    <xf numFmtId="0" fontId="67" fillId="26" borderId="4" xfId="0" applyFont="1" applyFill="1" applyBorder="1" applyAlignment="1">
      <alignment horizontal="left"/>
    </xf>
    <xf numFmtId="0" fontId="12" fillId="26" borderId="4" xfId="0" applyFont="1" applyFill="1" applyBorder="1" applyAlignment="1">
      <alignment horizontal="center"/>
    </xf>
    <xf numFmtId="0" fontId="67" fillId="26" borderId="4" xfId="0" applyFont="1" applyFill="1" applyBorder="1"/>
    <xf numFmtId="0" fontId="67" fillId="26" borderId="13" xfId="0" applyFont="1" applyFill="1" applyBorder="1" applyAlignment="1">
      <alignment horizontal="left"/>
    </xf>
    <xf numFmtId="0" fontId="12" fillId="26" borderId="13" xfId="0" applyFont="1" applyFill="1" applyBorder="1" applyAlignment="1">
      <alignment horizontal="center"/>
    </xf>
    <xf numFmtId="0" fontId="67" fillId="26" borderId="13" xfId="0" applyFont="1" applyFill="1" applyBorder="1"/>
    <xf numFmtId="0" fontId="67" fillId="26" borderId="9" xfId="0" applyFont="1" applyFill="1" applyBorder="1"/>
    <xf numFmtId="0" fontId="67" fillId="26" borderId="1" xfId="0" applyFont="1" applyFill="1" applyBorder="1"/>
    <xf numFmtId="0" fontId="7" fillId="43" borderId="1" xfId="0" applyFont="1" applyFill="1" applyBorder="1" applyAlignment="1">
      <alignment horizontal="left" wrapText="1"/>
    </xf>
    <xf numFmtId="14" fontId="7" fillId="28" borderId="1" xfId="0" applyNumberFormat="1" applyFont="1" applyFill="1" applyBorder="1" applyAlignment="1">
      <alignment horizontal="left"/>
    </xf>
    <xf numFmtId="14" fontId="7" fillId="17" borderId="1" xfId="0" applyNumberFormat="1" applyFont="1" applyFill="1" applyBorder="1" applyAlignment="1">
      <alignment horizontal="left"/>
    </xf>
    <xf numFmtId="15" fontId="46" fillId="3" borderId="19" xfId="0" applyNumberFormat="1" applyFont="1" applyFill="1" applyBorder="1" applyAlignment="1">
      <alignment horizontal="left" vertical="center"/>
    </xf>
    <xf numFmtId="0" fontId="49" fillId="3" borderId="13" xfId="2863" applyNumberFormat="1" applyFont="1" applyFill="1" applyBorder="1" applyAlignment="1">
      <alignment horizontal="left" vertical="center"/>
    </xf>
    <xf numFmtId="15" fontId="46" fillId="3" borderId="16" xfId="0" applyNumberFormat="1" applyFont="1" applyFill="1" applyBorder="1" applyAlignment="1">
      <alignment horizontal="left" vertical="center"/>
    </xf>
    <xf numFmtId="0" fontId="49" fillId="3" borderId="4" xfId="2863" applyNumberFormat="1" applyFont="1" applyFill="1" applyBorder="1" applyAlignment="1">
      <alignment horizontal="left" vertical="center"/>
    </xf>
    <xf numFmtId="0" fontId="68" fillId="26" borderId="12" xfId="0" applyFont="1" applyFill="1" applyBorder="1"/>
    <xf numFmtId="0" fontId="68" fillId="26" borderId="2" xfId="0" applyFont="1" applyFill="1" applyBorder="1"/>
    <xf numFmtId="0" fontId="68" fillId="26" borderId="9" xfId="0" applyFont="1" applyFill="1" applyBorder="1"/>
    <xf numFmtId="0" fontId="60" fillId="47" borderId="32" xfId="0" applyFont="1" applyFill="1" applyBorder="1"/>
    <xf numFmtId="178" fontId="46" fillId="18" borderId="4" xfId="2863" applyNumberFormat="1" applyFont="1" applyFill="1" applyBorder="1" applyAlignment="1">
      <alignment horizontal="left" vertical="center"/>
    </xf>
    <xf numFmtId="176" fontId="46" fillId="18" borderId="4" xfId="0" applyNumberFormat="1" applyFont="1" applyFill="1" applyBorder="1" applyAlignment="1">
      <alignment horizontal="left" vertical="center"/>
    </xf>
    <xf numFmtId="15" fontId="46" fillId="9" borderId="16" xfId="0" applyNumberFormat="1" applyFont="1" applyFill="1" applyBorder="1" applyAlignment="1">
      <alignment horizontal="left" vertical="center"/>
    </xf>
    <xf numFmtId="0" fontId="46" fillId="9" borderId="13" xfId="0" applyFont="1" applyFill="1" applyBorder="1" applyAlignment="1">
      <alignment horizontal="left" vertical="center"/>
    </xf>
    <xf numFmtId="187" fontId="49" fillId="9" borderId="13" xfId="0" applyNumberFormat="1" applyFont="1" applyFill="1" applyBorder="1" applyAlignment="1">
      <alignment horizontal="center" vertical="center"/>
    </xf>
    <xf numFmtId="0" fontId="49" fillId="9" borderId="4" xfId="2863" applyNumberFormat="1" applyFont="1" applyFill="1" applyBorder="1" applyAlignment="1">
      <alignment horizontal="left" vertical="center"/>
    </xf>
    <xf numFmtId="0" fontId="42" fillId="9" borderId="4" xfId="0" applyFont="1" applyFill="1" applyBorder="1" applyAlignment="1">
      <alignment horizontal="left" vertical="center"/>
    </xf>
    <xf numFmtId="179" fontId="7" fillId="49" borderId="20" xfId="0" applyNumberFormat="1" applyFont="1" applyFill="1" applyBorder="1" applyAlignment="1">
      <alignment horizontal="center"/>
    </xf>
    <xf numFmtId="179" fontId="7" fillId="49" borderId="16" xfId="0" applyNumberFormat="1" applyFont="1" applyFill="1" applyBorder="1" applyAlignment="1">
      <alignment horizontal="center"/>
    </xf>
    <xf numFmtId="0" fontId="7" fillId="5" borderId="17" xfId="0" applyFont="1" applyFill="1" applyBorder="1" applyAlignment="1">
      <alignment horizontal="left"/>
    </xf>
    <xf numFmtId="178" fontId="46" fillId="0" borderId="4" xfId="2863" applyNumberFormat="1" applyFont="1" applyBorder="1" applyAlignment="1">
      <alignment horizontal="left" vertical="center"/>
    </xf>
    <xf numFmtId="0" fontId="7" fillId="28" borderId="16" xfId="0" applyFont="1" applyFill="1" applyBorder="1" applyAlignment="1">
      <alignment horizontal="left"/>
    </xf>
    <xf numFmtId="0" fontId="7" fillId="49" borderId="16" xfId="0" applyFont="1" applyFill="1" applyBorder="1" applyAlignment="1">
      <alignment horizontal="left"/>
    </xf>
    <xf numFmtId="0" fontId="79" fillId="5" borderId="5" xfId="0" applyFont="1" applyFill="1" applyBorder="1"/>
    <xf numFmtId="0" fontId="83" fillId="50" borderId="35" xfId="0" applyFont="1" applyFill="1" applyBorder="1"/>
    <xf numFmtId="0" fontId="83" fillId="0" borderId="35" xfId="0" applyFont="1" applyBorder="1"/>
    <xf numFmtId="0" fontId="84" fillId="0" borderId="35" xfId="0" applyFont="1" applyBorder="1"/>
    <xf numFmtId="0" fontId="84" fillId="50" borderId="35" xfId="0" applyFont="1" applyFill="1" applyBorder="1"/>
    <xf numFmtId="178" fontId="83" fillId="50" borderId="35" xfId="0" applyNumberFormat="1" applyFont="1" applyFill="1" applyBorder="1"/>
    <xf numFmtId="178" fontId="83" fillId="0" borderId="35" xfId="0" applyNumberFormat="1" applyFont="1" applyBorder="1"/>
    <xf numFmtId="178" fontId="84" fillId="50" borderId="35" xfId="0" applyNumberFormat="1" applyFont="1" applyFill="1" applyBorder="1"/>
    <xf numFmtId="178" fontId="84" fillId="0" borderId="35" xfId="0" applyNumberFormat="1" applyFont="1" applyBorder="1"/>
    <xf numFmtId="178" fontId="49" fillId="49" borderId="4" xfId="2863" applyNumberFormat="1" applyFont="1" applyFill="1" applyBorder="1" applyAlignment="1">
      <alignment horizontal="left" vertical="center"/>
    </xf>
    <xf numFmtId="0" fontId="65" fillId="11" borderId="4" xfId="0" applyFont="1" applyFill="1" applyBorder="1" applyAlignment="1">
      <alignment horizontal="center" vertical="center" wrapText="1"/>
    </xf>
    <xf numFmtId="178" fontId="46" fillId="4" borderId="4" xfId="2863" applyNumberFormat="1" applyFont="1" applyFill="1" applyBorder="1" applyAlignment="1">
      <alignment horizontal="left" vertical="center"/>
    </xf>
    <xf numFmtId="178" fontId="46" fillId="4" borderId="4" xfId="0" applyNumberFormat="1" applyFont="1" applyFill="1" applyBorder="1" applyAlignment="1">
      <alignment horizontal="left" vertical="center"/>
    </xf>
    <xf numFmtId="178" fontId="49" fillId="4" borderId="4" xfId="0" applyNumberFormat="1" applyFont="1" applyFill="1" applyBorder="1" applyAlignment="1">
      <alignment horizontal="left" vertical="center"/>
    </xf>
    <xf numFmtId="178" fontId="49" fillId="52" borderId="4" xfId="0" applyNumberFormat="1" applyFont="1" applyFill="1" applyBorder="1" applyAlignment="1">
      <alignment horizontal="left" vertical="center"/>
    </xf>
    <xf numFmtId="178" fontId="46" fillId="52" borderId="4" xfId="2863" applyNumberFormat="1" applyFont="1" applyFill="1" applyBorder="1" applyAlignment="1">
      <alignment horizontal="left" vertical="center"/>
    </xf>
    <xf numFmtId="188" fontId="49" fillId="0" borderId="4" xfId="0" applyNumberFormat="1" applyFont="1" applyBorder="1" applyAlignment="1">
      <alignment vertical="center"/>
    </xf>
    <xf numFmtId="184" fontId="49" fillId="0" borderId="13" xfId="0" applyNumberFormat="1" applyFont="1" applyBorder="1" applyAlignment="1">
      <alignment vertical="center"/>
    </xf>
    <xf numFmtId="0" fontId="72" fillId="0" borderId="4" xfId="0" applyFont="1" applyBorder="1" applyAlignment="1">
      <alignment horizontal="left" vertical="center"/>
    </xf>
    <xf numFmtId="0" fontId="10" fillId="0" borderId="32" xfId="0" applyFont="1" applyBorder="1"/>
    <xf numFmtId="0" fontId="51" fillId="0" borderId="13" xfId="0" applyFont="1" applyBorder="1" applyAlignment="1">
      <alignment horizontal="left" vertical="center"/>
    </xf>
    <xf numFmtId="0" fontId="49" fillId="0" borderId="16" xfId="0" applyFont="1" applyBorder="1" applyAlignment="1">
      <alignment horizontal="left" vertical="center"/>
    </xf>
    <xf numFmtId="0" fontId="46" fillId="52" borderId="4" xfId="0" applyFont="1" applyFill="1" applyBorder="1" applyAlignment="1">
      <alignment horizontal="left" vertical="center"/>
    </xf>
    <xf numFmtId="0" fontId="49" fillId="52" borderId="4" xfId="0" applyFont="1" applyFill="1" applyBorder="1" applyAlignment="1">
      <alignment horizontal="left" vertical="center"/>
    </xf>
    <xf numFmtId="180" fontId="49" fillId="52" borderId="4" xfId="0" applyNumberFormat="1" applyFont="1" applyFill="1" applyBorder="1" applyAlignment="1">
      <alignment horizontal="left" vertical="center"/>
    </xf>
    <xf numFmtId="176" fontId="49" fillId="52" borderId="4" xfId="0" applyNumberFormat="1" applyFont="1" applyFill="1" applyBorder="1" applyAlignment="1">
      <alignment horizontal="left" vertical="center"/>
    </xf>
    <xf numFmtId="176" fontId="49" fillId="52" borderId="4" xfId="0" applyNumberFormat="1" applyFont="1" applyFill="1" applyBorder="1" applyAlignment="1">
      <alignment horizontal="center" vertical="center"/>
    </xf>
    <xf numFmtId="188" fontId="49" fillId="52" borderId="4" xfId="0" applyNumberFormat="1" applyFont="1" applyFill="1" applyBorder="1" applyAlignment="1">
      <alignment horizontal="left" vertical="center"/>
    </xf>
    <xf numFmtId="184" fontId="49" fillId="52" borderId="4" xfId="0" applyNumberFormat="1" applyFont="1" applyFill="1" applyBorder="1" applyAlignment="1">
      <alignment horizontal="left" vertical="center"/>
    </xf>
    <xf numFmtId="187" fontId="49" fillId="52" borderId="4" xfId="0" applyNumberFormat="1" applyFont="1" applyFill="1" applyBorder="1" applyAlignment="1">
      <alignment horizontal="center" vertical="center"/>
    </xf>
    <xf numFmtId="178" fontId="49" fillId="52" borderId="13" xfId="0" applyNumberFormat="1" applyFont="1" applyFill="1" applyBorder="1" applyAlignment="1">
      <alignment horizontal="left" vertical="center"/>
    </xf>
    <xf numFmtId="179" fontId="49" fillId="52" borderId="4" xfId="0" applyNumberFormat="1" applyFont="1" applyFill="1" applyBorder="1" applyAlignment="1">
      <alignment horizontal="left" vertical="center"/>
    </xf>
    <xf numFmtId="0" fontId="50" fillId="52" borderId="4" xfId="0" applyFont="1" applyFill="1" applyBorder="1" applyAlignment="1">
      <alignment horizontal="left" vertical="center"/>
    </xf>
    <xf numFmtId="178" fontId="46" fillId="52" borderId="4" xfId="0" applyNumberFormat="1" applyFont="1" applyFill="1" applyBorder="1" applyAlignment="1">
      <alignment horizontal="left" vertical="center"/>
    </xf>
    <xf numFmtId="178" fontId="49" fillId="52" borderId="4" xfId="2863" applyNumberFormat="1" applyFont="1" applyFill="1" applyBorder="1" applyAlignment="1">
      <alignment horizontal="left" vertical="center"/>
    </xf>
    <xf numFmtId="0" fontId="49" fillId="52" borderId="16" xfId="0" applyFont="1" applyFill="1" applyBorder="1" applyAlignment="1">
      <alignment horizontal="left" vertical="center"/>
    </xf>
    <xf numFmtId="179" fontId="49" fillId="52" borderId="4" xfId="2863" applyNumberFormat="1" applyFont="1" applyFill="1" applyBorder="1" applyAlignment="1">
      <alignment horizontal="left" vertical="center"/>
    </xf>
    <xf numFmtId="176" fontId="46" fillId="52" borderId="4" xfId="0" applyNumberFormat="1" applyFont="1" applyFill="1" applyBorder="1" applyAlignment="1">
      <alignment horizontal="left" vertical="center"/>
    </xf>
    <xf numFmtId="0" fontId="49" fillId="52" borderId="9" xfId="0" applyFont="1" applyFill="1" applyBorder="1" applyAlignment="1">
      <alignment horizontal="left" vertical="center"/>
    </xf>
    <xf numFmtId="0" fontId="46" fillId="52" borderId="16" xfId="0" applyFont="1" applyFill="1" applyBorder="1" applyAlignment="1">
      <alignment horizontal="left" vertical="center"/>
    </xf>
    <xf numFmtId="178" fontId="50" fillId="52" borderId="4" xfId="0" applyNumberFormat="1" applyFont="1" applyFill="1" applyBorder="1" applyAlignment="1">
      <alignment horizontal="left" vertical="center"/>
    </xf>
    <xf numFmtId="0" fontId="46" fillId="52" borderId="4" xfId="0" applyFont="1" applyFill="1" applyBorder="1"/>
    <xf numFmtId="179" fontId="46" fillId="52" borderId="4" xfId="2863" applyNumberFormat="1" applyFont="1" applyFill="1" applyBorder="1" applyAlignment="1">
      <alignment horizontal="left" vertical="center"/>
    </xf>
    <xf numFmtId="0" fontId="49" fillId="52" borderId="5" xfId="0" applyFont="1" applyFill="1" applyBorder="1" applyAlignment="1">
      <alignment horizontal="left" vertical="center"/>
    </xf>
    <xf numFmtId="0" fontId="51" fillId="52" borderId="4" xfId="0" applyFont="1" applyFill="1" applyBorder="1" applyAlignment="1">
      <alignment horizontal="left" vertical="center"/>
    </xf>
    <xf numFmtId="0" fontId="72" fillId="52" borderId="4" xfId="0" applyFont="1" applyFill="1" applyBorder="1" applyAlignment="1">
      <alignment horizontal="left" vertical="center"/>
    </xf>
    <xf numFmtId="16" fontId="49" fillId="52" borderId="13" xfId="0" applyNumberFormat="1" applyFont="1" applyFill="1" applyBorder="1" applyAlignment="1">
      <alignment horizontal="left" vertical="center"/>
    </xf>
    <xf numFmtId="16" fontId="49" fillId="52" borderId="4" xfId="0" applyNumberFormat="1" applyFont="1" applyFill="1" applyBorder="1" applyAlignment="1">
      <alignment horizontal="left" vertical="center"/>
    </xf>
    <xf numFmtId="0" fontId="46" fillId="52" borderId="13" xfId="0" applyFont="1" applyFill="1" applyBorder="1" applyAlignment="1">
      <alignment horizontal="left" vertical="center"/>
    </xf>
    <xf numFmtId="0" fontId="49" fillId="52" borderId="13" xfId="0" applyFont="1" applyFill="1" applyBorder="1" applyAlignment="1">
      <alignment horizontal="left" vertical="center"/>
    </xf>
    <xf numFmtId="180" fontId="49" fillId="52" borderId="13" xfId="0" applyNumberFormat="1" applyFont="1" applyFill="1" applyBorder="1" applyAlignment="1">
      <alignment horizontal="left" vertical="center"/>
    </xf>
    <xf numFmtId="176" fontId="49" fillId="52" borderId="13" xfId="0" applyNumberFormat="1" applyFont="1" applyFill="1" applyBorder="1" applyAlignment="1">
      <alignment horizontal="left" vertical="center"/>
    </xf>
    <xf numFmtId="188" fontId="49" fillId="52" borderId="13" xfId="0" applyNumberFormat="1" applyFont="1" applyFill="1" applyBorder="1" applyAlignment="1">
      <alignment horizontal="left" vertical="center"/>
    </xf>
    <xf numFmtId="187" fontId="49" fillId="52" borderId="13" xfId="0" applyNumberFormat="1" applyFont="1" applyFill="1" applyBorder="1" applyAlignment="1">
      <alignment horizontal="center" vertical="center"/>
    </xf>
    <xf numFmtId="179" fontId="49" fillId="52" borderId="13" xfId="0" applyNumberFormat="1" applyFont="1" applyFill="1" applyBorder="1" applyAlignment="1">
      <alignment horizontal="left" vertical="center"/>
    </xf>
    <xf numFmtId="179" fontId="49" fillId="52" borderId="13" xfId="2863" applyNumberFormat="1" applyFont="1" applyFill="1" applyBorder="1" applyAlignment="1">
      <alignment horizontal="left" vertical="center"/>
    </xf>
    <xf numFmtId="0" fontId="49" fillId="52" borderId="1" xfId="0" applyFont="1" applyFill="1" applyBorder="1" applyAlignment="1">
      <alignment horizontal="left" vertical="center"/>
    </xf>
    <xf numFmtId="0" fontId="46" fillId="52" borderId="17" xfId="0" applyFont="1" applyFill="1" applyBorder="1"/>
    <xf numFmtId="0" fontId="49" fillId="11" borderId="13" xfId="2863" applyNumberFormat="1" applyFont="1" applyFill="1" applyBorder="1" applyAlignment="1">
      <alignment horizontal="left" vertical="center"/>
    </xf>
    <xf numFmtId="0" fontId="42" fillId="11" borderId="4" xfId="0" applyFont="1" applyFill="1" applyBorder="1" applyAlignment="1">
      <alignment horizontal="left" vertical="center"/>
    </xf>
    <xf numFmtId="178" fontId="46" fillId="11" borderId="4" xfId="2863" applyNumberFormat="1" applyFont="1" applyFill="1" applyBorder="1" applyAlignment="1">
      <alignment horizontal="left" vertical="center"/>
    </xf>
    <xf numFmtId="0" fontId="46" fillId="52" borderId="19" xfId="0" applyFont="1" applyFill="1" applyBorder="1" applyAlignment="1">
      <alignment horizontal="left" vertical="center"/>
    </xf>
    <xf numFmtId="0" fontId="49" fillId="3" borderId="0" xfId="0" applyFont="1" applyFill="1" applyAlignment="1">
      <alignment horizontal="left" vertical="center"/>
    </xf>
    <xf numFmtId="0" fontId="85" fillId="3" borderId="2" xfId="0" applyFont="1" applyFill="1" applyBorder="1" applyAlignment="1">
      <alignment horizontal="left"/>
    </xf>
    <xf numFmtId="0" fontId="85" fillId="3" borderId="1" xfId="0" applyFont="1" applyFill="1" applyBorder="1" applyAlignment="1">
      <alignment horizontal="left"/>
    </xf>
    <xf numFmtId="0" fontId="85" fillId="3" borderId="13" xfId="0" applyFont="1" applyFill="1" applyBorder="1" applyAlignment="1">
      <alignment horizontal="left" vertical="center"/>
    </xf>
    <xf numFmtId="0" fontId="85" fillId="3" borderId="1" xfId="0" applyFont="1" applyFill="1" applyBorder="1" applyAlignment="1">
      <alignment horizontal="center"/>
    </xf>
    <xf numFmtId="179" fontId="85" fillId="3" borderId="2" xfId="0" applyNumberFormat="1" applyFont="1" applyFill="1" applyBorder="1" applyAlignment="1">
      <alignment horizontal="left"/>
    </xf>
    <xf numFmtId="179" fontId="85" fillId="49" borderId="4" xfId="0" applyNumberFormat="1" applyFont="1" applyFill="1" applyBorder="1" applyAlignment="1">
      <alignment horizontal="left"/>
    </xf>
    <xf numFmtId="0" fontId="85" fillId="49" borderId="4" xfId="0" applyFont="1" applyFill="1" applyBorder="1" applyAlignment="1">
      <alignment horizontal="left"/>
    </xf>
    <xf numFmtId="178" fontId="85" fillId="49" borderId="4" xfId="0" applyNumberFormat="1" applyFont="1" applyFill="1" applyBorder="1" applyAlignment="1">
      <alignment horizontal="left"/>
    </xf>
    <xf numFmtId="14" fontId="85" fillId="49" borderId="4" xfId="0" applyNumberFormat="1" applyFont="1" applyFill="1" applyBorder="1" applyAlignment="1">
      <alignment horizontal="left"/>
    </xf>
    <xf numFmtId="0" fontId="59" fillId="49" borderId="4" xfId="0" applyFont="1" applyFill="1" applyBorder="1" applyAlignment="1">
      <alignment horizontal="left"/>
    </xf>
    <xf numFmtId="178" fontId="7" fillId="49" borderId="13" xfId="0" applyNumberFormat="1" applyFont="1" applyFill="1" applyBorder="1" applyAlignment="1">
      <alignment horizontal="center"/>
    </xf>
    <xf numFmtId="0" fontId="7" fillId="49" borderId="13" xfId="0" applyFont="1" applyFill="1" applyBorder="1"/>
    <xf numFmtId="179" fontId="7" fillId="49" borderId="13" xfId="0" applyNumberFormat="1" applyFont="1" applyFill="1" applyBorder="1" applyAlignment="1">
      <alignment horizontal="left"/>
    </xf>
    <xf numFmtId="177" fontId="7" fillId="49" borderId="13" xfId="0" applyNumberFormat="1" applyFont="1" applyFill="1" applyBorder="1" applyAlignment="1">
      <alignment horizontal="center"/>
    </xf>
    <xf numFmtId="178" fontId="7" fillId="49" borderId="13" xfId="0" applyNumberFormat="1" applyFont="1" applyFill="1" applyBorder="1" applyAlignment="1">
      <alignment horizontal="left"/>
    </xf>
    <xf numFmtId="0" fontId="7" fillId="28" borderId="3" xfId="0" applyFont="1" applyFill="1" applyBorder="1" applyAlignment="1">
      <alignment horizontal="left"/>
    </xf>
    <xf numFmtId="178" fontId="7" fillId="28" borderId="5" xfId="0" applyNumberFormat="1" applyFont="1" applyFill="1" applyBorder="1" applyAlignment="1">
      <alignment horizontal="left"/>
    </xf>
    <xf numFmtId="0" fontId="7" fillId="28" borderId="5" xfId="0" applyFont="1" applyFill="1" applyBorder="1" applyAlignment="1">
      <alignment horizontal="left"/>
    </xf>
    <xf numFmtId="0" fontId="7" fillId="28" borderId="17" xfId="0" applyFont="1" applyFill="1" applyBorder="1" applyAlignment="1">
      <alignment horizontal="left"/>
    </xf>
    <xf numFmtId="179" fontId="7" fillId="28" borderId="5" xfId="0" applyNumberFormat="1" applyFont="1" applyFill="1" applyBorder="1" applyAlignment="1">
      <alignment horizontal="left"/>
    </xf>
    <xf numFmtId="177" fontId="7" fillId="28" borderId="3" xfId="0" applyNumberFormat="1" applyFont="1" applyFill="1" applyBorder="1" applyAlignment="1">
      <alignment horizontal="left"/>
    </xf>
    <xf numFmtId="177" fontId="7" fillId="28" borderId="3" xfId="0" applyNumberFormat="1" applyFont="1" applyFill="1" applyBorder="1" applyAlignment="1">
      <alignment horizontal="center"/>
    </xf>
    <xf numFmtId="179" fontId="7" fillId="28" borderId="3" xfId="0" applyNumberFormat="1" applyFont="1" applyFill="1" applyBorder="1" applyAlignment="1">
      <alignment horizontal="left"/>
    </xf>
    <xf numFmtId="14" fontId="7" fillId="28" borderId="3" xfId="0" applyNumberFormat="1" applyFont="1" applyFill="1" applyBorder="1" applyAlignment="1">
      <alignment horizontal="left"/>
    </xf>
    <xf numFmtId="0" fontId="86" fillId="49" borderId="4" xfId="0" applyFont="1" applyFill="1" applyBorder="1"/>
    <xf numFmtId="177" fontId="7" fillId="49" borderId="4" xfId="0" applyNumberFormat="1" applyFont="1" applyFill="1" applyBorder="1" applyAlignment="1">
      <alignment horizontal="left"/>
    </xf>
    <xf numFmtId="0" fontId="7" fillId="49" borderId="9" xfId="0" applyFont="1" applyFill="1" applyBorder="1" applyAlignment="1">
      <alignment horizontal="left"/>
    </xf>
    <xf numFmtId="0" fontId="7" fillId="28" borderId="30" xfId="0" applyFont="1" applyFill="1" applyBorder="1" applyAlignment="1">
      <alignment horizontal="left"/>
    </xf>
    <xf numFmtId="178" fontId="85" fillId="49" borderId="16" xfId="0" applyNumberFormat="1" applyFont="1" applyFill="1" applyBorder="1" applyAlignment="1">
      <alignment horizontal="left"/>
    </xf>
    <xf numFmtId="178" fontId="7" fillId="28" borderId="0" xfId="0" applyNumberFormat="1" applyFont="1" applyFill="1" applyAlignment="1">
      <alignment horizontal="left"/>
    </xf>
    <xf numFmtId="178" fontId="85" fillId="49" borderId="9" xfId="0" applyNumberFormat="1" applyFont="1" applyFill="1" applyBorder="1" applyAlignment="1">
      <alignment horizontal="left"/>
    </xf>
    <xf numFmtId="178" fontId="7" fillId="28" borderId="2" xfId="0" applyNumberFormat="1" applyFont="1" applyFill="1" applyBorder="1" applyAlignment="1">
      <alignment horizontal="left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19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8" xfId="0" applyFont="1" applyFill="1" applyBorder="1" applyAlignment="1">
      <alignment horizontal="center" vertical="center" wrapText="1"/>
    </xf>
    <xf numFmtId="0" fontId="44" fillId="34" borderId="30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0" fillId="0" borderId="0" xfId="0" applyNumberFormat="1"/>
    <xf numFmtId="192" fontId="0" fillId="0" borderId="0" xfId="0" applyNumberFormat="1"/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426"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79" formatCode="_(* #,##0_);_(* \(#,##0\);_(* &quot;-&quot;??_);_(@_)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numFmt numFmtId="179" formatCode="_(* #,##0_);_(* \(#,##0\);_(* &quot;-&quot;??_);_(@_)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numFmt numFmtId="179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2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mruColors>
      <color rgb="FFF4EBF7"/>
      <color rgb="FF9BD5FA"/>
      <color rgb="FFEBCDF7"/>
      <color rgb="FFFFFFCC"/>
      <color rgb="FFCCFFFF"/>
      <color rgb="FFD6B3E5"/>
      <color rgb="FFFAFAC0"/>
      <color rgb="FFFAFAE6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319" tableId="2">
      <columnFilter colId="32" id="{B897D137-AEFE-451D-8204-C95B8D45A9C6}">
        <filter colId="32">
          <x:filters>
            <x:filter val="Tianjin"/>
          </x:filters>
        </filter>
      </columnFilter>
    </nsvFilter>
  </namedSheetView>
  <namedSheetView name="WK" id="{DA549B02-A86F-4580-973C-0776183B3A28}"/>
  <namedSheetView name="视图1" id="{00883A75-C09B-4FF0-B372-C271D01E070C}"/>
  <namedSheetView name="视图2" id="{08A136B1-E18E-4439-BC9F-98CB2A8AC529}"/>
  <namedSheetView name="视图3" id="{62B4629E-DCAE-44B3-ABA4-272BDEF74D4D}"/>
  <namedSheetView name="视图4" id="{B629078C-6577-4EF5-B920-7FD8394F5570}"/>
  <namedSheetView name="视图5" id="{95B9BC5A-9BAA-4760-9644-5DCEDE2A386E}"/>
  <namedSheetView name="视图6" id="{9AC3B029-B60D-4679-B1F0-6A2A767540A3}"/>
  <namedSheetView name="视图7" id="{93CE5369-4248-4BBE-BE9E-FC0C6FE6AA04}"/>
  <namedSheetView name="视图8" id="{7D9AABD0-0008-492A-BD40-D3DB2B62B072}"/>
  <namedSheetView name="视图9" id="{07128DC2-F6A2-4867-80CA-D3136B061DCE}"/>
  <namedSheetView name="视图10" id="{A3D485B7-6297-401E-A538-516CAD9A8AFC}"/>
  <namedSheetView name="视图11" id="{0E1829E2-1919-499F-8325-D44C6D97BAD1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/>
  <namedSheetView name="视图12" id="{CFAE055E-7DAF-40AE-ACD9-435EF42DECD3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Wayne.Guo 郭洪伟" id="{D9F303E2-1809-4B06-9A5F-59B6E73873A2}" userId="S::hongwei15.guo@tcl.com::a6d3a703-ca0e-4b18-aa79-7cb7047348ef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307.347901273148" createdVersion="8" refreshedVersion="8" minRefreshableVersion="3" recordCount="1318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 u="1"/>
      </sharedItems>
    </cacheField>
    <cacheField name="New Ark WH" numFmtId="0">
      <sharedItems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6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s v="AVJ CONSTRUCTIONS "/>
        <s v="TCL SUN INC"/>
        <m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6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26J丶1"/>
        <s v="SPTN-&gt; solar fabrk"/>
        <s v="Energy 3000 -&gt; hold"/>
        <s v="Local WH/Edmundson Electrical Redruth 064"/>
        <s v="SPUK/UK Greentech Dundee 667"/>
        <s v="SPUK/PowerXpress Ltd"/>
        <s v="Solar Fabrik GmbH"/>
        <s v="Edmundson Electrical Peterborough 240"/>
        <s v="SPUK/Greentech Glasgow 669"/>
        <s v="Ecostal Yomatec--&gt;SPTN"/>
        <s v="Ecostal Yomatec"/>
        <s v="VOLTANEO "/>
        <s v="FAST FORWARD THINKING"/>
        <s v="AVJ CONSTRUCTIONS "/>
        <s v="Energynat Solutions Sp.z o.o."/>
        <s v="EnergyNAT Sp. z.o.o"/>
        <s v="n/a"/>
        <s v="Local WH/Project Solar Lable"/>
        <s v="TCL SUN INC"/>
        <s v="缅甸"/>
        <s v="To add into July plan"/>
        <s v="ship to Congo africa-MATADI"/>
        <s v="Philippines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1-03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55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4"/>
        <s v="GF0700002178"/>
        <s v="GF0700002179"/>
        <s v="GF0700002173"/>
        <s v="GF0700002172"/>
        <s v="GF0700001868"/>
        <s v="GF0700002314"/>
        <s v="GF0700002193"/>
        <s v="GF0700002185"/>
        <s v="GF0700001777"/>
        <s v="GF0700002067"/>
        <s v="GF0700002273"/>
        <s v="GF0700002322"/>
        <s v="GF0700002119"/>
        <s v="GF0700002268"/>
        <s v="GF0700002340"/>
        <s v="GF0700002311"/>
        <s v="GF0700002115" u="1"/>
        <s v="GF0700002192" u="1"/>
        <m u="1"/>
        <s v="GF0700001869"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176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99216"/>
    </cacheField>
    <cacheField name="MW" numFmtId="188">
      <sharedItems containsMixedTypes="1" containsNumber="1" minValue="0" maxValue="48.119759999999999"/>
    </cacheField>
    <cacheField name="PALLETS" numFmtId="0">
      <sharedItems containsMixedTypes="1" containsNumber="1" minValue="0" maxValue="2756"/>
    </cacheField>
    <cacheField name="CONTAINERS" numFmtId="0">
      <sharedItems containsSemiMixedTypes="0" containsString="0" containsNumber="1" minValue="0" maxValue="106"/>
    </cacheField>
    <cacheField name="STATUS" numFmtId="0">
      <sharedItems containsBlank="1" count="61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7 PICK-UP"/>
        <s v="w38 PICK-UP"/>
        <s v="w39 PICK-UP"/>
        <s v="w41 PICK-UP"/>
        <s v="w40 PICK-UP"/>
        <s v="PO FIRM"/>
        <s v="w42 PICK-UP"/>
        <s v="w43 PICK-UP"/>
        <s v="w44 PICK-UP"/>
        <s v="w45 PICK-UP"/>
        <s v="w46 PICK-UP"/>
        <s v="w47 PICK-UP"/>
        <s v="w49 PICK-UP"/>
        <s v="w50 PICK-UP"/>
        <s v="w48 PICK-UP"/>
        <s v="w51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10-17T00:00:00"/>
    </cacheField>
    <cacheField name="Pick- Up Date" numFmtId="178">
      <sharedItems containsNonDate="0" containsDate="1" containsString="0" containsBlank="1" minDate="2025-12-09T00:00:00" maxDate="2026-10-14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9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DAVAO"/>
        <s v="Yangon"/>
        <m/>
        <s v="PIRAEUS-Thessaloniki" u="1"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10-24T00:00:00"/>
    </cacheField>
    <cacheField name="ETD Update" numFmtId="178">
      <sharedItems containsDate="1" containsBlank="1" containsMixedTypes="1" minDate="2025-01-13T00:00:00" maxDate="2026-10-18T04:00:00"/>
    </cacheField>
    <cacheField name="ATD PORT" numFmtId="0">
      <sharedItems containsDate="1" containsBlank="1" containsMixedTypes="1" minDate="2025-12-21T00:00:00" maxDate="2026-10-11T00:00:00"/>
    </cacheField>
    <cacheField name="ETA On S/O" numFmtId="178">
      <sharedItems containsNonDate="0" containsDate="1" containsString="0" containsBlank="1" minDate="2026-02-08T00:00:00" maxDate="2026-12-29T00:00:00"/>
    </cacheField>
    <cacheField name="ETA Update" numFmtId="178">
      <sharedItems containsDate="1" containsBlank="1" containsMixedTypes="1" minDate="2026-02-19T00:00:00" maxDate="2026-12-28T19:00:00"/>
    </cacheField>
    <cacheField name="ATA PORT" numFmtId="178">
      <sharedItems containsDate="1" containsBlank="1" containsMixedTypes="1" minDate="2026-02-22T00:00:00" maxDate="2026-10-07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777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7977931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COSU6462349090"/>
        <s v="COSU6462350050"/>
        <s v="COSU6462350050-&gt;COSU6462350051"/>
        <s v="COSU6461814320"/>
        <s v="COSU6461816750"/>
        <n v="275125721"/>
        <n v="274886721"/>
        <n v="275075026"/>
        <s v="COSU6461817600"/>
        <s v="COSU6461905820"/>
        <s v="ONEYSH6ACAA72300"/>
        <s v="ONEYSH6ACAA71900"/>
        <s v="COSU9508902260"/>
        <s v="COSU9508904380"/>
        <s v="COSU9508762590"/>
        <s v="SYNSHA26SE081942"/>
        <s v="COSU9508944650"/>
        <s v="COSU9508943650"/>
        <s v="COSU9508943400"/>
        <s v="COSU9508944110"/>
        <s v="COSU6462455040"/>
        <s v="COSU6463115620"/>
        <s v="COSU6463847410"/>
        <s v="COSU6463255210"/>
        <s v="COSU6462717070"/>
        <s v="COSU6462717071"/>
        <s v="PLISH7H42464"/>
        <s v="CHN3801647"/>
        <s v="CHN3801256"/>
        <s v="COSU6463259170"/>
        <s v="COSU9508974980"/>
        <n v="274975766"/>
        <s v="COSU6463257360"/>
        <s v="COSU6462720700"/>
        <n v="274975950"/>
        <n v="275569028"/>
        <s v="COSU9509275040"/>
        <s v="COSU9509346010"/>
        <s v="COSU9509265660"/>
        <s v="COSU9509015500"/>
        <s v="COSU9508973640"/>
        <s v="COSU9508973860"/>
        <s v="COSU9509256390"/>
        <s v="COSU9509256030"/>
        <s v="COSU9508982210"/>
        <s v="COSU9508974810"/>
        <s v="COSU9508974740"/>
        <s v="COSU9509255460"/>
        <s v="COSU9509127610"/>
        <s v="TS6NDD969400"/>
        <s v=" TSNE54420600"/>
        <s v="COSU9509124230"/>
        <s v="COSU9509124140"/>
        <s v="177KVBTTXVNN3512"/>
        <s v="TJN0672301"/>
        <s v="177KVBTTXVNN3407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02"/>
        <s v="CHN3830701A"/>
        <s v="CHN3830701B"/>
        <s v="EGLV149606777784"/>
        <s v="EGLV149608002216"/>
        <s v="EGLV149608002437"/>
        <s v="COSU6464798030"/>
        <s v="COSU6464354100"/>
        <s v="COSU6463662040"/>
        <n v="275745289"/>
        <s v="COSU6464243200"/>
        <s v="COSU6463660760"/>
        <s v="COSU9509312590"/>
        <s v="COSU9509256240"/>
        <s v="COSU9509255750"/>
        <s v="N232636432"/>
        <s v="COSU9509265340"/>
        <s v="COSU9509256340"/>
        <s v="COSU9509275330"/>
        <s v="COSU9509296080"/>
        <s v="COSU9509296500"/>
        <s v="COSU9509296870"/>
        <s v="177KVBTTXVNN3613"/>
        <s v="CHN3880669"/>
        <s v="COSU6464780390"/>
        <s v="COSU6464774420"/>
        <s v="COSU6464775680"/>
        <s v="COSU6464778420"/>
        <s v="COSU6464781690"/>
        <s v="COSU6464783150"/>
        <s v="COSU6464784160"/>
        <s v="COSU6465498240"/>
        <n v="276098842"/>
        <s v="EGLV149607783982"/>
        <s v="COSU9509736950"/>
        <s v="COSU9509736980"/>
        <s v="COSU9509739210"/>
        <s v="COSU9509606910"/>
        <s v="COSU9509606920"/>
        <s v="COSU9509650560"/>
        <s v="COSU9509488350"/>
        <s v="COSU9509531260"/>
        <s v="COSU9509531180"/>
        <s v="COSU6464983000"/>
        <s v="COSU9509511700"/>
        <s v="SYNSHA26SE090924"/>
        <s v="COSU6465715640"/>
        <s v="CHN3908478"/>
        <s v="CHN3908524"/>
        <s v="COSU6465717250"/>
        <s v="COSU6466066070"/>
        <s v="COSU6466067620"/>
        <s v="EGLV149607770881"/>
        <s v="COSU6465719640"/>
        <s v="EGLV149608078905"/>
        <s v="COSU9509811770"/>
        <s v="COSU9509811250"/>
        <s v="COSU9509912990"/>
        <s v="COSU9509601430"/>
        <s v="COSU9509601740"/>
        <s v="ONEYTSNG80406501"/>
        <s v="ONEYTSNG80406500"/>
        <s v="COSU6466858750"/>
        <s v="COSU6467013360"/>
        <s v="COSU6466678170"/>
        <s v="COSU6466631520"/>
        <s v="COSU6467015120"/>
        <s v="COSU6467017560"/>
        <s v="COSU6467016280"/>
        <s v="COSU6467090510"/>
        <n v="276628939"/>
        <n v="276629180"/>
        <s v="COSU9510012530"/>
        <s v="COSU6467892390"/>
        <s v="COSU9510035910"/>
        <s v="COSU9509786940"/>
        <s v="COSU9509787370"/>
        <s v="SYNSHA26SE090890"/>
        <s v="SKDFS2609166"/>
        <s v="EGLV149608289604"/>
        <s v="EGLV149608748919"/>
        <s v="COSU6467917120"/>
        <s v="COSU6467917960"/>
        <s v="COSU6467919240"/>
        <s v="COSU6467919750"/>
        <s v="COSU6467920310"/>
        <s v="EGLV149608598577"/>
        <s v="COSU6468132880"/>
        <s v="COSU6467810590"/>
        <s v="COSU6468136360"/>
        <s v="COSU6468139070"/>
        <s v="COSU6468138550"/>
        <s v="COSU9510101310"/>
        <s v="COSU9510260410"/>
        <s v="COSU9510260340"/>
        <s v="COSU9510100890"/>
        <s v="COSU9509997120"/>
        <s v="COSU6467723460"/>
        <s v="COSU6467808410"/>
        <s v="COSU6468384010"/>
        <s v="EGLV149608894273"/>
        <s v="COSU6468580080"/>
        <s v="COSU6468731340"/>
        <s v="PLISH7H48052"/>
        <s v="COSU9510012710"/>
        <s v="COSU9510036320"/>
        <s v="COSU9510251200"/>
        <s v="COSU9510030740"/>
        <s v="COSU9510092930"/>
        <s v="COSU6468723370"/>
        <s v="COSU9510092840"/>
        <s v="COSU9510036150"/>
        <s v="COSU9510036540"/>
        <s v="COSU9510170300"/>
        <s v="COSU6469843890"/>
        <s v="COSU6469843490"/>
        <s v="COSU6469220480"/>
        <s v="COSU6469326980"/>
        <s v="COSU6469320380"/>
        <s v="COSU6469326430"/>
        <s v="COSU6469323740"/>
        <s v="COSU9510309650"/>
        <s v="COSU9510182110"/>
        <s v="COSU6469165090"/>
        <s v="COSU9510309930"/>
        <n v="802581991"/>
        <s v="COSU6469938130"/>
        <s v="COSU6469938750"/>
        <s v="COSU6469939280"/>
        <s v="COSU6469939670"/>
        <s v="COSU6471068810"/>
        <s v="COSU6469942450"/>
        <s v="COSU6469945290"/>
        <s v="COSU9510425590"/>
        <s v="COSU9510418660"/>
        <s v="CHN3654856"/>
        <s v="CHN3654806"/>
        <n v="275734828"/>
        <s v="COSU9510418590"/>
      </sharedItems>
    </cacheField>
    <cacheField name="BOOKING#" numFmtId="0">
      <sharedItems containsBlank="1" containsMixedTypes="1" containsNumber="1" containsInteger="1" minValue="263794612" maxValue="802581991"/>
    </cacheField>
    <cacheField name="Leg2 leadtime On S/O" numFmtId="0">
      <sharedItems containsString="0" containsBlank="1" containsNumber="1" minValue="0" maxValue="46195"/>
    </cacheField>
    <cacheField name="Telex released " numFmtId="0">
      <sharedItems containsBlank="1"/>
    </cacheField>
    <cacheField name="ODP ETA Port" numFmtId="178">
      <sharedItems containsDate="1" containsMixedTypes="1" minDate="1899-12-30T00:00:00" maxDate="2027-02-13T00:00:00"/>
    </cacheField>
    <cacheField name="New Ark PO status" numFmtId="176">
      <sharedItems/>
    </cacheField>
    <cacheField name="NewArk ETA PO" numFmtId="178">
      <sharedItems containsDate="1" containsBlank="1" containsMixedTypes="1" minDate="1899-12-30T00:00:00" maxDate="2027-10-09T00:00:00"/>
    </cacheField>
    <cacheField name="Customs/Leg3 Assumption" numFmtId="176">
      <sharedItems containsMixedTypes="1" containsNumber="1" containsInteger="1" minValue="0" maxValue="14"/>
    </cacheField>
    <cacheField name="ETA for New Ark update" numFmtId="178">
      <sharedItems containsDate="1" containsMixedTypes="1" minDate="1900-01-08T00:00:00" maxDate="2027-02-22T00:00:00"/>
    </cacheField>
    <cacheField name="ETA Year" numFmtId="176">
      <sharedItems containsMixedTypes="1" containsNumber="1" containsInteger="1" minValue="1900" maxValue="2027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3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307.347902199072" createdVersion="8" refreshedVersion="8" minRefreshableVersion="3" recordCount="292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9" maxValue="202510" count="284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2.01"/>
        <s v="26SEP003.01"/>
        <s v="26SEP003-FREE"/>
        <s v="26SEP004.01"/>
        <s v="26SEP001.01"/>
        <s v="26SEP001-FREE"/>
        <s v="26SEP002.03"/>
        <s v="26SEP002-FREE"/>
        <s v="26SEP004.03"/>
        <s v="26SEP004-FREE"/>
        <s v="26SEP009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SEP016"/>
        <s v="26SEP017"/>
        <s v="26SEP018"/>
        <s v="26SEP019"/>
        <s v="26SEP020"/>
        <s v="26SEP020-FREE"/>
        <s v="26SEP021"/>
        <s v="26SEP022"/>
        <s v="26SEP023"/>
        <s v="26SEP024"/>
        <s v="26SEP026"/>
        <s v="26SEP027"/>
        <s v="26SEP028"/>
        <s v="26SEP031"/>
        <s v="26SEP032"/>
        <s v="26SEP033"/>
        <s v="26SEP029"/>
        <s v="26SEP030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s v="26OCT005.03"/>
        <s v="26NOV002.01"/>
        <s v="26NOV002-FREE"/>
        <s v="26NOV003"/>
        <s v="26NOV003-FREE"/>
        <s v="26NOV004.01"/>
        <s v="26NOV004-FREE"/>
        <s v="26NOV001"/>
        <s v="26NOV001-FREE"/>
        <s v="26NOV004.02"/>
        <s v="26NOV002.02"/>
        <s v="26NOV004.03"/>
        <s v="26NOV002.03"/>
        <s v="26NOV004.04"/>
        <s v="26NOV002.04"/>
        <s v="26NOV004.05"/>
        <s v="26NOV002.05"/>
        <s v="26NOV004.06"/>
        <s v="26NOV002.06"/>
        <s v="26NOV004.07"/>
        <s v="26NOV002.07"/>
        <s v="26NOV004.08"/>
        <s v="26NOV002.08"/>
        <s v="26NOV004.09"/>
        <s v="26NOV005.01"/>
        <s v="26NOV005-FREE"/>
        <s v="26NOV005.02"/>
        <m/>
        <n v="202509"/>
        <s v="202505+06"/>
        <n v="202510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8">
        <s v="n/a"/>
        <s v="Arrival Plan-SPNL"/>
        <s v="Arrival Plan-SPTN"/>
        <m/>
        <s v="Arrival Plan-SPES"/>
        <s v="Arrival Plan-SPUK"/>
        <s v="Arrival Plan-SPIT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69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2256"/>
        <s v="GF0700002254"/>
        <s v="GF0700002251"/>
        <s v="GF0700002262"/>
        <s v="GF0700002264"/>
        <s v="GF0700002295"/>
        <s v="GF0700002191"/>
        <s v="GF0700002189"/>
        <s v="GF0700002040"/>
        <s v="GF0700002261"/>
        <s v="GF0700002248"/>
        <s v="GF0700001997"/>
        <s v="GF0700001992"/>
        <s v="GF0700001991"/>
        <s v="GF0700002222"/>
        <m/>
        <s v="GF0700000032"/>
        <s v="GF0700000030"/>
        <s v="GF0700000049"/>
        <s v="GF0700000050"/>
        <s v="GF0700002255" u="1"/>
        <s v="GF0700002257" u="1"/>
        <s v="GF0700001954" u="1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57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5K-SP"/>
        <s v="BLUEARK X1 6K-SP"/>
        <s v="BLUEARK X1 8K-SP"/>
        <s v="BLUEARK X1 8.0 BMH"/>
        <s v="BLUEARK X1 8.0 BSH"/>
        <s v="YDS70-C16"/>
        <s v="TCL-SRSL8G1-AS"/>
        <s v="TCL-SRSL12G1-AS"/>
        <s v="TCL-RLB16.1G1-AS"/>
        <s v="BLUEARK X5"/>
        <s v="BlueArk X1 8K-SP Dummy"/>
        <s v="BlueArk X1 8.0 BMH Dummy"/>
        <s v="BlueArk X1 8.0 BSH Dummy"/>
        <s v="X5-BC100"/>
        <m/>
        <s v="TCL-GS5K-G1"/>
        <s v="TCL-GT12K-G1"/>
        <s v="TCL BS40-G1"/>
        <s v="TCL BT50-G1"/>
        <s v="BlueArk X1 6kW Inverter" u="1"/>
        <s v="BlueArk X1 8kW Inverter" u="1"/>
        <s v="BlueArk X1 8kWh BMH PACK" u="1"/>
        <s v="BlueArk X1 8kWh BSH PACK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32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90"/>
        <n v="38"/>
        <n v="18"/>
        <n v="94"/>
        <n v="111"/>
        <n v="42"/>
        <n v="143"/>
        <n v="152"/>
        <n v="472"/>
        <n v="54"/>
        <n v="84"/>
        <n v="99"/>
        <n v="36"/>
        <n v="5"/>
        <n v="119"/>
        <n v="11"/>
        <n v="520"/>
        <n v="22"/>
        <n v="28"/>
        <n v="126"/>
        <n v="528"/>
        <m/>
        <n v="131"/>
        <n v="52"/>
        <n v="70" u="1"/>
        <n v="57" u="1"/>
        <n v="13" u="1"/>
        <n v="39" u="1"/>
        <n v="115" u="1"/>
        <n v="44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1-14T00:00:00"/>
    </cacheField>
    <cacheField name="Pick-Up Date" numFmtId="178">
      <sharedItems containsNonDate="0" containsDate="1" containsString="0" containsBlank="1" minDate="2025-11-21T00:00:00" maxDate="2026-10-17T00:00:00"/>
    </cacheField>
    <cacheField name="Pick-Up Week" numFmtId="179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63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POPV260720023"/>
        <s v="POPV260729029"/>
        <s v="POPV260729030"/>
        <s v="POPV260729031"/>
        <s v="POPV260729032"/>
        <s v="POPV260810007"/>
        <s v="POPV260810008"/>
        <s v="POPV260810006"/>
        <s v="POPV260828015"/>
        <s v="POPV260828023"/>
        <s v="POPV260821071"/>
        <s v="POPV260828021"/>
        <s v="POPV260828016"/>
        <s v="POPV260911025"/>
        <s v="POPV260904025"/>
        <s v="POPV260911026"/>
        <s v="POPV260918058"/>
        <s v="POPV260918056"/>
        <s v="POPV260828024"/>
        <s v="TPVO2026062602"/>
        <s v="POPV260911027"/>
        <s v="POPV260911024"/>
        <s v="POPV260923007"/>
        <s v="_x000a_POPV260918057"/>
        <s v="_x000a_POPV260929035"/>
        <s v="POPV260929039"/>
        <s v="POPV261009003"/>
        <s v="POPV261009004"/>
        <s v="POPV261009005"/>
        <s v="_x0009__x000a_POPV261009006"/>
        <s v="POPV261009002"/>
        <s v="TPVO2026080701"/>
        <s v="POPV260929040"/>
        <n v="54" u="1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7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s v="DAVAO"/>
        <m/>
        <s v="Laem Chabang"/>
        <s v="Manila"/>
        <s v="GENOA"/>
        <s v="FOS"/>
        <s v="菲律宾" u="1"/>
        <s v="Rtm+Fos" u="1"/>
      </sharedItems>
    </cacheField>
    <cacheField name="ETD On S/O" numFmtId="178">
      <sharedItems containsNonDate="0" containsDate="1" containsString="0" containsBlank="1" minDate="2025-12-07T00:00:00" maxDate="2026-10-29T00:00:00" count="61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9-21T00:00:00"/>
        <d v="2026-09-09T00:00:00"/>
        <d v="2026-09-02T00:00:00"/>
        <d v="2026-09-14T00:00:00"/>
        <d v="2026-09-27T00:00:00"/>
        <d v="2026-09-01T00:00:00"/>
        <d v="2026-09-15T00:00:00"/>
        <d v="2026-09-23T00:00:00"/>
        <d v="2026-09-25T00:00:00"/>
        <d v="2026-10-02T00:00:00"/>
        <d v="2026-10-06T00:00:00"/>
        <d v="2026-09-26T00:00:00"/>
        <d v="2026-10-05T00:00:00"/>
        <d v="2026-10-04T00:00:00"/>
        <d v="2026-10-08T00:00:00"/>
        <d v="2026-10-18T00:00:00"/>
        <d v="2026-10-21T00:00:00"/>
        <m/>
        <d v="2026-09-13T00:00:00"/>
        <d v="2026-09-30T00:00:00"/>
        <d v="2026-10-23T00:00:00"/>
        <d v="2026-10-28T00:00:00"/>
        <d v="2026-10-13T00:00:00"/>
        <d v="2026-10-20T00:00:00"/>
      </sharedItems>
      <fieldGroup par="58"/>
    </cacheField>
    <cacheField name="ETD Update" numFmtId="178">
      <sharedItems containsNonDate="0" containsDate="1" containsString="0" containsBlank="1" minDate="2026-02-04T00:00:00" maxDate="2026-11-04T00:00:00"/>
    </cacheField>
    <cacheField name="ATD PORT" numFmtId="178">
      <sharedItems containsNonDate="0" containsDate="1" containsString="0" containsBlank="1" minDate="2025-12-07T00:00:00" maxDate="2026-10-12T00:00:00"/>
    </cacheField>
    <cacheField name="ETA On S/O" numFmtId="178">
      <sharedItems containsNonDate="0" containsDate="1" containsString="0" containsBlank="1" minDate="2026-01-26T00:00:00" maxDate="2026-12-10T00:00:00"/>
    </cacheField>
    <cacheField name="ETA Update" numFmtId="178">
      <sharedItems containsNonDate="0" containsDate="1" containsString="0" containsBlank="1" minDate="2026-02-09T00:00:00" maxDate="2026-12-10T00:00:00"/>
    </cacheField>
    <cacheField name="ATA PORT" numFmtId="178">
      <sharedItems containsNonDate="0" containsDate="1" containsString="0" containsBlank="1" minDate="2026-02-09T00:00:00" maxDate="2026-10-09T00:00:00" count="34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  <d v="2026-09-07T00:00:00"/>
        <d v="2026-09-16T00:00:00"/>
        <d v="2026-09-13T00:00:00"/>
        <d v="2026-09-19T00:00:00"/>
        <d v="2026-09-02T00:00:00"/>
        <d v="2026-09-24T00:00:00"/>
        <d v="2026-09-18T00:00:00"/>
        <d v="2026-10-01T00:00:00"/>
        <d v="2026-10-08T00:00:00"/>
        <d v="2026-09-25T00:00:00"/>
        <d v="2026-10-06T00:00:00"/>
        <d v="2026-09-05T00:00:00"/>
        <d v="2026-09-20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Date="1" containsBlank="1" containsMixedTypes="1" minDate="1900-01-06T04:56:05" maxDate="1900-01-06T21:57:05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emiMixedTypes="0" containsString="0" containsNumber="1" containsInteger="1" minValue="1" maxValue="56"/>
    </cacheField>
    <cacheField name="Telex released " numFmtId="0">
      <sharedItems containsBlank="1"/>
    </cacheField>
    <cacheField name="ODP ETA Port" numFmtId="178">
      <sharedItems containsNonDate="0" containsDate="1" containsString="0" containsBlank="1" minDate="1899-12-30T00:00:00" maxDate="2026-12-10T00:00:00"/>
    </cacheField>
    <cacheField name="New Ark PO status" numFmtId="0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0">
      <sharedItems containsDate="1" containsMixedTypes="1" minDate="1899-12-30T00:00:00" maxDate="2026-10-28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NonDate="0" containsDate="1" containsString="0" containsBlank="1" minDate="1900-01-06T00:00:00" maxDate="2026-12-20T00:00:00"/>
    </cacheField>
    <cacheField name="ETA Year" numFmtId="0">
      <sharedItems containsString="0" containsBlank="1" containsNumber="1" containsInteger="1" minValue="1900" maxValue="2026" count="3">
        <n v="2026"/>
        <n v="1900"/>
        <m/>
      </sharedItems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2"/>
        <n v="1"/>
        <m/>
      </sharedItems>
    </cacheField>
    <cacheField name="ETA Week" numFmtId="0">
      <sharedItems containsString="0" containsBlank="1" containsNumber="1" containsInteger="1" minValue="1" maxValue="51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NonDate="0" containsString="0" containsBlank="1"/>
    </cacheField>
    <cacheField name="Months (ETD On S/O)" numFmtId="0" databaseField="0">
      <fieldGroup base="32">
        <rangePr groupBy="months" startDate="2025-12-07T00:00:00" endDate="2026-10-29T00:00:00"/>
        <groupItems count="14">
          <s v="&lt;2025/12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10/29"/>
        </groupItems>
      </fieldGroup>
    </cacheField>
    <cacheField name="Quarters (ETD On S/O)" numFmtId="0" databaseField="0">
      <fieldGroup base="32">
        <rangePr groupBy="quarters" startDate="2025-12-07T00:00:00" endDate="2026-10-29T00:00:00"/>
        <groupItems count="6">
          <s v="&lt;2025/12/7"/>
          <s v="第一季"/>
          <s v="第二季"/>
          <s v="第三季"/>
          <s v="第四季"/>
          <s v="&gt;2026/10/29"/>
        </groupItems>
      </fieldGroup>
    </cacheField>
    <cacheField name="Years (ETD On S/O)" numFmtId="0" databaseField="0">
      <fieldGroup base="32">
        <rangePr groupBy="years" startDate="2025-12-07T00:00:00" endDate="2026-10-29T00:00:00"/>
        <groupItems count="4">
          <s v="&lt;2025/12/7"/>
          <s v="2025年"/>
          <s v="2026年"/>
          <s v="&gt;2026/10/29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18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s v="149600468534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s v="149600418545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d v="2026-04-04T00:00:00"/>
    <d v="2026-04-04T00:00:00"/>
    <s v="FOB"/>
    <s v="ZHONG GU XIA MEN/26002S"/>
    <s v="OTHER"/>
    <s v="TPVO2026020201"/>
    <x v="111"/>
    <s v="TSLXMNB004S2901"/>
    <n v="45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70"/>
    <m/>
    <d v="2026-04-15T00:00:00"/>
    <s v="In Stock-Approved"/>
    <d v="2026-04-22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63"/>
    <m/>
    <d v="2026-04-06T00:00:00"/>
    <s v="In Stock-Approved"/>
    <d v="2026-04-13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44"/>
    <m/>
    <d v="2026-03-28T00:00:00"/>
    <s v="In Stock-Approved"/>
    <d v="2026-04-13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"/>
    <d v="2026-05-08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6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58"/>
    <m/>
    <d v="2026-04-15T00:00:00"/>
    <s v="In Stock-Approved"/>
    <d v="2026-04-22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7"/>
    <m/>
    <d v="2026-04-21T00:00:00"/>
    <s v="In Stock-Approved"/>
    <d v="2026-05-05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41"/>
    <m/>
    <d v="2026-04-04T00:00:00"/>
    <s v="In Stock-Approved"/>
    <d v="2026-04-14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7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9"/>
    <m/>
    <d v="2026-04-25T00:00:00"/>
    <s v="In Stock-Approved"/>
    <d v="2026-05-08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57"/>
    <m/>
    <d v="2026-04-30T00:00:00"/>
    <s v="In Stock-Approved"/>
    <d v="2026-05-21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57"/>
    <m/>
    <d v="2026-04-29T00:00:00"/>
    <s v="In Stock-Approved"/>
    <d v="2026-04-28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57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57"/>
    <m/>
    <d v="2026-04-29T00:00:00"/>
    <s v="In Stock-Approved"/>
    <d v="2026-05-11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57"/>
    <m/>
    <d v="2026-04-29T00:00:00"/>
    <s v="In Stock-Approved"/>
    <d v="2026-05-11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6"/>
    <m/>
    <d v="2026-04-23T00:00:00"/>
    <s v="In Stock-Approved"/>
    <d v="2026-05-07T00:00:00"/>
    <n v="10"/>
    <d v="2026-05-03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9"/>
    <m/>
    <d v="2026-04-19T00:00:00"/>
    <s v="In Stock-Approved"/>
    <d v="2026-05-04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"/>
    <d v="2026-04-21T00:00:00"/>
    <n v="10"/>
    <d v="2026-04-22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40"/>
    <m/>
    <d v="2026-04-25T00:00:00"/>
    <s v="In Stock-Approved"/>
    <d v="2026-05-08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0"/>
    <m/>
    <d v="2026-04-28T00:00:00"/>
    <s v="In Stock-Approved"/>
    <d v="2026-05-13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45"/>
    <m/>
    <d v="2026-04-29T00:00:00"/>
    <s v="In Stock-Approved"/>
    <d v="2026-05-21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0"/>
    <m/>
    <d v="2026-05-02T00:00:00"/>
    <s v="In Stock-Approved"/>
    <d v="2026-05-18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54"/>
    <m/>
    <d v="2026-05-06T00:00:00"/>
    <s v="In Stock-Approved"/>
    <d v="2026-05-20T00:00:00"/>
    <n v="10"/>
    <d v="2026-05-16T00:00:00"/>
    <n v="2026"/>
    <n v="5"/>
    <n v="20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53"/>
    <m/>
    <d v="2026-04-29T00:00:00"/>
    <s v="In Stock-Approved"/>
    <d v="2026-05-12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49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96"/>
    <m/>
    <d v="2026-06-11T00:00:00"/>
    <s v="In Stock-Approved"/>
    <d v="2026-06-26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60"/>
    <m/>
    <d v="2026-05-16T00:00:00"/>
    <s v="In Stock-Approved"/>
    <d v="2026-05-18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62"/>
    <m/>
    <d v="2026-05-18T00:00:00"/>
    <s v="In Stock-Approved"/>
    <d v="2026-05-18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4-27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5-22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45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42"/>
    <m/>
    <d v="2026-05-02T00:00:00"/>
    <s v="In Stock-Approved"/>
    <d v="2026-05-14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67"/>
    <m/>
    <d v="2026-05-20T00:00:00"/>
    <s v="In Stock-Approved"/>
    <d v="2026-06-03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3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61"/>
    <m/>
    <d v="2026-05-21T00:00:00"/>
    <s v="In Stock-Approved"/>
    <d v="2026-06-05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60"/>
    <m/>
    <d v="2026-05-13T00:00:00"/>
    <s v="In Stock-Approved"/>
    <d v="2026-05-27T00:00:00"/>
    <n v="10"/>
    <d v="2026-05-23T00:00:00"/>
    <n v="2026"/>
    <n v="5"/>
    <n v="21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8"/>
    <m/>
    <d v="2026-05-16T00:00:00"/>
    <s v="In Stock-Approved"/>
    <d v="2026-05-29T00:00:00"/>
    <n v="10"/>
    <d v="2026-05-26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49"/>
    <m/>
    <d v="2026-05-07T00:00:00"/>
    <s v="In Stock-Approved"/>
    <d v="2026-05-21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46"/>
    <m/>
    <d v="2026-05-02T00:00:00"/>
    <s v="In Stock-Approved"/>
    <d v="2026-05-19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8T00:00:00"/>
    <n v="10"/>
    <d v="2026-05-12T00:00:00"/>
    <n v="2026"/>
    <n v="5"/>
    <n v="20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61"/>
    <m/>
    <d v="2026-05-16T00:00:00"/>
    <s v="In Stock-Approved"/>
    <d v="2026-06-09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62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47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51"/>
    <m/>
    <d v="2026-05-10T00:00:00"/>
    <s v="In Stock-Approved"/>
    <d v="2026-05-12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45"/>
    <m/>
    <d v="2026-05-15T00:00:00"/>
    <s v="In Stock-Approved"/>
    <d v="2026-05-29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7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60"/>
    <m/>
    <d v="2026-05-28T00:00:00"/>
    <s v="In Stock-Approved"/>
    <d v="2026-05-29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1"/>
    <m/>
    <d v="2026-05-07T00:00:00"/>
    <s v="In Stock-Approved"/>
    <d v="2026-05-21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49"/>
    <m/>
    <d v="2026-05-20T00:00:00"/>
    <s v="In Stock-Approved"/>
    <d v="2026-06-03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1"/>
    <m/>
    <d v="2026-05-06T00:00:00"/>
    <s v="In Stock-Approved"/>
    <d v="2026-05-22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4"/>
    <m/>
    <d v="2026-05-13T00:00:00"/>
    <s v="In Stock-Approved"/>
    <d v="2026-05-25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9"/>
    <m/>
    <d v="2026-05-20T00:00:00"/>
    <s v="In Stock-Approved"/>
    <d v="2026-06-03T00:00:00"/>
    <n v="10"/>
    <d v="2026-05-30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3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61"/>
    <m/>
    <d v="2026-05-22T00:00:00"/>
    <s v="In Stock-Approved"/>
    <d v="2026-06-05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60"/>
    <m/>
    <d v="2026-05-28T00:00:00"/>
    <s v="In Stock-Approved"/>
    <d v="2026-05-22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45"/>
    <m/>
    <d v="2026-05-15T00:00:00"/>
    <s v="In Stock-Approved"/>
    <d v="2026-05-19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25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4-27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5-25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31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45"/>
    <m/>
    <d v="2026-05-14T00:00:00"/>
    <s v="In Stock-Approved"/>
    <d v="2026-05-28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59"/>
    <m/>
    <d v="2026-05-30T00:00:00"/>
    <s v="In Stock-Approved"/>
    <d v="2026-06-12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59"/>
    <m/>
    <d v="2026-05-30T00:00:00"/>
    <s v="In Stock-Approved"/>
    <d v="2026-06-12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1"/>
    <m/>
    <d v="2026-05-16T00:00:00"/>
    <s v="In Stock-Approved"/>
    <d v="2026-05-28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9"/>
    <m/>
    <d v="2026-05-23T00:00:00"/>
    <s v="In Stock-Approved"/>
    <d v="2026-05-28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49"/>
    <m/>
    <d v="2026-05-27T00:00:00"/>
    <s v="In Stock-Approved"/>
    <d v="2026-06-10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48"/>
    <m/>
    <d v="2026-05-25T00:00:00"/>
    <s v="In Stock-Approved"/>
    <d v="2026-06-08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44"/>
    <m/>
    <d v="2026-05-21T00:00:00"/>
    <s v="In Stock-Approved"/>
    <d v="2026-05-13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26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2"/>
    <m/>
    <d v="2026-05-17T00:00:00"/>
    <s v="In Stock-Approved"/>
    <d v="2026-05-15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44"/>
    <m/>
    <d v="2026-05-22T00:00:00"/>
    <s v="In Stock-Approved"/>
    <d v="2026-06-05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57"/>
    <m/>
    <d v="2026-06-09T00:00:00"/>
    <s v="In Stock-Approved"/>
    <d v="2026-06-29T00:00:00"/>
    <n v="10"/>
    <d v="2026-06-19T00:00:00"/>
    <n v="2026"/>
    <n v="6"/>
    <n v="25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58"/>
    <m/>
    <d v="2026-06-02T00:00:00"/>
    <s v="In Stock-Approved"/>
    <d v="2026-06-15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2"/>
    <m/>
    <d v="2026-06-06T00:00:00"/>
    <s v="In Stock-Approved"/>
    <d v="2026-06-19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1T00:00:00"/>
    <n v="10"/>
    <d v="2026-06-07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52"/>
    <m/>
    <d v="2026-06-05T00:00:00"/>
    <s v="In Stock-Approved"/>
    <d v="2026-06-19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52"/>
    <m/>
    <d v="2026-06-05T00:00:00"/>
    <s v="In Stock-Approved"/>
    <d v="2026-06-19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3"/>
    <m/>
    <d v="2026-05-26T00:00:00"/>
    <s v="In Stock-Approved"/>
    <d v="2026-06-08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5"/>
    <m/>
    <d v="2026-05-28T00:00:00"/>
    <s v="In Stock-Approved"/>
    <d v="2026-06-04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47"/>
    <m/>
    <d v="2026-06-01T00:00:00"/>
    <s v="In Stock-Approved"/>
    <d v="2026-05-26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5"/>
    <m/>
    <d v="2026-05-28T00:00:00"/>
    <s v="In Stock-Approved"/>
    <d v="2026-06-11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83"/>
    <m/>
    <d v="2026-07-04T00:00:00"/>
    <s v="In Stock-Approved"/>
    <d v="2026-06-18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51"/>
    <m/>
    <d v="2026-06-02T00:00:00"/>
    <s v="In Stock-Approved"/>
    <d v="2026-06-17T00:00:00"/>
    <n v="10"/>
    <d v="2026-06-12T00:00:00"/>
    <n v="2026"/>
    <n v="6"/>
    <n v="24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50"/>
    <m/>
    <d v="2026-06-01T00:00:00"/>
    <s v="In Stock-Approved"/>
    <d v="2026-06-16T00:00:00"/>
    <n v="10"/>
    <d v="2026-06-11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73"/>
    <m/>
    <d v="2026-06-22T00:00:00"/>
    <s v="In Stock-Approved"/>
    <d v="2026-07-03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6T00:00:00"/>
    <n v="10"/>
    <d v="2026-06-12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7T00:00:00"/>
    <n v="10"/>
    <d v="2026-07-10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6T00:00:00"/>
    <n v="10"/>
    <d v="2026-07-10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51"/>
    <m/>
    <d v="2026-06-07T00:00:00"/>
    <s v="In Stock-Approved"/>
    <d v="2026-06-22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5"/>
    <m/>
    <d v="2026-06-02T00:00:00"/>
    <s v="In Stock-Approved"/>
    <d v="2026-06-16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5T00:00:00"/>
    <n v="10"/>
    <d v="2026-06-19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70"/>
    <m/>
    <d v="2026-06-30T00:00:00"/>
    <s v="In Stock-Approved"/>
    <d v="2026-07-13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56"/>
    <m/>
    <d v="2026-06-11T00:00:00"/>
    <s v="In Stock-Approved"/>
    <d v="2026-06-24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n v="56"/>
    <m/>
    <d v="2026-06-22T00:00:00"/>
    <s v="In Stock-Approved"/>
    <d v="2026-06-30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53"/>
    <m/>
    <d v="2026-06-21T00:00:00"/>
    <s v="In Stock-Approved"/>
    <d v="2026-07-02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44"/>
    <m/>
    <d v="2026-06-11T00:00:00"/>
    <s v="In Stock-Approved"/>
    <d v="2026-06-26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58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38"/>
    <m/>
    <d v="2026-06-05T00:00:00"/>
    <s v="In Stock-Approved"/>
    <d v="2026-06-18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69"/>
    <m/>
    <d v="2026-07-04T00:00:00"/>
    <s v="In Stock-Approved"/>
    <d v="2026-07-17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10"/>
    <d v="2026-07-05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7"/>
    <m/>
    <d v="2026-06-18T00:00:00"/>
    <s v="In Stock-Approved"/>
    <d v="2026-07-01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55"/>
    <m/>
    <d v="2026-06-20T00:00:00"/>
    <s v="In Stock-Approved"/>
    <d v="2026-06-05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8"/>
    <m/>
    <d v="2026-06-22T00:00:00"/>
    <s v="In Stock-Approved"/>
    <d v="2026-07-03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51"/>
    <m/>
    <d v="2026-06-16T00:00:00"/>
    <s v="In Stock-Approved"/>
    <d v="2026-06-30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0"/>
    <m/>
    <d v="2026-06-27T00:00:00"/>
    <s v="In Stock-Approved"/>
    <d v="2026-07-10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0"/>
    <m/>
    <d v="2026-06-27T00:00:00"/>
    <s v="In Stock-Approved"/>
    <d v="2026-07-10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0"/>
    <m/>
    <d v="2026-06-27T00:00:00"/>
    <s v="In Stock-Approved"/>
    <d v="2026-07-10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5T00:00:00"/>
    <n v="10"/>
    <d v="2026-06-20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54"/>
    <m/>
    <d v="2026-06-28T00:00:00"/>
    <s v="In Stock-Approved"/>
    <d v="2026-07-10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9"/>
    <m/>
    <d v="2026-06-23T00:00:00"/>
    <s v="In Stock-Approved"/>
    <d v="2026-07-06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56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45"/>
    <m/>
    <d v="2026-06-19T00:00:00"/>
    <s v="In Stock-Approved"/>
    <d v="2026-07-03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6"/>
    <m/>
    <d v="2026-06-29T00:00:00"/>
    <s v="In Stock-Approved"/>
    <d v="2026-07-13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51"/>
    <m/>
    <d v="2026-06-24T00:00:00"/>
    <s v="In Stock-Approved"/>
    <d v="2026-07-08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n v="64"/>
    <m/>
    <d v="2026-07-07T00:00:00"/>
    <s v="In Stock-Approved"/>
    <d v="2026-07-20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n v="64"/>
    <m/>
    <d v="2026-07-07T00:00:00"/>
    <s v="In Stock-Approved"/>
    <d v="2026-07-20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n v="65"/>
    <m/>
    <d v="2026-07-08T00:00:00"/>
    <s v="In Stock-Approved"/>
    <d v="2026-07-01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1"/>
    <m/>
    <d v="2026-06-23T00:00:00"/>
    <s v="In Stock-Approved"/>
    <d v="2026-06-18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9"/>
    <m/>
    <d v="2026-07-14T00:00:00"/>
    <s v="In Stock-Approved"/>
    <d v="2026-07-24T00:00:00"/>
    <n v="10"/>
    <d v="2026-07-24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42"/>
    <m/>
    <d v="2026-06-24T00:00:00"/>
    <s v="In Stock-Approved"/>
    <d v="2026-07-08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23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Stock-Approved"/>
    <d v="2026-07-23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7"/>
    <m/>
    <d v="2026-06-29T00:00:00"/>
    <s v="In Stock-Approved"/>
    <d v="2026-07-14T00:00:00"/>
    <n v="10"/>
    <d v="2026-07-09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8"/>
    <m/>
    <d v="2026-07-05T00:00:00"/>
    <s v="In Stock-Approved"/>
    <d v="2026-07-20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8"/>
    <m/>
    <d v="2026-06-30T00:00:00"/>
    <s v="In Stock-Approved"/>
    <d v="2026-07-14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0"/>
    <m/>
    <d v="2026-07-12T00:00:00"/>
    <s v="In Stock-Approved"/>
    <d v="2026-07-27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2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49"/>
    <m/>
    <d v="2026-07-01T00:00:00"/>
    <s v="In Stock-Approved"/>
    <d v="2026-07-15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5"/>
    <m/>
    <d v="2026-07-02T00:00:00"/>
    <s v="In Stock-Approved"/>
    <d v="2026-07-15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n v="57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1"/>
    <m/>
    <d v="2026-06-27T00:00:00"/>
    <s v="In Stock-Approved"/>
    <d v="2026-07-13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3"/>
    <m/>
    <d v="2026-06-29T00:00:00"/>
    <s v="In Stock-Approved"/>
    <d v="2026-07-14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40"/>
    <m/>
    <d v="2026-06-30T00:00:00"/>
    <s v="In Stock-Approved"/>
    <d v="2026-07-14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52"/>
    <m/>
    <d v="2026-07-14T00:00:00"/>
    <s v="In Stock-Approved"/>
    <d v="2026-07-29T00:00:00"/>
    <n v="10"/>
    <d v="2026-07-24T00:00:00"/>
    <n v="2026"/>
    <n v="7"/>
    <n v="30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52"/>
    <m/>
    <d v="2026-07-14T00:00:00"/>
    <s v="In Stock-Approved"/>
    <d v="2026-07-29T00:00:00"/>
    <n v="10"/>
    <d v="2026-07-24T00:00:00"/>
    <n v="2026"/>
    <n v="7"/>
    <n v="30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3"/>
    <m/>
    <d v="2026-07-02T00:00:00"/>
    <s v="In Stock-Approved"/>
    <d v="2026-07-02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3"/>
    <m/>
    <d v="2026-07-02T00:00:00"/>
    <s v="In Stock-Approved"/>
    <d v="2026-07-16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n v="51"/>
    <m/>
    <d v="2026-07-12T00:00:00"/>
    <s v="In Stock-Approved"/>
    <d v="2026-07-27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7"/>
    <m/>
    <d v="2026-07-18T00:00:00"/>
    <s v="In Stock-Approved"/>
    <d v="2026-07-31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5"/>
    <m/>
    <d v="2026-07-16T00:00:00"/>
    <s v="In Stock-Approved"/>
    <d v="2026-07-30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0"/>
    <m/>
    <d v="2026-07-05T00:00:00"/>
    <s v="In Stock-Approved"/>
    <d v="2026-07-20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44"/>
    <m/>
    <d v="2026-07-31T00:00:00"/>
    <s v="In Stock-Approved"/>
    <d v="2026-07-23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n v="36"/>
    <m/>
    <d v="2026-07-01T00:00:00"/>
    <s v="In Stock-Approved"/>
    <d v="2026-07-01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2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n v="46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n v="62"/>
    <m/>
    <d v="2026-07-26T00:00:00"/>
    <s v="In Stock-Approved"/>
    <d v="2026-07-03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12:00:00"/>
    <d v="2026-08-05T10:59:00"/>
    <s v="CIF"/>
    <s v="COSCO SHIPPING ARIES 037W"/>
    <s v="COSCO"/>
    <s v="TPVB20260521012"/>
    <x v="355"/>
    <s v="COSU9507394940"/>
    <n v="67.457638888889051"/>
    <m/>
    <d v="2026-08-05T10:59:00"/>
    <s v="In Stock-Approved"/>
    <d v="2026-08-12T00:00:00"/>
    <n v="10"/>
    <d v="2026-08-15T10:59:00"/>
    <n v="2026"/>
    <n v="8"/>
    <n v="33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4:12:33"/>
    <s v="CIF"/>
    <s v="COSCO SHIPPING ARIES 037W"/>
    <s v="COSCO"/>
    <s v="TPVB20260521013"/>
    <x v="356"/>
    <s v="COSU9507394750"/>
    <n v="63.175381944442051"/>
    <m/>
    <d v="2026-08-01T04:12:33"/>
    <s v="In Stock-Approved"/>
    <d v="2026-08-13T00:00:00"/>
    <n v="8"/>
    <d v="2026-08-09T04:12:33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n v="52"/>
    <m/>
    <d v="2026-07-21T00:00:00"/>
    <s v="In Stock-Approved"/>
    <d v="2026-08-04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n v="57"/>
    <m/>
    <d v="2026-07-26T00:00:00"/>
    <s v="In Stock-Approved"/>
    <d v="2026-07-23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9"/>
    <m/>
    <d v="2026-07-15T00:00:00"/>
    <s v="In Stock-Approved"/>
    <d v="2026-07-11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47"/>
    <m/>
    <d v="2026-07-19T00:00:00"/>
    <s v="In Stock-Approved"/>
    <d v="2026-08-03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5:44:59"/>
    <s v="CIF"/>
    <s v="CSCL PACIFIC OCEAN 066W"/>
    <s v="COSCO"/>
    <s v="TPVB20260522012"/>
    <x v="363"/>
    <s v="COSU6501935710"/>
    <n v="53.239571759258979"/>
    <m/>
    <d v="2026-08-02T05:44:59"/>
    <s v="In Stock-Approved"/>
    <d v="2026-08-14T00:00:00"/>
    <n v="8"/>
    <d v="2026-08-10T05:44:59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1"/>
    <m/>
    <d v="2026-07-16T00:00:00"/>
    <s v="In Stock-Approved"/>
    <d v="2026-07-16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1"/>
    <m/>
    <d v="2026-07-16T00:00:00"/>
    <s v="In Stock-Approved"/>
    <d v="2026-07-30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n v="69"/>
    <m/>
    <d v="2026-08-24T00:00:00"/>
    <s v="In Stock-Approved"/>
    <d v="2026-09-02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n v="55"/>
    <m/>
    <d v="2026-07-30T00:00:00"/>
    <s v="In Stock-Approved"/>
    <d v="2026-08-13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x v="370"/>
    <s v="COSU9507509280"/>
    <n v="84"/>
    <m/>
    <d v="2026-08-28T00:00:00"/>
    <s v="In Stock-Approved"/>
    <d v="2026-09-09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10:04:44"/>
    <s v="CIF"/>
    <s v="COSCO SHIPPING LEO 036W"/>
    <s v="COSCO"/>
    <s v="TPVB20260522006"/>
    <x v="371"/>
    <s v="COSU6502492780"/>
    <n v="58.419953703705687"/>
    <m/>
    <d v="2026-08-02T10:04:44"/>
    <s v="In Stock-Approved"/>
    <d v="2026-07-29T00:00:00"/>
    <n v="0"/>
    <d v="2026-08-02T10:04:44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n v="67"/>
    <m/>
    <d v="2026-08-13T00:00:00"/>
    <s v="In Stock-Approved"/>
    <d v="2026-08-03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1"/>
    <m/>
    <d v="2026-07-21T00:00:00"/>
    <s v="In Stock-Approved"/>
    <d v="2026-08-04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n v="37"/>
    <m/>
    <d v="2026-07-20T00:00:00"/>
    <s v="In Stock-Approved"/>
    <d v="2026-07-14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n v="41"/>
    <m/>
    <d v="2026-07-23T00:00:00"/>
    <s v="In Stock-Approved"/>
    <d v="2026-07-14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n v="54"/>
    <m/>
    <d v="2026-08-06T00:00:00"/>
    <s v="In Stock-Approved"/>
    <d v="2026-07-30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d v="2026-08-05T12:00:00"/>
    <d v="2026-08-11T19:43:32"/>
    <s v="CIF"/>
    <s v="EVER GRADE 0756-028W"/>
    <s v="COSCO"/>
    <s v="TPVB20260523016"/>
    <x v="376"/>
    <s v="COSU6502941500"/>
    <n v="56.821898148147739"/>
    <m/>
    <d v="2026-08-11T19:43:32"/>
    <s v="In Stock-Approved"/>
    <d v="2026-08-25T00:00:00"/>
    <n v="8"/>
    <d v="2026-08-19T19:43:32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4:12:33"/>
    <s v="CIF"/>
    <s v="CMA CGM PATAGONIA 0MENZW1MA"/>
    <s v="COSCO"/>
    <s v="TPVB20260523017"/>
    <x v="377"/>
    <s v="COSU6503034790"/>
    <n v="43.175381944442051"/>
    <m/>
    <d v="2026-08-01T04:12:33"/>
    <s v="In Stock-Approved"/>
    <d v="2026-08-12T00:00:00"/>
    <n v="8"/>
    <d v="2026-08-09T04:12:33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18:00:00"/>
    <d v="2026-08-20T00:00:00"/>
    <s v="CIF"/>
    <s v="TEXAS TRIUMPH 038W"/>
    <s v="COSCO"/>
    <s v="TPVB20260523019"/>
    <x v="379"/>
    <s v="COSU6502586240"/>
    <n v="68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0"/>
    <x v="380"/>
    <s v="COSU650295853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1"/>
    <x v="381"/>
    <s v="COSU650295908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6"/>
    <m/>
    <d v="2026-07-18T00:00:00"/>
    <s v="In Stock-Approved"/>
    <d v="2026-08-04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n v="58"/>
    <m/>
    <d v="2026-08-06T00:00:00"/>
    <s v="In Stock-Approved"/>
    <d v="2026-08-06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72"/>
    <m/>
    <d v="2026-08-27T00:00:00"/>
    <s v="In Stock-Approved"/>
    <d v="2026-08-17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n v="55"/>
    <m/>
    <d v="2026-08-14T00:00:00"/>
    <s v="In Stock-Approved"/>
    <d v="2026-08-28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1:00:00"/>
    <d v="2026-08-07T20:55:08"/>
    <s v="CIF"/>
    <s v="OSCO SHIPPING GEMINI 036W"/>
    <s v="COSCO"/>
    <s v="TPVB20260523008"/>
    <x v="389"/>
    <s v="COSU9507638470"/>
    <n v="54.871620370373421"/>
    <m/>
    <d v="2026-08-07T20:55:08"/>
    <s v="In Stock-Approved"/>
    <d v="2026-08-01T00:00:00"/>
    <n v="0"/>
    <d v="2026-08-07T20:55:08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n v="46"/>
    <m/>
    <d v="2026-07-30T00:00:00"/>
    <s v="In Stock-Approved"/>
    <d v="2026-07-23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6:00:00"/>
    <d v="2026-08-25T05:43:49"/>
    <s v="CIF"/>
    <s v="OSCO SHIPPING GEMINI 036W"/>
    <s v="COSCO"/>
    <s v="TPVB20260523010"/>
    <x v="392"/>
    <s v="COSU9507636070"/>
    <n v="72.238761574073578"/>
    <m/>
    <d v="2026-08-25T05:43:49"/>
    <s v="In Stock-Approved"/>
    <d v="2026-09-07T00:00:00"/>
    <n v="8"/>
    <d v="2026-09-02T05:43:49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13:00:00"/>
    <d v="2026-08-19T11:23:00"/>
    <s v="CIF"/>
    <s v="OSCO SHIPPING GEMINI 036W"/>
    <s v="COSCO"/>
    <s v="TPVB20260523011"/>
    <x v="393"/>
    <s v="COSU9507639060"/>
    <n v="66.474305555559113"/>
    <m/>
    <d v="2026-08-19T11:23:00"/>
    <s v="In Stock-Approved"/>
    <d v="2026-09-02T00:00:00"/>
    <n v="8"/>
    <d v="2026-08-27T11:23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2:00:00"/>
    <s v="2026-08-13"/>
    <s v="CIF"/>
    <s v="OSCO SHIPPING GEMINI 036W"/>
    <s v="COSCO"/>
    <s v="TPVB20260523012"/>
    <x v="394"/>
    <s v="COSU950763900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9:00:00"/>
    <s v="2026-08-13"/>
    <s v="CIF"/>
    <s v="OSCO SHIPPING GEMINI 036W"/>
    <s v="COSCO"/>
    <s v="TPVB20260523013"/>
    <x v="395"/>
    <s v="COSU9507638950"/>
    <n v="60"/>
    <m/>
    <s v="2026-08-13"/>
    <s v="In Stock-Approved"/>
    <d v="2026-08-06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n v="42"/>
    <m/>
    <d v="2026-07-29T00:00:00"/>
    <s v="In Stock-Approved"/>
    <d v="2026-08-11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n v="42"/>
    <m/>
    <d v="2026-07-29T00:00:00"/>
    <s v="In Stock-Approved"/>
    <d v="2026-08-11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8"/>
    <m/>
    <d v="2026-07-30T00:00:00"/>
    <s v="In Stock-Approved"/>
    <d v="2026-07-23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4:53:44"/>
    <s v="CIF"/>
    <s v="COSCO DENMARK 069W"/>
    <s v="COSCO"/>
    <s v="TPVB20260624004"/>
    <x v="399"/>
    <s v="COSU6503114070"/>
    <n v="50.203981481477967"/>
    <m/>
    <d v="2026-08-05T04:53:44"/>
    <s v="In Stock-Approved"/>
    <d v="2026-08-03T00:00:00"/>
    <n v="0"/>
    <d v="2026-08-05T04:53:44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-1"/>
    <x v="404"/>
    <s v="COSU6503364860"/>
    <n v="43.175381944442051"/>
    <m/>
    <d v="2026-08-01T04:12:33"/>
    <s v="In Stock-Approved"/>
    <d v="2026-08-12T00:00:00"/>
    <n v="0"/>
    <d v="2026-08-01T04:12:33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08"/>
    <x v="406"/>
    <s v="COSU6503527860"/>
    <n v="63"/>
    <m/>
    <d v="2026-08-20T00:00:00"/>
    <s v="In Stock-Approved"/>
    <d v="2026-09-03T00:00:00"/>
    <n v="10"/>
    <d v="2026-08-30T00:00:00"/>
    <n v="2026"/>
    <n v="8"/>
    <n v="35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-"/>
    <s v=""/>
    <n v="10"/>
    <d v="2026-08-30T00:00:00"/>
    <n v="2026"/>
    <n v="8"/>
    <n v="35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6:00:00"/>
    <d v="2026-08-27T00:00:00"/>
    <s v="CIF"/>
    <s v="COSCO SHIPPING SAGITTARIUS  034W"/>
    <s v="COSCO"/>
    <s v="TPVB20260624011"/>
    <x v="408"/>
    <s v="COSU9507807450"/>
    <n v="66"/>
    <m/>
    <d v="2026-08-27T00:00:00"/>
    <s v="In Transit-Approved"/>
    <d v="2026-09-08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COMPLETED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6T06:00:00"/>
    <d v="2026-09-06T06:41:53"/>
    <s v="CIF"/>
    <s v="COSCO SHIPPING SAGITTARIUS  034W"/>
    <s v="COSCO"/>
    <s v="TPVB20260624012"/>
    <x v="409"/>
    <s v="COSU9507807520"/>
    <n v="76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s v=""/>
    <d v="2026-08-10T00:00:00"/>
    <s v="CIF"/>
    <s v="COSCO SHIPPING GEMINI 036W"/>
    <s v="OTHER"/>
    <s v="TPVB20260523024"/>
    <x v="410"/>
    <s v="COSU6503809510"/>
    <n v="57"/>
    <m/>
    <d v="2026-08-10T00:00:00"/>
    <s v="In Stock-Approved"/>
    <d v="2026-08-04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9:45:00"/>
    <d v="2026-08-10T09:44:20"/>
    <s v="CIF"/>
    <s v="COSCO SHIPPING SAGITTARIUS  034W"/>
    <s v="COSCO"/>
    <s v="TPVB20260624013"/>
    <x v="411"/>
    <s v="COSU6504041890"/>
    <n v="49.405787037037953"/>
    <m/>
    <d v="2026-08-10T09:44:20"/>
    <s v="In Stock-Approved"/>
    <d v="2026-08-24T00:00:00"/>
    <n v="7"/>
    <d v="2026-08-17T09:44:2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4"/>
    <x v="412"/>
    <s v="COSU6504191030"/>
    <n v="45.041226851848478"/>
    <m/>
    <d v="2026-08-06T00:59:22"/>
    <s v="In Stock-Approved"/>
    <d v="2026-07-29T00:00:00"/>
    <n v="0"/>
    <d v="2026-08-06T00:59:22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5"/>
    <x v="413"/>
    <s v="COSU6504047380"/>
    <n v="45.041226851848478"/>
    <m/>
    <d v="2026-08-06T00:59:22"/>
    <s v="In Stock-Approved"/>
    <d v="2026-08-19T00:00:00"/>
    <n v="7"/>
    <d v="2026-08-13T00:59:22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9:00:00"/>
    <d v="2026-08-24T06:56:56"/>
    <s v="CIF"/>
    <s v="COSCO SHIPPING SAGITTARIUS  034W"/>
    <s v="COSCO"/>
    <s v="TPVB20260624016"/>
    <x v="414"/>
    <s v="COSU9507807610"/>
    <n v="63.289537037038826"/>
    <m/>
    <d v="2026-08-24T06:56:56"/>
    <s v="In Stock-Approved"/>
    <d v="2026-09-07T00:00:00"/>
    <n v="9"/>
    <d v="2026-09-02T06:56:56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10T02:00:00"/>
    <d v="2026-09-10T01:06:14"/>
    <s v="CIF"/>
    <s v="COSCO SHIPPING SAGITTARIUS  034W"/>
    <s v="COSCO"/>
    <s v="TPVB20260624017"/>
    <x v="415"/>
    <s v="COSU9507770280"/>
    <n v="80.045995370368473"/>
    <m/>
    <d v="2026-09-10T01:06:14"/>
    <s v="In Transit-Approved"/>
    <d v="2026-09-18T00:00:00"/>
    <n v="9"/>
    <d v="2026-09-19T01:06:14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53"/>
    <m/>
    <d v="2026-08-15T00:00:00"/>
    <s v="In Stock-Approved"/>
    <d v="2026-08-03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d v="2026-08-06T00:30:00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9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d v="2026-08-06T00:30:00"/>
    <d v="2026-08-06T00:59:22"/>
    <s v="CIF"/>
    <s v="COSCO SHIPPING _x000a_SAGITTARIUS 034W"/>
    <s v="COSCO"/>
    <s v="TPVB20260625013"/>
    <x v="420"/>
    <s v="COSU6504129580"/>
    <n v="37.041226851848478"/>
    <m/>
    <d v="2026-08-06T00:59:22"/>
    <s v="In Stock-Approved"/>
    <d v="2026-07-29T00:00:00"/>
    <n v="0"/>
    <d v="2026-08-06T00:59:22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d v="2026-08-08T10:00:00"/>
    <d v="2026-08-08T09:59:14"/>
    <s v="CIF"/>
    <s v="EVER ACE 1406-019W"/>
    <s v="COSCO"/>
    <s v="TPVB20260625010"/>
    <x v="421"/>
    <s v="COSU6503985850"/>
    <n v="45.416134259256069"/>
    <m/>
    <d v="2026-08-08T09:59:14"/>
    <s v="In Stock-Approved"/>
    <d v="2026-07-29T00:00:00"/>
    <n v="0"/>
    <d v="2026-08-08T09:59:14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11:44:28"/>
    <s v="CIF"/>
    <s v="COSCO SHIPPING ANDES _x000a_048W"/>
    <s v="COSCO"/>
    <s v="TPVB20260625009"/>
    <x v="422"/>
    <s v="COSU6503980090"/>
    <n v="53.489212962966121"/>
    <m/>
    <d v="2026-08-15T11:44:28"/>
    <s v="In Stock-Approved"/>
    <d v="2026-08-10T00:00:00"/>
    <n v="0"/>
    <d v="2026-08-15T11:44:28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2"/>
    <x v="424"/>
    <s v="COSU6504372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7"/>
    <x v="426"/>
    <s v="COSU650541116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5"/>
    <x v="427"/>
    <s v="COSU650437821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COMPLETED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COMPLETED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6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8T04:30:00"/>
    <d v="2026-08-28T00:00:00"/>
    <s v="CIF"/>
    <s v="OOCL SWEDEN 008W"/>
    <s v="COSCO"/>
    <s v="TPVB20260625008"/>
    <x v="429"/>
    <s v="COSU9507886950"/>
    <n v="65"/>
    <m/>
    <d v="2026-08-28T00:00:00"/>
    <s v="In Stock-Approved"/>
    <d v="2026-09-11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d v="2026-08-10T07:00:00"/>
    <d v="2026-08-10T08:22:30"/>
    <s v="CIF"/>
    <s v="OOCL SWEDEN 008W"/>
    <s v="COSCO"/>
    <s v="TPVB20260625003"/>
    <x v="430"/>
    <s v="COSU9507829660"/>
    <n v="47.348958333335759"/>
    <m/>
    <d v="2026-08-10T08:22:30"/>
    <s v="In Stock-Approved"/>
    <d v="2026-08-25T00:00:00"/>
    <n v="7"/>
    <d v="2026-08-17T08:22:3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COMPLETED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3T02:00:00"/>
    <d v="2026-09-13T04:29:03"/>
    <s v="CIF"/>
    <s v="OOCL SWEDEN 008W"/>
    <s v="COSCO"/>
    <s v="TPVB20260625004"/>
    <x v="431"/>
    <s v="COSU9507886600"/>
    <n v="8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COMPLETED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20:00:00"/>
    <d v="2026-09-07T00:00:00"/>
    <s v="CIF"/>
    <s v="OOCL SWEDEN 008W"/>
    <s v="COSCO"/>
    <s v="TPVB20260625005"/>
    <x v="432"/>
    <s v="COSU9507886780"/>
    <n v="75"/>
    <m/>
    <d v="2026-09-07T00:00:00"/>
    <s v="In Transit-Approved"/>
    <d v="2026-09-2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18:00:00"/>
    <d v="2026-08-19T17:44:24"/>
    <s v="CIF"/>
    <s v="OOCL SWEDEN 008W"/>
    <s v="COSCO"/>
    <s v="TPVB20260625007"/>
    <x v="433"/>
    <s v="COSU6504801500"/>
    <n v="56.739166666666279"/>
    <m/>
    <d v="2026-08-19T17:44:24"/>
    <s v="In Stock-Approved"/>
    <d v="2026-09-02T00:00:00"/>
    <n v="7"/>
    <d v="2026-08-26T17:44:24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COMPLETED"/>
    <m/>
    <d v="2026-06-18T00:00:00"/>
    <n v="25"/>
    <s v="POPV260618047"/>
    <m/>
    <s v="TIANJIN"/>
    <x v="0"/>
    <x v="0"/>
    <d v="2026-06-24T00:00:00"/>
    <m/>
    <d v="2026-06-24T00:00:00"/>
    <d v="2026-08-20T00:00:00"/>
    <d v="2026-09-07T20:00:00"/>
    <d v="2026-09-07T00:00:00"/>
    <s v="CIF"/>
    <s v="OOCL SWEDEN 008W"/>
    <s v="COSCO"/>
    <s v="TPVB20260625006"/>
    <x v="434"/>
    <s v="COSU9507886860"/>
    <n v="75"/>
    <m/>
    <d v="2026-09-07T00:00:00"/>
    <s v="In Transit-Approved"/>
    <d v="2026-09-21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COMPLETED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d v="2026-08-26T00:00:00"/>
    <m/>
    <s v="AL NEFUD / 626W"/>
    <s v="OTHER"/>
    <s v="TPVB20260626002"/>
    <x v="435"/>
    <s v="264892542B"/>
    <n v="57"/>
    <m/>
    <d v="2026-08-26T00:00:00"/>
    <s v="In Stock-Approved"/>
    <d v="2026-08-23T00:00:00"/>
    <n v="0"/>
    <d v="2026-08-26T00:00:00"/>
    <n v="2026"/>
    <n v="8"/>
    <n v="35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COMPLETED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d v="2026-08-18T00:00:00"/>
    <m/>
    <s v="SANTA CRUZ/ 627W"/>
    <s v="OTHER"/>
    <s v="TPVB20260626004"/>
    <x v="436"/>
    <s v="802344475B"/>
    <n v="49"/>
    <m/>
    <d v="2026-08-18T00:00:00"/>
    <s v="In Stock-Approved"/>
    <d v="2026-08-15T00:00:00"/>
    <n v="0"/>
    <d v="2026-08-18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0"/>
    <x v="437"/>
    <s v="COSU6505324630"/>
    <n v="52.481874999997672"/>
    <m/>
    <d v="2026-08-22T11:33:54"/>
    <s v="In Stock-Approved"/>
    <d v="2026-09-04T00:00:00"/>
    <n v="7"/>
    <d v="2026-08-29T11:33:54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4"/>
    <x v="438"/>
    <s v="COSU6503833660"/>
    <n v="52.481874999997672"/>
    <m/>
    <d v="2026-08-22T11:33:54"/>
    <s v="In Stock-Approved"/>
    <d v="2026-09-04T00:00:00"/>
    <n v="7"/>
    <d v="2026-08-29T11:33:54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12:00:00"/>
    <d v="2026-08-26T00:00:00"/>
    <m/>
    <s v="EVER ART 1407-015W"/>
    <s v="COSCO"/>
    <s v="TPVB20260626009"/>
    <x v="440"/>
    <s v="COSU6505017200"/>
    <n v="40"/>
    <m/>
    <d v="2026-08-26T00:00:00"/>
    <s v="In Stock-Approved"/>
    <d v="2026-08-05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15"/>
    <x v="442"/>
    <s v="COSU650540459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COMPLETED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 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COMPLETED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COMPLETED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COMPLETED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COMPLETED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30T01:00:00"/>
    <d v="2026-08-29T23:44:46"/>
    <m/>
    <s v="CSCL ATLANTIC OCEAN 066W"/>
    <s v="COSCO"/>
    <s v="TPVB20260626018"/>
    <x v="449"/>
    <s v="COSU6505756530"/>
    <n v="53.989421296297223"/>
    <m/>
    <d v="2026-08-29T23:44:46"/>
    <s v="In Stock-Approved"/>
    <d v="2026-09-11T00:00:00"/>
    <n v="7"/>
    <d v="2026-09-05T23:44:46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COMPLETED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10T07:00:00"/>
    <d v="2026-09-10T05:53:06"/>
    <m/>
    <s v="CSCL ATLANTIC OCEAN 066W"/>
    <s v="COSCO"/>
    <s v="TPVB20260626019"/>
    <x v="450"/>
    <s v="COSU6505906290"/>
    <n v="65.245208333333721"/>
    <m/>
    <d v="2026-09-10T05:53:06"/>
    <s v="In Transit-Approved"/>
    <d v="2026-09-21T00:00:00"/>
    <n v="10"/>
    <d v="2026-09-20T05:53:06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COMPLETED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28T02:00:00"/>
    <d v="2026-09-27T23:11:55"/>
    <m/>
    <s v="OOCL PORTUGAL 007W"/>
    <s v="COSCO"/>
    <s v="TPVB20260626006"/>
    <x v="452"/>
    <s v="COSU9507977520"/>
    <n v="90.966608796297805"/>
    <m/>
    <d v="2026-09-27T23:11:55"/>
    <s v="In Transit-Approved"/>
    <d v="2026-10-02T00:00:00"/>
    <n v="7"/>
    <d v="2026-10-04T23:11:55"/>
    <n v="2026"/>
    <n v="10"/>
    <n v="40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COMPLETED"/>
    <m/>
    <d v="2026-06-23T00:00:00"/>
    <n v="26"/>
    <s v="POPV260626058"/>
    <m/>
    <s v="TIANJIN"/>
    <x v="0"/>
    <x v="6"/>
    <d v="2026-06-28T00:00:00"/>
    <m/>
    <d v="2026-06-29T00:00:00"/>
    <d v="2026-08-30T00:00:00"/>
    <d v="2026-09-09T23:59:00"/>
    <d v="2026-09-10T00:13:43"/>
    <m/>
    <s v="OOCL PORTUGAL 007W"/>
    <s v="COSCO"/>
    <s v="TPVB20260626007"/>
    <x v="453"/>
    <s v="COSU6505349280"/>
    <n v="73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COMPLETED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d v="2026-08-30T00:00:00"/>
    <m/>
    <s v="ADRIAN MAERSK 626W"/>
    <s v="OTHER"/>
    <s v="TPVB20260627001"/>
    <x v="454"/>
    <n v="272152398"/>
    <n v="55"/>
    <m/>
    <d v="2026-08-30T00:00:00"/>
    <s v="-"/>
    <s v=""/>
    <n v="0"/>
    <d v="2026-08-30T00:00:00"/>
    <n v="2026"/>
    <n v="8"/>
    <n v="35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COMPLETED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13:00:00"/>
    <d v="2026-08-30T00:00:00"/>
    <m/>
    <s v="OOCL WISDOM 001W"/>
    <s v="COSCO"/>
    <s v="TPVB20260627002"/>
    <x v="455"/>
    <s v="COSU6505925840"/>
    <n v="45"/>
    <m/>
    <d v="2026-08-30T00:00:00"/>
    <s v="In Stock-Approved"/>
    <d v="2026-08-26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11:29:51"/>
    <m/>
    <s v="COSCO SHIPPING PLANET 048W"/>
    <s v="COSCO"/>
    <s v="TPVB20260627004"/>
    <x v="457"/>
    <s v="COSU6505608500"/>
    <n v="41.479062500002328"/>
    <m/>
    <d v="2026-08-19T11:29:51"/>
    <s v="In Stock-Approved"/>
    <d v="2026-08-22T00:00:00"/>
    <n v="0"/>
    <d v="2026-08-19T11:29:51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12:00:00"/>
    <d v="2026-08-26T00:00:00"/>
    <m/>
    <s v="EVER ACME 1408-013W"/>
    <s v="COSCO"/>
    <s v="TPVB20260627005"/>
    <x v="458"/>
    <s v="COSU6505588390"/>
    <n v="41"/>
    <m/>
    <d v="2026-08-26T00:00:00"/>
    <s v="In Stock-Approved"/>
    <d v="2026-08-12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COMPLETED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COMPLETED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COMPLETED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COMPLETED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COMPLETED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COMPLETED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15"/>
    <x v="461"/>
    <s v="COSU6507195960"/>
    <n v="51.186840277776355"/>
    <m/>
    <d v="2026-09-13T04:29:03"/>
    <s v="In Stock-Approved"/>
    <d v="2026-08-31T00:00:00"/>
    <n v="0"/>
    <d v="2026-09-13T04:29:03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COMPLETED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19:00:00"/>
    <d v="2026-09-03T06:44:28"/>
    <m/>
    <s v="COSCO SHIPPING KILIMANJARO 045W"/>
    <s v="COSCO"/>
    <s v="TPVB20260627009"/>
    <x v="463"/>
    <s v="COSU6505915770"/>
    <n v="51.280879629630363"/>
    <m/>
    <d v="2026-09-03T06:44:28"/>
    <s v="In Transit-Approved"/>
    <d v="2026-09-02T00:00:00"/>
    <n v="9"/>
    <d v="2026-09-12T06:44:28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COMPLETED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d v="2026-10-05T18:00:00"/>
    <d v="2026-10-04T00:00:00"/>
    <m/>
    <s v="COSCO SHIPPING AZALEA 036E"/>
    <s v="COSCO"/>
    <s v="TPVB20260627010"/>
    <x v="464"/>
    <s v="COSU9508140760"/>
    <n v="86"/>
    <m/>
    <d v="2026-10-04T00:00:00"/>
    <s v="In Transit-Approved"/>
    <d v="2026-10-12T00:00:00"/>
    <n v="10"/>
    <d v="2026-10-14T00:00:00"/>
    <n v="2026"/>
    <n v="10"/>
    <n v="42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COMPLETED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20T01:00:00"/>
    <d v="2026-09-19T22:07:15"/>
    <m/>
    <s v="COSCO SHIPPING AZALEA 036E"/>
    <s v="COSCO"/>
    <s v="TPVB20260627011"/>
    <x v="465"/>
    <s v="COSU9508147070"/>
    <n v="71.921701388891961"/>
    <m/>
    <d v="2026-09-19T22:07:15"/>
    <s v="In Stock-Approved"/>
    <d v="2026-09-14T00:00:00"/>
    <n v="0"/>
    <d v="2026-09-19T22:07:15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20T01:00:00"/>
    <d v="2026-09-19T22:07:15"/>
    <m/>
    <s v="COSCO SHIPPING AZALEA 036E"/>
    <s v="COSCO"/>
    <s v="TPVB20260627012"/>
    <x v="466"/>
    <s v="COSU9508147071"/>
    <n v="71.921701388891961"/>
    <m/>
    <d v="2026-09-19T22:07:15"/>
    <s v="In Stock-Approved"/>
    <d v="2026-09-14T00:00:00"/>
    <n v="0"/>
    <d v="2026-09-19T22:07:15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5T06:00:00"/>
    <d v="2026-09-25T05:35:14"/>
    <m/>
    <s v="COSCO SHIPPING AZALEA 036E"/>
    <s v="COSCO"/>
    <s v="TPVB20260627013"/>
    <x v="467"/>
    <s v="COSU9508147081"/>
    <n v="77.232800925929041"/>
    <m/>
    <d v="2026-09-25T05:35:14"/>
    <s v="In Stock-Approved"/>
    <d v="2026-09-09T00:00:00"/>
    <n v="0"/>
    <d v="2026-09-25T05:35:14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5T06:00:00"/>
    <d v="2026-09-25T05:35:14"/>
    <m/>
    <s v="COSCO SHIPPING AZALEA 036E"/>
    <s v="COSCO"/>
    <s v="TPVB20260627014"/>
    <x v="468"/>
    <s v="COSU9508147080"/>
    <n v="77.232800925929041"/>
    <m/>
    <d v="2026-09-25T05:35:14"/>
    <s v="In Stock-Approved"/>
    <d v="2026-09-09T00:00:00"/>
    <n v="0"/>
    <d v="2026-09-25T05:35:14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COMPLETED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d v="2026-09-19T22:00:00"/>
    <d v="2026-09-20T06:13:59"/>
    <m/>
    <s v="OOCL DENMARK 009W"/>
    <s v="COSCO"/>
    <s v="TPVB20260628001"/>
    <x v="469"/>
    <s v="COSU6506450380"/>
    <n v="62.25971064814803"/>
    <m/>
    <d v="2026-09-20T06:13:59"/>
    <s v="In Stock-Approved"/>
    <d v="2026-09-02T00:00:00"/>
    <n v="0"/>
    <d v="2026-09-20T06:13:59"/>
    <n v="2026"/>
    <n v="9"/>
    <n v="38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17:44:24"/>
    <m/>
    <s v="OOCL DENMARK 009W"/>
    <s v="COSCO"/>
    <s v="TPVB20260628002"/>
    <x v="470"/>
    <s v="COSU6507018050"/>
    <n v="34.739166666666279"/>
    <m/>
    <d v="2026-08-19T17:44:24"/>
    <s v="In Stock-Approved"/>
    <d v="2026-09-02T00:00:00"/>
    <n v="7"/>
    <d v="2026-08-26T17:44:24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COMPLETED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03"/>
    <x v="471"/>
    <s v="COSU6507790480"/>
    <n v="34.971226851848769"/>
    <m/>
    <d v="2026-08-31T23:18:34"/>
    <s v="In Transit-Approved"/>
    <d v="2026-09-14T00:00:00"/>
    <n v="7"/>
    <d v="2026-09-07T23:18:34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6"/>
    <x v="472"/>
    <s v="COSU6507666250"/>
    <n v="34.971226851848769"/>
    <m/>
    <d v="2026-08-31T23:18:34"/>
    <s v="In Stock-Approved"/>
    <d v="2026-08-28T00:00:00"/>
    <n v="0"/>
    <d v="2026-08-31T23:18:34"/>
    <n v="2026"/>
    <n v="8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7"/>
    <x v="473"/>
    <s v="COSU6508738520"/>
    <n v="34.971226851848769"/>
    <s v="Y"/>
    <d v="2026-08-31T23:18:34"/>
    <s v="In Stock-Approved"/>
    <d v="2026-08-28T00:00:00"/>
    <n v="0"/>
    <d v="2026-08-31T23:18:34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COMPLETED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COMPLETED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COMPLETED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d v="2026-09-02T00:00:00"/>
    <m/>
    <s v="ONE TRIUMPH/0031W "/>
    <s v="OTHER"/>
    <s v="TPVB20260628014"/>
    <x v="476"/>
    <s v="HDMUSHAZF7T21600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COMPLETED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COMPLETED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COMPLETED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COMPLETED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COMPLETED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COMPLETED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COMPLETED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0MEO9W1MA"/>
    <s v="COSCO"/>
    <s v="TPVB20260628009"/>
    <x v="481"/>
    <s v="COSU650693223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COMPLETED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10-04T01:00:00"/>
    <d v="2026-10-04T00:00:00"/>
    <m/>
    <s v="COSCO SHIPPING CAPRICORN 041W_x000a_041W"/>
    <s v="COSCO"/>
    <s v="TPVB20260628011"/>
    <x v="483"/>
    <s v="COSU9508260330"/>
    <n v="80"/>
    <m/>
    <d v="2026-10-04T00:00:00"/>
    <s v="In Transit-Approved"/>
    <d v="2026-10-05T00:00:00"/>
    <n v="8"/>
    <d v="2026-10-12T00:00:00"/>
    <n v="2026"/>
    <n v="10"/>
    <n v="42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COMPLETED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8T10:00:00"/>
    <d v="2026-09-18T10:29:37"/>
    <m/>
    <s v="COSCO SHIPPING CAPRICORN 041W_x000a_041W"/>
    <s v="COSCO"/>
    <s v="TPVB20260628012"/>
    <x v="484"/>
    <s v="COSU9508260600"/>
    <n v="64.437233796299552"/>
    <m/>
    <d v="2026-09-18T10:29:37"/>
    <s v="In Transit-Approved"/>
    <d v="2026-09-30T00:00:00"/>
    <n v="8"/>
    <d v="2026-09-26T10:29:37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COMPLETED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9-01T00:00:00"/>
    <d v="2026-08-31T00:00:00"/>
    <m/>
    <s v="COSCO SHIPPING CAPRICORN 041W_x000a_041W"/>
    <s v="COSCO"/>
    <s v="TPVB20260628013"/>
    <x v="485"/>
    <s v="COSU9508255560"/>
    <n v="46"/>
    <m/>
    <d v="2026-08-31T00:00:00"/>
    <s v="In Transit-Approved"/>
    <d v="2026-09-14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d v="2026-10-13T18:00:00"/>
    <s v=""/>
    <m/>
    <s v="COSCO SHIPPING CAPRICORN 041W_x000a_041W"/>
    <s v="COSCO"/>
    <s v="TPVB20260628014"/>
    <x v="486"/>
    <s v="COSU9508259840"/>
    <n v="89.75"/>
    <m/>
    <d v="2026-10-13T18:00:00"/>
    <s v="In Transit-Approved"/>
    <d v="2026-09-25T00:00:00"/>
    <n v="10"/>
    <d v="2026-10-23T18:00:00"/>
    <n v="2026"/>
    <n v="10"/>
    <n v="43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5"/>
    <x v="487"/>
    <s v="COSU6507754600"/>
    <n v="47.009525462963211"/>
    <m/>
    <d v="2026-09-10T00:13:43"/>
    <s v="In Transit-Approved"/>
    <d v="2026-09-23T00:00:00"/>
    <n v="7"/>
    <d v="2026-09-17T00:13:43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COMPLETED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6"/>
    <x v="488"/>
    <s v="COSU6507727180"/>
    <n v="47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COMPLETED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COMPLETED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COMPLETED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23T16:00:00"/>
    <d v="2026-09-23T19:00:49"/>
    <m/>
    <s v="COSCO SHIPPING PISCES 033W"/>
    <s v="COSCO"/>
    <s v="TPVB20260729008"/>
    <x v="490"/>
    <s v="COSU6507266890"/>
    <n v="52.792233796295477"/>
    <m/>
    <d v="2026-09-23T19:00:49"/>
    <s v="In Transit-Approved"/>
    <d v="2026-09-28T00:00:00"/>
    <n v="10"/>
    <d v="2026-10-03T19:00:49"/>
    <n v="2026"/>
    <n v="10"/>
    <n v="40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COMPLETED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COMPLETED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COMPLETED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COMPLETED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COMPLETED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COMPLETED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10-01T06:00:00"/>
    <d v="2026-09-30T00:00:00"/>
    <m/>
    <s v="COSCO SHIPPING PISCES 033W"/>
    <s v="COSCO"/>
    <s v="TPVB20260729011"/>
    <x v="493"/>
    <s v="COSU6507751580"/>
    <n v="59"/>
    <m/>
    <d v="2026-09-30T00:00:00"/>
    <s v="In Transit-Approved"/>
    <d v="2026-10-05T00:00:00"/>
    <n v="9"/>
    <d v="2026-10-09T00:00:00"/>
    <n v="2026"/>
    <n v="10"/>
    <n v="41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COMPLETED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COMPLETED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COMPLETED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21T22:00:00"/>
    <s v=""/>
    <m/>
    <s v="COSCO FRANCE 075W"/>
    <s v="COSCO"/>
    <s v="TPVB20260729003"/>
    <x v="496"/>
    <s v="COSU9508345820"/>
    <n v="91.916666666664241"/>
    <m/>
    <d v="2026-10-21T22:00:00"/>
    <s v="In Transit-Approved"/>
    <d v="2026-10-19T00:00:00"/>
    <n v="8"/>
    <d v="2026-10-29T22:00:00"/>
    <n v="2026"/>
    <n v="10"/>
    <n v="44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COMPLETED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5T06:00:00"/>
    <d v="2026-09-25T05:35:14"/>
    <m/>
    <s v="COSCO FRANCE 075W"/>
    <s v="COSCO"/>
    <s v="TPVB20260729002"/>
    <x v="497"/>
    <s v="COSU9508345960"/>
    <n v="65.232800925929041"/>
    <m/>
    <d v="2026-09-25T05:35:14"/>
    <s v="In Transit-Approved"/>
    <d v="2026-10-19T00:00:00"/>
    <n v="8"/>
    <d v="2026-10-03T05:35:14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COMPLETED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5T06:00:00"/>
    <d v="2026-09-25T05:35:14"/>
    <m/>
    <s v="COSCO FRANCE 075W"/>
    <s v="COSCO"/>
    <s v="TPVB20260729002"/>
    <x v="497"/>
    <s v="COSU9508345960"/>
    <n v="65.232800925929041"/>
    <m/>
    <d v="2026-09-25T05:35:14"/>
    <s v="In Transit-Approved"/>
    <d v="2026-10-19T00:00:00"/>
    <n v="8"/>
    <d v="2026-10-03T05:35:14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COMPLETED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COMPLETED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COMPLETED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d v="2026-10-05T18:00:00"/>
    <d v="2026-10-04T00:00:00"/>
    <m/>
    <s v="COSCO FRANCE 075W"/>
    <s v="COSCO"/>
    <s v="TPVB20260729004"/>
    <x v="499"/>
    <s v="COSU9508346010"/>
    <n v="74"/>
    <m/>
    <d v="2026-10-04T00:00:00"/>
    <s v="In Transit-Approved"/>
    <d v="2026-10-09T00:00:00"/>
    <n v="10"/>
    <d v="2026-10-14T00:00:00"/>
    <n v="2026"/>
    <n v="10"/>
    <n v="42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COMPLETED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COMPLETED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d v="2026-09-14T12:00:00"/>
    <d v="2026-09-19T00:00:00"/>
    <m/>
    <s v="COSCO SHIPPING VIRGO 036W"/>
    <s v="OTHER"/>
    <s v="TPVB20260730001"/>
    <x v="501"/>
    <s v="EGLV149605819327"/>
    <n v="45"/>
    <m/>
    <d v="2026-09-19T00:00:00"/>
    <s v="In Transit-Approved"/>
    <d v="2026-09-22T00:00:00"/>
    <n v="7"/>
    <d v="2026-09-26T00:00:00"/>
    <n v="2026"/>
    <n v="9"/>
    <n v="39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d v="2026-09-14T12:00:00"/>
    <d v="2026-09-19T00:00:00"/>
    <m/>
    <s v="COSCO SHIPPING VIRGO 036W"/>
    <s v="OTHER"/>
    <s v="TPVB20260730001"/>
    <x v="501"/>
    <s v="EGLV149605819327"/>
    <n v="45"/>
    <m/>
    <d v="2026-09-19T00:00:00"/>
    <s v="In Transit-Approved"/>
    <d v="2026-09-22T00:00:00"/>
    <n v="7"/>
    <d v="2026-09-26T00:00:00"/>
    <n v="2026"/>
    <n v="9"/>
    <n v="39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4T02:00:00"/>
    <d v="2026-09-14T03:20:55"/>
    <m/>
    <s v="CSCL GLOBE 076W"/>
    <s v="COSCO"/>
    <s v="TPVB20260730013"/>
    <x v="502"/>
    <s v="COSU6508479150"/>
    <n v="47.139525462960592"/>
    <m/>
    <d v="2026-09-14T03:20:55"/>
    <s v="In Stock-Approved"/>
    <d v="2026-09-11T00:00:00"/>
    <n v="0"/>
    <d v="2026-09-14T03:20:55"/>
    <n v="2026"/>
    <n v="9"/>
    <n v="38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COMPLETED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20:00:00"/>
    <d v="2026-09-07T20:00:00"/>
    <m/>
    <s v="CMA CGM JULES VERNE 0MEODW1MA"/>
    <s v="COSCO"/>
    <s v="TPVB20260730014"/>
    <x v="503"/>
    <s v="COSU6508016810"/>
    <n v="40.833333333335759"/>
    <m/>
    <d v="2026-09-07T20:00:00"/>
    <s v="In Transit-Approved"/>
    <d v="2026-09-17T00:00:00"/>
    <n v="8"/>
    <d v="2026-09-15T2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COMPLETED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23:59:00"/>
    <d v="2026-09-10T00:13:43"/>
    <m/>
    <s v="OOCL PIRAEUS 012W"/>
    <s v="COSCO"/>
    <s v="TPVB20260730003"/>
    <x v="504"/>
    <s v="COSU9508462360"/>
    <n v="41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COMPLETED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15:30:00"/>
    <d v="2026-09-05T15:53:50"/>
    <m/>
    <s v="COSCO FRANCE 075W"/>
    <s v="COSCO"/>
    <s v="TPVB20260730006"/>
    <x v="505"/>
    <s v="COSU9508463160"/>
    <n v="38.662384259259852"/>
    <m/>
    <d v="2026-09-05T15:53:50"/>
    <s v="In Transit-Approved"/>
    <d v="2026-09-18T00:00:00"/>
    <n v="7"/>
    <d v="2026-09-12T15:53:5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COMPLETED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1T15:00:00"/>
    <d v="2026-09-11T16:21:18"/>
    <m/>
    <s v="CMA CGM JULES VERNE 0MEODW"/>
    <s v="COSCO"/>
    <s v="TPVB20260730004"/>
    <x v="507"/>
    <s v="COSU9508444890"/>
    <n v="44.681458333332557"/>
    <m/>
    <d v="2026-09-11T16:21:18"/>
    <s v="In Transit-Approved"/>
    <d v="2026-09-23T00:00:00"/>
    <n v="8"/>
    <d v="2026-09-19T16:21:18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806035"/>
    <m/>
    <s v="NINGBO"/>
    <x v="3"/>
    <x v="0"/>
    <d v="2026-07-31T00:00:00"/>
    <s v=""/>
    <d v="2026-08-06T19:59:53"/>
    <d v="2026-09-14T00:00:00"/>
    <d v="2026-09-20T01:00:00"/>
    <d v="2026-09-19T22:07:15"/>
    <m/>
    <s v="COSCO SHIPPING PISCES 033W"/>
    <s v="COSCO"/>
    <s v="TPVB20260730005"/>
    <x v="508"/>
    <s v="COSU9508457230"/>
    <n v="44.088449074079108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21:14:29"/>
    <d v="2026-09-21T00:00:00"/>
    <d v="2026-10-21T22:00:00"/>
    <s v=""/>
    <m/>
    <s v="COSCO SHIPPING SCORPIO 035W换EVER GOLDEN 033W"/>
    <s v="COSCO"/>
    <s v="TPVB20260730007"/>
    <x v="509"/>
    <s v="COSU9508475300"/>
    <n v="61.031608796292858"/>
    <m/>
    <d v="2026-10-21T22:00:00"/>
    <s v="In Transit-Approved"/>
    <d v="2026-10-26T00:00:00"/>
    <n v="8"/>
    <d v="2026-10-29T22:00:00"/>
    <n v="2026"/>
    <n v="10"/>
    <n v="44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10-02T06:00:00"/>
    <d v="2026-10-01T00:00:00"/>
    <m/>
    <s v="EVER GOODS 035W"/>
    <s v="COSCO"/>
    <s v="TPVB20260730008"/>
    <x v="510"/>
    <s v="COSU6508263600"/>
    <n v="66"/>
    <m/>
    <d v="2026-10-01T00:00:00"/>
    <s v="In Transit-Approved"/>
    <d v="2026-09-28T00:00:00"/>
    <n v="8"/>
    <d v="2026-10-09T00:00:00"/>
    <n v="2026"/>
    <n v="10"/>
    <n v="41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七月3日"/>
    <d v="2026-07-29T00:00:00"/>
    <n v="31"/>
    <s v="POPV260806050"/>
    <m/>
    <s v="NINGBO"/>
    <x v="3"/>
    <x v="2"/>
    <d v="2026-07-24T00:00:00"/>
    <d v="2026-08-03T13:30:00"/>
    <d v="2026-08-03T00:00:00"/>
    <d v="2026-09-03T00:00:00"/>
    <d v="2026-09-15T13:00:00"/>
    <d v="2026-09-15T13:00:00"/>
    <m/>
    <s v="CSCL URANUS 109W"/>
    <s v="COSCO"/>
    <s v="TPVB20260730011"/>
    <x v="511"/>
    <s v="COSU9508539600"/>
    <n v="43.541666666664241"/>
    <m/>
    <d v="2026-09-15T13:00:00"/>
    <s v="In Transit-Approved"/>
    <d v="2026-09-29T00:00:00"/>
    <n v="9"/>
    <d v="2026-09-24T13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COMPLETED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5T01:00:00"/>
    <d v="2026-09-25T02:06:26"/>
    <m/>
    <s v="COSCO SHIPPING VIRGO 036W"/>
    <s v="COSCO"/>
    <s v="TPVB20260730009"/>
    <x v="512"/>
    <s v="COSU6507918470"/>
    <n v="61.087800925924967"/>
    <m/>
    <d v="2026-09-25T02:06:26"/>
    <s v="In Transit-Approved"/>
    <d v="2027-10-08T00:00:00"/>
    <n v="7"/>
    <d v="2026-10-02T02:06:26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COMPLETED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23:00:00"/>
    <d v="2026-09-14T00:00:00"/>
    <m/>
    <s v="COSCO SHIPPING VIRGO 036W"/>
    <s v="COSCO"/>
    <s v="TPVB20260730010"/>
    <x v="513"/>
    <s v="COSU9508471420"/>
    <n v="50"/>
    <m/>
    <d v="2026-09-14T00:00:00"/>
    <s v="In Transit-Approved"/>
    <d v="2026-09-28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COMPLETED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23:00:00"/>
    <d v="2026-09-14T00:00:00"/>
    <m/>
    <s v="COSCO SHIPPING VIRGO 036W"/>
    <s v="COSCO"/>
    <s v="TPVB20260730010"/>
    <x v="513"/>
    <s v="COSU9508471420"/>
    <n v="50"/>
    <m/>
    <d v="2026-09-14T00:00:00"/>
    <s v="In Transit-Approved"/>
    <d v="2026-09-28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COMPLETED"/>
    <s v="W31"/>
    <d v="2026-07-31T00:00:00"/>
    <n v="31"/>
    <s v="POPV260806031"/>
    <m/>
    <s v="SHANGHAI / QUZHOU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3"/>
    <x v="514"/>
    <s v="COSU6508644310"/>
    <n v="47.275081018517085"/>
    <m/>
    <d v="2026-09-21T06:36:07"/>
    <s v="In Transit-Approved"/>
    <d v="2026-09-23T00:00:00"/>
    <n v="7"/>
    <d v="2026-09-28T06:36:07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COMPLETED"/>
    <m/>
    <d v="2026-07-31T00:00:00"/>
    <n v="31"/>
    <s v="POPV260806022"/>
    <m/>
    <s v="SHANGHAI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4"/>
    <x v="515"/>
    <s v="COSU6508646060"/>
    <n v="47.275081018517085"/>
    <m/>
    <d v="2026-09-21T06:36:07"/>
    <s v="In Transit-Approved"/>
    <d v="2026-09-23T00:00:00"/>
    <n v="7"/>
    <d v="2026-09-28T06:36:07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COMPLETED"/>
    <m/>
    <d v="2026-07-31T00:00:00"/>
    <n v="31"/>
    <s v="POPV260806019"/>
    <m/>
    <s v="SHANGHAI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4"/>
    <x v="515"/>
    <s v="COSU6508646060"/>
    <n v="47.275081018517085"/>
    <m/>
    <d v="2026-09-21T06:36:07"/>
    <s v="In Transit-Approved"/>
    <d v="2026-09-23T00:00:00"/>
    <n v="7"/>
    <d v="2026-09-28T06:36:07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COMPLETED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COMPLETED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18T00:00:00"/>
    <n v="7"/>
    <d v="2026-09-27T00:00:00"/>
    <n v="2026"/>
    <n v="9"/>
    <n v="39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COMPLETED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18T00:00:00"/>
    <n v="7"/>
    <d v="2026-09-27T00:00:00"/>
    <n v="2026"/>
    <n v="9"/>
    <n v="39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COMPLETED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COMPLETED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2T00:00:00"/>
    <n v="0"/>
    <d v="2026-09-20T00:00:00"/>
    <n v="2026"/>
    <n v="9"/>
    <n v="38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COMPLETED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1T00:00:00"/>
    <n v="0"/>
    <d v="2026-09-20T00:00:00"/>
    <n v="2026"/>
    <n v="9"/>
    <n v="38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COMPLETED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2T00:00:00"/>
    <n v="0"/>
    <d v="2026-09-20T00:00:00"/>
    <n v="2026"/>
    <n v="9"/>
    <n v="38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COMPLETED"/>
    <s v="BW JUN"/>
    <d v="2026-08-03T00:00:00"/>
    <n v="32"/>
    <s v="POPV260806030"/>
    <m/>
    <s v="SHANGHAI"/>
    <x v="1"/>
    <x v="1"/>
    <d v="2026-08-05T00:00:00"/>
    <d v="2026-08-07T00:00:00"/>
    <d v="2026-08-06T05:31:46"/>
    <d v="2026-09-09T00:00:00"/>
    <d v="2026-09-14T23:00:00"/>
    <d v="2026-09-14T23:00:00"/>
    <m/>
    <s v="COSCO SHIPPING VIRGO 036W"/>
    <s v="COSCO"/>
    <s v="TPVB20260731027"/>
    <x v="518"/>
    <s v="COSU6508616170"/>
    <n v="39.727939814816636"/>
    <m/>
    <d v="2026-09-14T23:00:00"/>
    <s v="In Stock-Approved"/>
    <d v="2026-09-15T00:00:00"/>
    <n v="0"/>
    <d v="2026-09-14T23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8T00:00:00"/>
    <n v="31"/>
    <s v="POPV260730008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6"/>
    <x v="519"/>
    <s v="COSU6508644840"/>
    <n v="39.705000000001746"/>
    <s v="Y"/>
    <d v="2026-09-14T22:26:58"/>
    <s v="In Stock-Approved"/>
    <d v="2026-09-09T00:00:00"/>
    <n v="0"/>
    <d v="2026-09-14T22:26:58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8T00:00:00"/>
    <n v="31"/>
    <s v="POPV260806042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7"/>
    <x v="520"/>
    <s v="COSU6508644840"/>
    <n v="39.705000000001746"/>
    <m/>
    <d v="2026-09-14T22:26:58"/>
    <s v="In Transit-Approved"/>
    <d v="2026-09-28T00:00:00"/>
    <n v="7"/>
    <d v="2026-09-21T22:26:58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COMPLETED"/>
    <s v="七月13日"/>
    <d v="2026-07-27T00:00:00"/>
    <n v="31"/>
    <s v="POPV260806040"/>
    <m/>
    <s v="SHANGHAI"/>
    <x v="1"/>
    <x v="1"/>
    <d v="2026-08-03T00:00:00"/>
    <d v="2026-08-06T21:00:00"/>
    <d v="2026-08-06T20:59:55"/>
    <d v="2026-09-09T00:00:00"/>
    <d v="2026-09-18T21:00:00"/>
    <d v="2026-09-18T21:54:11"/>
    <m/>
    <s v="EVER ARM 1412-016W"/>
    <s v="COSCO"/>
    <s v="TPVB20260731018"/>
    <x v="521"/>
    <s v="COSU6508515860"/>
    <n v="43.037685185183364"/>
    <m/>
    <d v="2026-09-18T21:54:11"/>
    <s v="In Transit-Approved"/>
    <d v="2026-10-01T00:00:00"/>
    <n v="7"/>
    <d v="2026-09-25T21:54:11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COMPLETED"/>
    <m/>
    <d v="2026-07-27T00:00:00"/>
    <n v="31"/>
    <s v="POPV260806021"/>
    <m/>
    <s v="SHANGHAI"/>
    <x v="1"/>
    <x v="1"/>
    <d v="2026-08-03T00:00:00"/>
    <d v="2026-08-06T21:00:00"/>
    <d v="2026-08-06T20:59:55"/>
    <d v="2026-09-09T00:00:00"/>
    <d v="2026-09-18T21:00:00"/>
    <d v="2026-09-18T21:54:11"/>
    <m/>
    <s v="EVER ARM 1412-016W"/>
    <s v="COSCO"/>
    <s v="TPVB20260731018"/>
    <x v="521"/>
    <s v="COSU6508515860"/>
    <n v="43.037685185183364"/>
    <m/>
    <d v="2026-09-18T21:54:11"/>
    <s v="In Transit-Approved"/>
    <d v="2026-10-01T00:00:00"/>
    <n v="7"/>
    <d v="2026-09-25T21:54:11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IN-TRANSIT"/>
    <m/>
    <d v="2026-08-18T00:00:00"/>
    <n v="34"/>
    <s v="POPV260821040"/>
    <s v="POPV260821040"/>
    <s v="SHANGHAI"/>
    <x v="1"/>
    <x v="4"/>
    <d v="2026-08-14T00:00:00"/>
    <d v="2026-08-29T00:00:00"/>
    <d v="2026-08-29T11:36:00"/>
    <d v="2026-09-30T00:00:00"/>
    <d v="2026-10-21T12:00:00"/>
    <s v=""/>
    <m/>
    <s v="EVER GOLDEN 0765-033W"/>
    <s v="COSCO"/>
    <s v="TPVB20260731019"/>
    <x v="522"/>
    <s v="COSU6509178440"/>
    <n v="53.016666666670062"/>
    <m/>
    <d v="2026-10-21T12:00:00"/>
    <s v="In Transit-Approved"/>
    <d v="2026-10-26T00:00:00"/>
    <n v="10"/>
    <d v="2026-10-31T12:00:00"/>
    <n v="2026"/>
    <n v="10"/>
    <n v="44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IN-TRANSIT"/>
    <s v="七月10日"/>
    <d v="2026-08-18T00:00:00"/>
    <n v="34"/>
    <s v="POPV260821053"/>
    <s v="POPV260821053"/>
    <s v="SHANGHAI"/>
    <x v="1"/>
    <x v="0"/>
    <d v="2026-08-14T00:00:00"/>
    <d v="2026-08-29T00:00:00"/>
    <d v="2026-08-29T11:36:00"/>
    <d v="2026-10-05T00:00:00"/>
    <d v="2026-10-25T06:00:00"/>
    <s v=""/>
    <m/>
    <s v="EVER GOLDEN 0765-033W"/>
    <s v="COSCO"/>
    <s v="TPVB20260731020"/>
    <x v="523"/>
    <s v="COSU6509176590"/>
    <n v="56.766666666670062"/>
    <m/>
    <d v="2026-10-25T06:00:00"/>
    <s v="In Transit-Approved"/>
    <d v="2026-10-27T00:00:00"/>
    <n v="8"/>
    <d v="2026-11-02T06:00:00"/>
    <n v="2026"/>
    <n v="11"/>
    <n v="45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IN-TRANSIT"/>
    <s v="七月10日"/>
    <d v="2026-08-18T00:00:00"/>
    <n v="34"/>
    <s v="POPV260821037"/>
    <s v="POPV260821037"/>
    <s v="SHANGHAI"/>
    <x v="1"/>
    <x v="0"/>
    <d v="2026-08-14T00:00:00"/>
    <d v="2026-08-29T00:00:00"/>
    <d v="2026-08-29T11:36:00"/>
    <d v="2026-10-05T00:00:00"/>
    <d v="2026-10-25T06:00:00"/>
    <s v=""/>
    <m/>
    <s v="EVER GOLDEN 0765-033W"/>
    <s v="COSCO"/>
    <s v="TPVB20260731020"/>
    <x v="523"/>
    <s v="COSU6509176590"/>
    <n v="56.766666666670062"/>
    <m/>
    <d v="2026-10-25T06:00:00"/>
    <s v="In Transit-Approved"/>
    <d v="2026-10-27T00:00:00"/>
    <n v="8"/>
    <d v="2026-11-02T06:00:00"/>
    <n v="2026"/>
    <n v="11"/>
    <n v="45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IN-TRANSIT"/>
    <m/>
    <d v="2026-08-18T00:00:00"/>
    <n v="34"/>
    <s v="POPV260821047"/>
    <s v="POPV260821047"/>
    <s v="SHANGHAI"/>
    <x v="1"/>
    <x v="0"/>
    <d v="2026-08-14T00:00:00"/>
    <d v="2026-08-29T00:00:00"/>
    <d v="2026-08-29T11:36:00"/>
    <d v="2026-10-05T00:00:00"/>
    <d v="2026-10-25T06:00:00"/>
    <s v=""/>
    <m/>
    <s v="EVER GOLDEN 0765-033W"/>
    <s v="COSCO"/>
    <s v="TPVB20260731020"/>
    <x v="523"/>
    <s v="COSU6509176590"/>
    <n v="56.766666666670062"/>
    <m/>
    <d v="2026-10-25T06:00:00"/>
    <s v="In Transit-Approved"/>
    <d v="2026-10-27T00:00:00"/>
    <n v="8"/>
    <d v="2026-11-02T06:00:00"/>
    <n v="2026"/>
    <n v="11"/>
    <n v="45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COMPLETED"/>
    <m/>
    <d v="2026-07-27T00:00:00"/>
    <n v="31"/>
    <s v="POPV260806046"/>
    <m/>
    <s v="SHANGHAI"/>
    <x v="1"/>
    <x v="0"/>
    <d v="2026-08-04T00:00:00"/>
    <d v="2026-08-07T18:30:00"/>
    <d v="2026-08-07T19:29:37"/>
    <d v="2026-09-16T00:00:00"/>
    <d v="2026-09-18T10:00:00"/>
    <d v="2026-09-18T10:29:37"/>
    <m/>
    <s v="CMA CGM GEORG FORSTER 0MEOFW1MA"/>
    <s v="COSCO"/>
    <s v="TPVB20260731021"/>
    <x v="524"/>
    <s v="COSU6508944020"/>
    <n v="41.625"/>
    <m/>
    <d v="2026-09-18T10:29:37"/>
    <s v="In Transit-Approved"/>
    <d v="2026-09-24T00:00:00"/>
    <n v="8"/>
    <d v="2026-09-26T10:29:37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d v="2026-08-07T18:30:00"/>
    <d v="2026-08-07T19:29:37"/>
    <d v="2026-09-17T00:00:00"/>
    <d v="2026-10-11T00:00:00"/>
    <s v=""/>
    <m/>
    <s v="COSCO NETHERLANDS 077W"/>
    <s v="COSCO"/>
    <s v="TPVB20260731022"/>
    <x v="525"/>
    <s v="COSU6508516880"/>
    <n v="64.187766203700448"/>
    <m/>
    <d v="2026-10-11T00:00:00"/>
    <s v="In Transit-Approved"/>
    <d v="2026-10-08T00:00:00"/>
    <n v="9"/>
    <d v="2026-10-20T00:00:00"/>
    <n v="2026"/>
    <n v="10"/>
    <n v="43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COMPLETED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8T00:00:00"/>
    <d v="2026-09-28T00:00:00"/>
    <m/>
    <s v="ONE INFINITY/010W"/>
    <s v="OTHER"/>
    <s v="TPVB20260731026"/>
    <x v="526"/>
    <s v="N237106207"/>
    <n v="44"/>
    <m/>
    <d v="2026-09-28T00:00:00"/>
    <s v="In Transit-Approved"/>
    <d v="2026-09-25T00:00:00"/>
    <n v="7"/>
    <d v="2026-10-05T00:00:00"/>
    <n v="2026"/>
    <n v="10"/>
    <n v="41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COMPLETED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8T00:00:00"/>
    <d v="2026-09-28T00:00:00"/>
    <m/>
    <s v="ONE INFINITY/010W"/>
    <s v="OTHER"/>
    <s v="TPVB20260731026"/>
    <x v="526"/>
    <s v="N237106207"/>
    <n v="44"/>
    <m/>
    <d v="2026-09-28T00:00:00"/>
    <s v="In Transit-Approved"/>
    <d v="2026-09-25T00:00:00"/>
    <n v="7"/>
    <d v="2026-10-05T00:00:00"/>
    <n v="2026"/>
    <n v="10"/>
    <n v="41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COMPLETED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8T00:00:00"/>
    <d v="2026-09-28T00:00:00"/>
    <m/>
    <s v="ONE INFINITY/010W"/>
    <s v="OTHER"/>
    <s v="TPVB20260731026"/>
    <x v="526"/>
    <s v="N237106207"/>
    <n v="44"/>
    <m/>
    <d v="2026-09-28T00:00:00"/>
    <s v="In Transit-Approved"/>
    <d v="2026-09-25T00:00:00"/>
    <n v="7"/>
    <d v="2026-10-05T00:00:00"/>
    <n v="2026"/>
    <n v="10"/>
    <n v="41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COMPLETED"/>
    <s v="W31"/>
    <d v="2026-07-30T00:00:00"/>
    <n v="31"/>
    <s v="POPV260806024"/>
    <m/>
    <s v="NINGBO"/>
    <x v="3"/>
    <x v="1"/>
    <d v="2026-08-04T00:00:00"/>
    <d v="2026-08-12T09:00:00"/>
    <d v="2026-08-12T10:09:33"/>
    <d v="2026-09-09T00:00:00"/>
    <d v="2026-09-14T23:00:00"/>
    <d v="2026-09-14T23:00:00"/>
    <m/>
    <s v="COSCO SHIPPING VIRGO 036W"/>
    <s v="COSCO"/>
    <s v="TPVB20260731002"/>
    <x v="527"/>
    <s v="COSU9508541790"/>
    <n v="33.535034722226555"/>
    <m/>
    <d v="2026-09-14T23:00:00"/>
    <s v="In Transit-Approved"/>
    <d v="2026-09-28T00:00:00"/>
    <n v="7"/>
    <d v="2026-09-21T23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COMPLETED"/>
    <m/>
    <d v="2026-07-31T00:00:00"/>
    <n v="31"/>
    <s v="POPV260806032"/>
    <m/>
    <s v="NINGBO"/>
    <x v="3"/>
    <x v="0"/>
    <d v="2026-08-04T00:00:00"/>
    <d v="2026-08-05T18:00:00"/>
    <d v="2026-08-05T00:00:00"/>
    <d v="2026-09-16T00:00:00"/>
    <d v="2026-09-18T10:00:00"/>
    <d v="2026-09-18T10:29:37"/>
    <m/>
    <s v="CMA CGM GEORG FORSTER "/>
    <s v="COSCO"/>
    <s v="TPVB20260731023"/>
    <x v="528"/>
    <s v="COSU6509574920"/>
    <n v="44.437233796299552"/>
    <m/>
    <d v="2026-09-18T10:29:37"/>
    <s v="In Transit-Approved"/>
    <d v="2026-09-30T00:00:00"/>
    <n v="8"/>
    <d v="2026-09-26T10:29:37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COMPLETED"/>
    <s v="七月3日"/>
    <d v="2026-08-04T00:00:00"/>
    <n v="32"/>
    <s v="POPV260807043"/>
    <m/>
    <s v="NINGBO"/>
    <x v="3"/>
    <x v="2"/>
    <d v="2026-08-11T00:00:00"/>
    <d v="2026-08-07T13:00:00"/>
    <d v="2026-08-07T13:22:26"/>
    <d v="2026-09-17T00:00:00"/>
    <d v="2026-09-19T00:00:00"/>
    <d v="2026-09-19T01:15:56"/>
    <m/>
    <s v="COSCO NETHERLANDS 077W"/>
    <s v="COSCO"/>
    <s v="TPVB20260731001"/>
    <x v="529"/>
    <s v="COSU9508762540"/>
    <n v="42.495486111110949"/>
    <m/>
    <d v="2026-09-19T01:15:56"/>
    <s v="In Transit-Approved"/>
    <d v="2026-10-01T00:00:00"/>
    <n v="9"/>
    <d v="2026-09-28T01:15:56"/>
    <n v="2026"/>
    <n v="9"/>
    <n v="40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COMPLETED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d v="2026-09-17T00:00:00"/>
    <m/>
    <s v="CMA CGM PETRA/0K13NW"/>
    <s v="OTHER"/>
    <s v="TPVB20260731010"/>
    <x v="530"/>
    <s v="CN107433226"/>
    <n v="36"/>
    <m/>
    <d v="2026-09-17T00:00:00"/>
    <s v="In Stock-Approved"/>
    <d v="2026-09-14T00:00:00"/>
    <n v="0"/>
    <d v="2026-09-17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m/>
    <m/>
    <s v="MSC LONDON V.GT631W"/>
    <s v="OTHER"/>
    <s v="TPVB20260731004"/>
    <x v="531"/>
    <s v="M235130273"/>
    <n v="89"/>
    <m/>
    <d v="2026-11-06T00:00:00"/>
    <s v="In Stock-Approved"/>
    <d v="2026-10-12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d v="2026-10-22T00:00:00"/>
    <m/>
    <s v="CIF"/>
    <s v="MSC LORETO / QS632A"/>
    <s v="OTHER"/>
    <s v="TPVB20260731003"/>
    <x v="532"/>
    <s v="177KVBXYXVNN3251"/>
    <n v="77"/>
    <m/>
    <d v="2026-10-22T00:00:00"/>
    <s v="In Stock-Approved"/>
    <d v="2026-09-29T00:00:00"/>
    <n v="0"/>
    <d v="2026-10-22T00:00:00"/>
    <n v="2026"/>
    <n v="10"/>
    <n v="43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COMPLETED"/>
    <s v="W29+W30 slot"/>
    <d v="2026-07-28T00:00:00"/>
    <n v="31"/>
    <s v="POPV260806026"/>
    <m/>
    <s v="TIANJIN"/>
    <x v="0"/>
    <x v="6"/>
    <d v="2026-08-02T00:00:00"/>
    <m/>
    <d v="2026-08-02T04:05:37"/>
    <d v="2026-09-20T00:00:00"/>
    <d v="2026-10-04T07:00:00"/>
    <d v="2026-10-04T00:00:00"/>
    <s v="CIF"/>
    <s v="COSCO SHIPPING GALAXY 030W"/>
    <s v="COSCO"/>
    <s v="TPVB20260731006"/>
    <x v="533"/>
    <s v="COSU6508495770"/>
    <n v="62.82943287037051"/>
    <m/>
    <d v="2026-10-04T00:00:00"/>
    <s v="In Transit-Approved"/>
    <d v="2026-10-13T00:00:00"/>
    <n v="7"/>
    <d v="2026-10-11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COMPLETED"/>
    <m/>
    <d v="2026-07-28T00:00:00"/>
    <n v="31"/>
    <s v="POPV260806023"/>
    <m/>
    <s v="TIANJIN"/>
    <x v="0"/>
    <x v="6"/>
    <d v="2026-08-03T00:00:00"/>
    <d v="2026-08-02T03:30:00"/>
    <d v="2026-08-02T04:05:37"/>
    <d v="2026-09-27T00:00:00"/>
    <d v="2026-10-04T07:00:00"/>
    <d v="2026-10-04T00:00:00"/>
    <s v="CIF"/>
    <s v="COSCO SHIPPING GALAXY 030W"/>
    <s v="COSCO"/>
    <s v="TPVB20260731007"/>
    <x v="534"/>
    <s v="COSU6508664430"/>
    <n v="62.82943287037051"/>
    <m/>
    <d v="2026-10-04T00:00:00"/>
    <s v="In Transit-Approved"/>
    <d v="2026-10-13T00:00:00"/>
    <n v="7"/>
    <d v="2026-10-11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10-11T00:00:00"/>
    <m/>
    <s v="CIF"/>
    <s v="ONE INFINITY 010W"/>
    <s v="OTHER"/>
    <s v="TPVB20260731005"/>
    <x v="296"/>
    <s v="TS6NC4254400"/>
    <n v="64"/>
    <m/>
    <d v="2026-10-11T00:00:00"/>
    <s v="In Transit-Approved"/>
    <d v="2026-09-28T00:00:00"/>
    <n v="7"/>
    <d v="2026-10-18T00:00:00"/>
    <n v="2026"/>
    <n v="10"/>
    <n v="42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10-11T00:00:00"/>
    <m/>
    <s v="CIF"/>
    <s v="ONE INFINITY 010W"/>
    <s v="OTHER"/>
    <s v="TPVB20260731005"/>
    <x v="296"/>
    <s v="TS6NC4254400"/>
    <n v="64"/>
    <m/>
    <d v="2026-10-11T00:00:00"/>
    <s v="In Transit-Approved"/>
    <d v="2026-09-28T00:00:00"/>
    <n v="7"/>
    <d v="2026-10-18T00:00:00"/>
    <n v="2026"/>
    <n v="10"/>
    <n v="42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COMPLETED"/>
    <s v="六月11日"/>
    <d v="2026-07-26T00:00:00"/>
    <n v="30"/>
    <s v="POPV260806025"/>
    <m/>
    <s v="TIANJIN"/>
    <x v="0"/>
    <x v="1"/>
    <d v="2026-08-01T00:00:00"/>
    <d v="2026-08-02T00:00:00"/>
    <d v="2026-08-02T04:05:37"/>
    <d v="2026-09-16T00:00:00"/>
    <d v="2026-09-19T21:00:00"/>
    <d v="2026-09-20T03:14:20"/>
    <s v="CIF"/>
    <s v="COSCO SHIPPING GALAXY 030W"/>
    <s v="COSCO"/>
    <s v="TPVB20260730015"/>
    <x v="535"/>
    <s v="COSU9508614640"/>
    <n v="48.96438657407270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COMPLETED"/>
    <m/>
    <d v="2026-07-26T00:00:00"/>
    <n v="30"/>
    <s v="POPV260806047"/>
    <m/>
    <s v="TIANJIN"/>
    <x v="0"/>
    <x v="1"/>
    <d v="2026-08-01T00:00:00"/>
    <d v="2026-08-02T00:00:00"/>
    <d v="2026-08-02T04:05:37"/>
    <d v="2026-09-16T00:00:00"/>
    <d v="2026-09-19T21:00:00"/>
    <d v="2026-09-20T03:14:20"/>
    <s v="CIF"/>
    <s v="COSCO SHIPPING GALAXY 030W"/>
    <s v="COSCO"/>
    <s v="TPVB20260730015"/>
    <x v="535"/>
    <s v="COSU9508614640"/>
    <n v="48.964386574072705"/>
    <m/>
    <d v="2026-09-20T03:14:20"/>
    <s v="In Transit-Approved"/>
    <d v="2026-10-05T00:00:00"/>
    <n v="7"/>
    <d v="2026-09-27T03:14:2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4:05:37"/>
    <d v="2026-10-15T00:00:00"/>
    <d v="2026-10-25T06:00:00"/>
    <s v=""/>
    <s v="CIF"/>
    <s v="COSCO SHIPPING GALAXY 030W"/>
    <s v="COSCO"/>
    <s v="TPVB20260730016"/>
    <x v="536"/>
    <s v="COSU9508583080"/>
    <n v="84.07943287037051"/>
    <m/>
    <d v="2026-10-25T06:00:00"/>
    <s v="In Transit-Approved"/>
    <d v="2026-10-29T00:00:00"/>
    <n v="8"/>
    <d v="2026-11-02T06:00:00"/>
    <n v="2026"/>
    <n v="11"/>
    <n v="45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COMPLETED"/>
    <m/>
    <d v="2026-07-26T00:00:00"/>
    <n v="30"/>
    <s v="POPV260806043"/>
    <m/>
    <s v="TIANJIN"/>
    <x v="0"/>
    <x v="0"/>
    <d v="2026-08-01T00:00:00"/>
    <d v="2026-08-02T00:00:00"/>
    <d v="2026-08-02T04:05:37"/>
    <d v="2026-09-30T00:00:00"/>
    <d v="2026-10-02T06:00:00"/>
    <d v="2026-10-01T00:00:00"/>
    <s v="CIF"/>
    <s v="COSCO SHIPPING GALAXY 030W"/>
    <s v="COSCO"/>
    <s v="TPVB20260730017"/>
    <x v="537"/>
    <s v="COSU9508583110"/>
    <n v="59.82943287037051"/>
    <m/>
    <d v="2026-10-01T00:00:00"/>
    <s v="In Transit-Approved"/>
    <d v="2026-10-14T00:00:00"/>
    <n v="8"/>
    <d v="2026-10-09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4:05:37"/>
    <d v="2026-09-27T00:00:00"/>
    <d v="2026-11-01T18:00:00"/>
    <s v=""/>
    <s v="CIF"/>
    <s v="COSCO SHIPPING GALAXY 030W"/>
    <s v="COSCO"/>
    <s v="TPVB20260730018"/>
    <x v="538"/>
    <s v="COSU6508687400"/>
    <n v="91.57943287037051"/>
    <m/>
    <d v="2026-11-01T18:00:00"/>
    <s v="In Transit-Approved"/>
    <d v="2026-10-19T00:00:00"/>
    <n v="10"/>
    <d v="2026-11-11T18:00:00"/>
    <n v="2026"/>
    <n v="11"/>
    <n v="46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4:05:37"/>
    <d v="2026-10-04T00:00:00"/>
    <d v="2026-10-13T18:00:00"/>
    <s v=""/>
    <s v="CIF"/>
    <s v="COSCO SHIPPING GALAXY 030W"/>
    <s v="COSCO"/>
    <s v="TPVB20260730019"/>
    <x v="539"/>
    <s v="COSU9508582980"/>
    <n v="72.57943287037051"/>
    <m/>
    <d v="2026-10-13T18:00:00"/>
    <s v="In Transit-Approved"/>
    <d v="2026-10-20T00:00:00"/>
    <n v="10"/>
    <d v="2026-10-23T18:00:00"/>
    <n v="2026"/>
    <n v="10"/>
    <n v="43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m/>
    <m/>
    <s v="YM WILLPOWER 002W"/>
    <s v="OTHER"/>
    <s v="TPVB20260731015"/>
    <x v="540"/>
    <s v="177TLHLHS204857"/>
    <n v="64"/>
    <m/>
    <d v="2026-10-20T00:00:00"/>
    <s v="In Stock-Approved"/>
    <d v="2026-10-20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COMPLETED"/>
    <m/>
    <d v="2026-08-11T00:00:00"/>
    <n v="33"/>
    <s v="POPV260814021"/>
    <m/>
    <s v="SHANGHAI / QUZHOU"/>
    <x v="1"/>
    <x v="9"/>
    <d v="2026-08-15T00:00:00"/>
    <m/>
    <d v="2026-08-17T03:03:50"/>
    <d v="2026-09-30T00:00:00"/>
    <d v="2026-10-06T06:00:00"/>
    <d v="2026-10-06T00:00:00"/>
    <m/>
    <s v="OOCL GERMANY 039W"/>
    <s v="COSCO"/>
    <s v="TPVB20260832020"/>
    <x v="541"/>
    <s v="COSU6509534810"/>
    <n v="49.872337962966412"/>
    <m/>
    <d v="2026-10-06T00:00:00"/>
    <s v="In Stock-Approved"/>
    <d v="2026-10-01T00:00:00"/>
    <n v="0"/>
    <d v="2026-10-06T00:00:00"/>
    <n v="2026"/>
    <n v="10"/>
    <n v="41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COMPLETED"/>
    <s v="ready"/>
    <d v="2026-08-09T00:00:00"/>
    <n v="32"/>
    <s v="POPV260814052"/>
    <m/>
    <s v="SHANGHAI/Quzhou"/>
    <x v="1"/>
    <x v="6"/>
    <d v="2026-08-15T00:00:00"/>
    <m/>
    <d v="2026-08-17T03:03:50"/>
    <d v="2026-09-20T00:00:00"/>
    <d v="2026-09-25T01:00:00"/>
    <d v="2026-09-25T02:06:26"/>
    <m/>
    <s v="OOCL GERMANY 039W"/>
    <s v="COSCO"/>
    <s v="TPVB20260832021"/>
    <x v="542"/>
    <s v="COSU6462068440"/>
    <n v="38.960138888891379"/>
    <m/>
    <d v="2026-09-25T02:06:26"/>
    <s v="In Transit-Approved"/>
    <d v="2026-10-08T00:00:00"/>
    <n v="7"/>
    <d v="2026-10-02T02:06:26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COMPLETED"/>
    <s v="七月10日"/>
    <d v="2026-08-05T00:00:00"/>
    <n v="32"/>
    <s v="POPV260807033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22"/>
    <x v="543"/>
    <s v="COSU6462001750"/>
    <n v="37.13495370370219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m/>
    <d v="2026-08-04T00:00:00"/>
    <n v="32"/>
    <s v="POPV260807018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COMPLETED"/>
    <m/>
    <d v="2026-08-04T00:00:00"/>
    <n v="32"/>
    <s v="POPV260807036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COMPLETED"/>
    <s v="old stock"/>
    <d v="2026-08-04T00:00:00"/>
    <n v="32"/>
    <s v="POPV260807027"/>
    <m/>
    <s v="Yixing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2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COMPLETED"/>
    <s v="old stock"/>
    <d v="2026-08-04T00:00:00"/>
    <n v="32"/>
    <s v="POPV260807028"/>
    <m/>
    <s v="Yixing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09-23T00:00:00"/>
    <n v="7"/>
    <d v="2026-09-27T03:14:2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COMPLETED"/>
    <m/>
    <d v="2026-08-04T00:00:00"/>
    <n v="32"/>
    <s v="POPV260807019"/>
    <m/>
    <s v="SHANGHAI"/>
    <x v="1"/>
    <x v="1"/>
    <d v="2026-08-14T00:00:00"/>
    <m/>
    <d v="2026-08-14T00:00:00"/>
    <d v="2026-09-26T00:00:00"/>
    <d v="2026-09-19T21:00:00"/>
    <d v="2026-09-20T03:14:20"/>
    <m/>
    <s v="COSCO EXCELLENCE 077W"/>
    <s v="COSCO"/>
    <s v="TPVB20260832015"/>
    <x v="545"/>
    <s v="COSU6509605690"/>
    <n v="37.134953703702195"/>
    <m/>
    <d v="2026-09-20T03:14:20"/>
    <s v="In Transit-Approved"/>
    <d v="2026-10-05T00:00:00"/>
    <n v="7"/>
    <d v="2026-09-27T03:14:2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COMPLETED"/>
    <s v="七月10日"/>
    <d v="2026-08-04T00:00:00"/>
    <n v="32"/>
    <s v="POPV260807031"/>
    <m/>
    <s v="SHANGHAI"/>
    <x v="1"/>
    <x v="1"/>
    <d v="2026-08-14T00:00:00"/>
    <m/>
    <d v="2026-08-14T00:00:00"/>
    <d v="2026-09-26T00:00:00"/>
    <d v="2026-09-19T21:00:00"/>
    <d v="2026-09-20T03:14:20"/>
    <m/>
    <s v="COSCO EXCELLENCE 077W"/>
    <s v="COSCO"/>
    <s v="TPVB20260832015"/>
    <x v="545"/>
    <s v="COSU6509605690"/>
    <n v="37.13495370370219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COMPLETED"/>
    <s v="七月10日"/>
    <d v="2026-08-03T00:00:00"/>
    <n v="32"/>
    <s v="POPV260807029"/>
    <m/>
    <s v="SHANGHAI"/>
    <x v="1"/>
    <x v="1"/>
    <d v="2026-08-10T00:00:00"/>
    <m/>
    <d v="2026-08-15T18:06:13"/>
    <d v="2026-09-16T00:00:00"/>
    <d v="2026-10-04T18:00:00"/>
    <d v="2026-10-05T00:00:00"/>
    <m/>
    <s v="EVER ALOT 1413-015W"/>
    <s v="COSCO"/>
    <s v="TPVB20260832016"/>
    <x v="546"/>
    <s v="COSU6509601100"/>
    <n v="50.245682870372548"/>
    <m/>
    <d v="2026-10-05T00:00:00"/>
    <s v="In Transit-Approved"/>
    <d v="2026-09-23T00:00:00"/>
    <n v="7"/>
    <d v="2026-10-12T00:00:00"/>
    <n v="2026"/>
    <n v="10"/>
    <n v="42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COMPLETED"/>
    <m/>
    <d v="2026-08-03T00:00:00"/>
    <n v="32"/>
    <s v="POPV260807020"/>
    <m/>
    <s v="SHANGHAI"/>
    <x v="1"/>
    <x v="1"/>
    <d v="2026-08-10T00:00:00"/>
    <m/>
    <d v="2026-08-15T18:06:13"/>
    <d v="2026-09-16T00:00:00"/>
    <d v="2026-10-04T18:00:00"/>
    <d v="2026-10-05T00:00:00"/>
    <m/>
    <s v="EVER ALOT 1413-015W"/>
    <s v="COSCO"/>
    <s v="TPVB20260832016"/>
    <x v="546"/>
    <s v="COSU6509601100"/>
    <n v="50.245682870372548"/>
    <m/>
    <d v="2026-10-05T00:00:00"/>
    <s v="In Transit-Approved"/>
    <d v="2026-10-14T00:00:00"/>
    <n v="7"/>
    <d v="2026-10-12T00:00:00"/>
    <n v="2026"/>
    <n v="10"/>
    <n v="42"/>
    <n v="36"/>
    <n v="792"/>
    <s v="Black glazing"/>
    <s v="AEU"/>
  </r>
  <r>
    <s v="26May012.07.01"/>
    <s v="Yixing"/>
    <s v="26May012"/>
    <s v="CORE DG"/>
    <x v="1"/>
    <s v="SPTN Offstore in Transit WH"/>
    <s v="CIF"/>
    <x v="10"/>
    <s v="U2"/>
    <x v="173"/>
    <s v="DE0126080400009"/>
    <n v="24"/>
    <s v="Yes"/>
    <d v="2026-05-25T00:00:00"/>
    <x v="0"/>
    <x v="75"/>
    <s v="HSM-ND66-GR630"/>
    <s v="H4(Com)"/>
    <s v="+400mm/-200mm"/>
    <n v="630"/>
    <n v="2160"/>
    <n v="1.3608"/>
    <n v="60"/>
    <n v="3"/>
    <x v="14"/>
    <s v="COMPLETED"/>
    <s v="BW JUN"/>
    <d v="2026-08-04T00:00:00"/>
    <n v="32"/>
    <s v="POPV260903007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-1"/>
    <x v="547"/>
    <s v="EGLV149606435972"/>
    <n v="47"/>
    <m/>
    <d v="2026-09-22T00:00:00"/>
    <s v="In Stock-Approved"/>
    <d v="2026-09-11T00:00:00"/>
    <n v="0"/>
    <d v="2026-09-22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4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COMPLETED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"/>
    <x v="548"/>
    <s v="EGLV149606435972"/>
    <n v="47"/>
    <m/>
    <d v="2026-09-22T00:00:00"/>
    <s v="In Transit-Approved"/>
    <d v="2026-09-30T00:00:00"/>
    <n v="7"/>
    <d v="2026-09-29T00:00:00"/>
    <n v="2026"/>
    <n v="9"/>
    <n v="40"/>
    <n v="36"/>
    <n v="720"/>
    <s v="Transparent"/>
    <s v="AEU"/>
  </r>
  <r>
    <s v="26May012.18"/>
    <s v="Yixing"/>
    <s v="26May012"/>
    <s v="CORE DG"/>
    <x v="1"/>
    <s v="SPTN Offstore in Transit WH"/>
    <s v="CIF"/>
    <x v="10"/>
    <s v="U2"/>
    <x v="173"/>
    <s v="DE0126080400009"/>
    <n v="25"/>
    <s v="Yes"/>
    <d v="2026-05-25T00:00:00"/>
    <x v="0"/>
    <x v="75"/>
    <s v="HSM-ND66-GR630"/>
    <s v="H4(Com)"/>
    <s v="+400mm/-200mm"/>
    <n v="630"/>
    <n v="2160"/>
    <n v="1.3608"/>
    <n v="60"/>
    <n v="3"/>
    <x v="14"/>
    <s v="COMPLETED"/>
    <s v="BW JUN"/>
    <d v="2026-08-04T00:00:00"/>
    <n v="32"/>
    <s v="_x000a_POPV260903008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-1"/>
    <x v="547"/>
    <s v="EGLV149606435972"/>
    <n v="47"/>
    <m/>
    <d v="2026-09-22T00:00:00"/>
    <s v="-"/>
    <s v=""/>
    <n v="0"/>
    <d v="2026-09-22T00:00:00"/>
    <n v="2026"/>
    <n v="9"/>
    <n v="39"/>
    <n v="36"/>
    <n v="720"/>
    <s v="Transparent"/>
    <s v="AEU"/>
  </r>
  <r>
    <s v="26May012.18.01"/>
    <s v="Yixing"/>
    <s v="26May012"/>
    <s v="CORE DG"/>
    <x v="1"/>
    <s v="SPTN Offstore in Transit WH"/>
    <s v="CIF"/>
    <x v="10"/>
    <s v="U2"/>
    <x v="173"/>
    <s v="DE0126080400009"/>
    <n v="26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_x000a_POPV260903009"/>
    <m/>
    <s v="SHANGHAI"/>
    <x v="1"/>
    <x v="1"/>
    <d v="2026-08-03T00:00:00"/>
    <d v="2026-08-06T00:00:00"/>
    <d v="2026-08-21T00:00:00"/>
    <d v="2026-09-09T00:00:00"/>
    <d v="2026-10-10T00:00:00"/>
    <m/>
    <m/>
    <s v="COSCO SHIPPING HIMALAYAS 048W"/>
    <s v="OTHER"/>
    <s v="TPVB20260731028"/>
    <x v="549"/>
    <s v="EGLV149607068982"/>
    <n v="50"/>
    <m/>
    <d v="2026-10-10T00:00:00"/>
    <s v="-"/>
    <s v=""/>
    <n v="0"/>
    <d v="2026-10-10T00:00:00"/>
    <n v="2026"/>
    <n v="10"/>
    <n v="41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COMPLETED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4"/>
    <x v="550"/>
    <s v="EGLV149606435972"/>
    <n v="47"/>
    <m/>
    <d v="2026-09-22T00:00:00"/>
    <s v="In Stock-Approved"/>
    <d v="2026-09-09T00:00:00"/>
    <n v="0"/>
    <d v="2026-09-22T00:00:00"/>
    <n v="2026"/>
    <n v="9"/>
    <n v="39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COMPLETED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4"/>
    <x v="550"/>
    <s v="EGLV149606435972"/>
    <n v="47"/>
    <m/>
    <d v="2026-09-22T00:00:00"/>
    <s v="In Stock-Approved"/>
    <d v="2026-09-09T00:00:00"/>
    <n v="0"/>
    <d v="2026-09-22T00:00:00"/>
    <n v="2026"/>
    <n v="9"/>
    <n v="39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COMPLETED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d v="2026-10-04T06:00:00"/>
    <d v="2026-10-05T00:00:00"/>
    <m/>
    <s v="EVER ALOT 1413-015W"/>
    <s v="OTHER"/>
    <s v="TPVB20260832007"/>
    <x v="551"/>
    <s v="EGLV149606436090"/>
    <n v="51"/>
    <m/>
    <d v="2026-10-05T00:00:00"/>
    <s v="In Transit-Approved"/>
    <d v="2026-10-14T00:00:00"/>
    <n v="7"/>
    <d v="2026-10-12T00:00:00"/>
    <n v="2026"/>
    <n v="10"/>
    <n v="42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COMPLETED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d v="2026-10-04T06:00:00"/>
    <d v="2026-10-05T00:00:00"/>
    <m/>
    <s v="EVER ALOT 1413-015W"/>
    <s v="OTHER"/>
    <s v="TPVB20260832007"/>
    <x v="551"/>
    <s v="EGLV149606436090"/>
    <n v="51"/>
    <m/>
    <d v="2026-10-05T00:00:00"/>
    <s v="In Transit-Approved"/>
    <d v="2026-10-14T00:00:00"/>
    <n v="7"/>
    <d v="2026-10-12T00:00:00"/>
    <n v="2026"/>
    <n v="10"/>
    <n v="42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COMPLETED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d v="2026-10-04T06:00:00"/>
    <d v="2026-10-05T00:00:00"/>
    <m/>
    <s v="EVER ALOT 1413-015W"/>
    <s v="OTHER"/>
    <s v="TPVB20260832007"/>
    <x v="551"/>
    <s v="EGLV149606436090"/>
    <n v="51"/>
    <m/>
    <d v="2026-10-05T00:00:00"/>
    <s v="In Transit-Approved"/>
    <d v="2026-10-14T00:00:00"/>
    <n v="7"/>
    <d v="2026-10-12T00:00:00"/>
    <n v="2026"/>
    <n v="10"/>
    <n v="42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COMPLETED"/>
    <m/>
    <d v="2026-08-12T00:00:00"/>
    <n v="33"/>
    <s v="POPV260814017"/>
    <m/>
    <s v="SHANGHAI"/>
    <x v="1"/>
    <x v="0"/>
    <d v="2026-08-12T00:00:00"/>
    <m/>
    <d v="2026-08-19T23:28:51"/>
    <d v="2026-09-23T00:00:00"/>
    <d v="2026-09-25T06:00:00"/>
    <d v="2026-09-25T05:35:14"/>
    <m/>
    <s v="CMA CGM OSIRIS 0MEOHW1MA"/>
    <s v="COSCO"/>
    <s v="TPVB20260832017"/>
    <x v="552"/>
    <s v="COSU6509607500"/>
    <n v="36.254432870373421"/>
    <m/>
    <d v="2026-09-25T05:35:14"/>
    <s v="In Transit-Approved"/>
    <d v="2026-10-07T00:00:00"/>
    <n v="8"/>
    <d v="2026-10-03T05:35:14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COMPLETED"/>
    <s v="W31"/>
    <d v="2026-08-12T00:00:00"/>
    <n v="33"/>
    <s v="POPV260814051"/>
    <m/>
    <s v="SHANGHAI"/>
    <x v="1"/>
    <x v="2"/>
    <d v="2026-08-12T00:00:00"/>
    <m/>
    <d v="2026-08-19T23:28:51"/>
    <d v="2026-09-17T00:00:00"/>
    <d v="2026-09-19T08:00:00"/>
    <d v="2026-09-19T09:58:40"/>
    <m/>
    <s v="CMA CGM OSIRIS 0MEOHW1MA"/>
    <s v="COSCO"/>
    <s v="TPVB20260832018"/>
    <x v="553"/>
    <s v="COSU6509607090"/>
    <n v="30.437372685184528"/>
    <m/>
    <d v="2026-09-19T09:58:40"/>
    <s v="In Stock-Approved"/>
    <d v="2026-09-17T00:00:00"/>
    <n v="0"/>
    <d v="2026-09-19T09:58:4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s v="ready，from genova to naples"/>
    <d v="2026-08-03T00:00:00"/>
    <n v="32"/>
    <s v="POPV260807021"/>
    <m/>
    <s v="SHANGHAI"/>
    <x v="1"/>
    <x v="14"/>
    <d v="2026-08-11T00:00:00"/>
    <d v="2026-08-07T18:30:00"/>
    <d v="2026-08-07T19:29:37"/>
    <d v="2026-10-09T00:00:00"/>
    <d v="2026-10-05T18:00:00"/>
    <d v="2026-10-04T00:00:00"/>
    <m/>
    <s v="TITAN 044W"/>
    <s v="COSCO"/>
    <s v="TPVB20260832019"/>
    <x v="554"/>
    <s v="COSU6509607950"/>
    <n v="57.187766203700448"/>
    <m/>
    <d v="2026-10-04T00:00:00"/>
    <s v="In Transit-Approved"/>
    <d v="2026-10-05T00:00:00"/>
    <n v="10"/>
    <d v="2026-10-14T00:00:00"/>
    <n v="2026"/>
    <n v="10"/>
    <n v="42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COMPLETED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d v="2026-10-01T18:00:00"/>
    <d v="2026-10-01T00:00:00"/>
    <m/>
    <s v="MOSCOW MAERSK  632W"/>
    <s v="OTHER"/>
    <s v="TPVB20260832001"/>
    <x v="555"/>
    <n v="274946111"/>
    <n v="39"/>
    <m/>
    <d v="2026-10-01T00:00:00"/>
    <s v="In Transit-Approved"/>
    <d v="2026-10-14T00:00:00"/>
    <n v="8"/>
    <d v="2026-10-09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COMPLETED"/>
    <m/>
    <d v="2026-08-14T00:00:00"/>
    <n v="33"/>
    <s v="POPV260821028"/>
    <m/>
    <s v="SHANGHAI"/>
    <x v="1"/>
    <x v="0"/>
    <d v="2026-08-15T00:00:00"/>
    <d v="2026-08-18T00:00:00"/>
    <d v="2026-08-23T00:00:00"/>
    <d v="2026-09-30T00:00:00"/>
    <d v="2026-10-01T18:00:00"/>
    <d v="2026-10-01T00:00:00"/>
    <m/>
    <s v="MOSCOW MAERSK  632W"/>
    <s v="OTHER"/>
    <s v="TPVB20260832001"/>
    <x v="555"/>
    <n v="274946111"/>
    <n v="39"/>
    <m/>
    <d v="2026-10-01T00:00:00"/>
    <s v="In Transit-Approved"/>
    <d v="2026-10-14T00:00:00"/>
    <n v="8"/>
    <d v="2026-10-09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COMPLETED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d v="2026-10-01T18:00:00"/>
    <d v="2026-10-01T00:00:00"/>
    <m/>
    <s v="MOSCOW MAERSK 632W"/>
    <s v="OTHER"/>
    <s v="TPVB20260832002"/>
    <x v="556"/>
    <n v="274945948"/>
    <n v="39"/>
    <m/>
    <d v="2026-10-01T00:00:00"/>
    <s v="In Transit-Approved"/>
    <d v="2026-10-14T00:00:00"/>
    <n v="8"/>
    <d v="2026-10-09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4:00:00"/>
    <d v="2026-08-09T04:37:17"/>
    <d v="2026-10-19T00:00:00"/>
    <d v="2026-11-10T19:00:00"/>
    <s v=""/>
    <m/>
    <s v="COSCO SHIPPING LIBRA 036W"/>
    <s v="COSCO"/>
    <s v="TPVB20260832008"/>
    <x v="557"/>
    <s v="COSU9508771470"/>
    <n v="93.599108796290238"/>
    <m/>
    <d v="2026-11-10T19:00:00"/>
    <s v="In Transit-Approved"/>
    <d v="2026-11-16T00:00:00"/>
    <n v="8"/>
    <d v="2026-11-18T19:00:00"/>
    <n v="2026"/>
    <n v="11"/>
    <n v="47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4:00:00"/>
    <d v="2026-08-09T04:37:17"/>
    <d v="2026-10-11T00:00:00"/>
    <d v="2026-11-08T18:00:00"/>
    <s v=""/>
    <m/>
    <s v="COSCO SHIPPING LIBRA 036W"/>
    <s v="COSCO"/>
    <s v="TPVB20260832009"/>
    <x v="558"/>
    <s v="COSU9508769100"/>
    <n v="91.557442129625997"/>
    <m/>
    <d v="2026-11-08T18:00:00"/>
    <s v="In Transit-Approved"/>
    <d v="2026-10-26T00:00:00"/>
    <n v="10"/>
    <d v="2026-11-18T18:00:00"/>
    <n v="2026"/>
    <n v="11"/>
    <n v="47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4:00:00"/>
    <d v="2026-08-09T04:37:17"/>
    <d v="2026-10-11T00:00:00"/>
    <m/>
    <s v=""/>
    <m/>
    <s v="COSCO SHIPPING LIBRA 036W"/>
    <s v="COSCO"/>
    <s v="TPVB20260832010"/>
    <x v="559"/>
    <s v="COSU9508771330"/>
    <n v="62.807442129625997"/>
    <m/>
    <d v="2026-10-11T00:00:00"/>
    <s v="In Transit-Approved"/>
    <d v="2026-11-05T00:00:00"/>
    <n v="10"/>
    <d v="2026-10-21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COMPLETED"/>
    <m/>
    <d v="2026-08-04T00:00:00"/>
    <n v="32"/>
    <s v="POPV260807040"/>
    <m/>
    <s v="TIANJIN"/>
    <x v="0"/>
    <x v="1"/>
    <d v="2026-08-09T00:00:00"/>
    <d v="2026-08-09T04:00:00"/>
    <d v="2026-08-09T04:37:17"/>
    <d v="2026-09-22T00:00:00"/>
    <d v="2026-09-24T23:00:00"/>
    <d v="2026-09-25T04:19:42"/>
    <m/>
    <s v="COSCO SHIPPING LIBRA 036W"/>
    <s v="COSCO"/>
    <s v="TPVB20260832011"/>
    <x v="560"/>
    <s v="COSU9508803730"/>
    <n v="46.987789351849642"/>
    <m/>
    <d v="2026-09-25T04:19:42"/>
    <s v="In Transit-Approved"/>
    <d v="2026-10-08T00:00:00"/>
    <n v="7"/>
    <d v="2026-10-02T04:19:42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COMPLETED"/>
    <m/>
    <d v="2026-08-04T00:00:00"/>
    <n v="32"/>
    <s v="POPV260807041"/>
    <m/>
    <s v="TIANJIN"/>
    <x v="0"/>
    <x v="1"/>
    <d v="2026-08-09T00:00:00"/>
    <d v="2026-08-09T04:00:00"/>
    <d v="2026-08-09T04:37:17"/>
    <d v="2026-09-22T00:00:00"/>
    <d v="2026-09-24T23:00:00"/>
    <d v="2026-09-25T04:19:42"/>
    <m/>
    <s v="COSCO SHIPPING LIBRA 036W"/>
    <s v="COSCO"/>
    <s v="TPVB20260832012"/>
    <x v="561"/>
    <s v="COSU9508876530"/>
    <n v="46.987789351849642"/>
    <m/>
    <d v="2026-09-25T04:19:42"/>
    <s v="In Transit-Approved"/>
    <d v="2026-10-08T00:00:00"/>
    <n v="7"/>
    <d v="2026-10-02T04:19:42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COMPLETED"/>
    <s v="六月8日"/>
    <d v="2026-08-04T00:00:00"/>
    <n v="32"/>
    <s v="POPV260807035"/>
    <m/>
    <s v="TIANJIN"/>
    <x v="0"/>
    <x v="1"/>
    <d v="2026-08-09T00:00:00"/>
    <d v="2026-08-09T04:00:00"/>
    <d v="2026-08-09T04:37:17"/>
    <d v="2026-09-22T00:00:00"/>
    <d v="2026-09-24T23:00:00"/>
    <d v="2026-09-25T04:19:42"/>
    <m/>
    <s v="COSCO SHIPPING LIBRA 036W"/>
    <s v="COSCO"/>
    <s v="TPVB20260832013"/>
    <x v="562"/>
    <s v="COSU6461689400"/>
    <n v="46.987789351849642"/>
    <m/>
    <d v="2026-09-25T04:19:42"/>
    <s v="In Transit-Approved"/>
    <d v="2026-10-08T00:00:00"/>
    <n v="7"/>
    <d v="2026-10-02T04:19:42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COMPLETED"/>
    <s v="W32"/>
    <d v="2026-08-05T00:00:00"/>
    <n v="32"/>
    <s v="POPV260807026"/>
    <m/>
    <s v="NINGBO"/>
    <x v="3"/>
    <x v="6"/>
    <d v="2026-08-09T00:00:00"/>
    <d v="2026-08-12T05:00:00"/>
    <d v="2026-08-12T05:45:18"/>
    <d v="2026-09-14T00:00:00"/>
    <d v="2026-09-21T06:30:00"/>
    <d v="2026-09-21T06:36:07"/>
    <m/>
    <s v="OOCL FELIXSTOWE 011W"/>
    <s v="COSCO"/>
    <s v="TPVB20260832003"/>
    <x v="563"/>
    <s v="COSU9508762190"/>
    <n v="40.035289351850224"/>
    <m/>
    <d v="2026-09-21T06:36:07"/>
    <s v="In Transit-Approved"/>
    <d v="2026-10-05T00:00:00"/>
    <n v="7"/>
    <d v="2026-09-28T06:36:07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COMPLETED"/>
    <m/>
    <d v="2026-08-06T00:00:00"/>
    <n v="32"/>
    <s v="POPV260807023"/>
    <m/>
    <s v="NINGBO"/>
    <x v="3"/>
    <x v="1"/>
    <d v="2026-08-05T00:00:00"/>
    <m/>
    <d v="2026-08-15T20:01:35"/>
    <d v="2026-09-09T00:00:00"/>
    <d v="2026-09-18T21:00:00"/>
    <d v="2026-09-18T21:54:11"/>
    <m/>
    <s v="EVER ARM 1412W"/>
    <s v="COSCO"/>
    <s v="TPVB20260832004"/>
    <x v="564"/>
    <s v="COSU9508766060"/>
    <n v="34.078194444446126"/>
    <m/>
    <d v="2026-09-18T21:54:11"/>
    <s v="In Transit-Approved"/>
    <d v="2026-10-01T00:00:00"/>
    <n v="7"/>
    <d v="2026-09-25T21:54:11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COMPLETED"/>
    <s v="W31"/>
    <d v="2026-08-07T00:00:00"/>
    <n v="32"/>
    <s v="POPV260814042"/>
    <m/>
    <s v="NINGBO"/>
    <x v="3"/>
    <x v="1"/>
    <d v="2026-08-12T00:00:00"/>
    <m/>
    <d v="2026-08-25T08:33:41"/>
    <d v="2026-09-16T00:00:00"/>
    <d v="2026-10-04T18:00:00"/>
    <d v="2026-10-05T00:00:00"/>
    <m/>
    <s v="EVER ALOT 1413W"/>
    <s v="COSCO"/>
    <s v="TPVB20260832005"/>
    <x v="565"/>
    <s v="COSU9508766070"/>
    <n v="40.643275462964084"/>
    <m/>
    <d v="2026-10-05T00:00:00"/>
    <s v="In Transit-Approved"/>
    <d v="2026-10-14T00:00:00"/>
    <n v="7"/>
    <d v="2026-10-12T00:00:00"/>
    <n v="2026"/>
    <n v="10"/>
    <n v="42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COMPLETED"/>
    <s v="W31"/>
    <d v="2026-08-07T00:00:00"/>
    <n v="32"/>
    <s v="POPV260814041"/>
    <m/>
    <s v="NINGBO"/>
    <x v="3"/>
    <x v="1"/>
    <d v="2026-08-12T00:00:00"/>
    <m/>
    <d v="2026-08-25T08:33:41"/>
    <d v="2026-09-16T00:00:00"/>
    <d v="2026-10-04T18:00:00"/>
    <d v="2026-10-05T00:00:00"/>
    <m/>
    <s v="EVER ALOT 1413W"/>
    <s v="COSCO"/>
    <s v="TPVB20260832005"/>
    <x v="565"/>
    <s v="COSU9508766070"/>
    <n v="40.643275462964084"/>
    <m/>
    <d v="2026-10-05T00:00:00"/>
    <s v="In Transit-Approved"/>
    <d v="2026-10-14T00:00:00"/>
    <n v="7"/>
    <d v="2026-10-12T00:00:00"/>
    <n v="2026"/>
    <n v="10"/>
    <n v="42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COMPLETED"/>
    <s v="ready"/>
    <d v="2026-08-07T00:00:00"/>
    <n v="32"/>
    <s v="POPV260814053"/>
    <m/>
    <s v="NINGBO"/>
    <x v="3"/>
    <x v="1"/>
    <d v="2026-08-12T00:00:00"/>
    <m/>
    <d v="2026-08-25T08:33:41"/>
    <d v="2026-09-16T00:00:00"/>
    <d v="2026-10-04T18:00:00"/>
    <d v="2026-10-05T00:00:00"/>
    <m/>
    <s v="EVER ALOT 1413W"/>
    <s v="COSCO"/>
    <s v="TPVB20260832005"/>
    <x v="565"/>
    <s v="COSU9508766070"/>
    <n v="40.64327546296408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COMPLETED"/>
    <m/>
    <d v="2026-08-07T00:00:00"/>
    <n v="32"/>
    <s v="POPV260814039"/>
    <m/>
    <s v="NINGBO"/>
    <x v="3"/>
    <x v="0"/>
    <d v="2026-08-14T00:00:00"/>
    <m/>
    <d v="2026-08-20T00:19:33"/>
    <d v="2026-09-23T00:00:00"/>
    <d v="2026-10-02T06:00:00"/>
    <d v="2026-10-01T00:00:00"/>
    <m/>
    <s v="CMA CGM OSIRIS 0MEOHW"/>
    <s v="COSCO"/>
    <s v="TPVB20260832007"/>
    <x v="566"/>
    <s v="COSU9508804610"/>
    <n v="41.986423611109785"/>
    <m/>
    <d v="2026-10-01T00:00:00"/>
    <s v="In Transit-Approved"/>
    <d v="2026-10-14T00:00:00"/>
    <n v="8"/>
    <d v="2026-10-09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COMPLETED"/>
    <s v="Cargo damage"/>
    <d v="2026-08-14T00:00:00"/>
    <n v="33"/>
    <m/>
    <m/>
    <s v="SHANGHAI"/>
    <x v="1"/>
    <x v="1"/>
    <d v="2026-08-19T00:00:00"/>
    <d v="2026-08-20T00:00:00"/>
    <d v="2026-08-20T00:00:00"/>
    <d v="2026-09-22T00:00:00"/>
    <d v="2026-09-24T23:00:00"/>
    <d v="2026-09-25T04:19:42"/>
    <m/>
    <s v="COSCO SHIPPING LIBRA 036W"/>
    <s v="COSCO"/>
    <s v="TPVB20260833024-1"/>
    <x v="567"/>
    <s v="COSU6463190630"/>
    <n v="36.180347222223645"/>
    <m/>
    <d v="2026-09-25T04:19:42"/>
    <s v="-"/>
    <s v=""/>
    <n v="0"/>
    <d v="2026-09-25T04:19:42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COMPLETED"/>
    <s v="ready"/>
    <d v="2026-08-14T00:00:00"/>
    <n v="33"/>
    <s v="POPV260819018"/>
    <s v="POPV260819018"/>
    <s v="SHANGHAI"/>
    <x v="1"/>
    <x v="1"/>
    <d v="2026-08-19T00:00:00"/>
    <m/>
    <d v="2026-08-20T05:33:53"/>
    <d v="2026-09-22T00:00:00"/>
    <d v="2026-09-24T23:00:00"/>
    <d v="2026-09-25T04:19:42"/>
    <m/>
    <s v="COSCO SHIPPING LIBRA 036W"/>
    <s v="COSCO"/>
    <s v="TPVB20260833029"/>
    <x v="568"/>
    <s v="COSU6463190630"/>
    <n v="35.948483796295477"/>
    <s v="Y"/>
    <d v="2026-09-25T04:19:42"/>
    <s v="In Stock-Approved"/>
    <d v="2026-09-22T00:00:00"/>
    <n v="0"/>
    <d v="2026-09-25T04:19:42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COMPLETED"/>
    <s v="BW JUN"/>
    <d v="2026-08-15T00:00:00"/>
    <n v="33"/>
    <s v="POPV260821045"/>
    <s v="POPV260821045"/>
    <s v="SHANGHAI"/>
    <x v="1"/>
    <x v="1"/>
    <d v="2026-08-19T00:00:00"/>
    <m/>
    <d v="2026-08-19T04:58:10"/>
    <d v="2026-09-22T00:00:00"/>
    <d v="2026-10-03T00:00:00"/>
    <d v="2026-10-03T00:00:00"/>
    <m/>
    <s v="COSCO SHIPPING LIBRA 036W"/>
    <s v="COSCO"/>
    <s v="TPVB20260833014"/>
    <x v="569"/>
    <s v="COSU6461909030"/>
    <n v="44.792939814811689"/>
    <m/>
    <d v="2026-10-03T00:00:00"/>
    <s v="In Transit-Approved"/>
    <d v="2026-10-16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COMPLETED"/>
    <s v="ready"/>
    <d v="2026-08-15T00:00:00"/>
    <n v="33"/>
    <s v="POPV260821041"/>
    <s v="POPV260821041"/>
    <s v="SHANGHAI"/>
    <x v="1"/>
    <x v="1"/>
    <d v="2026-08-17T00:00:00"/>
    <m/>
    <d v="2026-08-20T05:33:53"/>
    <d v="2026-09-23T00:00:00"/>
    <d v="2026-09-24T23:00:00"/>
    <d v="2026-09-25T04:19:42"/>
    <m/>
    <s v="EVER GOVERN 1414-029W"/>
    <s v="COSCO"/>
    <s v="TPVB20260833015"/>
    <x v="570"/>
    <s v="COSU6461896790"/>
    <n v="35.948483796295477"/>
    <m/>
    <d v="2026-09-25T04:19:42"/>
    <s v="In Transit-Approved"/>
    <d v="2026-10-08T00:00:00"/>
    <n v="7"/>
    <d v="2026-10-02T04:19:42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s v="ready"/>
    <d v="2026-08-08T00:00:00"/>
    <n v="32"/>
    <s v="POPV260814013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COMPLETED"/>
    <s v="八月1日"/>
    <d v="2026-08-08T00:00:00"/>
    <n v="32"/>
    <s v="POPV260814050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COMPLETED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COMPLETED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_x000a_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COMPLETED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COMPLETED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_x000a_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IN-TRANSIT"/>
    <s v="BW JUN"/>
    <d v="2026-08-21T00:00:00"/>
    <n v="34"/>
    <s v="POPV260825017"/>
    <m/>
    <s v="SHANGHAI"/>
    <x v="1"/>
    <x v="1"/>
    <d v="2026-08-24T00:00:00"/>
    <d v="2026-09-02T00:00:00"/>
    <d v="2026-09-02T00:00:00"/>
    <d v="2026-09-30T00:00:00"/>
    <d v="2026-10-20T00:00:00"/>
    <m/>
    <m/>
    <s v="EVER ATOP 1415-014W"/>
    <s v="OTHER"/>
    <s v="TPVB20260834010"/>
    <x v="573"/>
    <s v="EGLV149606936262"/>
    <n v="48"/>
    <m/>
    <d v="2026-10-20T00:00:00"/>
    <s v="In Transit-Approved"/>
    <d v="2026-10-07T00:00:00"/>
    <n v="7"/>
    <d v="2026-10-27T00:00:00"/>
    <n v="2026"/>
    <n v="10"/>
    <n v="44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21T00:00:00"/>
    <n v="34"/>
    <s v="POPV260825016"/>
    <m/>
    <s v="SHANGHAI"/>
    <x v="1"/>
    <x v="1"/>
    <d v="2026-08-24T00:00:00"/>
    <d v="2026-09-02T00:00:00"/>
    <d v="2026-09-02T00:00:00"/>
    <d v="2026-09-30T00:00:00"/>
    <d v="2026-10-20T00:00:00"/>
    <m/>
    <m/>
    <s v="EVER ATOP 1415-014W"/>
    <s v="OTHER"/>
    <s v="TPVB20260834010"/>
    <x v="573"/>
    <s v="EGLV149607114339"/>
    <n v="48"/>
    <m/>
    <d v="2026-10-20T00:00:00"/>
    <s v="In Transit-Approved"/>
    <d v="2026-10-07T00:00:00"/>
    <n v="7"/>
    <d v="2026-10-27T00:00:00"/>
    <n v="2026"/>
    <n v="10"/>
    <n v="44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20"/>
    <m/>
    <s v="SHANGHAI"/>
    <x v="1"/>
    <x v="1"/>
    <d v="2026-08-24T00:00:00"/>
    <d v="2026-09-02T00:00:00"/>
    <d v="2026-09-02T00:00:00"/>
    <d v="2026-09-30T00:00:00"/>
    <d v="2026-10-20T00:00:00"/>
    <m/>
    <m/>
    <s v="EVER ATOP 1415-014W"/>
    <s v="OTHER"/>
    <s v="TPVB20260834010"/>
    <x v="573"/>
    <s v="EGLV149607114339"/>
    <n v="48"/>
    <m/>
    <d v="2026-10-20T00:00:00"/>
    <s v="In Transit-Approved"/>
    <d v="2026-10-07T00:00:00"/>
    <n v="7"/>
    <d v="2026-10-27T00:00:00"/>
    <n v="2026"/>
    <n v="10"/>
    <n v="44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COMPLETED"/>
    <s v="BW JUN"/>
    <d v="2026-08-12T00:00:00"/>
    <n v="33"/>
    <s v="POPV260824017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8"/>
    <x v="574"/>
    <s v="COSU646234909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COMPLETED"/>
    <s v="BW JUN"/>
    <d v="2026-08-12T00:00:00"/>
    <n v="33"/>
    <s v="POPV260824018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8"/>
    <x v="574"/>
    <s v="COSU6462349090"/>
    <n v="37.134953703702195"/>
    <m/>
    <d v="2026-09-20T03:14:20"/>
    <s v="In Transit-Approved"/>
    <d v="2026-09-04T00:00:00"/>
    <n v="7"/>
    <d v="2026-09-27T03:14:2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COMPLETED"/>
    <s v="BW JUN"/>
    <d v="2026-08-11T00:00:00"/>
    <n v="33"/>
    <s v="POPV260814046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9"/>
    <x v="575"/>
    <s v="COSU646235005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2.07"/>
    <s v="Yixing"/>
    <s v="26May012"/>
    <s v="CORE DG"/>
    <x v="1"/>
    <s v="SPTN Offstore in Transit WH"/>
    <s v="CIF"/>
    <x v="10"/>
    <s v="U2"/>
    <x v="173"/>
    <s v="DE0126080400009"/>
    <n v="27"/>
    <s v="Yes"/>
    <d v="2026-05-25T00:00:00"/>
    <x v="0"/>
    <x v="75"/>
    <s v="HSM-ND66-GR630"/>
    <s v="H4(Com)"/>
    <s v="+400mm/-200mm"/>
    <n v="630"/>
    <n v="4320"/>
    <n v="2.7216"/>
    <n v="120"/>
    <n v="6"/>
    <x v="14"/>
    <s v="COMPLETED"/>
    <s v="BW JUN"/>
    <d v="2026-08-11T00:00:00"/>
    <n v="33"/>
    <s v="POPV260901007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9-1"/>
    <x v="576"/>
    <s v="COSU6462350050"/>
    <n v="37.134953703702195"/>
    <m/>
    <d v="2026-09-20T03:14:20"/>
    <s v="In Stock-Approved"/>
    <d v="2026-10-05T00:00:00"/>
    <n v="0"/>
    <d v="2026-09-20T03:14:20"/>
    <n v="2026"/>
    <n v="9"/>
    <n v="38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s v="COMPLETED"/>
    <m/>
    <d v="2026-08-13T00:00:00"/>
    <n v="33"/>
    <s v="POPV260814018"/>
    <m/>
    <s v="SHANGHAI"/>
    <x v="1"/>
    <x v="0"/>
    <d v="2026-08-20T00:00:00"/>
    <m/>
    <d v="2026-08-19T23:28:51"/>
    <d v="2026-09-30T00:00:00"/>
    <d v="2026-09-25T06:00:00"/>
    <d v="2026-09-25T05:35:14"/>
    <m/>
    <s v="CMA CGM VASCO DE GAMA 0MEOJW1MA"/>
    <s v="COSCO"/>
    <s v="TPVB20260833020"/>
    <x v="577"/>
    <s v="COSU6461814320"/>
    <n v="36.254432870373421"/>
    <m/>
    <d v="2026-09-25T05:35:14"/>
    <s v="In Transit-Approved"/>
    <d v="2026-10-07T00:00:00"/>
    <n v="8"/>
    <d v="2026-10-03T05:35:14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COMPLETED"/>
    <m/>
    <d v="2026-08-13T00:00:00"/>
    <n v="33"/>
    <s v="POPV260814020"/>
    <m/>
    <s v="SHANGHAI"/>
    <x v="1"/>
    <x v="0"/>
    <d v="2026-08-20T00:00:00"/>
    <m/>
    <d v="2026-08-19T23:28:51"/>
    <d v="2026-09-30T00:00:00"/>
    <d v="2026-09-25T06:00:00"/>
    <d v="2026-09-25T05:35:14"/>
    <m/>
    <s v="CMA CGM VASCO DE GAMA 0MEOJW1MA"/>
    <s v="COSCO"/>
    <s v="TPVB20260833020"/>
    <x v="577"/>
    <s v="COSU6461814320"/>
    <n v="36.254432870373421"/>
    <m/>
    <d v="2026-09-25T05:35:14"/>
    <s v="In Transit-Approved"/>
    <d v="2026-10-07T00:00:00"/>
    <n v="8"/>
    <d v="2026-10-03T05:35:14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8-19T00:00:00"/>
    <n v="34"/>
    <s v="POPV260821020"/>
    <s v="POPV260821020"/>
    <s v="SHANGHAI"/>
    <x v="1"/>
    <x v="0"/>
    <d v="2026-08-25T00:00:00"/>
    <d v="2026-08-29T00:00:00"/>
    <d v="2026-08-29T11:36:00"/>
    <d v="2026-10-12T00:00:00"/>
    <d v="2026-10-25T06:00:00"/>
    <s v=""/>
    <m/>
    <s v="OOCL HONG KONG 040W"/>
    <s v="COSCO"/>
    <s v="TPVB20260833021"/>
    <x v="578"/>
    <s v="COSU6461816750"/>
    <n v="56.766666666670062"/>
    <m/>
    <d v="2026-10-25T06:00:00"/>
    <s v="In Transit-Approved"/>
    <d v="2026-10-21T00:00:00"/>
    <n v="8"/>
    <d v="2026-11-02T06:00:00"/>
    <n v="2026"/>
    <n v="11"/>
    <n v="45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IN-TRANSIT"/>
    <m/>
    <d v="2026-08-19T00:00:00"/>
    <n v="34"/>
    <s v="POPV260821038"/>
    <s v="POPV260821038"/>
    <s v="SHANGHAI"/>
    <x v="1"/>
    <x v="0"/>
    <d v="2026-08-25T00:00:00"/>
    <d v="2026-08-29T00:00:00"/>
    <d v="2026-08-29T11:36:00"/>
    <d v="2026-10-12T00:00:00"/>
    <d v="2026-10-25T06:00:00"/>
    <s v=""/>
    <m/>
    <s v="OOCL HONG KONG 040W"/>
    <s v="COSCO"/>
    <s v="TPVB20260833021"/>
    <x v="578"/>
    <s v="COSU6461816750"/>
    <n v="56.766666666670062"/>
    <m/>
    <d v="2026-10-25T06:00:00"/>
    <s v="In Transit-Approved"/>
    <d v="2026-10-21T00:00:00"/>
    <n v="8"/>
    <d v="2026-11-02T06:00:00"/>
    <n v="2026"/>
    <n v="11"/>
    <n v="45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IN-TRANSIT"/>
    <s v="六月23日"/>
    <d v="2026-08-23T00:00:00"/>
    <n v="34"/>
    <s v="POPV260825013"/>
    <m/>
    <s v="SHANGHAI / QUZHOU"/>
    <x v="1"/>
    <x v="0"/>
    <d v="2026-08-19T00:00:00"/>
    <d v="2026-09-02T00:00:00"/>
    <d v="2026-09-02T00:00:00"/>
    <d v="2026-10-14T00:00:00"/>
    <m/>
    <m/>
    <m/>
    <s v="ANGELICA MAERSK 632W"/>
    <s v="OTHER"/>
    <s v="TPVB20260833002"/>
    <x v="579"/>
    <n v="275125721"/>
    <n v="42"/>
    <m/>
    <d v="2026-10-14T00:00:00"/>
    <s v="In Transit-Approved"/>
    <d v="2026-10-15T00:00:00"/>
    <n v="8"/>
    <d v="2026-10-22T00:00:00"/>
    <n v="2026"/>
    <n v="10"/>
    <n v="43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IN-TRANSIT"/>
    <m/>
    <d v="2026-08-23T00:00:00"/>
    <n v="34"/>
    <s v="POPV260825014"/>
    <m/>
    <s v="SHANGHAI / QUZHOU"/>
    <x v="1"/>
    <x v="0"/>
    <d v="2026-08-19T00:00:00"/>
    <d v="2026-09-02T00:00:00"/>
    <d v="2026-09-02T00:00:00"/>
    <d v="2026-10-14T00:00:00"/>
    <m/>
    <m/>
    <m/>
    <s v="ANGELICA MAERSK 632W"/>
    <s v="OTHER"/>
    <s v="TPVB20260833002"/>
    <x v="579"/>
    <n v="275125721"/>
    <n v="42"/>
    <m/>
    <d v="2026-10-14T00:00:00"/>
    <s v="In Transit-Approved"/>
    <d v="2026-10-15T00:00:00"/>
    <n v="8"/>
    <d v="2026-10-22T00:00:00"/>
    <n v="2026"/>
    <n v="10"/>
    <n v="43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IN-TRANSIT"/>
    <m/>
    <d v="2026-08-23T00:00:00"/>
    <n v="34"/>
    <s v="POPV260825025"/>
    <m/>
    <s v="SHANGHAI"/>
    <x v="1"/>
    <x v="0"/>
    <d v="2026-08-19T00:00:00"/>
    <d v="2026-09-02T00:00:00"/>
    <d v="2026-09-02T00:00:00"/>
    <d v="2026-10-14T00:00:00"/>
    <m/>
    <m/>
    <m/>
    <s v="ANGELICA MAERSK 632W"/>
    <s v="OTHER"/>
    <s v="TPVB20260833003"/>
    <x v="580"/>
    <n v="274886721"/>
    <n v="42"/>
    <m/>
    <d v="2026-10-14T00:00:00"/>
    <s v="In Transit-Approved"/>
    <d v="2026-10-15T00:00:00"/>
    <n v="8"/>
    <d v="2026-10-22T00:00:00"/>
    <n v="2026"/>
    <n v="10"/>
    <n v="43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IN-TRANSIT"/>
    <m/>
    <d v="2026-08-25T00:00:00"/>
    <n v="35"/>
    <s v="POPV260828030"/>
    <m/>
    <s v="SHANGHAI"/>
    <x v="1"/>
    <x v="0"/>
    <d v="2026-08-22T00:00:00"/>
    <d v="2026-08-31T00:00:00"/>
    <d v="2026-08-31T00:00:00"/>
    <d v="2026-10-08T00:00:00"/>
    <m/>
    <m/>
    <m/>
    <s v="MERETE MAERSK 633W"/>
    <s v="OTHER"/>
    <s v="TPVB20260833001"/>
    <x v="581"/>
    <n v="275075026"/>
    <n v="38"/>
    <m/>
    <d v="2026-10-08T00:00:00"/>
    <s v="In Transit-Approved"/>
    <d v="2026-10-15T00:00:00"/>
    <n v="8"/>
    <d v="2026-10-16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IN-TRANSIT"/>
    <m/>
    <d v="2026-08-25T00:00:00"/>
    <n v="35"/>
    <s v="POPV260828025"/>
    <m/>
    <s v="SHANGHAI"/>
    <x v="1"/>
    <x v="0"/>
    <d v="2026-08-22T00:00:00"/>
    <d v="2026-08-31T00:00:00"/>
    <d v="2026-08-31T00:00:00"/>
    <d v="2026-10-08T00:00:00"/>
    <m/>
    <m/>
    <m/>
    <s v="MERETE MAERSK 633W"/>
    <s v="OTHER"/>
    <s v="TPVB20260833001"/>
    <x v="581"/>
    <n v="275075026"/>
    <n v="38"/>
    <m/>
    <d v="2026-10-08T00:00:00"/>
    <s v="In Transit-Approved"/>
    <d v="2026-10-15T00:00:00"/>
    <n v="8"/>
    <d v="2026-10-16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7"/>
    <s v="POPV260821027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5T00:00:00"/>
    <n v="9"/>
    <d v="2026-11-05T20:00:00"/>
    <n v="2026"/>
    <n v="11"/>
    <n v="45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5"/>
    <s v="POPV260821025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5T00:00:00"/>
    <n v="9"/>
    <d v="2026-11-05T20:00:00"/>
    <n v="2026"/>
    <n v="11"/>
    <n v="45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IN-TRANSIT"/>
    <s v="七月3日"/>
    <d v="2026-08-19T00:00:00"/>
    <n v="34"/>
    <s v="POPV260821026"/>
    <s v="POPV260821026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5T00:00:00"/>
    <n v="9"/>
    <d v="2026-11-05T20:00:00"/>
    <n v="2026"/>
    <n v="11"/>
    <n v="45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"/>
    <d v="2026-08-19T00:00:00"/>
    <n v="34"/>
    <s v="POPV260821036"/>
    <s v="POPV260821036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6T00:00:00"/>
    <n v="9"/>
    <d v="2026-11-05T20:00:00"/>
    <n v="2026"/>
    <n v="11"/>
    <n v="45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19:00:00"/>
    <d v="2026-08-17T12:50:07"/>
    <d v="2026-10-16T00:00:00"/>
    <d v="2026-10-13T18:00:00"/>
    <s v=""/>
    <m/>
    <s v="CSCL MERCURY 100W"/>
    <s v="COSCO"/>
    <s v="TPVB20260833023"/>
    <x v="583"/>
    <s v="COSU6461905820"/>
    <n v="57.215196759258106"/>
    <m/>
    <d v="2026-10-13T18:00:00"/>
    <s v="In Transit-Approved"/>
    <d v="2026-10-20T00:00:00"/>
    <n v="10"/>
    <d v="2026-10-23T18:00:00"/>
    <n v="2026"/>
    <n v="10"/>
    <n v="43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19:00:00"/>
    <d v="2026-08-17T12:50:07"/>
    <d v="2026-10-16T00:00:00"/>
    <d v="2026-10-13T18:00:00"/>
    <s v=""/>
    <m/>
    <s v="CSCL MERCURY 100W"/>
    <s v="COSCO"/>
    <s v="TPVB20260833023"/>
    <x v="583"/>
    <s v="COSU6461905820"/>
    <n v="57.215196759258106"/>
    <m/>
    <d v="2026-10-13T18:00:00"/>
    <s v="In Transit-Approved"/>
    <d v="2026-10-20T00:00:00"/>
    <n v="10"/>
    <d v="2026-10-23T18:00:00"/>
    <n v="2026"/>
    <n v="10"/>
    <n v="43"/>
    <n v="36"/>
    <n v="792"/>
    <s v="Black glazing"/>
    <s v="AEM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COMPLETED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8"/>
    <x v="584"/>
    <s v="ONEYSH6ACAA723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COMPLETED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8"/>
    <x v="584"/>
    <s v="ONEYSH6ACAA723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COMPLETED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8"/>
    <x v="584"/>
    <s v="ONEYSH6ACAA723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COMPLETED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9"/>
    <x v="585"/>
    <s v="ONEYSH6ACAA719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COMPLETED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9"/>
    <x v="585"/>
    <s v="ONEYSH6ACAA719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COMPLETED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d v="2026-10-04T00:00:00"/>
    <d v="2026-10-05T00:00:00"/>
    <m/>
    <s v="ONE INNOVATION 011W"/>
    <s v="OTHER"/>
    <s v="TPVB20260833009"/>
    <x v="585"/>
    <s v="ONEYSH6ACAA71900"/>
    <n v="44"/>
    <m/>
    <d v="2026-10-05T00:00:00"/>
    <s v="In Transit-Approved"/>
    <d v="2026-10-14T00:00:00"/>
    <n v="7"/>
    <d v="2026-10-12T00:00:00"/>
    <n v="2026"/>
    <n v="10"/>
    <n v="42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s v=""/>
    <d v="2026-08-21T21:14:29"/>
    <d v="2026-10-05T00:00:00"/>
    <d v="2026-10-21T22:00:00"/>
    <s v=""/>
    <m/>
    <s v="EVER GOLDEN 033W"/>
    <s v="COSCO"/>
    <s v="TPVB20260833007"/>
    <x v="586"/>
    <s v="COSU9508902260"/>
    <n v="61.031608796292858"/>
    <m/>
    <d v="2026-10-21T22:00:00"/>
    <s v="In Transit-Approved"/>
    <d v="2026-10-19T00:00:00"/>
    <n v="8"/>
    <d v="2026-10-29T22:00:00"/>
    <n v="2026"/>
    <n v="10"/>
    <n v="44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7:00:00"/>
    <d v="2026-08-23T03:44:41"/>
    <d v="2026-10-08T00:00:00"/>
    <d v="2026-10-13T18:00:00"/>
    <s v=""/>
    <m/>
    <s v="TITAN 044W"/>
    <s v="COSCO"/>
    <s v="TPVB20260833005"/>
    <x v="587"/>
    <s v="COSU9508904380"/>
    <n v="51.593969907407882"/>
    <m/>
    <d v="2026-10-13T18:00:00"/>
    <s v="In Transit-Approved"/>
    <d v="2026-10-15T00:00:00"/>
    <n v="10"/>
    <d v="2026-10-23T18:00:00"/>
    <n v="2026"/>
    <n v="10"/>
    <n v="43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COMPLETED"/>
    <s v="ready"/>
    <d v="2026-08-07T00:00:00"/>
    <n v="32"/>
    <s v="POPV260814054"/>
    <m/>
    <s v="NINGBO"/>
    <x v="3"/>
    <x v="1"/>
    <d v="2026-08-14T00:00:00"/>
    <d v="2026-08-18T00:00:00"/>
    <d v="2026-08-23T20:21:16"/>
    <d v="2026-09-16T00:00:00"/>
    <d v="2026-09-24T23:00:00"/>
    <d v="2026-09-25T04:19:42"/>
    <m/>
    <s v="COSCO SHIPPING GALAXY 030W转 COSCO SHIPPING LIBRA 036W"/>
    <s v="COSCO"/>
    <s v="TPVB20260833006"/>
    <x v="588"/>
    <s v="COSU9508762590"/>
    <n v="32.33224537037313"/>
    <m/>
    <d v="2026-09-25T04:19:42"/>
    <s v="In Transit-Approved"/>
    <d v="2026-10-08T00:00:00"/>
    <n v="7"/>
    <d v="2026-10-02T04:19:42"/>
    <n v="2026"/>
    <n v="10"/>
    <n v="40"/>
    <n v="36"/>
    <n v="936"/>
    <s v="Black glazing"/>
    <s v="AEU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d v="2026-08-23T00:00:00"/>
    <d v="2026-08-23T00:00:00"/>
    <d v="2026-10-19T00:00:00"/>
    <m/>
    <m/>
    <m/>
    <s v="ZHONG GU JI NAN ( 0BYPQS1MA)"/>
    <s v="OTHER"/>
    <s v="TPVB20260833013"/>
    <x v="296"/>
    <s v="TJN0504226"/>
    <n v="57"/>
    <m/>
    <d v="2026-10-19T00:00:00"/>
    <s v="In Transit-Approved"/>
    <d v="2026-10-26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m/>
    <m/>
    <m/>
    <s v="MSC GULSUN VQS633A"/>
    <s v="OTHER"/>
    <s v="TPVB20260833010"/>
    <x v="296"/>
    <s v="177KVBTTXVNN3314"/>
    <n v="55"/>
    <m/>
    <d v="2026-10-12T00:00:00"/>
    <s v="In Transit-Approved"/>
    <d v="2026-10-16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d v="2026-08-15T00:00:00"/>
    <d v="2026-08-15T00:00:00"/>
    <d v="2026-10-14T00:00:00"/>
    <m/>
    <m/>
    <m/>
    <s v="MSC GENOVA GT632W"/>
    <s v="OTHER"/>
    <s v="TPVB20260833011"/>
    <x v="296"/>
    <s v="TSNE38532300"/>
    <n v="60"/>
    <m/>
    <d v="2026-10-14T00:00:00"/>
    <s v="In Transit-Approved"/>
    <d v="2026-10-10T00:00:00"/>
    <n v="7"/>
    <d v="2026-10-21T00:00:00"/>
    <n v="2026"/>
    <n v="10"/>
    <n v="43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d v="2026-08-15T00:00:00"/>
    <d v="2026-08-15T00:00:00"/>
    <d v="2026-10-14T00:00:00"/>
    <m/>
    <m/>
    <m/>
    <s v="MSC GENOVA GT632W"/>
    <s v="OTHER"/>
    <s v="TPVB20260833011"/>
    <x v="296"/>
    <s v="TSNE38532300"/>
    <n v="60"/>
    <m/>
    <d v="2026-10-14T00:00:00"/>
    <s v="In Transit-Approved"/>
    <d v="2026-10-10T00:00:00"/>
    <n v="7"/>
    <d v="2026-10-21T00:00:00"/>
    <n v="2026"/>
    <n v="10"/>
    <n v="43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d v="2026-08-15T00:00:00"/>
    <d v="2026-08-15T00:00:00"/>
    <d v="2026-10-14T00:00:00"/>
    <m/>
    <m/>
    <m/>
    <s v="MSC GENOVA GT632W"/>
    <s v="OTHER"/>
    <s v="TPVB20260833011"/>
    <x v="296"/>
    <s v="TSNE38532300"/>
    <n v="60"/>
    <m/>
    <d v="2026-10-14T00:00:00"/>
    <s v="In Transit-Approved"/>
    <d v="2026-10-10T00:00:00"/>
    <n v="7"/>
    <d v="2026-10-21T00:00:00"/>
    <n v="2026"/>
    <n v="10"/>
    <n v="43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d v="2026-08-15T00:00:00"/>
    <d v="2026-08-15T00:00:00"/>
    <d v="2026-10-14T00:00:00"/>
    <m/>
    <m/>
    <m/>
    <s v="MSC GENOVA GT632W"/>
    <s v="OTHER"/>
    <s v="TPVB20260833011"/>
    <x v="296"/>
    <s v="TSNE38532300"/>
    <n v="60"/>
    <m/>
    <d v="2026-10-14T00:00:00"/>
    <s v="In Transit-Approved"/>
    <d v="2026-10-10T00:00:00"/>
    <n v="7"/>
    <d v="2026-10-21T00:00:00"/>
    <n v="2026"/>
    <n v="10"/>
    <n v="43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d v="2026-08-15T00:00:00"/>
    <d v="2026-08-15T00:00:00"/>
    <d v="2026-10-10T00:00:00"/>
    <d v="2026-10-19T00:00:00"/>
    <m/>
    <m/>
    <s v="ONE EAGLE 039E"/>
    <s v="OTHER"/>
    <s v="TPVB20260833012"/>
    <x v="589"/>
    <s v="TS6NDD803500"/>
    <n v="65"/>
    <m/>
    <d v="2026-10-19T00:00:00"/>
    <s v="In Transit-Approved"/>
    <d v="2026-10-17T00:00:00"/>
    <n v="7"/>
    <d v="2026-10-26T00:00:00"/>
    <n v="2026"/>
    <n v="10"/>
    <n v="44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d v="2026-08-15T00:00:00"/>
    <d v="2026-08-15T00:00:00"/>
    <d v="2026-10-10T00:00:00"/>
    <d v="2026-10-19T00:00:00"/>
    <m/>
    <m/>
    <s v="ONE EAGLE 039E"/>
    <s v="OTHER"/>
    <s v="TPVB20260833012"/>
    <x v="589"/>
    <s v="TS6NDD803500"/>
    <n v="65"/>
    <m/>
    <d v="2026-10-19T00:00:00"/>
    <s v="In Transit-Approved"/>
    <d v="2026-10-17T00:00:00"/>
    <n v="7"/>
    <d v="2026-10-26T00:00:00"/>
    <n v="2026"/>
    <n v="10"/>
    <n v="44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d v="2026-08-15T00:00:00"/>
    <d v="2026-08-15T00:00:00"/>
    <d v="2026-10-10T00:00:00"/>
    <d v="2026-10-19T00:00:00"/>
    <m/>
    <m/>
    <s v="ONE EAGLE 039E"/>
    <s v="OTHER"/>
    <s v="TPVB20260833012"/>
    <x v="589"/>
    <s v="TS6NDD803500"/>
    <n v="65"/>
    <m/>
    <d v="2026-10-19T00:00:00"/>
    <s v="In Transit-Approved"/>
    <d v="2026-10-17T00:00:00"/>
    <n v="7"/>
    <d v="2026-10-26T00:00:00"/>
    <n v="2026"/>
    <n v="10"/>
    <n v="44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d v="2026-08-15T00:00:00"/>
    <d v="2026-08-15T00:00:00"/>
    <d v="2026-10-10T00:00:00"/>
    <d v="2026-10-19T00:00:00"/>
    <m/>
    <m/>
    <s v="ONE EAGLE 039E"/>
    <s v="OTHER"/>
    <s v="TPVB20260833012"/>
    <x v="589"/>
    <s v="TS6NDD803500"/>
    <n v="65"/>
    <m/>
    <d v="2026-10-19T00:00:00"/>
    <s v="In Transit-Approved"/>
    <d v="2026-10-17T00:00:00"/>
    <n v="7"/>
    <d v="2026-10-26T00:00:00"/>
    <n v="2026"/>
    <n v="10"/>
    <n v="44"/>
    <n v="36"/>
    <n v="720"/>
    <s v="Redirection Film"/>
    <s v="AEU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11:47:19"/>
    <d v="2026-10-03T00:00:00"/>
    <d v="2026-10-08T07:00:00"/>
    <s v=""/>
    <s v="CIF"/>
    <s v="COSCO SHIPPING SOLAR 037W"/>
    <s v="COSCO"/>
    <s v="TPVB20260833028"/>
    <x v="590"/>
    <s v="COSU9508944650"/>
    <n v="48.800474537034461"/>
    <m/>
    <d v="2026-10-08T07:00:00"/>
    <s v="In Transit-Approved"/>
    <d v="2026-10-10T00:00:00"/>
    <n v="7"/>
    <d v="2026-10-15T07:00:00"/>
    <n v="2026"/>
    <n v="10"/>
    <n v="42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11:47:19"/>
    <d v="2026-10-03T00:00:00"/>
    <d v="2026-10-08T07:00:00"/>
    <s v=""/>
    <s v="CIF"/>
    <s v="COSCO SHIPPING SOLAR 037W"/>
    <s v="COSCO"/>
    <s v="TPVB20260833028"/>
    <x v="590"/>
    <s v="COSU9508944650"/>
    <n v="48.800474537034461"/>
    <m/>
    <d v="2026-10-08T07:00:00"/>
    <s v="In Transit-Approved"/>
    <d v="2026-10-16T00:00:00"/>
    <n v="7"/>
    <d v="2026-10-15T07:00:00"/>
    <n v="2026"/>
    <n v="10"/>
    <n v="42"/>
    <n v="36"/>
    <n v="720"/>
    <s v="Redirection Film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16:00:00"/>
    <d v="2026-08-20T11:47:19"/>
    <d v="2026-10-26T00:00:00"/>
    <d v="2026-10-28T19:00:00"/>
    <s v=""/>
    <s v="CIF"/>
    <s v="COSCO SHIPPING SOLAR 037W"/>
    <s v="COSCO"/>
    <s v="TPVB20260833025"/>
    <x v="591"/>
    <s v="COSU9508943650"/>
    <n v="69.300474537034461"/>
    <m/>
    <d v="2026-10-28T19:00:00"/>
    <s v="In Transit-Approved"/>
    <d v="2026-11-02T00:00:00"/>
    <n v="8"/>
    <d v="2026-11-05T19:00:00"/>
    <n v="2026"/>
    <n v="11"/>
    <n v="45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16:00:00"/>
    <d v="2026-08-20T11:47:19"/>
    <d v="2026-10-26T00:00:00"/>
    <d v="2026-10-28T19:00:00"/>
    <s v=""/>
    <s v="CIF"/>
    <s v="COSCO SHIPPING SOLAR 037W"/>
    <s v="COSCO"/>
    <s v="TPVB20260833025"/>
    <x v="591"/>
    <s v="COSU9508943650"/>
    <n v="69.300474537034461"/>
    <m/>
    <d v="2026-10-28T19:00:00"/>
    <s v="In Transit-Approved"/>
    <d v="2026-11-02T00:00:00"/>
    <n v="8"/>
    <d v="2026-11-05T19:00:00"/>
    <n v="2026"/>
    <n v="11"/>
    <n v="45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16:00:00"/>
    <d v="2026-08-20T11:47:19"/>
    <d v="2026-10-14T00:00:00"/>
    <d v="2026-10-21T20:00:00"/>
    <s v=""/>
    <s v="CIF"/>
    <s v="COSCO SHIPPING SOLAR 037W"/>
    <s v="COSCO"/>
    <s v="TPVB20260833026"/>
    <x v="592"/>
    <s v="COSU9508943400"/>
    <n v="62.342141203705978"/>
    <m/>
    <d v="2026-10-21T20:00:00"/>
    <s v="In Transit-Approved"/>
    <d v="2026-11-02T00:00:00"/>
    <n v="8"/>
    <d v="2026-10-29T2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16:00:00"/>
    <d v="2026-08-20T11:47:19"/>
    <d v="2026-11-01T00:00:00"/>
    <d v="2026-10-21T18:00:00"/>
    <s v=""/>
    <s v="CIF"/>
    <s v="COSCO SHIPPING SOLAR 037W"/>
    <s v="COSCO"/>
    <s v="TPVB20260833027"/>
    <x v="593"/>
    <s v="COSU9508944110"/>
    <n v="62.258807870370219"/>
    <m/>
    <d v="2026-10-21T18:00:00"/>
    <s v="In Transit-Approved"/>
    <d v="2026-11-02T00:00:00"/>
    <n v="10"/>
    <d v="2026-10-31T18:00:00"/>
    <n v="2026"/>
    <n v="10"/>
    <n v="44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16:00:00"/>
    <d v="2026-08-20T11:47:19"/>
    <d v="2026-10-11T00:00:00"/>
    <d v="2026-10-13T18:00:00"/>
    <s v=""/>
    <s v="CIF"/>
    <s v="COSCO SHIPPING SOLAR 037W"/>
    <s v="COSCO"/>
    <s v="TPVB20260833024"/>
    <x v="594"/>
    <s v="COSU6462455040"/>
    <n v="54.258807870370219"/>
    <m/>
    <d v="2026-10-13T18:00:00"/>
    <s v="In Transit-Approved"/>
    <d v="2026-11-02T00:00:00"/>
    <n v="7"/>
    <d v="2026-10-20T18:00:00"/>
    <n v="2026"/>
    <n v="10"/>
    <n v="43"/>
    <n v="36"/>
    <n v="864"/>
    <s v="Black glazing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IN-TRANSIT"/>
    <s v="ready"/>
    <d v="2026-08-22T00:00:00"/>
    <n v="34"/>
    <s v="POPV260825027"/>
    <m/>
    <s v="SHANGHAI/Quzhou"/>
    <x v="1"/>
    <x v="8"/>
    <d v="2026-08-29T00:00:00"/>
    <d v="2026-08-30T13:30:00"/>
    <d v="2026-08-30T00:00:00"/>
    <d v="2026-10-09T00:00:00"/>
    <m/>
    <s v=""/>
    <m/>
    <s v="COSCO SHIPPING SOLAR _x000a_037W"/>
    <s v="COSCO"/>
    <s v="TPVB20260834022"/>
    <x v="595"/>
    <s v="COSU6463115620"/>
    <n v="40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5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COMPLETED"/>
    <s v="ready"/>
    <d v="2026-08-20T00:00:00"/>
    <n v="34"/>
    <s v="POPV260821065"/>
    <s v="POPV260821065"/>
    <s v="SHANGHAI/Quzhou"/>
    <x v="1"/>
    <x v="6"/>
    <d v="2026-08-24T00:00:00"/>
    <m/>
    <d v="2026-08-23T23:36:47"/>
    <d v="2026-10-04T00:00:00"/>
    <d v="2026-10-04T07:00:00"/>
    <d v="2026-10-04T00:00:00"/>
    <m/>
    <s v="OOCL ABU DHABI 009W"/>
    <s v="COSCO"/>
    <s v="TPVB20260834037"/>
    <x v="596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6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COMPLETED"/>
    <s v="ready"/>
    <d v="2026-08-20T00:00:00"/>
    <n v="34"/>
    <s v="POPV260821064"/>
    <s v="POPV260821064"/>
    <s v="SHANGHAI/Quzhou"/>
    <x v="1"/>
    <x v="6"/>
    <d v="2026-08-24T00:00:00"/>
    <m/>
    <d v="2026-08-23T23:36:47"/>
    <d v="2026-10-04T00:00:00"/>
    <d v="2026-10-04T07:00:00"/>
    <d v="2026-10-04T00:00:00"/>
    <m/>
    <s v="OOCL ABU DHABI 009W"/>
    <s v="COSCO"/>
    <s v="TPVB20260834037"/>
    <x v="596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COMPLETED"/>
    <d v="2026-08-19T00:00:00"/>
    <d v="2026-08-20T00:00:00"/>
    <n v="34"/>
    <s v="POPV260821054"/>
    <s v="POPV260821054"/>
    <s v="SHANGHAI/Quzhou"/>
    <x v="1"/>
    <x v="6"/>
    <d v="2026-08-24T00:00:00"/>
    <m/>
    <d v="2026-08-23T23:36:47"/>
    <d v="2026-10-04T00:00:00"/>
    <d v="2026-10-04T07:00:00"/>
    <d v="2026-10-04T00:00:00"/>
    <m/>
    <s v="OOCL ABU DHABI 009W"/>
    <s v="COSCO"/>
    <s v="TPVB20260834037"/>
    <x v="596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COMPLETED"/>
    <d v="2026-08-19T00:00:00"/>
    <d v="2026-08-20T00:00:00"/>
    <n v="34"/>
    <s v="POPV260821055"/>
    <s v="POPV260821055"/>
    <s v="SHANGHAI/Quzhou"/>
    <x v="1"/>
    <x v="6"/>
    <d v="2026-08-24T00:00:00"/>
    <m/>
    <d v="2026-08-23T23:36:47"/>
    <d v="2026-10-04T00:00:00"/>
    <d v="2026-10-04T07:00:00"/>
    <d v="2026-10-04T00:00:00"/>
    <m/>
    <s v="OOCL ABU DHABI 009W"/>
    <s v="COSCO"/>
    <s v="TPVB20260834037"/>
    <x v="596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COMPLETED"/>
    <d v="2026-08-18T00:00:00"/>
    <d v="2026-08-17T00:00:00"/>
    <n v="34"/>
    <s v="POPV260821059"/>
    <s v="POPV260821059"/>
    <s v="SHANGHAI/Quzhou"/>
    <x v="1"/>
    <x v="6"/>
    <d v="2026-08-24T00:00:00"/>
    <m/>
    <d v="2026-08-23T23:36:47"/>
    <d v="2026-10-04T00:00:00"/>
    <d v="2026-10-04T07:00:00"/>
    <d v="2026-10-04T00:00:00"/>
    <m/>
    <s v="EVER ATOP 1415-014W"/>
    <s v="COSCO"/>
    <s v="TPVB20260834024"/>
    <x v="597"/>
    <s v="COSU6463255210"/>
    <n v="41.01612268518511"/>
    <m/>
    <d v="2026-10-04T00:00:00"/>
    <s v="In Stock-Approved"/>
    <d v="2026-09-29T00:00:00"/>
    <n v="0"/>
    <d v="2026-10-04T00:00:00"/>
    <n v="2026"/>
    <n v="10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9:59:45"/>
    <d v="2026-10-10T00:00:00"/>
    <d v="2026-10-10T14:00:00"/>
    <s v=""/>
    <m/>
    <s v="COSCO SHIPPING HIMALAYAS _x000a_048W"/>
    <s v="COSCO"/>
    <s v="TPVB20260834025"/>
    <x v="598"/>
    <s v="COSU6462717070"/>
    <n v="49.166840277779556"/>
    <m/>
    <d v="2026-10-10T14:00:00"/>
    <s v="In Stock-Approved"/>
    <d v="2026-10-10T00:00:00"/>
    <n v="0"/>
    <d v="2026-10-10T14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8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9:59:45"/>
    <d v="2026-10-10T00:00:00"/>
    <d v="2026-10-10T14:00:00"/>
    <s v=""/>
    <m/>
    <s v="COSCO SHIPPING HIMALAYAS _x000a_048W"/>
    <s v="COSCO"/>
    <s v="TPVB20260834026"/>
    <x v="599"/>
    <s v="COSU6462717070"/>
    <n v="49.166840277779556"/>
    <m/>
    <d v="2026-10-10T14:00:00"/>
    <s v="In Stock-Approved"/>
    <d v="2026-10-10T00:00:00"/>
    <n v="0"/>
    <d v="2026-10-10T14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d v="2026-10-08T00:00:00"/>
    <m/>
    <m/>
    <s v="CMA CGM ANTOINE DE SAINT"/>
    <s v="OTHER"/>
    <s v="TPVB20260834027"/>
    <x v="600"/>
    <s v="CHN3862363"/>
    <n v="44"/>
    <m/>
    <d v="2026-10-08T00:00:00"/>
    <s v="In Transit-Approved"/>
    <d v="2026-10-10T00:00:00"/>
    <n v="7"/>
    <d v="2026-10-15T00:00:00"/>
    <n v="2026"/>
    <n v="10"/>
    <n v="42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m/>
    <m/>
    <m/>
    <s v="CMA CGM ANTOINE DE SAINT"/>
    <s v="OTHER"/>
    <s v="TPVB20260834027"/>
    <x v="600"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601"/>
    <s v="CHN3801647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601"/>
    <s v="CHN3801647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601"/>
    <s v="CHN3801659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601"/>
    <s v="CHN3801659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8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7"/>
    <x v="602"/>
    <s v="CHN380125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8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602"/>
    <s v="CHN380126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IN-TRANSIT"/>
    <m/>
    <d v="2026-08-22T00:00:00"/>
    <n v="34"/>
    <s v="POPV260825015"/>
    <m/>
    <s v="SHANGHAI"/>
    <x v="1"/>
    <x v="0"/>
    <d v="2026-08-30T00:00:00"/>
    <d v="2026-09-04T04:00:00"/>
    <d v="2026-09-04T02:19:57"/>
    <d v="2026-10-19T00:00:00"/>
    <d v="2026-10-28T19:00:00"/>
    <s v=""/>
    <m/>
    <s v="EVER GIFTED 0767-030W"/>
    <s v="COSCO"/>
    <s v="TPVB20260834028"/>
    <x v="603"/>
    <s v="COSU6463259170"/>
    <n v="54.69447916666104"/>
    <m/>
    <d v="2026-10-28T19:00:00"/>
    <s v="In Transit-Approved"/>
    <d v="2026-10-27T00:00:00"/>
    <n v="8"/>
    <d v="2026-11-05T19:00:00"/>
    <n v="2026"/>
    <n v="11"/>
    <n v="45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s v="ready"/>
    <d v="2026-08-30T00:00:00"/>
    <n v="35"/>
    <s v="POPV260830019"/>
    <m/>
    <s v="NINGBO"/>
    <x v="3"/>
    <x v="8"/>
    <d v="2026-08-19T00:00:00"/>
    <d v="2026-09-03T00:00:00"/>
    <d v="2026-09-04T02:25:40"/>
    <d v="2026-10-09T00:00:00"/>
    <m/>
    <s v=""/>
    <m/>
    <s v="EVER GOVERN 1414W"/>
    <s v="COSCO"/>
    <s v="TPVB20260834005"/>
    <x v="604"/>
    <s v="COSU9508974980"/>
    <n v="34.898842592592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IN-TRANSIT"/>
    <m/>
    <d v="2026-08-25T00:00:00"/>
    <n v="35"/>
    <s v="POPV260828031"/>
    <m/>
    <s v="SHANGHAI"/>
    <x v="1"/>
    <x v="0"/>
    <d v="2026-08-22T00:00:00"/>
    <d v="2026-08-31T00:00:00"/>
    <d v="2026-08-31T00:00:00"/>
    <d v="2026-10-07T00:00:00"/>
    <d v="2026-10-08T00:00:00"/>
    <m/>
    <m/>
    <s v="MERETE MAERSK 633W"/>
    <s v="OTHER"/>
    <s v="TPVB20260834012"/>
    <x v="605"/>
    <n v="274975766"/>
    <n v="38"/>
    <m/>
    <d v="2026-10-08T00:00:00"/>
    <s v="In Transit-Approved"/>
    <d v="2026-10-15T00:00:00"/>
    <n v="8"/>
    <d v="2026-10-16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m/>
    <d v="2026-08-25T00:00:00"/>
    <n v="35"/>
    <s v="POPV260828026"/>
    <m/>
    <s v="SHANGHAI"/>
    <x v="1"/>
    <x v="0"/>
    <d v="2026-08-22T00:00:00"/>
    <d v="2026-08-31T00:00:00"/>
    <d v="2026-08-31T00:00:00"/>
    <d v="2026-10-07T00:00:00"/>
    <d v="2026-10-08T00:00:00"/>
    <m/>
    <m/>
    <s v="MERETE MAERSK 633W"/>
    <s v="OTHER"/>
    <s v="TPVB20260834012"/>
    <x v="605"/>
    <n v="274975766"/>
    <n v="38"/>
    <m/>
    <d v="2026-10-08T00:00:00"/>
    <s v="In Transit-Approved"/>
    <d v="2026-10-15T00:00:00"/>
    <n v="8"/>
    <d v="2026-10-16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IN-TRANSIT"/>
    <s v="七月3日"/>
    <d v="2026-08-22T00:00:00"/>
    <n v="34"/>
    <s v="POPV260825023"/>
    <m/>
    <s v="SHANGHAI"/>
    <x v="1"/>
    <x v="2"/>
    <d v="2026-08-30T00:00:00"/>
    <d v="2026-09-04T04:00:00"/>
    <d v="2026-09-04T02:19:57"/>
    <d v="2026-10-22T00:00:00"/>
    <d v="2026-10-31T15:00:00"/>
    <s v=""/>
    <m/>
    <s v="EVER GIFTED 0767-030W"/>
    <s v="COSCO"/>
    <s v="TPVB20260834029"/>
    <x v="606"/>
    <s v="COSU6463257360"/>
    <n v="57.527812499996799"/>
    <m/>
    <d v="2026-10-31T15:00:00"/>
    <s v="In Transit-Approved"/>
    <d v="2026-10-31T00:00:00"/>
    <n v="9"/>
    <d v="2026-11-09T15:00:00"/>
    <n v="2026"/>
    <n v="11"/>
    <n v="46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IN-TRANSIT"/>
    <d v="2026-07-03T00:00:00"/>
    <d v="2026-08-22T00:00:00"/>
    <n v="34"/>
    <s v="POPV260825022"/>
    <m/>
    <s v="SHANGHAI"/>
    <x v="1"/>
    <x v="2"/>
    <d v="2026-08-30T00:00:00"/>
    <d v="2026-09-04T04:00:00"/>
    <d v="2026-09-04T02:19:57"/>
    <d v="2026-10-22T00:00:00"/>
    <d v="2026-10-31T15:00:00"/>
    <s v=""/>
    <m/>
    <s v="EVER GIFTED 0767-030W"/>
    <s v="COSCO"/>
    <s v="TPVB20260834029"/>
    <x v="606"/>
    <s v="COSU6463257360"/>
    <n v="57.527812499996799"/>
    <m/>
    <d v="2026-10-31T15:00:00"/>
    <s v="In Transit-Approved"/>
    <d v="2026-10-31T00:00:00"/>
    <n v="9"/>
    <d v="2026-11-09T15:00:00"/>
    <n v="2026"/>
    <n v="11"/>
    <n v="46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2T00:00:00"/>
    <n v="34"/>
    <s v="POPV260825011"/>
    <m/>
    <s v="SHANGHAI"/>
    <x v="1"/>
    <x v="2"/>
    <d v="2026-08-30T00:00:00"/>
    <d v="2026-09-04T04:00:00"/>
    <d v="2026-09-04T02:19:57"/>
    <d v="2026-10-22T00:00:00"/>
    <d v="2026-10-31T15:00:00"/>
    <s v=""/>
    <m/>
    <s v="EVER GIFTED 0767-030W"/>
    <s v="COSCO"/>
    <s v="TPVB20260834029"/>
    <x v="606"/>
    <s v="COSU6463257360"/>
    <n v="57.527812499996799"/>
    <m/>
    <d v="2026-10-31T15:00:00"/>
    <s v="In Transit-Approved"/>
    <d v="2026-10-30T00:00:00"/>
    <n v="9"/>
    <d v="2026-11-09T15:00:00"/>
    <n v="2026"/>
    <n v="11"/>
    <n v="46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18T00:00:00"/>
    <n v="34"/>
    <s v="POPV260821034"/>
    <s v="POPV260821034"/>
    <s v="SHANGHAI"/>
    <x v="1"/>
    <x v="14"/>
    <d v="2026-08-28T00:00:00"/>
    <d v="2026-09-01T02:00:00"/>
    <d v="2026-09-01T00:00:00"/>
    <d v="2026-10-23T00:00:00"/>
    <d v="2026-11-08T18:00:00"/>
    <s v=""/>
    <m/>
    <s v="COSCO SHIPPING SAKURA _x000a_036W"/>
    <s v="COSCO"/>
    <s v="TPVB20260834030"/>
    <x v="607"/>
    <s v="COSU6462720700"/>
    <n v="68.75"/>
    <m/>
    <d v="2026-11-08T18:00:00"/>
    <s v="In Transit-Approved"/>
    <d v="2026-10-26T00:00:00"/>
    <n v="10"/>
    <d v="2026-11-18T18:00:00"/>
    <n v="2026"/>
    <n v="11"/>
    <n v="47"/>
    <n v="36"/>
    <n v="792"/>
    <s v="Black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IN-TRANSIT"/>
    <s v="ready"/>
    <d v="2026-09-06T00:00:00"/>
    <n v="36"/>
    <s v="POPV260911046"/>
    <m/>
    <s v="SHANGHAI"/>
    <x v="1"/>
    <x v="0"/>
    <d v="2026-08-26T00:00:00"/>
    <d v="2026-09-11T00:00:00"/>
    <d v="2026-09-12T00:00:00"/>
    <d v="2026-10-14T00:00:00"/>
    <m/>
    <m/>
    <m/>
    <s v="MAERSK EL PALOMAR 633W"/>
    <s v="OTHER"/>
    <s v="TPVB20260834011"/>
    <x v="608"/>
    <n v="274975950"/>
    <n v="32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IN-TRANSIT"/>
    <m/>
    <d v="2026-09-06T00:00:00"/>
    <n v="36"/>
    <s v="POPV260911050"/>
    <m/>
    <s v="SHANGHAI"/>
    <x v="1"/>
    <x v="0"/>
    <d v="2026-08-26T00:00:00"/>
    <d v="2026-09-11T00:00:00"/>
    <d v="2026-09-12T00:00:00"/>
    <d v="2026-10-14T00:00:00"/>
    <m/>
    <m/>
    <m/>
    <s v="MAERSK EL PALOMAR 633W"/>
    <s v="OTHER"/>
    <s v="TPVB20260834011"/>
    <x v="608"/>
    <n v="274975950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IN-TRANSIT"/>
    <s v="七月31日"/>
    <d v="2026-09-06T00:00:00"/>
    <n v="36"/>
    <s v="POPV260911053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09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IN-TRANSIT"/>
    <m/>
    <d v="2026-09-06T00:00:00"/>
    <n v="36"/>
    <s v="POPV260911061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09"/>
    <n v="275569028"/>
    <n v="32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IN-TRANSIT"/>
    <s v="七月31日"/>
    <d v="2026-09-06T00:00:00"/>
    <n v="36"/>
    <s v="POPV260911054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09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9-02T00:00:00"/>
    <n v="36"/>
    <s v="POPV260904017"/>
    <m/>
    <s v="NINGBO"/>
    <x v="3"/>
    <x v="14"/>
    <d v="2026-08-29T00:00:00"/>
    <d v="2026-09-06T00:00:00"/>
    <d v="2026-09-05T23:33:05"/>
    <d v="2026-10-23T00:00:00"/>
    <d v="2026-11-08T18:00:00"/>
    <s v=""/>
    <m/>
    <s v="COSCO SHIPPING SAKURA 036W"/>
    <s v="COSCO"/>
    <s v="TPVB20260834036"/>
    <x v="610"/>
    <s v="COSU9509275040"/>
    <n v="63.768692129626288"/>
    <m/>
    <d v="2026-11-08T18:00:00"/>
    <s v="-"/>
    <s v=""/>
    <n v="10"/>
    <d v="2026-11-18T18:00:00"/>
    <n v="2026"/>
    <n v="11"/>
    <n v="47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x v="179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IN-TRANSIT"/>
    <s v="ready"/>
    <d v="2026-08-30T00:00:00"/>
    <n v="35"/>
    <s v="POPV260902032"/>
    <m/>
    <s v="NINGBO"/>
    <x v="3"/>
    <x v="6"/>
    <d v="2026-08-28T00:00:00"/>
    <d v="2026-09-04T01:00:00"/>
    <d v="2026-09-04T02:25:40"/>
    <d v="2026-10-04T00:00:00"/>
    <d v="2026-10-15T01:00:00"/>
    <s v=""/>
    <m/>
    <s v="EVER ATOP 1415W"/>
    <s v="COSCO"/>
    <s v="TPVB20260834039"/>
    <x v="611"/>
    <s v="COSU9509346010"/>
    <n v="40.940509259256942"/>
    <m/>
    <d v="2026-10-15T01:00:00"/>
    <s v="In Stock-Approved"/>
    <d v="2026-10-12T00:00:00"/>
    <n v="0"/>
    <d v="2026-10-15T01:00:00"/>
    <n v="2026"/>
    <n v="10"/>
    <n v="42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0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IN-TRANSIT"/>
    <s v="ready"/>
    <d v="2026-08-30T00:00:00"/>
    <n v="35"/>
    <s v="POPV260902033"/>
    <m/>
    <s v="NINGBO"/>
    <x v="3"/>
    <x v="6"/>
    <d v="2026-08-26T00:00:00"/>
    <d v="2026-09-04T01:00:00"/>
    <d v="2026-09-04T02:25:40"/>
    <d v="2026-10-04T00:00:00"/>
    <d v="2026-10-15T01:00:00"/>
    <s v=""/>
    <m/>
    <s v="EVER ATOP 1415W"/>
    <s v="COSCO"/>
    <s v="TPVB20260834032"/>
    <x v="612"/>
    <s v="COSU9509265660"/>
    <n v="40.940509259256942"/>
    <m/>
    <d v="2026-10-15T01:00:00"/>
    <s v="In Transit-Approved"/>
    <d v="2026-10-19T00:00:00"/>
    <n v="7"/>
    <d v="2026-10-22T01:00:00"/>
    <n v="2026"/>
    <n v="10"/>
    <n v="43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18T00:00:00"/>
    <n v="34"/>
    <s v="POPV260821033"/>
    <s v="POPV260821033"/>
    <s v="NINGBO"/>
    <x v="3"/>
    <x v="14"/>
    <d v="2026-08-20T00:00:00"/>
    <d v="2026-08-23T07:00:00"/>
    <d v="2026-08-23T03:44:41"/>
    <d v="2026-10-13T00:00:00"/>
    <d v="2026-10-13T18:00:00"/>
    <s v=""/>
    <m/>
    <s v="CSCL MERCURY 100W"/>
    <s v="COSCO"/>
    <s v="TPVB20260834009"/>
    <x v="613"/>
    <s v="COSU9509015500"/>
    <n v="51.593969907407882"/>
    <m/>
    <d v="2026-10-13T18:00:00"/>
    <s v="In Transit-Approved"/>
    <d v="2026-10-15T00:00:00"/>
    <n v="10"/>
    <d v="2026-10-23T18:00:00"/>
    <n v="2026"/>
    <n v="10"/>
    <n v="43"/>
    <n v="36"/>
    <n v="792"/>
    <s v="Black glazing"/>
    <s v="AEM"/>
  </r>
  <r>
    <s v="26Jul008.04"/>
    <s v="Quzhou"/>
    <s v="26Jul008"/>
    <s v="CORE DG"/>
    <x v="2"/>
    <s v="Arrival Plan-SPTN"/>
    <s v="CIF"/>
    <x v="0"/>
    <s v="U4"/>
    <x v="181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9-01T00:00:00"/>
    <n v="36"/>
    <s v="POPV260902026"/>
    <m/>
    <s v="NINGBO"/>
    <x v="3"/>
    <x v="0"/>
    <d v="2026-08-27T00:00:00"/>
    <d v="2026-09-02T00:00:00"/>
    <d v="2026-09-05T01:29:29"/>
    <d v="2026-10-12T00:00:00"/>
    <d v="2026-10-25T06:00:00"/>
    <s v=""/>
    <m/>
    <s v="OOCL HONG KONG 040W"/>
    <s v="COSCO"/>
    <s v="TPVB20260834002"/>
    <x v="614"/>
    <s v="COSU9508973640"/>
    <n v="50.187858796292858"/>
    <m/>
    <d v="2026-10-25T06:00:00"/>
    <s v="In Stock-Approved"/>
    <d v="2026-10-16T00:00:00"/>
    <n v="8"/>
    <d v="2026-11-02T06:00:00"/>
    <n v="2026"/>
    <n v="11"/>
    <n v="45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82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COMPLETED"/>
    <m/>
    <d v="2026-08-11T00:00:00"/>
    <n v="33"/>
    <s v="POPV260814043"/>
    <m/>
    <s v="NINGBO"/>
    <x v="3"/>
    <x v="0"/>
    <d v="2026-08-17T00:00:00"/>
    <m/>
    <d v="2026-08-20T00:19:33"/>
    <d v="2026-09-30T00:00:00"/>
    <d v="2026-10-02T06:00:00"/>
    <d v="2026-10-01T00:00:00"/>
    <m/>
    <s v="CMA CGM VASCO DE GAMA 0MEOJW"/>
    <s v="COSCO"/>
    <s v="TPVB20260834001"/>
    <x v="615"/>
    <s v="COSU9508973860"/>
    <n v="41.986423611109785"/>
    <m/>
    <d v="2026-10-01T00:00:00"/>
    <s v="In Stock-Approved"/>
    <d v="2026-09-30T00:00:00"/>
    <n v="0"/>
    <d v="2026-10-01T00:00:00"/>
    <n v="2026"/>
    <n v="10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9-04T00:00:00"/>
    <n v="36"/>
    <s v="POPV260911040"/>
    <m/>
    <s v="NINGBO"/>
    <x v="3"/>
    <x v="0"/>
    <d v="2026-08-31T00:00:00"/>
    <d v="2026-09-10T00:00:00"/>
    <d v="2026-09-10T01:01:39"/>
    <d v="2026-10-19T00:00:00"/>
    <d v="2026-10-28T19:00:00"/>
    <s v=""/>
    <m/>
    <s v="EVER GIFTED 030W"/>
    <s v="COSCO"/>
    <s v="TPVB20260834035"/>
    <x v="616"/>
    <s v="COSU9509256390"/>
    <n v="48.748854166660749"/>
    <m/>
    <d v="2026-10-28T19:00:00"/>
    <s v="-"/>
    <s v=""/>
    <n v="8"/>
    <d v="2026-11-05T19:00:00"/>
    <n v="2026"/>
    <n v="11"/>
    <n v="45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11:29:23"/>
    <d v="2026-10-01T00:00:00"/>
    <d v="2026-10-10T12:00:00"/>
    <s v=""/>
    <m/>
    <s v="COSCO SHIPPING AQUARIUS "/>
    <s v="COSCO"/>
    <s v="TPVB20260834033"/>
    <x v="617"/>
    <s v="COSU9509256030"/>
    <n v="45.021261574074742"/>
    <m/>
    <d v="2026-10-10T12:00:00"/>
    <s v="In Stock-Approved"/>
    <d v="2026-10-01T00:00:00"/>
    <n v="0"/>
    <d v="2026-10-10T12:00:00"/>
    <n v="2026"/>
    <n v="10"/>
    <n v="41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COMPLETED"/>
    <s v="ready"/>
    <d v="2026-08-21T00:00:00"/>
    <n v="34"/>
    <s v="POPV260825028"/>
    <m/>
    <s v="NINGBO"/>
    <x v="3"/>
    <x v="8"/>
    <d v="2026-08-21T00:00:00"/>
    <d v="2026-08-26T00:00:00"/>
    <d v="2026-08-23T20:21:16"/>
    <d v="2026-10-02T00:00:00"/>
    <d v="2026-10-04T02:00:00"/>
    <d v="2026-10-06T00:00:00"/>
    <m/>
    <s v="COSCO SHIPPING LIBRA 036W"/>
    <s v="COSCO"/>
    <s v="TPVB20260834006"/>
    <x v="618"/>
    <s v="COSU9508982210"/>
    <n v="43.151898148149485"/>
    <m/>
    <d v="2026-10-06T00:00:00"/>
    <s v="In Stock-Approved"/>
    <d v="2026-10-02T00:00:00"/>
    <n v="0"/>
    <d v="2026-10-06T00:00:00"/>
    <n v="2026"/>
    <n v="10"/>
    <n v="41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11:29:23"/>
    <d v="2026-09-27T00:00:00"/>
    <d v="2026-10-10T12:00:00"/>
    <s v=""/>
    <m/>
    <s v="COSCO SHIPPING AQUARIUS 050W"/>
    <s v="COSCO"/>
    <s v="TPVB20260834003"/>
    <x v="619"/>
    <s v="COSU9508974810"/>
    <n v="45.021261574074742"/>
    <m/>
    <d v="2026-10-10T12:00:00"/>
    <s v="In Stock-Approved"/>
    <d v="2026-10-01T00:00:00"/>
    <n v="0"/>
    <d v="2026-10-10T12:00:00"/>
    <n v="2026"/>
    <n v="10"/>
    <n v="41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11:29:23"/>
    <d v="2026-09-27T00:00:00"/>
    <d v="2026-10-10T12:00:00"/>
    <s v=""/>
    <m/>
    <s v="COSCO SHIPPING AQUARIUS 050W"/>
    <s v="COSCO"/>
    <s v="TPVB20260834004"/>
    <x v="620"/>
    <s v="COSU9508974740"/>
    <n v="45.021261574074742"/>
    <m/>
    <d v="2026-10-10T12:00:00"/>
    <s v="In Stock-Approved"/>
    <d v="2026-10-01T00:00:00"/>
    <n v="0"/>
    <d v="2026-10-10T12:00:00"/>
    <n v="2026"/>
    <n v="10"/>
    <n v="41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IN-TRANSIT"/>
    <s v="ready"/>
    <d v="2026-08-31T00:00:00"/>
    <n v="36"/>
    <s v="POPV260902019"/>
    <m/>
    <s v="NINGBO"/>
    <x v="3"/>
    <x v="8"/>
    <d v="2026-08-25T00:00:00"/>
    <d v="2026-09-04T00:00:00"/>
    <d v="2026-09-04T19:47:21"/>
    <d v="2026-10-09T00:00:00"/>
    <m/>
    <s v=""/>
    <m/>
    <s v="COSCO SHIPPING SOLAR 037W"/>
    <s v="COSCO"/>
    <s v="TPVB20260834034"/>
    <x v="621"/>
    <s v="COSU9509255460"/>
    <n v="34.17545138888817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8:54:28"/>
    <d v="2026-10-08T00:00:00"/>
    <d v="2026-10-12T20:00:00"/>
    <s v=""/>
    <m/>
    <s v="COSCO SHIPPING UNIVERSE 036W"/>
    <s v="COSCO"/>
    <s v="TPVB20260834019"/>
    <x v="622"/>
    <s v="COSU9509127610"/>
    <n v="48.46217592593166"/>
    <m/>
    <d v="2026-10-12T20:00:00"/>
    <s v="In Transit-Approved"/>
    <d v="2026-10-15T00:00:00"/>
    <n v="7"/>
    <d v="2026-10-19T20:00:00"/>
    <n v="2026"/>
    <n v="10"/>
    <n v="43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8:54:28"/>
    <d v="2026-10-08T00:00:00"/>
    <d v="2026-10-12T20:00:00"/>
    <s v=""/>
    <m/>
    <s v="COSCO SHIPPING UNIVERSE 036W"/>
    <s v="COSCO"/>
    <s v="TPVB20260834019"/>
    <x v="622"/>
    <s v="COSU9509127610"/>
    <n v="48.46217592593166"/>
    <m/>
    <d v="2026-10-12T20:00:00"/>
    <s v="In Transit-Approved"/>
    <d v="2026-10-15T00:00:00"/>
    <n v="7"/>
    <d v="2026-10-19T20:00:00"/>
    <n v="2026"/>
    <n v="10"/>
    <n v="43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8:54:28"/>
    <d v="2026-10-08T00:00:00"/>
    <d v="2026-10-12T20:00:00"/>
    <s v=""/>
    <m/>
    <s v="COSCO SHIPPING UNIVERSE 036W"/>
    <s v="COSCO"/>
    <s v="TPVB20260834019"/>
    <x v="622"/>
    <s v="COSU9509127610"/>
    <n v="48.46217592593166"/>
    <m/>
    <d v="2026-10-12T20:00:00"/>
    <s v="In Transit-Approved"/>
    <d v="2026-10-15T00:00:00"/>
    <n v="7"/>
    <d v="2026-10-19T20:00:00"/>
    <n v="2026"/>
    <n v="10"/>
    <n v="43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5T00:00:00"/>
    <n v="33"/>
    <s v="POPV260821061"/>
    <s v="POPV260821061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23"/>
    <s v="TS6NDD969400"/>
    <n v="42"/>
    <m/>
    <d v="2026-10-10T00:00:00"/>
    <s v="In Transit-Approved"/>
    <d v="2026-10-23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IN-TRANSIT"/>
    <s v="八月13日"/>
    <d v="2026-08-15T00:00:00"/>
    <n v="33"/>
    <s v="POPV260821066"/>
    <s v="POPV260821066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23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IN-TRANSIT"/>
    <s v="八月15日"/>
    <d v="2026-08-15T00:00:00"/>
    <n v="33"/>
    <s v="POPV260821068"/>
    <s v="POPV260821068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23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24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24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8:54:28"/>
    <d v="2026-10-26T00:00:00"/>
    <d v="2026-11-04T06:00:00"/>
    <s v=""/>
    <m/>
    <s v="COSCO SHIPPING UNIVERSE 036W"/>
    <s v="COSCO"/>
    <s v="TPVB20260834017"/>
    <x v="625"/>
    <s v="COSU9509124230"/>
    <n v="70.878842592595902"/>
    <m/>
    <d v="2026-11-04T06:00:00"/>
    <s v="In Transit-Approved"/>
    <d v="2026-11-03T00:00:00"/>
    <n v="8"/>
    <d v="2026-11-12T06:00:00"/>
    <n v="2026"/>
    <n v="11"/>
    <n v="46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8:54:28"/>
    <d v="2026-10-26T00:00:00"/>
    <d v="2026-11-04T06:00:00"/>
    <s v=""/>
    <m/>
    <s v="COSCO SHIPPING UNIVERSE 036W"/>
    <s v="COSCO"/>
    <s v="TPVB20260834017"/>
    <x v="625"/>
    <s v="COSU9509124230"/>
    <n v="70.878842592595902"/>
    <m/>
    <d v="2026-11-04T06:00:00"/>
    <s v="In Transit-Approved"/>
    <d v="2026-11-03T00:00:00"/>
    <n v="8"/>
    <d v="2026-11-12T06:00:00"/>
    <n v="2026"/>
    <n v="11"/>
    <n v="46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82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8:54:28"/>
    <d v="2026-10-21T00:00:00"/>
    <d v="2026-10-21T20:00:00"/>
    <s v=""/>
    <m/>
    <s v="COSCO SHIPPING UNIVERSE 036W"/>
    <s v="COSCO"/>
    <s v="TPVB20260834018"/>
    <x v="626"/>
    <s v="COSU9509124140"/>
    <n v="57.46217592593166"/>
    <m/>
    <d v="2026-10-21T20:00:00"/>
    <s v="In Stock-Approved"/>
    <d v="2026-10-21T00:00:00"/>
    <n v="0"/>
    <d v="2026-10-21T20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1T00:00:00"/>
    <n v="34"/>
    <s v="POPV260825026"/>
    <m/>
    <s v="TIANJIN"/>
    <x v="0"/>
    <x v="1"/>
    <d v="2026-08-29T00:00:00"/>
    <d v="2026-09-02T00:00:00"/>
    <d v="2026-09-02T00:00:00"/>
    <d v="2026-10-26T00:00:00"/>
    <d v="2026-10-29T00:00:00"/>
    <m/>
    <s v="CIF"/>
    <s v="MSC DILETTA QS635A"/>
    <s v="OTHER"/>
    <s v="TPVB20260834038"/>
    <x v="627"/>
    <s v="177KVBTTXVNN3512"/>
    <n v="57"/>
    <m/>
    <d v="2026-10-29T00:00:00"/>
    <s v="In Transit-Approved"/>
    <d v="2026-11-02T00:00:00"/>
    <n v="7"/>
    <d v="2026-11-05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IN-TRANSIT"/>
    <s v="优先500半片"/>
    <d v="2026-08-18T00:00:00"/>
    <n v="34"/>
    <s v="POPV260821042"/>
    <s v="POPV260821042"/>
    <s v="TIANJIN"/>
    <x v="0"/>
    <x v="1"/>
    <d v="2026-08-25T00:00:00"/>
    <d v="2026-08-25T00:00:00"/>
    <d v="2026-08-25T00:00:00"/>
    <d v="2026-10-24T00:00:00"/>
    <m/>
    <m/>
    <s v="CIF"/>
    <s v="CMA CGM PERTH / 0BYPOS1MA / 0BYPOS"/>
    <s v="OTHER"/>
    <s v="TPVB20260834020"/>
    <x v="628"/>
    <s v="TJN0672301"/>
    <n v="60"/>
    <m/>
    <d v="2026-10-24T00:00:00"/>
    <s v="In Transit-Approved"/>
    <d v="2026-11-10T00:00:00"/>
    <n v="7"/>
    <d v="2026-10-31T00:00:00"/>
    <n v="2026"/>
    <n v="10"/>
    <n v="44"/>
    <n v="36"/>
    <n v="720"/>
    <s v="White glazing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m/>
    <m/>
    <m/>
    <s v="MSC AMELIA QS634A"/>
    <s v="OTHER"/>
    <s v="TPVB20260834013"/>
    <x v="629"/>
    <s v="177KVBTTXVNN3407"/>
    <n v="53"/>
    <m/>
    <d v="2026-10-18T00:00:00"/>
    <s v="In Transit-Approved"/>
    <d v="2026-10-09T00:00:00"/>
    <n v="7"/>
    <d v="2026-10-25T00:00:00"/>
    <n v="2026"/>
    <n v="10"/>
    <n v="43"/>
    <n v="36"/>
    <n v="936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8:54:28"/>
    <d v="2026-10-18T00:00:00"/>
    <d v="2026-10-20T07:00:00"/>
    <s v=""/>
    <s v="CIF"/>
    <s v="COSCO SHIPPING UNIVERSE 036W"/>
    <s v="COSCO"/>
    <s v="TPVB20260834016"/>
    <x v="630"/>
    <s v="COSU6462929130"/>
    <n v="55.920509259260143"/>
    <m/>
    <d v="2026-10-20T07:00:00"/>
    <s v="In Transit-Approved"/>
    <d v="2026-10-26T00:00:00"/>
    <n v="7"/>
    <d v="2026-10-27T07:00:00"/>
    <n v="2026"/>
    <n v="10"/>
    <n v="44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x v="183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IN-TRANSIT"/>
    <s v="七月31日"/>
    <d v="2026-08-28T00:00:00"/>
    <n v="35"/>
    <s v="POPV260828032"/>
    <m/>
    <s v="SHANGHAI"/>
    <x v="1"/>
    <x v="5"/>
    <d v="2026-09-04T00:00:00"/>
    <d v="2026-09-13T19:30:00"/>
    <d v="2026-09-13T20:07:23"/>
    <d v="2026-10-18T00:00:00"/>
    <d v="2026-10-23T07:00:00"/>
    <s v=""/>
    <m/>
    <s v="OOCL SPAIN 013W"/>
    <s v="COSCO"/>
    <s v="TPVB20260835016"/>
    <x v="631"/>
    <s v="COSU6464353550"/>
    <n v="39.45320601851563"/>
    <m/>
    <d v="2026-10-23T07:00:00"/>
    <s v="In Stock-Approved"/>
    <d v="2026-10-18T00:00:00"/>
    <n v="0"/>
    <d v="2026-10-23T07:00:00"/>
    <n v="2026"/>
    <n v="10"/>
    <n v="43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2808"/>
    <n v="1.36188"/>
    <n v="78"/>
    <n v="3"/>
    <x v="16"/>
    <s v="IN-TRANSIT"/>
    <d v="2026-08-23T00:00:00"/>
    <d v="2026-08-28T00:00:00"/>
    <n v="35"/>
    <s v="POPV260902020"/>
    <m/>
    <s v="SHANGHAI/Quzhou"/>
    <x v="1"/>
    <x v="6"/>
    <d v="2026-09-04T00:00:00"/>
    <d v="2026-09-17T09:30:00"/>
    <d v="2026-09-17T06:51:06"/>
    <d v="2026-10-11T00:00:00"/>
    <d v="2026-10-21T19:00:00"/>
    <s v=""/>
    <m/>
    <s v="OOCL SPAIN 013W"/>
    <s v="COSCO"/>
    <s v="TPVB20260835014"/>
    <x v="632"/>
    <s v="COSU6463656670"/>
    <n v="34.506180555552419"/>
    <m/>
    <d v="2026-10-21T19:00:00"/>
    <s v="In Transit-Approved"/>
    <d v="2026-10-19T00:00:00"/>
    <n v="7"/>
    <d v="2026-10-28T19:00:00"/>
    <n v="2026"/>
    <n v="10"/>
    <n v="44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25T00:00:00"/>
    <n v="35"/>
    <s v="POPV260902017"/>
    <m/>
    <s v="SHANGHAI"/>
    <x v="1"/>
    <x v="1"/>
    <d v="2026-09-02T00:00:00"/>
    <d v="2026-09-02T12:30:00"/>
    <d v="2026-09-02T09:47:06"/>
    <d v="2026-10-07T00:00:00"/>
    <d v="2026-10-12T20:00:00"/>
    <s v=""/>
    <m/>
    <s v="EVER GREET 1416-027W"/>
    <s v="COSCO"/>
    <s v="TPVB20260835018"/>
    <x v="633"/>
    <s v="COSU6463840480"/>
    <n v="40.425625000003492"/>
    <m/>
    <d v="2026-10-12T20:00:00"/>
    <s v="In Transit-Approved"/>
    <d v="2026-10-16T00:00:00"/>
    <n v="7"/>
    <d v="2026-10-19T20:00:00"/>
    <n v="2026"/>
    <n v="10"/>
    <n v="43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8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IN-TRANSIT"/>
    <d v="2026-08-17T00:00:00"/>
    <d v="2026-08-25T00:00:00"/>
    <n v="35"/>
    <s v="POPV260828033"/>
    <m/>
    <s v="SHANGHAI"/>
    <x v="1"/>
    <x v="1"/>
    <d v="2026-09-02T00:00:00"/>
    <d v="2026-09-02T12:30:00"/>
    <d v="2026-09-02T09:47:06"/>
    <d v="2026-10-07T00:00:00"/>
    <d v="2026-10-12T20:00:00"/>
    <s v=""/>
    <m/>
    <s v="EVER GREET 1416-027W"/>
    <s v="COSCO"/>
    <s v="TPVB20260835022"/>
    <x v="634"/>
    <s v="COSU6463840480"/>
    <n v="40.425625000003492"/>
    <m/>
    <d v="2026-10-12T20:00:00"/>
    <s v="In Stock-Approved"/>
    <d v="2026-10-10T00:00:00"/>
    <n v="0"/>
    <d v="2026-10-12T20:00:00"/>
    <n v="2026"/>
    <n v="10"/>
    <n v="42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8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7T00:00:00"/>
    <d v="2026-08-25T00:00:00"/>
    <n v="35"/>
    <s v="POPV260828034"/>
    <m/>
    <s v="SHANGHAI"/>
    <x v="1"/>
    <x v="1"/>
    <d v="2026-09-03T00:00:00"/>
    <d v="2026-09-02T12:30:00"/>
    <d v="2026-09-02T09:47:06"/>
    <d v="2026-10-08T00:00:00"/>
    <d v="2026-10-12T20:00:00"/>
    <s v=""/>
    <m/>
    <s v="COSCO SHIPPING UNIVERSE 036W"/>
    <s v="COSCO"/>
    <s v="TPVB20260835017"/>
    <x v="635"/>
    <s v="COSU6463656150"/>
    <n v="40.425625000003492"/>
    <m/>
    <d v="2026-10-12T20:00:00"/>
    <s v="In Stock-Approved"/>
    <d v="2026-10-08T00:00:00"/>
    <n v="0"/>
    <d v="2026-10-12T20:00:00"/>
    <n v="2026"/>
    <n v="10"/>
    <n v="42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8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IN-TRANSIT"/>
    <d v="2026-08-17T00:00:00"/>
    <d v="2026-08-29T00:00:00"/>
    <n v="35"/>
    <s v="POPV260830018"/>
    <m/>
    <s v="SHANGHAI"/>
    <x v="1"/>
    <x v="1"/>
    <d v="2026-09-05T00:00:00"/>
    <d v="2026-09-10T00:00:00"/>
    <d v="2026-09-09T00:00:00"/>
    <d v="2026-10-17T00:00:00"/>
    <m/>
    <m/>
    <m/>
    <s v="EVER GREET 1416-027W"/>
    <s v="OTHER"/>
    <s v="TPVB20260835001"/>
    <x v="636"/>
    <s v="EGLV149607263083"/>
    <n v="38"/>
    <m/>
    <d v="2026-10-17T00:00:00"/>
    <s v="In Stock-Approved"/>
    <d v="2026-10-07T00:00:00"/>
    <n v="0"/>
    <d v="2026-10-17T00:00:00"/>
    <n v="2026"/>
    <n v="10"/>
    <n v="42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8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5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7"/>
    <s v="CHN3830817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8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6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7"/>
    <s v="CHN3830829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8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7T00:00:00"/>
    <n v="35"/>
    <s v="POPV26082803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10"/>
    <x v="638"/>
    <s v="CHN3830802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8"/>
    <s v="DE0126080400009"/>
    <n v="35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8-27T00:00:00"/>
    <n v="35"/>
    <s v="POPV260828038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9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8"/>
    <s v="DE0126080400009"/>
    <n v="31"/>
    <s v="Yes"/>
    <m/>
    <x v="0"/>
    <x v="100"/>
    <s v="HSM-ND66-GR620"/>
    <s v="H4(Com)"/>
    <s v="+400mm/-200mm"/>
    <n v="620"/>
    <n v="1440"/>
    <n v="0.89280000000000004"/>
    <n v="40"/>
    <n v="2"/>
    <x v="15"/>
    <s v="IN-TRANSIT"/>
    <s v="2柜各塞3000pcs连接器，共3000"/>
    <d v="2026-08-27T00:00:00"/>
    <n v="35"/>
    <s v="POPV260828039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9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8-27T00:00:00"/>
    <n v="35"/>
    <s v="POPV26082802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30"/>
    <x v="640"/>
    <s v="CHN3830701"/>
    <n v="33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8"/>
    <s v="DE0126080400009"/>
    <n v="34"/>
    <s v="Yes"/>
    <m/>
    <x v="0"/>
    <x v="100"/>
    <s v="HSM-ND66-GR620"/>
    <s v="H4(Com)"/>
    <s v="+400mm/-200mm"/>
    <n v="620"/>
    <n v="2160"/>
    <n v="1.3391999999999999"/>
    <n v="60"/>
    <n v="3"/>
    <x v="15"/>
    <s v="IN-TRANSIT"/>
    <d v="2026-08-27T00:00:00"/>
    <d v="2026-09-02T00:00:00"/>
    <n v="36"/>
    <s v="POPV260904009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5"/>
    <x v="641"/>
    <s v="EGLV149606777784"/>
    <n v="28"/>
    <m/>
    <d v="2026-10-07T00:00:00"/>
    <s v="-"/>
    <s v="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8"/>
    <s v="DE0126080400009"/>
    <n v="30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9-02T00:00:00"/>
    <n v="36"/>
    <s v="POPV260904015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5"/>
    <x v="641"/>
    <s v="EGLV149606777784"/>
    <n v="28"/>
    <m/>
    <d v="2026-10-07T00:00:00"/>
    <s v="-"/>
    <s v="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9-02T00:00:00"/>
    <n v="36"/>
    <s v="POPV260904012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6"/>
    <x v="642"/>
    <s v="EGLV149606777784"/>
    <n v="28"/>
    <m/>
    <d v="2026-10-07T00:00:00"/>
    <s v="-"/>
    <s v="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IN-TRANSIT"/>
    <s v="replacemnet"/>
    <d v="2026-09-02T00:00:00"/>
    <m/>
    <s v="POPV260904014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7"/>
    <x v="643"/>
    <s v="EGLV149606777784"/>
    <n v="28"/>
    <m/>
    <d v="2026-10-07T00:00:00"/>
    <s v="-"/>
    <s v="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x v="184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9T00:00:00"/>
    <d v="2026-08-30T00:00:00"/>
    <n v="35"/>
    <s v="POPV260902027"/>
    <m/>
    <s v="SHANGHAI"/>
    <x v="1"/>
    <x v="22"/>
    <d v="2026-09-11T00:00:00"/>
    <d v="2026-09-08T00:00:00"/>
    <d v="2026-09-08T00:00:00"/>
    <d v="2026-10-19T00:00:00"/>
    <m/>
    <m/>
    <m/>
    <s v="OOCL INDONESIA 037W"/>
    <s v="OTHER"/>
    <s v="TPVB20260835028"/>
    <x v="644"/>
    <s v="COSU6464798030"/>
    <n v="41"/>
    <m/>
    <d v="2026-10-19T00:00:00"/>
    <s v="In Stock-Approved"/>
    <d v="2026-10-19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IN-TRANSIT"/>
    <s v="ready"/>
    <d v="2026-08-31T00:00:00"/>
    <n v="36"/>
    <s v="POPV260902016"/>
    <m/>
    <s v="SHANGHAI"/>
    <x v="1"/>
    <x v="4"/>
    <d v="2026-09-09T00:00:00"/>
    <d v="2026-09-08T01:00:00"/>
    <d v="2026-09-08T00:00:00"/>
    <d v="2026-10-21T00:00:00"/>
    <d v="2026-10-29T06:00:00"/>
    <s v=""/>
    <m/>
    <s v="OOCL INDONESIA 037W"/>
    <s v="COSCO"/>
    <s v="TPVB20260835019"/>
    <x v="645"/>
    <s v="COSU6464354100"/>
    <n v="51.25"/>
    <m/>
    <d v="2026-10-29T06:00:00"/>
    <s v="In Transit-Approved"/>
    <d v="2026-11-03T00:00:00"/>
    <n v="10"/>
    <d v="2026-11-08T06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s v="ready"/>
    <d v="2026-08-26T00:00:00"/>
    <n v="35"/>
    <s v="POPV260902021"/>
    <m/>
    <s v="SHANGHAI"/>
    <x v="1"/>
    <x v="0"/>
    <d v="2026-09-03T00:00:00"/>
    <d v="2026-09-06T00:00:00"/>
    <d v="2026-09-05T22:35:39"/>
    <d v="2026-10-14T00:00:00"/>
    <d v="2026-10-14T06:00:00"/>
    <s v=""/>
    <m/>
    <s v="CMA CGM ALEXANDER VON HUMBOLDT 0MEONW1MA"/>
    <s v="COSCO"/>
    <s v="TPVB20260835020"/>
    <x v="646"/>
    <s v="COSU6463662040"/>
    <n v="38.308576388888469"/>
    <m/>
    <d v="2026-10-14T06:00:00"/>
    <s v="In Transit-Approved"/>
    <d v="2026-10-22T00:00:00"/>
    <n v="8"/>
    <d v="2026-10-22T06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IN-TRANSIT"/>
    <s v="ready"/>
    <d v="2026-09-08T00:00:00"/>
    <n v="37"/>
    <s v="POPV260911060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7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IN-TRANSIT"/>
    <s v="七月31日"/>
    <d v="2026-09-08T00:00:00"/>
    <n v="37"/>
    <s v="POPV260911049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7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8T00:00:00"/>
    <m/>
    <s v="POPV260911057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7"/>
    <n v="275745289"/>
    <n v="41"/>
    <m/>
    <d v="2026-10-21T00:00:00"/>
    <s v="-"/>
    <s v=""/>
    <n v="8"/>
    <d v="2026-10-29T00:00:00"/>
    <n v="2026"/>
    <n v="10"/>
    <n v="44"/>
    <n v="36"/>
    <n v="864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IN-TRANSIT"/>
    <s v="ready"/>
    <d v="2026-09-01T00:00:00"/>
    <n v="36"/>
    <s v="POPV260902028"/>
    <m/>
    <s v="SHANGHAI"/>
    <x v="1"/>
    <x v="0"/>
    <d v="2026-09-09T00:00:00"/>
    <d v="2026-09-08T01:00:00"/>
    <d v="2026-09-08T00:00:00"/>
    <d v="2026-10-26T00:00:00"/>
    <d v="2026-11-04T06:00:00"/>
    <s v=""/>
    <m/>
    <s v="OOCL INDONESIA 037W"/>
    <s v="COSCO"/>
    <s v="TPVB20260835029"/>
    <x v="648"/>
    <s v="COSU6464243200"/>
    <n v="57.25"/>
    <m/>
    <d v="2026-11-04T06:00:00"/>
    <s v="In Transit-Approved"/>
    <d v="2026-11-03T00:00:00"/>
    <n v="8"/>
    <d v="2026-11-12T06:00:00"/>
    <n v="2026"/>
    <n v="11"/>
    <n v="46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1T00:00:00"/>
    <m/>
    <s v="POPV260902036"/>
    <m/>
    <s v="SHANGHAI"/>
    <x v="1"/>
    <x v="0"/>
    <d v="2026-09-09T00:00:00"/>
    <d v="2026-09-08T01:00:00"/>
    <d v="2026-09-08T00:00:00"/>
    <d v="2026-10-26T00:00:00"/>
    <d v="2026-11-04T06:00:00"/>
    <s v=""/>
    <m/>
    <s v="OOCL INDONESIA 037W"/>
    <s v="COSCO"/>
    <s v="TPVB20260835029"/>
    <x v="648"/>
    <s v="COSU6464243200"/>
    <n v="57.25"/>
    <m/>
    <d v="2026-11-04T06:00:00"/>
    <s v="In Transit-Approved"/>
    <d v="2026-11-03T00:00:00"/>
    <n v="8"/>
    <d v="2026-11-12T06:00:00"/>
    <n v="2026"/>
    <n v="11"/>
    <n v="46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IN-TRANSIT"/>
    <d v="2026-07-03T00:00:00"/>
    <d v="2026-08-27T00:00:00"/>
    <n v="35"/>
    <s v="POPV260902022"/>
    <m/>
    <s v="SHANGHAI"/>
    <x v="1"/>
    <x v="2"/>
    <d v="2026-09-03T00:00:00"/>
    <d v="2026-09-05T00:00:00"/>
    <d v="2026-09-05T22:35:39"/>
    <d v="2026-10-08T00:00:00"/>
    <d v="2026-10-08T20:00:00"/>
    <s v=""/>
    <m/>
    <s v="CMA CGM ALEXANDER VON _x000a_HUMBOLDT 0MEONW1MA"/>
    <s v="COSCO"/>
    <s v="TPVB20260835021"/>
    <x v="649"/>
    <s v="COSU6463660760"/>
    <n v="32.891909722224227"/>
    <m/>
    <d v="2026-10-08T20:00:00"/>
    <s v="In Transit-Approved"/>
    <d v="2026-10-16T00:00:00"/>
    <n v="9"/>
    <d v="2026-10-17T20:00:00"/>
    <n v="2026"/>
    <n v="10"/>
    <n v="42"/>
    <n v="36"/>
    <n v="720"/>
    <s v="Transparent"/>
    <s v="AEM"/>
  </r>
  <r>
    <s v="26Jul017.01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23T00:00:00"/>
    <d v="2026-09-03T00:00:00"/>
    <n v="36"/>
    <s v="POPV260904011"/>
    <m/>
    <s v="NINGBO"/>
    <x v="3"/>
    <x v="6"/>
    <d v="2026-09-02T00:00:00"/>
    <d v="2026-09-08T15:30:00"/>
    <d v="2026-09-08T16:05:13"/>
    <d v="2026-11-11T00:00:00"/>
    <d v="2026-10-13T18:30:00"/>
    <s v=""/>
    <m/>
    <s v="OOCL SPAIN 013W"/>
    <s v="COSCO"/>
    <s v="TPVB20260835005"/>
    <x v="650"/>
    <s v="COSU9509312590"/>
    <n v="35.100543981483497"/>
    <m/>
    <d v="2026-10-13T18:30:00"/>
    <s v="-"/>
    <s v=""/>
    <n v="7"/>
    <d v="2026-10-20T18:30:00"/>
    <n v="2026"/>
    <n v="10"/>
    <n v="43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d v="2026-08-21T00:00:00"/>
    <d v="2026-09-03T00:00:00"/>
    <n v="36"/>
    <s v="POPV260904007"/>
    <m/>
    <s v="NINGBO"/>
    <x v="3"/>
    <x v="6"/>
    <d v="2026-09-02T00:00:00"/>
    <d v="2026-09-08T15:30:00"/>
    <d v="2026-09-08T16:05:13"/>
    <d v="2026-11-11T00:00:00"/>
    <d v="2026-10-13T18:00:00"/>
    <s v=""/>
    <m/>
    <s v="OOCL SPAIN 013W"/>
    <s v="COSCO"/>
    <s v="TPVB20260835007"/>
    <x v="651"/>
    <s v="COSU9509256240"/>
    <n v="35.079710648147739"/>
    <m/>
    <d v="2026-10-13T18:00:00"/>
    <s v="-"/>
    <s v=""/>
    <n v="0"/>
    <d v="2026-10-13T18:00:00"/>
    <n v="2026"/>
    <n v="10"/>
    <n v="42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4680"/>
    <n v="2.2698"/>
    <n v="130"/>
    <n v="5"/>
    <x v="16"/>
    <s v="IN-TRANSIT"/>
    <d v="2026-08-22T00:00:00"/>
    <d v="2026-09-03T00:00:00"/>
    <n v="36"/>
    <s v="POPV260904008"/>
    <m/>
    <s v="NINGBO"/>
    <x v="3"/>
    <x v="1"/>
    <d v="2026-09-01T00:00:00"/>
    <d v="2026-09-07T15:00:00"/>
    <d v="2026-09-07T15:30:14"/>
    <d v="2026-10-10T00:00:00"/>
    <d v="2026-10-12T20:00:00"/>
    <s v=""/>
    <m/>
    <s v="COSCO SHIPPING UNIVERSE 036W"/>
    <s v="COSCO"/>
    <s v="TPVB20260835009"/>
    <x v="652"/>
    <s v="COSU9509255750"/>
    <n v="35.187337962968741"/>
    <m/>
    <d v="2026-10-12T20:00:00"/>
    <s v="-"/>
    <s v=""/>
    <n v="7"/>
    <d v="2026-10-19T20:00:00"/>
    <n v="2026"/>
    <n v="10"/>
    <n v="43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31T00:00:00"/>
    <n v="36"/>
    <s v="POPV260902018"/>
    <m/>
    <s v="NINGBO"/>
    <x v="3"/>
    <x v="6"/>
    <d v="2026-09-02T00:00:00"/>
    <d v="2026-09-08T00:00:00"/>
    <d v="2026-09-08T00:00:00"/>
    <d v="2026-10-14T00:00:00"/>
    <d v="2026-10-16T00:00:00"/>
    <m/>
    <m/>
    <s v="ONE FOREVER/010W"/>
    <s v="OTHER"/>
    <s v="TPVB20260835006"/>
    <x v="653"/>
    <s v="N232636432"/>
    <n v="38"/>
    <m/>
    <d v="2026-10-16T00:00:00"/>
    <s v="In Stock-Approved"/>
    <d v="2026-10-14T00:00:00"/>
    <n v="0"/>
    <d v="2026-10-16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x v="180"/>
    <m/>
    <m/>
    <s v="n/a"/>
    <s v="Aug"/>
    <x v="3"/>
    <x v="96"/>
    <s v="HSM-BE54-DD490"/>
    <s v="EVO2A"/>
    <s v="±1200mm"/>
    <n v="490"/>
    <n v="2808"/>
    <n v="1.37592"/>
    <n v="78"/>
    <n v="3"/>
    <x v="16"/>
    <s v="IN-TRANSIT"/>
    <s v="ready"/>
    <d v="2026-08-30T00:00:00"/>
    <n v="35"/>
    <s v="POPV260902034"/>
    <m/>
    <s v="NINGBO"/>
    <x v="3"/>
    <x v="6"/>
    <d v="2026-09-04T00:00:00"/>
    <d v="2026-09-04T01:00:00"/>
    <d v="2026-09-04T02:25:40"/>
    <d v="2026-10-11T00:00:00"/>
    <d v="2026-10-15T01:00:00"/>
    <s v=""/>
    <m/>
    <s v="EVER GREET 1416W"/>
    <s v="COSCO"/>
    <s v="TPVB20260835011"/>
    <x v="654"/>
    <s v="COSU9509265340"/>
    <n v="40.940509259256942"/>
    <m/>
    <d v="2026-10-15T01:00:00"/>
    <s v="In Transit-Approved"/>
    <d v="2026-10-19T00:00:00"/>
    <n v="7"/>
    <d v="2026-10-22T01:00:00"/>
    <n v="2026"/>
    <n v="10"/>
    <n v="43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IN-TRANSIT"/>
    <s v="ready"/>
    <d v="2026-08-30T00:00:00"/>
    <n v="35"/>
    <s v="POPV260902024"/>
    <m/>
    <s v="NINGBO"/>
    <x v="3"/>
    <x v="0"/>
    <d v="2026-09-03T00:00:00"/>
    <d v="2026-09-03T00:00:00"/>
    <d v="2026-09-03T08:45:56"/>
    <d v="2026-10-21T00:00:00"/>
    <d v="2026-10-14T06:00:00"/>
    <s v=""/>
    <m/>
    <s v="CMA CGM ALEXANDER VON "/>
    <s v="COSCO"/>
    <s v="TPVB20260835008"/>
    <x v="655"/>
    <s v="COSU9509256340"/>
    <n v="40.884768518517376"/>
    <m/>
    <d v="2026-10-14T06:00:00"/>
    <s v="In Transit-Approved"/>
    <d v="2026-10-22T00:00:00"/>
    <n v="8"/>
    <d v="2026-10-22T06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s v="POPV260902023"/>
    <m/>
    <s v="TIANJIN"/>
    <x v="0"/>
    <x v="1"/>
    <d v="2026-09-03T00:00:00"/>
    <d v="2026-09-04T20:00:00"/>
    <d v="2026-09-04T20:29:55"/>
    <d v="2026-10-18T00:00:00"/>
    <d v="2026-10-22T15:00:00"/>
    <s v=""/>
    <s v="CIF"/>
    <s v="COSCO SHIPPING STAR 030W"/>
    <s v="COSCO"/>
    <s v="TPVB20260835012"/>
    <x v="656"/>
    <s v="COSU9509275330"/>
    <n v="47.770891203705105"/>
    <m/>
    <d v="2026-10-22T15:00:00"/>
    <s v="In Transit-Approved"/>
    <d v="2026-10-26T00:00:00"/>
    <n v="7"/>
    <d v="2026-10-29T15:00:00"/>
    <n v="2026"/>
    <n v="10"/>
    <n v="44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IN-TRANSIT"/>
    <s v="八月16日"/>
    <d v="2026-08-28T00:00:00"/>
    <n v="35"/>
    <s v="POPV260902025"/>
    <m/>
    <s v="TIANJIN"/>
    <x v="0"/>
    <x v="1"/>
    <d v="2026-09-03T00:00:00"/>
    <d v="2026-09-04T20:00:00"/>
    <d v="2026-09-04T20:29:55"/>
    <d v="2026-10-18T00:00:00"/>
    <d v="2026-10-22T15:00:00"/>
    <s v=""/>
    <s v="CIF"/>
    <s v="COSCO SHIPPING STAR 030W"/>
    <s v="COSCO"/>
    <s v="TPVB20260835012"/>
    <x v="656"/>
    <s v="COSU9509275330"/>
    <n v="47.770891203705105"/>
    <m/>
    <d v="2026-10-22T15:00:00"/>
    <s v="In Transit-Approved"/>
    <d v="2026-10-26T00:00:00"/>
    <n v="7"/>
    <d v="2026-10-29T15:00:00"/>
    <n v="2026"/>
    <n v="10"/>
    <n v="44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82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7T00:00:00"/>
    <n v="35"/>
    <s v="POPV260828028"/>
    <m/>
    <s v="TIANJIN"/>
    <x v="0"/>
    <x v="0"/>
    <d v="2026-09-03T00:00:00"/>
    <d v="2026-09-04T20:00:00"/>
    <d v="2026-09-04T20:29:55"/>
    <d v="2026-10-28T00:00:00"/>
    <d v="2026-10-28T06:00:00"/>
    <s v=""/>
    <s v="CIF"/>
    <s v="COSCO SHIPPING STAR 030W"/>
    <s v="COSCO"/>
    <s v="TPVB20260835023"/>
    <x v="657"/>
    <s v="COSU9509296080"/>
    <n v="53.395891203705105"/>
    <m/>
    <d v="2026-10-28T06:00:00"/>
    <s v="In Stock-Approved"/>
    <d v="2026-10-28T00:00:00"/>
    <n v="0"/>
    <d v="2026-10-28T06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IN-TRANSIT"/>
    <s v="八月20日"/>
    <d v="2026-08-28T00:00:00"/>
    <n v="35"/>
    <s v="POPV260902030"/>
    <m/>
    <s v="TIANJIN"/>
    <x v="0"/>
    <x v="0"/>
    <d v="2026-09-03T00:00:00"/>
    <d v="2026-09-04T20:00:00"/>
    <d v="2026-09-04T20:29:55"/>
    <d v="2026-11-09T00:00:00"/>
    <d v="2026-11-18T19:00:00"/>
    <s v=""/>
    <s v="CIF"/>
    <s v="COSCO SHIPPING STAR 030W"/>
    <s v="COSCO"/>
    <s v="TPVB20260835024"/>
    <x v="658"/>
    <s v="COSU9509296500"/>
    <n v="74.937557870369346"/>
    <m/>
    <d v="2026-11-18T19:00:00"/>
    <s v="In Transit-Approved"/>
    <d v="2026-11-17T00:00:00"/>
    <n v="8"/>
    <d v="2026-11-26T19:00:00"/>
    <n v="2026"/>
    <n v="11"/>
    <n v="48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28T00:00:00"/>
    <n v="35"/>
    <s v="POPV260902029"/>
    <m/>
    <s v="TIANJIN"/>
    <x v="0"/>
    <x v="14"/>
    <d v="2026-09-03T00:00:00"/>
    <d v="2026-09-04T20:00:00"/>
    <d v="2026-09-04T20:29:55"/>
    <d v="2026-11-08T00:00:00"/>
    <m/>
    <s v=""/>
    <s v="CIF"/>
    <s v="COSCO SHIPPING STAR 030W"/>
    <s v="COSCO"/>
    <s v="TPVB20260835013"/>
    <x v="659"/>
    <s v="COSU9509296870"/>
    <n v="64.145891203705105"/>
    <m/>
    <d v="2026-11-08T00:00:00"/>
    <s v="In Transit-Approved"/>
    <d v="2026-11-20T00:00:00"/>
    <n v="10"/>
    <d v="2026-11-18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IN-TRANSIT"/>
    <s v="优先500半片"/>
    <d v="2026-08-24T00:00:00"/>
    <n v="35"/>
    <s v="POPV260902031"/>
    <m/>
    <s v="TIANJIN"/>
    <x v="0"/>
    <x v="1"/>
    <d v="2026-09-02T00:00:00"/>
    <d v="2026-09-04T00:00:00"/>
    <d v="2026-09-04T00:00:00"/>
    <d v="2026-11-09T00:00:00"/>
    <m/>
    <m/>
    <s v="CIF"/>
    <s v="MSC AMBRA QS636A"/>
    <s v="OTHER"/>
    <s v="TPVB20260835015"/>
    <x v="660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24T00:00:00"/>
    <n v="35"/>
    <s v="POPV260902035"/>
    <m/>
    <s v="TIANJIN"/>
    <x v="0"/>
    <x v="1"/>
    <d v="2026-09-02T00:00:00"/>
    <d v="2026-09-04T00:00:00"/>
    <d v="2026-09-04T00:00:00"/>
    <d v="2026-11-09T00:00:00"/>
    <m/>
    <m/>
    <s v="CIF"/>
    <s v="MSC AMBRA QS636A"/>
    <s v="OTHER"/>
    <s v="TPVB20260835015"/>
    <x v="660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864"/>
    <s v="Black glazing"/>
    <s v="AEU"/>
  </r>
  <r>
    <s v="26Aug009.01.01"/>
    <s v="Yixing"/>
    <s v="26Aug009"/>
    <s v="UPP"/>
    <x v="1"/>
    <s v="SPTN Offstore in Transit WH"/>
    <s v="CIF"/>
    <x v="10"/>
    <s v="U2"/>
    <x v="178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IN-TRANSIT"/>
    <d v="2026-08-17T00:00:00"/>
    <d v="2026-09-04T00:00:00"/>
    <n v="36"/>
    <s v="POPV260911032"/>
    <m/>
    <s v="SHANGHAI"/>
    <x v="1"/>
    <x v="1"/>
    <d v="2026-09-06T00:00:00"/>
    <d v="2026-09-17T00:00:00"/>
    <d v="2026-09-15T00:00:00"/>
    <d v="2026-10-17T00:00:00"/>
    <m/>
    <m/>
    <m/>
    <s v="CMA CGM CHAMPS ELYSEES / 0FMN4W1MA"/>
    <s v="OTHER"/>
    <s v="TPVB20260936001"/>
    <x v="661"/>
    <s v="CHN3880669"/>
    <n v="32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8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IN-TRANSIT"/>
    <d v="2026-08-27T00:00:00"/>
    <d v="2026-09-04T00:00:00"/>
    <n v="36"/>
    <s v="POPV260911045"/>
    <m/>
    <s v="SHANGHAI"/>
    <x v="1"/>
    <x v="1"/>
    <d v="2026-09-06T00:00:00"/>
    <d v="2026-09-17T00:00:00"/>
    <d v="2026-09-15T00:00:00"/>
    <d v="2026-10-17T00:00:00"/>
    <m/>
    <m/>
    <m/>
    <s v="CMA CGM CHAMPS ELYSEES / 0FMN4W1MA"/>
    <s v="OTHER"/>
    <s v="TPVB20260936001"/>
    <x v="661"/>
    <s v="CHN3880669"/>
    <n v="32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7"/>
    <s v="IN-TRANSIT"/>
    <m/>
    <d v="2026-09-03T00:00:00"/>
    <n v="36"/>
    <s v="POPV260904016"/>
    <m/>
    <s v="SHANGHAI"/>
    <x v="1"/>
    <x v="6"/>
    <d v="2026-09-08T00:00:00"/>
    <d v="2026-09-09T02:00:00"/>
    <d v="2026-09-09T02:29:06"/>
    <d v="2026-10-18T00:00:00"/>
    <d v="2026-10-20T07:00:00"/>
    <s v=""/>
    <m/>
    <s v="OOCL VALENCIA 011W"/>
    <s v="COSCO"/>
    <s v="TPVB20260936008"/>
    <x v="662"/>
    <s v="COSU6464780390"/>
    <n v="41.188125000000582"/>
    <m/>
    <d v="2026-10-20T07:00:00"/>
    <s v="-"/>
    <s v=""/>
    <n v="7"/>
    <d v="2026-10-27T07:00:00"/>
    <s v="n/a"/>
    <s v="n/a"/>
    <n v="44"/>
    <n v="36"/>
    <n v="792"/>
    <s v="Black glazing"/>
    <s v="AEU"/>
  </r>
  <r>
    <s v="26Aug009.02"/>
    <s v="Yixing"/>
    <s v="26Aug009"/>
    <s v="UPP"/>
    <x v="1"/>
    <s v="SPTN Offstore in Transit WH"/>
    <s v="CIF"/>
    <x v="10"/>
    <s v="U2"/>
    <x v="178"/>
    <s v="DE0126080400009"/>
    <n v="33"/>
    <s v="Yes"/>
    <m/>
    <x v="0"/>
    <x v="100"/>
    <s v="HSM-ND66-GR620"/>
    <s v="H4(Com)"/>
    <s v="+400mm/-200mm"/>
    <n v="620"/>
    <n v="7920"/>
    <n v="4.9104000000000001"/>
    <n v="220"/>
    <n v="11"/>
    <x v="17"/>
    <s v="IN-TRANSIT"/>
    <d v="2026-09-06T00:00:00"/>
    <d v="2026-09-08T00:00:00"/>
    <n v="37"/>
    <s v="POPV260911038"/>
    <m/>
    <s v="SHANGHAI"/>
    <x v="1"/>
    <x v="1"/>
    <d v="2026-09-13T00:00:00"/>
    <d v="2026-09-13T17:00:00"/>
    <d v="2026-09-13T14:05:08"/>
    <d v="2026-10-18T00:00:00"/>
    <d v="2026-10-22T15:00:00"/>
    <s v=""/>
    <m/>
    <s v="COSCO SHIPPING STAR 030W"/>
    <s v="COSCO"/>
    <s v="TPVB20260936009"/>
    <x v="663"/>
    <s v="COSU6464774420"/>
    <n v="39.038101851852844"/>
    <m/>
    <d v="2026-10-22T15:00:00"/>
    <s v="-"/>
    <s v=""/>
    <n v="0"/>
    <d v="2026-10-22T15:00:00"/>
    <n v="2026"/>
    <n v="10"/>
    <n v="43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8"/>
    <s v="DE0126080400009"/>
    <n v="28"/>
    <s v="Yes"/>
    <m/>
    <x v="0"/>
    <x v="100"/>
    <s v="HSM-ND66-GR620"/>
    <s v="H4(Com)"/>
    <s v="+400mm/-200mm"/>
    <n v="620"/>
    <n v="3600"/>
    <n v="2.2320000000000002"/>
    <n v="100"/>
    <n v="5"/>
    <x v="17"/>
    <s v="IN-TRANSIT"/>
    <d v="2026-09-01T00:00:00"/>
    <d v="2026-09-03T00:00:00"/>
    <n v="36"/>
    <s v="POPV260911042"/>
    <m/>
    <s v="SHANGHAI"/>
    <x v="1"/>
    <x v="1"/>
    <d v="2026-09-07T00:00:00"/>
    <d v="2026-09-12T19:30:00"/>
    <d v="2026-09-12T17:11:53"/>
    <d v="2026-10-14T00:00:00"/>
    <d v="2026-10-24T21:00:00"/>
    <s v=""/>
    <m/>
    <s v="EVER APEX 1417-015W"/>
    <s v="COSCO"/>
    <s v="TPVB20260936011"/>
    <x v="664"/>
    <s v="COSU6464775680"/>
    <n v="42.158414351848478"/>
    <m/>
    <d v="2026-10-24T21:00:00"/>
    <s v="-"/>
    <s v=""/>
    <n v="0"/>
    <d v="2026-10-24T21:00:00"/>
    <n v="2026"/>
    <n v="10"/>
    <n v="43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8"/>
    <s v="DE0126080400009"/>
    <n v="29"/>
    <s v="Yes"/>
    <m/>
    <x v="0"/>
    <x v="100"/>
    <s v="HSM-ND66-GR620"/>
    <s v="H4(Com)"/>
    <s v="+400mm/-200mm"/>
    <n v="620"/>
    <n v="5760"/>
    <n v="3.5712000000000002"/>
    <n v="160"/>
    <n v="8"/>
    <x v="17"/>
    <s v="IN-TRANSIT"/>
    <d v="2026-09-04T00:00:00"/>
    <d v="2026-09-05T00:00:00"/>
    <n v="36"/>
    <s v="POPV260911043"/>
    <m/>
    <s v="SHANGHAI"/>
    <x v="1"/>
    <x v="1"/>
    <d v="2026-09-10T00:00:00"/>
    <d v="2026-09-11T12:30:00"/>
    <d v="2026-09-11T12:51:48"/>
    <d v="2026-10-24T00:00:00"/>
    <d v="2026-10-26T22:30:00"/>
    <s v=""/>
    <m/>
    <s v="OOCL UNITED KINGDOM 038W"/>
    <s v="COSCO"/>
    <s v="TPVB20260936012"/>
    <x v="665"/>
    <s v="COSU6464778420"/>
    <n v="45.401527777779847"/>
    <m/>
    <d v="2026-10-26T22:30:00"/>
    <s v="-"/>
    <s v=""/>
    <n v="0"/>
    <d v="2026-10-26T22:30:00"/>
    <n v="2026"/>
    <n v="10"/>
    <n v="44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7"/>
    <m/>
    <s v="ready"/>
    <d v="2026-09-04T00:00:00"/>
    <m/>
    <s v="POPV260911058"/>
    <m/>
    <s v="SHANGHAI"/>
    <x v="1"/>
    <x v="0"/>
    <d v="2026-09-12T00:00:00"/>
    <d v="2026-09-12T19:00:00"/>
    <d v="2026-09-12T19:59:39"/>
    <d v="2026-10-21T00:00:00"/>
    <d v="2026-10-21T20:00:00"/>
    <s v=""/>
    <m/>
    <s v="CMA CGM PATAGONIA 0MEOPW1MA"/>
    <s v="COSCO"/>
    <s v="TPVB20260936013"/>
    <x v="666"/>
    <s v="COSU6464781690"/>
    <n v="39.000243055561441"/>
    <m/>
    <d v="2026-10-21T20:00:00"/>
    <s v="-"/>
    <s v=""/>
    <n v="8"/>
    <d v="2026-10-29T20:00:00"/>
    <n v="2026"/>
    <n v="10"/>
    <n v="44"/>
    <n v="36"/>
    <n v="864"/>
    <s v="White glazing"/>
    <s v="AEM"/>
  </r>
  <r>
    <s v="26Aug005.03"/>
    <s v="Tianjin(transport to yixing for  shipment)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IN-TRANSIT"/>
    <s v="Keep for FR"/>
    <d v="2026-09-10T00:00:00"/>
    <n v="37"/>
    <s v="POPV260911062"/>
    <m/>
    <s v="SHANGHAI"/>
    <x v="1"/>
    <x v="0"/>
    <d v="2026-09-15T00:00:00"/>
    <d v="2026-09-19T17:30:00"/>
    <d v="2026-09-19T18:11:22"/>
    <d v="2026-11-02T00:00:00"/>
    <d v="2026-11-10T19:00:00"/>
    <s v=""/>
    <m/>
    <s v="CSCL PACIFIC OCEAN 067W"/>
    <s v="COSCO"/>
    <s v="TPVB20260936014"/>
    <x v="667"/>
    <s v="COSU6464783150"/>
    <n v="52.033773148148612"/>
    <m/>
    <d v="2026-11-10T19:00:00"/>
    <s v="-"/>
    <s v=""/>
    <n v="8"/>
    <d v="2026-11-18T19:00:00"/>
    <n v="2026"/>
    <n v="11"/>
    <n v="47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7"/>
    <s v="IN-TRANSIT"/>
    <s v="Keep for FR"/>
    <d v="2026-09-10T00:00:00"/>
    <n v="37"/>
    <s v="POPV260911065"/>
    <m/>
    <s v="SHANGHAI"/>
    <x v="1"/>
    <x v="0"/>
    <d v="2026-09-15T00:00:00"/>
    <d v="2026-09-19T17:30:00"/>
    <d v="2026-09-19T18:11:22"/>
    <d v="2026-11-02T00:00:00"/>
    <d v="2026-11-10T19:00:00"/>
    <s v=""/>
    <m/>
    <s v="CSCL PACIFIC OCEAN 067W"/>
    <s v="COSCO"/>
    <s v="TPVB20260936014"/>
    <x v="667"/>
    <s v="COSU6464783150"/>
    <n v="52.033773148148612"/>
    <m/>
    <d v="2026-11-10T19:00:00"/>
    <s v="-"/>
    <s v=""/>
    <n v="8"/>
    <d v="2026-11-18T19:00:00"/>
    <n v="2026"/>
    <n v="11"/>
    <n v="47"/>
    <n v="36"/>
    <n v="864"/>
    <s v="Black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7"/>
    <s v="IN-TRANSIT"/>
    <s v="ready"/>
    <d v="2026-09-03T00:00:00"/>
    <n v="36"/>
    <s v="POPV260904010"/>
    <m/>
    <s v="SHANGHAI"/>
    <x v="1"/>
    <x v="2"/>
    <d v="2026-09-08T00:00:00"/>
    <d v="2026-09-08T01:00:00"/>
    <d v="2026-09-08T01:51:54"/>
    <d v="2026-10-22T00:00:00"/>
    <d v="2026-11-07T14:00:00"/>
    <s v=""/>
    <m/>
    <s v="COSCO SHIPPING ROSE 047W"/>
    <s v="COSCO"/>
    <s v="TPVB20260936015"/>
    <x v="668"/>
    <s v="COSU6464784160"/>
    <n v="60.505625000005239"/>
    <m/>
    <d v="2026-11-07T14:00:00"/>
    <s v="-"/>
    <s v=""/>
    <n v="9"/>
    <d v="2026-11-16T14:00:00"/>
    <s v="n/a"/>
    <s v="n/a"/>
    <n v="47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7"/>
    <s v="IN-TRANSIT"/>
    <s v="ready"/>
    <d v="2026-09-04T00:00:00"/>
    <n v="36"/>
    <s v="POPV260911044"/>
    <m/>
    <s v="SHANGHAI"/>
    <x v="1"/>
    <x v="2"/>
    <d v="2026-09-12T00:00:00"/>
    <d v="2026-09-12T19:00:00"/>
    <d v="2026-09-12T19:59:39"/>
    <d v="2026-10-15T00:00:00"/>
    <d v="2026-10-16T14:00:00"/>
    <s v=""/>
    <m/>
    <s v="CMA CGM PATAGONIA 0MEOPW1MA"/>
    <s v="COSCO"/>
    <s v="TPVB20260936016"/>
    <x v="669"/>
    <s v="COSU6465498240"/>
    <n v="33.750243055561441"/>
    <m/>
    <d v="2026-10-16T14:00:00"/>
    <s v="-"/>
    <s v=""/>
    <n v="9"/>
    <d v="2026-10-25T14:00:00"/>
    <s v="n/a"/>
    <s v="n/a"/>
    <n v="43"/>
    <n v="36"/>
    <n v="720"/>
    <s v="Redirection Film"/>
    <s v="AEM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8"/>
    <m/>
    <s v="ready"/>
    <d v="2026-09-09T00:00:00"/>
    <m/>
    <s v="POPV260911051"/>
    <m/>
    <s v="SHANGHAI"/>
    <x v="1"/>
    <x v="0"/>
    <d v="2026-09-13T00:00:00"/>
    <d v="2026-09-14T00:00:00"/>
    <d v="2026-09-14T00:00:00"/>
    <d v="2026-11-04T00:00:00"/>
    <m/>
    <m/>
    <m/>
    <s v="EUGEN MAERSK"/>
    <s v="OTHER"/>
    <s v="TPVB20260936002"/>
    <x v="670"/>
    <n v="276098842"/>
    <n v="51"/>
    <m/>
    <d v="2026-11-04T00:00:00"/>
    <s v="-"/>
    <s v=""/>
    <n v="8"/>
    <d v="2026-11-12T00:00:00"/>
    <n v="2026"/>
    <n v="11"/>
    <n v="46"/>
    <n v="36"/>
    <n v="864"/>
    <s v="White glazing"/>
    <s v="AEM"/>
  </r>
  <r>
    <s v="26Aug010.06"/>
    <s v="Yixing"/>
    <s v="26Aug010"/>
    <s v="UPP"/>
    <x v="1"/>
    <s v="SPTN Offstore in Transit WH"/>
    <s v="CIF"/>
    <x v="36"/>
    <s v="U2"/>
    <x v="185"/>
    <s v="RS0126081900007"/>
    <n v="1"/>
    <s v="Yes"/>
    <m/>
    <x v="0"/>
    <x v="97"/>
    <s v="HSM-ND66-GR625"/>
    <s v="H4(Com)"/>
    <s v="+400mm/-200mm"/>
    <n v="625"/>
    <n v="5760"/>
    <n v="3.6"/>
    <n v="160"/>
    <n v="8"/>
    <x v="17"/>
    <s v="IN-TRANSIT"/>
    <m/>
    <d v="2026-09-12T00:00:00"/>
    <n v="37"/>
    <s v="POPV260918060"/>
    <m/>
    <s v="SHANGHAI"/>
    <x v="1"/>
    <x v="22"/>
    <d v="2026-09-15T00:00:00"/>
    <d v="2026-09-19T00:00:00"/>
    <d v="2026-09-19T00:00:00"/>
    <d v="2026-10-29T00:00:00"/>
    <d v="2026-10-30T00:00:00"/>
    <m/>
    <m/>
    <s v="CSCL PACIFIC OCEAN 067W"/>
    <s v="OTHER"/>
    <s v="TPVB20260836004"/>
    <x v="671"/>
    <s v="EGLV149607783982"/>
    <n v="41"/>
    <m/>
    <d v="2026-10-30T00:00:00"/>
    <s v="-"/>
    <s v=""/>
    <n v="0"/>
    <d v="2026-10-30T00:00:00"/>
    <s v="n/a"/>
    <s v="n/a"/>
    <n v="44"/>
    <n v="36"/>
    <n v="720"/>
    <s v="Redirection Film"/>
    <s v="n/a"/>
  </r>
  <r>
    <s v="26Aug006.01.01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IN-TRANSIT"/>
    <d v="2026-09-09T00:00:00"/>
    <d v="2026-09-11T00:00:00"/>
    <n v="37"/>
    <s v="POPV260918037"/>
    <m/>
    <s v="NINGBO"/>
    <x v="3"/>
    <x v="0"/>
    <d v="2026-09-15T00:00:00"/>
    <d v="2026-09-16T01:00:00"/>
    <d v="2026-09-16T00:00:00"/>
    <d v="2026-10-28T00:00:00"/>
    <d v="2026-10-28T06:00:00"/>
    <s v=""/>
    <m/>
    <s v="CMA CGM KERGUELEN 0MEORW"/>
    <s v="COSCO"/>
    <s v="TPVB20260936017"/>
    <x v="672"/>
    <s v="COSU9509736950"/>
    <n v="42.25"/>
    <m/>
    <d v="2026-10-28T06:00:00"/>
    <s v="-"/>
    <s v=""/>
    <n v="8"/>
    <d v="2026-11-05T06:00:00"/>
    <n v="2026"/>
    <n v="11"/>
    <n v="45"/>
    <n v="36"/>
    <n v="864"/>
    <s v="Black glazing"/>
    <s v="AEM"/>
  </r>
  <r>
    <s v="26Aug006.05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IN-TRANSIT"/>
    <d v="2026-09-14T00:00:00"/>
    <d v="2026-09-21T00:00:00"/>
    <n v="39"/>
    <s v="POPV260924025"/>
    <m/>
    <s v="NINGBO"/>
    <x v="3"/>
    <x v="0"/>
    <d v="2026-09-17T00:00:00"/>
    <d v="2026-09-24T15:00:00"/>
    <d v="2026-09-24T15:59:53"/>
    <d v="2026-11-02T00:00:00"/>
    <d v="2026-11-10T19:00:00"/>
    <s v=""/>
    <m/>
    <s v="CSCL PACIFIC OCEAN 067W"/>
    <s v="COSCO"/>
    <s v="TPVB20260936018"/>
    <x v="673"/>
    <s v="COSU9509736980"/>
    <n v="47.12508101851563"/>
    <m/>
    <d v="2026-11-10T19:00:00"/>
    <s v="-"/>
    <s v=""/>
    <n v="8"/>
    <d v="2026-11-18T19:00:00"/>
    <n v="2026"/>
    <n v="11"/>
    <n v="47"/>
    <n v="36"/>
    <n v="864"/>
    <s v="Black glazing"/>
    <s v="AEM"/>
  </r>
  <r>
    <s v="26Aug005.07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IN-TRANSIT"/>
    <d v="2026-09-15T00:00:00"/>
    <d v="2026-09-21T00:00:00"/>
    <n v="39"/>
    <s v="POPV260924018"/>
    <m/>
    <s v="NINGBO"/>
    <x v="3"/>
    <x v="0"/>
    <d v="2026-09-17T00:00:00"/>
    <d v="2026-09-24T15:00:00"/>
    <d v="2026-09-24T15:59:53"/>
    <d v="2026-11-02T00:00:00"/>
    <d v="2026-11-10T19:00:00"/>
    <s v=""/>
    <m/>
    <s v="CSCL PACIFIC OCEAN 067W"/>
    <s v="COSCO"/>
    <s v="TPVB20260936018"/>
    <x v="673"/>
    <s v="COSU9509736980"/>
    <n v="47.12508101851563"/>
    <m/>
    <d v="2026-11-10T19:00:00"/>
    <s v="-"/>
    <s v=""/>
    <n v="8"/>
    <d v="2026-11-18T19:00:00"/>
    <n v="2026"/>
    <n v="11"/>
    <n v="47"/>
    <n v="36"/>
    <n v="864"/>
    <s v="Black glazing"/>
    <s v="AEM"/>
  </r>
  <r>
    <s v="26Aug006.06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d v="2026-09-15T00:00:00"/>
    <d v="2026-10-04T00:00:00"/>
    <n v="40"/>
    <s v="POPV261010011"/>
    <m/>
    <s v="NINGBO"/>
    <x v="3"/>
    <x v="0"/>
    <d v="2026-09-23T00:00:00"/>
    <d v="2026-10-08T00:00:00"/>
    <s v=""/>
    <d v="2026-11-09T00:00:00"/>
    <d v="2026-11-18T19:00:00"/>
    <s v=""/>
    <m/>
    <s v="EVER GRADE 029W"/>
    <s v="COSCO"/>
    <s v="TPVB20260936019"/>
    <x v="674"/>
    <s v="COSU9509739210"/>
    <n v="41.791666666664241"/>
    <m/>
    <d v="2026-11-18T19:00:00"/>
    <s v="-"/>
    <s v=""/>
    <n v="8"/>
    <d v="2026-11-26T19:00:00"/>
    <n v="2026"/>
    <n v="11"/>
    <n v="48"/>
    <n v="36"/>
    <n v="864"/>
    <s v="Black glazing"/>
    <s v="AEM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4680"/>
    <n v="2.2229999999999999"/>
    <n v="130"/>
    <n v="5"/>
    <x v="17"/>
    <s v="IN-TRANSIT"/>
    <d v="2026-08-26T00:00:00"/>
    <d v="2026-09-14T00:00:00"/>
    <n v="38"/>
    <s v="POPV260918046"/>
    <m/>
    <s v="NINGBO"/>
    <x v="3"/>
    <x v="1"/>
    <d v="2026-09-15T00:00:00"/>
    <d v="2026-09-17T14:00:00"/>
    <d v="2026-09-17T14:44:37"/>
    <d v="2026-10-18T00:00:00"/>
    <d v="2026-10-22T15:00:00"/>
    <s v=""/>
    <m/>
    <s v="COSCO SHIPPING STAR 030W"/>
    <s v="COSCO"/>
    <s v="TPVB20260936003"/>
    <x v="675"/>
    <s v="COSU9509606910"/>
    <n v="35.010682870371966"/>
    <m/>
    <d v="2026-10-22T15:00:00"/>
    <s v="-"/>
    <s v=""/>
    <n v="7"/>
    <d v="2026-10-29T15:00:00"/>
    <n v="2026"/>
    <n v="10"/>
    <n v="44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IN-TRANSIT"/>
    <d v="2026-08-26T00:00:00"/>
    <d v="2026-09-15T00:00:00"/>
    <n v="38"/>
    <s v="POPV260918045"/>
    <m/>
    <s v="NINGBO"/>
    <x v="3"/>
    <x v="1"/>
    <d v="2026-09-17T00:00:00"/>
    <d v="2026-09-19T09:00:00"/>
    <d v="2026-09-19T09:31:25"/>
    <d v="2026-10-20T00:00:00"/>
    <d v="2026-10-24T21:00:00"/>
    <s v=""/>
    <m/>
    <s v="EVER APEX 1417W"/>
    <s v="COSCO"/>
    <s v="TPVB20260936007"/>
    <x v="676"/>
    <s v="COSU9509606920"/>
    <n v="35.478182870370802"/>
    <m/>
    <d v="2026-10-24T21:00:00"/>
    <s v="-"/>
    <s v=""/>
    <n v="7"/>
    <d v="2026-10-31T21:00:00"/>
    <n v="2026"/>
    <n v="10"/>
    <n v="44"/>
    <n v="36"/>
    <n v="936"/>
    <s v="Black glazing"/>
    <s v="AEU"/>
  </r>
  <r>
    <s v="26Aug010.16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720"/>
    <n v="0.45"/>
    <n v="20"/>
    <n v="1"/>
    <x v="19"/>
    <s v="IN-TRANSIT"/>
    <s v="ready"/>
    <d v="2026-09-15T00:00:00"/>
    <n v="38"/>
    <s v="POPV260918063"/>
    <m/>
    <s v="NINGBO"/>
    <x v="3"/>
    <x v="1"/>
    <d v="2026-09-17T00:00:00"/>
    <d v="2026-09-19T00:00:00"/>
    <d v="2026-09-19T09:31:25"/>
    <d v="2026-10-20T00:00:00"/>
    <d v="2026-10-24T21:00:00"/>
    <s v=""/>
    <m/>
    <s v="EVER APEX 1417W"/>
    <s v="COSCO"/>
    <s v="TPVB20260936007"/>
    <x v="676"/>
    <s v="COSU9509606920"/>
    <n v="35.478182870370802"/>
    <m/>
    <d v="2026-10-24T21:00:00"/>
    <s v="-"/>
    <s v=""/>
    <n v="7"/>
    <d v="2026-10-31T21:00:00"/>
    <s v="n/a"/>
    <s v="n/a"/>
    <n v="44"/>
    <n v="36"/>
    <n v="720"/>
    <s v="Redirection Film"/>
    <s v="AEU"/>
  </r>
  <r>
    <s v="26Aug020.07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20"/>
    <m/>
    <s v="ready"/>
    <d v="2026-09-15T00:00:00"/>
    <n v="38"/>
    <s v="POPV260918053"/>
    <m/>
    <s v="NINGBO"/>
    <x v="3"/>
    <x v="1"/>
    <d v="2026-09-17T00:00:00"/>
    <d v="2026-09-19T00:00:00"/>
    <d v="2026-09-19T09:31:25"/>
    <d v="2026-10-20T00:00:00"/>
    <d v="2026-10-24T21:00:00"/>
    <s v=""/>
    <m/>
    <s v="EVER APEX 1417W"/>
    <s v="COSCO"/>
    <s v="TPVB20260936007"/>
    <x v="676"/>
    <s v="COSU9509606920"/>
    <n v="35.478182870370802"/>
    <m/>
    <d v="2026-10-24T21:00:00"/>
    <s v="-"/>
    <s v=""/>
    <n v="7"/>
    <d v="2026-10-31T21:00:00"/>
    <n v="2026"/>
    <n v="10"/>
    <n v="44"/>
    <n v="36"/>
    <n v="864"/>
    <s v="White glazing"/>
    <s v="AEU"/>
  </r>
  <r>
    <s v="26Jul007.05"/>
    <s v="Quzhou"/>
    <s v="26Jul007"/>
    <s v="CORE DG"/>
    <x v="1"/>
    <s v="SPTN Offstore in Transit WH"/>
    <s v="CIF"/>
    <x v="14"/>
    <s v="U6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7"/>
    <s v="IN-TRANSIT"/>
    <s v="七月18日"/>
    <d v="2026-09-09T00:00:00"/>
    <n v="37"/>
    <s v="POPV260911035"/>
    <m/>
    <s v="NINGBO"/>
    <x v="3"/>
    <x v="9"/>
    <d v="2026-09-09T00:00:00"/>
    <d v="2026-09-13T18:45:00"/>
    <d v="2026-09-13T13:11:41"/>
    <d v="2026-10-28T00:00:00"/>
    <d v="2026-10-28T22:00:00"/>
    <s v=""/>
    <m/>
    <s v="OOCL VALENCIA 011W"/>
    <s v="COSCO"/>
    <s v="TPVB20260936005"/>
    <x v="677"/>
    <s v="COSU9509650560"/>
    <n v="45.366886574069213"/>
    <m/>
    <d v="2026-10-28T22:00:00"/>
    <s v="-"/>
    <s v=""/>
    <n v="0"/>
    <d v="2026-10-28T22:00:00"/>
    <n v="2026"/>
    <n v="10"/>
    <n v="44"/>
    <n v="36"/>
    <n v="864"/>
    <s v="Black glazing"/>
    <s v="AEU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7"/>
    <s v="IN-TRANSIT"/>
    <s v="ready"/>
    <d v="2026-09-09T00:00:00"/>
    <n v="37"/>
    <s v="POPV260911039"/>
    <m/>
    <s v="NINGBO"/>
    <x v="3"/>
    <x v="0"/>
    <d v="2026-09-12T00:00:00"/>
    <d v="2026-09-14T00:00:00"/>
    <d v="2026-09-14T19:21:37"/>
    <d v="2026-10-26T00:00:00"/>
    <d v="2026-11-04T06:00:00"/>
    <s v=""/>
    <m/>
    <s v="OOCL INDONESIA 037W"/>
    <s v="COSCO"/>
    <s v="TPVB20260936006"/>
    <x v="678"/>
    <s v="COSU9509488350"/>
    <n v="50.443321759259561"/>
    <m/>
    <d v="2026-11-04T06:00:00"/>
    <s v="-"/>
    <s v=""/>
    <n v="8"/>
    <d v="2026-11-12T06:00:00"/>
    <n v="2026"/>
    <n v="11"/>
    <n v="46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7"/>
    <s v="IN-TRANSIT"/>
    <m/>
    <d v="2026-09-03T00:00:00"/>
    <n v="36"/>
    <s v="POPV260904018"/>
    <m/>
    <s v="TIANJIN"/>
    <x v="0"/>
    <x v="0"/>
    <d v="2026-09-11T00:00:00"/>
    <d v="2026-09-10T20:00:00"/>
    <d v="2026-09-10T20:44:55"/>
    <d v="2026-11-04T00:00:00"/>
    <d v="2026-11-04T06:00:00"/>
    <s v=""/>
    <s v="CIF"/>
    <s v="COSCO SHIPPING ARIES 038W"/>
    <s v="COSCO"/>
    <s v="TPVB20260836005"/>
    <x v="679"/>
    <s v="COSU9509531260"/>
    <n v="54.385474537033588"/>
    <m/>
    <d v="2026-11-04T06:00:00"/>
    <s v="-"/>
    <s v=""/>
    <n v="8"/>
    <d v="2026-11-12T06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7"/>
    <s v="IN-TRANSIT"/>
    <m/>
    <d v="2026-09-03T00:00:00"/>
    <n v="36"/>
    <s v="POPV260904019"/>
    <m/>
    <s v="TIANJIN"/>
    <x v="0"/>
    <x v="0"/>
    <d v="2026-09-11T00:00:00"/>
    <d v="2026-09-10T20:00:00"/>
    <d v="2026-09-10T20:44:55"/>
    <d v="2026-11-16T00:00:00"/>
    <d v="2026-11-17T18:00:00"/>
    <s v=""/>
    <s v="CIF"/>
    <s v="COSCO SHIPPING ARIES 038W"/>
    <s v="COSCO"/>
    <s v="TPVB20260836006"/>
    <x v="680"/>
    <s v="COSU9509531180"/>
    <n v="67.885474537033588"/>
    <m/>
    <d v="2026-11-17T18:00:00"/>
    <s v="-"/>
    <s v=""/>
    <n v="8"/>
    <d v="2026-11-25T18:00:00"/>
    <n v="2026"/>
    <n v="11"/>
    <n v="48"/>
    <n v="36"/>
    <n v="864"/>
    <s v="Black glazing"/>
    <s v="AEM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HC500改FOS 补舱"/>
    <d v="2026-09-03T00:00:00"/>
    <n v="36"/>
    <s v="POPV260904013"/>
    <m/>
    <s v="TIANJIN"/>
    <x v="0"/>
    <x v="1"/>
    <d v="2026-09-11T00:00:00"/>
    <d v="2026-09-10T20:00:00"/>
    <d v="2026-09-10T20:44:55"/>
    <d v="2026-10-26T00:00:00"/>
    <d v="2026-10-26T23:00:00"/>
    <s v=""/>
    <s v="CIF"/>
    <s v="COSCO SHIPPING ARIES 038W"/>
    <s v="COSCO"/>
    <s v="TPVB20260836002"/>
    <x v="681"/>
    <s v="COSU6464983000"/>
    <n v="46.093807870369346"/>
    <m/>
    <d v="2026-10-26T23:00:00"/>
    <s v="-"/>
    <s v=""/>
    <n v="7"/>
    <d v="2026-11-02T23:00:00"/>
    <n v="2026"/>
    <n v="11"/>
    <n v="45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HC500改FOS 补舱"/>
    <d v="2026-09-04T00:00:00"/>
    <n v="36"/>
    <s v="POPV260911066"/>
    <m/>
    <s v="TIANJIN"/>
    <x v="0"/>
    <x v="1"/>
    <d v="2026-09-11T00:00:00"/>
    <d v="2026-09-10T20:00:00"/>
    <d v="2026-09-10T20:44:55"/>
    <d v="2026-10-26T00:00:00"/>
    <d v="2026-10-26T23:00:00"/>
    <s v=""/>
    <s v="CIF"/>
    <s v="COSCO SHIPPING ARIES 038W"/>
    <s v="COSCO"/>
    <s v="TPVB20260836003"/>
    <x v="682"/>
    <s v="COSU9509511700"/>
    <n v="46.093807870369346"/>
    <m/>
    <d v="2026-10-26T23:00:00"/>
    <s v="-"/>
    <s v=""/>
    <n v="7"/>
    <d v="2026-11-02T23:00:00"/>
    <n v="2026"/>
    <n v="11"/>
    <n v="45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8"/>
    <s v="DE0126080600001"/>
    <n v="1"/>
    <s v="Yes"/>
    <m/>
    <x v="3"/>
    <x v="102"/>
    <s v="HSM-BD66-GR650"/>
    <s v="H4(Com)"/>
    <s v="+400mm/-200mm"/>
    <n v="650"/>
    <n v="1440"/>
    <n v="0.93600000000000005"/>
    <n v="40"/>
    <n v="2"/>
    <x v="17"/>
    <s v="IN-TRANSIT"/>
    <d v="2026-09-03T00:00:00"/>
    <d v="2026-09-04T00:00:00"/>
    <n v="36"/>
    <s v="POPV260911029"/>
    <m/>
    <s v="TIANJIN"/>
    <x v="0"/>
    <x v="1"/>
    <d v="2026-09-07T00:00:00"/>
    <d v="2026-09-12T00:00:00"/>
    <d v="2026-09-13T00:00:00"/>
    <d v="2026-10-24T00:00:00"/>
    <m/>
    <m/>
    <s v="FOB"/>
    <s v="MSC OLIVER V.GT636W"/>
    <s v="OTHER"/>
    <s v="TPVB20260836001"/>
    <x v="683"/>
    <s v="N235186781"/>
    <m/>
    <m/>
    <d v="2026-10-24T00:00:00"/>
    <s v="-"/>
    <s v=""/>
    <n v="0"/>
    <d v="2026-10-24T00:00:00"/>
    <n v="2026"/>
    <n v="10"/>
    <n v="43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8"/>
    <s v="DE0126080600001"/>
    <n v="2"/>
    <s v="Yes"/>
    <m/>
    <x v="3"/>
    <x v="103"/>
    <s v="HSM-BD66-GR655"/>
    <s v="H4(Com)"/>
    <s v="+400mm/-200mm"/>
    <n v="655"/>
    <n v="2160"/>
    <n v="1.4148000000000001"/>
    <n v="60"/>
    <n v="3"/>
    <x v="17"/>
    <s v="IN-TRANSIT"/>
    <d v="2026-09-12T00:00:00"/>
    <d v="2026-09-04T00:00:00"/>
    <n v="36"/>
    <s v="POPV260911033"/>
    <m/>
    <s v="TIANJIN"/>
    <x v="0"/>
    <x v="1"/>
    <d v="2026-09-07T00:00:00"/>
    <d v="2026-09-12T00:00:00"/>
    <d v="2026-09-13T00:00:00"/>
    <d v="2026-10-24T00:00:00"/>
    <m/>
    <m/>
    <s v="FOB"/>
    <s v="MSC OLIVER V.GT636W"/>
    <s v="OTHER"/>
    <s v="TPVB20260836001"/>
    <x v="683"/>
    <s v="N235186781"/>
    <n v="41"/>
    <m/>
    <d v="2026-10-24T00:00:00"/>
    <s v="-"/>
    <s v=""/>
    <n v="0"/>
    <d v="2026-10-24T00:00:00"/>
    <s v="n/a"/>
    <s v="n/a"/>
    <n v="43"/>
    <n v="36"/>
    <n v="720"/>
    <s v="White glazing"/>
    <s v="AEU"/>
  </r>
  <r>
    <s v="26Aug003.02"/>
    <s v="Tianjin(Transport to Yixing for shipment)"/>
    <s v="26Aug003"/>
    <s v="CORE DG"/>
    <x v="1"/>
    <s v="SPTN Offstore in Transit WH"/>
    <s v="CIF"/>
    <x v="27"/>
    <s v="U4"/>
    <x v="186"/>
    <s v="PL0126090800021"/>
    <n v="1"/>
    <s v="Yes"/>
    <d v="2026-08-03T00:00:00"/>
    <x v="0"/>
    <x v="0"/>
    <s v="HSM-ND54-DR500"/>
    <s v="EVO2A"/>
    <s v="±1200mm"/>
    <n v="500"/>
    <n v="4320"/>
    <n v="2.16"/>
    <n v="120"/>
    <n v="5"/>
    <x v="18"/>
    <m/>
    <s v="Gdasnk"/>
    <d v="2026-09-11T00:00:00"/>
    <n v="37"/>
    <s v="POPV260915017"/>
    <m/>
    <s v="SHANGHAI"/>
    <x v="1"/>
    <x v="9"/>
    <d v="2026-09-14T00:00:00"/>
    <d v="2026-09-14T00:00:00"/>
    <d v="2026-09-14T16:47:44"/>
    <d v="2026-11-04T00:00:00"/>
    <d v="2026-11-04T06:00:00"/>
    <s v=""/>
    <m/>
    <s v="OOCL FINLAND 009W"/>
    <s v="COSCO"/>
    <s v="TPVB20260937012"/>
    <x v="684"/>
    <s v="COSU6465715640"/>
    <n v="50.550185185187729"/>
    <m/>
    <d v="2026-11-04T06:00:00"/>
    <s v="-"/>
    <s v=""/>
    <n v="0"/>
    <d v="2026-11-04T06:00:00"/>
    <n v="2026"/>
    <n v="11"/>
    <n v="45"/>
    <n v="36"/>
    <n v="864"/>
    <s v="Black glazing"/>
    <s v="AEU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4320"/>
    <n v="2.0304000000000002"/>
    <n v="120"/>
    <n v="5"/>
    <x v="20"/>
    <m/>
    <s v="ready"/>
    <d v="2026-09-15T00:00:00"/>
    <n v="38"/>
    <s v="POPV260918032"/>
    <m/>
    <s v="SHANGHAI"/>
    <x v="1"/>
    <x v="1"/>
    <d v="2026-09-14T00:00:00"/>
    <d v="2026-09-29T00:00:00"/>
    <d v="2026-09-29T00:00:00"/>
    <d v="2026-10-24T00:00:00"/>
    <m/>
    <m/>
    <m/>
    <s v="EVER ALLY 0LAO1W1MA/1419004W"/>
    <s v="OTHER"/>
    <s v="TPVB20260937001 "/>
    <x v="685"/>
    <s v="CHN3908478"/>
    <n v="25"/>
    <m/>
    <d v="2026-10-24T00:00:00"/>
    <s v="-"/>
    <s v=""/>
    <n v="7"/>
    <d v="2026-10-31T00:00:00"/>
    <n v="2026"/>
    <n v="10"/>
    <n v="44"/>
    <n v="36"/>
    <n v="864"/>
    <s v="White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7"/>
    <s v="IN-TRANSIT"/>
    <d v="2026-08-26T00:00:00"/>
    <d v="2026-09-15T00:00:00"/>
    <n v="38"/>
    <s v="POPV260918044"/>
    <m/>
    <s v="SHANGHAI"/>
    <x v="1"/>
    <x v="1"/>
    <d v="2026-09-14T00:00:00"/>
    <d v="2026-09-29T00:00:00"/>
    <d v="2026-09-29T00:00:00"/>
    <d v="2026-10-24T00:00:00"/>
    <s v=""/>
    <s v=""/>
    <m/>
    <s v="EVER ALLY 0LAO1W1MA/1419004W"/>
    <s v="OTHER"/>
    <s v="TPVB20260937001 "/>
    <x v="685"/>
    <s v="CHN3908494"/>
    <n v="25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1728"/>
    <n v="0.81215999999999999"/>
    <n v="48"/>
    <n v="2"/>
    <x v="20"/>
    <m/>
    <s v="ready"/>
    <d v="2026-09-15T00:00:00"/>
    <n v="38"/>
    <s v="POPV260918033"/>
    <m/>
    <s v="SHANGHAI"/>
    <x v="1"/>
    <x v="1"/>
    <d v="2026-09-14T00:00:00"/>
    <d v="2026-09-29T00:00:00"/>
    <d v="2026-09-29T00:00:00"/>
    <d v="2026-10-24T00:00:00"/>
    <s v=""/>
    <s v=""/>
    <m/>
    <s v="EVER ALLY 0LAO1W1MA/1419004W"/>
    <s v="OTHER"/>
    <s v="TPVB20260937001 "/>
    <x v="685"/>
    <s v="CHN3908494"/>
    <n v="25"/>
    <m/>
    <d v="2026-10-24T00:00:00"/>
    <s v="-"/>
    <s v=""/>
    <n v="7"/>
    <d v="2026-10-31T00:00:00"/>
    <n v="2026"/>
    <n v="10"/>
    <n v="44"/>
    <n v="36"/>
    <n v="864"/>
    <s v="White glazing"/>
    <s v="AEU"/>
  </r>
  <r>
    <s v="26Jun033.03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2970"/>
    <n v="2.1532499999999999"/>
    <n v="90"/>
    <n v="5"/>
    <x v="18"/>
    <s v="IN-TRANSIT"/>
    <s v="七月28日"/>
    <d v="2026-09-15T00:00:00"/>
    <n v="38"/>
    <s v="POPV260918049"/>
    <m/>
    <s v="SHANGHAI"/>
    <x v="1"/>
    <x v="1"/>
    <d v="2026-09-14T00:00:00"/>
    <d v="2026-09-20T00:00:00"/>
    <d v="2026-09-21T00:00:00"/>
    <d v="2026-10-24T00:00:00"/>
    <m/>
    <m/>
    <m/>
    <s v="CMA CGM SEINE / 0FMMWW1MA"/>
    <s v="OTHER"/>
    <s v="TPVB20260937002"/>
    <x v="686"/>
    <s v="CHN3908524"/>
    <m/>
    <m/>
    <d v="2026-10-24T00:00:00"/>
    <s v="-"/>
    <s v=""/>
    <n v="7"/>
    <d v="2026-10-31T00:00:00"/>
    <n v="2026"/>
    <n v="10"/>
    <n v="44"/>
    <n v="33"/>
    <n v="594"/>
    <s v="Transparent"/>
    <s v="AEU"/>
  </r>
  <r>
    <s v="26Jul009.05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IN-TRANSIT"/>
    <d v="2026-08-26T00:00:00"/>
    <d v="2026-09-15T00:00:00"/>
    <n v="38"/>
    <s v="POPV260918043"/>
    <m/>
    <s v="SHANGHAI"/>
    <x v="1"/>
    <x v="1"/>
    <d v="2026-09-14T00:00:00"/>
    <d v="2026-09-20T00:00:00"/>
    <d v="2026-09-21T00:00:00"/>
    <d v="2026-10-24T00:00:00"/>
    <m/>
    <s v=""/>
    <m/>
    <s v="CMA CGM SEINE / 0FMMWW1MA"/>
    <s v="OTHER"/>
    <s v="TPVB20260937002"/>
    <x v="686"/>
    <s v="CHN3908534"/>
    <n v="33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8"/>
    <m/>
    <s v="ready"/>
    <d v="2026-09-15T00:00:00"/>
    <m/>
    <s v="POPV260918041"/>
    <m/>
    <s v="SHANGHAI"/>
    <x v="1"/>
    <x v="1"/>
    <d v="2026-09-14T00:00:00"/>
    <d v="2026-09-20T00:00:00"/>
    <d v="2026-09-21T00:00:00"/>
    <d v="2026-10-24T00:00:00"/>
    <m/>
    <m/>
    <m/>
    <s v="CMA CGM SEINE / 0FMMWW1MA"/>
    <s v="OTHER"/>
    <s v="TPVB20260937002"/>
    <x v="686"/>
    <s v="CHN3908534"/>
    <n v="33"/>
    <m/>
    <d v="2026-10-24T00:00:00"/>
    <s v="-"/>
    <s v=""/>
    <n v="7"/>
    <d v="2026-10-31T00:00:00"/>
    <n v="2026"/>
    <n v="10"/>
    <n v="44"/>
    <n v="36"/>
    <n v="864"/>
    <s v="White glazing"/>
    <s v="AEU"/>
  </r>
  <r>
    <s v="26Aug002.08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8"/>
    <s v="IN-TRANSIT"/>
    <s v="ready"/>
    <d v="2026-09-09T00:00:00"/>
    <n v="37"/>
    <s v="POPV260911059"/>
    <m/>
    <s v="SHANGHAI"/>
    <x v="1"/>
    <x v="1"/>
    <d v="2026-09-14T00:00:00"/>
    <d v="2026-09-21T10:30:00"/>
    <d v="2026-09-21T10:51:05"/>
    <d v="2026-10-24T00:00:00"/>
    <d v="2026-10-31T21:00:00"/>
    <s v=""/>
    <m/>
    <s v="EVER GLOBE 1418-027W"/>
    <s v="COSCO"/>
    <s v="TPVB20260937007"/>
    <x v="687"/>
    <s v="COSU6465717250"/>
    <n v="40.42285879629344"/>
    <m/>
    <d v="2026-10-31T21:00:00"/>
    <s v="-"/>
    <s v=""/>
    <n v="7"/>
    <d v="2026-11-07T21:00:00"/>
    <s v="n/a"/>
    <s v="n/a"/>
    <n v="45"/>
    <n v="36"/>
    <n v="792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782"/>
    <n v="1.2919499999999999"/>
    <n v="54"/>
    <n v="3"/>
    <x v="18"/>
    <s v="IN-TRANSIT"/>
    <s v="七月28日"/>
    <d v="2026-09-09T00:00:00"/>
    <n v="37"/>
    <s v="POPV260911034"/>
    <m/>
    <s v="SHANGHAI"/>
    <x v="1"/>
    <x v="1"/>
    <d v="2026-09-14T00:00:00"/>
    <d v="2026-09-21T10:30:00"/>
    <d v="2026-09-21T10:51:05"/>
    <d v="2026-10-24T00:00:00"/>
    <d v="2026-10-31T21:00:00"/>
    <s v=""/>
    <m/>
    <s v="EVER GLOBE 1418-027W"/>
    <s v="COSCO"/>
    <s v="TPVB20260937007"/>
    <x v="687"/>
    <s v="COSU6465717250"/>
    <n v="40.42285879629344"/>
    <m/>
    <d v="2026-10-31T21:00:00"/>
    <s v="-"/>
    <s v=""/>
    <n v="7"/>
    <d v="2026-11-07T21:00:00"/>
    <n v="2026"/>
    <n v="11"/>
    <n v="45"/>
    <n v="33"/>
    <n v="594"/>
    <s v="Transparent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1872"/>
    <n v="0.88919999999999999"/>
    <n v="52"/>
    <n v="2"/>
    <x v="17"/>
    <s v="IN-TRANSIT"/>
    <d v="2026-08-26T00:00:00"/>
    <d v="2026-09-06T00:00:00"/>
    <n v="36"/>
    <s v="POPV260911052"/>
    <m/>
    <s v="SHANGHAI"/>
    <x v="1"/>
    <x v="1"/>
    <d v="2026-09-12T00:00:00"/>
    <d v="2026-09-17T09:30:00"/>
    <d v="2026-09-17T06:51:06"/>
    <d v="2026-10-31T00:00:00"/>
    <d v="2026-10-26T19:00:00"/>
    <s v=""/>
    <m/>
    <s v="COSCO FORTUNE 084W"/>
    <s v="COSCO"/>
    <s v="TPVB20260937006"/>
    <x v="688"/>
    <s v="COSU6466066070"/>
    <n v="39.506180555552419"/>
    <m/>
    <d v="2026-10-26T19:00:00"/>
    <s v="-"/>
    <s v=""/>
    <n v="7"/>
    <d v="2026-11-02T19:00:00"/>
    <n v="2026"/>
    <n v="11"/>
    <n v="45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4"/>
    <s v="HSM-NT48-HH480"/>
    <s v="EVO2A"/>
    <s v="±1200mm"/>
    <n v="480"/>
    <n v="5616"/>
    <n v="2.6956799999999999"/>
    <n v="156"/>
    <n v="6"/>
    <x v="17"/>
    <s v="IN-TRANSIT"/>
    <d v="2026-08-26T00:00:00"/>
    <d v="2026-09-06T00:00:00"/>
    <n v="36"/>
    <s v="POPV260911056"/>
    <m/>
    <s v="SHANGHAI"/>
    <x v="1"/>
    <x v="1"/>
    <d v="2026-09-12T00:00:00"/>
    <d v="2026-09-17T09:30:00"/>
    <d v="2026-09-17T06:51:06"/>
    <d v="2026-10-31T00:00:00"/>
    <d v="2026-10-26T19:00:00"/>
    <s v=""/>
    <m/>
    <s v="COSCO FORTUNE 084W"/>
    <s v="COSCO"/>
    <s v="TPVB20260937006"/>
    <x v="688"/>
    <s v="COSU6466066070"/>
    <n v="39.506180555552419"/>
    <m/>
    <d v="2026-10-26T19:00:00"/>
    <s v="-"/>
    <s v=""/>
    <n v="7"/>
    <d v="2026-11-02T19:00:00"/>
    <n v="2026"/>
    <n v="11"/>
    <n v="45"/>
    <n v="36"/>
    <n v="936"/>
    <s v="Black glazing"/>
    <s v="AEU"/>
  </r>
  <r>
    <s v="26Aug009.08"/>
    <s v="Yixing"/>
    <s v="26Aug009"/>
    <s v="UPP"/>
    <x v="1"/>
    <s v="SPTN Offstore in Transit WH"/>
    <s v="CIF"/>
    <x v="10"/>
    <s v="U2"/>
    <x v="178"/>
    <s v="DE0126080400009"/>
    <n v="8"/>
    <s v="Yes"/>
    <m/>
    <x v="0"/>
    <x v="100"/>
    <s v="HSM-ND66-GR620"/>
    <s v="H4(Com)"/>
    <s v="+400mm/-200mm"/>
    <n v="620"/>
    <n v="7920"/>
    <n v="4.9104000000000001"/>
    <n v="220"/>
    <n v="11"/>
    <x v="18"/>
    <s v="IN-TRANSIT"/>
    <s v="ready"/>
    <d v="2026-09-12T00:00:00"/>
    <n v="37"/>
    <s v="POPV260918035"/>
    <m/>
    <s v="SHANGHAI"/>
    <x v="1"/>
    <x v="1"/>
    <d v="2026-09-20T00:00:00"/>
    <d v="2026-09-16T15:00:00"/>
    <d v="2026-09-16T15:17:43"/>
    <d v="2026-10-26T00:00:00"/>
    <d v="2026-10-26T23:00:00"/>
    <s v=""/>
    <m/>
    <s v="COSCO SHIPPING ARIES 038W"/>
    <s v="COSCO"/>
    <s v="TPVB20260937008"/>
    <x v="689"/>
    <s v="COSU6466067620"/>
    <m/>
    <m/>
    <d v="2026-10-26T23:00:00"/>
    <s v="-"/>
    <s v=""/>
    <n v="0"/>
    <d v="2026-10-26T23:00:00"/>
    <n v="2026"/>
    <n v="10"/>
    <n v="44"/>
    <n v="36"/>
    <n v="720"/>
    <s v="Redirection Film"/>
    <s v="AEU"/>
  </r>
  <r>
    <s v="26Aug009.07"/>
    <s v="Yixing"/>
    <s v="26Aug009"/>
    <s v="UPP"/>
    <x v="1"/>
    <s v="SPTN Offstore in Transit WH"/>
    <s v="CIF"/>
    <x v="10"/>
    <s v="U2"/>
    <x v="178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IN-TRANSIT"/>
    <s v="ready"/>
    <d v="2026-09-16T00:00:00"/>
    <n v="38"/>
    <s v="POPV260918034"/>
    <m/>
    <s v="SHANGHAI"/>
    <x v="1"/>
    <x v="1"/>
    <d v="2026-09-19T00:00:00"/>
    <d v="2026-09-20T00:00:00"/>
    <d v="2026-09-20T00:00:00"/>
    <d v="2026-10-21T00:00:00"/>
    <d v="2026-10-28T00:00:00"/>
    <m/>
    <m/>
    <s v="EVER GLOBE 1418-027W"/>
    <s v="OTHER"/>
    <s v="TPVB20260937003"/>
    <x v="690"/>
    <s v="EGLV149607770881"/>
    <n v="38"/>
    <m/>
    <d v="2026-10-28T00:00:00"/>
    <s v="-"/>
    <s v=""/>
    <n v="0"/>
    <d v="2026-10-28T00:00:00"/>
    <n v="2026"/>
    <n v="10"/>
    <n v="44"/>
    <n v="36"/>
    <n v="720"/>
    <s v="Redirection Film"/>
    <s v="AEU"/>
  </r>
  <r>
    <s v="26Aug025.03"/>
    <s v="Yixing"/>
    <s v="26Aug025"/>
    <s v="UPP"/>
    <x v="1"/>
    <s v="SPTN Offstore in Transit WH"/>
    <s v="CIF"/>
    <x v="10"/>
    <s v="U4"/>
    <x v="178"/>
    <s v="DE0126080400009"/>
    <n v="19"/>
    <s v="Yes"/>
    <m/>
    <x v="0"/>
    <x v="99"/>
    <s v="HSM-ND66-GR630"/>
    <s v="H4(Com)"/>
    <s v="+400mm/-200mm"/>
    <n v="630"/>
    <n v="4320"/>
    <n v="2.7216"/>
    <n v="120"/>
    <n v="6"/>
    <x v="19"/>
    <s v="IN-TRANSIT"/>
    <s v="ready"/>
    <d v="2026-09-16T00:00:00"/>
    <n v="38"/>
    <s v="POPV260918030"/>
    <m/>
    <s v="SHANGHAI"/>
    <x v="1"/>
    <x v="1"/>
    <d v="2026-09-19T00:00:00"/>
    <d v="2026-09-20T00:00:00"/>
    <d v="2026-09-20T00:00:00"/>
    <d v="2026-10-21T00:00:00"/>
    <d v="2026-10-28T00:00:00"/>
    <m/>
    <m/>
    <s v="EVER GLOBE 1418-027W"/>
    <s v="OTHER"/>
    <s v="TPVB20260937003"/>
    <x v="690"/>
    <s v="EGLV149607770881"/>
    <n v="38"/>
    <m/>
    <d v="2026-10-28T00:00:00"/>
    <s v="-"/>
    <s v=""/>
    <n v="0"/>
    <d v="2026-10-28T00:00:00"/>
    <n v="2026"/>
    <n v="10"/>
    <n v="44"/>
    <n v="36"/>
    <n v="720"/>
    <s v="Redirection Film"/>
    <s v="AEU"/>
  </r>
  <r>
    <s v="26Aug006.02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4320"/>
    <n v="2.1816"/>
    <n v="120"/>
    <n v="5"/>
    <x v="15"/>
    <s v="IN-TRANSIT"/>
    <d v="2026-09-11T00:00:00"/>
    <d v="2026-09-11T00:00:00"/>
    <n v="37"/>
    <s v="POPV260918039"/>
    <m/>
    <s v="SHANGHAI"/>
    <x v="1"/>
    <x v="0"/>
    <d v="2026-09-17T00:00:00"/>
    <d v="2026-09-14T16:30:00"/>
    <d v="2026-09-14T16:47:44"/>
    <d v="2026-10-28T00:00:00"/>
    <d v="2026-10-28T06:00:00"/>
    <s v=""/>
    <m/>
    <s v="CMA CGM KERGUELEN _x000a_0MEORW1MA"/>
    <s v="COSCO"/>
    <s v="TPVB20260937009"/>
    <x v="691"/>
    <s v="COSU6465719640"/>
    <n v="43.550185185187729"/>
    <m/>
    <d v="2026-10-28T06:00:00"/>
    <s v="-"/>
    <s v=""/>
    <n v="8"/>
    <d v="2026-11-05T06:00:00"/>
    <n v="2026"/>
    <n v="11"/>
    <n v="45"/>
    <n v="36"/>
    <n v="864"/>
    <s v="Black glazing"/>
    <s v="AEM"/>
  </r>
  <r>
    <s v="26Aug010.08"/>
    <s v="Yixing"/>
    <s v="26Aug010"/>
    <s v="UPP"/>
    <x v="1"/>
    <s v="SPTN Offstore in Transit WH"/>
    <s v="CIF"/>
    <x v="36"/>
    <s v="U2"/>
    <x v="185"/>
    <s v="RS0126081900007"/>
    <n v="2"/>
    <s v="Yes"/>
    <m/>
    <x v="0"/>
    <x v="97"/>
    <s v="HSM-ND66-GR625"/>
    <s v="H4(Com)"/>
    <s v="+400mm/-200mm"/>
    <n v="625"/>
    <n v="10080"/>
    <n v="6.3"/>
    <n v="280"/>
    <n v="14"/>
    <x v="18"/>
    <s v="IN-TRANSIT"/>
    <m/>
    <d v="2026-09-15T00:00:00"/>
    <n v="38"/>
    <s v="POPV260918061"/>
    <m/>
    <s v="SHANGHAI"/>
    <x v="1"/>
    <x v="22"/>
    <d v="2026-09-15T00:00:00"/>
    <d v="2026-09-25T00:00:00"/>
    <d v="2026-09-25T00:00:00"/>
    <d v="2026-11-06T00:00:00"/>
    <m/>
    <m/>
    <m/>
    <s v="TEXAS TRIUMPH 039W"/>
    <s v="OTHER"/>
    <s v="TPVB20260837002"/>
    <x v="692"/>
    <s v="EGLV149608078905"/>
    <n v="42"/>
    <m/>
    <d v="2026-11-06T00:00:00"/>
    <s v="-"/>
    <s v=""/>
    <n v="0"/>
    <d v="2026-11-06T00:00:00"/>
    <s v="n/a"/>
    <s v="n/a"/>
    <n v="45"/>
    <n v="36"/>
    <n v="720"/>
    <s v="Redirection Film"/>
    <s v="n/a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8"/>
    <s v="IN-TRANSIT"/>
    <s v="七月30日"/>
    <d v="2026-09-16T00:00:00"/>
    <n v="38"/>
    <s v="POPV260918047"/>
    <m/>
    <s v="NINGBO"/>
    <x v="3"/>
    <x v="1"/>
    <d v="2026-09-22T00:00:00"/>
    <d v="2026-09-20T00:00:00"/>
    <d v="2026-09-20T14:34:11"/>
    <d v="2026-10-24T00:00:00"/>
    <d v="2026-10-26T23:00:00"/>
    <s v=""/>
    <m/>
    <s v="COSCO SHIPPING ARIES 038W"/>
    <s v="COSCO"/>
    <s v="TPVB20260937011"/>
    <x v="693"/>
    <s v="COSU9509811770"/>
    <n v="36.351261574076489"/>
    <m/>
    <d v="2026-10-26T23:00:00"/>
    <s v="-"/>
    <s v=""/>
    <n v="7"/>
    <d v="2026-11-02T23:00:00"/>
    <n v="2026"/>
    <n v="11"/>
    <n v="45"/>
    <n v="36"/>
    <n v="936"/>
    <s v="Black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d v="2026-09-22T00:00:00"/>
    <m/>
    <s v="POPV260924032"/>
    <m/>
    <s v="NINGBO"/>
    <x v="3"/>
    <x v="1"/>
    <d v="2026-09-19T00:00:00"/>
    <d v="2026-09-26T00:00:00"/>
    <d v="2026-09-26T01:29:25"/>
    <d v="2026-10-23T00:00:00"/>
    <d v="2026-10-31T21:00:00"/>
    <s v=""/>
    <m/>
    <s v="EVER GLOBE 1418W"/>
    <s v="COSCO"/>
    <s v="TPVB20260937010"/>
    <x v="694"/>
    <s v="COSU9509811250"/>
    <n v="35.8129050925927"/>
    <m/>
    <d v="2026-10-31T21:00:00"/>
    <s v="-"/>
    <s v=""/>
    <n v="7"/>
    <d v="2026-11-07T21:00:00"/>
    <n v="2026"/>
    <n v="11"/>
    <n v="45"/>
    <n v="36"/>
    <n v="864"/>
    <s v="White glazing"/>
    <s v="AEU"/>
  </r>
  <r>
    <s v="26Aug020.06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19"/>
    <m/>
    <s v="ready"/>
    <d v="2026-09-16T00:00:00"/>
    <m/>
    <s v="POPV260918048"/>
    <m/>
    <s v="NINGBO"/>
    <x v="3"/>
    <x v="1"/>
    <d v="2026-09-22T00:00:00"/>
    <d v="2026-09-20T14:00:00"/>
    <d v="2026-09-20T14:34:11"/>
    <d v="2026-10-24T00:00:00"/>
    <d v="2026-10-26T23:00:00"/>
    <s v=""/>
    <m/>
    <s v="COSCO SHIPPING ARIES 038W"/>
    <s v="COSCO"/>
    <s v="TPVB20260937013"/>
    <x v="695"/>
    <s v="COSU9509912990"/>
    <n v="36.351261574076489"/>
    <m/>
    <d v="2026-10-26T23:00:00"/>
    <s v="-"/>
    <s v=""/>
    <n v="7"/>
    <d v="2026-11-02T23:00:00"/>
    <n v="2026"/>
    <n v="11"/>
    <n v="45"/>
    <n v="36"/>
    <n v="864"/>
    <s v="White glazing"/>
    <s v="AEU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5"/>
    <s v="IN-TRANSIT"/>
    <s v="八月25日"/>
    <d v="2026-09-09T00:00:00"/>
    <n v="37"/>
    <s v="POPV260911063"/>
    <m/>
    <s v="TIANJIN"/>
    <x v="0"/>
    <x v="0"/>
    <d v="2026-09-14T00:00:00"/>
    <d v="2026-09-14T23:30:00"/>
    <d v="2026-09-14T23:45:19"/>
    <d v="2026-11-23T00:00:00"/>
    <d v="2026-11-23T19:00:00"/>
    <s v=""/>
    <m/>
    <s v="COSCO SHIPPING LEO 037W"/>
    <s v="COSCO"/>
    <s v="TPVB20260937004"/>
    <x v="696"/>
    <s v="COSU9509601430"/>
    <n v="69.801863425920601"/>
    <m/>
    <d v="2026-11-23T19:00:00"/>
    <s v="-"/>
    <s v=""/>
    <n v="8"/>
    <d v="2026-12-01T19:00:00"/>
    <n v="2026"/>
    <n v="12"/>
    <n v="49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5"/>
    <s v="IN-TRANSIT"/>
    <s v="八月25日"/>
    <d v="2026-09-09T00:00:00"/>
    <n v="37"/>
    <s v="POPV260911064"/>
    <m/>
    <s v="TIANJIN"/>
    <x v="0"/>
    <x v="0"/>
    <d v="2026-09-14T00:00:00"/>
    <d v="2026-09-14T23:30:00"/>
    <d v="2026-09-14T23:45:19"/>
    <d v="2026-11-11T00:00:00"/>
    <d v="2026-11-11T06:00:00"/>
    <s v=""/>
    <m/>
    <s v="COSCO SHIPPING LEO 037W"/>
    <s v="COSCO"/>
    <s v="TPVB20260937005"/>
    <x v="697"/>
    <s v="COSU9509601740"/>
    <n v="57.26019675925636"/>
    <m/>
    <d v="2026-11-11T06:00:00"/>
    <s v="-"/>
    <s v=""/>
    <n v="8"/>
    <d v="2026-11-19T06:00:00"/>
    <n v="2026"/>
    <n v="11"/>
    <n v="47"/>
    <n v="36"/>
    <n v="864"/>
    <s v="Black glazing"/>
    <s v="AEM"/>
  </r>
  <r>
    <s v="26Aug011.05"/>
    <s v="Tianjin"/>
    <s v="26Aug011"/>
    <s v="UPP"/>
    <x v="1"/>
    <s v="SPTN Offstore in Transit WH"/>
    <s v="FOB"/>
    <x v="10"/>
    <s v="U4"/>
    <x v="178"/>
    <s v="DE0126080600001"/>
    <n v="7"/>
    <s v="Yes"/>
    <m/>
    <x v="3"/>
    <x v="102"/>
    <s v="HSM-BD66-GR650"/>
    <s v="H4(Com)"/>
    <s v="+400mm/-200mm"/>
    <n v="650"/>
    <n v="6480"/>
    <n v="4.2119999999999997"/>
    <n v="180"/>
    <n v="9"/>
    <x v="17"/>
    <s v="IN-TRANSIT"/>
    <d v="2026-09-03T00:00:00"/>
    <d v="2026-09-08T00:00:00"/>
    <n v="37"/>
    <s v="POPV260911030"/>
    <m/>
    <s v="TIANJIN"/>
    <x v="0"/>
    <x v="1"/>
    <d v="2026-09-14T00:00:00"/>
    <d v="2026-09-21T00:00:00"/>
    <d v="2026-09-22T00:00:00"/>
    <d v="2026-11-01T00:00:00"/>
    <m/>
    <m/>
    <s v="FOB"/>
    <s v="BIG GEORGE  26038E"/>
    <s v="OTHER"/>
    <s v="TPVB20260837001"/>
    <x v="698"/>
    <s v="ONEYTSNG80406500"/>
    <n v="40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8"/>
    <s v="DE0126080600001"/>
    <n v="5"/>
    <s v="Yes"/>
    <m/>
    <x v="3"/>
    <x v="103"/>
    <s v="HSM-BD66-GR655"/>
    <s v="H4(Com)"/>
    <s v="+400mm/-200mm"/>
    <n v="655"/>
    <n v="7200"/>
    <n v="4.7160000000000002"/>
    <n v="200"/>
    <n v="10"/>
    <x v="20"/>
    <m/>
    <m/>
    <d v="2026-09-08T00:00:00"/>
    <n v="37"/>
    <s v="POPV260911031"/>
    <m/>
    <s v="TIANJIN"/>
    <x v="0"/>
    <x v="1"/>
    <d v="2026-09-14T00:00:00"/>
    <d v="2026-09-21T00:00:00"/>
    <d v="2026-09-22T00:00:00"/>
    <d v="2026-11-01T00:00:00"/>
    <m/>
    <m/>
    <s v="FOB"/>
    <s v="BIG GEORGE  26038E"/>
    <s v="OTHER"/>
    <s v="TPVB20260837001"/>
    <x v="699"/>
    <s v="ONEYTSNG80406500"/>
    <n v="40"/>
    <m/>
    <d v="2026-11-01T00:00:00"/>
    <s v="-"/>
    <s v=""/>
    <n v="0"/>
    <d v="2026-11-01T00:00:00"/>
    <s v="n/a"/>
    <s v="n/a"/>
    <n v="44"/>
    <n v="36"/>
    <n v="720"/>
    <s v="White glazing"/>
    <s v="AEU"/>
  </r>
  <r>
    <s v="26Jul007.08"/>
    <s v="Quzhou"/>
    <s v="26Jul007"/>
    <s v="CORE DG"/>
    <x v="1"/>
    <s v="SPTN Offstore in Transit WH"/>
    <s v="CIF"/>
    <x v="12"/>
    <s v="U4"/>
    <x v="187"/>
    <s v="PL0126090800018"/>
    <n v="2"/>
    <s v="Yes"/>
    <d v="2026-07-06T00:00:00"/>
    <x v="0"/>
    <x v="0"/>
    <s v="HSM-ND54-DR500"/>
    <s v="EVO2A"/>
    <s v="±1200mm"/>
    <n v="500"/>
    <n v="4320"/>
    <n v="2.16"/>
    <n v="120"/>
    <n v="5"/>
    <x v="19"/>
    <s v="IN-TRANSIT"/>
    <s v="Gdasnk"/>
    <d v="2026-09-19T00:00:00"/>
    <n v="38"/>
    <s v="POPV260921025"/>
    <m/>
    <s v="SHANGHAI"/>
    <x v="1"/>
    <x v="9"/>
    <d v="2026-09-30T00:00:00"/>
    <d v="2026-09-30T05:30:00"/>
    <d v="2026-09-30T06:07:33"/>
    <d v="2026-11-12T00:00:00"/>
    <d v="2026-11-13T17:00:00"/>
    <s v=""/>
    <m/>
    <s v="OOCL TURKIYE 012W"/>
    <s v="COSCO"/>
    <s v="TPVB20260938001"/>
    <x v="700"/>
    <s v="COSU6466858750"/>
    <n v="44.453090277776937"/>
    <m/>
    <d v="2026-11-13T17:00:00"/>
    <s v="-"/>
    <s v=""/>
    <n v="0"/>
    <d v="2026-11-13T17:00:00"/>
    <n v="2026"/>
    <n v="11"/>
    <n v="46"/>
    <n v="36"/>
    <n v="864"/>
    <s v="Black glazing"/>
    <s v="AEU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19"/>
    <s v="IN-TRANSIT"/>
    <s v="ready"/>
    <d v="2026-09-14T00:00:00"/>
    <n v="38"/>
    <s v="POPV260918062"/>
    <m/>
    <s v="SHANGHAI"/>
    <x v="1"/>
    <x v="1"/>
    <d v="2026-09-22T00:00:00"/>
    <d v="2026-09-29T04:00:00"/>
    <d v="2026-09-29T00:00:00"/>
    <d v="2026-10-28T00:00:00"/>
    <d v="2026-11-06T21:00:00"/>
    <s v=""/>
    <m/>
    <s v="EVER ALLY 1419-004W"/>
    <s v="COSCO"/>
    <s v="TPVB20260938004"/>
    <x v="701"/>
    <s v="COSU6467013360"/>
    <n v="38.875"/>
    <m/>
    <d v="2026-11-06T21:00:00"/>
    <s v="-"/>
    <s v=""/>
    <n v="7"/>
    <d v="2026-11-13T21:00:00"/>
    <s v="n/a"/>
    <s v="n/a"/>
    <n v="46"/>
    <n v="36"/>
    <n v="720"/>
    <s v="Redirection Film"/>
    <s v="AEU"/>
  </r>
  <r>
    <s v="26Aug013.03"/>
    <s v="Quzhou"/>
    <s v="26Aug013"/>
    <s v="UPP"/>
    <x v="1"/>
    <s v="SPTN Offstore in Transit WH"/>
    <s v="CIF"/>
    <x v="10"/>
    <s v="U4"/>
    <x v="178"/>
    <s v="DE0126080300006"/>
    <n v="1"/>
    <s v="Yes"/>
    <m/>
    <x v="3"/>
    <x v="105"/>
    <s v="S4-DG490-108BC-FB"/>
    <s v="EVO2A"/>
    <s v="±1200mm"/>
    <n v="490"/>
    <n v="8424"/>
    <n v="4.1277600000000003"/>
    <n v="234"/>
    <n v="9"/>
    <x v="19"/>
    <s v="IN-TRANSIT"/>
    <s v="Batch 1-11"/>
    <d v="2026-09-14T00:00:00"/>
    <n v="38"/>
    <s v="POPV260918029"/>
    <m/>
    <s v="SHANGHAI"/>
    <x v="1"/>
    <x v="1"/>
    <d v="2026-09-23T00:00:00"/>
    <d v="2026-09-22T12:00:00"/>
    <d v="2026-09-22T10:15:14"/>
    <d v="2026-10-29T00:00:00"/>
    <d v="2026-10-29T20:30:00"/>
    <s v=""/>
    <m/>
    <s v="COSCO SHIPPING LEO 037W"/>
    <s v="COSCO"/>
    <s v="TPVB20260838005"/>
    <x v="702"/>
    <s v="COSU6466678170"/>
    <n v="37.426921296297223"/>
    <m/>
    <d v="2026-10-29T20:30:00"/>
    <s v="-"/>
    <s v=""/>
    <n v="0"/>
    <d v="2026-10-29T20:30:00"/>
    <n v="2026"/>
    <n v="10"/>
    <n v="44"/>
    <n v="36"/>
    <n v="936"/>
    <s v="Black glazing"/>
    <s v="AEU"/>
  </r>
  <r>
    <s v="26Aug014.07"/>
    <s v="Quzhou"/>
    <s v="26Aug014"/>
    <s v="UPP"/>
    <x v="1"/>
    <s v="SPTN Offstore in Transit WH"/>
    <s v="CIF"/>
    <x v="10"/>
    <s v="U4"/>
    <x v="178"/>
    <s v="DE0126080300006"/>
    <n v="5"/>
    <s v="Yes"/>
    <m/>
    <x v="3"/>
    <x v="106"/>
    <s v="S4-DG485-108BC-FB"/>
    <s v="EVO2A"/>
    <s v="±1200mm"/>
    <n v="485"/>
    <n v="1872"/>
    <n v="0.90791999999999995"/>
    <n v="52"/>
    <n v="2"/>
    <x v="19"/>
    <s v="IN-TRANSIT"/>
    <s v="Batch 1-11"/>
    <d v="2026-09-14T00:00:00"/>
    <n v="38"/>
    <s v="POPV260918028"/>
    <m/>
    <s v="SHANGHAI"/>
    <x v="1"/>
    <x v="1"/>
    <d v="2026-09-23T00:00:00"/>
    <d v="2026-09-22T12:00:00"/>
    <d v="2026-09-22T10:15:14"/>
    <d v="2026-10-29T00:00:00"/>
    <d v="2026-10-29T20:30:00"/>
    <s v=""/>
    <m/>
    <s v="COSCO SHIPPING LEO 037W"/>
    <s v="COSCO"/>
    <s v="TPVB20260838005"/>
    <x v="702"/>
    <s v="COSU6466678170"/>
    <n v="37.426921296297223"/>
    <m/>
    <d v="2026-10-29T20:30:00"/>
    <s v="-"/>
    <s v=""/>
    <n v="0"/>
    <d v="2026-10-29T20:30:00"/>
    <n v="2026"/>
    <n v="10"/>
    <n v="44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8"/>
    <s v="DE0126080300006"/>
    <n v="4"/>
    <s v="Yes"/>
    <m/>
    <x v="3"/>
    <x v="106"/>
    <s v="S4-DG485-108BC-FB"/>
    <s v="EVO2A"/>
    <s v="±1200mm"/>
    <n v="485"/>
    <n v="7488"/>
    <n v="3.6316799999999998"/>
    <n v="208"/>
    <n v="8"/>
    <x v="18"/>
    <s v="IN-TRANSIT"/>
    <s v="Batch 1-8"/>
    <d v="2026-09-18T00:00:00"/>
    <n v="38"/>
    <s v="POPV260921029"/>
    <m/>
    <s v="SHANGHAI"/>
    <x v="1"/>
    <x v="1"/>
    <d v="2026-09-25T00:00:00"/>
    <d v="2026-09-29T04:00:00"/>
    <d v="2026-09-29T00:00:00"/>
    <d v="2026-11-07T00:00:00"/>
    <d v="2026-11-06T21:00:00"/>
    <s v=""/>
    <m/>
    <s v="COSCO SHIPPING ALPS 049W"/>
    <s v="COSCO"/>
    <s v="TPVB20260838006"/>
    <x v="703"/>
    <s v="COSU6466631520"/>
    <n v="38.875"/>
    <m/>
    <d v="2026-11-06T21:00:00"/>
    <s v="-"/>
    <s v=""/>
    <n v="0"/>
    <d v="2026-11-06T21:00:00"/>
    <n v="2026"/>
    <n v="11"/>
    <n v="45"/>
    <n v="36"/>
    <n v="936"/>
    <s v="Black glazing"/>
    <s v="AEU"/>
  </r>
  <r>
    <s v="26Aug016.01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19"/>
    <s v="IN-TRANSIT"/>
    <d v="2026-09-18T00:00:00"/>
    <d v="2026-09-18T00:00:00"/>
    <n v="38"/>
    <s v="POPV260921030"/>
    <m/>
    <s v="SHANGHAI"/>
    <x v="1"/>
    <x v="4"/>
    <d v="2026-09-27T00:00:00"/>
    <d v="2026-09-27T19:00:00"/>
    <d v="2026-09-27T19:27:49"/>
    <d v="2026-11-11T00:00:00"/>
    <d v="2026-11-15T00:00:00"/>
    <s v=""/>
    <m/>
    <s v="OOCL SCANDINAVIA 038W"/>
    <s v="COSCO"/>
    <s v="TPVB20260938005"/>
    <x v="704"/>
    <s v="COSU6467015120"/>
    <n v="48.189016203701613"/>
    <m/>
    <d v="2026-11-15T00:00:00"/>
    <s v="-"/>
    <s v=""/>
    <n v="10"/>
    <d v="2026-11-25T00:00:00"/>
    <s v="n/a"/>
    <s v="n/a"/>
    <n v="48"/>
    <n v="36"/>
    <n v="792"/>
    <s v="Black glazing"/>
    <s v="AEM"/>
  </r>
  <r>
    <s v="26Aug005.05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8"/>
    <s v="IN-TRANSIT"/>
    <d v="2026-09-15T00:00:00"/>
    <d v="2026-09-14T00:00:00"/>
    <n v="38"/>
    <s v="POPV260918040"/>
    <m/>
    <s v="SHANGHAI"/>
    <x v="1"/>
    <x v="0"/>
    <d v="2026-09-23T00:00:00"/>
    <d v="2026-09-24T14:00:00"/>
    <d v="2026-09-24T14:00:00"/>
    <d v="2026-11-04T00:00:00"/>
    <d v="2026-11-04T06:00:00"/>
    <s v=""/>
    <m/>
    <s v="CMA CGM MARCO POLO _x000a_0MEOTW1MA"/>
    <s v="COSCO"/>
    <s v="TPVB20260938006"/>
    <x v="705"/>
    <s v="COSU6467017560"/>
    <n v="40.666666666664241"/>
    <m/>
    <d v="2026-11-04T06:00:00"/>
    <s v="-"/>
    <s v=""/>
    <n v="8"/>
    <d v="2026-11-12T06:00:00"/>
    <n v="2026"/>
    <n v="11"/>
    <n v="46"/>
    <n v="36"/>
    <n v="864"/>
    <s v="Black glazing"/>
    <s v="AEM"/>
  </r>
  <r>
    <s v="26Aug015.0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0"/>
    <s v="IN-TRANSIT"/>
    <d v="2026-09-17T00:00:00"/>
    <d v="2026-09-17T00:00:00"/>
    <n v="38"/>
    <s v="POPV260918027"/>
    <m/>
    <s v="SHANGHAI"/>
    <x v="1"/>
    <x v="0"/>
    <d v="2026-09-27T00:00:00"/>
    <d v="2026-09-27T19:00:00"/>
    <d v="2026-09-27T19:27:49"/>
    <d v="2026-11-16T00:00:00"/>
    <d v="2026-11-17T18:00:00"/>
    <s v=""/>
    <m/>
    <s v="OOCL SCANDINAVIA 038W"/>
    <s v="COSCO"/>
    <s v="TPVB20260938007"/>
    <x v="706"/>
    <s v="COSU6467016280"/>
    <n v="50.939016203701613"/>
    <m/>
    <d v="2026-11-17T18:00:00"/>
    <s v="-"/>
    <s v=""/>
    <n v="8"/>
    <d v="2026-11-25T18:00:00"/>
    <s v="n/a"/>
    <s v="n/a"/>
    <n v="48"/>
    <n v="36"/>
    <n v="792"/>
    <s v="Black glazing"/>
    <s v="AEM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19"/>
    <s v="IN-TRANSIT"/>
    <s v="ready-10.23快船，300pcs连接器一起出"/>
    <d v="2026-09-17T00:00:00"/>
    <n v="38"/>
    <s v="POPV260918059"/>
    <m/>
    <s v="SHANGHAI"/>
    <x v="1"/>
    <x v="2"/>
    <d v="2026-09-27T00:00:00"/>
    <d v="2026-09-27T19:00:00"/>
    <d v="2026-09-27T19:27:49"/>
    <d v="2026-11-19T00:00:00"/>
    <d v="2026-11-20T13:00:00"/>
    <s v=""/>
    <m/>
    <s v="OOCL SCANDINAVIA 038W"/>
    <s v="COSCO"/>
    <s v="TPVB20260938008"/>
    <x v="707"/>
    <s v="COSU6467090510"/>
    <n v="53.730682870365854"/>
    <m/>
    <d v="2026-11-20T13:00:00"/>
    <s v="-"/>
    <s v=""/>
    <n v="9"/>
    <d v="2026-11-29T13:00:00"/>
    <s v="n/a"/>
    <s v="n/a"/>
    <n v="48"/>
    <n v="36"/>
    <n v="720"/>
    <s v="Redirection Film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1"/>
    <s v="IN-TRANSIT"/>
    <d v="2026-09-18T00:00:00"/>
    <d v="2026-09-17T00:00:00"/>
    <n v="38"/>
    <s v="POPV260918026"/>
    <m/>
    <s v="SHANGHAI"/>
    <x v="1"/>
    <x v="2"/>
    <d v="2026-09-27T00:00:00"/>
    <d v="2026-09-27T19:00:00"/>
    <d v="2026-09-27T19:27:49"/>
    <d v="2026-11-19T00:00:00"/>
    <d v="2026-11-20T13:00:00"/>
    <s v=""/>
    <m/>
    <s v="OOCL SCANDINAVIA 038W"/>
    <s v="COSCO"/>
    <s v="TPVB20260938008"/>
    <x v="707"/>
    <s v="COSU6467090510"/>
    <n v="53.730682870365854"/>
    <m/>
    <d v="2026-11-20T13:00:00"/>
    <s v="-"/>
    <s v=""/>
    <n v="9"/>
    <d v="2026-11-29T13:00:00"/>
    <s v="n/a"/>
    <s v="n/a"/>
    <n v="48"/>
    <n v="36"/>
    <n v="792"/>
    <s v="Black glazing"/>
    <s v="AEM"/>
  </r>
  <r>
    <s v="26Aug010.09"/>
    <s v="Yixing"/>
    <s v="26Aug010"/>
    <s v="UPP"/>
    <x v="1"/>
    <s v="SPTN Offstore in Transit WH"/>
    <s v="CIF"/>
    <x v="36"/>
    <s v="U2"/>
    <x v="185"/>
    <s v="RS0126081900007"/>
    <n v="3"/>
    <s v="Yes"/>
    <m/>
    <x v="0"/>
    <x v="97"/>
    <s v="HSM-ND66-GR625"/>
    <s v="H4(Com)"/>
    <s v="+400mm/-200mm"/>
    <n v="625"/>
    <n v="7920"/>
    <n v="4.95"/>
    <n v="220"/>
    <n v="11"/>
    <x v="19"/>
    <s v=""/>
    <m/>
    <d v="2026-10-06T00:00:00"/>
    <n v="41"/>
    <s v="POPV261010010"/>
    <m/>
    <s v="SHANGHAI"/>
    <x v="1"/>
    <x v="22"/>
    <d v="2026-09-24T00:00:00"/>
    <d v="2026-10-11T00:00:00"/>
    <s v=""/>
    <d v="2026-11-04T00:00:00"/>
    <m/>
    <s v=""/>
    <m/>
    <s v="BRUSSELS MAERSK 639W"/>
    <s v="OTHER"/>
    <s v="TPVB20260938002"/>
    <x v="708"/>
    <n v="276628939"/>
    <n v="24"/>
    <m/>
    <d v="2026-11-04T00:00:00"/>
    <s v="-"/>
    <s v=""/>
    <n v="0"/>
    <d v="2026-11-04T00:00:00"/>
    <s v="n/a"/>
    <s v="n/a"/>
    <n v="45"/>
    <n v="36"/>
    <n v="720"/>
    <s v="Redirection Film"/>
    <s v="n/a"/>
  </r>
  <r>
    <s v="26Aug010.17"/>
    <s v="Yixing"/>
    <s v="26Aug010"/>
    <s v="UPP"/>
    <x v="1"/>
    <s v="SPTN Offstore in Transit WH"/>
    <s v="CIF"/>
    <x v="36"/>
    <s v="U2"/>
    <x v="185"/>
    <s v="RS0126081900007"/>
    <n v="4"/>
    <s v="Yes"/>
    <m/>
    <x v="0"/>
    <x v="97"/>
    <s v="HSM-ND66-GR625"/>
    <s v="H4(Com)"/>
    <s v="+400mm/-200mm"/>
    <n v="625"/>
    <n v="7920"/>
    <n v="4.95"/>
    <n v="220"/>
    <n v="11"/>
    <x v="19"/>
    <s v=""/>
    <m/>
    <d v="2026-10-08T00:00:00"/>
    <n v="41"/>
    <s v="POPV261010009"/>
    <m/>
    <s v="SHANGHAI"/>
    <x v="1"/>
    <x v="22"/>
    <d v="2026-09-24T00:00:00"/>
    <d v="2026-10-11T00:00:00"/>
    <s v=""/>
    <d v="2026-11-04T00:00:00"/>
    <m/>
    <s v=""/>
    <m/>
    <s v="BRUSSELS MAERSK 639W"/>
    <s v="OTHER"/>
    <s v="TPVB20260938003"/>
    <x v="709"/>
    <n v="276629180"/>
    <n v="24"/>
    <m/>
    <d v="2026-11-04T00:00:00"/>
    <s v="-"/>
    <s v=""/>
    <n v="0"/>
    <d v="2026-11-04T00:00:00"/>
    <s v="n/a"/>
    <s v="n/a"/>
    <n v="45"/>
    <n v="36"/>
    <n v="720"/>
    <s v="Redirection Film"/>
    <s v="n/a"/>
  </r>
  <r>
    <s v="26Aug016.10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19"/>
    <s v="IN-TRANSIT"/>
    <d v="2026-09-23T00:00:00"/>
    <d v="2026-09-22T00:00:00"/>
    <n v="39"/>
    <s v="POPV260924027"/>
    <m/>
    <s v="NINGBO"/>
    <x v="3"/>
    <x v="1"/>
    <d v="2026-09-27T00:00:00"/>
    <d v="2026-09-27T14:00:00"/>
    <d v="2026-09-26T20:45:26"/>
    <d v="2026-10-29T00:00:00"/>
    <d v="2026-10-29T20:30:00"/>
    <s v=""/>
    <m/>
    <s v="COSCO SHIPPING LEO 037W"/>
    <s v="COSCO"/>
    <s v="TPVB20260838011"/>
    <x v="710"/>
    <s v="COSU9510012530"/>
    <n v="32.989282407404971"/>
    <m/>
    <d v="2026-10-29T20:30:00"/>
    <s v="-"/>
    <s v=""/>
    <n v="7"/>
    <d v="2026-11-05T20:30:00"/>
    <s v="n/a"/>
    <s v="n/a"/>
    <n v="45"/>
    <n v="36"/>
    <n v="792"/>
    <s v="Black glazing"/>
    <s v="AEU"/>
  </r>
  <r>
    <s v="26Aug015.02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0"/>
    <s v="IN-TRANSIT"/>
    <d v="2026-09-23T00:00:00"/>
    <d v="2026-09-29T00:00:00"/>
    <n v="40"/>
    <s v="POPV260929036"/>
    <m/>
    <s v="NINGBO"/>
    <x v="3"/>
    <x v="1"/>
    <d v="2026-09-25T00:00:00"/>
    <d v="2026-10-03T09:00:00"/>
    <d v="2026-10-05T00:00:00"/>
    <d v="2026-10-31T00:00:00"/>
    <d v="2026-11-06T21:00:00"/>
    <s v=""/>
    <m/>
    <s v="EVER ALLY 1419W"/>
    <s v="COSCO"/>
    <s v="TPVB20260838009"/>
    <x v="711"/>
    <s v="COSU6467892390"/>
    <n v="32.875"/>
    <m/>
    <d v="2026-11-06T21:00:00"/>
    <s v="-"/>
    <s v=""/>
    <n v="7"/>
    <d v="2026-11-13T21:00:00"/>
    <s v="n/a"/>
    <s v="n/a"/>
    <n v="46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22"/>
    <s v="IN-TRANSIT"/>
    <d v="2026-09-23T00:00:00"/>
    <d v="2026-09-27T00:00:00"/>
    <n v="39"/>
    <s v="POPV260929032"/>
    <m/>
    <s v="NINGBO"/>
    <x v="3"/>
    <x v="4"/>
    <d v="2026-09-26T00:00:00"/>
    <d v="2026-10-02T00:00:00"/>
    <d v="2026-10-02T00:00:00"/>
    <d v="2026-11-11T00:00:00"/>
    <d v="2026-11-15T00:00:00"/>
    <s v=""/>
    <m/>
    <s v="OOCL SCANDINAVIA 038W"/>
    <s v="COSCO"/>
    <s v="TPVB20260838010"/>
    <x v="712"/>
    <s v="COSU9510035910"/>
    <n v="44"/>
    <m/>
    <d v="2026-11-15T00:00:00"/>
    <s v="-"/>
    <s v=""/>
    <n v="10"/>
    <d v="2026-11-25T00:00:00"/>
    <s v="n/a"/>
    <s v="n/a"/>
    <n v="48"/>
    <n v="36"/>
    <n v="792"/>
    <s v="Black glazing"/>
    <s v="AEM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优先500半片"/>
    <d v="2026-09-14T00:00:00"/>
    <n v="38"/>
    <s v="POPV260918042"/>
    <m/>
    <s v="TIANJIN"/>
    <x v="0"/>
    <x v="1"/>
    <d v="2026-09-19T00:00:00"/>
    <d v="2026-09-19T23:00:00"/>
    <d v="2026-09-19T23:30:00"/>
    <d v="2026-11-03T00:00:00"/>
    <d v="2026-11-03T08:00:00"/>
    <s v=""/>
    <s v="CIF"/>
    <s v="COSCO SHIPPING GEMINI 037W"/>
    <s v="COSCO"/>
    <s v="TPVB20260838004"/>
    <x v="713"/>
    <s v="COSU9509786940"/>
    <n v="44.354166666671517"/>
    <m/>
    <d v="2026-11-03T08:00:00"/>
    <s v="-"/>
    <s v=""/>
    <n v="7"/>
    <d v="2026-11-10T08:00:00"/>
    <n v="2026"/>
    <n v="11"/>
    <n v="46"/>
    <n v="36"/>
    <n v="720"/>
    <s v="White glazing"/>
    <s v="AEU"/>
  </r>
  <r>
    <s v="26Aug006.07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1728"/>
    <n v="0.87263999999999997"/>
    <n v="48"/>
    <n v="2"/>
    <x v="18"/>
    <s v="IN-TRANSIT"/>
    <s v="Keep for FR"/>
    <d v="2026-09-14T00:00:00"/>
    <n v="38"/>
    <s v="POPV260918036"/>
    <m/>
    <s v="TIANJIN"/>
    <x v="0"/>
    <x v="0"/>
    <d v="2026-09-19T00:00:00"/>
    <d v="2026-09-19T23:00:00"/>
    <d v="2026-09-19T23:30:00"/>
    <d v="2026-11-18T00:00:00"/>
    <d v="2026-11-18T06:00:00"/>
    <s v=""/>
    <s v="CIF"/>
    <s v="COSCO SHIPPING GEMINI 037W"/>
    <s v="COSCO"/>
    <s v="TPVB20260838007"/>
    <x v="714"/>
    <s v="COSU9509787370"/>
    <n v="59.270833333335759"/>
    <m/>
    <d v="2026-11-18T06:00:00"/>
    <s v="-"/>
    <s v=""/>
    <n v="8"/>
    <d v="2026-11-26T06:00:00"/>
    <n v="2026"/>
    <n v="11"/>
    <n v="48"/>
    <n v="36"/>
    <n v="864"/>
    <s v="Black glazing"/>
    <s v="AEM"/>
  </r>
  <r>
    <s v="26Aug011.02"/>
    <s v="Tianjin"/>
    <s v="26Aug011"/>
    <s v="UPP"/>
    <x v="1"/>
    <s v="SPTN Offstore in Transit WH"/>
    <s v="FOB"/>
    <x v="10"/>
    <s v="U4"/>
    <x v="178"/>
    <s v="DE0126080600001"/>
    <n v="6"/>
    <s v="Yes"/>
    <m/>
    <x v="3"/>
    <x v="102"/>
    <s v="HSM-BD66-GR650"/>
    <s v="H4(Com)"/>
    <s v="+400mm/-200mm"/>
    <n v="650"/>
    <n v="10800"/>
    <n v="7.02"/>
    <n v="300"/>
    <n v="15"/>
    <x v="18"/>
    <s v="IN-TRANSIT"/>
    <d v="2026-09-07T00:00:00"/>
    <d v="2026-09-13T00:00:00"/>
    <n v="37"/>
    <s v="POPV260918052"/>
    <m/>
    <s v="TIANJIN"/>
    <x v="0"/>
    <x v="1"/>
    <d v="2026-09-22T00:00:00"/>
    <d v="2026-09-30T00:00:00"/>
    <d v="2026-09-28T00:00:00"/>
    <d v="2026-11-07T00:00:00"/>
    <m/>
    <m/>
    <s v="FOB"/>
    <s v="MSC METTE / GT637W"/>
    <s v="OTHER"/>
    <s v="TPVB20260838001"/>
    <x v="715"/>
    <s v="N235186779A"/>
    <n v="40"/>
    <m/>
    <d v="2026-11-07T00:00:00"/>
    <s v="-"/>
    <s v=""/>
    <n v="0"/>
    <d v="2026-11-07T00:00:00"/>
    <s v="n/a"/>
    <s v="n/a"/>
    <n v="45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8"/>
    <s v="DE0126080600001"/>
    <n v="9"/>
    <s v="Yes"/>
    <m/>
    <x v="3"/>
    <x v="102"/>
    <s v="HSM-BD66-GR650"/>
    <s v="H4(Com)"/>
    <s v="+400mm/-200mm"/>
    <n v="650"/>
    <n v="5040"/>
    <n v="3.2759999999999998"/>
    <n v="140"/>
    <n v="7"/>
    <x v="19"/>
    <s v="IN-TRANSIT"/>
    <d v="2026-09-10T00:00:00"/>
    <d v="2026-09-13T00:00:00"/>
    <n v="37"/>
    <s v="POPV260918051"/>
    <m/>
    <s v="TIANJIN"/>
    <x v="0"/>
    <x v="1"/>
    <d v="2026-09-22T00:00:00"/>
    <d v="2026-09-30T00:00:00"/>
    <d v="2026-09-28T00:00:00"/>
    <d v="2026-11-07T00:00:00"/>
    <m/>
    <m/>
    <s v="FOB"/>
    <s v="MSC METTE / GT637W"/>
    <s v="OTHER"/>
    <s v="TPVB20260838001"/>
    <x v="715"/>
    <s v="N235186779B"/>
    <m/>
    <m/>
    <d v="2026-11-07T00:00:00"/>
    <s v="-"/>
    <s v=""/>
    <n v="0"/>
    <d v="2026-11-07T00:00:00"/>
    <n v="2026"/>
    <n v="11"/>
    <n v="45"/>
    <n v="36"/>
    <n v="720"/>
    <s v="White glazing"/>
    <s v="AEU"/>
  </r>
  <r>
    <s v="26Aug011.06"/>
    <s v="Tianjin"/>
    <s v="26Aug011"/>
    <s v="UPP"/>
    <x v="1"/>
    <s v="SPTN Offstore in Transit WH"/>
    <s v="FOB"/>
    <x v="10"/>
    <s v="U4"/>
    <x v="178"/>
    <s v="DE0126080600001"/>
    <n v="3"/>
    <s v="Yes"/>
    <m/>
    <x v="3"/>
    <x v="102"/>
    <s v="HSM-BD66-GR650"/>
    <s v="H4(Com)"/>
    <s v="+400mm/-200mm"/>
    <n v="650"/>
    <n v="5760"/>
    <n v="3.7440000000000002"/>
    <n v="160"/>
    <n v="8"/>
    <x v="19"/>
    <s v="IN-TRANSIT"/>
    <d v="2026-09-10T00:00:00"/>
    <d v="2026-09-14T00:00:00"/>
    <n v="38"/>
    <s v="POPV260918050"/>
    <m/>
    <s v="TIANJIN"/>
    <x v="0"/>
    <x v="1"/>
    <d v="2026-09-22T00:00:00"/>
    <d v="2026-09-30T00:00:00"/>
    <d v="2026-09-28T00:00:00"/>
    <d v="2026-11-07T00:00:00"/>
    <m/>
    <m/>
    <s v="FOB"/>
    <s v="MSC METTE / GT637W"/>
    <s v="OTHER"/>
    <s v="TPVB20260838001"/>
    <x v="715"/>
    <s v="N235186779B"/>
    <n v="40"/>
    <m/>
    <d v="2026-11-07T00:00:00"/>
    <s v="-"/>
    <s v=""/>
    <n v="0"/>
    <d v="2026-11-07T00:00:00"/>
    <s v="n/a"/>
    <s v="n/a"/>
    <n v="45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8"/>
    <s v="DE0126080600001"/>
    <n v="8"/>
    <s v="Yes"/>
    <m/>
    <x v="3"/>
    <x v="102"/>
    <s v="HSM-BD66-GR650"/>
    <s v="H4(Com)"/>
    <s v="+400mm/-200mm"/>
    <n v="650"/>
    <n v="6480"/>
    <n v="4.2119999999999997"/>
    <n v="180"/>
    <n v="9"/>
    <x v="19"/>
    <s v="IN-TRANSIT"/>
    <d v="2026-09-12T00:00:00"/>
    <d v="2026-09-19T00:00:00"/>
    <n v="38"/>
    <s v="POPV260921022"/>
    <m/>
    <s v="TIANJIN"/>
    <x v="0"/>
    <x v="1"/>
    <d v="2026-09-21T00:00:00"/>
    <d v="2026-10-02T00:00:00"/>
    <d v="2026-10-02T00:00:00"/>
    <d v="2026-11-14T00:00:00"/>
    <d v="2026-11-04T00:00:00"/>
    <m/>
    <s v="FOB"/>
    <s v="MSC METTE  GT638W"/>
    <s v="OTHER"/>
    <s v="TPVB20260838008"/>
    <x v="716"/>
    <s v="N235187239"/>
    <n v="33"/>
    <m/>
    <d v="2026-11-04T00:00:00"/>
    <s v="-"/>
    <s v=""/>
    <n v="0"/>
    <d v="2026-11-04T00:00:00"/>
    <s v="n/a"/>
    <s v="n/a"/>
    <n v="45"/>
    <n v="36"/>
    <n v="720"/>
    <s v="White glazing"/>
    <s v="AEU"/>
  </r>
  <r>
    <s v="26Aug012.02"/>
    <s v="Tianjin"/>
    <s v="26Aug012"/>
    <s v="UPP"/>
    <x v="1"/>
    <s v="SPTN Offstore in Transit WH"/>
    <s v="FOB"/>
    <x v="10"/>
    <s v="U4"/>
    <x v="178"/>
    <s v="DE0126080600001"/>
    <n v="4"/>
    <s v="Yes"/>
    <m/>
    <x v="3"/>
    <x v="103"/>
    <s v="HSM-BD66-GR655"/>
    <s v="H4(Com)"/>
    <s v="+400mm/-200mm"/>
    <n v="655"/>
    <n v="720"/>
    <n v="0.47160000000000002"/>
    <n v="20"/>
    <n v="1"/>
    <x v="20"/>
    <s v="IN-TRANSIT"/>
    <m/>
    <d v="2026-09-19T00:00:00"/>
    <n v="38"/>
    <s v="POPV260921026"/>
    <m/>
    <s v="TIANJIN"/>
    <x v="0"/>
    <x v="1"/>
    <d v="2026-09-21T00:00:00"/>
    <d v="2026-10-02T00:00:00"/>
    <d v="2026-10-02T00:00:00"/>
    <d v="2026-11-14T00:00:00"/>
    <d v="2026-11-04T00:00:00"/>
    <m/>
    <s v="FOB"/>
    <s v="MSC METTE  GT638W"/>
    <s v="OTHER"/>
    <s v="TPVB20260838008"/>
    <x v="716"/>
    <s v="N235187239"/>
    <m/>
    <m/>
    <d v="2026-11-04T00:00:00"/>
    <s v="-"/>
    <s v=""/>
    <n v="0"/>
    <d v="2026-11-04T00:00:00"/>
    <n v="2026"/>
    <n v="11"/>
    <n v="45"/>
    <n v="36"/>
    <n v="720"/>
    <s v="White glazing"/>
    <s v="AEU"/>
  </r>
  <r>
    <s v="26Aug025.04"/>
    <s v="Yixing"/>
    <s v="26Aug025"/>
    <s v="UPP"/>
    <x v="1"/>
    <s v="SPTN Offstore in Transit WH"/>
    <s v="CIF"/>
    <x v="10"/>
    <s v="U4"/>
    <x v="178"/>
    <s v="DE0126080400009"/>
    <n v="20"/>
    <s v="Yes"/>
    <m/>
    <x v="0"/>
    <x v="99"/>
    <s v="HSM-ND66-GR630"/>
    <s v="H4(Com)"/>
    <s v="+400mm/-200mm"/>
    <n v="630"/>
    <n v="7920"/>
    <n v="4.9896000000000003"/>
    <n v="220"/>
    <n v="11"/>
    <x v="20"/>
    <s v="IN-TRANSIT"/>
    <s v="ready"/>
    <d v="2026-09-19T00:00:00"/>
    <n v="38"/>
    <s v="POPV260921023"/>
    <m/>
    <s v="SHANGHAI"/>
    <x v="1"/>
    <x v="1"/>
    <d v="2026-09-23T00:00:00"/>
    <d v="2026-09-28T00:00:00"/>
    <d v="2026-09-28T00:00:00"/>
    <d v="2026-10-31T00:00:00"/>
    <m/>
    <s v=""/>
    <m/>
    <m/>
    <s v="OTHER"/>
    <s v="TPVB20260939001"/>
    <x v="717"/>
    <s v="EGLV149608289604   "/>
    <n v="33"/>
    <m/>
    <d v="2026-10-31T00:00:00"/>
    <s v="-"/>
    <s v=""/>
    <n v="0"/>
    <d v="2026-10-31T00:00:00"/>
    <n v="2026"/>
    <n v="10"/>
    <n v="44"/>
    <n v="36"/>
    <n v="720"/>
    <s v="Redirection Film"/>
    <s v="AEU"/>
  </r>
  <r>
    <s v="26Aug015.10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2"/>
    <s v="IN-TRANSIT"/>
    <d v="2026-09-17T00:00:00"/>
    <d v="2026-09-20T00:00:00"/>
    <n v="38"/>
    <s v="POPV260921024"/>
    <m/>
    <s v="SHANGHAI"/>
    <x v="1"/>
    <x v="1"/>
    <d v="2026-09-23T00:00:00"/>
    <d v="2026-09-28T00:00:00"/>
    <d v="2026-09-28T00:00:00"/>
    <d v="2026-10-31T00:00:00"/>
    <m/>
    <s v=""/>
    <m/>
    <m/>
    <s v="OTHER"/>
    <s v="TPVB20260939004"/>
    <x v="718"/>
    <s v="EGLV149608289604   "/>
    <n v="33"/>
    <m/>
    <d v="2026-10-31T00:00:00"/>
    <s v="-"/>
    <s v=""/>
    <n v="7"/>
    <d v="2026-11-07T00:00:00"/>
    <s v="n/a"/>
    <s v="n/a"/>
    <n v="45"/>
    <n v="36"/>
    <n v="792"/>
    <s v="Black glazing"/>
    <s v="AEU"/>
  </r>
  <r>
    <s v="26Aug013.02"/>
    <s v="Quzhou"/>
    <s v="26Aug013"/>
    <s v="UPP"/>
    <x v="1"/>
    <s v="SPTN Offstore in Transit WH"/>
    <s v="CIF"/>
    <x v="10"/>
    <s v="U4"/>
    <x v="178"/>
    <s v="DE0126080300006"/>
    <n v="2"/>
    <s v="Yes"/>
    <m/>
    <x v="3"/>
    <x v="105"/>
    <s v="S4-DG490-108BC-FB"/>
    <s v="EVO2A"/>
    <s v="±1200mm"/>
    <n v="490"/>
    <n v="3744"/>
    <n v="1.83456"/>
    <n v="104"/>
    <n v="4"/>
    <x v="18"/>
    <s v="IN-TRANSIT"/>
    <s v="Batch 1-11，9/20"/>
    <d v="2026-09-20T00:00:00"/>
    <n v="38"/>
    <s v="POPV260921027"/>
    <m/>
    <s v="SHANGHAI/Quzhou"/>
    <x v="1"/>
    <x v="1"/>
    <d v="2026-09-29T00:00:00"/>
    <d v="2026-09-27T00:00:00"/>
    <d v="2026-09-27T12:59:51"/>
    <d v="2026-11-03T00:00:00"/>
    <d v="2026-11-03T08:00:00"/>
    <s v=""/>
    <m/>
    <s v="COSCO SHIPPING GEMINI_x000a_037W"/>
    <s v="COSCO"/>
    <s v="TPVB20260939005"/>
    <x v="719"/>
    <s v="COSU6467917120"/>
    <n v="36.79177083333343"/>
    <m/>
    <d v="2026-11-03T08:00:00"/>
    <s v="-"/>
    <s v=""/>
    <n v="0"/>
    <d v="2026-11-03T08:00:00"/>
    <n v="2026"/>
    <n v="11"/>
    <n v="45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8"/>
    <s v="DE0126080300006"/>
    <n v="6"/>
    <s v="Yes"/>
    <m/>
    <x v="3"/>
    <x v="106"/>
    <s v="S4-DG485-108BC-FB"/>
    <s v="EVO2A"/>
    <s v="±1200mm"/>
    <n v="485"/>
    <n v="6552"/>
    <n v="3.1777199999999999"/>
    <n v="182"/>
    <n v="7"/>
    <x v="19"/>
    <s v="IN-TRANSIT"/>
    <s v="Batch 2-8，9/20"/>
    <d v="2026-09-21T00:00:00"/>
    <n v="39"/>
    <s v="POPV260924026"/>
    <m/>
    <s v="SHANGHAI/Quzhou"/>
    <x v="1"/>
    <x v="1"/>
    <d v="2026-09-29T00:00:00"/>
    <d v="2026-09-27T00:00:00"/>
    <d v="2026-09-27T12:59:51"/>
    <d v="2026-11-03T00:00:00"/>
    <d v="2026-11-03T08:00:00"/>
    <s v=""/>
    <m/>
    <s v="COSCO SHIPPING GEMINI_x000a_037W"/>
    <s v="COSCO"/>
    <s v="TPVB20260939005"/>
    <x v="719"/>
    <s v="COSU6467917120"/>
    <n v="36.79177083333343"/>
    <m/>
    <d v="2026-11-03T08:00:00"/>
    <s v="-"/>
    <s v=""/>
    <n v="0"/>
    <d v="2026-11-03T08:00:00"/>
    <n v="2026"/>
    <n v="11"/>
    <n v="45"/>
    <n v="36"/>
    <n v="936"/>
    <s v="Black glazing"/>
    <s v="AEU"/>
  </r>
  <r>
    <s v="26Aug013.06"/>
    <s v="Quzhou"/>
    <s v="26Aug013"/>
    <s v="UPP"/>
    <x v="1"/>
    <s v="SPTN Offstore in Transit WH"/>
    <s v="CIF"/>
    <x v="10"/>
    <s v="U4"/>
    <x v="178"/>
    <s v="DE0126080300006"/>
    <n v="11"/>
    <s v="Yes"/>
    <m/>
    <x v="3"/>
    <x v="105"/>
    <s v="S4-DG490-108BC-FB"/>
    <s v="EVO2A"/>
    <s v="±1200mm"/>
    <n v="490"/>
    <n v="4680"/>
    <n v="2.2932000000000001"/>
    <n v="130"/>
    <n v="5"/>
    <x v="20"/>
    <s v=""/>
    <s v="Batch 3-5，9/26"/>
    <d v="2026-09-26T00:00:00"/>
    <n v="39"/>
    <s v="POPV260929034"/>
    <m/>
    <s v="SHANGHAI/Quzhou"/>
    <x v="1"/>
    <x v="1"/>
    <d v="2026-09-28T00:00:00"/>
    <d v="2026-10-16T00:00:00"/>
    <s v=""/>
    <d v="2026-11-04T00:00:00"/>
    <d v="2026-11-21T21:00:00"/>
    <s v=""/>
    <m/>
    <s v="EVER ACT 1420-019W"/>
    <s v="COSCO"/>
    <s v="TPVB20260939006"/>
    <x v="720"/>
    <s v="COSU6467917960"/>
    <n v="36.875"/>
    <m/>
    <d v="2026-11-21T21:00:00"/>
    <s v="-"/>
    <s v=""/>
    <n v="0"/>
    <d v="2026-11-21T21:00:00"/>
    <n v="2026"/>
    <n v="11"/>
    <n v="47"/>
    <n v="36"/>
    <n v="936"/>
    <s v="Black glazing"/>
    <s v="AEU"/>
  </r>
  <r>
    <s v="26Aug013.05"/>
    <s v="Quzhou"/>
    <s v="26Aug013"/>
    <s v="UPP"/>
    <x v="1"/>
    <s v="SPTN Offstore in Transit WH"/>
    <s v="CIF"/>
    <x v="10"/>
    <s v="U4"/>
    <x v="178"/>
    <s v="DE0126080300006"/>
    <n v="12"/>
    <s v="Yes"/>
    <m/>
    <x v="3"/>
    <x v="105"/>
    <s v="S4-DG490-108BC-FB"/>
    <s v="EVO2A"/>
    <s v="±1200mm"/>
    <n v="490"/>
    <n v="7488"/>
    <n v="3.6691199999999999"/>
    <n v="208"/>
    <n v="8"/>
    <x v="20"/>
    <s v=""/>
    <s v="Batch 3-8，9/20"/>
    <d v="2026-09-22T00:00:00"/>
    <n v="39"/>
    <s v="POPV260924036"/>
    <m/>
    <s v="SHANGHAI/Quzhou"/>
    <x v="1"/>
    <x v="1"/>
    <d v="2026-10-01T00:00:00"/>
    <d v="2026-10-01T12:00:00"/>
    <s v=""/>
    <d v="2026-11-14T00:00:00"/>
    <d v="2026-11-15T15:00:00"/>
    <s v=""/>
    <m/>
    <s v="COSCO SHIPPING ANDES 049W"/>
    <s v="COSCO"/>
    <s v="TPVB20260939007"/>
    <x v="721"/>
    <s v="COSU6467919240"/>
    <n v="45.125"/>
    <m/>
    <d v="2026-11-15T15:00:00"/>
    <s v="-"/>
    <s v=""/>
    <n v="0"/>
    <d v="2026-11-15T15:00:00"/>
    <n v="2026"/>
    <n v="11"/>
    <n v="46"/>
    <n v="36"/>
    <n v="936"/>
    <s v="Black glazing"/>
    <s v="AEU"/>
  </r>
  <r>
    <s v="26Aug013.01"/>
    <s v="Quzhou"/>
    <s v="26Aug013"/>
    <s v="UPP"/>
    <x v="1"/>
    <s v="SPTN Offstore in Transit WH"/>
    <s v="CIF"/>
    <x v="10"/>
    <s v="U4"/>
    <x v="178"/>
    <s v="DE0126080300006"/>
    <n v="3"/>
    <s v="Yes"/>
    <m/>
    <x v="3"/>
    <x v="105"/>
    <s v="S4-DG490-108BC-FB"/>
    <s v="EVO2A"/>
    <s v="±1200mm"/>
    <n v="490"/>
    <n v="5616"/>
    <n v="2.7518400000000001"/>
    <n v="156"/>
    <n v="6"/>
    <x v="18"/>
    <s v="IN-TRANSIT"/>
    <s v="Batch 1-11，9/23"/>
    <d v="2026-09-23T00:00:00"/>
    <n v="39"/>
    <s v="POPV260924037"/>
    <m/>
    <s v="SHANGHAI/Quzhou"/>
    <x v="1"/>
    <x v="1"/>
    <d v="2026-10-01T00:00:00"/>
    <d v="2026-10-02T00:00:00"/>
    <d v="2026-10-02T00:00:00"/>
    <d v="2026-11-14T00:00:00"/>
    <d v="2026-11-14T19:00:00"/>
    <s v=""/>
    <m/>
    <s v="COSCO SHIPPING ANDES 049W"/>
    <s v="COSCO"/>
    <s v="TPVB20260939008"/>
    <x v="722"/>
    <s v="COSU6467919750"/>
    <n v="43.791666666664241"/>
    <m/>
    <d v="2026-11-14T19:00:00"/>
    <s v="-"/>
    <s v=""/>
    <n v="0"/>
    <d v="2026-11-14T19:00:00"/>
    <n v="2026"/>
    <n v="11"/>
    <n v="46"/>
    <n v="36"/>
    <n v="936"/>
    <s v="Black glazing"/>
    <s v="AEU"/>
  </r>
  <r>
    <s v="26Aug013.07"/>
    <s v="Quzhou"/>
    <s v="26Aug013"/>
    <s v="UPP"/>
    <x v="1"/>
    <s v="SPTN Offstore in Transit WH"/>
    <s v="CIF"/>
    <x v="10"/>
    <s v="U4"/>
    <x v="178"/>
    <s v="DE0126080300006"/>
    <n v="13"/>
    <s v="Yes"/>
    <m/>
    <x v="3"/>
    <x v="105"/>
    <s v="S4-DG490-108BC-FB"/>
    <s v="EVO2A"/>
    <s v="±1200mm"/>
    <n v="490"/>
    <n v="2808"/>
    <n v="1.37592"/>
    <n v="78"/>
    <n v="3"/>
    <x v="19"/>
    <s v="IN-TRANSIT"/>
    <d v="2026-09-23T00:00:00"/>
    <d v="2026-09-23T00:00:00"/>
    <n v="39"/>
    <s v="POPV260924038"/>
    <m/>
    <s v="SHANGHAI/Quzhou"/>
    <x v="1"/>
    <x v="1"/>
    <d v="2026-10-01T00:00:00"/>
    <d v="2026-10-02T00:00:00"/>
    <d v="2026-10-02T00:00:00"/>
    <d v="2026-11-14T00:00:00"/>
    <d v="2026-11-14T19:00:00"/>
    <s v=""/>
    <m/>
    <s v="COSCO SHIPPING ANDES 049W"/>
    <s v="COSCO"/>
    <s v="TPVB20260939008"/>
    <x v="722"/>
    <s v="COSU6467919750"/>
    <n v="43.791666666664241"/>
    <m/>
    <d v="2026-11-14T19:00:00"/>
    <s v="-"/>
    <s v=""/>
    <n v="0"/>
    <d v="2026-11-14T19:00:00"/>
    <n v="2026"/>
    <n v="11"/>
    <n v="46"/>
    <n v="36"/>
    <n v="936"/>
    <s v="Black glazing"/>
    <s v="AEU"/>
  </r>
  <r>
    <s v="26Aug014.05"/>
    <s v="Quzhou"/>
    <s v="26Aug014"/>
    <s v="UPP"/>
    <x v="1"/>
    <s v="SPTN Offstore in Transit WH"/>
    <s v="CIF"/>
    <x v="10"/>
    <s v="U4"/>
    <x v="178"/>
    <s v="DE0126080300006"/>
    <n v="7"/>
    <s v="Yes"/>
    <m/>
    <x v="3"/>
    <x v="106"/>
    <s v="S4-DG485-108BC-FB"/>
    <s v="EVO2A"/>
    <s v="±1200mm"/>
    <n v="485"/>
    <n v="2808"/>
    <n v="1.36188"/>
    <n v="78"/>
    <n v="3"/>
    <x v="20"/>
    <s v="IN-TRANSIT"/>
    <s v="Batch 3-5，9/23"/>
    <d v="2026-09-23T00:00:00"/>
    <n v="39"/>
    <s v="POPV260924040"/>
    <m/>
    <s v="SHANGHAI/Quzhou"/>
    <x v="1"/>
    <x v="1"/>
    <d v="2026-10-01T00:00:00"/>
    <d v="2026-10-02T00:00:00"/>
    <d v="2026-10-02T00:00:00"/>
    <d v="2026-11-14T00:00:00"/>
    <d v="2026-11-14T19:00:00"/>
    <s v=""/>
    <m/>
    <s v="COSCO SHIPPING ANDES 049W"/>
    <s v="COSCO"/>
    <s v="TPVB20260939008"/>
    <x v="722"/>
    <s v="COSU6467919750"/>
    <n v="43.791666666664241"/>
    <m/>
    <d v="2026-11-14T19:00:00"/>
    <s v="-"/>
    <s v=""/>
    <n v="0"/>
    <d v="2026-11-14T19:00:00"/>
    <n v="2026"/>
    <n v="11"/>
    <n v="46"/>
    <n v="36"/>
    <n v="936"/>
    <s v="Black glazing"/>
    <s v="AEU"/>
  </r>
  <r>
    <s v="26Aug014.04"/>
    <s v="Quzhou"/>
    <s v="26Aug014"/>
    <s v="UPP"/>
    <x v="1"/>
    <s v="SPTN Offstore in Transit WH"/>
    <s v="CIF"/>
    <x v="10"/>
    <s v="U4"/>
    <x v="178"/>
    <s v="DE0126080300006"/>
    <n v="8"/>
    <s v="Yes"/>
    <m/>
    <x v="3"/>
    <x v="106"/>
    <s v="S4-DG485-108BC-FB"/>
    <s v="EVO2A"/>
    <s v="±1200mm"/>
    <n v="485"/>
    <n v="2808"/>
    <n v="1.36188"/>
    <n v="78"/>
    <n v="3"/>
    <x v="20"/>
    <s v="IN-TRANSIT"/>
    <s v="Batch 3-11，9/24"/>
    <d v="2026-09-24T00:00:00"/>
    <n v="39"/>
    <s v="POPV260924041"/>
    <m/>
    <s v="SHANGHAI/Quzhou"/>
    <x v="1"/>
    <x v="1"/>
    <d v="2026-10-01T00:00:00"/>
    <d v="2026-10-02T00:00:00"/>
    <d v="2026-10-02T00:00:00"/>
    <d v="2026-11-14T00:00:00"/>
    <d v="2026-11-14T19:00:00"/>
    <s v=""/>
    <m/>
    <s v="COSCO SHIPPING ANDES 049W"/>
    <s v="COSCO"/>
    <s v="TPVB20260939009"/>
    <x v="723"/>
    <s v="COSU6467920310"/>
    <n v="43.791666666664241"/>
    <m/>
    <d v="2026-11-14T19:00:00"/>
    <s v="-"/>
    <s v=""/>
    <n v="0"/>
    <d v="2026-11-14T19:00:00"/>
    <n v="2026"/>
    <n v="11"/>
    <n v="46"/>
    <n v="36"/>
    <n v="936"/>
    <s v="Black glazing"/>
    <s v="AEU"/>
  </r>
  <r>
    <s v="26Aug013.04"/>
    <s v="Quzhou"/>
    <s v="26Aug013"/>
    <s v="UPP"/>
    <x v="1"/>
    <s v="SPTN Offstore in Transit WH"/>
    <s v="CIF"/>
    <x v="10"/>
    <s v="U4"/>
    <x v="178"/>
    <s v="DE0126080300006"/>
    <n v="10"/>
    <s v="Yes"/>
    <m/>
    <x v="3"/>
    <x v="105"/>
    <s v="S4-DG490-108BC-FB"/>
    <s v="EVO2A"/>
    <s v="±1200mm"/>
    <n v="490"/>
    <n v="4680"/>
    <n v="2.2932000000000001"/>
    <n v="130"/>
    <n v="5"/>
    <x v="19"/>
    <s v="IN-TRANSIT"/>
    <s v="Batch 2-5，9/24"/>
    <d v="2026-09-24T00:00:00"/>
    <n v="39"/>
    <s v="POPV260924039"/>
    <m/>
    <s v="SHANGHAI/Quzhou"/>
    <x v="1"/>
    <x v="1"/>
    <d v="2026-10-01T00:00:00"/>
    <d v="2026-10-02T00:00:00"/>
    <d v="2026-10-02T00:00:00"/>
    <d v="2026-11-14T00:00:00"/>
    <d v="2026-11-14T19:00:00"/>
    <s v=""/>
    <m/>
    <s v="COSCO SHIPPING ANDES 049W"/>
    <s v="COSCO"/>
    <s v="TPVB20260939009"/>
    <x v="723"/>
    <s v="COSU6467920310"/>
    <n v="43.791666666664241"/>
    <m/>
    <d v="2026-11-14T19:00:00"/>
    <s v="-"/>
    <s v=""/>
    <n v="0"/>
    <d v="2026-11-14T19:00:00"/>
    <n v="2026"/>
    <n v="11"/>
    <n v="46"/>
    <n v="36"/>
    <n v="936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8"/>
    <s v=""/>
    <d v="2026-09-28T00:00:00"/>
    <d v="2026-09-27T00:00:00"/>
    <n v="39"/>
    <s v="POPV261010030"/>
    <m/>
    <s v="SHANGHAI"/>
    <x v="1"/>
    <x v="1"/>
    <d v="2026-10-02T00:00:00"/>
    <s v=""/>
    <s v=""/>
    <d v="2026-11-08T00:00:00"/>
    <s v=""/>
    <s v=""/>
    <m/>
    <s v="EVER AEON 1420-009W"/>
    <s v="OTHER"/>
    <s v="TPVB20260939012"/>
    <x v="724"/>
    <s v="EGLV149608598577"/>
    <n v="37"/>
    <m/>
    <d v="2026-11-08T00:00:00"/>
    <s v="-"/>
    <s v=""/>
    <n v="7"/>
    <d v="2026-11-15T00:00:00"/>
    <s v="n/a"/>
    <s v="n/a"/>
    <n v="46"/>
    <n v="36"/>
    <n v="792"/>
    <s v="Black glazing"/>
    <s v="AEU"/>
  </r>
  <r>
    <s v="26Aug016.04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0"/>
    <s v=""/>
    <d v="2026-09-28T00:00:00"/>
    <d v="2026-09-27T00:00:00"/>
    <n v="39"/>
    <s v="POPV261010028"/>
    <m/>
    <s v="SHANGHAI"/>
    <x v="1"/>
    <x v="1"/>
    <d v="2026-10-02T00:00:00"/>
    <s v=""/>
    <s v=""/>
    <d v="2026-11-08T00:00:00"/>
    <m/>
    <s v=""/>
    <m/>
    <s v="EVER AEON 1420-009W"/>
    <s v="OTHER"/>
    <s v="TPVB20260939012"/>
    <x v="724"/>
    <s v="EGLV149608598577"/>
    <n v="37"/>
    <m/>
    <d v="2026-11-08T00:00:00"/>
    <s v="-"/>
    <s v=""/>
    <n v="7"/>
    <d v="2026-11-15T00:00:00"/>
    <s v="n/a"/>
    <s v="n/a"/>
    <n v="46"/>
    <n v="36"/>
    <n v="792"/>
    <s v="Black glazing"/>
    <s v="AEU"/>
  </r>
  <r>
    <s v="26Aug015.04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2"/>
    <s v=""/>
    <d v="2026-09-28T00:00:00"/>
    <d v="2026-09-27T00:00:00"/>
    <n v="39"/>
    <s v="POPV261010007"/>
    <m/>
    <s v="SHANGHAI"/>
    <x v="1"/>
    <x v="1"/>
    <d v="2026-10-02T00:00:00"/>
    <s v=""/>
    <s v=""/>
    <d v="2026-11-08T00:00:00"/>
    <m/>
    <s v=""/>
    <m/>
    <s v="EVER AEON 1420-009W"/>
    <s v="OTHER"/>
    <s v="TPVB20260939012"/>
    <x v="724"/>
    <s v="EGLV149608598577"/>
    <n v="37"/>
    <m/>
    <d v="2026-11-08T00:00:00"/>
    <s v="-"/>
    <s v=""/>
    <n v="7"/>
    <d v="2026-11-15T00:00:00"/>
    <s v="n/a"/>
    <s v="n/a"/>
    <n v="46"/>
    <n v="36"/>
    <n v="792"/>
    <s v="Black glazing"/>
    <s v="AEU"/>
  </r>
  <r>
    <s v="26Aug016.06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2"/>
    <s v=""/>
    <d v="2026-09-26T00:00:00"/>
    <d v="2026-09-26T00:00:00"/>
    <n v="39"/>
    <s v="POPV261010027"/>
    <m/>
    <s v="SHANGHAI"/>
    <x v="1"/>
    <x v="4"/>
    <d v="2026-10-02T00:00:00"/>
    <d v="2026-10-11T00:00:00"/>
    <s v=""/>
    <d v="2026-11-18T00:00:00"/>
    <d v="2026-11-18T06:00:00"/>
    <s v=""/>
    <m/>
    <s v="EVER GLORY 0772-030W"/>
    <s v="COSCO"/>
    <s v="TPVB20260939013"/>
    <x v="725"/>
    <s v="COSU6468132880"/>
    <n v="38.25"/>
    <m/>
    <d v="2026-11-18T06:00:00"/>
    <s v="-"/>
    <s v=""/>
    <n v="10"/>
    <d v="2026-11-28T06:00:00"/>
    <s v="n/a"/>
    <s v="n/a"/>
    <n v="48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0"/>
    <s v=""/>
    <d v="2026-09-26T00:00:00"/>
    <d v="2026-09-26T00:00:00"/>
    <n v="39"/>
    <s v="POPV261010026"/>
    <m/>
    <s v="SHANGHAI"/>
    <x v="1"/>
    <x v="14"/>
    <d v="2026-10-02T00:00:00"/>
    <d v="2026-10-11T00:00:00"/>
    <s v=""/>
    <d v="2026-11-15T00:00:00"/>
    <d v="2026-11-22T18:00:00"/>
    <s v=""/>
    <m/>
    <s v="EVER GLORY 0772-030W"/>
    <s v="COSCO"/>
    <s v="TPVB20260939016"/>
    <x v="726"/>
    <s v="COSU6467810590"/>
    <n v="42.75"/>
    <m/>
    <d v="2026-11-22T18:00:00"/>
    <s v="-"/>
    <s v=""/>
    <n v="10"/>
    <d v="2026-12-02T18:00:00"/>
    <s v="n/a"/>
    <s v="n/a"/>
    <n v="49"/>
    <n v="36"/>
    <n v="792"/>
    <s v="Black glazing"/>
    <s v="AEM"/>
  </r>
  <r>
    <s v="26Aug015.03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2"/>
    <s v=""/>
    <d v="2026-09-26T00:00:00"/>
    <d v="2026-09-28T00:00:00"/>
    <n v="40"/>
    <s v="POPV261010006"/>
    <m/>
    <s v="SHANGHAI"/>
    <x v="1"/>
    <x v="0"/>
    <d v="2026-10-02T00:00:00"/>
    <d v="2026-10-11T00:00:00"/>
    <s v=""/>
    <d v="2026-11-23T00:00:00"/>
    <d v="2026-11-23T19:00:00"/>
    <s v=""/>
    <m/>
    <s v="EVER GLORY 0772-030W"/>
    <s v="COSCO"/>
    <s v="TPVB20260939014"/>
    <x v="727"/>
    <s v="COSU6468136360"/>
    <n v="43.791666666664241"/>
    <m/>
    <d v="2026-11-23T19:00:00"/>
    <s v="-"/>
    <s v=""/>
    <n v="8"/>
    <d v="2026-12-01T19:00:00"/>
    <s v="n/a"/>
    <s v="n/a"/>
    <n v="49"/>
    <n v="36"/>
    <n v="792"/>
    <s v="Black glazing"/>
    <s v="AEM"/>
  </r>
  <r>
    <s v="26Aug016.11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2"/>
    <s v="IN-TRANSIT"/>
    <d v="2026-09-26T00:00:00"/>
    <d v="2026-09-25T00:00:00"/>
    <n v="39"/>
    <s v="POPV261010023"/>
    <m/>
    <s v="SHANGHAI"/>
    <x v="1"/>
    <x v="2"/>
    <d v="2026-10-02T00:00:00"/>
    <d v="2026-10-03T13:30:00"/>
    <d v="2026-10-04T00:00:00"/>
    <d v="2026-11-05T00:00:00"/>
    <d v="2026-11-12T20:00:00"/>
    <s v=""/>
    <m/>
    <s v="CMA CGM BERENICE MEOVW1MA"/>
    <s v="COSCO"/>
    <s v="TPVB20260939017"/>
    <x v="728"/>
    <s v="COSU6468139070"/>
    <n v="39.833333333335759"/>
    <m/>
    <d v="2026-11-12T20:00:00"/>
    <s v="-"/>
    <s v=""/>
    <n v="9"/>
    <d v="2026-11-21T20:00:00"/>
    <s v="n/a"/>
    <s v="n/a"/>
    <n v="47"/>
    <n v="36"/>
    <n v="792"/>
    <s v="Black glazing"/>
    <s v="AEM"/>
  </r>
  <r>
    <s v="26Aug015.12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2"/>
    <s v="IN-TRANSIT"/>
    <d v="2026-09-26T00:00:00"/>
    <d v="2026-09-25T00:00:00"/>
    <n v="39"/>
    <s v="POPV261010005"/>
    <m/>
    <s v="SHANGHAI"/>
    <x v="1"/>
    <x v="0"/>
    <d v="2026-10-02T00:00:00"/>
    <d v="2026-10-03T13:30:00"/>
    <d v="2026-10-04T00:00:00"/>
    <d v="2026-11-11T00:00:00"/>
    <d v="2026-11-18T06:00:00"/>
    <s v=""/>
    <m/>
    <s v="CMA CGM BERENICE 0MEOVW1MA"/>
    <s v="COSCO"/>
    <s v="TPVB20260939015"/>
    <x v="729"/>
    <s v="COSU6468138550"/>
    <n v="45.25"/>
    <m/>
    <d v="2026-11-18T06:00:00"/>
    <s v="-"/>
    <s v=""/>
    <n v="8"/>
    <d v="2026-11-26T06:00:00"/>
    <s v="n/a"/>
    <s v="n/a"/>
    <n v="48"/>
    <n v="36"/>
    <n v="792"/>
    <s v="Black glazing"/>
    <s v="AEM"/>
  </r>
  <r>
    <s v="26Aug003.09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IN-TRANSIT"/>
    <m/>
    <d v="2026-09-24T00:00:00"/>
    <n v="39"/>
    <s v="POPV260924022"/>
    <m/>
    <s v="TIANJIN"/>
    <x v="0"/>
    <x v="0"/>
    <d v="2026-09-30T00:00:00"/>
    <d v="2026-09-30T12:00:00"/>
    <d v="2026-09-30T12:52:36"/>
    <d v="2026-12-09T00:00:00"/>
    <d v="2026-12-09T06:00:00"/>
    <s v=""/>
    <s v="CIF"/>
    <s v="CSCL AUTUMN 075E"/>
    <s v="COSCO"/>
    <s v="TPVB20260939018"/>
    <x v="730"/>
    <s v="COSU9510101310"/>
    <n v="69.713472222225391"/>
    <m/>
    <d v="2026-12-09T06:00:00"/>
    <s v="-"/>
    <s v=""/>
    <n v="8"/>
    <d v="2026-12-17T06:00:00"/>
    <n v="2026"/>
    <n v="12"/>
    <n v="51"/>
    <n v="36"/>
    <n v="864"/>
    <s v="Black glazing"/>
    <s v="AEM"/>
  </r>
  <r>
    <s v="26Aug022.02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4320"/>
    <n v="2.1816"/>
    <n v="120"/>
    <n v="5"/>
    <x v="20"/>
    <s v=""/>
    <m/>
    <d v="2026-10-13T00:00:00"/>
    <n v="42"/>
    <m/>
    <m/>
    <s v="TIANJIN"/>
    <x v="0"/>
    <x v="0"/>
    <d v="2026-10-18T00:00:00"/>
    <d v="2026-10-18T04:00:00"/>
    <s v=""/>
    <d v="2026-12-28T00:00:00"/>
    <d v="2026-12-28T19:00:00"/>
    <s v=""/>
    <m/>
    <s v="COSCO SHIPPING CAPRICORN_x000a_042W"/>
    <s v="COSCO"/>
    <s v="TPVB20261042002HL"/>
    <x v="731"/>
    <s v="COSU9510260410"/>
    <n v="71.625"/>
    <m/>
    <d v="2026-12-28T19:00:00"/>
    <s v="-"/>
    <d v="1899-12-30T00:00:00"/>
    <n v="8"/>
    <d v="2027-01-05T19:00:00"/>
    <s v="n/a"/>
    <s v="n/a"/>
    <n v="1"/>
    <n v="36"/>
    <n v="864"/>
    <s v="Black glazing"/>
    <s v="AEM"/>
  </r>
  <r>
    <s v="26Aug022.05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864"/>
    <n v="0.43631999999999999"/>
    <n v="24"/>
    <n v="1"/>
    <x v="20"/>
    <s v=""/>
    <m/>
    <d v="2026-10-13T00:00:00"/>
    <n v="42"/>
    <m/>
    <m/>
    <s v="TIANJIN"/>
    <x v="0"/>
    <x v="0"/>
    <d v="2026-10-18T00:00:00"/>
    <d v="2026-10-18T04:00:00"/>
    <s v=""/>
    <d v="2026-12-28T00:00:00"/>
    <d v="2026-12-16T06:00:00"/>
    <s v=""/>
    <m/>
    <s v="COSCO SHIPPING CAPRICORN_x000a_042W"/>
    <s v="COSCO"/>
    <s v="TPVB20261042003HL"/>
    <x v="732"/>
    <s v="COSU9510260340"/>
    <n v="59.083333333335759"/>
    <m/>
    <d v="2026-12-16T06:00:00"/>
    <s v="-"/>
    <d v="1899-12-30T00:00:00"/>
    <n v="8"/>
    <d v="2026-12-24T06:00:00"/>
    <s v="n/a"/>
    <s v="n/a"/>
    <n v="52"/>
    <n v="36"/>
    <n v="864"/>
    <s v="Black glazing"/>
    <s v="AEM"/>
  </r>
  <r>
    <s v="26Aug003.10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18"/>
    <s v=""/>
    <m/>
    <d v="2026-10-13T00:00:00"/>
    <n v="42"/>
    <m/>
    <m/>
    <s v="TIANJIN"/>
    <x v="0"/>
    <x v="0"/>
    <d v="2026-10-18T00:00:00"/>
    <d v="2026-10-18T04:00:00"/>
    <s v=""/>
    <d v="2026-12-16T00:00:00"/>
    <d v="2026-12-16T06:00:00"/>
    <s v=""/>
    <m/>
    <s v="COSCO SHIPPING CAPRICORN_x000a_042W"/>
    <s v="COSCO"/>
    <s v="TPVB20261042003HL"/>
    <x v="732"/>
    <s v="COSU9510260340"/>
    <n v="59.083333333335759"/>
    <m/>
    <d v="2026-12-16T06:00:00"/>
    <s v="-"/>
    <d v="1899-12-30T00:00:00"/>
    <n v="8"/>
    <d v="2026-12-24T06:00:00"/>
    <n v="2026"/>
    <n v="12"/>
    <n v="52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20"/>
    <s v="IN-TRANSIT"/>
    <m/>
    <d v="2026-09-24T00:00:00"/>
    <n v="39"/>
    <s v="POPV260924020"/>
    <m/>
    <s v="TIANJIN"/>
    <x v="0"/>
    <x v="0"/>
    <d v="2026-09-30T00:00:00"/>
    <d v="2026-09-30T12:00:00"/>
    <d v="2026-09-30T12:52:36"/>
    <d v="2026-12-14T00:00:00"/>
    <d v="2026-12-07T19:00:00"/>
    <s v=""/>
    <m/>
    <s v="CSCL AUTUMN 075E"/>
    <s v="COSCO"/>
    <s v="TPVB20260939011"/>
    <x v="733"/>
    <s v="COSU9510100890"/>
    <n v="68.255138888889633"/>
    <m/>
    <d v="2026-12-07T19:00:00"/>
    <s v="-"/>
    <s v=""/>
    <n v="8"/>
    <d v="2026-12-15T19:00:00"/>
    <n v="2026"/>
    <n v="12"/>
    <n v="51"/>
    <n v="36"/>
    <n v="864"/>
    <s v="Black glazing"/>
    <s v="AEM"/>
  </r>
  <r>
    <s v="26May009"/>
    <s v="Tianjin"/>
    <s v="Main Line"/>
    <s v="CORE DG"/>
    <x v="3"/>
    <s v="n/a"/>
    <s v="n/a"/>
    <x v="22"/>
    <s v="n/a"/>
    <x v="188"/>
    <m/>
    <m/>
    <s v="n/a"/>
    <d v="2026-05-11T00:00:00"/>
    <x v="0"/>
    <x v="0"/>
    <s v="HSM-ND54-DR500"/>
    <s v="EVO2A"/>
    <s v="±1200mm"/>
    <n v="500"/>
    <n v="0"/>
    <n v="0"/>
    <n v="0"/>
    <n v="0"/>
    <x v="23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IN-TRANSIT"/>
    <s v="优先500半片"/>
    <d v="2026-09-22T00:00:00"/>
    <n v="39"/>
    <s v="POPV260924023"/>
    <m/>
    <s v="TIANJIN"/>
    <x v="0"/>
    <x v="1"/>
    <d v="2026-09-27T00:00:00"/>
    <d v="2026-09-28T08:00:00"/>
    <d v="2026-09-28T09:07:12"/>
    <d v="2026-11-10T00:00:00"/>
    <d v="2026-11-10T18:00:00"/>
    <s v=""/>
    <s v="CIF"/>
    <s v="COSCO SHIPPING SAGITTARIUS_x000a_035W"/>
    <s v="COSCO"/>
    <s v="TPVB20260939003"/>
    <x v="734"/>
    <s v="COSU9509997120"/>
    <n v="43.370000000002619"/>
    <m/>
    <d v="2026-11-10T18:00:00"/>
    <s v="-"/>
    <s v=""/>
    <n v="7"/>
    <d v="2026-11-17T18:00:00"/>
    <n v="2026"/>
    <n v="11"/>
    <n v="47"/>
    <n v="36"/>
    <n v="720"/>
    <s v="White glazing"/>
    <s v="AEU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7"/>
    <s v="IN-TRANSIT"/>
    <s v="优先500半片"/>
    <d v="2026-09-22T00:00:00"/>
    <n v="39"/>
    <s v="POPV260924024"/>
    <m/>
    <s v="TIANJIN"/>
    <x v="0"/>
    <x v="1"/>
    <d v="2026-09-27T00:00:00"/>
    <d v="2026-09-28T00:00:00"/>
    <d v="2026-09-28T09:07:12"/>
    <d v="2026-11-10T00:00:00"/>
    <d v="2026-11-10T18:00:00"/>
    <s v=""/>
    <s v="CIF"/>
    <s v="COSCO SHIPPING SAGITTARIUS_x000a_035W"/>
    <s v="COSCO"/>
    <s v="TPVB20260939003"/>
    <x v="734"/>
    <s v="COSU9509997120"/>
    <n v="43.370000000002619"/>
    <m/>
    <d v="2026-11-10T18:00:00"/>
    <s v="-"/>
    <s v=""/>
    <n v="7"/>
    <d v="2026-11-17T18:00:00"/>
    <n v="2026"/>
    <n v="11"/>
    <n v="47"/>
    <n v="36"/>
    <n v="720"/>
    <s v="White glazing"/>
    <s v="AEU"/>
  </r>
  <r>
    <s v="26Aug024.1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864"/>
    <n v="0.43631999999999999"/>
    <n v="24"/>
    <n v="1"/>
    <x v="19"/>
    <s v="IN-TRANSIT"/>
    <s v="Dec--to be assured"/>
    <d v="2026-09-22T00:00:00"/>
    <n v="39"/>
    <s v="POPV260924029"/>
    <m/>
    <s v="TIANJIN"/>
    <x v="0"/>
    <x v="6"/>
    <d v="2026-09-27T00:00:00"/>
    <d v="2026-09-28T08:00:00"/>
    <d v="2026-09-28T09:07:12"/>
    <d v="2026-11-22T00:00:00"/>
    <d v="2026-11-23T22:00:00"/>
    <s v=""/>
    <s v="CIF"/>
    <s v="COSCO SHIPPING SAGITTARIUS_x000a_035W"/>
    <s v="COSCO"/>
    <s v="TPVB20260939002"/>
    <x v="735"/>
    <s v="COSU6467723460"/>
    <n v="56.536666666666861"/>
    <m/>
    <d v="2026-11-23T22:00:00"/>
    <s v="-"/>
    <s v=""/>
    <n v="7"/>
    <d v="2026-11-30T22:00:00"/>
    <s v="n/a"/>
    <s v="n/a"/>
    <n v="49"/>
    <n v="36"/>
    <n v="864"/>
    <s v="Black glazing"/>
    <s v="AEU"/>
  </r>
  <r>
    <s v="26Aug003.07"/>
    <s v="Tianjin(Transport to Yixing for shipment)"/>
    <s v="26Aug003"/>
    <s v="CORE DG"/>
    <x v="1"/>
    <s v="SPTN Offstore in Transit WH"/>
    <s v="CIF"/>
    <x v="27"/>
    <s v="U4"/>
    <x v="186"/>
    <s v="PL0126090800022"/>
    <n v="1"/>
    <s v="Yes"/>
    <d v="2026-08-03T00:00:00"/>
    <x v="0"/>
    <x v="0"/>
    <s v="HSM-ND54-DR500"/>
    <s v="EVO2A"/>
    <s v="±1200mm"/>
    <n v="500"/>
    <n v="4320"/>
    <n v="2.16"/>
    <n v="120"/>
    <n v="5"/>
    <x v="20"/>
    <s v="IN-TRANSIT"/>
    <s v="Gdasnk，9/22"/>
    <d v="2026-09-21T00:00:00"/>
    <n v="39"/>
    <s v="POPV260924019"/>
    <m/>
    <s v="SHANGHAI"/>
    <x v="1"/>
    <x v="9"/>
    <d v="2026-09-29T00:00:00"/>
    <d v="2026-10-03T13:30:00"/>
    <d v="2026-10-04T00:00:00"/>
    <d v="2026-11-18T00:00:00"/>
    <d v="2026-11-21T15:30:00"/>
    <s v=""/>
    <m/>
    <s v="OOCL GDYNIA 011W"/>
    <s v="COSCO"/>
    <s v="TPVB20260939010"/>
    <x v="736"/>
    <s v="COSU6467808410"/>
    <n v="48.645833333335759"/>
    <m/>
    <d v="2026-11-21T15:30:00"/>
    <s v="-"/>
    <s v=""/>
    <n v="0"/>
    <d v="2026-11-21T15:30:00"/>
    <s v="n/a"/>
    <s v="n/a"/>
    <n v="47"/>
    <n v="36"/>
    <n v="864"/>
    <s v="Black glazing"/>
    <s v="AEU"/>
  </r>
  <r>
    <s v="26Aug014.06"/>
    <s v="Quzhou"/>
    <s v="26Aug014"/>
    <s v="UPP"/>
    <x v="1"/>
    <s v="SPTN Offstore in Transit WH"/>
    <s v="CIF"/>
    <x v="10"/>
    <s v="U4"/>
    <x v="178"/>
    <s v="DE0126080300006"/>
    <n v="9"/>
    <s v="Yes"/>
    <m/>
    <x v="3"/>
    <x v="106"/>
    <s v="S4-DG485-108BC-FB"/>
    <s v="EVO2A"/>
    <s v="±1200mm"/>
    <n v="485"/>
    <n v="8424"/>
    <n v="4.0856399999999997"/>
    <n v="234"/>
    <n v="9"/>
    <x v="22"/>
    <s v="IN-TRANSIT"/>
    <s v="Batch 4-8，9/28"/>
    <d v="2026-10-01T00:00:00"/>
    <n v="40"/>
    <s v="POPV261010008"/>
    <m/>
    <s v="SHANGHAI/Quzhou"/>
    <x v="1"/>
    <x v="1"/>
    <d v="2026-10-06T00:00:00"/>
    <d v="2026-10-06T08:00:00"/>
    <d v="2026-10-05T00:00:00"/>
    <d v="2026-11-10T00:00:00"/>
    <d v="2026-11-10T08:00:00"/>
    <s v=""/>
    <m/>
    <s v="COSCO SHIPPING SAGITTARIUS 035W"/>
    <s v="COSCO"/>
    <s v="TPVB20260940008"/>
    <x v="737"/>
    <s v="COSU6468384010"/>
    <n v="36.333333333335759"/>
    <m/>
    <d v="2026-11-10T08:00:00"/>
    <s v="-"/>
    <s v=""/>
    <n v="0"/>
    <d v="2026-11-10T08:00:00"/>
    <n v="2026"/>
    <n v="11"/>
    <n v="46"/>
    <n v="36"/>
    <n v="936"/>
    <s v="Black glazing"/>
    <s v="AEU"/>
  </r>
  <r>
    <s v="26Aug016.08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2"/>
    <s v=""/>
    <d v="2026-09-30T00:00:00"/>
    <d v="2026-09-30T00:00:00"/>
    <n v="40"/>
    <s v="POPV261010025"/>
    <m/>
    <s v="SHANGHAI"/>
    <x v="1"/>
    <x v="1"/>
    <d v="2026-10-06T00:00:00"/>
    <d v="2026-10-04T00:00:00"/>
    <s v=""/>
    <d v="2026-11-11T00:00:00"/>
    <s v=""/>
    <s v=""/>
    <m/>
    <s v="EVER AEON 1420-009W"/>
    <s v="OTHER"/>
    <s v="TPVB20260940009"/>
    <x v="738"/>
    <s v="EGLV149608894273"/>
    <n v="38"/>
    <m/>
    <d v="2026-11-11T00:00:00"/>
    <s v="-"/>
    <s v=""/>
    <n v="7"/>
    <d v="2026-11-18T00:00:00"/>
    <s v="n/a"/>
    <s v="n/a"/>
    <n v="47"/>
    <n v="36"/>
    <n v="792"/>
    <s v="Black glazing"/>
    <s v="AEU"/>
  </r>
  <r>
    <s v="26Aug014.08"/>
    <s v="Quzhou"/>
    <s v="26Aug014"/>
    <s v="UPP"/>
    <x v="1"/>
    <s v="SPTN Offstore in Transit WH"/>
    <s v="CIF"/>
    <x v="10"/>
    <s v="U4"/>
    <x v="178"/>
    <s v="DE0126080300006"/>
    <n v="14"/>
    <s v="Yes"/>
    <m/>
    <x v="3"/>
    <x v="106"/>
    <s v="S4-DG485-108BC-FB"/>
    <s v="EVO2A"/>
    <s v="±1200mm"/>
    <n v="485"/>
    <n v="7488"/>
    <n v="3.6316799999999998"/>
    <n v="208"/>
    <n v="8"/>
    <x v="20"/>
    <s v="IN-TRANSIT"/>
    <s v="Batch 3-11，9/27"/>
    <d v="2026-09-29T00:00:00"/>
    <n v="40"/>
    <s v="POPV260929033"/>
    <m/>
    <s v="SHANGHAI/Quzhou"/>
    <x v="1"/>
    <x v="1"/>
    <d v="2026-10-07T00:00:00"/>
    <d v="2026-10-04T15:00:00"/>
    <d v="2026-10-05T00:00:00"/>
    <d v="2026-11-21T00:00:00"/>
    <d v="2026-11-14T06:00:00"/>
    <s v=""/>
    <m/>
    <s v="COSCO DENMARK 070W"/>
    <s v="COSCO"/>
    <s v="TPVB20260940010"/>
    <x v="739"/>
    <s v="COSU6468580080"/>
    <n v="40.25"/>
    <m/>
    <d v="2026-11-14T06:00:00"/>
    <s v="-"/>
    <s v=""/>
    <n v="0"/>
    <d v="2026-11-14T06:00:00"/>
    <n v="2026"/>
    <n v="11"/>
    <n v="46"/>
    <n v="36"/>
    <n v="936"/>
    <s v="Black glazing"/>
    <s v="AEU"/>
  </r>
  <r>
    <s v="26Aug005.08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"/>
    <d v="2026-09-15T00:00:00"/>
    <d v="2026-09-30T00:00:00"/>
    <n v="40"/>
    <s v="POPV261010013"/>
    <m/>
    <s v="SHANGHAI"/>
    <x v="1"/>
    <x v="0"/>
    <d v="2026-10-06T00:00:00"/>
    <d v="2026-10-11T08:00:00"/>
    <s v=""/>
    <d v="2026-11-18T00:00:00"/>
    <d v="2026-11-18T06:00:00"/>
    <s v=""/>
    <m/>
    <s v="APL VANDA 0MEOXW1MA"/>
    <s v="COSCO"/>
    <s v="TPVB20260940011"/>
    <x v="740"/>
    <s v="COSU6468731340"/>
    <n v="37.916666666664241"/>
    <m/>
    <d v="2026-11-18T06:00:00"/>
    <s v="-"/>
    <s v=""/>
    <n v="8"/>
    <d v="2026-11-26T06:00:00"/>
    <n v="2026"/>
    <n v="11"/>
    <n v="48"/>
    <n v="36"/>
    <n v="864"/>
    <s v="Black glazing"/>
    <s v="AEM"/>
  </r>
  <r>
    <s v="26Aug015.06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4"/>
    <s v=""/>
    <d v="2026-09-30T00:00:00"/>
    <d v="2026-09-30T00:00:00"/>
    <n v="40"/>
    <s v="POPV261010004"/>
    <m/>
    <s v="SHANGHAI"/>
    <x v="1"/>
    <x v="0"/>
    <d v="2026-10-06T00:00:00"/>
    <d v="2026-10-11T08:00:00"/>
    <s v=""/>
    <d v="2026-11-18T00:00:00"/>
    <d v="2026-11-18T06:00:00"/>
    <s v=""/>
    <m/>
    <s v="APL VANDA 0MEOXW1MA"/>
    <s v="COSCO"/>
    <s v="TPVB20260940011"/>
    <x v="740"/>
    <s v="COSU6468731340"/>
    <n v="37.916666666664241"/>
    <m/>
    <d v="2026-11-18T06:00:00"/>
    <s v="-"/>
    <s v=""/>
    <n v="8"/>
    <d v="2026-11-26T06:00:00"/>
    <s v="n/a"/>
    <s v="n/a"/>
    <n v="48"/>
    <n v="36"/>
    <n v="792"/>
    <s v="Black glazing"/>
    <s v="AEM"/>
  </r>
  <r>
    <s v="26Aug010.18"/>
    <s v="Yixing"/>
    <s v="26Aug010"/>
    <s v="UPP"/>
    <x v="1"/>
    <s v="SPTN Offstore in Transit WH"/>
    <s v="CIF"/>
    <x v="37"/>
    <s v="U1"/>
    <x v="190"/>
    <m/>
    <m/>
    <s v="Yes"/>
    <m/>
    <x v="0"/>
    <x v="97"/>
    <s v="HSM-ND66-GR625"/>
    <s v="H4(Com)"/>
    <s v="+400mm/-200mm"/>
    <n v="625"/>
    <n v="720"/>
    <n v="0.45"/>
    <n v="20"/>
    <n v="1"/>
    <x v="20"/>
    <s v="IN-TRANSIT"/>
    <s v="ready"/>
    <d v="2026-09-18T00:00:00"/>
    <n v="38"/>
    <s v="TPVO2026090401"/>
    <m/>
    <s v="SHANGHAI"/>
    <x v="1"/>
    <x v="24"/>
    <d v="2026-09-23T00:00:00"/>
    <d v="2026-09-23T00:00:00"/>
    <d v="2026-09-20T00:00:00"/>
    <d v="2026-10-03T00:00:00"/>
    <d v="2026-10-12T00:00:00"/>
    <s v=""/>
    <s v="CIF"/>
    <s v="CMA CGM CAIMEP / 0BYPSS"/>
    <s v="OTHER"/>
    <s v="TPVO2026090401"/>
    <x v="741"/>
    <s v="CPL0514940"/>
    <n v="22"/>
    <m/>
    <d v="2026-10-12T00:00:00"/>
    <s v="-"/>
    <s v=""/>
    <n v="0"/>
    <d v="2026-10-12T00:00:00"/>
    <s v="n/a"/>
    <s v="n/a"/>
    <n v="42"/>
    <n v="36"/>
    <n v="720"/>
    <s v="Redirection Film"/>
    <s v="n/a"/>
  </r>
  <r>
    <s v="26Aug015.13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2"/>
    <s v=""/>
    <d v="2026-09-30T00:00:00"/>
    <d v="2026-10-07T00:00:00"/>
    <n v="41"/>
    <s v="POPV261010003"/>
    <m/>
    <s v="NINGBO"/>
    <x v="3"/>
    <x v="1"/>
    <d v="2026-10-07T00:00:00"/>
    <d v="2026-10-10T00:00:00"/>
    <s v=""/>
    <d v="2026-11-11T00:00:00"/>
    <d v="2026-11-09T21:00:00"/>
    <s v=""/>
    <m/>
    <s v="EVER AEON 1420W"/>
    <s v="COSCO"/>
    <s v="TPVB20260940004"/>
    <x v="742"/>
    <s v="COSU9510012710"/>
    <n v="30.875"/>
    <m/>
    <d v="2026-11-09T21:00:00"/>
    <s v="-"/>
    <s v=""/>
    <n v="7"/>
    <d v="2026-11-16T21:00:00"/>
    <s v="n/a"/>
    <s v="n/a"/>
    <n v="47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2"/>
    <s v=""/>
    <d v="2026-09-26T00:00:00"/>
    <d v="2026-10-10T00:00:00"/>
    <n v="41"/>
    <m/>
    <m/>
    <s v="NINGBO"/>
    <x v="3"/>
    <x v="4"/>
    <d v="2026-10-03T00:00:00"/>
    <d v="2026-10-09T07:00:00"/>
    <s v=""/>
    <d v="2026-11-18T00:00:00"/>
    <d v="2026-11-18T06:00:00"/>
    <s v=""/>
    <m/>
    <s v="EVER GLORY 030W"/>
    <s v="COSCO"/>
    <s v="TPVB20260940006"/>
    <x v="743"/>
    <s v="COSU9510036320"/>
    <n v="39.958333333335759"/>
    <m/>
    <d v="2026-11-18T06:00:00"/>
    <s v="-"/>
    <d v="1899-12-30T00:00:00"/>
    <n v="10"/>
    <d v="2026-11-28T06:00:00"/>
    <s v="n/a"/>
    <s v="n/a"/>
    <n v="48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1"/>
    <s v="IN-TRANSIT"/>
    <d v="2026-09-30T00:00:00"/>
    <d v="2026-10-04T00:00:00"/>
    <n v="40"/>
    <s v="POPV261010002"/>
    <m/>
    <s v="NINGBO"/>
    <x v="3"/>
    <x v="0"/>
    <d v="2026-10-08T00:00:00"/>
    <d v="2026-10-07T11:00:00"/>
    <d v="2026-10-08T00:00:00"/>
    <d v="2026-11-18T00:00:00"/>
    <d v="2026-11-18T06:00:00"/>
    <s v=""/>
    <m/>
    <s v="APL VANDA 0MEOXW"/>
    <s v="COSCO"/>
    <s v="TPVB20261040001XT"/>
    <x v="744"/>
    <s v="COSU9510251200"/>
    <n v="41.25"/>
    <m/>
    <d v="2026-11-18T06:00:00"/>
    <s v="-"/>
    <s v=""/>
    <n v="8"/>
    <d v="2026-11-26T06:00:00"/>
    <s v="n/a"/>
    <s v="n/a"/>
    <n v="48"/>
    <n v="36"/>
    <n v="792"/>
    <s v="Black glazing"/>
    <s v="AEM"/>
  </r>
  <r>
    <s v="26Aug016.12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2"/>
    <s v="IN-TRANSIT"/>
    <d v="2026-09-30T00:00:00"/>
    <d v="2026-10-07T00:00:00"/>
    <n v="41"/>
    <s v="POPV261010029"/>
    <m/>
    <s v="NINGBO"/>
    <x v="3"/>
    <x v="1"/>
    <d v="2026-10-07T00:00:00"/>
    <d v="2026-10-06T16:00:00"/>
    <d v="2026-10-10T00:00:00"/>
    <d v="2026-11-11T00:00:00"/>
    <d v="2026-11-09T21:00:00"/>
    <s v=""/>
    <m/>
    <s v="EVER AEON 1420W"/>
    <s v="COSCO"/>
    <s v="TPVB20260940004"/>
    <x v="742"/>
    <s v="COSU9510012710"/>
    <n v="30.875"/>
    <m/>
    <d v="2026-11-09T21:00:00"/>
    <s v="-"/>
    <s v=""/>
    <n v="7"/>
    <d v="2026-11-16T21:00:00"/>
    <s v="n/a"/>
    <s v="n/a"/>
    <n v="47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9"/>
    <s v="IN-TRANSIT"/>
    <d v="2026-09-26T00:00:00"/>
    <d v="2026-10-03T00:00:00"/>
    <n v="40"/>
    <s v="POPV261010024"/>
    <m/>
    <s v="NINGBO"/>
    <x v="3"/>
    <x v="6"/>
    <d v="2026-10-01T00:00:00"/>
    <d v="2026-10-07T18:30:00"/>
    <d v="2026-10-08T00:00:00"/>
    <d v="2026-11-08T00:00:00"/>
    <d v="2026-11-12T22:30:00"/>
    <s v=""/>
    <m/>
    <s v="OOCL GDYNIA 011W"/>
    <s v="COSCO"/>
    <s v="TPVB20260940007"/>
    <x v="745"/>
    <s v="COSU9510030740"/>
    <n v="35.9375"/>
    <m/>
    <d v="2026-11-12T22:30:00"/>
    <s v="-"/>
    <s v=""/>
    <n v="7"/>
    <d v="2026-11-19T22:30:00"/>
    <s v="n/a"/>
    <s v="n/a"/>
    <n v="47"/>
    <n v="36"/>
    <n v="792"/>
    <s v="Black glazing"/>
    <s v="AEU"/>
  </r>
  <r>
    <s v="26Aug022.03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4320"/>
    <n v="2.1816"/>
    <n v="120"/>
    <n v="5"/>
    <x v="21"/>
    <s v="IN-TRANSIT"/>
    <s v="ready"/>
    <d v="2026-09-30T00:00:00"/>
    <n v="40"/>
    <s v="POPV261010016"/>
    <m/>
    <s v="TIANJIN"/>
    <x v="0"/>
    <x v="0"/>
    <d v="2026-10-05T00:00:00"/>
    <d v="2026-10-05T23:00:00"/>
    <d v="2026-10-06T00:00:00"/>
    <d v="2026-12-07T00:00:00"/>
    <d v="2026-12-07T19:00:00"/>
    <s v=""/>
    <m/>
    <s v="OOCL SWEDEN 009W"/>
    <s v="COSCO"/>
    <s v="TPVB20260940012"/>
    <x v="746"/>
    <s v="COSU9510092930"/>
    <n v="62.791666666664241"/>
    <m/>
    <d v="2026-12-07T19:00:00"/>
    <s v="-"/>
    <s v=""/>
    <n v="8"/>
    <d v="2026-12-15T19:00:00"/>
    <s v="n/a"/>
    <s v="n/a"/>
    <n v="51"/>
    <n v="36"/>
    <n v="864"/>
    <s v="Black glazing"/>
    <s v="AEM"/>
  </r>
  <r>
    <s v="26Aug024.05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864"/>
    <n v="0.43631999999999999"/>
    <n v="24"/>
    <n v="1"/>
    <x v="20"/>
    <s v="IN-TRANSIT"/>
    <s v="Dec--to be assured"/>
    <d v="2026-09-30T00:00:00"/>
    <n v="40"/>
    <s v="POPV261010033"/>
    <m/>
    <s v="TIANJIN"/>
    <x v="0"/>
    <x v="6"/>
    <d v="2026-10-05T00:00:00"/>
    <d v="2026-10-05T23:00:00"/>
    <d v="2026-10-06T00:00:00"/>
    <d v="2026-11-29T00:00:00"/>
    <d v="2026-11-29T00:30:00"/>
    <s v=""/>
    <m/>
    <s v="OOCL SWEDEN 009W"/>
    <s v="COSCO"/>
    <s v="TPVB20260940015"/>
    <x v="747"/>
    <s v="COSU6468723370"/>
    <n v="54.020833333335759"/>
    <m/>
    <d v="2026-11-29T00:30:00"/>
    <s v="-"/>
    <s v=""/>
    <n v="7"/>
    <d v="2026-12-06T00:30:00"/>
    <s v="n/a"/>
    <s v="n/a"/>
    <n v="49"/>
    <n v="36"/>
    <n v="864"/>
    <s v="Black glazing"/>
    <s v="AEU"/>
  </r>
  <r>
    <s v="26Aug004.07"/>
    <s v="Tianjin"/>
    <s v="26Aug004"/>
    <s v="CORE DG"/>
    <x v="0"/>
    <s v="Arrival Plan-SPTN"/>
    <s v="CIF"/>
    <x v="0"/>
    <s v="U1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8"/>
    <s v="IN-TRANSIT"/>
    <s v="八月16日"/>
    <d v="2026-09-30T00:00:00"/>
    <n v="40"/>
    <s v="POPV261010017"/>
    <m/>
    <s v="TIANJIN"/>
    <x v="0"/>
    <x v="0"/>
    <d v="2026-10-05T00:00:00"/>
    <d v="2026-10-05T23:00:00"/>
    <d v="2026-10-06T00:00:00"/>
    <d v="2026-12-02T00:00:00"/>
    <d v="2026-12-02T06:00:00"/>
    <s v=""/>
    <m/>
    <s v="OOCL SWEDEN 009W"/>
    <s v="COSCO"/>
    <s v="TPVB20260940013"/>
    <x v="748"/>
    <s v="COSU9510092840"/>
    <n v="57.25"/>
    <m/>
    <d v="2026-12-02T06:00:00"/>
    <s v="-"/>
    <s v=""/>
    <n v="8"/>
    <d v="2026-12-10T06:00:00"/>
    <s v="n/a"/>
    <s v="n/a"/>
    <n v="50"/>
    <n v="36"/>
    <n v="864"/>
    <s v="Black glazing"/>
    <s v="AEM"/>
  </r>
  <r>
    <s v="26Aug015.09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"/>
    <d v="2026-09-26T00:00:00"/>
    <d v="2026-10-10T00:00:00"/>
    <n v="41"/>
    <m/>
    <m/>
    <s v="NINGBO"/>
    <x v="3"/>
    <x v="0"/>
    <d v="2026-10-03T00:00:00"/>
    <d v="2026-10-09T07:00:00"/>
    <s v=""/>
    <d v="2026-11-23T00:00:00"/>
    <d v="2026-11-23T19:00:00"/>
    <s v=""/>
    <m/>
    <s v="EVER GLORY 030W"/>
    <s v="COSCO"/>
    <s v="TPVB20260940002"/>
    <x v="749"/>
    <s v="COSU9510036150"/>
    <n v="45.5"/>
    <m/>
    <d v="2026-11-23T19:00:00"/>
    <s v="-"/>
    <s v=""/>
    <n v="8"/>
    <d v="2026-12-01T19:00:00"/>
    <s v="n/a"/>
    <s v="n/a"/>
    <n v="49"/>
    <n v="36"/>
    <n v="792"/>
    <s v="Black glazing"/>
    <s v="AEM"/>
  </r>
  <r>
    <s v="26Aug015.1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IN-TRANSIT"/>
    <d v="2026-09-26T00:00:00"/>
    <d v="2026-09-28T00:00:00"/>
    <n v="40"/>
    <s v="POPV261010001"/>
    <m/>
    <s v="NINGBO"/>
    <x v="3"/>
    <x v="0"/>
    <d v="2026-10-01T00:00:00"/>
    <d v="2026-10-02T16:00:00"/>
    <d v="2026-10-02T00:00:00"/>
    <d v="2026-11-11T00:00:00"/>
    <d v="2026-11-11T06:00:00"/>
    <s v=""/>
    <m/>
    <s v="CMA CGM BERENICE 0MEOVW"/>
    <s v="COSCO"/>
    <s v="TPVB20260940003"/>
    <x v="750"/>
    <s v="COSU9510036540"/>
    <n v="40.25"/>
    <m/>
    <d v="2026-11-11T06:00:00"/>
    <s v="-"/>
    <s v=""/>
    <n v="8"/>
    <d v="2026-11-19T06:00:00"/>
    <s v="n/a"/>
    <s v="n/a"/>
    <n v="47"/>
    <n v="36"/>
    <n v="792"/>
    <s v="Black glazing"/>
    <s v="AEM"/>
  </r>
  <r>
    <s v="26Aug003.04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9"/>
    <s v="IN-TRANSIT"/>
    <m/>
    <d v="2026-09-29T00:00:00"/>
    <n v="40"/>
    <s v="POPV261010021"/>
    <m/>
    <s v="TIANJIN"/>
    <x v="0"/>
    <x v="1"/>
    <d v="2026-10-05T00:00:00"/>
    <d v="2026-10-05T23:00:00"/>
    <d v="2026-10-06T00:00:00"/>
    <d v="2026-11-20T00:00:00"/>
    <d v="2026-11-20T08:00:00"/>
    <s v=""/>
    <m/>
    <s v="OOCL SWEDEN 009W"/>
    <s v="COSCO"/>
    <s v="TPVB20260940014"/>
    <x v="751"/>
    <s v="COSU9510170300"/>
    <n v="45.333333333335759"/>
    <m/>
    <d v="2026-11-20T08:00:00"/>
    <s v="-"/>
    <s v=""/>
    <n v="7"/>
    <d v="2026-11-27T08:00:00"/>
    <n v="2026"/>
    <n v="11"/>
    <n v="48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IN-TRANSIT"/>
    <m/>
    <d v="2026-09-29T00:00:00"/>
    <n v="40"/>
    <s v="POPV261010020"/>
    <m/>
    <s v="TIANJIN"/>
    <x v="0"/>
    <x v="1"/>
    <d v="2026-10-05T00:00:00"/>
    <d v="2026-10-05T23:00:00"/>
    <d v="2026-10-06T00:00:00"/>
    <d v="2026-11-20T00:00:00"/>
    <d v="2026-11-20T08:00:00"/>
    <s v=""/>
    <m/>
    <s v="OOCL SWEDEN 009W"/>
    <s v="COSCO"/>
    <s v="TPVB20260940014"/>
    <x v="751"/>
    <s v="COSU9510170300"/>
    <n v="45.333333333335759"/>
    <m/>
    <d v="2026-11-20T08:00:00"/>
    <s v="-"/>
    <s v=""/>
    <n v="7"/>
    <d v="2026-11-27T08:00:00"/>
    <n v="2026"/>
    <n v="11"/>
    <n v="48"/>
    <n v="36"/>
    <n v="864"/>
    <s v="Black glazing"/>
    <s v="AEU"/>
  </r>
  <r>
    <s v="26Aug022.01"/>
    <s v="Tianjin"/>
    <s v="26Aug022"/>
    <s v="CORE DG"/>
    <x v="0"/>
    <s v="Arrival Plan-SPNL"/>
    <s v="CIF"/>
    <x v="0"/>
    <s v="U1"/>
    <x v="2"/>
    <m/>
    <m/>
    <s v="n/a"/>
    <d v="2026-09-14T00:00:00"/>
    <x v="0"/>
    <x v="43"/>
    <s v="HSM-ND54-DR505"/>
    <s v="EVO2A"/>
    <s v="±1200mm"/>
    <n v="505"/>
    <n v="864"/>
    <n v="0.43631999999999999"/>
    <n v="24"/>
    <n v="1"/>
    <x v="22"/>
    <s v="IN-TRANSIT"/>
    <s v="ready"/>
    <d v="2026-09-29T00:00:00"/>
    <n v="40"/>
    <s v="POPV261010015"/>
    <m/>
    <s v="TIANJIN"/>
    <x v="0"/>
    <x v="1"/>
    <d v="2026-10-05T00:00:00"/>
    <d v="2026-10-05T23:00:00"/>
    <d v="2026-10-06T00:00:00"/>
    <d v="2026-11-20T00:00:00"/>
    <d v="2026-11-20T08:00:00"/>
    <s v=""/>
    <m/>
    <s v="OOCL SWEDEN 009W"/>
    <s v="COSCO"/>
    <s v="TPVB20260940014"/>
    <x v="751"/>
    <s v="COSU9510170300"/>
    <n v="45.333333333335759"/>
    <m/>
    <d v="2026-11-20T08:00:00"/>
    <s v="-"/>
    <s v=""/>
    <n v="7"/>
    <d v="2026-11-27T08:00:00"/>
    <n v="2026"/>
    <n v="11"/>
    <n v="48"/>
    <n v="36"/>
    <n v="864"/>
    <s v="Black glazing"/>
    <s v="AEU"/>
  </r>
  <r>
    <s v="26Oct010.1"/>
    <s v="Quzhou"/>
    <s v="26Oct010"/>
    <s v="CORE DG"/>
    <x v="0"/>
    <s v="Arrival Plan-SPUK"/>
    <s v="CIF"/>
    <x v="6"/>
    <s v="U4"/>
    <x v="2"/>
    <m/>
    <m/>
    <s v="n/a"/>
    <m/>
    <x v="3"/>
    <x v="96"/>
    <s v="HSM-BE54-DD490"/>
    <s v="EVO2A"/>
    <s v="±1200mm"/>
    <n v="490"/>
    <n v="3744"/>
    <n v="1.83456"/>
    <n v="104"/>
    <n v="4"/>
    <x v="21"/>
    <s v=""/>
    <s v="10月9日（TBD）"/>
    <d v="2026-10-09T00:00:00"/>
    <n v="41"/>
    <m/>
    <m/>
    <s v="SHANGHAI"/>
    <x v="1"/>
    <x v="6"/>
    <d v="2026-10-13T00:00:00"/>
    <m/>
    <m/>
    <d v="2026-11-23T00:00:00"/>
    <m/>
    <m/>
    <m/>
    <s v="OOCL ZEEBRUGGE 011W"/>
    <s v="COSCO"/>
    <s v="TPVB20260941001JP"/>
    <x v="752"/>
    <s v="COSU6469843890"/>
    <m/>
    <m/>
    <d v="2026-11-23T00:00:00"/>
    <s v="-"/>
    <d v="1899-12-30T00:00:00"/>
    <n v="7"/>
    <d v="2026-11-30T00:00:00"/>
    <n v="2026"/>
    <n v="11"/>
    <n v="49"/>
    <n v="36"/>
    <n v="936"/>
    <s v="Black glazing"/>
    <s v="AEU"/>
  </r>
  <r>
    <s v="26Oct009.08"/>
    <s v="Quzhou"/>
    <s v="26Oct009"/>
    <s v="CORE DG"/>
    <x v="0"/>
    <s v="Arrival Plan-SPUK"/>
    <s v="CIF"/>
    <x v="6"/>
    <s v="U1"/>
    <x v="2"/>
    <m/>
    <m/>
    <s v="n/a"/>
    <m/>
    <x v="3"/>
    <x v="91"/>
    <s v="HSM-BE54-DD485"/>
    <s v="EVO2A"/>
    <s v="±1200mm"/>
    <n v="485"/>
    <n v="936"/>
    <n v="0.45395999999999997"/>
    <n v="26"/>
    <n v="1"/>
    <x v="21"/>
    <s v=""/>
    <s v="10月9日（TBD）"/>
    <d v="2026-10-09T00:00:00"/>
    <n v="41"/>
    <m/>
    <m/>
    <s v="SHANGHAI"/>
    <x v="1"/>
    <x v="6"/>
    <d v="2026-10-13T00:00:00"/>
    <m/>
    <m/>
    <d v="2026-11-23T00:00:00"/>
    <m/>
    <m/>
    <m/>
    <s v="OOCL ZEEBRUGGE 011W"/>
    <s v="COSCO"/>
    <s v="TPVB20260941001JP"/>
    <x v="752"/>
    <s v="COSU6469843890"/>
    <m/>
    <m/>
    <d v="2026-11-23T00:00:00"/>
    <s v="-"/>
    <d v="1899-12-30T00:00:00"/>
    <n v="7"/>
    <d v="2026-11-30T00:00:00"/>
    <n v="2026"/>
    <n v="11"/>
    <n v="49"/>
    <n v="36"/>
    <n v="936"/>
    <s v="Black glazing"/>
    <s v="AEU"/>
  </r>
  <r>
    <s v="26Oct010.2"/>
    <s v="Quzhou"/>
    <s v="26Oct010"/>
    <s v="CORE DG"/>
    <x v="0"/>
    <s v="Arrival Plan-SPNL"/>
    <s v="CIF"/>
    <x v="0"/>
    <s v="U4"/>
    <x v="2"/>
    <m/>
    <m/>
    <s v="n/a"/>
    <m/>
    <x v="3"/>
    <x v="96"/>
    <s v="HSM-BE54-DD490"/>
    <s v="EVO2A"/>
    <s v="±1200mm"/>
    <n v="490"/>
    <n v="1872"/>
    <n v="0.91727999999999998"/>
    <n v="52"/>
    <n v="2"/>
    <x v="21"/>
    <s v=""/>
    <s v="10月9日（TBD）"/>
    <d v="2026-10-09T00:00:00"/>
    <n v="41"/>
    <m/>
    <m/>
    <s v="SHANGHAI"/>
    <x v="1"/>
    <x v="1"/>
    <d v="2026-10-15T00:00:00"/>
    <m/>
    <m/>
    <d v="2026-11-20T00:00:00"/>
    <m/>
    <m/>
    <m/>
    <s v="OOCL SWEDEN 009W"/>
    <s v="COSCO"/>
    <s v="TPVB20260941002JP"/>
    <x v="753"/>
    <s v="COSU6469843490"/>
    <m/>
    <m/>
    <d v="2026-11-20T00:00:00"/>
    <s v="-"/>
    <d v="1899-12-30T00:00:00"/>
    <n v="7"/>
    <d v="2026-11-27T00:00:00"/>
    <n v="2026"/>
    <n v="11"/>
    <n v="48"/>
    <n v="36"/>
    <n v="936"/>
    <s v="Black glazing"/>
    <s v="AEU"/>
  </r>
  <r>
    <s v="26Oct009.07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3744"/>
    <n v="1.8158399999999999"/>
    <n v="104"/>
    <n v="4"/>
    <x v="21"/>
    <s v=""/>
    <s v="10月9日（TBD）"/>
    <d v="2026-10-09T00:00:00"/>
    <n v="41"/>
    <m/>
    <m/>
    <s v="SHANGHAI"/>
    <x v="1"/>
    <x v="1"/>
    <d v="2026-10-15T00:00:00"/>
    <m/>
    <m/>
    <d v="2026-11-20T00:00:00"/>
    <m/>
    <m/>
    <m/>
    <s v="OOCL SWEDEN 009W"/>
    <s v="COSCO"/>
    <s v="TPVB20260941002JP"/>
    <x v="753"/>
    <s v="COSU6469843490"/>
    <m/>
    <m/>
    <d v="2026-11-20T00:00:00"/>
    <s v="-"/>
    <d v="1899-12-30T00:00:00"/>
    <n v="7"/>
    <d v="2026-11-27T00:00:00"/>
    <n v="2026"/>
    <n v="11"/>
    <n v="48"/>
    <n v="36"/>
    <n v="936"/>
    <s v="Black glazing"/>
    <s v="AEU"/>
  </r>
  <r>
    <s v="26Aug018.05"/>
    <s v="Yixing"/>
    <s v="26Aug018"/>
    <s v="CORE DG"/>
    <x v="0"/>
    <s v="Arrival Plan-SPNL"/>
    <s v="CIF"/>
    <x v="4"/>
    <s v="U1"/>
    <x v="2"/>
    <m/>
    <m/>
    <s v="n/a"/>
    <d v="2026-10-10T00:00:00"/>
    <x v="2"/>
    <x v="68"/>
    <s v="SPR-P7-560-COM-S"/>
    <s v="EVO2A"/>
    <s v="±1400mm"/>
    <n v="560"/>
    <n v="3300"/>
    <n v="1.8480000000000001"/>
    <n v="100"/>
    <n v="5"/>
    <x v="25"/>
    <m/>
    <s v="不急优先BC"/>
    <d v="2026-10-09T00:00:00"/>
    <m/>
    <m/>
    <m/>
    <s v="SHANGHAI"/>
    <x v="1"/>
    <x v="1"/>
    <d v="2026-10-15T00:00:00"/>
    <m/>
    <s v=""/>
    <d v="2026-11-20T00:00:00"/>
    <m/>
    <m/>
    <m/>
    <s v="OOCL SWEDEN 009W"/>
    <s v="COSCO"/>
    <s v="TPVB20260941003JP"/>
    <x v="754"/>
    <s v="COSU6469220480"/>
    <n v="36"/>
    <m/>
    <d v="2026-11-20T00:00:00"/>
    <s v="-"/>
    <d v="1899-12-30T00:00:00"/>
    <n v="7"/>
    <d v="2026-11-27T00:00:00"/>
    <n v="2026"/>
    <n v="11"/>
    <n v="48"/>
    <n v="33"/>
    <n v="660"/>
    <s v="White glazing"/>
    <s v="AEU"/>
  </r>
  <r>
    <s v="26Aug016.07"/>
    <s v="Yixing"/>
    <s v="26Aug016"/>
    <s v="CORE DG"/>
    <x v="0"/>
    <s v="Arrival Plan-SPIT"/>
    <s v="CIF"/>
    <x v="1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1"/>
    <s v=""/>
    <s v="10月4日"/>
    <d v="2026-10-08T00:00:00"/>
    <n v="41"/>
    <s v="POPV261010022"/>
    <m/>
    <s v="SHANGHAI"/>
    <x v="1"/>
    <x v="4"/>
    <d v="2026-10-16T00:00:00"/>
    <d v="2026-10-16T10:30:00"/>
    <s v=""/>
    <d v="2026-12-02T00:00:00"/>
    <d v="2026-12-02T06:00:00"/>
    <s v=""/>
    <m/>
    <s v="COSCO SHIPPING TAURUS 038W"/>
    <s v="COSCO"/>
    <s v="TPVB20260941004JP"/>
    <x v="755"/>
    <s v="COSU6469326980"/>
    <n v="46.8125"/>
    <m/>
    <d v="2026-12-02T06:00:00"/>
    <s v="-"/>
    <s v=""/>
    <n v="10"/>
    <d v="2026-12-12T06:00:00"/>
    <s v="n/a"/>
    <s v="n/a"/>
    <n v="50"/>
    <n v="36"/>
    <n v="792"/>
    <s v="Black glazing"/>
    <s v="AEM"/>
  </r>
  <r>
    <s v="26Aug017.04"/>
    <s v="Yixing"/>
    <s v="26Aug017"/>
    <s v="CORE DG"/>
    <x v="0"/>
    <s v="Arrival Plan-SPES"/>
    <s v="CIF"/>
    <x v="4"/>
    <s v="U1"/>
    <x v="2"/>
    <m/>
    <m/>
    <m/>
    <d v="2026-10-10T00:00:00"/>
    <x v="2"/>
    <x v="5"/>
    <s v="SPR-P7-555-COM-S"/>
    <s v="EVO2A"/>
    <s v="±1400mm"/>
    <n v="555"/>
    <n v="1320"/>
    <n v="0.73260000000000003"/>
    <n v="40"/>
    <n v="2"/>
    <x v="21"/>
    <m/>
    <s v="10月8日"/>
    <d v="2026-10-08T00:00:00"/>
    <m/>
    <s v="POPV261010032"/>
    <m/>
    <s v="SHANGHAI"/>
    <x v="1"/>
    <x v="2"/>
    <d v="2026-10-16T00:00:00"/>
    <d v="2026-10-16T10:30:00"/>
    <s v=""/>
    <d v="2026-12-10T00:00:00"/>
    <d v="2026-12-10T15:00:00"/>
    <s v=""/>
    <m/>
    <s v="COSCO SHIPPING TAURUS 038W"/>
    <s v="COSCO"/>
    <s v="TPVB20260941005JP"/>
    <x v="756"/>
    <s v="COSU6469320380"/>
    <n v="55.1875"/>
    <m/>
    <d v="2026-12-10T15:00:00"/>
    <s v="-"/>
    <s v=""/>
    <n v="9"/>
    <d v="2026-12-19T15:00:00"/>
    <n v="2026"/>
    <n v="12"/>
    <n v="51"/>
    <n v="33"/>
    <n v="660"/>
    <s v="White glazing"/>
    <s v="AEM"/>
  </r>
  <r>
    <s v="26Aug017.01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1"/>
    <m/>
    <s v="10月8日"/>
    <d v="2026-10-08T00:00:00"/>
    <m/>
    <s v="POPV261010034"/>
    <m/>
    <s v="SHANGHAI"/>
    <x v="1"/>
    <x v="14"/>
    <d v="2026-10-16T00:00:00"/>
    <d v="2026-10-16T10:30:00"/>
    <s v=""/>
    <d v="2026-12-04T00:00:00"/>
    <m/>
    <s v=""/>
    <m/>
    <s v="COSCO SHIPPING TAURUS 038W"/>
    <s v="COSCO"/>
    <s v="TPVB20260941006JP"/>
    <x v="757"/>
    <s v="COSU6469326430"/>
    <n v="48.5625"/>
    <m/>
    <d v="2026-12-04T00:00:00"/>
    <s v="-"/>
    <s v=""/>
    <n v="10"/>
    <d v="2026-12-14T00:00:00"/>
    <n v="2026"/>
    <n v="12"/>
    <n v="51"/>
    <n v="33"/>
    <n v="660"/>
    <s v="White glazing"/>
    <s v="AEM"/>
  </r>
  <r>
    <s v="26Aug015.15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5"/>
    <s v=""/>
    <s v="10月6日"/>
    <d v="2026-10-08T00:00:00"/>
    <n v="41"/>
    <s v="POPV261010031"/>
    <m/>
    <s v="SHANGHAI"/>
    <x v="1"/>
    <x v="0"/>
    <d v="2026-10-16T00:00:00"/>
    <d v="2026-10-16T00:00:00"/>
    <m/>
    <d v="2026-12-07T00:00:00"/>
    <m/>
    <m/>
    <m/>
    <s v="COSCO SHIPPING TAURUS 038W"/>
    <s v="COSCO"/>
    <s v="TPVB20260941007JP"/>
    <x v="758"/>
    <s v="COSU6469323740"/>
    <m/>
    <m/>
    <d v="2026-12-07T00:00:00"/>
    <s v="-"/>
    <s v=""/>
    <n v="8"/>
    <d v="2026-12-15T00:00:00"/>
    <n v="2026"/>
    <n v="12"/>
    <n v="51"/>
    <n v="36"/>
    <n v="792"/>
    <s v="Black glazing"/>
    <s v="AEM"/>
  </r>
  <r>
    <s v="26Aug022.04"/>
    <s v="Tianjin"/>
    <s v="26Aug022"/>
    <s v="CORE DG"/>
    <x v="0"/>
    <s v="Arrival Plan-SPNL"/>
    <s v="CIF"/>
    <x v="0"/>
    <s v="U1"/>
    <x v="2"/>
    <m/>
    <m/>
    <s v="n/a"/>
    <d v="2026-09-14T00:00:00"/>
    <x v="0"/>
    <x v="43"/>
    <s v="HSM-ND54-DR505"/>
    <s v="EVO2A"/>
    <s v="±1200mm"/>
    <n v="505"/>
    <n v="864"/>
    <n v="0.43631999999999999"/>
    <n v="24"/>
    <n v="1"/>
    <x v="22"/>
    <s v=""/>
    <s v="ready"/>
    <d v="2026-10-05T00:00:00"/>
    <n v="41"/>
    <s v="POPV261010014"/>
    <m/>
    <s v="TIANJIN"/>
    <x v="0"/>
    <x v="1"/>
    <d v="2026-10-11T00:00:00"/>
    <d v="2026-10-11T04:00:00"/>
    <m/>
    <d v="2026-11-25T00:00:00"/>
    <m/>
    <m/>
    <s v="CIF"/>
    <s v="OOCL PORTUGAL 008W"/>
    <s v="COSCO"/>
    <s v="TPVB20261041002HL"/>
    <x v="759"/>
    <s v="COSU9510309650"/>
    <m/>
    <m/>
    <d v="2026-11-25T00:00:00"/>
    <s v="-"/>
    <s v=""/>
    <n v="7"/>
    <d v="2026-12-02T00:00:00"/>
    <n v="2026"/>
    <n v="12"/>
    <n v="49"/>
    <n v="36"/>
    <n v="864"/>
    <s v="Black glazing"/>
    <s v="AEU"/>
  </r>
  <r>
    <s v="26Aug003.11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21"/>
    <s v=""/>
    <m/>
    <d v="2026-10-05T00:00:00"/>
    <n v="41"/>
    <s v="POPV261010019"/>
    <m/>
    <s v="TIANJIN"/>
    <x v="0"/>
    <x v="1"/>
    <d v="2026-10-11T00:00:00"/>
    <d v="2026-10-11T04:00:00"/>
    <s v=""/>
    <d v="2026-11-25T00:00:00"/>
    <d v="2026-11-25T02:30:00"/>
    <s v=""/>
    <s v="CIF"/>
    <s v="OOCL PORTUGAL 008W"/>
    <s v="COSCO"/>
    <s v="TPVB20261041002HL"/>
    <x v="759"/>
    <s v="COSU9510309650"/>
    <n v="44.9375"/>
    <m/>
    <d v="2026-11-25T02:30:00"/>
    <s v="-"/>
    <s v=""/>
    <n v="7"/>
    <d v="2026-12-02T02:30:00"/>
    <s v="n/a"/>
    <s v="n/a"/>
    <n v="49"/>
    <n v="36"/>
    <n v="864"/>
    <s v="Black glazing"/>
    <s v="AEU"/>
  </r>
  <r>
    <s v="26Aug021.1"/>
    <s v="Tianjin"/>
    <s v="26Aug021"/>
    <s v="CORE DG"/>
    <x v="0"/>
    <s v="Arrival Plan-SPNL"/>
    <s v="CIF"/>
    <x v="0"/>
    <s v="U1"/>
    <x v="2"/>
    <m/>
    <m/>
    <s v="n/a"/>
    <d v="2026-09-07T00:00:00"/>
    <x v="0"/>
    <x v="0"/>
    <s v="HSM-ND54-DR500"/>
    <s v="EVO2A"/>
    <s v="±1200mm"/>
    <n v="500"/>
    <n v="864"/>
    <n v="0.432"/>
    <n v="24"/>
    <n v="1"/>
    <x v="21"/>
    <s v=""/>
    <s v="ready"/>
    <d v="2026-10-05T00:00:00"/>
    <n v="41"/>
    <s v="POPV261010018"/>
    <m/>
    <s v="TIANJIN"/>
    <x v="0"/>
    <x v="1"/>
    <d v="2026-10-11T00:00:00"/>
    <d v="2026-10-11T04:00:00"/>
    <s v=""/>
    <d v="2026-11-25T00:00:00"/>
    <m/>
    <s v=""/>
    <s v="CIF"/>
    <s v="OOCL PORTUGAL 008W"/>
    <s v="COSCO"/>
    <s v="TPVB20261041002HL"/>
    <x v="759"/>
    <s v="COSU9510309650"/>
    <n v="44.833333333335759"/>
    <m/>
    <d v="2026-11-25T00:00:00"/>
    <s v="-"/>
    <s v=""/>
    <n v="7"/>
    <d v="2026-12-02T00:00:00"/>
    <s v="n/a"/>
    <s v="n/a"/>
    <n v="49"/>
    <n v="36"/>
    <n v="864"/>
    <s v="Black glazing"/>
    <s v="AEU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7"/>
    <s v=""/>
    <m/>
    <d v="2026-10-05T00:00:00"/>
    <n v="41"/>
    <s v="POPV261010012"/>
    <m/>
    <s v="TIANJIN"/>
    <x v="0"/>
    <x v="0"/>
    <d v="2026-10-11T00:00:00"/>
    <d v="2026-10-11T04:00:00"/>
    <s v=""/>
    <d v="2026-12-14T00:00:00"/>
    <d v="2026-12-14T19:00:00"/>
    <s v=""/>
    <m/>
    <s v="OOCL PORTUGAL 008W"/>
    <s v="COSCO"/>
    <s v="TPVB20261041001HL"/>
    <x v="760"/>
    <s v="COSU9510182110"/>
    <n v="64.625"/>
    <m/>
    <d v="2026-12-14T19:00:00"/>
    <s v="-"/>
    <s v=""/>
    <n v="8"/>
    <d v="2026-12-22T19:00:00"/>
    <n v="2026"/>
    <n v="12"/>
    <n v="52"/>
    <n v="36"/>
    <n v="864"/>
    <s v="Black glazing"/>
    <s v="AEM"/>
  </r>
  <r>
    <s v="26Aug024.1.01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864"/>
    <n v="0.43631999999999999"/>
    <n v="24"/>
    <n v="1"/>
    <x v="19"/>
    <s v=""/>
    <s v="Dec--to be assured"/>
    <d v="2026-10-05T00:00:00"/>
    <n v="41"/>
    <s v="POPV261010035"/>
    <m/>
    <s v="TIANJIN"/>
    <x v="0"/>
    <x v="6"/>
    <d v="2026-10-11T00:00:00"/>
    <d v="2026-10-11T04:00:00"/>
    <s v=""/>
    <d v="2026-12-06T00:00:00"/>
    <d v="2026-12-06T01:00:00"/>
    <s v=""/>
    <m/>
    <s v="OOCL PORTUGAL 008W"/>
    <s v="COSCO"/>
    <s v="TPVB20261041003HL"/>
    <x v="761"/>
    <s v="COSU6469165090"/>
    <n v="55.875"/>
    <m/>
    <d v="2026-12-06T01:00:00"/>
    <s v="-"/>
    <s v=""/>
    <n v="7"/>
    <d v="2026-12-13T01:00:00"/>
    <s v="n/a"/>
    <s v="n/a"/>
    <n v="50"/>
    <n v="36"/>
    <n v="864"/>
    <s v="Black glazing"/>
    <s v="AEU"/>
  </r>
  <r>
    <s v="26Aug021.2"/>
    <s v="Tianjin"/>
    <s v="26Aug021"/>
    <s v="CORE DG"/>
    <x v="0"/>
    <s v="Arrival Plan-SPNL"/>
    <s v="CIF"/>
    <x v="0"/>
    <s v="U1"/>
    <x v="2"/>
    <m/>
    <m/>
    <s v="n/a"/>
    <d v="2026-09-07T00:00:00"/>
    <x v="0"/>
    <x v="0"/>
    <s v="HSM-ND54-DR500"/>
    <s v="EVO2A"/>
    <s v="±1200mm"/>
    <n v="500"/>
    <n v="6912"/>
    <n v="3.456"/>
    <n v="192"/>
    <n v="8"/>
    <x v="24"/>
    <s v=""/>
    <s v="ready"/>
    <d v="2026-10-13T00:00:00"/>
    <n v="42"/>
    <m/>
    <m/>
    <s v="TIANJIN"/>
    <x v="0"/>
    <x v="1"/>
    <d v="2026-10-18T00:00:00"/>
    <d v="2026-10-18T04:00:00"/>
    <s v=""/>
    <d v="2026-12-02T00:00:00"/>
    <m/>
    <s v=""/>
    <s v="CIF"/>
    <s v="COSCO SHIPPING CAPRICORN 042W"/>
    <s v="COSCO"/>
    <s v="TPVB20261042001HL"/>
    <x v="762"/>
    <s v="COSU9510309930"/>
    <n v="44.833333333335759"/>
    <m/>
    <d v="2026-12-02T00:00:00"/>
    <s v="-"/>
    <d v="1899-12-30T00:00:00"/>
    <n v="7"/>
    <d v="2026-12-09T00:00:00"/>
    <s v="n/a"/>
    <s v="n/a"/>
    <n v="50"/>
    <n v="36"/>
    <n v="864"/>
    <s v="Black glazing"/>
    <s v="AEU"/>
  </r>
  <r>
    <s v="26Aug025.05"/>
    <s v="Yixing"/>
    <s v="26Aug025"/>
    <s v="UPP"/>
    <x v="1"/>
    <s v="SPTN Offstore in Transit WH"/>
    <s v="FOB"/>
    <x v="13"/>
    <s v="U1"/>
    <x v="191"/>
    <m/>
    <m/>
    <s v="Yes"/>
    <m/>
    <x v="0"/>
    <x v="99"/>
    <s v="HSM-ND66-GR630"/>
    <s v="H4(Com)"/>
    <s v="+400mm/-200mm"/>
    <n v="630"/>
    <n v="720"/>
    <n v="0.4536"/>
    <n v="20"/>
    <n v="1"/>
    <x v="18"/>
    <s v="IN-TRANSIT"/>
    <m/>
    <d v="2026-09-04T00:00:00"/>
    <n v="36"/>
    <m/>
    <m/>
    <s v="SHANGHAI"/>
    <x v="1"/>
    <x v="25"/>
    <d v="2026-09-08T00:00:00"/>
    <d v="2026-09-09T00:00:00"/>
    <d v="2026-09-10T00:00:00"/>
    <d v="2026-09-20T00:00:00"/>
    <d v="2026-10-02T00:00:00"/>
    <m/>
    <s v="FOB"/>
    <s v="AS SERENA/636W"/>
    <s v="OTHER"/>
    <s v="TPVO2026041101"/>
    <x v="763"/>
    <n v="802581991"/>
    <n v="22"/>
    <m/>
    <d v="2026-10-02T00:00:00"/>
    <s v="-"/>
    <d v="1899-12-30T00:00:00"/>
    <n v="0"/>
    <d v="2026-10-02T00:00:00"/>
    <n v="2026"/>
    <n v="10"/>
    <n v="40"/>
    <n v="36"/>
    <n v="720"/>
    <s v="Redirection Film"/>
    <s v="n/a"/>
  </r>
  <r>
    <s v="26Oct007.06"/>
    <s v="Quzhou"/>
    <s v="26Oct007"/>
    <s v="CORE DG"/>
    <x v="0"/>
    <s v="Arrival Plan-SPUK"/>
    <s v="CIF"/>
    <x v="1"/>
    <s v="U2"/>
    <x v="2"/>
    <m/>
    <m/>
    <s v="n/a"/>
    <m/>
    <x v="3"/>
    <x v="108"/>
    <s v="SPR-BE54-DD490"/>
    <s v="EVO2A"/>
    <s v="±1200mm"/>
    <n v="490"/>
    <n v="2808"/>
    <n v="1.37592"/>
    <n v="78"/>
    <n v="3"/>
    <x v="24"/>
    <s v=""/>
    <d v="2026-10-16T00:00:00"/>
    <m/>
    <s v=""/>
    <m/>
    <m/>
    <s v="SHANGHAI"/>
    <x v="1"/>
    <x v="6"/>
    <d v="2026-10-19T00:00:00"/>
    <m/>
    <m/>
    <d v="2026-11-29T00:00:00"/>
    <m/>
    <m/>
    <m/>
    <s v="OOCL GRACE 001W"/>
    <s v="COSCO"/>
    <s v="TPVB20261042003XT"/>
    <x v="764"/>
    <s v="COSU6469938130"/>
    <m/>
    <m/>
    <d v="2026-11-29T00:00:00"/>
    <s v="-"/>
    <d v="1899-12-30T00:00:00"/>
    <n v="7"/>
    <d v="2026-12-06T00:00:00"/>
    <n v="2026"/>
    <n v="12"/>
    <n v="49"/>
    <n v="36"/>
    <n v="936"/>
    <s v="Black glazing"/>
    <s v="AEU"/>
  </r>
  <r>
    <s v="26Oct009.01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10296"/>
    <n v="4.9935600000000004"/>
    <n v="286"/>
    <n v="11"/>
    <x v="24"/>
    <s v=""/>
    <d v="2026-10-16T00:00:00"/>
    <m/>
    <s v=""/>
    <m/>
    <m/>
    <s v="SHANGHAI"/>
    <x v="1"/>
    <x v="1"/>
    <d v="2026-10-20T00:00:00"/>
    <m/>
    <m/>
    <d v="2026-11-25T00:00:00"/>
    <m/>
    <m/>
    <m/>
    <s v="OOCL PORTUGAL 008W"/>
    <s v="COSCO"/>
    <s v="TPVB20261042002XT"/>
    <x v="765"/>
    <s v="COSU6469938750"/>
    <m/>
    <m/>
    <d v="2026-11-25T00:00:00"/>
    <s v="-"/>
    <d v="1899-12-30T00:00:00"/>
    <n v="7"/>
    <d v="2026-12-02T00:00:00"/>
    <n v="2026"/>
    <n v="12"/>
    <n v="49"/>
    <n v="36"/>
    <n v="936"/>
    <s v="Black glazing"/>
    <s v="AEU"/>
  </r>
  <r>
    <s v="26Oct007.01"/>
    <s v="Quzhou"/>
    <s v="26Oct007"/>
    <s v="CORE DG"/>
    <x v="0"/>
    <s v="Arrival Plan-SPNL"/>
    <s v="CIF"/>
    <x v="1"/>
    <s v="U2"/>
    <x v="2"/>
    <m/>
    <m/>
    <s v="n/a"/>
    <m/>
    <x v="3"/>
    <x v="108"/>
    <s v="SPR-BE54-DD490"/>
    <s v="EVO2A"/>
    <s v="±1200mm"/>
    <n v="490"/>
    <n v="4680"/>
    <n v="2.2932000000000001"/>
    <n v="130"/>
    <n v="5"/>
    <x v="24"/>
    <s v=""/>
    <d v="2026-10-16T00:00:00"/>
    <m/>
    <s v=""/>
    <m/>
    <m/>
    <s v="SHANGHAI"/>
    <x v="1"/>
    <x v="1"/>
    <d v="2026-10-19T00:00:00"/>
    <m/>
    <m/>
    <d v="2026-11-25T00:00:00"/>
    <m/>
    <m/>
    <m/>
    <s v="EVER ACE 1423-020W"/>
    <s v="COSCO"/>
    <s v="TPVB20261042004XT"/>
    <x v="766"/>
    <s v="COSU6469939280"/>
    <m/>
    <m/>
    <d v="2026-11-25T00:00:00"/>
    <s v="-"/>
    <d v="1899-12-30T00:00:00"/>
    <n v="7"/>
    <d v="2026-12-02T00:00:00"/>
    <n v="2026"/>
    <n v="12"/>
    <n v="49"/>
    <n v="36"/>
    <n v="936"/>
    <s v="Black glazing"/>
    <s v="AEU"/>
  </r>
  <r>
    <s v="26Oct009.02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7488"/>
    <n v="3.6316799999999998"/>
    <n v="208"/>
    <n v="8"/>
    <x v="24"/>
    <s v=""/>
    <d v="2026-10-12T00:00:00"/>
    <m/>
    <s v=""/>
    <m/>
    <m/>
    <s v="SHANGHAI"/>
    <x v="1"/>
    <x v="1"/>
    <d v="2026-10-18T00:00:00"/>
    <m/>
    <m/>
    <d v="2026-12-05T00:00:00"/>
    <m/>
    <m/>
    <m/>
    <s v="COSCO SHIPPING PANAMA 007W"/>
    <s v="COSCO"/>
    <s v="TPVB20261042001XT"/>
    <x v="767"/>
    <s v="COSU6469939670"/>
    <m/>
    <m/>
    <d v="2026-12-05T00:00:00"/>
    <s v="-"/>
    <d v="1899-12-30T00:00:00"/>
    <n v="7"/>
    <d v="2026-12-12T00:00:00"/>
    <n v="2026"/>
    <n v="12"/>
    <n v="50"/>
    <n v="36"/>
    <n v="936"/>
    <s v="Black glazing"/>
    <s v="AEU"/>
  </r>
  <r>
    <s v="26Oct016.01"/>
    <s v="Yixing"/>
    <s v="26Oct016"/>
    <s v="UPP"/>
    <x v="0"/>
    <s v="Arrival Plan-SPNL"/>
    <s v="CIF"/>
    <x v="0"/>
    <s v="U1"/>
    <x v="2"/>
    <m/>
    <m/>
    <s v="n/a"/>
    <m/>
    <x v="9"/>
    <x v="109"/>
    <s v="HSM-NT66-GH650 CFP"/>
    <s v="EVO2A"/>
    <s v="±1600mm"/>
    <n v="650"/>
    <n v="5760"/>
    <n v="3.7440000000000002"/>
    <n v="160"/>
    <n v="8"/>
    <x v="25"/>
    <s v=""/>
    <m/>
    <d v="2026-10-13T00:00:00"/>
    <n v="42"/>
    <m/>
    <m/>
    <s v="SHANGHAI"/>
    <x v="1"/>
    <x v="1"/>
    <d v="2026-10-19T00:00:00"/>
    <s v=""/>
    <s v=""/>
    <d v="2026-11-25T00:00:00"/>
    <s v=""/>
    <s v=""/>
    <m/>
    <s v="OOCL PORTUGAL 008W"/>
    <s v="COSCO"/>
    <s v=" TPVB20261042001JP"/>
    <x v="768"/>
    <s v="COSU6471068810"/>
    <n v="37"/>
    <m/>
    <d v="2026-11-25T00:00:00"/>
    <s v="-"/>
    <d v="1899-12-30T00:00:00"/>
    <n v="7"/>
    <d v="2026-12-02T00:00:00"/>
    <n v="2026"/>
    <n v="12"/>
    <n v="49"/>
    <n v="36"/>
    <n v="720"/>
    <s v="Redirection Film"/>
    <s v="AEU"/>
  </r>
  <r>
    <s v="26Aug017.02"/>
    <s v="Yixing"/>
    <s v="26Aug017"/>
    <s v="CORE DG"/>
    <x v="0"/>
    <s v="Arrival Plan-SPIT"/>
    <s v="CIF"/>
    <x v="4"/>
    <s v="U4"/>
    <x v="2"/>
    <m/>
    <m/>
    <m/>
    <d v="2026-10-10T00:00:00"/>
    <x v="2"/>
    <x v="5"/>
    <s v="SPR-P7-555-COM-S"/>
    <s v="EVO2A"/>
    <s v="±1400mm"/>
    <n v="555"/>
    <n v="3960"/>
    <n v="2.1978"/>
    <n v="120"/>
    <n v="6"/>
    <x v="24"/>
    <m/>
    <m/>
    <m/>
    <m/>
    <m/>
    <m/>
    <s v="SHANGHAI"/>
    <x v="1"/>
    <x v="4"/>
    <d v="2026-10-23T00:00:00"/>
    <s v=""/>
    <s v=""/>
    <d v="2026-12-09T00:00:00"/>
    <m/>
    <m/>
    <m/>
    <s v="COSCO SHIPPING NEBULA 034W"/>
    <s v="COSCO"/>
    <m/>
    <x v="769"/>
    <s v="COSU6469942450"/>
    <n v="47"/>
    <m/>
    <d v="2026-12-09T00:00:00"/>
    <s v="-"/>
    <d v="1899-12-30T00:00:00"/>
    <n v="10"/>
    <d v="2026-12-19T00:00:00"/>
    <n v="2026"/>
    <n v="12"/>
    <n v="51"/>
    <n v="33"/>
    <n v="660"/>
    <s v="White glazing"/>
    <s v="AEM"/>
  </r>
  <r>
    <s v="26Aug018.06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4"/>
    <m/>
    <m/>
    <m/>
    <m/>
    <m/>
    <m/>
    <s v="SHANGHAI"/>
    <x v="1"/>
    <x v="4"/>
    <d v="2026-10-23T00:00:00"/>
    <s v=""/>
    <s v=""/>
    <d v="2026-12-09T00:00:00"/>
    <m/>
    <m/>
    <m/>
    <s v="COSCO SHIPPING NEBULA 034W"/>
    <s v="COSCO"/>
    <m/>
    <x v="769"/>
    <s v="COSU6469942450"/>
    <n v="47"/>
    <m/>
    <d v="2026-12-09T00:00:00"/>
    <s v="-"/>
    <d v="1899-12-30T00:00:00"/>
    <n v="10"/>
    <d v="2026-12-19T00:00:00"/>
    <n v="2026"/>
    <n v="12"/>
    <n v="51"/>
    <n v="33"/>
    <n v="660"/>
    <s v="White glazing"/>
    <s v="AEM"/>
  </r>
  <r>
    <s v="26Oct014.02"/>
    <s v="Yixing"/>
    <s v="26Oct014"/>
    <s v="CORE DG"/>
    <x v="0"/>
    <s v="Arrival Plan-SPTN"/>
    <s v="CIF"/>
    <x v="0"/>
    <s v="U1"/>
    <x v="2"/>
    <m/>
    <m/>
    <s v="n/a"/>
    <d v="2026-09-27T00:00:00"/>
    <x v="11"/>
    <x v="110"/>
    <s v="HSM-NT48-GH480 CFP"/>
    <s v="EVO2A"/>
    <s v="±1200mm"/>
    <n v="480"/>
    <n v="3744"/>
    <n v="1.7971200000000001"/>
    <n v="104"/>
    <n v="4"/>
    <x v="24"/>
    <s v=""/>
    <m/>
    <m/>
    <s v=""/>
    <m/>
    <m/>
    <s v="SHANGHAI"/>
    <x v="1"/>
    <x v="0"/>
    <d v="2026-10-20T00:00:00"/>
    <m/>
    <m/>
    <d v="2026-12-02T00:00:00"/>
    <m/>
    <m/>
    <m/>
    <s v="CMA CGM BOUGAINVILLE MEX020W19"/>
    <s v="COSCO"/>
    <m/>
    <x v="770"/>
    <s v="COSU6469945290"/>
    <m/>
    <m/>
    <d v="2026-12-02T00:00:00"/>
    <s v="-"/>
    <d v="1899-12-30T00:00:00"/>
    <n v="8"/>
    <d v="2026-12-10T00:00:00"/>
    <n v="2026"/>
    <n v="12"/>
    <n v="50"/>
    <n v="36"/>
    <n v="936"/>
    <s v="White glazing"/>
    <s v="AEM"/>
  </r>
  <r>
    <s v="26Oct007.03"/>
    <s v="Quzhou"/>
    <s v="26Oct007"/>
    <s v="CORE DG"/>
    <x v="0"/>
    <s v="Arrival Plan-SPNL"/>
    <s v="CIF"/>
    <x v="1"/>
    <s v="U2"/>
    <x v="2"/>
    <m/>
    <m/>
    <s v="n/a"/>
    <m/>
    <x v="3"/>
    <x v="108"/>
    <s v="SPR-BE54-DD490"/>
    <s v="EVO2A"/>
    <s v="±1200mm"/>
    <n v="490"/>
    <n v="4680"/>
    <n v="2.2932000000000001"/>
    <n v="130"/>
    <n v="5"/>
    <x v="24"/>
    <s v=""/>
    <m/>
    <m/>
    <s v=""/>
    <m/>
    <m/>
    <s v="SHANGHAI"/>
    <x v="1"/>
    <x v="1"/>
    <m/>
    <m/>
    <m/>
    <m/>
    <m/>
    <m/>
    <m/>
    <m/>
    <m/>
    <m/>
    <x v="296"/>
    <m/>
    <m/>
    <m/>
    <d v="2026-12-11T00:00:00"/>
    <s v="-"/>
    <d v="1899-12-30T00:00:00"/>
    <n v="7"/>
    <d v="2026-12-18T00:00:00"/>
    <n v="2026"/>
    <n v="12"/>
    <n v="51"/>
    <n v="36"/>
    <n v="936"/>
    <s v="Black glazing"/>
    <s v="AEU"/>
  </r>
  <r>
    <s v="26Oct007.04"/>
    <s v="Quzhou"/>
    <s v="26Oct007"/>
    <s v="CORE DG"/>
    <x v="0"/>
    <s v="Arrival Plan-SPNL"/>
    <s v="CIF"/>
    <x v="1"/>
    <s v="U2"/>
    <x v="2"/>
    <m/>
    <m/>
    <s v="n/a"/>
    <m/>
    <x v="3"/>
    <x v="108"/>
    <s v="SPR-BE54-DD490"/>
    <s v="EVO2A"/>
    <s v="±1200mm"/>
    <n v="490"/>
    <n v="4680"/>
    <n v="2.2932000000000001"/>
    <n v="130"/>
    <n v="5"/>
    <x v="25"/>
    <s v=""/>
    <m/>
    <m/>
    <s v=""/>
    <m/>
    <m/>
    <s v="SHANGHAI"/>
    <x v="1"/>
    <x v="1"/>
    <m/>
    <m/>
    <m/>
    <m/>
    <m/>
    <m/>
    <m/>
    <m/>
    <m/>
    <m/>
    <x v="296"/>
    <m/>
    <m/>
    <m/>
    <d v="2026-12-18T00:00:00"/>
    <s v="-"/>
    <d v="1899-12-30T00:00:00"/>
    <n v="7"/>
    <d v="2026-12-25T00:00:00"/>
    <n v="2026"/>
    <n v="12"/>
    <n v="52"/>
    <n v="36"/>
    <n v="936"/>
    <s v="Black glazing"/>
    <s v="AEU"/>
  </r>
  <r>
    <s v="26Oct007.05"/>
    <s v="Quzhou"/>
    <s v="26Oct007"/>
    <s v="CORE DG"/>
    <x v="0"/>
    <s v="Arrival Plan-SPES"/>
    <s v="CIF"/>
    <x v="1"/>
    <s v="U4"/>
    <x v="2"/>
    <m/>
    <m/>
    <s v="n/a"/>
    <m/>
    <x v="3"/>
    <x v="108"/>
    <s v="SPR-BE54-DD490"/>
    <s v="EVO2A"/>
    <s v="±1200mm"/>
    <n v="490"/>
    <n v="936"/>
    <n v="0.45863999999999999"/>
    <n v="26"/>
    <n v="1"/>
    <x v="24"/>
    <s v=""/>
    <s v="AEM2"/>
    <m/>
    <s v=""/>
    <m/>
    <m/>
    <s v="SHANGHAI"/>
    <x v="1"/>
    <x v="2"/>
    <m/>
    <m/>
    <m/>
    <m/>
    <m/>
    <m/>
    <m/>
    <m/>
    <m/>
    <m/>
    <x v="296"/>
    <m/>
    <m/>
    <m/>
    <d v="2026-12-11T00:00:00"/>
    <s v="-"/>
    <d v="1899-12-30T00:00:00"/>
    <n v="9"/>
    <d v="2026-12-20T00:00:00"/>
    <n v="2026"/>
    <n v="12"/>
    <n v="51"/>
    <n v="36"/>
    <n v="936"/>
    <s v="Black glazing"/>
    <s v="AEM"/>
  </r>
  <r>
    <s v="26Oct009.09"/>
    <s v="Quzhou"/>
    <s v="26Oct009"/>
    <s v="CORE DG"/>
    <x v="0"/>
    <s v="Arrival Plan-SPIT"/>
    <s v="CIF"/>
    <x v="4"/>
    <s v="U1"/>
    <x v="2"/>
    <m/>
    <m/>
    <s v="n/a"/>
    <m/>
    <x v="3"/>
    <x v="91"/>
    <s v="HSM-BE54-DD485"/>
    <s v="EVO2A"/>
    <s v="±1200mm"/>
    <n v="485"/>
    <n v="3744"/>
    <n v="1.8158399999999999"/>
    <n v="104"/>
    <n v="4"/>
    <x v="24"/>
    <s v=""/>
    <s v="IT进口商标签"/>
    <m/>
    <s v=""/>
    <m/>
    <m/>
    <s v="SHANGHAI"/>
    <x v="1"/>
    <x v="4"/>
    <m/>
    <m/>
    <m/>
    <m/>
    <m/>
    <m/>
    <m/>
    <m/>
    <m/>
    <m/>
    <x v="296"/>
    <m/>
    <m/>
    <m/>
    <d v="2026-12-15T00:00:00"/>
    <s v="-"/>
    <d v="1899-12-30T00:00:00"/>
    <n v="10"/>
    <d v="2026-12-25T00:00:00"/>
    <n v="2026"/>
    <n v="12"/>
    <n v="52"/>
    <n v="36"/>
    <n v="936"/>
    <s v="Black glazing"/>
    <s v="AEM"/>
  </r>
  <r>
    <s v="26Oct009.10"/>
    <s v="Quzhou"/>
    <s v="26Oct009"/>
    <s v="CORE DG"/>
    <x v="0"/>
    <s v="Arrival Plan-SPIT"/>
    <s v="CIF"/>
    <x v="4"/>
    <s v="U1"/>
    <x v="2"/>
    <m/>
    <m/>
    <s v="n/a"/>
    <m/>
    <x v="3"/>
    <x v="91"/>
    <s v="HSM-BE54-DD485"/>
    <s v="EVO2A"/>
    <s v="±1200mm"/>
    <n v="485"/>
    <n v="3744"/>
    <n v="1.8158399999999999"/>
    <n v="104"/>
    <n v="4"/>
    <x v="24"/>
    <s v=""/>
    <s v="IT进口商标签"/>
    <m/>
    <s v=""/>
    <m/>
    <m/>
    <s v="SHANGHAI"/>
    <x v="1"/>
    <x v="14"/>
    <m/>
    <m/>
    <m/>
    <m/>
    <m/>
    <m/>
    <m/>
    <m/>
    <m/>
    <m/>
    <x v="296"/>
    <m/>
    <m/>
    <m/>
    <d v="2026-12-15T00:00:00"/>
    <s v="-"/>
    <d v="1899-12-30T00:00:00"/>
    <n v="10"/>
    <d v="2026-12-25T00:00:00"/>
    <n v="2026"/>
    <n v="12"/>
    <n v="52"/>
    <n v="36"/>
    <n v="936"/>
    <s v="Black glazing"/>
    <s v="AEM"/>
  </r>
  <r>
    <s v="26Oct009.16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1872"/>
    <n v="0.90791999999999995"/>
    <n v="52"/>
    <n v="2"/>
    <x v="24"/>
    <s v=""/>
    <d v="2026-10-14T00:00:00"/>
    <m/>
    <s v=""/>
    <m/>
    <m/>
    <s v="NINGBO"/>
    <x v="3"/>
    <x v="6"/>
    <m/>
    <m/>
    <m/>
    <m/>
    <m/>
    <m/>
    <m/>
    <m/>
    <s v="COSCO"/>
    <m/>
    <x v="296"/>
    <m/>
    <m/>
    <m/>
    <d v="2026-12-11T00:00:00"/>
    <s v="-"/>
    <d v="1899-12-30T00:00:00"/>
    <n v="7"/>
    <d v="2026-12-18T00:00:00"/>
    <n v="2026"/>
    <n v="12"/>
    <n v="51"/>
    <n v="36"/>
    <n v="936"/>
    <s v="Black glazing"/>
    <s v="AEU"/>
  </r>
  <r>
    <s v="26Aug017.05"/>
    <s v="Yixing"/>
    <s v="26Aug017"/>
    <s v="CORE DG"/>
    <x v="0"/>
    <s v="Arrival Plan-SPNL"/>
    <s v="CIF"/>
    <x v="4"/>
    <s v="U1"/>
    <x v="2"/>
    <m/>
    <m/>
    <m/>
    <d v="2026-10-10T00:00:00"/>
    <x v="2"/>
    <x v="5"/>
    <s v="SPR-P7-555-COM-S"/>
    <s v="EVO2A"/>
    <s v="±1400mm"/>
    <n v="555"/>
    <n v="3300"/>
    <n v="1.8314999999999999"/>
    <n v="100"/>
    <n v="5"/>
    <x v="21"/>
    <m/>
    <m/>
    <m/>
    <m/>
    <m/>
    <m/>
    <s v="SHANGHAI"/>
    <x v="1"/>
    <x v="1"/>
    <m/>
    <m/>
    <m/>
    <m/>
    <m/>
    <m/>
    <m/>
    <m/>
    <m/>
    <m/>
    <x v="296"/>
    <m/>
    <n v="0"/>
    <m/>
    <d v="2026-12-04T00:00:00"/>
    <s v="-"/>
    <d v="1899-12-30T00:00:00"/>
    <n v="7"/>
    <d v="2026-12-11T00:00:00"/>
    <n v="2026"/>
    <n v="12"/>
    <n v="50"/>
    <n v="33"/>
    <n v="660"/>
    <s v="White glazing"/>
    <s v="AEU"/>
  </r>
  <r>
    <s v="26Oct009.15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4680"/>
    <n v="2.2698"/>
    <n v="130"/>
    <n v="5"/>
    <x v="24"/>
    <s v=""/>
    <d v="2026-10-14T00:00:00"/>
    <m/>
    <s v=""/>
    <m/>
    <m/>
    <s v="SHANGHAI"/>
    <x v="3"/>
    <x v="1"/>
    <d v="2026-10-17T00:00:00"/>
    <m/>
    <m/>
    <d v="2026-11-20T00:00:00"/>
    <m/>
    <m/>
    <m/>
    <s v="OOCL SWEDEN 009W"/>
    <s v="COSCO"/>
    <s v="TPVB20261041003XT"/>
    <x v="771"/>
    <s v="COSU9510425590"/>
    <m/>
    <m/>
    <d v="2026-11-20T00:00:00"/>
    <s v="-"/>
    <d v="1899-12-30T00:00:00"/>
    <n v="7"/>
    <d v="2026-11-27T00:00:00"/>
    <n v="2026"/>
    <n v="11"/>
    <n v="48"/>
    <n v="36"/>
    <n v="936"/>
    <s v="Black glazing"/>
    <s v="AEU"/>
  </r>
  <r>
    <s v="26Oct009.12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936"/>
    <n v="0.45395999999999997"/>
    <n v="26"/>
    <n v="1"/>
    <x v="24"/>
    <s v=""/>
    <m/>
    <m/>
    <s v=""/>
    <m/>
    <m/>
    <s v="SHANGHAI"/>
    <x v="3"/>
    <x v="1"/>
    <m/>
    <m/>
    <m/>
    <m/>
    <m/>
    <m/>
    <m/>
    <m/>
    <m/>
    <m/>
    <x v="296"/>
    <m/>
    <m/>
    <m/>
    <d v="2026-12-11T00:00:00"/>
    <s v="-"/>
    <d v="1899-12-30T00:00:00"/>
    <n v="7"/>
    <d v="2026-12-18T00:00:00"/>
    <n v="2026"/>
    <n v="12"/>
    <n v="51"/>
    <n v="36"/>
    <n v="936"/>
    <s v="Black glazing"/>
    <s v="AEU"/>
  </r>
  <r>
    <s v="26Aug013"/>
    <s v="Quzhou"/>
    <s v="Main Line"/>
    <s v="UPP"/>
    <x v="3"/>
    <s v="n/a"/>
    <s v="n/a"/>
    <x v="22"/>
    <s v="n/a"/>
    <x v="188"/>
    <m/>
    <m/>
    <s v="n/a"/>
    <m/>
    <x v="3"/>
    <x v="105"/>
    <s v="S4-DG490-108BC-FB"/>
    <s v="EVO2A"/>
    <s v="±1200mm"/>
    <n v="49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9"/>
    <s v="Yixing"/>
    <s v="Main Line"/>
    <s v="UPP"/>
    <x v="3"/>
    <s v="n/a"/>
    <s v="n/a"/>
    <x v="22"/>
    <s v="n/a"/>
    <x v="188"/>
    <m/>
    <m/>
    <s v="n/a"/>
    <m/>
    <x v="0"/>
    <x v="100"/>
    <s v="HSM-ND66-GR620"/>
    <s v="H4(Com)"/>
    <s v="+400mm/-200mm"/>
    <n v="620"/>
    <n v="3600"/>
    <n v="2.2320000000000002"/>
    <n v="100"/>
    <n v="5"/>
    <x v="23"/>
    <s v=""/>
    <s v="ready"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Redirection Film"/>
    <s v="n/a"/>
  </r>
  <r>
    <s v="26Aug014"/>
    <s v="Quzhou"/>
    <s v="Main Line"/>
    <s v="UPP"/>
    <x v="3"/>
    <s v="n/a"/>
    <s v="n/a"/>
    <x v="22"/>
    <s v="n/a"/>
    <x v="188"/>
    <m/>
    <m/>
    <s v="n/a"/>
    <m/>
    <x v="3"/>
    <x v="106"/>
    <s v="S4-DG485-108BC-FB"/>
    <s v="EVO2A"/>
    <s v="±1200mm"/>
    <n v="48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1.03"/>
    <s v="Yixing"/>
    <s v="26Aug001"/>
    <s v="CORE DG"/>
    <x v="0"/>
    <s v="Arrival Plan-SPIT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d v="2026-09-23T00:00:00"/>
    <m/>
    <s v=""/>
    <m/>
    <m/>
    <s v="NINGBO"/>
    <x v="3"/>
    <x v="4"/>
    <d v="2026-10-17T00:00:00"/>
    <m/>
    <m/>
    <d v="2026-12-02T00:00:00"/>
    <m/>
    <m/>
    <m/>
    <s v="COSCO SHIPPING TAURUS 038W"/>
    <s v="COSCO"/>
    <s v="TPVB20261041001XT"/>
    <x v="772"/>
    <s v="COSU9510418660"/>
    <n v="46"/>
    <m/>
    <d v="2026-12-02T00:00:00"/>
    <s v="-"/>
    <d v="1899-12-30T00:00:00"/>
    <n v="10"/>
    <d v="2026-12-12T00:00:00"/>
    <n v="2026"/>
    <n v="12"/>
    <n v="50"/>
    <n v="36"/>
    <n v="792"/>
    <s v="Black glazing"/>
    <s v="AEM"/>
  </r>
  <r>
    <s v="26May011"/>
    <s v="Yixing"/>
    <s v="Main Line"/>
    <s v="CORE DG"/>
    <x v="3"/>
    <s v="n/a"/>
    <s v="n/a"/>
    <x v="22"/>
    <s v="n/a"/>
    <x v="188"/>
    <m/>
    <m/>
    <s v="n/a"/>
    <d v="2026-05-25T00:00:00"/>
    <x v="0"/>
    <x v="74"/>
    <s v="HSM-ND66-GR625"/>
    <s v="H4(Com)"/>
    <s v="+400mm/-200mm"/>
    <n v="62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88"/>
    <m/>
    <m/>
    <s v="n/a"/>
    <d v="2026-05-25T00:00:00"/>
    <x v="0"/>
    <x v="75"/>
    <s v="HSM-ND66-GR630"/>
    <s v="H4(Com)"/>
    <s v="+400mm/-200mm"/>
    <n v="63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88"/>
    <m/>
    <m/>
    <s v="n/a"/>
    <s v="n/a"/>
    <x v="0"/>
    <x v="77"/>
    <s v="HSM-ND66-GK720"/>
    <s v="H4(Com)"/>
    <s v="+400mm/-200mm"/>
    <n v="72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88"/>
    <m/>
    <m/>
    <s v="n/a"/>
    <d v="2026-03-30T00:00:00"/>
    <x v="2"/>
    <x v="68"/>
    <s v="SPR-P7-560-COM-S"/>
    <s v="EVO2A"/>
    <s v="±1400mm"/>
    <n v="56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88"/>
    <m/>
    <m/>
    <s v="n/a"/>
    <d v="2026-05-04T00:00:00"/>
    <x v="2"/>
    <x v="5"/>
    <s v="SPR-P7-555-COM-S"/>
    <s v="EVO2A"/>
    <s v="±1400mm"/>
    <n v="55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88"/>
    <m/>
    <m/>
    <s v="n/a"/>
    <d v="2026-05-04T00:00:00"/>
    <x v="2"/>
    <x v="68"/>
    <s v="SPR-P7-560-COM-S"/>
    <s v="EVO2A"/>
    <s v="±1400mm"/>
    <n v="56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88"/>
    <m/>
    <m/>
    <s v="n/a"/>
    <d v="2026-05-04T00:00:00"/>
    <x v="1"/>
    <x v="6"/>
    <s v="TCL-MR465DT182-58NS"/>
    <s v="EVO2A"/>
    <s v="±1200mm"/>
    <n v="46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88"/>
    <m/>
    <m/>
    <s v="n/a"/>
    <d v="2026-05-04T00:00:00"/>
    <x v="1"/>
    <x v="39"/>
    <s v="TCL-MR470DT182-58NS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88"/>
    <m/>
    <m/>
    <s v="n/a"/>
    <d v="2026-04-13T00:00:00"/>
    <x v="0"/>
    <x v="7"/>
    <s v="HSM-ND48-DR450"/>
    <s v="EVO2A"/>
    <s v="±1200mm"/>
    <n v="450"/>
    <n v="0"/>
    <n v="0"/>
    <n v="0"/>
    <n v="0"/>
    <x v="23"/>
    <s v=""/>
    <m/>
    <m/>
    <m/>
    <m/>
    <m/>
    <s v="TIANJIN"/>
    <x v="0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88"/>
    <m/>
    <m/>
    <s v="n/a"/>
    <s v="n/a"/>
    <x v="0"/>
    <x v="0"/>
    <s v="HSM-ND54-DR500"/>
    <s v="EVO2A"/>
    <s v="±1200mm"/>
    <n v="50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88"/>
    <m/>
    <m/>
    <s v="n/a"/>
    <s v="n/a"/>
    <x v="0"/>
    <x v="43"/>
    <s v="HSM-ND54-DR505"/>
    <s v="EVO2A"/>
    <s v="±1200mm"/>
    <n v="50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88"/>
    <m/>
    <m/>
    <s v="n/a"/>
    <d v="2026-05-18T00:00:00"/>
    <x v="2"/>
    <x v="5"/>
    <s v="SPR-P7-555-COM-S"/>
    <s v="EVO2A"/>
    <s v="±1400mm"/>
    <n v="55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88"/>
    <m/>
    <m/>
    <s v="n/a"/>
    <d v="2026-05-18T00:00:00"/>
    <x v="2"/>
    <x v="68"/>
    <s v="SPR-P7-560-COM-S"/>
    <s v="EVO2A"/>
    <s v="±1400mm"/>
    <n v="56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88"/>
    <m/>
    <m/>
    <s v="n/a"/>
    <d v="2026-05-18T00:00:00"/>
    <x v="1"/>
    <x v="6"/>
    <s v="TCL-MR465DT182-58NS"/>
    <s v="EVO2A"/>
    <s v="±1200mm"/>
    <n v="46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88"/>
    <m/>
    <m/>
    <s v="n/a"/>
    <d v="2026-05-18T00:00:00"/>
    <x v="1"/>
    <x v="39"/>
    <s v="TCL-MR470DT182-58NS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92"/>
    <m/>
    <m/>
    <s v="n/a"/>
    <d v="2025-06-01T00:00:00"/>
    <x v="0"/>
    <x v="7"/>
    <s v="HSM-ND48-DR450"/>
    <s v="EVO2A"/>
    <s v="±1200mm"/>
    <n v="45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88"/>
    <m/>
    <m/>
    <s v="n/a"/>
    <d v="2025-06-01T00:00:00"/>
    <x v="0"/>
    <x v="35"/>
    <s v="HSM-ND48-DR455"/>
    <s v="EVO2A"/>
    <s v="±1200mm"/>
    <n v="45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88"/>
    <m/>
    <m/>
    <s v="n/a"/>
    <d v="2026-05-11T00:00:00"/>
    <x v="0"/>
    <x v="43"/>
    <s v="HSM-ND54-DR505"/>
    <s v="EVO2A"/>
    <s v="±1200mm"/>
    <n v="50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88"/>
    <m/>
    <m/>
    <s v="n/a"/>
    <s v="n/a"/>
    <x v="0"/>
    <x v="78"/>
    <s v="HSM-ND66-GK725"/>
    <s v="H4(Com)"/>
    <s v="+400mm/-200mm"/>
    <n v="72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88"/>
    <m/>
    <m/>
    <s v="n/a"/>
    <s v="n/a"/>
    <x v="9"/>
    <x v="72"/>
    <s v="HSM-NT66-GH640"/>
    <s v="EVO2A"/>
    <s v="±1400mm"/>
    <n v="640"/>
    <n v="0"/>
    <n v="0"/>
    <n v="0"/>
    <n v="0"/>
    <x v="23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d v="1899-12-30T00:00:00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88"/>
    <m/>
    <m/>
    <s v="n/a"/>
    <s v="n/a"/>
    <x v="9"/>
    <x v="73"/>
    <s v="HSM-NT66-GH645"/>
    <s v="EVO2A"/>
    <s v="±1400mm"/>
    <n v="645"/>
    <n v="0"/>
    <n v="0"/>
    <n v="0"/>
    <n v="0"/>
    <x v="23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d v="1899-12-30T00:00:00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88"/>
    <m/>
    <m/>
    <s v="n/a"/>
    <d v="2026-06-18T00:00:00"/>
    <x v="6"/>
    <x v="21"/>
    <s v="SPR-P7-510-BLK-P"/>
    <s v="EVO2A"/>
    <s v="±1350mm"/>
    <n v="51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88"/>
    <m/>
    <m/>
    <s v="n/a"/>
    <d v="2026-06-26T00:00:00"/>
    <x v="6"/>
    <x v="69"/>
    <s v="SPR-P7-515-BLK-P"/>
    <s v="EVO2A"/>
    <s v="±1350mm"/>
    <n v="515"/>
    <n v="0"/>
    <n v="0"/>
    <n v="0"/>
    <n v="0"/>
    <x v="23"/>
    <s v=""/>
    <m/>
    <m/>
    <s v=""/>
    <m/>
    <m/>
    <s v="SHANGHAI"/>
    <x v="1"/>
    <x v="23"/>
    <m/>
    <m/>
    <s v=""/>
    <d v="2026-06-22T00:00:00"/>
    <m/>
    <s v=""/>
    <m/>
    <m/>
    <m/>
    <m/>
    <x v="296"/>
    <m/>
    <n v="46195"/>
    <m/>
    <d v="2026-06-22T00:00:00"/>
    <s v="-"/>
    <d v="1899-12-30T00:00:00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88"/>
    <m/>
    <m/>
    <s v="n/a"/>
    <d v="2026-06-15T00:00:00"/>
    <x v="1"/>
    <x v="6"/>
    <s v="TCL-MR465DT182-58NS"/>
    <s v="EVO2A"/>
    <s v="±1200mm"/>
    <n v="46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88"/>
    <m/>
    <m/>
    <s v="n/a"/>
    <d v="2026-06-15T00:00:00"/>
    <x v="1"/>
    <x v="39"/>
    <s v="TCL-MR470DT182-58NS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88"/>
    <m/>
    <m/>
    <s v="n/a"/>
    <s v="n/a"/>
    <x v="0"/>
    <x v="57"/>
    <s v="HSM-ND66-GR620"/>
    <s v="EVO2A"/>
    <s v="±1400mm"/>
    <n v="62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88"/>
    <m/>
    <m/>
    <s v="n/a"/>
    <s v="n/a"/>
    <x v="0"/>
    <x v="80"/>
    <s v="HSM-ND66-GR620"/>
    <s v="H4(Com)"/>
    <s v="±1400mm"/>
    <n v="62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92"/>
    <m/>
    <m/>
    <s v="n/a"/>
    <m/>
    <x v="0"/>
    <x v="79"/>
    <s v="HSM-ND66-GR625"/>
    <s v="H4(Com)"/>
    <s v="±1400mm"/>
    <n v="62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88"/>
    <m/>
    <m/>
    <s v="n/a"/>
    <d v="2026-06-15T00:00:00"/>
    <x v="0"/>
    <x v="7"/>
    <s v="HSM-ND48-DR450"/>
    <s v="EVO2A"/>
    <s v="±1200mm"/>
    <n v="45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88"/>
    <m/>
    <m/>
    <s v="n/a"/>
    <d v="2026-06-15T00:00:00"/>
    <x v="0"/>
    <x v="35"/>
    <s v="HSM-ND48-DR455"/>
    <s v="EVO2A"/>
    <s v="±1200mm"/>
    <n v="45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3"/>
    <s v="n/a"/>
    <s v="n/a"/>
    <x v="22"/>
    <s v="n/a"/>
    <x v="188"/>
    <m/>
    <m/>
    <s v="n/a"/>
    <d v="2026-06-22T00:00:00"/>
    <x v="0"/>
    <x v="0"/>
    <s v="HSM-ND54-DR500"/>
    <s v="EVO2A"/>
    <s v="±1200mm"/>
    <n v="500"/>
    <n v="0"/>
    <n v="0"/>
    <n v="0"/>
    <n v="0"/>
    <x v="23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88"/>
    <m/>
    <m/>
    <s v="n/a"/>
    <d v="2026-06-22T00:00:00"/>
    <x v="0"/>
    <x v="43"/>
    <s v="HSM-ND54-DR505"/>
    <s v="EVO2A"/>
    <s v="±1200mm"/>
    <n v="505"/>
    <n v="0"/>
    <n v="0"/>
    <n v="0"/>
    <n v="0"/>
    <x v="23"/>
    <s v=""/>
    <m/>
    <m/>
    <s v=""/>
    <m/>
    <m/>
    <s v="NINGBO"/>
    <x v="3"/>
    <x v="23"/>
    <m/>
    <m/>
    <m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23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23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88"/>
    <m/>
    <m/>
    <s v="n/a"/>
    <d v="2026-06-29T00:00:00"/>
    <x v="11"/>
    <x v="84"/>
    <s v="HSM-NT48-HH465"/>
    <s v="EVO2A"/>
    <s v="±1200mm"/>
    <n v="465"/>
    <n v="0"/>
    <n v="0"/>
    <n v="0"/>
    <n v="0"/>
    <x v="23"/>
    <s v=""/>
    <s v="X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88"/>
    <m/>
    <m/>
    <s v="n/a"/>
    <d v="2026-06-29T00:00:00"/>
    <x v="11"/>
    <x v="83"/>
    <s v="HSM-NT48-HH470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88"/>
    <m/>
    <m/>
    <s v="n/a"/>
    <d v="2026-06-29T00:00:00"/>
    <x v="10"/>
    <x v="81"/>
    <s v="HSM-NT60-GH580"/>
    <s v="EVO2A"/>
    <s v="±1400mm"/>
    <n v="580"/>
    <n v="0"/>
    <n v="0"/>
    <n v="0"/>
    <n v="0"/>
    <x v="23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88"/>
    <m/>
    <m/>
    <s v="n/a"/>
    <d v="2026-06-29T00:00:00"/>
    <x v="10"/>
    <x v="87"/>
    <s v="HSM-NT60-GH585"/>
    <s v="EVO2A"/>
    <s v="±1400mm"/>
    <n v="585"/>
    <n v="0"/>
    <n v="0"/>
    <n v="0"/>
    <n v="0"/>
    <x v="23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Transparent"/>
    <s v="n/a"/>
  </r>
  <r>
    <s v="26Jun021"/>
    <s v="Tianjin"/>
    <s v="Main Line"/>
    <s v="CORE DG"/>
    <x v="3"/>
    <s v="n/a"/>
    <s v="n/a"/>
    <x v="22"/>
    <s v="n/a"/>
    <x v="188"/>
    <m/>
    <m/>
    <s v="n/a"/>
    <d v="2026-06-29T00:00:00"/>
    <x v="3"/>
    <x v="95"/>
    <s v="HSM-BD66-GR650"/>
    <s v="EVO2A"/>
    <s v="±1400mm"/>
    <n v="65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White glazing"/>
    <s v="n/a"/>
  </r>
  <r>
    <s v="26Jun022"/>
    <s v="Tianjin"/>
    <s v="Main Line"/>
    <s v="CORE DG"/>
    <x v="3"/>
    <s v="n/a"/>
    <s v="n/a"/>
    <x v="22"/>
    <s v="n/a"/>
    <x v="188"/>
    <m/>
    <m/>
    <s v="n/a"/>
    <d v="2026-06-29T00:00:00"/>
    <x v="3"/>
    <x v="82"/>
    <s v="HSM-BD66-GR655"/>
    <s v="EVO2A"/>
    <s v="±1400mm"/>
    <n v="65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88"/>
    <m/>
    <m/>
    <s v="n/a"/>
    <d v="2026-07-06T00:00:00"/>
    <x v="0"/>
    <x v="90"/>
    <s v="HSM-ND66-GK725"/>
    <s v="EVO2A"/>
    <s v="±1400mm"/>
    <n v="72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88"/>
    <m/>
    <m/>
    <s v="n/a"/>
    <d v="2026-07-06T00:00:00"/>
    <x v="0"/>
    <x v="64"/>
    <s v="HSM-ND66-GK730"/>
    <s v="EVO2A"/>
    <s v="±1400mm"/>
    <n v="73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3"/>
    <n v="594"/>
    <s v="Transparent"/>
    <s v="n/a"/>
  </r>
  <r>
    <s v="26Jun027"/>
    <s v="Yixing"/>
    <s v="Main Line"/>
    <s v="CORE DG"/>
    <x v="3"/>
    <s v="n/a"/>
    <s v="n/a"/>
    <x v="22"/>
    <s v="n/a"/>
    <x v="188"/>
    <m/>
    <m/>
    <s v="n/a"/>
    <d v="2026-06-01T00:00:00"/>
    <x v="7"/>
    <x v="111"/>
    <s v="HSM-GKA-NM720"/>
    <s v="EVO2A"/>
    <s v="+350mm/-280mm"/>
    <n v="720"/>
    <n v="594"/>
    <n v="0.42768"/>
    <n v="18"/>
    <n v="1"/>
    <x v="23"/>
    <s v=""/>
    <s v="old stock"/>
    <m/>
    <s v=""/>
    <m/>
    <m/>
    <s v="Yixing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93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2"/>
    <x v="773"/>
    <s v="CHN3654856"/>
    <n v="54"/>
    <m/>
    <d v="2026-08-31T00:00:00"/>
    <s v="-"/>
    <d v="1899-12-30T00:00:00"/>
    <n v="0"/>
    <d v="2026-08-31T00:00:00"/>
    <n v="2026"/>
    <n v="8"/>
    <n v="36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93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774"/>
    <s v="CHN3654806"/>
    <n v="54"/>
    <m/>
    <d v="2026-08-31T00:00:00"/>
    <s v="-"/>
    <d v="1899-12-30T00:00:00"/>
    <n v="0"/>
    <d v="2026-08-31T00:00:00"/>
    <n v="2026"/>
    <n v="8"/>
    <n v="36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93"/>
    <m/>
    <m/>
    <s v="Yes"/>
    <d v="2026-06-01T00:00:00"/>
    <x v="0"/>
    <x v="112"/>
    <s v="HSM-ND66-GR620"/>
    <s v="H4(Com)"/>
    <s v="±1400mm"/>
    <n v="620"/>
    <n v="720"/>
    <n v="0.44640000000000002"/>
    <n v="20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774"/>
    <s v="CHN3654806"/>
    <n v="54"/>
    <m/>
    <d v="2026-08-31T00:00:00"/>
    <s v="-"/>
    <d v="1899-12-30T00:00:00"/>
    <n v="0"/>
    <d v="2026-08-31T00:00:00"/>
    <n v="2026"/>
    <n v="8"/>
    <n v="36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x v="194"/>
    <m/>
    <m/>
    <s v="Yes"/>
    <m/>
    <x v="0"/>
    <x v="97"/>
    <s v="HSM-ND66-GR625"/>
    <s v="H4(Com)"/>
    <s v="+400mm/-200mm"/>
    <n v="625"/>
    <n v="1440"/>
    <n v="0.9"/>
    <n v="40"/>
    <n v="2"/>
    <x v="15"/>
    <s v="COMPLETED"/>
    <d v="2026-08-17T00:00:00"/>
    <d v="2026-08-18T00:00:00"/>
    <n v="34"/>
    <s v="TPVO2026080701"/>
    <m/>
    <s v="NINGBO"/>
    <x v="3"/>
    <x v="10"/>
    <d v="2026-08-24T00:00:00"/>
    <d v="2026-08-29T00:00:00"/>
    <d v="2026-08-29T00:00:00"/>
    <d v="2026-08-27T00:00:00"/>
    <d v="2026-09-03T00:00:00"/>
    <d v="2026-09-08T00:00:00"/>
    <s v="CIF"/>
    <s v="PHOENIX D/633S"/>
    <s v="OTHER"/>
    <s v="TPVO2026080701-1"/>
    <x v="775"/>
    <n v="275734828"/>
    <n v="10"/>
    <m/>
    <d v="2026-09-08T00:00:00"/>
    <s v="-"/>
    <s v=""/>
    <n v="0"/>
    <d v="2026-09-08T00:00:00"/>
    <n v="2026"/>
    <n v="9"/>
    <n v="37"/>
    <n v="36"/>
    <n v="720"/>
    <s v="Redirection Film"/>
    <s v="n/a"/>
  </r>
  <r>
    <s v="26Jul015"/>
    <s v="Yixing"/>
    <s v="Main Line"/>
    <s v="CORE DG"/>
    <x v="3"/>
    <s v="n/a"/>
    <s v="n/a"/>
    <x v="22"/>
    <s v="n/a"/>
    <x v="188"/>
    <m/>
    <m/>
    <s v="n/a"/>
    <d v="2026-08-03T00:00:00"/>
    <x v="11"/>
    <x v="94"/>
    <s v="HSM-NT48-JH470 CFP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88"/>
    <m/>
    <m/>
    <s v="n/a"/>
    <d v="2026-07-31T00:00:00"/>
    <x v="11"/>
    <x v="89"/>
    <s v="HSM-NT48-JH475 CFP"/>
    <s v="EVO2A"/>
    <s v="±1200mm"/>
    <n v="475"/>
    <n v="0"/>
    <n v="0"/>
    <n v="0"/>
    <n v="0"/>
    <x v="23"/>
    <s v=""/>
    <s v="七月31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s v="n/a"/>
    <x v="22"/>
    <s v="n/a"/>
    <x v="188"/>
    <m/>
    <m/>
    <s v="n/a"/>
    <d v="2026-07-06T00:00:00"/>
    <x v="6"/>
    <x v="21"/>
    <s v="SPR-P7-510-BLK-P"/>
    <s v="EVO2A"/>
    <s v="±1350mm"/>
    <n v="51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92"/>
    <s v="Black glazing"/>
    <s v="n/a"/>
  </r>
  <r>
    <s v="26Jul002"/>
    <s v="Yixing"/>
    <s v="Main Line"/>
    <s v="CORE DG"/>
    <x v="3"/>
    <s v="n/a"/>
    <s v="n/a"/>
    <x v="22"/>
    <s v="n/a"/>
    <x v="188"/>
    <m/>
    <m/>
    <s v="n/a"/>
    <d v="2026-07-06T00:00:00"/>
    <x v="6"/>
    <x v="69"/>
    <s v="SPR-P7-515-BLK-P"/>
    <s v="EVO2A"/>
    <s v="±1350mm"/>
    <n v="51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88"/>
    <m/>
    <m/>
    <s v="n/a"/>
    <d v="2026-07-20T00:00:00"/>
    <x v="1"/>
    <x v="6"/>
    <s v="TCL-MR465DT182-58NS"/>
    <s v="EVO2A"/>
    <s v="±1200mm"/>
    <n v="465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88"/>
    <m/>
    <m/>
    <s v="n/a"/>
    <d v="2026-07-20T00:00:00"/>
    <x v="1"/>
    <x v="39"/>
    <s v="TCL-MR470DT182-58NS"/>
    <s v="EVO2A"/>
    <s v="±1200mm"/>
    <n v="47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88"/>
    <m/>
    <m/>
    <s v="n/a"/>
    <d v="2026-07-20T00:00:00"/>
    <x v="0"/>
    <x v="7"/>
    <s v="HSM-ND48-DR450"/>
    <s v="EVO2A"/>
    <s v="±1200mm"/>
    <n v="450"/>
    <n v="0"/>
    <n v="0"/>
    <n v="0"/>
    <n v="0"/>
    <x v="23"/>
    <s v=""/>
    <s v="八月4日"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88"/>
    <m/>
    <m/>
    <s v="n/a"/>
    <d v="2026-07-20T00:00:00"/>
    <x v="0"/>
    <x v="35"/>
    <s v="HSM-ND48-DR455"/>
    <s v="EVO2A"/>
    <s v="±1200mm"/>
    <n v="455"/>
    <n v="0"/>
    <n v="0"/>
    <n v="0"/>
    <n v="0"/>
    <x v="23"/>
    <s v=""/>
    <m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x v="188"/>
    <m/>
    <m/>
    <s v="n/a"/>
    <d v="2026-07-06T00:00:00"/>
    <x v="0"/>
    <x v="0"/>
    <s v="HSM-ND54-DR500"/>
    <s v="EVO2A"/>
    <s v="±1200mm"/>
    <n v="500"/>
    <n v="0"/>
    <n v="0"/>
    <n v="0"/>
    <n v="0"/>
    <x v="23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Black glazing"/>
    <s v="n/a"/>
  </r>
  <r>
    <s v="26Jul008"/>
    <s v="Quzhou"/>
    <s v="Main Line"/>
    <s v="CORE DG"/>
    <x v="3"/>
    <s v="n/a"/>
    <s v="n/a"/>
    <x v="22"/>
    <s v="n/a"/>
    <x v="188"/>
    <m/>
    <m/>
    <s v="n/a"/>
    <d v="2026-07-06T00:00:00"/>
    <x v="0"/>
    <x v="43"/>
    <s v="HSM-ND54-DR505"/>
    <s v="EVO2A"/>
    <s v="±1200mm"/>
    <n v="505"/>
    <n v="0"/>
    <n v="0"/>
    <n v="0"/>
    <n v="0"/>
    <x v="23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3"/>
    <s v="n/a"/>
    <s v="n/a"/>
    <x v="22"/>
    <s v="n/a"/>
    <x v="188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88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88"/>
    <m/>
    <m/>
    <s v="n/a"/>
    <d v="2026-08-17T00:00:00"/>
    <x v="11"/>
    <x v="104"/>
    <s v="HSM-NT48-HH480"/>
    <s v="EVO2A"/>
    <s v="±1200mm"/>
    <n v="480"/>
    <n v="72"/>
    <n v="3.456E-2"/>
    <n v="2"/>
    <n v="7.6923076923076927E-2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88"/>
    <m/>
    <m/>
    <s v="n/a"/>
    <d v="2026-07-06T00:00:00"/>
    <x v="3"/>
    <x v="88"/>
    <s v="HSM-BD66-GR650"/>
    <s v="H4(Com)"/>
    <s v="±1400mm"/>
    <n v="650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88"/>
    <m/>
    <m/>
    <s v="n/a"/>
    <d v="2026-07-06T00:00:00"/>
    <x v="3"/>
    <x v="85"/>
    <s v="HSM-BD66-GR655"/>
    <s v="H4(Com)"/>
    <s v="±1400mm"/>
    <n v="655"/>
    <n v="0"/>
    <n v="0"/>
    <n v="0"/>
    <n v="0"/>
    <x v="23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88"/>
    <m/>
    <m/>
    <s v="n/a"/>
    <d v="2026-07-31T00:00:00"/>
    <x v="11"/>
    <x v="98"/>
    <s v="HSM-NT48-JH480 CFP"/>
    <s v="EVO2A"/>
    <s v="±1200mm"/>
    <n v="480"/>
    <n v="0"/>
    <n v="0"/>
    <n v="0"/>
    <n v="0"/>
    <x v="23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88"/>
    <m/>
    <m/>
    <s v="n/a"/>
    <d v="2026-07-27T00:00:00"/>
    <x v="3"/>
    <x v="91"/>
    <s v="HSM-BE54-DD485"/>
    <s v="EVO2A"/>
    <s v="±1200mm"/>
    <n v="485"/>
    <n v="0"/>
    <n v="0"/>
    <n v="0"/>
    <n v="0"/>
    <x v="23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3"/>
    <s v="n/a"/>
    <s v="n/a"/>
    <x v="22"/>
    <s v="n/a"/>
    <x v="188"/>
    <m/>
    <m/>
    <s v="n/a"/>
    <d v="2026-07-27T00:00:00"/>
    <x v="3"/>
    <x v="96"/>
    <s v="HSM-BE54-DD490"/>
    <s v="EVO2A"/>
    <s v="±1200mm"/>
    <n v="490"/>
    <n v="0"/>
    <n v="0"/>
    <n v="0"/>
    <n v="0"/>
    <x v="23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88"/>
    <m/>
    <m/>
    <s v="n/a"/>
    <d v="2026-07-12T00:00:00"/>
    <x v="6"/>
    <x v="21"/>
    <s v="SPR-P7-510-BLK-P"/>
    <s v="EVO2A"/>
    <s v="±1350mm"/>
    <n v="510"/>
    <n v="0"/>
    <n v="0"/>
    <n v="0"/>
    <n v="0"/>
    <x v="23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88"/>
    <m/>
    <m/>
    <s v="n/a"/>
    <d v="2026-07-12T00:00:00"/>
    <x v="6"/>
    <x v="69"/>
    <s v="SPR-P7-515-BLK-P"/>
    <s v="EVO2A"/>
    <s v="±1350mm"/>
    <n v="515"/>
    <n v="0"/>
    <n v="0"/>
    <n v="0"/>
    <n v="0"/>
    <x v="23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d v="1899-12-30T00:00:00"/>
    <n v="14"/>
    <s v="n/a"/>
    <s v="n/a"/>
    <s v="n/a"/>
    <n v="0"/>
    <n v="36"/>
    <n v="792"/>
    <s v="Black glazing"/>
    <s v="n/a"/>
  </r>
  <r>
    <s v="26Aug003"/>
    <s v="Tianjin"/>
    <s v="Main Line"/>
    <s v="CORE DG"/>
    <x v="3"/>
    <s v="n/a"/>
    <s v="n/a"/>
    <x v="22"/>
    <s v="n/a"/>
    <x v="188"/>
    <m/>
    <m/>
    <s v="n/a"/>
    <d v="2026-08-03T00:00:00"/>
    <x v="0"/>
    <x v="0"/>
    <s v="HSM-ND54-DR500"/>
    <s v="EVO2A"/>
    <s v="±1200mm"/>
    <n v="500"/>
    <n v="0"/>
    <n v="0"/>
    <n v="0"/>
    <n v="0"/>
    <x v="23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04"/>
    <s v="Tianjin"/>
    <s v="Main Line"/>
    <s v="CORE DG"/>
    <x v="3"/>
    <s v="n/a"/>
    <s v="n/a"/>
    <x v="22"/>
    <s v="n/a"/>
    <x v="188"/>
    <m/>
    <m/>
    <s v="n/a"/>
    <d v="2026-08-03T00:00:00"/>
    <x v="0"/>
    <x v="43"/>
    <s v="HSM-ND54-DR505"/>
    <s v="EVO2A"/>
    <s v="±1200mm"/>
    <n v="505"/>
    <n v="0"/>
    <n v="0"/>
    <n v="0"/>
    <n v="0"/>
    <x v="23"/>
    <s v=""/>
    <s v="八月16日"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04.1"/>
    <s v="Tianjin"/>
    <s v="26Aug004"/>
    <s v="CORE DG"/>
    <x v="3"/>
    <s v="n/a"/>
    <s v="n/a"/>
    <x v="22"/>
    <s v="n/a"/>
    <x v="188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21"/>
    <s v=""/>
    <s v="八月16日"/>
    <m/>
    <s v=""/>
    <m/>
    <m/>
    <s v="TIANJIN"/>
    <x v="0"/>
    <x v="1"/>
    <m/>
    <s v=""/>
    <s v=""/>
    <m/>
    <s v=""/>
    <s v=""/>
    <m/>
    <m/>
    <m/>
    <m/>
    <x v="296"/>
    <m/>
    <n v="0"/>
    <m/>
    <s v="n/a"/>
    <s v="-"/>
    <d v="1899-12-30T00:00:00"/>
    <n v="7"/>
    <s v="n/a"/>
    <s v="n/a"/>
    <s v="n/a"/>
    <n v="0"/>
    <n v="36"/>
    <n v="864"/>
    <s v="Black glazing"/>
    <s v="AEU"/>
  </r>
  <r>
    <s v="26Aug006"/>
    <s v="Tianjin"/>
    <s v="Main Line"/>
    <s v="CORE DG"/>
    <x v="3"/>
    <s v="n/a"/>
    <s v="n/a"/>
    <x v="22"/>
    <s v="n/a"/>
    <x v="188"/>
    <m/>
    <m/>
    <s v="n/a"/>
    <d v="2026-08-24T00:00:00"/>
    <x v="0"/>
    <x v="26"/>
    <s v="HSM-ND54-DR505 CFP"/>
    <s v="EVO2A"/>
    <s v="±1200mm"/>
    <n v="505"/>
    <n v="0"/>
    <n v="0"/>
    <n v="0"/>
    <n v="0"/>
    <x v="23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Black glazing"/>
    <s v="n/a"/>
  </r>
  <r>
    <s v="26Aug007"/>
    <s v="Quzhou"/>
    <s v="Main Line"/>
    <s v="CORE DG"/>
    <x v="3"/>
    <s v="n/a"/>
    <s v="n/a"/>
    <x v="22"/>
    <s v="n/a"/>
    <x v="188"/>
    <m/>
    <m/>
    <s v="n/a"/>
    <d v="2026-08-24T00:00:00"/>
    <x v="3"/>
    <x v="91"/>
    <s v="HSM-BE54-DD485"/>
    <s v="EVO2A"/>
    <s v="±1200mm"/>
    <n v="485"/>
    <n v="0"/>
    <n v="0"/>
    <n v="0"/>
    <n v="0"/>
    <x v="23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3"/>
    <s v="n/a"/>
    <s v="n/a"/>
    <x v="22"/>
    <s v="n/a"/>
    <x v="188"/>
    <m/>
    <m/>
    <s v="n/a"/>
    <s v="Aug"/>
    <x v="3"/>
    <x v="96"/>
    <s v="HSM-BE54-DD490"/>
    <s v="EVO2A"/>
    <s v="±1200mm"/>
    <n v="490"/>
    <n v="0"/>
    <n v="0"/>
    <n v="0"/>
    <n v="0"/>
    <x v="23"/>
    <s v=""/>
    <m/>
    <m/>
    <s v=""/>
    <m/>
    <m/>
    <s v="NINGBO"/>
    <x v="3"/>
    <x v="23"/>
    <m/>
    <s v=""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10"/>
    <s v="Yixing"/>
    <s v="Main Line"/>
    <s v="UPP"/>
    <x v="3"/>
    <s v="n/a"/>
    <s v="n/a"/>
    <x v="22"/>
    <s v="n/a"/>
    <x v="188"/>
    <m/>
    <m/>
    <s v="n/a"/>
    <m/>
    <x v="0"/>
    <x v="97"/>
    <s v="HSM-ND66-GR625"/>
    <s v="H4(Com)"/>
    <s v="+400mm/-200mm"/>
    <n v="625"/>
    <n v="0"/>
    <n v="0"/>
    <n v="0"/>
    <n v="0"/>
    <x v="23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720"/>
    <s v="Redirection Film"/>
    <s v="n/a"/>
  </r>
  <r>
    <s v="26Aug010.12"/>
    <s v="Yixing"/>
    <s v="26Aug010"/>
    <s v="UPP"/>
    <x v="3"/>
    <s v="n/a"/>
    <s v="CIF"/>
    <x v="0"/>
    <s v="U1"/>
    <x v="2"/>
    <m/>
    <m/>
    <s v="n/a"/>
    <m/>
    <x v="0"/>
    <x v="97"/>
    <s v="HSM-ND66-GR625"/>
    <s v="H4(Com)"/>
    <s v="+400mm/-200mm"/>
    <n v="625"/>
    <n v="2880"/>
    <n v="1.8"/>
    <n v="80"/>
    <n v="4"/>
    <x v="23"/>
    <s v=""/>
    <s v="ready"/>
    <m/>
    <s v=""/>
    <m/>
    <m/>
    <s v="SHANGHAI"/>
    <x v="1"/>
    <x v="23"/>
    <m/>
    <s v=""/>
    <s v=""/>
    <m/>
    <m/>
    <s v=""/>
    <m/>
    <m/>
    <m/>
    <m/>
    <x v="296"/>
    <m/>
    <n v="0"/>
    <m/>
    <d v="2026-11-15T00:00:00"/>
    <s v="-"/>
    <d v="1899-12-30T00:00:00"/>
    <n v="14"/>
    <d v="2026-11-29T00:00:00"/>
    <s v="n/a"/>
    <s v="n/a"/>
    <n v="48"/>
    <n v="36"/>
    <n v="720"/>
    <s v="Redirection Film"/>
    <s v="n/a"/>
  </r>
  <r>
    <s v="26Aug025"/>
    <s v="Yixing"/>
    <s v="Main Line"/>
    <s v="UPP"/>
    <x v="3"/>
    <s v="n/a"/>
    <s v="n/a"/>
    <x v="22"/>
    <s v="n/a"/>
    <x v="188"/>
    <m/>
    <m/>
    <s v="n/a"/>
    <m/>
    <x v="0"/>
    <x v="99"/>
    <s v="HSM-ND66-GR630"/>
    <s v="H4(Com)"/>
    <s v="+400mm/-200mm"/>
    <n v="630"/>
    <n v="0"/>
    <n v="0"/>
    <n v="0"/>
    <n v="0"/>
    <x v="23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8"/>
    <s v="Yixing"/>
    <s v="26Aug025"/>
    <s v="UPP"/>
    <x v="3"/>
    <s v="n/a"/>
    <s v="n/a"/>
    <x v="22"/>
    <s v="n/a"/>
    <x v="188"/>
    <m/>
    <m/>
    <s v="n/a"/>
    <m/>
    <x v="0"/>
    <x v="99"/>
    <s v="HSM-ND66-GR630"/>
    <s v="H4(Com)"/>
    <s v="+400mm/-200mm"/>
    <n v="630"/>
    <n v="6480"/>
    <n v="4.0823999999999998"/>
    <n v="180"/>
    <n v="9"/>
    <x v="24"/>
    <s v=""/>
    <s v="缅甸，ready"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8"/>
    <s v="DE0126080600001"/>
    <m/>
    <s v="Yes"/>
    <m/>
    <x v="3"/>
    <x v="102"/>
    <s v="HSM-BD66-GR650"/>
    <s v="H4(Com)"/>
    <s v="+400mm/-200mm"/>
    <n v="650"/>
    <n v="0"/>
    <n v="0"/>
    <n v="0"/>
    <n v="0"/>
    <x v="23"/>
    <s v=""/>
    <m/>
    <m/>
    <s v=""/>
    <m/>
    <m/>
    <s v="TIANJIN"/>
    <x v="0"/>
    <x v="1"/>
    <m/>
    <s v=""/>
    <s v=""/>
    <m/>
    <m/>
    <s v=""/>
    <m/>
    <m/>
    <m/>
    <m/>
    <x v="296"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x v="188"/>
    <m/>
    <m/>
    <s v="n/a"/>
    <d v="2026-09-20T00:00:00"/>
    <x v="6"/>
    <x v="21"/>
    <s v="SPR-P7-510-BLK-P"/>
    <s v="EVO2A"/>
    <s v="±1350mm"/>
    <n v="510"/>
    <n v="0"/>
    <n v="0"/>
    <n v="0"/>
    <n v="0"/>
    <x v="23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792"/>
    <s v="Black glazing"/>
    <s v="n/a"/>
  </r>
  <r>
    <s v="26Aug015.08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5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22T00:00:00"/>
    <s v="-"/>
    <d v="1899-12-30T00:00:00"/>
    <n v="8"/>
    <d v="2026-12-30T00:00:00"/>
    <s v="n/a"/>
    <s v="n/a"/>
    <n v="53"/>
    <n v="36"/>
    <n v="792"/>
    <s v="Black glazing"/>
    <s v="AEM"/>
  </r>
  <r>
    <s v="26Aug015.16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5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22T00:00:00"/>
    <s v="-"/>
    <d v="1899-12-30T00:00:00"/>
    <n v="8"/>
    <d v="2026-12-30T00:00:00"/>
    <s v="n/a"/>
    <s v="n/a"/>
    <n v="53"/>
    <n v="36"/>
    <n v="792"/>
    <s v="Black glazing"/>
    <s v="AEM"/>
  </r>
  <r>
    <s v="26Aug015.14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1"/>
    <s v=""/>
    <d v="2026-09-30T00:00:00"/>
    <m/>
    <s v=""/>
    <m/>
    <m/>
    <s v="NINGBO"/>
    <x v="3"/>
    <x v="0"/>
    <d v="2026-10-17T00:00:00"/>
    <s v=""/>
    <s v=""/>
    <d v="2026-12-07T00:00:00"/>
    <m/>
    <s v=""/>
    <m/>
    <s v="COSCO SHIPPING TAURUS 038W"/>
    <s v="COSCO"/>
    <s v="TPVB20261041002XT"/>
    <x v="776"/>
    <s v="COSU9510418590"/>
    <n v="51"/>
    <m/>
    <d v="2026-12-07T00:00:00"/>
    <s v="-"/>
    <d v="1899-12-30T00:00:00"/>
    <n v="8"/>
    <d v="2026-12-15T00:00:00"/>
    <s v="n/a"/>
    <s v="n/a"/>
    <n v="51"/>
    <n v="36"/>
    <n v="792"/>
    <s v="Black glazing"/>
    <s v="AEM"/>
  </r>
  <r>
    <s v="26Aug016"/>
    <s v="Yixing"/>
    <s v="Main Line"/>
    <s v="CORE DG"/>
    <x v="3"/>
    <s v="n/a"/>
    <s v="n/a"/>
    <x v="22"/>
    <s v="n/a"/>
    <x v="188"/>
    <m/>
    <m/>
    <s v="n/a"/>
    <d v="2026-09-17T00:00:00"/>
    <x v="6"/>
    <x v="69"/>
    <s v="SPR-P7-515-BLK-P"/>
    <s v="EVO2A"/>
    <s v="±1350mm"/>
    <n v="515"/>
    <n v="0"/>
    <n v="0"/>
    <n v="0"/>
    <n v="0"/>
    <x v="23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792"/>
    <s v="Black glazing"/>
    <s v="n/a"/>
  </r>
  <r>
    <s v="26Aug016.13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6"/>
    <s v=""/>
    <m/>
    <m/>
    <s v=""/>
    <m/>
    <m/>
    <s v="SHANGHAI"/>
    <x v="1"/>
    <x v="4"/>
    <m/>
    <m/>
    <m/>
    <m/>
    <m/>
    <m/>
    <m/>
    <m/>
    <m/>
    <m/>
    <x v="296"/>
    <m/>
    <n v="0"/>
    <m/>
    <d v="2026-12-29T00:00:00"/>
    <s v="-"/>
    <d v="1899-12-30T00:00:00"/>
    <n v="10"/>
    <d v="2027-01-08T00:00:00"/>
    <s v="n/a"/>
    <s v="n/a"/>
    <n v="1"/>
    <n v="36"/>
    <n v="792"/>
    <s v="Black glazing"/>
    <s v="AEM"/>
  </r>
  <r>
    <s v="26Aug017"/>
    <s v="Yixing"/>
    <s v="Main Line"/>
    <s v="CORE DG"/>
    <x v="3"/>
    <s v="n/a"/>
    <s v="n/a"/>
    <x v="22"/>
    <s v="n/a"/>
    <x v="188"/>
    <m/>
    <m/>
    <s v="n/a"/>
    <d v="2026-10-10T00:00:00"/>
    <x v="2"/>
    <x v="5"/>
    <s v="SPR-P7-555-COM-S"/>
    <s v="EVO2A"/>
    <s v="±1400mm"/>
    <n v="555"/>
    <n v="0"/>
    <n v="0"/>
    <n v="0"/>
    <n v="0"/>
    <x v="23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3"/>
    <n v="660"/>
    <s v="White glazing"/>
    <s v="n/a"/>
  </r>
  <r>
    <s v="26Aug017.03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3960"/>
    <n v="2.1978"/>
    <n v="120"/>
    <n v="6"/>
    <x v="25"/>
    <m/>
    <m/>
    <m/>
    <m/>
    <m/>
    <m/>
    <s v="SHANGHAI"/>
    <x v="1"/>
    <x v="4"/>
    <m/>
    <s v=""/>
    <s v=""/>
    <m/>
    <m/>
    <m/>
    <m/>
    <m/>
    <m/>
    <m/>
    <x v="296"/>
    <m/>
    <n v="0"/>
    <m/>
    <d v="2026-12-22T00:00:00"/>
    <s v="-"/>
    <d v="1899-12-30T00:00:00"/>
    <n v="10"/>
    <d v="2027-01-01T00:00:00"/>
    <n v="2027"/>
    <n v="1"/>
    <n v="53"/>
    <n v="33"/>
    <n v="660"/>
    <s v="White glazing"/>
    <s v="AEM"/>
  </r>
  <r>
    <s v="26Aug018"/>
    <s v="Yixing"/>
    <s v="Main Line"/>
    <s v="CORE DG"/>
    <x v="3"/>
    <s v="n/a"/>
    <s v="n/a"/>
    <x v="22"/>
    <s v="n/a"/>
    <x v="188"/>
    <m/>
    <m/>
    <s v="n/a"/>
    <d v="2026-10-03T00:00:00"/>
    <x v="2"/>
    <x v="68"/>
    <s v="SPR-P7-560-COM-S"/>
    <s v="EVO2A"/>
    <s v="±1400mm"/>
    <n v="560"/>
    <n v="0"/>
    <n v="0"/>
    <n v="0"/>
    <n v="0"/>
    <x v="23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3"/>
    <n v="660"/>
    <s v="White glazing"/>
    <s v="n/a"/>
  </r>
  <r>
    <s v="26Aug018.04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5280"/>
    <n v="2.9567999999999999"/>
    <n v="160"/>
    <n v="8"/>
    <x v="27"/>
    <m/>
    <s v="不急"/>
    <m/>
    <m/>
    <m/>
    <m/>
    <s v="SHANGHAI"/>
    <x v="1"/>
    <x v="1"/>
    <m/>
    <s v=""/>
    <s v=""/>
    <m/>
    <m/>
    <m/>
    <m/>
    <m/>
    <m/>
    <m/>
    <x v="296"/>
    <m/>
    <n v="0"/>
    <m/>
    <d v="2027-01-01T00:00:00"/>
    <s v="-"/>
    <d v="1899-12-30T00:00:00"/>
    <n v="7"/>
    <d v="2027-01-08T00:00:00"/>
    <n v="2027"/>
    <n v="1"/>
    <n v="1"/>
    <n v="33"/>
    <n v="660"/>
    <s v="White glazing"/>
    <s v="AEU"/>
  </r>
  <r>
    <s v="26Aug018.01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7"/>
    <m/>
    <m/>
    <m/>
    <m/>
    <m/>
    <m/>
    <s v="SHANGHAI"/>
    <x v="1"/>
    <x v="14"/>
    <m/>
    <s v=""/>
    <s v=""/>
    <m/>
    <m/>
    <m/>
    <m/>
    <m/>
    <m/>
    <m/>
    <x v="296"/>
    <m/>
    <n v="0"/>
    <m/>
    <d v="2027-01-05T00:00:00"/>
    <s v="-"/>
    <d v="1899-12-30T00:00:00"/>
    <n v="10"/>
    <d v="2027-01-15T00:00:00"/>
    <n v="2027"/>
    <n v="1"/>
    <n v="2"/>
    <n v="33"/>
    <n v="660"/>
    <s v="White glazing"/>
    <s v="AEM"/>
  </r>
  <r>
    <s v="26Aug018.02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6"/>
    <m/>
    <m/>
    <m/>
    <m/>
    <m/>
    <m/>
    <s v="SHANGHAI"/>
    <x v="1"/>
    <x v="4"/>
    <m/>
    <s v=""/>
    <s v=""/>
    <m/>
    <m/>
    <m/>
    <m/>
    <m/>
    <m/>
    <m/>
    <x v="296"/>
    <m/>
    <n v="0"/>
    <m/>
    <d v="2026-12-29T00:00:00"/>
    <s v="-"/>
    <d v="1899-12-30T00:00:00"/>
    <n v="10"/>
    <d v="2027-01-08T00:00:00"/>
    <n v="2027"/>
    <n v="1"/>
    <n v="1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8"/>
    <m/>
    <m/>
    <m/>
    <m/>
    <m/>
    <m/>
    <s v="SHANGHAI"/>
    <x v="1"/>
    <x v="4"/>
    <m/>
    <s v=""/>
    <s v=""/>
    <m/>
    <m/>
    <m/>
    <m/>
    <m/>
    <m/>
    <m/>
    <x v="296"/>
    <m/>
    <n v="0"/>
    <m/>
    <d v="2027-01-12T00:00:00"/>
    <s v="-"/>
    <d v="1899-12-30T00:00:00"/>
    <n v="10"/>
    <d v="2027-01-22T00:00:00"/>
    <n v="2027"/>
    <n v="1"/>
    <n v="3"/>
    <n v="33"/>
    <n v="660"/>
    <s v="White glazing"/>
    <s v="AEM"/>
  </r>
  <r>
    <s v="26Aug019"/>
    <s v="Yixing"/>
    <s v="Main Line"/>
    <s v="CORE DG"/>
    <x v="3"/>
    <s v="n/a"/>
    <s v="n/a"/>
    <x v="22"/>
    <s v="n/a"/>
    <x v="188"/>
    <m/>
    <m/>
    <s v="n/a"/>
    <d v="2026-08-04T00:00:00"/>
    <x v="1"/>
    <x v="6"/>
    <s v="TCL-MR465DT182-58NS"/>
    <s v="EVO2A"/>
    <s v="±1200mm"/>
    <n v="465"/>
    <n v="0"/>
    <n v="0"/>
    <n v="0"/>
    <n v="0"/>
    <x v="23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s v="n/a"/>
    <s v="n/a"/>
    <x v="22"/>
    <s v="n/a"/>
    <x v="188"/>
    <m/>
    <m/>
    <s v="n/a"/>
    <d v="2026-08-04T00:00:00"/>
    <x v="1"/>
    <x v="39"/>
    <s v="TCL-MR470DT182-58NS"/>
    <s v="EVO2A"/>
    <s v="±1200mm"/>
    <n v="470"/>
    <n v="0"/>
    <n v="0"/>
    <n v="0"/>
    <n v="0"/>
    <x v="23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Aug021.3"/>
    <s v="Tianjin"/>
    <s v="26Aug021"/>
    <s v="CORE DG"/>
    <x v="0"/>
    <s v="Arrival Plan-SPNL"/>
    <s v="CIF"/>
    <x v="0"/>
    <s v="U1"/>
    <x v="2"/>
    <m/>
    <m/>
    <s v="n/a"/>
    <d v="2026-09-07T00:00:00"/>
    <x v="0"/>
    <x v="0"/>
    <s v="HSM-ND54-DR500"/>
    <s v="EVO2A"/>
    <s v="±1200mm"/>
    <n v="500"/>
    <n v="6912"/>
    <n v="3.456"/>
    <n v="192"/>
    <n v="8"/>
    <x v="25"/>
    <s v=""/>
    <s v="ready"/>
    <m/>
    <s v=""/>
    <m/>
    <m/>
    <s v="TIANJIN"/>
    <x v="0"/>
    <x v="1"/>
    <m/>
    <m/>
    <m/>
    <m/>
    <m/>
    <m/>
    <m/>
    <m/>
    <m/>
    <m/>
    <x v="296"/>
    <m/>
    <n v="0"/>
    <m/>
    <d v="2027-01-08T00:00:00"/>
    <s v="-"/>
    <d v="1899-12-30T00:00:00"/>
    <n v="7"/>
    <d v="2027-01-15T00:00:00"/>
    <s v="n/a"/>
    <s v="n/a"/>
    <n v="2"/>
    <n v="36"/>
    <n v="864"/>
    <s v="Black glazing"/>
    <s v="AEU"/>
  </r>
  <r>
    <s v="26Aug021"/>
    <s v="Tianjin"/>
    <s v="Main Line"/>
    <s v="CORE DG"/>
    <x v="3"/>
    <s v="n/a"/>
    <s v="n/a"/>
    <x v="22"/>
    <s v="n/a"/>
    <x v="188"/>
    <m/>
    <m/>
    <s v="n/a"/>
    <d v="2026-09-07T00:00:00"/>
    <x v="0"/>
    <x v="0"/>
    <s v="HSM-ND54-DR500"/>
    <s v="EVO2A"/>
    <s v="±1200mm"/>
    <n v="500"/>
    <n v="5184"/>
    <n v="2.5920000000000001"/>
    <n v="144"/>
    <n v="6"/>
    <x v="23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2"/>
    <s v="Tianjin"/>
    <s v="Main Line"/>
    <s v="CORE DG"/>
    <x v="3"/>
    <s v="n/a"/>
    <s v="n/a"/>
    <x v="22"/>
    <s v="n/a"/>
    <x v="188"/>
    <m/>
    <m/>
    <s v="n/a"/>
    <d v="2026-09-07T00:00:00"/>
    <x v="0"/>
    <x v="43"/>
    <s v="HSM-ND54-DR505"/>
    <s v="EVO2A"/>
    <s v="±1200mm"/>
    <n v="505"/>
    <n v="2592"/>
    <n v="1.3089599999999999"/>
    <n v="72"/>
    <n v="3"/>
    <x v="23"/>
    <s v=""/>
    <s v="ready"/>
    <m/>
    <s v=""/>
    <m/>
    <m/>
    <s v="TIANJIN"/>
    <x v="0"/>
    <x v="23"/>
    <m/>
    <s v=""/>
    <s v=""/>
    <m/>
    <m/>
    <s v=""/>
    <m/>
    <s v="042W"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4"/>
    <s v="Tianjin"/>
    <s v="Main Line"/>
    <s v="CORE DG"/>
    <x v="3"/>
    <s v="n/a"/>
    <s v="n/a"/>
    <x v="22"/>
    <s v="n/a"/>
    <x v="188"/>
    <m/>
    <m/>
    <s v="n/a"/>
    <d v="2026-09-14T00:00:00"/>
    <x v="0"/>
    <x v="107"/>
    <s v="EVO-P-HSM-ND54-DR505"/>
    <s v="EVO2A"/>
    <s v="±1200mm"/>
    <n v="505"/>
    <n v="10368"/>
    <n v="5.2358399999999996"/>
    <n v="288"/>
    <n v="12"/>
    <x v="23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4.1.02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2592"/>
    <n v="1.3089599999999999"/>
    <n v="72"/>
    <n v="3"/>
    <x v="19"/>
    <s v=""/>
    <s v="Dec-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3456"/>
    <n v="1.7452799999999999"/>
    <n v="96"/>
    <n v="4"/>
    <x v="21"/>
    <s v=""/>
    <s v="Dec Jan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3456"/>
    <n v="1.7452799999999999"/>
    <n v="96"/>
    <n v="4"/>
    <x v="26"/>
    <s v=""/>
    <s v="Jan"/>
    <m/>
    <s v=""/>
    <m/>
    <m/>
    <s v="TIANJIN"/>
    <x v="0"/>
    <x v="6"/>
    <m/>
    <s v=""/>
    <s v=""/>
    <m/>
    <m/>
    <s v=""/>
    <m/>
    <m/>
    <m/>
    <m/>
    <x v="296"/>
    <m/>
    <n v="0"/>
    <m/>
    <d v="2027-01-08T00:00:00"/>
    <s v="-"/>
    <d v="1899-12-30T00:00:00"/>
    <n v="7"/>
    <d v="2027-01-15T00:00:00"/>
    <s v="n/a"/>
    <s v="n/a"/>
    <n v="2"/>
    <n v="36"/>
    <n v="864"/>
    <s v="Black glazing"/>
    <s v="AEU"/>
  </r>
  <r>
    <s v="26Aug024.4"/>
    <s v="Tianjin"/>
    <s v="26Aug024"/>
    <s v="CORE DG"/>
    <x v="0"/>
    <s v="Arrival Plan-SPUK"/>
    <s v="CIF"/>
    <x v="6"/>
    <s v="U2"/>
    <x v="189"/>
    <m/>
    <m/>
    <s v="n/a"/>
    <d v="2026-09-14T00:00:00"/>
    <x v="0"/>
    <x v="107"/>
    <s v="EVO-P-HSM-ND54-DR505"/>
    <s v="EVO2A"/>
    <s v="±1200mm"/>
    <n v="505"/>
    <n v="3456"/>
    <n v="1.7452799999999999"/>
    <n v="96"/>
    <n v="4"/>
    <x v="28"/>
    <s v=""/>
    <s v="Feb"/>
    <m/>
    <s v=""/>
    <m/>
    <m/>
    <s v="TIANJIN"/>
    <x v="0"/>
    <x v="6"/>
    <m/>
    <s v=""/>
    <s v=""/>
    <m/>
    <m/>
    <s v=""/>
    <m/>
    <m/>
    <m/>
    <m/>
    <x v="296"/>
    <m/>
    <n v="0"/>
    <m/>
    <d v="2027-01-22T00:00:00"/>
    <s v="-"/>
    <d v="1899-12-30T00:00:00"/>
    <n v="7"/>
    <d v="2027-01-29T00:00:00"/>
    <s v="n/a"/>
    <s v="n/a"/>
    <n v="4"/>
    <n v="36"/>
    <n v="864"/>
    <s v="Black glazing"/>
    <s v="AEU"/>
  </r>
  <r>
    <s v="26Oct001"/>
    <s v="Yixing"/>
    <s v="Main Line"/>
    <s v="CORE DG"/>
    <x v="3"/>
    <s v="n/a"/>
    <s v="n/a"/>
    <x v="22"/>
    <s v="n/a"/>
    <x v="188"/>
    <m/>
    <m/>
    <s v="n/a"/>
    <d v="2026-11-02T00:00:00"/>
    <x v="0"/>
    <x v="113"/>
    <s v="HSM-ND66-GR630"/>
    <s v="H4(Com)"/>
    <s v="±1400mm"/>
    <n v="630"/>
    <n v="12960"/>
    <n v="8.1647999999999996"/>
    <n v="360"/>
    <n v="18"/>
    <x v="23"/>
    <s v=""/>
    <m/>
    <m/>
    <s v=""/>
    <m/>
    <m/>
    <s v="SHANGHAI"/>
    <x v="1"/>
    <x v="26"/>
    <m/>
    <m/>
    <m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White glazing"/>
    <n v="0"/>
  </r>
  <r>
    <s v="26Oct002"/>
    <s v="Yixing"/>
    <s v="Main Line"/>
    <s v="CORE DG"/>
    <x v="3"/>
    <s v="n/a"/>
    <s v="n/a"/>
    <x v="22"/>
    <s v="n/a"/>
    <x v="188"/>
    <m/>
    <m/>
    <s v="n/a"/>
    <d v="2026-11-02T00:00:00"/>
    <x v="0"/>
    <x v="114"/>
    <s v="HSM-ND66-GR635"/>
    <s v="H4(Com)"/>
    <s v="±1400mm"/>
    <n v="635"/>
    <n v="2880"/>
    <n v="1.8288"/>
    <n v="80"/>
    <n v="4"/>
    <x v="23"/>
    <s v=""/>
    <m/>
    <m/>
    <s v=""/>
    <m/>
    <m/>
    <s v="SHANGHAI"/>
    <x v="1"/>
    <x v="26"/>
    <m/>
    <m/>
    <m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White glazing"/>
    <n v="0"/>
  </r>
  <r>
    <s v="26Oct003"/>
    <s v="Yixing"/>
    <s v="Main Line"/>
    <s v="CORE DG"/>
    <x v="3"/>
    <s v="n/a"/>
    <s v="n/a"/>
    <x v="22"/>
    <s v="n/a"/>
    <x v="188"/>
    <m/>
    <m/>
    <s v="n/a"/>
    <d v="2026-10-26T00:00:00"/>
    <x v="0"/>
    <x v="115"/>
    <s v="HSM-ND66-GK725"/>
    <s v="H4(Com)"/>
    <s v="±1400mm"/>
    <n v="725"/>
    <n v="35640"/>
    <n v="25.838999999999999"/>
    <n v="990"/>
    <n v="49.5"/>
    <x v="23"/>
    <s v=""/>
    <m/>
    <m/>
    <s v=""/>
    <m/>
    <m/>
    <s v="SHANGHAI"/>
    <x v="1"/>
    <x v="26"/>
    <m/>
    <m/>
    <m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Redirection Film"/>
    <n v="0"/>
  </r>
  <r>
    <s v="26Oct003.01"/>
    <s v="Yixing"/>
    <s v="26Oct003"/>
    <s v="CORE DG"/>
    <x v="0"/>
    <s v="Arrival Plan-SPES"/>
    <s v="CIF"/>
    <x v="1"/>
    <s v="U4"/>
    <x v="2"/>
    <m/>
    <m/>
    <s v="n/a"/>
    <d v="2026-10-26T00:00:00"/>
    <x v="0"/>
    <x v="115"/>
    <s v="HSM-ND66-GK725"/>
    <s v="H4(Com)"/>
    <s v="±1400mm"/>
    <n v="725"/>
    <n v="1782"/>
    <n v="1.2919499999999999"/>
    <n v="49.5"/>
    <n v="2.4750000000000001"/>
    <x v="26"/>
    <s v=""/>
    <s v="AEM2"/>
    <m/>
    <s v=""/>
    <m/>
    <m/>
    <s v="SHANGHAI"/>
    <x v="1"/>
    <x v="2"/>
    <m/>
    <m/>
    <m/>
    <m/>
    <m/>
    <m/>
    <m/>
    <m/>
    <m/>
    <m/>
    <x v="296"/>
    <m/>
    <n v="0"/>
    <m/>
    <d v="2026-12-25T00:00:00"/>
    <s v="-"/>
    <d v="1899-12-30T00:00:00"/>
    <n v="9"/>
    <d v="2027-01-03T00:00:00"/>
    <n v="2027"/>
    <n v="1"/>
    <n v="53"/>
    <n v="36"/>
    <n v="720"/>
    <s v="Redirection Film"/>
    <s v="AEM"/>
  </r>
  <r>
    <s v="26Oct003.02"/>
    <s v="Yixing"/>
    <s v="26Oct003"/>
    <s v="CORE DG"/>
    <x v="0"/>
    <s v="Arrival Plan-SPES"/>
    <s v="CIF"/>
    <x v="1"/>
    <s v="U4"/>
    <x v="2"/>
    <m/>
    <m/>
    <s v="n/a"/>
    <d v="2026-10-26T00:00:00"/>
    <x v="0"/>
    <x v="115"/>
    <s v="HSM-ND66-GK725"/>
    <s v="H4(Com)"/>
    <s v="±1400mm"/>
    <n v="725"/>
    <n v="1188"/>
    <n v="0.86129999999999995"/>
    <n v="33"/>
    <n v="1.65"/>
    <x v="25"/>
    <s v=""/>
    <s v="AEM2"/>
    <m/>
    <s v=""/>
    <m/>
    <m/>
    <s v="SHANGHAI"/>
    <x v="1"/>
    <x v="2"/>
    <m/>
    <m/>
    <m/>
    <m/>
    <m/>
    <m/>
    <m/>
    <m/>
    <m/>
    <m/>
    <x v="296"/>
    <m/>
    <n v="0"/>
    <m/>
    <d v="2026-12-18T00:00:00"/>
    <s v="-"/>
    <d v="1899-12-30T00:00:00"/>
    <n v="9"/>
    <d v="2026-12-27T00:00:00"/>
    <n v="2026"/>
    <n v="12"/>
    <n v="52"/>
    <n v="36"/>
    <n v="720"/>
    <s v="Redirection Film"/>
    <s v="AEM"/>
  </r>
  <r>
    <s v="26Oct003.03"/>
    <s v="Yixing"/>
    <s v="26Oct003"/>
    <s v="CORE DG"/>
    <x v="0"/>
    <s v="Arrival Plan-SPES"/>
    <s v="CIF"/>
    <x v="1"/>
    <s v="U2"/>
    <x v="2"/>
    <m/>
    <m/>
    <s v="n/a"/>
    <d v="2026-10-26T00:00:00"/>
    <x v="0"/>
    <x v="115"/>
    <s v="HSM-ND66-GK725"/>
    <s v="H4(Com)"/>
    <s v="±1400mm"/>
    <n v="725"/>
    <n v="1188"/>
    <n v="0.86129999999999995"/>
    <n v="33"/>
    <n v="1.65"/>
    <x v="27"/>
    <s v=""/>
    <s v="AEM2"/>
    <m/>
    <s v=""/>
    <m/>
    <m/>
    <s v="SHANGHAI"/>
    <x v="1"/>
    <x v="2"/>
    <m/>
    <m/>
    <m/>
    <m/>
    <m/>
    <m/>
    <m/>
    <m/>
    <m/>
    <m/>
    <x v="296"/>
    <m/>
    <n v="0"/>
    <m/>
    <d v="2027-01-01T00:00:00"/>
    <s v="-"/>
    <d v="1899-12-30T00:00:00"/>
    <n v="9"/>
    <d v="2027-01-10T00:00:00"/>
    <n v="2027"/>
    <n v="1"/>
    <n v="1"/>
    <n v="36"/>
    <n v="720"/>
    <s v="Redirection Film"/>
    <s v="AEM"/>
  </r>
  <r>
    <s v="26Oct003.04"/>
    <s v="Yixing"/>
    <s v="26Oct003"/>
    <s v="CORE DG"/>
    <x v="0"/>
    <s v="Arrival Plan-SPES"/>
    <s v="CIF"/>
    <x v="1"/>
    <s v="U1"/>
    <x v="2"/>
    <m/>
    <m/>
    <s v="n/a"/>
    <d v="2026-10-26T00:00:00"/>
    <x v="0"/>
    <x v="115"/>
    <s v="HSM-ND66-GK725"/>
    <s v="H4(Com)"/>
    <s v="±1400mm"/>
    <n v="725"/>
    <n v="2970"/>
    <n v="2.1532499999999999"/>
    <n v="82.5"/>
    <n v="4.125"/>
    <x v="29"/>
    <s v=""/>
    <s v="慢船即可"/>
    <m/>
    <s v=""/>
    <m/>
    <m/>
    <s v="SHANGHAI"/>
    <x v="1"/>
    <x v="2"/>
    <m/>
    <m/>
    <m/>
    <m/>
    <m/>
    <m/>
    <m/>
    <m/>
    <m/>
    <m/>
    <x v="296"/>
    <m/>
    <n v="0"/>
    <m/>
    <d v="2027-01-15T00:00:00"/>
    <s v="-"/>
    <d v="1899-12-30T00:00:00"/>
    <n v="9"/>
    <d v="2027-01-24T00:00:00"/>
    <n v="2027"/>
    <n v="1"/>
    <n v="3"/>
    <n v="36"/>
    <n v="720"/>
    <s v="Redirection Film"/>
    <s v="AEM"/>
  </r>
  <r>
    <s v="26Oct003.05"/>
    <s v="Yixing"/>
    <s v="26Oct003"/>
    <s v="CORE DG"/>
    <x v="0"/>
    <s v="Arrival Plan-SPES"/>
    <s v="CIF"/>
    <x v="1"/>
    <s v="U1"/>
    <x v="2"/>
    <m/>
    <m/>
    <s v="n/a"/>
    <d v="2026-10-26T00:00:00"/>
    <x v="0"/>
    <x v="115"/>
    <s v="HSM-ND66-GK725"/>
    <s v="H4(Com)"/>
    <s v="±1400mm"/>
    <n v="725"/>
    <n v="2970"/>
    <n v="2.1532499999999999"/>
    <n v="82.5"/>
    <n v="4.125"/>
    <x v="30"/>
    <s v=""/>
    <s v="慢船即可"/>
    <m/>
    <s v=""/>
    <m/>
    <m/>
    <s v="SHANGHAI"/>
    <x v="1"/>
    <x v="2"/>
    <m/>
    <m/>
    <m/>
    <m/>
    <m/>
    <m/>
    <m/>
    <m/>
    <m/>
    <m/>
    <x v="296"/>
    <m/>
    <n v="0"/>
    <m/>
    <d v="1899-12-30T00:00:00"/>
    <s v="-"/>
    <d v="1899-12-30T00:00:00"/>
    <n v="9"/>
    <d v="1900-01-08T00:00:00"/>
    <n v="1900"/>
    <n v="1"/>
    <n v="2"/>
    <n v="36"/>
    <n v="720"/>
    <s v="Redirection Film"/>
    <s v="AEM"/>
  </r>
  <r>
    <s v="26Oct003.06"/>
    <s v="Yixing"/>
    <s v="26Oct003"/>
    <s v="CORE DG"/>
    <x v="0"/>
    <s v="Arrival Plan-SPES"/>
    <s v="CIF"/>
    <x v="1"/>
    <s v="U1"/>
    <x v="2"/>
    <m/>
    <m/>
    <s v="n/a"/>
    <d v="2026-10-26T00:00:00"/>
    <x v="0"/>
    <x v="115"/>
    <s v="HSM-ND66-GK725"/>
    <s v="H4(Com)"/>
    <s v="±1400mm"/>
    <n v="725"/>
    <n v="2376"/>
    <n v="1.7225999999999999"/>
    <n v="66"/>
    <n v="3.3"/>
    <x v="31"/>
    <s v=""/>
    <s v="慢船即可"/>
    <m/>
    <s v=""/>
    <m/>
    <m/>
    <s v="SHANGHAI"/>
    <x v="1"/>
    <x v="2"/>
    <m/>
    <m/>
    <m/>
    <m/>
    <m/>
    <m/>
    <m/>
    <m/>
    <m/>
    <m/>
    <x v="296"/>
    <m/>
    <n v="0"/>
    <m/>
    <d v="2027-02-05T00:00:00"/>
    <s v="-"/>
    <d v="1899-12-30T00:00:00"/>
    <n v="9"/>
    <d v="2027-02-14T00:00:00"/>
    <n v="2027"/>
    <n v="2"/>
    <n v="6"/>
    <n v="36"/>
    <n v="720"/>
    <s v="Redirection Film"/>
    <s v="AEM"/>
  </r>
  <r>
    <s v="26Oct004"/>
    <s v="Yixing"/>
    <s v="Main Line"/>
    <s v="CORE DG"/>
    <x v="3"/>
    <s v="n/a"/>
    <s v="n/a"/>
    <x v="22"/>
    <s v="n/a"/>
    <x v="188"/>
    <m/>
    <m/>
    <s v="n/a"/>
    <d v="2026-10-26T00:00:00"/>
    <x v="0"/>
    <x v="116"/>
    <s v="HSM-ND66-GK730"/>
    <s v="H4(Com)"/>
    <s v="±1400mm"/>
    <n v="730"/>
    <n v="33858"/>
    <n v="24.716339999999999"/>
    <n v="940.5"/>
    <n v="47.024999999999999"/>
    <x v="23"/>
    <s v=""/>
    <m/>
    <m/>
    <s v=""/>
    <m/>
    <m/>
    <s v="SHANGHAI"/>
    <x v="1"/>
    <x v="26"/>
    <m/>
    <m/>
    <m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Redirection Film"/>
    <n v="0"/>
  </r>
  <r>
    <s v="26Oct004.01"/>
    <s v="Yixing"/>
    <s v="26Oct004"/>
    <s v="CORE DG"/>
    <x v="0"/>
    <s v="Arrival Plan-SPES"/>
    <s v="CIF"/>
    <x v="1"/>
    <s v="U4"/>
    <x v="2"/>
    <m/>
    <m/>
    <s v="n/a"/>
    <d v="2026-10-26T00:00:00"/>
    <x v="0"/>
    <x v="116"/>
    <s v="HSM-ND66-GK730"/>
    <s v="H4(Com)"/>
    <s v="±1400mm"/>
    <n v="730"/>
    <n v="594"/>
    <n v="0.43362000000000001"/>
    <n v="16.5"/>
    <n v="0.82499999999999996"/>
    <x v="25"/>
    <s v=""/>
    <s v="AEM2"/>
    <m/>
    <s v=""/>
    <m/>
    <m/>
    <s v="SHANGHAI"/>
    <x v="3"/>
    <x v="2"/>
    <m/>
    <m/>
    <m/>
    <m/>
    <m/>
    <m/>
    <m/>
    <m/>
    <m/>
    <m/>
    <x v="296"/>
    <m/>
    <n v="0"/>
    <m/>
    <d v="2026-12-18T00:00:00"/>
    <s v="-"/>
    <d v="1899-12-30T00:00:00"/>
    <n v="9"/>
    <d v="2026-12-27T00:00:00"/>
    <n v="2026"/>
    <n v="12"/>
    <n v="52"/>
    <n v="36"/>
    <n v="720"/>
    <s v="Redirection Film"/>
    <s v="AEM"/>
  </r>
  <r>
    <s v="26Oct004.02"/>
    <s v="Yixing"/>
    <s v="26Oct004"/>
    <s v="CORE DG"/>
    <x v="0"/>
    <s v="Arrival Plan-SPES"/>
    <s v="CIF"/>
    <x v="1"/>
    <s v="U4"/>
    <x v="2"/>
    <m/>
    <m/>
    <s v="n/a"/>
    <d v="2026-10-26T00:00:00"/>
    <x v="0"/>
    <x v="116"/>
    <s v="HSM-ND66-GK730"/>
    <s v="H4(Com)"/>
    <s v="±1400mm"/>
    <n v="730"/>
    <n v="1188"/>
    <n v="0.86724000000000001"/>
    <n v="33"/>
    <n v="1.65"/>
    <x v="26"/>
    <s v=""/>
    <s v="AEM2"/>
    <m/>
    <s v=""/>
    <m/>
    <m/>
    <s v="SHANGHAI"/>
    <x v="1"/>
    <x v="2"/>
    <m/>
    <m/>
    <m/>
    <m/>
    <m/>
    <m/>
    <m/>
    <m/>
    <m/>
    <m/>
    <x v="296"/>
    <m/>
    <n v="0"/>
    <m/>
    <d v="2026-12-25T00:00:00"/>
    <s v="-"/>
    <d v="1899-12-30T00:00:00"/>
    <n v="9"/>
    <d v="2027-01-03T00:00:00"/>
    <n v="2027"/>
    <n v="1"/>
    <n v="53"/>
    <n v="36"/>
    <n v="720"/>
    <s v="Redirection Film"/>
    <s v="AEM"/>
  </r>
  <r>
    <s v="26Oct004.03"/>
    <s v="Yixing"/>
    <s v="26Oct004"/>
    <s v="CORE DG"/>
    <x v="0"/>
    <s v="Arrival Plan-SPES"/>
    <s v="CIF"/>
    <x v="1"/>
    <s v="U4"/>
    <x v="2"/>
    <m/>
    <m/>
    <s v="n/a"/>
    <d v="2026-10-26T00:00:00"/>
    <x v="0"/>
    <x v="116"/>
    <s v="HSM-ND66-GK730"/>
    <s v="H4(Com)"/>
    <s v="±1400mm"/>
    <n v="730"/>
    <n v="1782"/>
    <n v="1.3008599999999999"/>
    <n v="49.5"/>
    <n v="2.4750000000000001"/>
    <x v="26"/>
    <s v=""/>
    <s v="AEM2"/>
    <m/>
    <s v=""/>
    <m/>
    <m/>
    <s v="SHANGHAI"/>
    <x v="1"/>
    <x v="2"/>
    <m/>
    <m/>
    <m/>
    <m/>
    <m/>
    <m/>
    <m/>
    <m/>
    <m/>
    <m/>
    <x v="296"/>
    <m/>
    <n v="0"/>
    <m/>
    <d v="2026-12-25T00:00:00"/>
    <s v="-"/>
    <d v="1899-12-30T00:00:00"/>
    <n v="9"/>
    <d v="2027-01-03T00:00:00"/>
    <n v="2027"/>
    <n v="1"/>
    <n v="53"/>
    <n v="36"/>
    <n v="720"/>
    <s v="Redirection Film"/>
    <s v="AEM"/>
  </r>
  <r>
    <s v="26Oct004.04"/>
    <s v="Yixing"/>
    <s v="26Oct004"/>
    <s v="CORE DG"/>
    <x v="0"/>
    <s v="Arrival Plan-SPES"/>
    <s v="CIF"/>
    <x v="1"/>
    <s v="U1"/>
    <x v="2"/>
    <m/>
    <m/>
    <s v="n/a"/>
    <d v="2026-10-26T00:00:00"/>
    <x v="0"/>
    <x v="116"/>
    <s v="HSM-ND66-GK730"/>
    <s v="H4(Com)"/>
    <s v="±1400mm"/>
    <n v="730"/>
    <n v="1782"/>
    <n v="1.3008599999999999"/>
    <n v="49.5"/>
    <n v="2.4750000000000001"/>
    <x v="27"/>
    <s v=""/>
    <s v="AEM2"/>
    <m/>
    <s v=""/>
    <m/>
    <m/>
    <s v="SHANGHAI"/>
    <x v="1"/>
    <x v="2"/>
    <m/>
    <m/>
    <m/>
    <m/>
    <m/>
    <m/>
    <m/>
    <m/>
    <m/>
    <m/>
    <x v="296"/>
    <m/>
    <n v="0"/>
    <m/>
    <d v="2027-01-01T00:00:00"/>
    <s v="-"/>
    <d v="1899-12-30T00:00:00"/>
    <n v="9"/>
    <d v="2027-01-10T00:00:00"/>
    <n v="2027"/>
    <n v="1"/>
    <n v="1"/>
    <n v="36"/>
    <n v="720"/>
    <s v="Redirection Film"/>
    <s v="AEM"/>
  </r>
  <r>
    <s v="26Oct004.05"/>
    <s v="Yixing"/>
    <s v="26Oct004"/>
    <s v="CORE DG"/>
    <x v="0"/>
    <s v="Arrival Plan-SPES"/>
    <s v="CIF"/>
    <x v="1"/>
    <s v="U1"/>
    <x v="2"/>
    <m/>
    <m/>
    <s v="n/a"/>
    <d v="2026-10-26T00:00:00"/>
    <x v="0"/>
    <x v="116"/>
    <s v="HSM-ND66-GK730"/>
    <s v="H4(Com)"/>
    <s v="±1400mm"/>
    <n v="730"/>
    <n v="2970"/>
    <n v="2.1680999999999999"/>
    <n v="82.5"/>
    <n v="4.125"/>
    <x v="27"/>
    <s v=""/>
    <s v="慢船即可"/>
    <m/>
    <s v=""/>
    <m/>
    <m/>
    <s v="SHANGHAI"/>
    <x v="1"/>
    <x v="2"/>
    <m/>
    <m/>
    <m/>
    <m/>
    <m/>
    <m/>
    <m/>
    <m/>
    <m/>
    <m/>
    <x v="296"/>
    <m/>
    <n v="0"/>
    <m/>
    <d v="2027-01-01T00:00:00"/>
    <s v="-"/>
    <d v="1899-12-30T00:00:00"/>
    <n v="9"/>
    <d v="2027-01-10T00:00:00"/>
    <n v="2027"/>
    <n v="1"/>
    <n v="1"/>
    <n v="36"/>
    <n v="720"/>
    <s v="Redirection Film"/>
    <s v="AEM"/>
  </r>
  <r>
    <s v="26Oct004.06"/>
    <s v="Yixing"/>
    <s v="26Oct004"/>
    <s v="CORE DG"/>
    <x v="0"/>
    <s v="Arrival Plan-SPES"/>
    <s v="CIF"/>
    <x v="1"/>
    <s v="U1"/>
    <x v="2"/>
    <m/>
    <m/>
    <s v="n/a"/>
    <d v="2026-10-26T00:00:00"/>
    <x v="0"/>
    <x v="116"/>
    <s v="HSM-ND66-GK730"/>
    <s v="H4(Com)"/>
    <s v="±1400mm"/>
    <n v="730"/>
    <n v="2970"/>
    <n v="2.1680999999999999"/>
    <n v="82.5"/>
    <n v="4.125"/>
    <x v="32"/>
    <s v=""/>
    <s v="慢船即可"/>
    <m/>
    <s v=""/>
    <m/>
    <m/>
    <s v="SHANGHAI"/>
    <x v="1"/>
    <x v="2"/>
    <m/>
    <m/>
    <m/>
    <m/>
    <m/>
    <m/>
    <m/>
    <m/>
    <m/>
    <m/>
    <x v="296"/>
    <m/>
    <n v="0"/>
    <m/>
    <d v="2027-01-22T00:00:00"/>
    <s v="-"/>
    <d v="1899-12-30T00:00:00"/>
    <n v="9"/>
    <d v="2027-01-31T00:00:00"/>
    <n v="2027"/>
    <n v="1"/>
    <n v="4"/>
    <n v="36"/>
    <n v="720"/>
    <s v="Redirection Film"/>
    <s v="AEM"/>
  </r>
  <r>
    <s v="26Oct004.07"/>
    <s v="Yixing"/>
    <s v="26Oct004"/>
    <s v="CORE DG"/>
    <x v="0"/>
    <s v="Arrival Plan-SPES"/>
    <s v="CIF"/>
    <x v="1"/>
    <s v="U1"/>
    <x v="2"/>
    <m/>
    <m/>
    <s v="n/a"/>
    <d v="2026-10-26T00:00:00"/>
    <x v="0"/>
    <x v="116"/>
    <s v="HSM-ND66-GK730"/>
    <s v="H4(Com)"/>
    <s v="±1400mm"/>
    <n v="730"/>
    <n v="2970"/>
    <n v="2.1680999999999999"/>
    <n v="82.5"/>
    <n v="4.125"/>
    <x v="33"/>
    <s v=""/>
    <s v="慢船即可"/>
    <m/>
    <s v=""/>
    <m/>
    <m/>
    <s v="SHANGHAI"/>
    <x v="1"/>
    <x v="2"/>
    <m/>
    <m/>
    <m/>
    <m/>
    <m/>
    <m/>
    <m/>
    <m/>
    <m/>
    <m/>
    <x v="296"/>
    <m/>
    <n v="0"/>
    <m/>
    <d v="2027-02-12T00:00:00"/>
    <s v="-"/>
    <d v="1899-12-30T00:00:00"/>
    <n v="9"/>
    <d v="2027-02-21T00:00:00"/>
    <n v="2027"/>
    <n v="2"/>
    <n v="7"/>
    <n v="36"/>
    <n v="720"/>
    <s v="Redirection Film"/>
    <s v="AEM"/>
  </r>
  <r>
    <s v="26Oct005"/>
    <s v="Tianjin"/>
    <s v="Main Line"/>
    <s v="CORE DG"/>
    <x v="3"/>
    <s v="n/a"/>
    <s v="n/a"/>
    <x v="22"/>
    <s v="n/a"/>
    <x v="188"/>
    <m/>
    <m/>
    <s v="n/a"/>
    <d v="2026-10-22T00:00:00"/>
    <x v="0"/>
    <x v="0"/>
    <s v="HSM-ND54-DR500"/>
    <s v="EVO2A"/>
    <s v="±1200mm"/>
    <n v="500"/>
    <n v="23328"/>
    <n v="11.664"/>
    <n v="648"/>
    <n v="27"/>
    <x v="23"/>
    <s v=""/>
    <m/>
    <m/>
    <s v=""/>
    <m/>
    <m/>
    <s v="TIANJIN"/>
    <x v="0"/>
    <x v="26"/>
    <m/>
    <m/>
    <m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Black glazing"/>
    <n v="0"/>
  </r>
  <r>
    <s v="26Oct006"/>
    <s v="Tianjin"/>
    <s v="Main Line"/>
    <s v="CORE DG"/>
    <x v="3"/>
    <s v="n/a"/>
    <s v="n/a"/>
    <x v="22"/>
    <s v="n/a"/>
    <x v="188"/>
    <m/>
    <m/>
    <s v="n/a"/>
    <d v="2026-10-22T00:00:00"/>
    <x v="0"/>
    <x v="43"/>
    <s v="HSM-ND54-DR505"/>
    <s v="EVO2A"/>
    <s v="±1200mm"/>
    <n v="505"/>
    <n v="16416"/>
    <n v="8.2900799999999997"/>
    <n v="456"/>
    <n v="19"/>
    <x v="23"/>
    <s v=""/>
    <m/>
    <m/>
    <s v=""/>
    <m/>
    <m/>
    <s v="TIANJIN"/>
    <x v="0"/>
    <x v="26"/>
    <m/>
    <m/>
    <m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Black glazing"/>
    <n v="0"/>
  </r>
  <r>
    <s v="26Oct007"/>
    <s v="Quzhou"/>
    <s v="Main Line"/>
    <s v="CORE DG"/>
    <x v="3"/>
    <s v="n/a"/>
    <s v="n/a"/>
    <x v="22"/>
    <s v="n/a"/>
    <x v="188"/>
    <m/>
    <m/>
    <s v="n/a"/>
    <m/>
    <x v="3"/>
    <x v="108"/>
    <s v="SPR-BE54-DD490"/>
    <s v="EVO2A"/>
    <s v="±1200mm"/>
    <n v="490"/>
    <n v="0"/>
    <n v="0"/>
    <n v="0"/>
    <n v="0"/>
    <x v="23"/>
    <s v=""/>
    <m/>
    <m/>
    <s v=""/>
    <m/>
    <m/>
    <s v="SHANGHAI"/>
    <x v="1"/>
    <x v="23"/>
    <m/>
    <m/>
    <m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Oct007.02"/>
    <s v="Quzhou"/>
    <s v="26Oct007"/>
    <s v="CORE DG"/>
    <x v="0"/>
    <s v="Arrival Plan-SPNL"/>
    <s v="CIF"/>
    <x v="0"/>
    <s v="U2"/>
    <x v="2"/>
    <m/>
    <m/>
    <s v="n/a"/>
    <m/>
    <x v="3"/>
    <x v="108"/>
    <s v="SPR-BE54-DD490"/>
    <s v="EVO2A"/>
    <s v="±1200mm"/>
    <n v="490"/>
    <n v="3744"/>
    <n v="1.83456"/>
    <n v="104"/>
    <n v="4"/>
    <x v="25"/>
    <s v=""/>
    <m/>
    <m/>
    <s v=""/>
    <m/>
    <m/>
    <s v="SHANGHAI"/>
    <x v="1"/>
    <x v="1"/>
    <m/>
    <m/>
    <m/>
    <m/>
    <m/>
    <m/>
    <m/>
    <m/>
    <m/>
    <m/>
    <x v="296"/>
    <m/>
    <n v="0"/>
    <m/>
    <d v="2026-12-18T00:00:00"/>
    <s v="-"/>
    <d v="1899-12-30T00:00:00"/>
    <n v="7"/>
    <d v="2026-12-25T00:00:00"/>
    <n v="2026"/>
    <n v="12"/>
    <n v="52"/>
    <n v="36"/>
    <n v="936"/>
    <s v="Black glazing"/>
    <s v="AEU"/>
  </r>
  <r>
    <s v="26Oct007.07"/>
    <s v="Quzhou"/>
    <s v="26Oct007"/>
    <s v="CORE DG"/>
    <x v="1"/>
    <s v="SPTN Offstore in Transit WH"/>
    <s v="CIF"/>
    <x v="8"/>
    <s v="U3"/>
    <x v="25"/>
    <s v="IE0126082700021"/>
    <n v="1"/>
    <s v="No - GTG"/>
    <m/>
    <x v="3"/>
    <x v="108"/>
    <s v="SPR-BE54-DD490"/>
    <s v="EVO2A"/>
    <s v="±1200mm"/>
    <n v="490"/>
    <n v="9360"/>
    <n v="4.5864000000000003"/>
    <n v="260"/>
    <n v="10"/>
    <x v="25"/>
    <s v=""/>
    <m/>
    <m/>
    <s v=""/>
    <m/>
    <m/>
    <s v="SHANGHAI"/>
    <x v="1"/>
    <x v="8"/>
    <m/>
    <m/>
    <m/>
    <m/>
    <m/>
    <m/>
    <m/>
    <m/>
    <m/>
    <m/>
    <x v="296"/>
    <m/>
    <n v="0"/>
    <m/>
    <d v="2026-12-18T00:00:00"/>
    <s v="-"/>
    <d v="1899-12-30T00:00:00"/>
    <n v="0"/>
    <d v="2026-12-18T00:00:00"/>
    <n v="2026"/>
    <n v="12"/>
    <n v="51"/>
    <n v="36"/>
    <n v="936"/>
    <s v="Black glazing"/>
    <s v="AEU"/>
  </r>
  <r>
    <s v="26Oct009"/>
    <s v="Quzhou"/>
    <s v="Main Line"/>
    <s v="CORE DG"/>
    <x v="3"/>
    <s v="n/a"/>
    <m/>
    <x v="38"/>
    <m/>
    <x v="164"/>
    <m/>
    <m/>
    <m/>
    <m/>
    <x v="3"/>
    <x v="91"/>
    <s v="HSM-BE54-DD485"/>
    <s v="EVO2A"/>
    <s v="±1200mm"/>
    <n v="485"/>
    <n v="99216"/>
    <n v="48.119759999999999"/>
    <n v="2756"/>
    <n v="106"/>
    <x v="23"/>
    <s v=""/>
    <m/>
    <m/>
    <s v=""/>
    <m/>
    <m/>
    <s v="SHANGHAI"/>
    <x v="1"/>
    <x v="23"/>
    <m/>
    <m/>
    <m/>
    <m/>
    <m/>
    <m/>
    <m/>
    <m/>
    <m/>
    <m/>
    <x v="296"/>
    <m/>
    <n v="0"/>
    <m/>
    <d v="2026-11-15T00:00:00"/>
    <s v="-"/>
    <d v="1899-12-30T00:00:00"/>
    <n v="14"/>
    <d v="2026-11-29T00:00:00"/>
    <n v="2026"/>
    <n v="11"/>
    <n v="48"/>
    <n v="36"/>
    <n v="936"/>
    <s v="Black glazing"/>
    <s v="n/a"/>
  </r>
  <r>
    <s v="26Oct009.13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4680"/>
    <n v="2.2698"/>
    <n v="130"/>
    <n v="5"/>
    <x v="25"/>
    <s v=""/>
    <m/>
    <m/>
    <s v=""/>
    <m/>
    <m/>
    <s v="SHANGHAI"/>
    <x v="3"/>
    <x v="1"/>
    <m/>
    <m/>
    <m/>
    <m/>
    <m/>
    <m/>
    <m/>
    <m/>
    <m/>
    <m/>
    <x v="296"/>
    <m/>
    <n v="0"/>
    <m/>
    <d v="2026-12-18T00:00:00"/>
    <s v="-"/>
    <d v="1899-12-30T00:00:00"/>
    <n v="7"/>
    <d v="2026-12-25T00:00:00"/>
    <n v="2026"/>
    <n v="12"/>
    <n v="52"/>
    <n v="36"/>
    <n v="936"/>
    <s v="Black glazing"/>
    <s v="AEU"/>
  </r>
  <r>
    <s v="26Oct009.14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2808"/>
    <n v="1.36188"/>
    <n v="78"/>
    <n v="3"/>
    <x v="25"/>
    <s v=""/>
    <m/>
    <m/>
    <s v=""/>
    <m/>
    <m/>
    <s v="SHANGHAI"/>
    <x v="3"/>
    <x v="1"/>
    <m/>
    <m/>
    <m/>
    <m/>
    <m/>
    <m/>
    <m/>
    <m/>
    <m/>
    <m/>
    <x v="296"/>
    <m/>
    <n v="0"/>
    <m/>
    <d v="2026-12-18T00:00:00"/>
    <s v="-"/>
    <d v="1899-12-30T00:00:00"/>
    <n v="7"/>
    <d v="2026-12-25T00:00:00"/>
    <n v="2026"/>
    <n v="12"/>
    <n v="52"/>
    <n v="36"/>
    <n v="936"/>
    <s v="Black glazing"/>
    <s v="AEU"/>
  </r>
  <r>
    <s v="26Oct009.03"/>
    <s v="Quzhou"/>
    <s v="26Oct009"/>
    <s v="CORE DG"/>
    <x v="0"/>
    <s v="Arrival Plan-SPNL"/>
    <s v="CIF"/>
    <x v="0"/>
    <s v="U2"/>
    <x v="2"/>
    <m/>
    <m/>
    <s v="n/a"/>
    <m/>
    <x v="3"/>
    <x v="91"/>
    <s v="HSM-BE54-DD485"/>
    <s v="EVO2A"/>
    <s v="±1200mm"/>
    <n v="485"/>
    <n v="10296"/>
    <n v="4.9935600000000004"/>
    <n v="286"/>
    <n v="11"/>
    <x v="25"/>
    <s v=""/>
    <m/>
    <m/>
    <s v=""/>
    <m/>
    <m/>
    <s v="SHANGHAI"/>
    <x v="1"/>
    <x v="1"/>
    <m/>
    <m/>
    <m/>
    <m/>
    <m/>
    <m/>
    <m/>
    <m/>
    <m/>
    <m/>
    <x v="296"/>
    <m/>
    <n v="0"/>
    <m/>
    <d v="2026-12-18T00:00:00"/>
    <s v="-"/>
    <d v="1899-12-30T00:00:00"/>
    <n v="7"/>
    <d v="2026-12-25T00:00:00"/>
    <n v="2026"/>
    <n v="12"/>
    <n v="52"/>
    <n v="36"/>
    <n v="936"/>
    <s v="Black glazing"/>
    <s v="AEU"/>
  </r>
  <r>
    <s v="26Oct009.04"/>
    <s v="Quzhou"/>
    <s v="26Oct009"/>
    <s v="CORE DG"/>
    <x v="0"/>
    <s v="Arrival Plan-SPNL"/>
    <s v="CIF"/>
    <x v="0"/>
    <s v="U2"/>
    <x v="2"/>
    <m/>
    <m/>
    <s v="n/a"/>
    <m/>
    <x v="3"/>
    <x v="91"/>
    <s v="HSM-BE54-DD485"/>
    <s v="EVO2A"/>
    <s v="±1200mm"/>
    <n v="485"/>
    <n v="7488"/>
    <n v="3.6316799999999998"/>
    <n v="208"/>
    <n v="8"/>
    <x v="25"/>
    <s v=""/>
    <m/>
    <m/>
    <s v=""/>
    <m/>
    <m/>
    <s v="SHANGHAI"/>
    <x v="1"/>
    <x v="1"/>
    <m/>
    <m/>
    <m/>
    <m/>
    <m/>
    <m/>
    <m/>
    <m/>
    <m/>
    <m/>
    <x v="296"/>
    <m/>
    <n v="0"/>
    <m/>
    <d v="2026-12-18T00:00:00"/>
    <s v="-"/>
    <d v="1899-12-30T00:00:00"/>
    <n v="7"/>
    <d v="2026-12-25T00:00:00"/>
    <n v="2026"/>
    <n v="12"/>
    <n v="52"/>
    <n v="36"/>
    <n v="936"/>
    <s v="Black glazing"/>
    <s v="AEU"/>
  </r>
  <r>
    <s v="26Oct009.05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10296"/>
    <n v="4.9935600000000004"/>
    <n v="286"/>
    <n v="11"/>
    <x v="26"/>
    <s v=""/>
    <m/>
    <m/>
    <s v=""/>
    <m/>
    <m/>
    <s v="SHANGHAI"/>
    <x v="1"/>
    <x v="1"/>
    <m/>
    <m/>
    <m/>
    <m/>
    <m/>
    <m/>
    <m/>
    <m/>
    <m/>
    <m/>
    <x v="296"/>
    <m/>
    <n v="0"/>
    <m/>
    <d v="2026-12-25T00:00:00"/>
    <s v="-"/>
    <d v="1899-12-30T00:00:00"/>
    <n v="7"/>
    <d v="2027-01-01T00:00:00"/>
    <n v="2027"/>
    <n v="1"/>
    <n v="53"/>
    <n v="36"/>
    <n v="936"/>
    <s v="Black glazing"/>
    <s v="AEU"/>
  </r>
  <r>
    <s v="26Oct009.06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4680"/>
    <n v="2.2698"/>
    <n v="130"/>
    <n v="5"/>
    <x v="26"/>
    <s v=""/>
    <m/>
    <m/>
    <s v=""/>
    <m/>
    <m/>
    <s v="SHANGHAI"/>
    <x v="3"/>
    <x v="1"/>
    <m/>
    <m/>
    <m/>
    <m/>
    <m/>
    <m/>
    <m/>
    <m/>
    <m/>
    <m/>
    <x v="296"/>
    <m/>
    <n v="0"/>
    <m/>
    <d v="2026-12-25T00:00:00"/>
    <s v="-"/>
    <d v="1899-12-30T00:00:00"/>
    <n v="7"/>
    <d v="2027-01-01T00:00:00"/>
    <n v="2027"/>
    <n v="1"/>
    <n v="53"/>
    <n v="36"/>
    <n v="936"/>
    <s v="Black glazing"/>
    <s v="AEU"/>
  </r>
  <r>
    <s v="26Oct010"/>
    <s v="Quzhou"/>
    <s v="Main Line"/>
    <s v="CORE DG"/>
    <x v="3"/>
    <s v="n/a"/>
    <s v="n/a"/>
    <x v="22"/>
    <s v="n/a"/>
    <x v="188"/>
    <m/>
    <m/>
    <s v="n/a"/>
    <m/>
    <x v="3"/>
    <x v="96"/>
    <s v="HSM-BE54-DD490"/>
    <s v="EVO2A"/>
    <s v="±1200mm"/>
    <n v="490"/>
    <n v="936"/>
    <n v="0.45863999999999999"/>
    <n v="26"/>
    <n v="1"/>
    <x v="23"/>
    <s v=""/>
    <m/>
    <m/>
    <s v=""/>
    <m/>
    <m/>
    <s v="SHANGHAI"/>
    <x v="1"/>
    <x v="23"/>
    <m/>
    <m/>
    <m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Oct010.3"/>
    <s v="Quzhou"/>
    <s v="26Oct010"/>
    <s v="CORE DG"/>
    <x v="0"/>
    <s v="Arrival Plan-SPUK"/>
    <s v="CIF"/>
    <x v="6"/>
    <s v="U4"/>
    <x v="2"/>
    <m/>
    <m/>
    <s v="n/a"/>
    <m/>
    <x v="3"/>
    <x v="96"/>
    <s v="HSM-BE54-DD490"/>
    <s v="EVO2A"/>
    <s v="±1200mm"/>
    <n v="490"/>
    <n v="2808"/>
    <n v="1.37592"/>
    <n v="78"/>
    <n v="3"/>
    <x v="26"/>
    <s v=""/>
    <m/>
    <m/>
    <s v=""/>
    <m/>
    <m/>
    <s v="SHANGHAI"/>
    <x v="1"/>
    <x v="6"/>
    <m/>
    <m/>
    <m/>
    <m/>
    <m/>
    <m/>
    <m/>
    <m/>
    <m/>
    <m/>
    <x v="296"/>
    <m/>
    <n v="0"/>
    <m/>
    <d v="2026-12-25T00:00:00"/>
    <s v="-"/>
    <d v="1899-12-30T00:00:00"/>
    <n v="7"/>
    <d v="2027-01-01T00:00:00"/>
    <n v="2027"/>
    <n v="1"/>
    <n v="53"/>
    <n v="36"/>
    <n v="936"/>
    <s v="Black glazing"/>
    <s v="AEU"/>
  </r>
  <r>
    <s v="26Oct010.4"/>
    <s v="Quzhou"/>
    <s v="26Oct010"/>
    <s v="CORE DG"/>
    <x v="0"/>
    <s v="Arrival Plan-SPNL"/>
    <s v="CIF"/>
    <x v="0"/>
    <s v="U4"/>
    <x v="2"/>
    <m/>
    <m/>
    <s v="n/a"/>
    <m/>
    <x v="3"/>
    <x v="96"/>
    <s v="HSM-BE54-DD490"/>
    <s v="EVO2A"/>
    <s v="±1200mm"/>
    <n v="490"/>
    <n v="4680"/>
    <n v="2.2932000000000001"/>
    <n v="130"/>
    <n v="5"/>
    <x v="26"/>
    <s v=""/>
    <m/>
    <m/>
    <s v=""/>
    <m/>
    <m/>
    <s v="SHANGHAI"/>
    <x v="1"/>
    <x v="1"/>
    <m/>
    <m/>
    <m/>
    <m/>
    <m/>
    <m/>
    <m/>
    <m/>
    <m/>
    <m/>
    <x v="296"/>
    <m/>
    <n v="0"/>
    <m/>
    <d v="2026-12-25T00:00:00"/>
    <s v="-"/>
    <d v="1899-12-30T00:00:00"/>
    <n v="7"/>
    <d v="2027-01-01T00:00:00"/>
    <n v="2027"/>
    <n v="1"/>
    <n v="53"/>
    <n v="36"/>
    <n v="936"/>
    <s v="Black glazing"/>
    <s v="AEU"/>
  </r>
  <r>
    <s v="26Oct012"/>
    <s v="Yixing"/>
    <s v="Main Line"/>
    <s v="CORE DG"/>
    <x v="3"/>
    <s v="n/a"/>
    <s v="n/a"/>
    <x v="22"/>
    <s v="n/a"/>
    <x v="188"/>
    <m/>
    <m/>
    <s v="n/a"/>
    <d v="2026-10-26T00:00:00"/>
    <x v="11"/>
    <x v="104"/>
    <s v="HSM-NT48-HH480"/>
    <s v="EVO2A"/>
    <s v="±1200mm"/>
    <n v="480"/>
    <n v="3744"/>
    <n v="1.7971200000000001"/>
    <n v="104"/>
    <n v="4"/>
    <x v="23"/>
    <s v=""/>
    <m/>
    <m/>
    <s v=""/>
    <m/>
    <m/>
    <s v="SHANGHAI"/>
    <x v="1"/>
    <x v="23"/>
    <m/>
    <m/>
    <m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Oct012.1"/>
    <s v="Yixing"/>
    <s v="26Oct012"/>
    <s v="CORE DG"/>
    <x v="0"/>
    <s v="Arrival Plan-SPUK"/>
    <s v="CIF"/>
    <x v="6"/>
    <s v="U1"/>
    <x v="2"/>
    <m/>
    <m/>
    <s v="n/a"/>
    <d v="2026-10-26T00:00:00"/>
    <x v="11"/>
    <x v="104"/>
    <s v="HSM-NT48-HH480"/>
    <s v="EVO2A"/>
    <s v="±1200mm"/>
    <n v="480"/>
    <n v="1872"/>
    <n v="0.89856000000000003"/>
    <n v="52"/>
    <n v="2"/>
    <x v="26"/>
    <s v=""/>
    <m/>
    <m/>
    <s v=""/>
    <m/>
    <m/>
    <s v="SHANGHAI"/>
    <x v="1"/>
    <x v="6"/>
    <m/>
    <m/>
    <m/>
    <m/>
    <m/>
    <m/>
    <m/>
    <m/>
    <m/>
    <m/>
    <x v="296"/>
    <m/>
    <n v="0"/>
    <m/>
    <d v="2026-12-25T00:00:00"/>
    <s v="-"/>
    <d v="1899-12-30T00:00:00"/>
    <n v="7"/>
    <d v="2027-01-01T00:00:00"/>
    <n v="2027"/>
    <n v="1"/>
    <n v="53"/>
    <n v="36"/>
    <n v="936"/>
    <s v="Black glazing"/>
    <s v="AEU"/>
  </r>
  <r>
    <s v="26Oct012.2"/>
    <s v="Yixing"/>
    <s v="26Oct012"/>
    <s v="CORE DG"/>
    <x v="0"/>
    <s v="Arrival Plan-SPNL"/>
    <s v="CIF"/>
    <x v="0"/>
    <s v="U1"/>
    <x v="2"/>
    <m/>
    <m/>
    <s v="n/a"/>
    <d v="2026-10-26T00:00:00"/>
    <x v="11"/>
    <x v="104"/>
    <s v="HSM-NT48-HH480"/>
    <s v="EVO2A"/>
    <s v="±1200mm"/>
    <n v="480"/>
    <n v="7488"/>
    <n v="3.5942400000000001"/>
    <n v="208"/>
    <n v="8"/>
    <x v="26"/>
    <s v=""/>
    <m/>
    <m/>
    <s v=""/>
    <m/>
    <m/>
    <s v="SHANGHAI"/>
    <x v="1"/>
    <x v="1"/>
    <m/>
    <m/>
    <m/>
    <m/>
    <m/>
    <m/>
    <m/>
    <m/>
    <m/>
    <m/>
    <x v="296"/>
    <m/>
    <n v="0"/>
    <m/>
    <d v="2026-12-25T00:00:00"/>
    <s v="-"/>
    <d v="1899-12-30T00:00:00"/>
    <n v="7"/>
    <d v="2027-01-01T00:00:00"/>
    <n v="2027"/>
    <n v="1"/>
    <n v="53"/>
    <n v="36"/>
    <n v="936"/>
    <s v="Black glazing"/>
    <s v="AEU"/>
  </r>
  <r>
    <s v="26Oct012.3"/>
    <s v="Yixing"/>
    <s v="26Oct012"/>
    <s v="CORE DG"/>
    <x v="0"/>
    <s v="Arrival Plan-SPNL"/>
    <s v="CIF"/>
    <x v="0"/>
    <s v="U1"/>
    <x v="2"/>
    <m/>
    <m/>
    <s v="n/a"/>
    <d v="2026-10-26T00:00:00"/>
    <x v="11"/>
    <x v="104"/>
    <s v="HSM-NT48-HH480"/>
    <s v="EVO2A"/>
    <s v="±1200mm"/>
    <n v="480"/>
    <n v="3744"/>
    <n v="1.7971200000000001"/>
    <n v="104"/>
    <n v="4"/>
    <x v="27"/>
    <s v=""/>
    <m/>
    <m/>
    <s v=""/>
    <m/>
    <m/>
    <s v="SHANGHAI"/>
    <x v="1"/>
    <x v="1"/>
    <m/>
    <m/>
    <m/>
    <m/>
    <m/>
    <m/>
    <m/>
    <m/>
    <m/>
    <m/>
    <x v="296"/>
    <m/>
    <n v="0"/>
    <m/>
    <d v="2027-01-01T00:00:00"/>
    <s v="-"/>
    <d v="1899-12-30T00:00:00"/>
    <n v="7"/>
    <d v="2027-01-08T00:00:00"/>
    <n v="2027"/>
    <n v="1"/>
    <n v="1"/>
    <n v="36"/>
    <n v="936"/>
    <s v="Black glazing"/>
    <s v="AEU"/>
  </r>
  <r>
    <s v="26Oct013"/>
    <s v="Yixing"/>
    <s v="Main Line"/>
    <s v="CORE DG"/>
    <x v="3"/>
    <s v="n/a"/>
    <s v="n/a"/>
    <x v="22"/>
    <s v="n/a"/>
    <x v="188"/>
    <m/>
    <m/>
    <s v="n/a"/>
    <d v="2026-10-26T00:00:00"/>
    <x v="11"/>
    <x v="117"/>
    <s v="HSM-NT48-HH485"/>
    <s v="EVO2A"/>
    <s v="±1200mm"/>
    <n v="485"/>
    <n v="17784"/>
    <n v="8.6252399999999998"/>
    <n v="494"/>
    <n v="19"/>
    <x v="23"/>
    <s v=""/>
    <m/>
    <m/>
    <s v=""/>
    <m/>
    <m/>
    <s v="SHANGHAI"/>
    <x v="1"/>
    <x v="23"/>
    <m/>
    <m/>
    <m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Oct009.11"/>
    <s v="Quzhou"/>
    <s v="26Oct009"/>
    <s v="CORE DG"/>
    <x v="0"/>
    <s v="Arrival Plan-SPNL"/>
    <s v="CIF"/>
    <x v="0"/>
    <s v="U1"/>
    <x v="2"/>
    <m/>
    <m/>
    <s v="n/a"/>
    <m/>
    <x v="3"/>
    <x v="91"/>
    <s v="HSM-BE54-DD485"/>
    <s v="EVO2A"/>
    <s v="±1200mm"/>
    <n v="485"/>
    <n v="2808"/>
    <n v="1.36188"/>
    <n v="78"/>
    <n v="3"/>
    <x v="26"/>
    <s v=""/>
    <m/>
    <m/>
    <s v=""/>
    <m/>
    <m/>
    <s v="SHANGHAI"/>
    <x v="3"/>
    <x v="1"/>
    <m/>
    <m/>
    <m/>
    <m/>
    <m/>
    <m/>
    <m/>
    <m/>
    <m/>
    <m/>
    <x v="296"/>
    <m/>
    <n v="0"/>
    <m/>
    <d v="2026-12-25T00:00:00"/>
    <s v="-"/>
    <d v="1899-12-30T00:00:00"/>
    <n v="7"/>
    <d v="2027-01-01T00:00:00"/>
    <n v="2027"/>
    <n v="1"/>
    <n v="53"/>
    <n v="36"/>
    <n v="936"/>
    <s v="Black glazing"/>
    <s v="AEU"/>
  </r>
  <r>
    <s v="26Oct013.2"/>
    <s v="Yixing"/>
    <s v="26Oct013"/>
    <s v="CORE DG"/>
    <x v="0"/>
    <s v="Arrival Plan-SPNL"/>
    <s v="CIF"/>
    <x v="0"/>
    <s v="U1"/>
    <x v="2"/>
    <m/>
    <m/>
    <s v="n/a"/>
    <d v="2026-10-26T00:00:00"/>
    <x v="11"/>
    <x v="117"/>
    <s v="HSM-NT48-HH485"/>
    <s v="EVO2A"/>
    <s v="±1200mm"/>
    <n v="485"/>
    <n v="3744"/>
    <n v="1.8158399999999999"/>
    <n v="104"/>
    <n v="4"/>
    <x v="28"/>
    <s v=""/>
    <m/>
    <m/>
    <s v=""/>
    <m/>
    <m/>
    <s v="SHANGHAI"/>
    <x v="1"/>
    <x v="1"/>
    <m/>
    <m/>
    <m/>
    <m/>
    <m/>
    <m/>
    <m/>
    <m/>
    <m/>
    <m/>
    <x v="296"/>
    <m/>
    <n v="0"/>
    <m/>
    <d v="2027-01-08T00:00:00"/>
    <s v="-"/>
    <d v="1899-12-30T00:00:00"/>
    <n v="7"/>
    <d v="2027-01-15T00:00:00"/>
    <n v="2027"/>
    <n v="1"/>
    <n v="2"/>
    <n v="36"/>
    <n v="936"/>
    <s v="Black glazing"/>
    <s v="AEU"/>
  </r>
  <r>
    <s v="26Oct013.3"/>
    <s v="Yixing"/>
    <s v="26Oct013"/>
    <s v="CORE DG"/>
    <x v="0"/>
    <s v="Arrival Plan-SPNL"/>
    <s v="CIF"/>
    <x v="0"/>
    <s v="U1"/>
    <x v="2"/>
    <m/>
    <m/>
    <s v="n/a"/>
    <d v="2026-10-26T00:00:00"/>
    <x v="11"/>
    <x v="117"/>
    <s v="HSM-NT48-HH485"/>
    <s v="EVO2A"/>
    <s v="±1200mm"/>
    <n v="485"/>
    <n v="3744"/>
    <n v="1.8158399999999999"/>
    <n v="104"/>
    <n v="4"/>
    <x v="29"/>
    <s v=""/>
    <m/>
    <m/>
    <s v=""/>
    <m/>
    <m/>
    <s v="SHANGHAI"/>
    <x v="1"/>
    <x v="1"/>
    <m/>
    <m/>
    <m/>
    <m/>
    <m/>
    <m/>
    <m/>
    <m/>
    <m/>
    <m/>
    <x v="296"/>
    <m/>
    <n v="0"/>
    <m/>
    <d v="2027-01-15T00:00:00"/>
    <s v="-"/>
    <d v="1899-12-30T00:00:00"/>
    <n v="7"/>
    <d v="2027-01-22T00:00:00"/>
    <n v="2027"/>
    <n v="1"/>
    <n v="3"/>
    <n v="36"/>
    <n v="936"/>
    <s v="Black glazing"/>
    <s v="AEU"/>
  </r>
  <r>
    <s v="26Oct014"/>
    <s v="Yixing"/>
    <s v="Main Line"/>
    <s v="CORE DG"/>
    <x v="3"/>
    <s v="n/a"/>
    <s v="n/a"/>
    <x v="22"/>
    <s v="n/a"/>
    <x v="188"/>
    <m/>
    <m/>
    <s v="n/a"/>
    <d v="2026-09-27T00:00:00"/>
    <x v="11"/>
    <x v="110"/>
    <s v="HSM-NT48-GH480 CFP"/>
    <s v="EVO2A"/>
    <s v="±1200mm"/>
    <n v="480"/>
    <n v="0"/>
    <n v="0"/>
    <n v="0"/>
    <n v="0"/>
    <x v="23"/>
    <s v=""/>
    <m/>
    <m/>
    <s v=""/>
    <m/>
    <m/>
    <s v="SHANGHAI"/>
    <x v="1"/>
    <x v="26"/>
    <m/>
    <m/>
    <m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White glazing"/>
    <n v="0"/>
  </r>
  <r>
    <s v="26Oct014.01"/>
    <s v="Yixing"/>
    <s v="26Oct014"/>
    <s v="CORE DG"/>
    <x v="0"/>
    <s v="Arrival Plan-SPTN"/>
    <s v="CIF"/>
    <x v="0"/>
    <s v="U1"/>
    <x v="2"/>
    <m/>
    <m/>
    <s v="n/a"/>
    <d v="2026-09-27T00:00:00"/>
    <x v="11"/>
    <x v="110"/>
    <s v="HSM-NT48-GH480 CFP"/>
    <s v="EVO2A"/>
    <s v="±1200mm"/>
    <n v="480"/>
    <n v="4680"/>
    <n v="2.2464"/>
    <n v="130"/>
    <n v="5"/>
    <x v="26"/>
    <s v=""/>
    <m/>
    <m/>
    <s v=""/>
    <m/>
    <m/>
    <s v="SHANGHAI"/>
    <x v="1"/>
    <x v="0"/>
    <m/>
    <m/>
    <m/>
    <m/>
    <m/>
    <m/>
    <m/>
    <m/>
    <m/>
    <m/>
    <x v="296"/>
    <m/>
    <n v="0"/>
    <m/>
    <d v="2026-12-29T00:00:00"/>
    <s v="-"/>
    <d v="1899-12-30T00:00:00"/>
    <n v="8"/>
    <d v="2027-01-06T00:00:00"/>
    <n v="2027"/>
    <n v="1"/>
    <n v="1"/>
    <n v="36"/>
    <n v="936"/>
    <s v="White glazing"/>
    <s v="AEM"/>
  </r>
  <r>
    <s v="26Oct015"/>
    <s v="Yixing"/>
    <s v="Main Line"/>
    <s v="CORE DG"/>
    <x v="3"/>
    <s v="n/a"/>
    <m/>
    <x v="38"/>
    <m/>
    <x v="164"/>
    <m/>
    <m/>
    <m/>
    <d v="2026-09-27T00:00:00"/>
    <x v="11"/>
    <x v="118"/>
    <s v="HSM-NT48-GH485 CFP"/>
    <s v="EVO2A"/>
    <s v="±1200mm"/>
    <n v="485"/>
    <n v="0"/>
    <n v="0"/>
    <n v="0"/>
    <n v="0"/>
    <x v="23"/>
    <s v=""/>
    <m/>
    <m/>
    <s v=""/>
    <m/>
    <m/>
    <s v="SHANGHAI"/>
    <x v="1"/>
    <x v="26"/>
    <m/>
    <m/>
    <m/>
    <m/>
    <m/>
    <m/>
    <m/>
    <m/>
    <m/>
    <m/>
    <x v="296"/>
    <m/>
    <n v="0"/>
    <m/>
    <d v="2026-11-15T00:00:00"/>
    <s v="-"/>
    <d v="1899-12-30T00:00:00"/>
    <n v="14"/>
    <d v="2026-11-29T00:00:00"/>
    <n v="2026"/>
    <n v="11"/>
    <n v="48"/>
    <n v="36"/>
    <n v="936"/>
    <s v="White glazing"/>
    <n v="0"/>
  </r>
  <r>
    <s v="26Oct015.01"/>
    <s v="Yixing"/>
    <s v="26Oct015"/>
    <s v="CORE DG"/>
    <x v="0"/>
    <s v="Arrival Plan-SPTN"/>
    <s v="CIF"/>
    <x v="0"/>
    <s v="U1"/>
    <x v="2"/>
    <m/>
    <m/>
    <s v="n/a"/>
    <d v="2026-09-27T00:00:00"/>
    <x v="11"/>
    <x v="118"/>
    <s v="HSM-NT48-GH485 CFP"/>
    <s v="EVO2A"/>
    <s v="±1200mm"/>
    <n v="485"/>
    <n v="3744"/>
    <n v="1.8158399999999999"/>
    <n v="104"/>
    <n v="4"/>
    <x v="21"/>
    <s v=""/>
    <m/>
    <m/>
    <s v=""/>
    <m/>
    <m/>
    <s v="SHANGHAI"/>
    <x v="1"/>
    <x v="0"/>
    <m/>
    <m/>
    <m/>
    <m/>
    <m/>
    <m/>
    <m/>
    <m/>
    <m/>
    <m/>
    <x v="296"/>
    <m/>
    <n v="0"/>
    <m/>
    <d v="2026-12-08T00:00:00"/>
    <s v="-"/>
    <d v="1899-12-30T00:00:00"/>
    <n v="8"/>
    <d v="2026-12-16T00:00:00"/>
    <n v="2026"/>
    <n v="12"/>
    <n v="51"/>
    <n v="36"/>
    <n v="936"/>
    <s v="White glazing"/>
    <s v="AEM"/>
  </r>
  <r>
    <s v="26Oct015.02"/>
    <s v="Yixing"/>
    <s v="26Oct015"/>
    <s v="CORE DG"/>
    <x v="0"/>
    <s v="Arrival Plan-SPTN"/>
    <s v="CIF"/>
    <x v="0"/>
    <s v="U1"/>
    <x v="2"/>
    <m/>
    <m/>
    <s v="n/a"/>
    <d v="2026-09-27T00:00:00"/>
    <x v="11"/>
    <x v="118"/>
    <s v="HSM-NT48-GH485 CFP"/>
    <s v="EVO2A"/>
    <s v="±1200mm"/>
    <n v="485"/>
    <n v="2808"/>
    <n v="1.36188"/>
    <n v="78"/>
    <n v="3"/>
    <x v="25"/>
    <s v=""/>
    <m/>
    <m/>
    <s v=""/>
    <m/>
    <m/>
    <s v="SHANGHAI"/>
    <x v="1"/>
    <x v="0"/>
    <m/>
    <m/>
    <m/>
    <m/>
    <m/>
    <m/>
    <m/>
    <m/>
    <m/>
    <m/>
    <x v="296"/>
    <m/>
    <n v="0"/>
    <m/>
    <d v="2026-12-22T00:00:00"/>
    <s v="-"/>
    <d v="1899-12-30T00:00:00"/>
    <n v="8"/>
    <d v="2026-12-30T00:00:00"/>
    <n v="2026"/>
    <n v="12"/>
    <n v="53"/>
    <n v="36"/>
    <n v="936"/>
    <s v="White glazing"/>
    <s v="AEM"/>
  </r>
  <r>
    <s v="26Oct016"/>
    <s v="Yixing"/>
    <s v="Main Line"/>
    <s v="UPP"/>
    <x v="3"/>
    <s v="n/a"/>
    <s v="n/a"/>
    <x v="22"/>
    <s v="n/a"/>
    <x v="188"/>
    <m/>
    <m/>
    <s v="n/a"/>
    <m/>
    <x v="9"/>
    <x v="109"/>
    <s v="HSM-NT66-GH650 CFP"/>
    <s v="EVO2A"/>
    <s v="±1600mm"/>
    <n v="650"/>
    <n v="6120"/>
    <n v="3.9780000000000002"/>
    <n v="170"/>
    <n v="8.5"/>
    <x v="23"/>
    <s v=""/>
    <m/>
    <m/>
    <s v=""/>
    <m/>
    <m/>
    <s v="SHANGHAI NTR"/>
    <x v="1"/>
    <x v="23"/>
    <m/>
    <s v=""/>
    <s v=""/>
    <m/>
    <s v=""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Redirection Film"/>
    <s v="n/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2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20T00:00:00"/>
    <n v="14"/>
    <d v="2026-04-29T00:00:00"/>
    <x v="0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8T00:00:00"/>
    <n v="14"/>
    <d v="2026-05-10T00:00:00"/>
    <x v="0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2"/>
    <s v="SYNSHA26SE050757"/>
    <n v="293959234"/>
    <n v="35"/>
    <m/>
    <d v="2026-06-08T00:00:00"/>
    <x v="0"/>
    <d v="2026-06-23T00:00:00"/>
    <n v="14"/>
    <d v="2026-06-22T00:00:00"/>
    <x v="0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x v="0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8T00:00:00"/>
    <n v="14"/>
    <d v="2026-04-29T00:00:00"/>
    <x v="0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CT05"/>
    <s v="w19 PICK-UP"/>
    <s v="COMPLETED"/>
    <m/>
    <d v="2026-05-17T00:00:00"/>
    <n v="21"/>
    <x v="16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7T00:00:00"/>
    <n v="7"/>
    <d v="2026-07-15T00:00:00"/>
    <x v="0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8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3T00:00:00"/>
    <n v="7"/>
    <d v="2026-08-01T00:00:00"/>
    <x v="0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19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3T00:00:00"/>
    <n v="10"/>
    <d v="2026-08-11T00:00:00"/>
    <x v="0"/>
    <x v="6"/>
    <n v="33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16T00:00:00"/>
    <x v="19"/>
    <s v="FOB"/>
    <s v="HYUNDAI BUSAN/0K13VW"/>
    <s v="OTHER"/>
    <s v="TPVO2026062401"/>
    <d v="2026-10-16T00:00:00"/>
    <s v="CHN3911896"/>
    <n v="36"/>
    <m/>
    <d v="2026-10-16T00:00:00"/>
    <x v="1"/>
    <s v=""/>
    <n v="0"/>
    <d v="2026-10-16T00:00:00"/>
    <x v="0"/>
    <x v="7"/>
    <n v="42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16T00:00:00"/>
    <x v="19"/>
    <s v="FOB"/>
    <s v="HYUNDAI BUSAN/0K13VW"/>
    <s v="OTHER"/>
    <s v="TPVO2026062401"/>
    <d v="2026-10-16T00:00:00"/>
    <s v="CHN3911896"/>
    <n v="36"/>
    <m/>
    <d v="2026-10-16T00:00:00"/>
    <x v="1"/>
    <s v=""/>
    <n v="0"/>
    <d v="2026-10-16T00:00:00"/>
    <x v="0"/>
    <x v="7"/>
    <n v="42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16T00:00:00"/>
    <x v="19"/>
    <s v="FOB"/>
    <s v="HYUNDAI BUSAN/0K13VW"/>
    <s v="OTHER"/>
    <s v="TPVO2026062401"/>
    <d v="2026-10-16T00:00:00"/>
    <s v="CHN3911896"/>
    <n v="36"/>
    <m/>
    <d v="2026-10-16T00:00:00"/>
    <x v="1"/>
    <s v=""/>
    <n v="0"/>
    <d v="2026-10-16T00:00:00"/>
    <x v="0"/>
    <x v="7"/>
    <n v="42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16T00:00:00"/>
    <x v="19"/>
    <s v="FOB"/>
    <s v="HYUNDAI BUSAN/0K13VW"/>
    <s v="OTHER"/>
    <s v="TPVO2026062401"/>
    <d v="2026-10-16T00:00:00"/>
    <s v="CHN3911896"/>
    <n v="36"/>
    <m/>
    <d v="2026-10-16T00:00:00"/>
    <x v="1"/>
    <s v=""/>
    <n v="0"/>
    <d v="2026-10-16T00:00:00"/>
    <x v="0"/>
    <x v="7"/>
    <n v="42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COMPLETED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23"/>
    <s v="CIF"/>
    <s v="COSCO SHIPPING NEBULA 033W"/>
    <s v="COSCO"/>
    <s v="TPVB20260623004"/>
    <s v="COSU6505851820"/>
    <s v="COSU6505851820"/>
    <n v="49"/>
    <m/>
    <d v="2026-09-13T00:00:00"/>
    <x v="2"/>
    <d v="2026-09-18T00:00:00"/>
    <n v="8"/>
    <d v="2026-09-21T00:00:00"/>
    <x v="0"/>
    <x v="8"/>
    <n v="39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COMPLETED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23"/>
    <s v="CIF"/>
    <s v="COSCO SHIPPING NEBULA 033W"/>
    <s v="COSCO"/>
    <s v="TPVB20260623004"/>
    <s v="COSU6505851820"/>
    <s v="COSU6505851820"/>
    <n v="49"/>
    <m/>
    <d v="2026-09-13T00:00:00"/>
    <x v="2"/>
    <d v="2026-09-18T00:00:00"/>
    <n v="8"/>
    <d v="2026-09-21T00:00:00"/>
    <x v="0"/>
    <x v="8"/>
    <n v="39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COMPLETED"/>
    <d v="2026-07-14T00:00:00"/>
    <d v="2026-07-23T00:00:00"/>
    <n v="30"/>
    <x v="29"/>
    <m/>
    <s v="SHANGHAI"/>
    <s v="Shanghai"/>
    <x v="0"/>
    <x v="26"/>
    <d v="2026-08-01T00:00:00"/>
    <d v="2026-08-02T00:00:00"/>
    <d v="2026-09-14T00:00:00"/>
    <d v="2026-09-20T00:00:00"/>
    <x v="24"/>
    <s v="CIF"/>
    <s v="COSCO SHIPPING PISCES 033W"/>
    <s v="COSCO"/>
    <s v="TPVB20260702001"/>
    <s v="COSU9508314020"/>
    <s v="COSU9508314020"/>
    <n v="50"/>
    <m/>
    <d v="2026-09-19T00:00:00"/>
    <x v="2"/>
    <d v="2026-09-25T00:00:00"/>
    <n v="8"/>
    <d v="2026-09-27T00:00:00"/>
    <x v="0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COMPLETED"/>
    <d v="2026-07-15T00:00:00"/>
    <d v="2026-07-18T00:00:00"/>
    <n v="29"/>
    <x v="30"/>
    <m/>
    <s v="SHANGHAI"/>
    <s v="Shanghai"/>
    <x v="0"/>
    <x v="27"/>
    <d v="2026-07-28T00:00:00"/>
    <d v="2026-07-28T00:00:00"/>
    <d v="2026-09-09T00:00:00"/>
    <d v="2026-09-02T00:00:00"/>
    <x v="25"/>
    <s v="CIF"/>
    <s v="MANCHESTER MAERSK/629W"/>
    <s v="OTHER"/>
    <s v="TPVB20260702002"/>
    <n v="272910011"/>
    <n v="272910011"/>
    <n v="49"/>
    <m/>
    <d v="2026-09-02T00:00:00"/>
    <x v="2"/>
    <d v="2026-09-10T00:00:00"/>
    <n v="8"/>
    <d v="2026-09-10T00:00:00"/>
    <x v="0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COMPLETED"/>
    <d v="2026-07-20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26"/>
    <s v="CIF"/>
    <s v="AL JMELIYAH/631W"/>
    <s v="OTHER"/>
    <s v="TPVB20260702003"/>
    <n v="274118289"/>
    <n v="274118289"/>
    <n v="46"/>
    <m/>
    <d v="2026-09-24T00:00:00"/>
    <x v="2"/>
    <d v="2026-09-30T00:00:00"/>
    <n v="8"/>
    <d v="2026-10-02T00:00:00"/>
    <x v="0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COMPLETED"/>
    <d v="2026-07-25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26"/>
    <s v="CIF"/>
    <s v="AL JMELIYAH/631W"/>
    <s v="OTHER"/>
    <s v="TPVB20260702003"/>
    <n v="274118289"/>
    <n v="274118289"/>
    <n v="46"/>
    <m/>
    <d v="2026-09-24T00:00:00"/>
    <x v="2"/>
    <d v="2026-09-30T00:00:00"/>
    <n v="8"/>
    <d v="2026-10-02T00:00:00"/>
    <x v="0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COMPLETED"/>
    <d v="2026-07-28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7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COMPLETED"/>
    <d v="2026-07-30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7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COMPLETED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7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COMPLETED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7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COMPLETED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28"/>
    <s v="CIF"/>
    <s v="ALVA MAERSK/632W"/>
    <s v="OTHER"/>
    <s v="TPVB20260716002"/>
    <n v="274424044"/>
    <n v="274424044"/>
    <n v="44"/>
    <m/>
    <d v="2026-10-01T00:00:00"/>
    <x v="2"/>
    <d v="2026-10-08T00:00:00"/>
    <n v="8"/>
    <d v="2026-10-09T00:00:00"/>
    <x v="0"/>
    <x v="7"/>
    <n v="41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COMPLETED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28"/>
    <s v="CIF"/>
    <s v="ALVA MAERSK/632W"/>
    <s v="OTHER"/>
    <s v="TPVB20260716002"/>
    <n v="274424044"/>
    <n v="274424044"/>
    <n v="44"/>
    <m/>
    <d v="2026-10-01T00:00:00"/>
    <x v="2"/>
    <d v="2026-10-08T00:00:00"/>
    <n v="8"/>
    <d v="2026-10-09T00:00:00"/>
    <x v="0"/>
    <x v="7"/>
    <n v="41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COMPLETED"/>
    <d v="2026-07-30T00:00:00"/>
    <d v="2026-08-03T00:00:00"/>
    <n v="32"/>
    <x v="34"/>
    <m/>
    <s v="SHANGHAI"/>
    <s v="Shanghai"/>
    <x v="0"/>
    <x v="31"/>
    <d v="2026-08-21T00:00:00"/>
    <d v="2026-08-21T00:00:00"/>
    <d v="2026-09-23T00:00:00"/>
    <d v="2026-10-07T00:00:00"/>
    <x v="28"/>
    <s v="CIF"/>
    <s v="ALVA MAERSK/632W"/>
    <s v="OTHER"/>
    <s v="TPVB20260716002"/>
    <n v="274424044"/>
    <n v="274424044"/>
    <n v="44"/>
    <m/>
    <d v="2026-10-01T00:00:00"/>
    <x v="2"/>
    <d v="2026-10-08T00:00:00"/>
    <n v="8"/>
    <d v="2026-10-09T00:00:00"/>
    <x v="0"/>
    <x v="7"/>
    <n v="41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COMPLETED"/>
    <d v="2026-08-03T00:00:00"/>
    <d v="2026-08-05T00:00:00"/>
    <n v="32"/>
    <x v="35"/>
    <m/>
    <s v="SHANGHAI"/>
    <s v="Shanghai"/>
    <x v="0"/>
    <x v="32"/>
    <d v="2026-08-21T00:00:00"/>
    <d v="2026-08-21T00:00:00"/>
    <d v="2026-09-30T00:00:00"/>
    <d v="2026-10-07T00:00:00"/>
    <x v="28"/>
    <s v="CIF"/>
    <s v="ALVA MAERSK/632W"/>
    <s v="OTHER"/>
    <s v="TPVB20260716003"/>
    <n v="274797840"/>
    <n v="274797840"/>
    <n v="50"/>
    <m/>
    <d v="2026-10-01T00:00:00"/>
    <x v="2"/>
    <d v="2026-10-08T00:00:00"/>
    <n v="8"/>
    <d v="2026-10-09T00:00:00"/>
    <x v="0"/>
    <x v="7"/>
    <n v="41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COMPLETED"/>
    <d v="2026-08-06T00:00:00"/>
    <d v="2026-08-06T00:00:00"/>
    <n v="32"/>
    <x v="35"/>
    <m/>
    <s v="SHANGHAI"/>
    <s v="Shanghai"/>
    <x v="0"/>
    <x v="32"/>
    <d v="2026-08-21T00:00:00"/>
    <d v="2026-08-21T00:00:00"/>
    <d v="2026-09-30T00:00:00"/>
    <d v="2026-10-07T00:00:00"/>
    <x v="28"/>
    <s v="CIF"/>
    <s v="ALVA MAERSK/632W"/>
    <s v="OTHER"/>
    <s v="TPVB20260716003"/>
    <n v="274797840"/>
    <n v="274797840"/>
    <n v="50"/>
    <m/>
    <d v="2026-10-01T00:00:00"/>
    <x v="2"/>
    <d v="2026-10-08T00:00:00"/>
    <n v="8"/>
    <d v="2026-10-09T00:00:00"/>
    <x v="0"/>
    <x v="7"/>
    <n v="41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COMPLETED"/>
    <d v="2026-08-10T00:00:00"/>
    <d v="2026-08-25T00:00:00"/>
    <n v="35"/>
    <x v="36"/>
    <m/>
    <s v="SHANGHAI"/>
    <s v="Shanghai"/>
    <x v="0"/>
    <x v="33"/>
    <d v="2026-09-01T00:00:00"/>
    <d v="2026-08-31T00:00:00"/>
    <d v="2026-10-07T00:00:00"/>
    <d v="2026-10-07T00:00:00"/>
    <x v="29"/>
    <s v="CIF"/>
    <s v="MERETE MAERSK/633W"/>
    <s v="OTHER"/>
    <s v="TPVB20260727001"/>
    <n v="274958025"/>
    <n v="274958025"/>
    <n v="47"/>
    <m/>
    <d v="2026-10-08T00:00:00"/>
    <x v="2"/>
    <d v="2026-10-15T00:00:00"/>
    <n v="8"/>
    <d v="2026-10-16T00:00:00"/>
    <x v="0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COMPLETED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29"/>
    <s v="CIF"/>
    <s v="MERETE MAERSK/633W"/>
    <s v="OTHER"/>
    <s v="TPVB20260727001"/>
    <n v="274958025"/>
    <n v="274958025"/>
    <n v="47"/>
    <m/>
    <d v="2026-10-08T00:00:00"/>
    <x v="2"/>
    <d v="2026-10-15T00:00:00"/>
    <n v="8"/>
    <d v="2026-10-16T00:00:00"/>
    <x v="0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COMPLETED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29"/>
    <s v="CIF"/>
    <s v="MERETE MAERSK/633W"/>
    <s v="OTHER"/>
    <s v="TPVB20260727001"/>
    <n v="274958025"/>
    <n v="274958025"/>
    <n v="47"/>
    <m/>
    <d v="2026-10-08T00:00:00"/>
    <x v="2"/>
    <d v="2026-10-15T00:00:00"/>
    <n v="8"/>
    <d v="2026-10-16T00:00:00"/>
    <x v="0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COMPLETED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29"/>
    <s v="CIF"/>
    <s v="MERETE MAERSK/633W"/>
    <s v="OTHER"/>
    <s v="TPVB20260727001"/>
    <n v="274958025"/>
    <n v="274958025"/>
    <n v="47"/>
    <m/>
    <d v="2026-10-08T00:00:00"/>
    <x v="2"/>
    <d v="2026-10-15T00:00:00"/>
    <n v="8"/>
    <d v="2026-10-16T00:00:00"/>
    <x v="0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COMPLETED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30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COMPLETED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30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COMPLETED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30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IN-TRANSIT"/>
    <d v="2026-08-20T00:00:00"/>
    <d v="2026-09-11T00:00:00"/>
    <n v="37"/>
    <x v="41"/>
    <m/>
    <s v="SHANGHAI"/>
    <s v="Shanghai"/>
    <x v="0"/>
    <x v="37"/>
    <d v="2026-09-23T00:00:00"/>
    <d v="2026-09-23T00:00:00"/>
    <d v="2026-11-04T00:00:00"/>
    <d v="2026-11-04T00:00:00"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x v="0"/>
    <x v="9"/>
    <n v="46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s v="IN-TRANSIT"/>
    <d v="2026-08-26T00:00:00"/>
    <d v="2026-09-06T00:00:00"/>
    <n v="37"/>
    <x v="43"/>
    <m/>
    <s v="SHANGHAI"/>
    <s v="Shanghai"/>
    <x v="0"/>
    <x v="39"/>
    <d v="2026-09-15T00:00:00"/>
    <d v="2026-09-14T00:00:00"/>
    <d v="2026-10-21T00:00:00"/>
    <d v="2026-11-04T00:00:00"/>
    <x v="19"/>
    <s v="CIF"/>
    <s v="EUGEN MAERSK / 637W"/>
    <s v="OTHER"/>
    <s v="TPVB20260811002"/>
    <n v="275550212"/>
    <n v="275550212"/>
    <n v="50"/>
    <m/>
    <d v="2026-11-04T00:00:00"/>
    <x v="1"/>
    <s v=""/>
    <n v="8"/>
    <d v="2026-11-12T00:00:00"/>
    <x v="0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s v="IN-TRANSIT"/>
    <d v="2026-09-02T00:00:00"/>
    <d v="2026-09-17T00:00:00"/>
    <n v="38"/>
    <x v="44"/>
    <m/>
    <s v="SHANGHAI"/>
    <s v="Shanghai"/>
    <x v="0"/>
    <x v="40"/>
    <d v="2026-10-02T00:00:00"/>
    <d v="2026-10-02T00:00:00"/>
    <d v="2026-10-28T00:00:00"/>
    <d v="2026-11-11T00:00:00"/>
    <x v="19"/>
    <s v="CIF"/>
    <s v="ALETTE MAERSK / 638W"/>
    <s v="OTHER"/>
    <s v="TPVB20260811003"/>
    <n v="276027831"/>
    <n v="276027831"/>
    <n v="45"/>
    <m/>
    <d v="2026-11-11T00:00:00"/>
    <x v="1"/>
    <s v=""/>
    <n v="8"/>
    <d v="2026-11-19T00:00:00"/>
    <x v="0"/>
    <x v="9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s v="IN-TRANSIT"/>
    <d v="2026-09-07T00:00:00"/>
    <d v="2026-09-18T00:00:00"/>
    <n v="38"/>
    <x v="45"/>
    <m/>
    <s v="SHANGHAI"/>
    <s v="Shanghai"/>
    <x v="0"/>
    <x v="41"/>
    <d v="2026-10-02T00:00:00"/>
    <d v="2026-10-03T00:00:00"/>
    <d v="2026-11-11T00:00:00"/>
    <d v="2026-11-11T00:00:00"/>
    <x v="19"/>
    <s v="CIF"/>
    <s v="MANILA MAERSK / 638W"/>
    <s v="OTHER"/>
    <s v="TPVB20260811001"/>
    <n v="276766144"/>
    <n v="276766144"/>
    <n v="46"/>
    <m/>
    <d v="2026-11-11T00:00:00"/>
    <x v="1"/>
    <s v=""/>
    <n v="8"/>
    <d v="2026-11-19T00:00:00"/>
    <x v="0"/>
    <x v="9"/>
    <n v="47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COMPLETED"/>
    <d v="2026-08-17T00:00:00"/>
    <d v="2026-08-26T00:00:00"/>
    <n v="35"/>
    <x v="46"/>
    <m/>
    <s v="YANTIAN"/>
    <s v="YANTIAN"/>
    <x v="2"/>
    <x v="36"/>
    <d v="2026-09-02T00:00:00"/>
    <d v="2026-09-02T00:00:00"/>
    <d v="2026-09-30T00:00:00"/>
    <d v="2026-10-04T00:00:00"/>
    <x v="31"/>
    <s v="CIF"/>
    <s v="EVER ALOT 1413-015W"/>
    <s v="OTHER"/>
    <s v="TPVB20260727002"/>
    <s v="EGLV149606753567"/>
    <s v="149606753567"/>
    <n v="32"/>
    <m/>
    <d v="2026-10-06T00:00:00"/>
    <x v="2"/>
    <d v="2026-10-17T00:00:00"/>
    <n v="14"/>
    <d v="2026-10-20T00:00:00"/>
    <x v="0"/>
    <x v="7"/>
    <n v="43"/>
    <s v="AEU"/>
    <m/>
  </r>
  <r>
    <x v="171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2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2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2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3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2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4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2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5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32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6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7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8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9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0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IN-TRANSIT"/>
    <d v="2026-09-08T00:00:00"/>
    <d v="2026-09-09T00:00:00"/>
    <n v="37"/>
    <x v="49"/>
    <m/>
    <s v="SHANGHAI"/>
    <s v="Shanghai"/>
    <x v="0"/>
    <x v="43"/>
    <d v="2026-09-18T00:00:00"/>
    <d v="2026-09-19T00:00:00"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1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IN-TRANSIT"/>
    <d v="2026-09-08T00:00:00"/>
    <d v="2026-09-09T00:00:00"/>
    <n v="37"/>
    <x v="49"/>
    <m/>
    <s v="SHANGHAI"/>
    <s v="Shanghai"/>
    <x v="0"/>
    <x v="43"/>
    <d v="2026-09-18T00:00:00"/>
    <d v="2026-09-19T00:00:00"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2"/>
    <s v="WUXI"/>
    <s v="26SEP001"/>
    <s v="CORE DG"/>
    <s v="Internal"/>
    <x v="5"/>
    <m/>
    <m/>
    <m/>
    <m/>
    <m/>
    <m/>
    <m/>
    <x v="7"/>
    <s v="Hybrid Inverter"/>
    <x v="7"/>
    <m/>
    <x v="24"/>
    <m/>
    <m/>
    <n v="0.15151515151515152"/>
    <s v="CT17"/>
    <s v="W37 PICK UP"/>
    <s v="IN-TRANSIT"/>
    <d v="2026-09-08T00:00:00"/>
    <d v="2026-09-17T00:00:00"/>
    <n v="38"/>
    <x v="50"/>
    <m/>
    <s v="SHANGHAI"/>
    <s v="Shanghai"/>
    <x v="8"/>
    <x v="43"/>
    <d v="2026-10-02T00:00:00"/>
    <d v="2026-10-02T00:00:00"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3"/>
    <s v="WUXI"/>
    <s v="26SEP002"/>
    <s v="CORE DG"/>
    <s v="Internal"/>
    <x v="5"/>
    <m/>
    <m/>
    <m/>
    <m/>
    <m/>
    <m/>
    <m/>
    <x v="2"/>
    <s v="Hybrid Inverter"/>
    <x v="2"/>
    <m/>
    <x v="75"/>
    <m/>
    <m/>
    <n v="9.8484848484848481E-2"/>
    <s v="CT17"/>
    <s v="W37 PICK UP"/>
    <s v="IN-TRANSIT"/>
    <d v="2026-09-08T00:00:00"/>
    <d v="2026-09-17T00:00:00"/>
    <n v="38"/>
    <x v="50"/>
    <m/>
    <s v="SHANGHAI"/>
    <s v="Shanghai"/>
    <x v="8"/>
    <x v="43"/>
    <d v="2026-10-02T00:00:00"/>
    <d v="2026-10-02T00:00:00"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4"/>
    <s v="WUXI"/>
    <s v="26SEP004"/>
    <s v="CORE DG"/>
    <s v="Internal"/>
    <x v="5"/>
    <m/>
    <m/>
    <m/>
    <m/>
    <m/>
    <m/>
    <m/>
    <x v="5"/>
    <s v="High voltage distribution box"/>
    <x v="5"/>
    <m/>
    <x v="73"/>
    <m/>
    <m/>
    <n v="0.25"/>
    <s v="CT17"/>
    <s v="W37 PICK UP"/>
    <s v="IN-TRANSIT"/>
    <d v="2026-09-08T00:00:00"/>
    <d v="2026-09-17T00:00:00"/>
    <n v="38"/>
    <x v="50"/>
    <m/>
    <s v="SHANGHAI"/>
    <s v="Shanghai"/>
    <x v="8"/>
    <x v="43"/>
    <d v="2026-10-02T00:00:00"/>
    <d v="2026-10-02T00:00:00"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5"/>
    <s v="WUXI"/>
    <s v="26SEP008"/>
    <s v="CORE DG"/>
    <s v="Internal"/>
    <x v="5"/>
    <m/>
    <m/>
    <m/>
    <m/>
    <m/>
    <m/>
    <m/>
    <x v="6"/>
    <s v="Rechargeable Li-ion Battery"/>
    <x v="6"/>
    <m/>
    <x v="74"/>
    <m/>
    <m/>
    <n v="0.5"/>
    <s v="CT17"/>
    <s v="W37 PICK UP"/>
    <s v="IN-TRANSIT"/>
    <d v="2026-09-08T00:00:00"/>
    <d v="2026-09-17T00:00:00"/>
    <n v="38"/>
    <x v="50"/>
    <m/>
    <s v="SHANGHAI"/>
    <s v="Shanghai"/>
    <x v="8"/>
    <x v="43"/>
    <d v="2026-10-02T00:00:00"/>
    <d v="2026-10-02T00:00:00"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6"/>
    <s v="WUXI"/>
    <s v="26SEP002"/>
    <s v="CORE DG"/>
    <s v="Internal"/>
    <x v="4"/>
    <m/>
    <m/>
    <m/>
    <m/>
    <m/>
    <m/>
    <m/>
    <x v="2"/>
    <s v="Hybrid Inverter"/>
    <x v="2"/>
    <m/>
    <x v="76"/>
    <m/>
    <m/>
    <n v="0.34615384615384615"/>
    <s v="CT03"/>
    <s v="W38 PICK-UP"/>
    <s v="IN-TRANSIT"/>
    <d v="2026-09-14T00:00:00"/>
    <d v="2026-09-15T00:00:00"/>
    <n v="38"/>
    <x v="51"/>
    <m/>
    <s v="SHANGHAI"/>
    <s v="Shanghai"/>
    <x v="7"/>
    <x v="44"/>
    <d v="2026-09-24T00:00:00"/>
    <d v="2026-09-24T00:00:00"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7"/>
    <s v="WUXI"/>
    <s v="26SEP003"/>
    <s v="CORE DG"/>
    <s v="Internal"/>
    <x v="4"/>
    <m/>
    <m/>
    <m/>
    <m/>
    <m/>
    <m/>
    <m/>
    <x v="4"/>
    <s v="Hybrid Inverter"/>
    <x v="4"/>
    <m/>
    <x v="77"/>
    <m/>
    <m/>
    <n v="0.14615384615384616"/>
    <s v="CT03"/>
    <s v="W38 PICK-UP"/>
    <s v="IN-TRANSIT"/>
    <d v="2026-09-14T00:00:00"/>
    <d v="2026-09-15T00:00:00"/>
    <n v="38"/>
    <x v="51"/>
    <m/>
    <s v="SHANGHAI"/>
    <s v="Shanghai"/>
    <x v="7"/>
    <x v="44"/>
    <d v="2026-09-24T00:00:00"/>
    <d v="2026-09-24T00:00:00"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8"/>
    <s v="WUXI"/>
    <s v="Main Line"/>
    <s v="CORE DG"/>
    <s v="Internal"/>
    <x v="4"/>
    <m/>
    <m/>
    <m/>
    <m/>
    <m/>
    <m/>
    <m/>
    <x v="4"/>
    <s v="Hybrid Inverter"/>
    <x v="4"/>
    <m/>
    <x v="9"/>
    <m/>
    <m/>
    <n v="7.6923076923076927E-3"/>
    <s v="CT03"/>
    <s v="W38 PICK-UP"/>
    <s v="IN-TRANSIT"/>
    <d v="2026-09-14T00:00:00"/>
    <d v="2026-09-15T00:00:00"/>
    <n v="38"/>
    <x v="51"/>
    <m/>
    <s v="SHANGHAI"/>
    <s v="Shanghai"/>
    <x v="7"/>
    <x v="44"/>
    <d v="2026-09-24T00:00:00"/>
    <d v="2026-09-24T00:00:00"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9"/>
    <s v="WUXI"/>
    <s v="26SEP004"/>
    <s v="CORE DG"/>
    <s v="Internal"/>
    <x v="4"/>
    <m/>
    <m/>
    <m/>
    <m/>
    <m/>
    <m/>
    <m/>
    <x v="5"/>
    <s v="High voltage distribution box"/>
    <x v="5"/>
    <m/>
    <x v="67"/>
    <m/>
    <m/>
    <n v="0.5"/>
    <s v="CT03"/>
    <s v="W38 PICK-UP"/>
    <s v="IN-TRANSIT"/>
    <d v="2026-09-14T00:00:00"/>
    <d v="2026-09-15T00:00:00"/>
    <n v="38"/>
    <x v="51"/>
    <m/>
    <s v="SHANGHAI"/>
    <s v="Shanghai"/>
    <x v="7"/>
    <x v="44"/>
    <d v="2026-09-24T00:00:00"/>
    <d v="2026-09-24T00:00:00"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90"/>
    <s v="WUXI"/>
    <s v="26SEP001"/>
    <s v="CORE DG"/>
    <s v="Internal"/>
    <x v="2"/>
    <m/>
    <m/>
    <m/>
    <m/>
    <m/>
    <m/>
    <m/>
    <x v="7"/>
    <s v="Hybrid Inverter"/>
    <x v="7"/>
    <m/>
    <x v="78"/>
    <m/>
    <m/>
    <n v="6.9230769230769235E-2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1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2"/>
    <s v="WUXI"/>
    <s v="26SEP002"/>
    <s v="CORE DG"/>
    <s v="Internal"/>
    <x v="2"/>
    <m/>
    <m/>
    <m/>
    <m/>
    <m/>
    <m/>
    <m/>
    <x v="2"/>
    <s v="Hybrid Inverter"/>
    <x v="2"/>
    <m/>
    <x v="79"/>
    <m/>
    <m/>
    <n v="0.36153846153846153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3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4"/>
    <s v="WUXI"/>
    <s v="26SEP004"/>
    <s v="CORE DG"/>
    <s v="Internal"/>
    <x v="2"/>
    <m/>
    <m/>
    <m/>
    <m/>
    <m/>
    <m/>
    <m/>
    <x v="5"/>
    <s v="High voltage distribution box"/>
    <x v="5"/>
    <m/>
    <x v="80"/>
    <m/>
    <m/>
    <n v="0.42692307692307691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5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6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4"/>
    <s v="W38 PICK-UP"/>
    <s v="IN-TRANSIT"/>
    <d v="2026-09-17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7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IN-TRANSIT"/>
    <d v="2026-09-21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8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IN-TRANSIT"/>
    <d v="2026-09-21T00:00:00"/>
    <d v="2026-09-19T00:00:00"/>
    <n v="38"/>
    <x v="52"/>
    <m/>
    <s v="SHANGHAI"/>
    <s v="Shanghai"/>
    <x v="0"/>
    <x v="45"/>
    <d v="2026-09-27T00:00:00"/>
    <d v="2026-09-27T00:00:00"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9"/>
    <s v="WUXI"/>
    <s v="26SEP005"/>
    <s v="CORE DG"/>
    <s v="Internal"/>
    <x v="2"/>
    <m/>
    <m/>
    <m/>
    <m/>
    <m/>
    <m/>
    <m/>
    <x v="33"/>
    <s v="Hybrid Inverter"/>
    <x v="29"/>
    <m/>
    <x v="81"/>
    <m/>
    <m/>
    <n v="0.13815789473684212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19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0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19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1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19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19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3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47039473684210525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19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4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IN-TRANSIT"/>
    <d v="2026-09-23T00:00:00"/>
    <d v="2026-09-23T00:00:00"/>
    <n v="39"/>
    <x v="53"/>
    <m/>
    <s v="SHANGHAI"/>
    <s v="Shanghai"/>
    <x v="0"/>
    <x v="46"/>
    <d v="2026-10-04T00:00:00"/>
    <d v="2026-10-04T00:00:00"/>
    <d v="2026-11-11T00:00:00"/>
    <d v="2026-11-18T00:00:00"/>
    <x v="19"/>
    <s v="CIF"/>
    <s v="OOCL GDYNIA 011W"/>
    <s v="COSCO"/>
    <s v="TPVB20260903006"/>
    <s v="COSU9510016200"/>
    <s v="COSU9510016200"/>
    <n v="41"/>
    <m/>
    <d v="2026-11-18T00:00:00"/>
    <x v="1"/>
    <s v=""/>
    <n v="8"/>
    <d v="2026-11-26T00:00:00"/>
    <x v="0"/>
    <x v="9"/>
    <n v="48"/>
    <s v="AEM"/>
    <m/>
  </r>
  <r>
    <x v="205"/>
    <s v="WUXI"/>
    <s v="26SEP005"/>
    <s v="CORE DG"/>
    <s v="Internal"/>
    <x v="2"/>
    <m/>
    <m/>
    <m/>
    <m/>
    <m/>
    <m/>
    <m/>
    <x v="33"/>
    <s v="Hybrid Inverter"/>
    <x v="29"/>
    <m/>
    <x v="83"/>
    <m/>
    <m/>
    <n v="0.5"/>
    <s v="CT07"/>
    <s v="W40 PICK-UP"/>
    <s v="IN-TRANSIT"/>
    <d v="2026-09-29T00:00:00"/>
    <d v="2026-09-29T00:00:00"/>
    <n v="40"/>
    <x v="54"/>
    <m/>
    <s v="SHANGHAI"/>
    <s v="Shanghai"/>
    <x v="0"/>
    <x v="47"/>
    <d v="2026-10-11T00:00:00"/>
    <d v="2026-10-11T00:00:00"/>
    <d v="2026-11-18T00:00:00"/>
    <d v="2026-11-18T00:00:00"/>
    <x v="19"/>
    <s v="CIF"/>
    <s v="APL VANDA 0MEOXW1MA"/>
    <s v="COSCO"/>
    <s v="TPVB20260903008"/>
    <s v="COSU9510115320"/>
    <s v="COSU9510115320"/>
    <n v="44"/>
    <m/>
    <d v="2026-11-18T00:00:00"/>
    <x v="1"/>
    <s v=""/>
    <n v="8"/>
    <d v="2026-11-26T00:00:00"/>
    <x v="0"/>
    <x v="9"/>
    <n v="48"/>
    <s v="AEM"/>
    <m/>
  </r>
  <r>
    <x v="206"/>
    <s v="WUXI"/>
    <s v="26SEP007"/>
    <s v="CORE DG"/>
    <s v="Internal"/>
    <x v="2"/>
    <m/>
    <m/>
    <m/>
    <m/>
    <m/>
    <m/>
    <m/>
    <x v="32"/>
    <s v="High voltage distribution box"/>
    <x v="28"/>
    <m/>
    <x v="83"/>
    <m/>
    <m/>
    <n v="0.5"/>
    <s v="CT07"/>
    <s v="W40 PICK-UP"/>
    <s v="IN-TRANSIT"/>
    <d v="2026-09-29T00:00:00"/>
    <d v="2026-09-29T00:00:00"/>
    <n v="40"/>
    <x v="54"/>
    <m/>
    <s v="SHANGHAI"/>
    <s v="Shanghai"/>
    <x v="0"/>
    <x v="47"/>
    <d v="2026-10-11T00:00:00"/>
    <d v="2026-10-11T00:00:00"/>
    <d v="2026-11-18T00:00:00"/>
    <d v="2026-11-18T00:00:00"/>
    <x v="19"/>
    <s v="CIF"/>
    <s v="APL VANDA 0MEOXW1MA"/>
    <s v="COSCO"/>
    <s v="TPVB20260903008"/>
    <s v="COSU9510115320"/>
    <s v="COSU9510115320"/>
    <n v="44"/>
    <m/>
    <d v="2026-11-18T00:00:00"/>
    <x v="1"/>
    <s v=""/>
    <n v="8"/>
    <d v="2026-11-26T00:00:00"/>
    <x v="0"/>
    <x v="9"/>
    <n v="48"/>
    <s v="AEM"/>
    <m/>
  </r>
  <r>
    <x v="207"/>
    <s v="WUXI"/>
    <s v="26SEP008"/>
    <s v="CORE DG"/>
    <s v="Internal"/>
    <x v="1"/>
    <m/>
    <m/>
    <m/>
    <m/>
    <m/>
    <m/>
    <m/>
    <x v="6"/>
    <s v="Rechargeable Li-ion Battery"/>
    <x v="6"/>
    <m/>
    <x v="84"/>
    <m/>
    <m/>
    <n v="1.7101449275362319"/>
    <s v="CT08&amp;CT09"/>
    <s v="W38 PICK-UP"/>
    <s v="IN-TRANSIT"/>
    <d v="2026-09-14T00:00:00"/>
    <d v="2026-09-20T00:00:00"/>
    <n v="39"/>
    <x v="55"/>
    <m/>
    <s v="SHANGHAI"/>
    <s v="Shanghai"/>
    <x v="2"/>
    <x v="48"/>
    <d v="2026-10-03T00:00:00"/>
    <d v="2026-10-05T00:00:00"/>
    <d v="2026-11-14T00:00:00"/>
    <d v="2026-11-14T00:00:00"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8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IN-TRANSIT"/>
    <d v="2026-09-14T00:00:00"/>
    <d v="2026-09-20T00:00:00"/>
    <n v="39"/>
    <x v="55"/>
    <m/>
    <s v="SHANGHAI"/>
    <s v="Shanghai"/>
    <x v="2"/>
    <x v="48"/>
    <d v="2026-10-03T00:00:00"/>
    <d v="2026-10-05T00:00:00"/>
    <d v="2026-11-14T00:00:00"/>
    <d v="2026-11-14T00:00:00"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9"/>
    <s v="WUXI"/>
    <s v="26SEP008"/>
    <s v="CORE DG"/>
    <s v="Internal"/>
    <x v="4"/>
    <m/>
    <m/>
    <m/>
    <m/>
    <m/>
    <m/>
    <m/>
    <x v="6"/>
    <s v="Rechargeable Li-ion Battery"/>
    <x v="6"/>
    <m/>
    <x v="12"/>
    <m/>
    <m/>
    <n v="1"/>
    <s v="CT10"/>
    <s v="W39 PICK-UP"/>
    <s v="IN-TRANSIT"/>
    <d v="2026-09-22T00:00:00"/>
    <d v="2026-09-22T00:00:00"/>
    <n v="39"/>
    <x v="56"/>
    <m/>
    <s v="SHANGHAI"/>
    <s v="Shanghai"/>
    <x v="7"/>
    <x v="49"/>
    <d v="2026-10-08T00:00:00"/>
    <d v="2026-10-08T00:00:00"/>
    <d v="2026-11-01T00:00:00"/>
    <d v="2026-11-02T00:00:00"/>
    <x v="19"/>
    <s v="CIF"/>
    <s v="BANGKOK MAERSK/638W"/>
    <s v="OTHER"/>
    <s v="TPVB20260903004"/>
    <n v="276870378"/>
    <n v="276870378"/>
    <n v="28"/>
    <m/>
    <d v="2026-11-02T00:00:00"/>
    <x v="1"/>
    <s v=""/>
    <n v="9"/>
    <d v="2026-11-11T00:00:00"/>
    <x v="0"/>
    <x v="9"/>
    <n v="46"/>
    <s v="AEM"/>
    <m/>
  </r>
  <r>
    <x v="179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1"/>
    <s v="W39 PICK-UP"/>
    <s v=""/>
    <d v="2026-09-22T00:00:00"/>
    <d v="2026-09-24T00:00:00"/>
    <n v="39"/>
    <x v="57"/>
    <m/>
    <s v="SHANGHAI"/>
    <s v="Shanghai"/>
    <x v="0"/>
    <x v="50"/>
    <d v="2026-10-21T00:00:00"/>
    <m/>
    <d v="2026-11-25T00:00:00"/>
    <d v="2026-11-25T00:00:00"/>
    <x v="19"/>
    <s v="CIF"/>
    <s v="UMM QARN / 642W"/>
    <s v="OTHER"/>
    <s v="TPVB20260903005"/>
    <n v="277022399"/>
    <n v="277022399"/>
    <n v="53"/>
    <m/>
    <d v="2026-11-25T00:00:00"/>
    <x v="1"/>
    <s v=""/>
    <n v="8"/>
    <d v="2026-12-03T00:00:00"/>
    <x v="0"/>
    <x v="10"/>
    <n v="49"/>
    <s v="AEM"/>
    <m/>
  </r>
  <r>
    <x v="210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d v="2026-09-28T00:00:00"/>
    <n v="40"/>
    <x v="58"/>
    <m/>
    <s v="SHANGHAI"/>
    <s v="Shanghai"/>
    <x v="0"/>
    <x v="51"/>
    <d v="2026-10-16T00:00:00"/>
    <m/>
    <d v="2026-12-02T00:00:00"/>
    <d v="2026-11-25T00:00:00"/>
    <x v="19"/>
    <s v="CIF"/>
    <s v="AL NEFUD / 640W"/>
    <s v="OTHER"/>
    <s v="TPVB20260903007"/>
    <n v="277259035"/>
    <n v="277259035"/>
    <n v="56"/>
    <m/>
    <d v="2026-11-25T00:00:00"/>
    <x v="1"/>
    <s v=""/>
    <n v="8"/>
    <d v="2026-12-03T00:00:00"/>
    <x v="0"/>
    <x v="10"/>
    <n v="49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9T00:00:00"/>
    <m/>
    <n v="0"/>
    <x v="7"/>
    <m/>
    <s v="SHANGHAI"/>
    <s v="Shanghai"/>
    <x v="0"/>
    <x v="52"/>
    <d v="2026-10-21T00:00:00"/>
    <m/>
    <d v="2026-12-02T00:00:00"/>
    <d v="2026-11-25T00:00:00"/>
    <x v="19"/>
    <s v="CIF"/>
    <s v="UMM QARN / 642W"/>
    <s v="OTHER"/>
    <s v="TPVB20260921002"/>
    <n v="277716563"/>
    <n v="277716563"/>
    <n v="46"/>
    <m/>
    <d v="2026-11-25T00:00:00"/>
    <x v="1"/>
    <s v=""/>
    <n v="8"/>
    <d v="2026-12-03T00:00:00"/>
    <x v="0"/>
    <x v="10"/>
    <n v="49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53"/>
    <d v="2026-11-03T00:00:00"/>
    <m/>
    <d v="2026-12-09T00:00:00"/>
    <d v="2026-12-09T00:00:00"/>
    <x v="19"/>
    <s v="CIF"/>
    <s v="BERLIN MAERSK 641W"/>
    <s v="OTHER"/>
    <s v="TPVB20260921003"/>
    <n v="277763518"/>
    <n v="277763518"/>
    <n v="50"/>
    <m/>
    <d v="2026-12-09T00:00:00"/>
    <x v="1"/>
    <s v=""/>
    <n v="8"/>
    <d v="2026-12-17T00:00:00"/>
    <x v="0"/>
    <x v="10"/>
    <n v="51"/>
    <s v="AEM"/>
    <m/>
  </r>
  <r>
    <x v="196"/>
    <s v="Huizhou"/>
    <s v="Main Line"/>
    <s v="CORE DG"/>
    <s v="Internal"/>
    <x v="1"/>
    <m/>
    <m/>
    <m/>
    <m/>
    <m/>
    <m/>
    <m/>
    <x v="38"/>
    <s v="Hybrid Inverter"/>
    <x v="34"/>
    <m/>
    <x v="8"/>
    <m/>
    <m/>
    <n v="6.25E-2"/>
    <s v="CT18-20GP"/>
    <s v="W39 PICK-UP"/>
    <s v=""/>
    <d v="2026-10-30T00:00:00"/>
    <m/>
    <n v="0"/>
    <x v="7"/>
    <m/>
    <s v="SHENZHEN"/>
    <s v="Shenzhen"/>
    <x v="2"/>
    <x v="54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3"/>
    <s v="Huizhou"/>
    <s v="Main Line"/>
    <s v="CORE DG"/>
    <s v="Internal"/>
    <x v="1"/>
    <m/>
    <m/>
    <m/>
    <m/>
    <m/>
    <m/>
    <m/>
    <x v="39"/>
    <s v="Hybrid Inverter"/>
    <x v="35"/>
    <m/>
    <x v="78"/>
    <m/>
    <m/>
    <n v="0.125"/>
    <s v="CT18-20GP"/>
    <s v="W39 PICK-UP"/>
    <s v=""/>
    <d v="2026-10-30T00:00:00"/>
    <m/>
    <n v="0"/>
    <x v="7"/>
    <m/>
    <s v="SHENZHEN"/>
    <s v="Shenzhen"/>
    <x v="2"/>
    <x v="54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4"/>
    <s v="Huizhou"/>
    <s v="Main Line"/>
    <s v="CORE DG"/>
    <s v="Internal"/>
    <x v="1"/>
    <m/>
    <m/>
    <m/>
    <m/>
    <m/>
    <m/>
    <m/>
    <x v="40"/>
    <s v="Hybrid Inverter"/>
    <x v="36"/>
    <m/>
    <x v="78"/>
    <m/>
    <m/>
    <n v="0.125"/>
    <s v="CT18-20GP"/>
    <s v="W39 PICK-UP"/>
    <s v=""/>
    <d v="2026-10-30T00:00:00"/>
    <m/>
    <n v="0"/>
    <x v="7"/>
    <m/>
    <s v="SHENZHEN"/>
    <s v="Shenzhen"/>
    <x v="2"/>
    <x v="54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5"/>
    <s v="Huizhou"/>
    <s v="Main Line"/>
    <s v="CORE DG"/>
    <s v="Internal"/>
    <x v="1"/>
    <m/>
    <m/>
    <m/>
    <m/>
    <m/>
    <m/>
    <m/>
    <x v="41"/>
    <s v="TCL BlueArk X1 8kwh master pack"/>
    <x v="37"/>
    <m/>
    <x v="4"/>
    <m/>
    <m/>
    <n v="0.41666666666666669"/>
    <s v="CT18-20GP"/>
    <s v="W39 PICK-UP"/>
    <s v=""/>
    <d v="2026-10-30T00:00:00"/>
    <m/>
    <n v="0"/>
    <x v="7"/>
    <m/>
    <s v="SHENZHEN"/>
    <s v="Shenzhen"/>
    <x v="2"/>
    <x v="54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6"/>
    <s v="Huizhou"/>
    <s v="Main Line"/>
    <s v="CORE DG"/>
    <s v="Internal"/>
    <x v="1"/>
    <m/>
    <m/>
    <m/>
    <m/>
    <m/>
    <m/>
    <m/>
    <x v="42"/>
    <s v="TCL BlueArk X1 8kwh slave pack"/>
    <x v="38"/>
    <m/>
    <x v="1"/>
    <m/>
    <m/>
    <n v="0.16666666666666666"/>
    <s v="CT18-20GP"/>
    <s v="W39 PICK-UP"/>
    <s v=""/>
    <d v="2026-10-30T00:00:00"/>
    <m/>
    <n v="0"/>
    <x v="7"/>
    <m/>
    <s v="SHENZHEN"/>
    <s v="Shenzhen"/>
    <x v="2"/>
    <x v="54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7"/>
    <s v="Huizhou "/>
    <s v="Main Line"/>
    <s v="CORE DG"/>
    <s v="Internal"/>
    <x v="1"/>
    <m/>
    <m/>
    <m/>
    <m/>
    <m/>
    <m/>
    <m/>
    <x v="43"/>
    <s v="Energy Storage Accessories"/>
    <x v="39"/>
    <m/>
    <x v="50"/>
    <m/>
    <m/>
    <n v="0.10416666666666667"/>
    <s v="CT18-20GP"/>
    <s v="W39 PICK-UP"/>
    <s v=""/>
    <d v="2026-09-25T00:00:00"/>
    <m/>
    <n v="0"/>
    <x v="7"/>
    <m/>
    <s v="SHENZHEN"/>
    <s v="Shenzhen"/>
    <x v="2"/>
    <x v="54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8"/>
    <s v="Huizhou "/>
    <s v="Main Line"/>
    <s v="n/a"/>
    <s v="n/a"/>
    <x v="0"/>
    <m/>
    <s v="TCL Energy Solution Co.,Ltd"/>
    <m/>
    <m/>
    <m/>
    <m/>
    <m/>
    <x v="35"/>
    <s v="TCL BlueArk X1 8kw inverter"/>
    <x v="36"/>
    <m/>
    <x v="85"/>
    <m/>
    <m/>
    <n v="0.43548387096774194"/>
    <s v="CT19-20GP"/>
    <s v="W35 PICKUP"/>
    <s v="COMPLETED"/>
    <d v="2026-08-29T00:00:00"/>
    <d v="2026-09-10T00:00:00"/>
    <n v="37"/>
    <x v="59"/>
    <m/>
    <s v="SHENZHEN"/>
    <s v="SHEKOU"/>
    <x v="9"/>
    <x v="55"/>
    <d v="2026-09-12T00:00:00"/>
    <d v="2026-09-13T00:00:00"/>
    <d v="2026-09-17T00:00:00"/>
    <d v="2026-09-20T00:00:00"/>
    <x v="33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19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85"/>
    <m/>
    <m/>
    <n v="0.43548387096774194"/>
    <s v="CT19-20GP"/>
    <s v="W35 PICKUP"/>
    <s v="COMPLETED"/>
    <d v="2026-08-29T00:00:00"/>
    <d v="2026-09-10T00:00:00"/>
    <n v="37"/>
    <x v="59"/>
    <m/>
    <s v="SHENZHEN"/>
    <s v="SHEKOU"/>
    <x v="9"/>
    <x v="55"/>
    <d v="2026-09-12T00:00:00"/>
    <d v="2026-09-13T00:00:00"/>
    <d v="2026-09-17T00:00:00"/>
    <d v="2026-09-20T00:00:00"/>
    <x v="33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20"/>
    <s v="Huizhou "/>
    <s v="Main Line"/>
    <s v="n/a"/>
    <s v="n/a"/>
    <x v="0"/>
    <m/>
    <s v="TCL Energy Solution Co.,Ltd"/>
    <m/>
    <m/>
    <m/>
    <m/>
    <m/>
    <x v="37"/>
    <s v="TCL BlueArk X1 8kwh slaver pack"/>
    <x v="38"/>
    <m/>
    <x v="25"/>
    <m/>
    <m/>
    <n v="0.12903225806451613"/>
    <s v="CT19-20GP"/>
    <s v="W35 PICKUP"/>
    <s v="COMPLETED"/>
    <d v="2026-08-29T00:00:00"/>
    <d v="2026-09-10T00:00:00"/>
    <n v="37"/>
    <x v="59"/>
    <m/>
    <s v="SHENZHEN"/>
    <s v="SHEKOU"/>
    <x v="9"/>
    <x v="55"/>
    <d v="2026-09-12T00:00:00"/>
    <d v="2026-09-13T00:00:00"/>
    <d v="2026-09-17T00:00:00"/>
    <d v="2026-09-20T00:00:00"/>
    <x v="33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21"/>
    <s v="Xuancheng"/>
    <s v="Main Line"/>
    <s v="n/a"/>
    <s v="n/a"/>
    <x v="0"/>
    <m/>
    <s v="TCL Energy Solution Co.,Ltd"/>
    <m/>
    <m/>
    <m/>
    <m/>
    <m/>
    <x v="44"/>
    <s v="Hybrid Inverter"/>
    <x v="40"/>
    <m/>
    <x v="86"/>
    <m/>
    <m/>
    <n v="0.42"/>
    <s v="CT20"/>
    <s v="W44 PICKUP"/>
    <s v=""/>
    <d v="2026-10-29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2"/>
    <s v="Xuancheng"/>
    <s v="Main Line"/>
    <s v="n/a"/>
    <s v="n/a"/>
    <x v="0"/>
    <m/>
    <s v="TCL Energy Solution Co.,Ltd"/>
    <m/>
    <m/>
    <m/>
    <m/>
    <m/>
    <x v="45"/>
    <s v="Hybrid Inverter"/>
    <x v="41"/>
    <m/>
    <x v="25"/>
    <m/>
    <m/>
    <n v="0.08"/>
    <s v="CT20"/>
    <s v="W44 PICKUP"/>
    <s v=""/>
    <d v="2026-10-29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3"/>
    <s v="Xuancheng"/>
    <s v="Main Line"/>
    <s v="n/a"/>
    <s v="n/a"/>
    <x v="0"/>
    <m/>
    <s v="TCL Energy Solution Co.,Ltd"/>
    <m/>
    <m/>
    <m/>
    <m/>
    <m/>
    <x v="46"/>
    <s v="Rechargeable Li-ion Battery"/>
    <x v="42"/>
    <m/>
    <x v="87"/>
    <m/>
    <m/>
    <n v="0.495"/>
    <s v="CT20"/>
    <s v="W44 PICKUP"/>
    <s v=""/>
    <d v="2026-10-29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4"/>
    <s v="Xuancheng"/>
    <s v="Main Line"/>
    <s v="n/a"/>
    <s v="n/a"/>
    <x v="0"/>
    <m/>
    <s v="TCL Energy Solution Co.,Ltd"/>
    <m/>
    <m/>
    <m/>
    <m/>
    <m/>
    <x v="46"/>
    <s v="Rechargeable Li-ion Battery"/>
    <x v="42"/>
    <m/>
    <x v="10"/>
    <m/>
    <m/>
    <n v="5.0000000000000001E-3"/>
    <s v="CT20"/>
    <s v="W44 PICKUP"/>
    <s v=""/>
    <d v="2026-10-29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5"/>
    <s v="Huizhou"/>
    <s v="Main Line"/>
    <s v="n/a"/>
    <s v="n/a"/>
    <x v="0"/>
    <m/>
    <s v="TCL Energy Solution Co.,Ltd"/>
    <m/>
    <m/>
    <m/>
    <m/>
    <m/>
    <x v="47"/>
    <s v="C&amp;I ESS"/>
    <x v="43"/>
    <m/>
    <x v="21"/>
    <m/>
    <m/>
    <n v="1"/>
    <s v="CT21-20GP"/>
    <s v="W38 PICKUP"/>
    <s v="COMPLETED"/>
    <d v="2026-09-14T00:00:00"/>
    <d v="2026-09-24T00:00:00"/>
    <n v="39"/>
    <x v="7"/>
    <m/>
    <s v="NANSHA"/>
    <s v="NANSHA"/>
    <x v="11"/>
    <x v="56"/>
    <d v="2026-09-30T00:00:00"/>
    <d v="2026-09-30T00:00:00"/>
    <d v="2026-10-04T00:00:00"/>
    <d v="2026-10-06T00:00:00"/>
    <x v="31"/>
    <s v="CIF"/>
    <s v="MERATUS TOMINI / 638S"/>
    <s v="OTHER"/>
    <s v="TPVO2026091101"/>
    <n v="277328350"/>
    <n v="277328350"/>
    <n v="5"/>
    <m/>
    <d v="2026-10-06T00:00:00"/>
    <x v="1"/>
    <s v=""/>
    <n v="14"/>
    <d v="2026-10-20T00:00:00"/>
    <x v="0"/>
    <x v="7"/>
    <n v="43"/>
    <s v="n/a"/>
    <m/>
  </r>
  <r>
    <x v="226"/>
    <s v="Huizhou"/>
    <s v="Main Line"/>
    <s v="n/a"/>
    <s v="n/a"/>
    <x v="0"/>
    <m/>
    <s v="TCL Energy Solution Co.,Ltd"/>
    <m/>
    <m/>
    <m/>
    <m/>
    <m/>
    <x v="47"/>
    <s v="C&amp;I ESS"/>
    <x v="43"/>
    <m/>
    <x v="21"/>
    <m/>
    <m/>
    <n v="1"/>
    <s v="CT22-20GP"/>
    <s v="W41 PICKUP"/>
    <s v=""/>
    <d v="2026-10-09T00:00:00"/>
    <m/>
    <n v="0"/>
    <x v="7"/>
    <m/>
    <s v="NANSHA"/>
    <s v="NANSHA"/>
    <x v="11"/>
    <x v="57"/>
    <d v="2026-10-23T00:00:00"/>
    <m/>
    <d v="2026-10-30T00:00:00"/>
    <d v="2026-10-30T00:00:00"/>
    <x v="19"/>
    <s v="CIF"/>
    <s v="SHENG LI JI/643S"/>
    <s v="OTHER"/>
    <s v="TPVO2026092502"/>
    <n v="279061500"/>
    <n v="279061500"/>
    <n v="8"/>
    <m/>
    <d v="2026-10-30T00:00:00"/>
    <x v="1"/>
    <s v=""/>
    <n v="14"/>
    <d v="2026-11-13T00:00:00"/>
    <x v="0"/>
    <x v="9"/>
    <n v="46"/>
    <s v="n/a"/>
    <m/>
  </r>
  <r>
    <x v="227"/>
    <s v="Huizhou"/>
    <s v="Main Line"/>
    <s v="n/a"/>
    <s v="n/a"/>
    <x v="0"/>
    <m/>
    <s v="TCL Energy Solution Co.,Ltd"/>
    <m/>
    <m/>
    <m/>
    <m/>
    <m/>
    <x v="48"/>
    <s v="Hybrid Inverter"/>
    <x v="36"/>
    <m/>
    <x v="15"/>
    <m/>
    <m/>
    <n v="0.6"/>
    <s v="CT23-20GP"/>
    <s v="W42 PICKUP"/>
    <s v=""/>
    <d v="2026-10-15T00:00:00"/>
    <m/>
    <n v="0"/>
    <x v="7"/>
    <m/>
    <s v="NANSHA"/>
    <s v="NANSHA"/>
    <x v="11"/>
    <x v="58"/>
    <d v="2026-10-23T00:00:00"/>
    <m/>
    <d v="2026-11-01T00:00:00"/>
    <d v="2026-10-30T00:00:00"/>
    <x v="19"/>
    <s v="CIF"/>
    <s v="SHENG LI JI/643S"/>
    <s v="OTHER"/>
    <s v="TPVO2026092501"/>
    <n v="279119773"/>
    <n v="279119773"/>
    <n v="5"/>
    <m/>
    <d v="2026-10-30T00:00:00"/>
    <x v="1"/>
    <s v=""/>
    <n v="14"/>
    <d v="2026-11-13T00:00:00"/>
    <x v="0"/>
    <x v="9"/>
    <n v="46"/>
    <s v="n/a"/>
    <m/>
  </r>
  <r>
    <x v="228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28"/>
    <m/>
    <m/>
    <n v="0.4"/>
    <s v="CT23-20GP"/>
    <s v="W42 PICKUP"/>
    <s v=""/>
    <d v="2026-10-15T00:00:00"/>
    <m/>
    <n v="0"/>
    <x v="7"/>
    <m/>
    <s v="NANSHA"/>
    <s v="NANSHA"/>
    <x v="11"/>
    <x v="58"/>
    <d v="2026-10-23T00:00:00"/>
    <m/>
    <d v="2026-11-01T00:00:00"/>
    <d v="2026-10-30T00:00:00"/>
    <x v="19"/>
    <s v="CIF"/>
    <s v="SHENG LI JI/643S"/>
    <s v="OTHER"/>
    <s v="TPVO2026092501"/>
    <n v="279119773"/>
    <n v="279119773"/>
    <n v="5"/>
    <m/>
    <d v="2026-10-30T00:00:00"/>
    <x v="1"/>
    <s v=""/>
    <n v="14"/>
    <d v="2026-11-13T00:00:00"/>
    <x v="0"/>
    <x v="9"/>
    <n v="46"/>
    <s v="n/a"/>
    <m/>
  </r>
  <r>
    <x v="229"/>
    <s v="Huizhou"/>
    <s v="Main Line"/>
    <s v="n/a"/>
    <s v="n/a"/>
    <x v="0"/>
    <m/>
    <s v="TCL Energy Solution Co.,Ltd"/>
    <m/>
    <m/>
    <m/>
    <m/>
    <m/>
    <x v="48"/>
    <s v="Hybrid Inverter"/>
    <x v="36"/>
    <m/>
    <x v="88"/>
    <m/>
    <m/>
    <n v="0.29268292682926828"/>
    <s v="CT24-20GP"/>
    <s v="W42 PICKUP"/>
    <s v=""/>
    <d v="2026-10-18T00:00:00"/>
    <m/>
    <n v="0"/>
    <x v="7"/>
    <m/>
    <m/>
    <m/>
    <x v="12"/>
    <x v="54"/>
    <m/>
    <m/>
    <m/>
    <m/>
    <x v="19"/>
    <s v="CIF"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30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88"/>
    <m/>
    <m/>
    <n v="0.29268292682926828"/>
    <s v="CT24-20GP"/>
    <s v="W42 PICKUP"/>
    <s v=""/>
    <d v="2026-10-18T00:00:00"/>
    <m/>
    <n v="0"/>
    <x v="7"/>
    <m/>
    <m/>
    <m/>
    <x v="12"/>
    <x v="54"/>
    <m/>
    <m/>
    <m/>
    <m/>
    <x v="19"/>
    <s v="CIF"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31"/>
    <s v="Huizhou "/>
    <s v="Main Line"/>
    <s v="n/a"/>
    <s v="n/a"/>
    <x v="0"/>
    <m/>
    <s v="TCL Energy Solution Co.,Ltd"/>
    <m/>
    <m/>
    <m/>
    <m/>
    <m/>
    <x v="37"/>
    <s v="TCL BlueArk X1 8kwh slaver pack"/>
    <x v="38"/>
    <m/>
    <x v="88"/>
    <m/>
    <m/>
    <n v="0.29268292682926828"/>
    <s v="CT24-20GP"/>
    <s v="W42 PICKUP"/>
    <s v=""/>
    <d v="2026-10-18T00:00:00"/>
    <m/>
    <n v="0"/>
    <x v="7"/>
    <m/>
    <m/>
    <m/>
    <x v="12"/>
    <x v="54"/>
    <m/>
    <m/>
    <m/>
    <m/>
    <x v="19"/>
    <s v="CIF"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32"/>
    <s v="Huizhou "/>
    <s v="Main Line"/>
    <s v="n/a"/>
    <m/>
    <x v="0"/>
    <m/>
    <s v="TCL Energy Solution Co.,Ltd"/>
    <m/>
    <m/>
    <m/>
    <m/>
    <m/>
    <x v="49"/>
    <s v="Inverter Dummy"/>
    <x v="44"/>
    <m/>
    <x v="89"/>
    <m/>
    <m/>
    <n v="4.065040650406504E-2"/>
    <s v="CT24-20GP"/>
    <s v="W42 PICKUP"/>
    <s v=""/>
    <d v="2026-10-18T00:00:00"/>
    <m/>
    <n v="0"/>
    <x v="7"/>
    <m/>
    <m/>
    <m/>
    <x v="12"/>
    <x v="54"/>
    <m/>
    <m/>
    <m/>
    <m/>
    <x v="19"/>
    <s v="CIF"/>
    <m/>
    <m/>
    <m/>
    <m/>
    <m/>
    <n v="1"/>
    <m/>
    <d v="1899-12-30T00:00:00"/>
    <x v="1"/>
    <d v="1899-12-30T00:00:00"/>
    <n v="14"/>
    <d v="1900-01-13T00:00:00"/>
    <x v="1"/>
    <x v="11"/>
    <n v="2"/>
    <e v="#N/A"/>
    <m/>
  </r>
  <r>
    <x v="233"/>
    <s v="Huizhou "/>
    <s v="Main Line"/>
    <s v="n/a"/>
    <m/>
    <x v="0"/>
    <m/>
    <s v="TCL Energy Solution Co.,Ltd"/>
    <m/>
    <m/>
    <m/>
    <m/>
    <m/>
    <x v="50"/>
    <s v="Battery pack Dummy"/>
    <x v="45"/>
    <m/>
    <x v="89"/>
    <m/>
    <m/>
    <n v="4.065040650406504E-2"/>
    <s v="CT24-20GP"/>
    <s v="W42 PICKUP"/>
    <s v=""/>
    <d v="2026-10-18T00:00:00"/>
    <m/>
    <n v="0"/>
    <x v="7"/>
    <m/>
    <m/>
    <m/>
    <x v="12"/>
    <x v="54"/>
    <m/>
    <m/>
    <m/>
    <m/>
    <x v="19"/>
    <s v="CIF"/>
    <m/>
    <m/>
    <m/>
    <m/>
    <m/>
    <n v="1"/>
    <m/>
    <d v="1899-12-30T00:00:00"/>
    <x v="1"/>
    <d v="1899-12-30T00:00:00"/>
    <n v="14"/>
    <d v="1900-01-13T00:00:00"/>
    <x v="1"/>
    <x v="11"/>
    <n v="2"/>
    <e v="#N/A"/>
    <m/>
  </r>
  <r>
    <x v="234"/>
    <s v="Huizhou "/>
    <s v="Main Line"/>
    <s v="n/a"/>
    <m/>
    <x v="0"/>
    <m/>
    <s v="TCL Energy Solution Co.,Ltd"/>
    <m/>
    <m/>
    <m/>
    <m/>
    <m/>
    <x v="51"/>
    <s v="Battery pack Dummy"/>
    <x v="46"/>
    <m/>
    <x v="89"/>
    <m/>
    <m/>
    <n v="4.065040650406504E-2"/>
    <s v="CT24-20GP"/>
    <s v="W42 PICKUP"/>
    <s v=""/>
    <d v="2026-10-18T00:00:00"/>
    <m/>
    <n v="0"/>
    <x v="7"/>
    <m/>
    <m/>
    <m/>
    <x v="12"/>
    <x v="54"/>
    <m/>
    <m/>
    <m/>
    <m/>
    <x v="19"/>
    <s v="CIF"/>
    <m/>
    <m/>
    <m/>
    <m/>
    <m/>
    <n v="1"/>
    <m/>
    <d v="1899-12-30T00:00:00"/>
    <x v="1"/>
    <d v="1899-12-30T00:00:00"/>
    <n v="14"/>
    <d v="1900-01-13T00:00:00"/>
    <x v="1"/>
    <x v="11"/>
    <n v="2"/>
    <e v="#N/A"/>
    <m/>
  </r>
  <r>
    <x v="235"/>
    <s v="Huizhou "/>
    <s v="Main Line"/>
    <s v="CORE DG"/>
    <s v="Internal"/>
    <x v="1"/>
    <m/>
    <m/>
    <m/>
    <m/>
    <m/>
    <m/>
    <m/>
    <x v="47"/>
    <s v="C&amp;I ESS"/>
    <x v="43"/>
    <m/>
    <x v="25"/>
    <m/>
    <m/>
    <n v="1"/>
    <s v="CT25"/>
    <s v="W41 PICKUP"/>
    <s v=""/>
    <d v="2026-10-08T00:00:00"/>
    <d v="2026-10-12T00:00:00"/>
    <n v="42"/>
    <x v="7"/>
    <m/>
    <s v="SHENZHEN"/>
    <m/>
    <x v="2"/>
    <x v="59"/>
    <d v="2026-10-19T00:00:00"/>
    <m/>
    <d v="2026-11-23T00:00:00"/>
    <d v="2026-11-21T00:00:00"/>
    <x v="19"/>
    <s v="CIF"/>
    <s v="DAMIETTA EXPRESS / 640W"/>
    <s v="OTHER"/>
    <s v="TPVB20260921004"/>
    <n v="277702299"/>
    <n v="277702299"/>
    <n v="42"/>
    <m/>
    <d v="2026-11-21T00:00:00"/>
    <x v="1"/>
    <s v=""/>
    <n v="7"/>
    <d v="2026-11-28T00:00:00"/>
    <x v="0"/>
    <x v="9"/>
    <n v="48"/>
    <s v="AEU"/>
    <m/>
  </r>
  <r>
    <x v="236"/>
    <s v="Huizhou "/>
    <s v="Main Line"/>
    <s v="CORE DG"/>
    <s v="Internal"/>
    <x v="3"/>
    <m/>
    <m/>
    <m/>
    <m/>
    <m/>
    <m/>
    <m/>
    <x v="52"/>
    <s v="C&amp;I ESS"/>
    <x v="47"/>
    <m/>
    <x v="89"/>
    <m/>
    <m/>
    <m/>
    <m/>
    <m/>
    <s v=""/>
    <m/>
    <m/>
    <n v="0"/>
    <x v="7"/>
    <m/>
    <m/>
    <m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37"/>
    <s v="WUXI"/>
    <s v="Main Line"/>
    <s v="CORE DG"/>
    <s v="Internal"/>
    <x v="1"/>
    <m/>
    <m/>
    <m/>
    <m/>
    <m/>
    <m/>
    <m/>
    <x v="7"/>
    <s v="Hybrid Inverter"/>
    <x v="7"/>
    <m/>
    <x v="66"/>
    <m/>
    <m/>
    <n v="8.8461538461538466E-2"/>
    <s v="CT01"/>
    <s v="W39 PICK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d v="2026-11-12T00:00:00"/>
    <x v="19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38"/>
    <s v="WUXI"/>
    <s v="Main Line"/>
    <s v="CORE DG"/>
    <s v="Internal"/>
    <x v="1"/>
    <m/>
    <m/>
    <m/>
    <m/>
    <m/>
    <m/>
    <m/>
    <x v="7"/>
    <s v="Hybrid Inverter"/>
    <x v="7"/>
    <m/>
    <x v="10"/>
    <m/>
    <m/>
    <n v="3.8461538461538464E-3"/>
    <s v="CT01"/>
    <s v="W39 PICK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d v="2026-11-12T00:00:00"/>
    <x v="19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39"/>
    <s v="WUXI"/>
    <s v="26OCT002"/>
    <s v="CORE DG"/>
    <s v="Internal"/>
    <x v="1"/>
    <m/>
    <m/>
    <m/>
    <m/>
    <m/>
    <m/>
    <m/>
    <x v="2"/>
    <s v="Hybrid Inverter"/>
    <x v="2"/>
    <m/>
    <x v="73"/>
    <m/>
    <m/>
    <n v="0.25384615384615383"/>
    <s v="CT01"/>
    <s v="W39 PICK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d v="2026-11-12T00:00:00"/>
    <x v="19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0"/>
    <s v="WUXI"/>
    <s v="Main Line"/>
    <s v="CORE DG"/>
    <s v="Internal"/>
    <x v="1"/>
    <m/>
    <m/>
    <m/>
    <m/>
    <m/>
    <m/>
    <m/>
    <x v="2"/>
    <s v="Hybrid Inverter"/>
    <x v="2"/>
    <m/>
    <x v="5"/>
    <m/>
    <m/>
    <n v="3.8461538461538464E-2"/>
    <s v="CT01"/>
    <s v="W39 PICK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d v="2026-11-12T00:00:00"/>
    <x v="19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1"/>
    <s v="WUXI"/>
    <s v="Main Line"/>
    <s v="CORE DG"/>
    <s v="Internal"/>
    <x v="1"/>
    <m/>
    <m/>
    <m/>
    <m/>
    <m/>
    <m/>
    <m/>
    <x v="4"/>
    <s v="Hybrid Inverter"/>
    <x v="4"/>
    <m/>
    <x v="55"/>
    <m/>
    <m/>
    <n v="0.11153846153846154"/>
    <s v="CT01"/>
    <s v="W39 PICK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d v="2026-11-12T00:00:00"/>
    <x v="19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2"/>
    <s v="WUXI"/>
    <s v="Main Line"/>
    <s v="CORE DG"/>
    <s v="Internal"/>
    <x v="1"/>
    <m/>
    <m/>
    <m/>
    <m/>
    <m/>
    <m/>
    <m/>
    <x v="4"/>
    <s v="Hybrid Inverter"/>
    <x v="4"/>
    <m/>
    <x v="10"/>
    <m/>
    <m/>
    <n v="3.8461538461538464E-3"/>
    <s v="CT01"/>
    <s v="W39 PICK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d v="2026-11-12T00:00:00"/>
    <x v="19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3"/>
    <s v="WUXI"/>
    <s v="26OCT004"/>
    <s v="CORE DG"/>
    <s v="Internal"/>
    <x v="1"/>
    <m/>
    <m/>
    <m/>
    <m/>
    <m/>
    <m/>
    <m/>
    <x v="5"/>
    <s v="High voltage distribution box"/>
    <x v="5"/>
    <m/>
    <x v="90"/>
    <m/>
    <m/>
    <n v="0.45769230769230768"/>
    <s v="CT01"/>
    <s v="W39 PICK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d v="2026-11-12T00:00:00"/>
    <x v="19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4"/>
    <s v="WUXI"/>
    <s v="Main Line"/>
    <s v="CORE DG"/>
    <s v="Internal"/>
    <x v="1"/>
    <m/>
    <m/>
    <m/>
    <m/>
    <m/>
    <m/>
    <m/>
    <x v="5"/>
    <s v="High voltage distribution box"/>
    <x v="5"/>
    <m/>
    <x v="91"/>
    <m/>
    <m/>
    <n v="4.230769230769231E-2"/>
    <s v="CT01"/>
    <s v="W39 PICKUP"/>
    <s v="IN-TRANSIT"/>
    <d v="2026-09-21T00:00:00"/>
    <d v="2026-09-22T00:00:00"/>
    <n v="39"/>
    <x v="60"/>
    <m/>
    <s v="SHANGHAI"/>
    <s v="Shanghai"/>
    <x v="2"/>
    <x v="45"/>
    <d v="2026-09-29T00:00:00"/>
    <d v="2026-09-29T00:00:00"/>
    <d v="2026-10-31T00:00:00"/>
    <d v="2026-11-12T00:00:00"/>
    <x v="19"/>
    <s v="CIF"/>
    <s v="EVER ALLY 1419-004W"/>
    <s v="COSCO"/>
    <s v="TPVB20260921001"/>
    <s v="COSU6468636810"/>
    <s v="COSU6468636810"/>
    <n v="37"/>
    <m/>
    <d v="2026-11-12T00:00:00"/>
    <x v="1"/>
    <s v=""/>
    <n v="7"/>
    <d v="2026-11-19T00:00:00"/>
    <x v="0"/>
    <x v="9"/>
    <n v="47"/>
    <s v="AEU"/>
    <m/>
  </r>
  <r>
    <x v="245"/>
    <s v="WUXI"/>
    <s v="Main Line"/>
    <s v="CORE DG"/>
    <s v="Internal"/>
    <x v="6"/>
    <m/>
    <m/>
    <m/>
    <m/>
    <m/>
    <m/>
    <m/>
    <x v="0"/>
    <s v="1P meter"/>
    <x v="0"/>
    <m/>
    <x v="44"/>
    <m/>
    <m/>
    <n v="0.83076923076923082"/>
    <s v="CT02"/>
    <s v="W42 PICKUP"/>
    <m/>
    <d v="2026-10-12T00:00:00"/>
    <d v="2026-10-16T00:00:00"/>
    <n v="42"/>
    <x v="7"/>
    <m/>
    <s v="SHANGHAI"/>
    <s v="Shanghai"/>
    <x v="13"/>
    <x v="57"/>
    <d v="2026-10-23T00:00:00"/>
    <m/>
    <d v="2026-12-09T00:00:00"/>
    <d v="2026-12-09T00:00:00"/>
    <x v="19"/>
    <s v="CIF"/>
    <s v="COSCO SHIPPING NEBULA/034W"/>
    <s v="COSCO"/>
    <s v="TPVB20260921006"/>
    <s v="COSU6469962990"/>
    <s v="COSU6469962990"/>
    <n v="48"/>
    <m/>
    <m/>
    <x v="1"/>
    <s v=""/>
    <m/>
    <m/>
    <x v="2"/>
    <x v="12"/>
    <m/>
    <m/>
    <m/>
  </r>
  <r>
    <x v="246"/>
    <s v="WUXI"/>
    <s v="26OCT002"/>
    <s v="CORE DG"/>
    <s v="Internal"/>
    <x v="6"/>
    <m/>
    <m/>
    <m/>
    <m/>
    <m/>
    <m/>
    <m/>
    <x v="2"/>
    <s v="Hybrid Inverter"/>
    <x v="2"/>
    <m/>
    <x v="67"/>
    <m/>
    <m/>
    <n v="0.5"/>
    <s v="CT02"/>
    <s v="W42 PICKUP"/>
    <s v=""/>
    <d v="2026-10-12T00:00:00"/>
    <d v="2026-10-16T00:00:00"/>
    <n v="42"/>
    <x v="7"/>
    <m/>
    <s v="SHANGHAI"/>
    <s v="Shanghai"/>
    <x v="13"/>
    <x v="57"/>
    <d v="2026-10-23T00:00:00"/>
    <m/>
    <d v="2026-12-09T00:00:00"/>
    <d v="2026-12-09T00:00:00"/>
    <x v="19"/>
    <s v="CIF"/>
    <s v="COSCO SHIPPING NEBULA/034W"/>
    <s v="COSCO"/>
    <s v="TPVB20260921006"/>
    <s v="COSU6469962990"/>
    <s v="COSU6469962990"/>
    <n v="48"/>
    <m/>
    <d v="2026-12-09T00:00:00"/>
    <x v="1"/>
    <s v=""/>
    <n v="10"/>
    <d v="2026-12-19T00:00:00"/>
    <x v="0"/>
    <x v="10"/>
    <n v="51"/>
    <s v="AEM"/>
    <m/>
  </r>
  <r>
    <x v="247"/>
    <s v="WUXI"/>
    <s v="26OCT004"/>
    <s v="CORE DG"/>
    <s v="Internal"/>
    <x v="6"/>
    <m/>
    <m/>
    <m/>
    <m/>
    <m/>
    <m/>
    <m/>
    <x v="5"/>
    <s v="High voltage distribution box"/>
    <x v="5"/>
    <m/>
    <x v="67"/>
    <m/>
    <m/>
    <n v="0.5"/>
    <s v="CT02"/>
    <s v="W42 PICKUP"/>
    <s v=""/>
    <d v="2026-10-12T00:00:00"/>
    <d v="2026-10-16T00:00:00"/>
    <n v="42"/>
    <x v="7"/>
    <m/>
    <s v="SHANGHAI"/>
    <s v="Shanghai"/>
    <x v="13"/>
    <x v="57"/>
    <d v="2026-10-23T00:00:00"/>
    <m/>
    <d v="2026-12-09T00:00:00"/>
    <d v="2026-12-09T00:00:00"/>
    <x v="19"/>
    <s v="CIF"/>
    <s v="COSCO SHIPPING NEBULA/034W"/>
    <s v="COSCO"/>
    <s v="TPVB20260921006"/>
    <s v="COSU6469962990"/>
    <s v="COSU6469962990"/>
    <n v="48"/>
    <m/>
    <d v="2026-12-09T00:00:00"/>
    <x v="1"/>
    <s v=""/>
    <n v="10"/>
    <d v="2026-12-19T00:00:00"/>
    <x v="0"/>
    <x v="10"/>
    <n v="51"/>
    <s v="AEM"/>
    <m/>
  </r>
  <r>
    <x v="248"/>
    <s v="WUXI"/>
    <s v="26OCT002"/>
    <s v="CORE DG"/>
    <s v="Internal"/>
    <x v="6"/>
    <m/>
    <m/>
    <m/>
    <m/>
    <m/>
    <m/>
    <m/>
    <x v="2"/>
    <s v="Hybrid Inverter"/>
    <x v="2"/>
    <m/>
    <x v="67"/>
    <m/>
    <m/>
    <n v="0.5"/>
    <s v="CT03"/>
    <s v="W42 PICKUP"/>
    <s v=""/>
    <d v="2026-10-12T00:00:00"/>
    <d v="2026-10-16T00:00:00"/>
    <n v="42"/>
    <x v="7"/>
    <m/>
    <s v="SHANGHAI"/>
    <s v="Shanghai"/>
    <x v="13"/>
    <x v="57"/>
    <d v="2026-10-23T00:00:00"/>
    <m/>
    <d v="2026-12-09T00:00:00"/>
    <d v="2026-12-09T00:00:00"/>
    <x v="19"/>
    <s v="CIF"/>
    <s v="COSCO SHIPPING NEBULA/034W"/>
    <s v="COSCO"/>
    <s v="TPVB20260921006"/>
    <s v="COSU6469962990"/>
    <s v="COSU6469962990"/>
    <n v="48"/>
    <m/>
    <d v="2026-12-09T00:00:00"/>
    <x v="1"/>
    <s v=""/>
    <n v="10"/>
    <d v="2026-12-19T00:00:00"/>
    <x v="0"/>
    <x v="10"/>
    <n v="51"/>
    <s v="AEM"/>
    <m/>
  </r>
  <r>
    <x v="249"/>
    <s v="WUXI"/>
    <s v="26OCT004"/>
    <s v="CORE DG"/>
    <s v="Internal"/>
    <x v="6"/>
    <m/>
    <m/>
    <m/>
    <m/>
    <m/>
    <m/>
    <m/>
    <x v="5"/>
    <s v="High voltage distribution box"/>
    <x v="5"/>
    <m/>
    <x v="67"/>
    <m/>
    <m/>
    <n v="0.5"/>
    <s v="CT03"/>
    <s v="W42 PICKUP"/>
    <s v=""/>
    <d v="2026-10-12T00:00:00"/>
    <d v="2026-10-16T00:00:00"/>
    <n v="42"/>
    <x v="7"/>
    <m/>
    <s v="SHANGHAI"/>
    <s v="Shanghai"/>
    <x v="13"/>
    <x v="57"/>
    <d v="2026-10-23T00:00:00"/>
    <m/>
    <d v="2026-12-09T00:00:00"/>
    <d v="2026-12-09T00:00:00"/>
    <x v="19"/>
    <s v="CIF"/>
    <s v="COSCO SHIPPING NEBULA/034W"/>
    <s v="COSCO"/>
    <s v="TPVB20260921006"/>
    <s v="COSU6469962990"/>
    <s v="COSU6469962990"/>
    <n v="48"/>
    <m/>
    <d v="2026-12-09T00:00:00"/>
    <x v="1"/>
    <s v=""/>
    <n v="10"/>
    <d v="2026-12-19T00:00:00"/>
    <x v="0"/>
    <x v="10"/>
    <n v="51"/>
    <s v="AEM"/>
    <m/>
  </r>
  <r>
    <x v="250"/>
    <s v="WUXI"/>
    <s v="26OCT005"/>
    <s v="CORE DG"/>
    <s v="Internal"/>
    <x v="6"/>
    <m/>
    <m/>
    <m/>
    <m/>
    <m/>
    <m/>
    <m/>
    <x v="6"/>
    <s v="Rechargeable Li-ion Battery"/>
    <x v="6"/>
    <m/>
    <x v="92"/>
    <m/>
    <m/>
    <n v="1.8840579710144927"/>
    <s v="CT04&amp;CT05"/>
    <s v="W42 PICKUP"/>
    <s v=""/>
    <d v="2026-10-17T00:00:00"/>
    <m/>
    <n v="0"/>
    <x v="7"/>
    <m/>
    <s v="SHANGHAI"/>
    <s v="Shanghai"/>
    <x v="13"/>
    <x v="60"/>
    <d v="2026-10-30T00:00:00"/>
    <m/>
    <d v="2026-12-02T00:00:00"/>
    <d v="2026-12-02T00:00:00"/>
    <x v="19"/>
    <s v="CIF"/>
    <s v="MAERSK HALIFAX 643W"/>
    <s v="OTHER"/>
    <s v="TPVB20260921005"/>
    <n v="277778182"/>
    <n v="277778182"/>
    <n v="44"/>
    <m/>
    <d v="2026-12-02T00:00:00"/>
    <x v="1"/>
    <s v=""/>
    <n v="10"/>
    <d v="2026-12-12T00:00:00"/>
    <x v="0"/>
    <x v="10"/>
    <n v="50"/>
    <s v="AEM"/>
    <m/>
  </r>
  <r>
    <x v="251"/>
    <s v="WUXI"/>
    <s v="Main Line"/>
    <s v="CORE DG"/>
    <s v="Internal"/>
    <x v="6"/>
    <m/>
    <m/>
    <m/>
    <m/>
    <m/>
    <m/>
    <m/>
    <x v="6"/>
    <s v="Rechargeable Li-ion Battery"/>
    <x v="6"/>
    <m/>
    <x v="36"/>
    <m/>
    <m/>
    <n v="0.11594202898550725"/>
    <s v="CT04&amp;CT05"/>
    <s v="W42 PICKUP"/>
    <s v=""/>
    <d v="2026-10-17T00:00:00"/>
    <m/>
    <n v="0"/>
    <x v="7"/>
    <m/>
    <s v="SHANGHAI"/>
    <s v="Shanghai"/>
    <x v="13"/>
    <x v="60"/>
    <d v="2026-10-30T00:00:00"/>
    <m/>
    <d v="2026-12-02T00:00:00"/>
    <d v="2026-12-02T00:00:00"/>
    <x v="19"/>
    <s v="CIF"/>
    <s v="MAERSK HALIFAX 643W"/>
    <s v="OTHER"/>
    <s v="TPVB20260921005"/>
    <n v="277778182"/>
    <n v="277778182"/>
    <n v="44"/>
    <m/>
    <d v="2026-12-02T00:00:00"/>
    <x v="1"/>
    <s v=""/>
    <n v="10"/>
    <d v="2026-12-12T00:00:00"/>
    <x v="0"/>
    <x v="10"/>
    <n v="50"/>
    <s v="AEM"/>
    <m/>
  </r>
  <r>
    <x v="252"/>
    <s v="WUXI"/>
    <s v="26OCT005"/>
    <s v="CORE DG"/>
    <s v="Internal"/>
    <x v="6"/>
    <m/>
    <m/>
    <m/>
    <m/>
    <m/>
    <m/>
    <m/>
    <x v="6"/>
    <s v="Rechargeable Li-ion Battery"/>
    <x v="6"/>
    <m/>
    <x v="12"/>
    <m/>
    <m/>
    <n v="1"/>
    <s v="CT06"/>
    <s v="W43 PICKUP"/>
    <s v=""/>
    <d v="2026-10-22T00:00:00"/>
    <m/>
    <n v="0"/>
    <x v="7"/>
    <m/>
    <s v="SHANGHAI"/>
    <s v="Shanghai"/>
    <x v="13"/>
    <x v="54"/>
    <m/>
    <m/>
    <m/>
    <m/>
    <x v="19"/>
    <m/>
    <m/>
    <s v="OTHER"/>
    <s v="TPVB20261011001"/>
    <m/>
    <m/>
    <n v="1"/>
    <m/>
    <d v="1899-12-30T00:00:00"/>
    <x v="1"/>
    <s v=""/>
    <n v="10"/>
    <d v="1900-01-09T00:00:00"/>
    <x v="1"/>
    <x v="11"/>
    <n v="2"/>
    <s v="AEM"/>
    <m/>
  </r>
  <r>
    <x v="253"/>
    <s v="WUXI"/>
    <s v="26OCT005"/>
    <s v="CORE DG"/>
    <s v="Internal"/>
    <x v="6"/>
    <m/>
    <m/>
    <m/>
    <m/>
    <m/>
    <m/>
    <m/>
    <x v="6"/>
    <s v="Rechargeable Li-ion Battery"/>
    <x v="6"/>
    <m/>
    <x v="12"/>
    <m/>
    <m/>
    <n v="1"/>
    <s v="CT07"/>
    <s v="W43 PICKUP"/>
    <s v=""/>
    <d v="2026-10-22T00:00:00"/>
    <m/>
    <n v="0"/>
    <x v="7"/>
    <m/>
    <s v="SHANGHAI"/>
    <s v="Shanghai"/>
    <x v="13"/>
    <x v="54"/>
    <m/>
    <m/>
    <m/>
    <m/>
    <x v="19"/>
    <m/>
    <m/>
    <s v="OTHER"/>
    <s v="TPVB20261011001"/>
    <m/>
    <m/>
    <n v="1"/>
    <m/>
    <d v="1899-12-30T00:00:00"/>
    <x v="1"/>
    <s v=""/>
    <n v="10"/>
    <d v="1900-01-09T00:00:00"/>
    <x v="1"/>
    <x v="11"/>
    <n v="2"/>
    <s v="AEM"/>
    <m/>
  </r>
  <r>
    <x v="254"/>
    <s v="WUXI"/>
    <s v="26NOV002"/>
    <s v="CORE DG"/>
    <s v="Internal"/>
    <x v="3"/>
    <m/>
    <m/>
    <m/>
    <m/>
    <m/>
    <m/>
    <m/>
    <x v="2"/>
    <s v="Hybrid Inverter"/>
    <x v="2"/>
    <m/>
    <x v="93"/>
    <m/>
    <m/>
    <n v="8.461538461538462E-2"/>
    <s v="CT01"/>
    <s v="W43 PICKUP"/>
    <s v=""/>
    <d v="2026-10-20T00:00:00"/>
    <m/>
    <n v="0"/>
    <x v="7"/>
    <m/>
    <s v="SHANGHAI"/>
    <s v="Shanghai"/>
    <x v="14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55"/>
    <s v="WUXI"/>
    <s v="Main Line"/>
    <s v="CORE DG"/>
    <s v="Internal"/>
    <x v="3"/>
    <m/>
    <m/>
    <m/>
    <m/>
    <m/>
    <m/>
    <m/>
    <x v="2"/>
    <s v="Hybrid Inverter"/>
    <x v="2"/>
    <m/>
    <x v="94"/>
    <m/>
    <m/>
    <n v="0.1076923076923077"/>
    <s v="CT01"/>
    <s v="W43 PICKUP"/>
    <s v=""/>
    <d v="2026-10-20T00:00:00"/>
    <m/>
    <n v="0"/>
    <x v="7"/>
    <m/>
    <s v="SHANGHAI"/>
    <s v="Shanghai"/>
    <x v="14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56"/>
    <s v="WUXI"/>
    <s v="Main Line"/>
    <s v="CORE DG"/>
    <s v="Internal"/>
    <x v="3"/>
    <m/>
    <m/>
    <m/>
    <m/>
    <m/>
    <m/>
    <m/>
    <x v="4"/>
    <s v="Hybrid Inverter"/>
    <x v="4"/>
    <m/>
    <x v="0"/>
    <m/>
    <m/>
    <n v="0.3"/>
    <s v="CT01"/>
    <s v="W43 PICKUP"/>
    <s v=""/>
    <d v="2026-10-20T00:00:00"/>
    <m/>
    <n v="0"/>
    <x v="7"/>
    <m/>
    <s v="SHANGHAI"/>
    <s v="Shanghai"/>
    <x v="14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57"/>
    <s v="WUXI"/>
    <s v="Main Line"/>
    <s v="CORE DG"/>
    <s v="Internal"/>
    <x v="3"/>
    <m/>
    <m/>
    <m/>
    <m/>
    <m/>
    <m/>
    <m/>
    <x v="4"/>
    <s v="Hybrid Inverter"/>
    <x v="4"/>
    <m/>
    <x v="9"/>
    <m/>
    <m/>
    <n v="7.6923076923076927E-3"/>
    <s v="CT01"/>
    <s v="W43 PICKUP"/>
    <s v=""/>
    <d v="2026-10-20T00:00:00"/>
    <m/>
    <n v="0"/>
    <x v="7"/>
    <m/>
    <s v="SHANGHAI"/>
    <s v="Shanghai"/>
    <x v="14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58"/>
    <s v="WUXI"/>
    <s v="26NOV004"/>
    <s v="CORE DG"/>
    <s v="Internal"/>
    <x v="3"/>
    <m/>
    <m/>
    <m/>
    <m/>
    <m/>
    <m/>
    <m/>
    <x v="5"/>
    <s v="High voltage distribution box"/>
    <x v="5"/>
    <m/>
    <x v="37"/>
    <m/>
    <m/>
    <n v="0.36923076923076925"/>
    <s v="CT01"/>
    <s v="W43 PICKUP"/>
    <s v=""/>
    <d v="2026-10-20T00:00:00"/>
    <m/>
    <n v="0"/>
    <x v="7"/>
    <m/>
    <s v="SHANGHAI"/>
    <s v="Shanghai"/>
    <x v="14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59"/>
    <s v="WUXI"/>
    <s v="Main Line"/>
    <s v="CORE DG"/>
    <s v="Internal"/>
    <x v="3"/>
    <m/>
    <m/>
    <m/>
    <m/>
    <m/>
    <m/>
    <m/>
    <x v="5"/>
    <s v="High voltage distribution box"/>
    <x v="5"/>
    <m/>
    <x v="18"/>
    <m/>
    <m/>
    <n v="0.13076923076923078"/>
    <s v="CT01"/>
    <s v="W43 PICKUP"/>
    <s v=""/>
    <d v="2026-10-20T00:00:00"/>
    <m/>
    <n v="0"/>
    <x v="7"/>
    <m/>
    <s v="SHANGHAI"/>
    <s v="Shanghai"/>
    <x v="14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e v="#N/A"/>
    <m/>
  </r>
  <r>
    <x v="260"/>
    <s v="WUXI"/>
    <s v="Main Line"/>
    <s v="CORE DG"/>
    <s v="Internal"/>
    <x v="3"/>
    <m/>
    <m/>
    <m/>
    <m/>
    <m/>
    <m/>
    <m/>
    <x v="7"/>
    <s v="Hybrid Inverter"/>
    <x v="7"/>
    <m/>
    <x v="95"/>
    <m/>
    <m/>
    <n v="0.48461538461538461"/>
    <s v="CT02"/>
    <s v="W44 PICKUP"/>
    <s v=""/>
    <d v="2026-10-26T00:00:00"/>
    <m/>
    <n v="0"/>
    <x v="7"/>
    <m/>
    <s v="SHANGHAI"/>
    <s v="Shanghai"/>
    <x v="2"/>
    <x v="54"/>
    <m/>
    <m/>
    <m/>
    <m/>
    <x v="19"/>
    <m/>
    <m/>
    <m/>
    <m/>
    <m/>
    <m/>
    <n v="1"/>
    <m/>
    <d v="1899-12-30T00:00:00"/>
    <x v="1"/>
    <s v=""/>
    <n v="7"/>
    <d v="1900-01-06T00:00:00"/>
    <x v="1"/>
    <x v="11"/>
    <n v="1"/>
    <s v="AEU"/>
    <m/>
  </r>
  <r>
    <x v="261"/>
    <s v="WUXI"/>
    <s v="Main Line"/>
    <s v="CORE DG"/>
    <s v="Internal"/>
    <x v="3"/>
    <m/>
    <m/>
    <m/>
    <m/>
    <m/>
    <m/>
    <m/>
    <x v="7"/>
    <s v="Hybrid Inverter"/>
    <x v="7"/>
    <m/>
    <x v="43"/>
    <m/>
    <m/>
    <n v="1.5384615384615385E-2"/>
    <s v="CT02"/>
    <s v="W44 PICKUP"/>
    <s v=""/>
    <d v="2026-10-26T00:00:00"/>
    <m/>
    <n v="0"/>
    <x v="7"/>
    <m/>
    <s v="SHANGHAI"/>
    <s v="Shanghai"/>
    <x v="2"/>
    <x v="54"/>
    <m/>
    <m/>
    <m/>
    <m/>
    <x v="19"/>
    <m/>
    <m/>
    <m/>
    <m/>
    <m/>
    <m/>
    <n v="1"/>
    <m/>
    <d v="1899-12-30T00:00:00"/>
    <x v="1"/>
    <s v=""/>
    <n v="7"/>
    <d v="1900-01-06T00:00:00"/>
    <x v="1"/>
    <x v="11"/>
    <n v="1"/>
    <s v="AEU"/>
    <m/>
  </r>
  <r>
    <x v="262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2"/>
    <s v="W44 PICKUP"/>
    <s v=""/>
    <d v="2026-10-26T00:00:00"/>
    <m/>
    <n v="0"/>
    <x v="7"/>
    <m/>
    <s v="SHANGHAI"/>
    <s v="Shanghai"/>
    <x v="2"/>
    <x v="54"/>
    <m/>
    <m/>
    <m/>
    <m/>
    <x v="19"/>
    <m/>
    <m/>
    <m/>
    <m/>
    <m/>
    <m/>
    <n v="1"/>
    <m/>
    <d v="1899-12-30T00:00:00"/>
    <x v="1"/>
    <s v=""/>
    <n v="7"/>
    <d v="1900-01-06T00:00:00"/>
    <x v="1"/>
    <x v="11"/>
    <n v="1"/>
    <s v="AEU"/>
    <m/>
  </r>
  <r>
    <x v="263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3"/>
    <s v="W43 PICKUP"/>
    <s v=""/>
    <d v="2026-10-20T00:00:00"/>
    <m/>
    <n v="0"/>
    <x v="7"/>
    <m/>
    <s v="SHANGHAI"/>
    <s v="Shanghai"/>
    <x v="13"/>
    <x v="54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64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3"/>
    <s v="W43 PICKUP"/>
    <s v=""/>
    <d v="2026-10-20T00:00:00"/>
    <m/>
    <n v="0"/>
    <x v="7"/>
    <m/>
    <s v="SHANGHAI"/>
    <s v="Shanghai"/>
    <x v="13"/>
    <x v="54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65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4"/>
    <s v="W44 PICKUP"/>
    <s v=""/>
    <d v="2026-10-26T00:00:00"/>
    <m/>
    <n v="0"/>
    <x v="7"/>
    <m/>
    <s v="SHANGHAI"/>
    <s v="Shanghai"/>
    <x v="13"/>
    <x v="54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66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4"/>
    <s v="W44 PICKUP"/>
    <s v=""/>
    <d v="2026-10-26T00:00:00"/>
    <m/>
    <n v="0"/>
    <x v="7"/>
    <m/>
    <s v="SHANGHAI"/>
    <s v="Shanghai"/>
    <x v="13"/>
    <x v="54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67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5"/>
    <s v="W44 PICKUP"/>
    <s v=""/>
    <d v="2026-10-30T00:00:00"/>
    <m/>
    <n v="0"/>
    <x v="7"/>
    <m/>
    <s v="SHANGHAI"/>
    <s v="Shanghai"/>
    <x v="13"/>
    <x v="54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68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5"/>
    <s v="W44 PICKUP"/>
    <s v=""/>
    <d v="2026-10-30T00:00:00"/>
    <m/>
    <n v="0"/>
    <x v="7"/>
    <m/>
    <s v="SHANGHAI"/>
    <s v="Shanghai"/>
    <x v="13"/>
    <x v="54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69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6"/>
    <s v="W44 PICKUP"/>
    <s v=""/>
    <d v="2026-10-30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0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6"/>
    <s v="W44 PICKUP"/>
    <s v=""/>
    <d v="2026-10-30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1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7"/>
    <s v="W45 PICKUP"/>
    <s v=""/>
    <d v="2026-11-06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2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7"/>
    <s v="W45 PICKUP"/>
    <s v=""/>
    <d v="2026-11-06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3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8"/>
    <s v="W45 PICKUP"/>
    <s v=""/>
    <d v="2026-11-06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4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8"/>
    <s v="W45 PICKUP"/>
    <s v=""/>
    <d v="2026-11-06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5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9"/>
    <s v="W46 PICKUP"/>
    <s v=""/>
    <d v="2026-11-13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6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9"/>
    <s v="W46 PICKUP"/>
    <s v=""/>
    <d v="2026-11-13T00:00:00"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7"/>
    <s v="WUXI"/>
    <s v="26NOV005"/>
    <s v="CORE DG"/>
    <s v="Internal"/>
    <x v="3"/>
    <m/>
    <m/>
    <m/>
    <m/>
    <m/>
    <m/>
    <m/>
    <x v="6"/>
    <s v="Rechargeable Li-ion Battery"/>
    <x v="6"/>
    <m/>
    <x v="96"/>
    <m/>
    <m/>
    <n v="1.9130434782608696"/>
    <s v="CT10&amp;CT11"/>
    <s v="W45 PICKUP"/>
    <s v=""/>
    <d v="2026-11-04T00:00:00"/>
    <m/>
    <n v="0"/>
    <x v="7"/>
    <m/>
    <s v="SHANGHAI"/>
    <s v="Shanghai"/>
    <x v="13"/>
    <x v="54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78"/>
    <s v="WUXI"/>
    <s v="Main Line"/>
    <s v="CORE DG"/>
    <s v="Internal"/>
    <x v="3"/>
    <m/>
    <m/>
    <m/>
    <m/>
    <m/>
    <m/>
    <m/>
    <x v="6"/>
    <s v="Rechargeable Li-ion Battery"/>
    <x v="6"/>
    <m/>
    <x v="1"/>
    <m/>
    <m/>
    <n v="8.6956521739130432E-2"/>
    <s v="CT10&amp;CT11"/>
    <s v="W45 PICKUP"/>
    <s v=""/>
    <d v="2026-11-04T00:00:00"/>
    <m/>
    <n v="0"/>
    <x v="7"/>
    <m/>
    <s v="SHANGHAI"/>
    <s v="Shanghai"/>
    <x v="13"/>
    <x v="54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79"/>
    <s v="WUXI"/>
    <s v="26NOV005"/>
    <s v="CORE DG"/>
    <s v="Internal"/>
    <x v="3"/>
    <m/>
    <m/>
    <m/>
    <m/>
    <m/>
    <m/>
    <m/>
    <x v="6"/>
    <s v="Rechargeable Li-ion Battery"/>
    <x v="6"/>
    <m/>
    <x v="12"/>
    <m/>
    <m/>
    <n v="1"/>
    <s v="CT12"/>
    <s v="W46PICKUP"/>
    <s v=""/>
    <d v="2026-11-09T00:00:00"/>
    <m/>
    <n v="0"/>
    <x v="7"/>
    <m/>
    <s v="SHANGHAI"/>
    <s v="Shanghai"/>
    <x v="2"/>
    <x v="54"/>
    <m/>
    <m/>
    <m/>
    <m/>
    <x v="19"/>
    <m/>
    <m/>
    <m/>
    <m/>
    <m/>
    <m/>
    <n v="1"/>
    <m/>
    <d v="1899-12-30T00:00:00"/>
    <x v="1"/>
    <s v=""/>
    <n v="7"/>
    <d v="1900-01-06T00:00:00"/>
    <x v="1"/>
    <x v="11"/>
    <n v="1"/>
    <s v="AEU"/>
    <m/>
  </r>
  <r>
    <x v="280"/>
    <m/>
    <m/>
    <m/>
    <m/>
    <x v="3"/>
    <m/>
    <m/>
    <m/>
    <m/>
    <m/>
    <m/>
    <m/>
    <x v="53"/>
    <m/>
    <x v="48"/>
    <m/>
    <x v="97"/>
    <m/>
    <m/>
    <m/>
    <m/>
    <m/>
    <s v=""/>
    <m/>
    <m/>
    <n v="0"/>
    <x v="7"/>
    <m/>
    <m/>
    <m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0"/>
    <m/>
    <m/>
    <m/>
    <m/>
    <x v="3"/>
    <m/>
    <m/>
    <m/>
    <m/>
    <m/>
    <m/>
    <m/>
    <x v="53"/>
    <m/>
    <x v="48"/>
    <m/>
    <x v="97"/>
    <m/>
    <m/>
    <m/>
    <m/>
    <m/>
    <s v=""/>
    <m/>
    <m/>
    <n v="0"/>
    <x v="7"/>
    <m/>
    <m/>
    <m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0"/>
    <m/>
    <m/>
    <m/>
    <m/>
    <x v="3"/>
    <m/>
    <m/>
    <m/>
    <m/>
    <m/>
    <m/>
    <m/>
    <x v="53"/>
    <m/>
    <x v="48"/>
    <m/>
    <x v="97"/>
    <m/>
    <m/>
    <m/>
    <m/>
    <m/>
    <s v=""/>
    <m/>
    <m/>
    <n v="0"/>
    <x v="7"/>
    <m/>
    <m/>
    <m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0"/>
    <m/>
    <m/>
    <m/>
    <m/>
    <x v="3"/>
    <m/>
    <m/>
    <m/>
    <m/>
    <m/>
    <m/>
    <m/>
    <x v="53"/>
    <m/>
    <x v="48"/>
    <m/>
    <x v="97"/>
    <m/>
    <m/>
    <m/>
    <m/>
    <m/>
    <s v=""/>
    <m/>
    <m/>
    <m/>
    <x v="7"/>
    <m/>
    <m/>
    <m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1"/>
    <m/>
    <m/>
    <m/>
    <s v="n/a"/>
    <x v="0"/>
    <m/>
    <m/>
    <m/>
    <s v="Non-EU"/>
    <m/>
    <m/>
    <m/>
    <x v="54"/>
    <s v="On gird inverter"/>
    <x v="49"/>
    <n v="5000"/>
    <x v="98"/>
    <m/>
    <m/>
    <m/>
    <m/>
    <s v="n/a"/>
    <s v=""/>
    <m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1"/>
    <m/>
    <m/>
    <m/>
    <s v="n/a"/>
    <x v="0"/>
    <m/>
    <m/>
    <m/>
    <s v="Non-EU"/>
    <m/>
    <m/>
    <m/>
    <x v="55"/>
    <s v="On gird inverter"/>
    <x v="50"/>
    <n v="12000"/>
    <x v="13"/>
    <m/>
    <m/>
    <m/>
    <m/>
    <s v="n/a"/>
    <s v=""/>
    <m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2"/>
    <m/>
    <s v="Main Line"/>
    <m/>
    <s v="n/a"/>
    <x v="0"/>
    <m/>
    <m/>
    <m/>
    <s v="Non-EU"/>
    <m/>
    <m/>
    <m/>
    <x v="56"/>
    <s v="Electrical Box"/>
    <x v="51"/>
    <m/>
    <x v="88"/>
    <m/>
    <m/>
    <m/>
    <m/>
    <s v="n/a"/>
    <s v=""/>
    <m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2"/>
    <m/>
    <s v="Main Line"/>
    <m/>
    <s v="n/a"/>
    <x v="0"/>
    <m/>
    <m/>
    <m/>
    <s v="Non-EU"/>
    <m/>
    <m/>
    <m/>
    <x v="57"/>
    <s v="Electrical Box"/>
    <x v="52"/>
    <m/>
    <x v="99"/>
    <m/>
    <m/>
    <m/>
    <m/>
    <s v="n/a"/>
    <s v=""/>
    <m/>
    <m/>
    <n v="0"/>
    <x v="7"/>
    <m/>
    <s v="SHANGHAI"/>
    <s v="Shanghai"/>
    <x v="10"/>
    <x v="54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m="1" x="4"/>
        <item t="default"/>
      </items>
    </pivotField>
    <pivotField showAll="0"/>
    <pivotField showAll="0"/>
    <pivotField axis="axisPage" showAll="0">
      <items count="57">
        <item m="1" x="40"/>
        <item x="30"/>
        <item m="1" x="49"/>
        <item m="1" x="55"/>
        <item m="1" x="46"/>
        <item x="2"/>
        <item x="11"/>
        <item x="15"/>
        <item x="16"/>
        <item x="23"/>
        <item m="1" x="43"/>
        <item x="27"/>
        <item x="12"/>
        <item m="1" x="50"/>
        <item x="8"/>
        <item m="1" x="47"/>
        <item x="9"/>
        <item m="1" x="48"/>
        <item x="22"/>
        <item x="13"/>
        <item x="7"/>
        <item m="1" x="54"/>
        <item m="1" x="52"/>
        <item x="14"/>
        <item x="24"/>
        <item m="1" x="45"/>
        <item x="10"/>
        <item m="1" x="44"/>
        <item x="29"/>
        <item x="17"/>
        <item m="1" x="42"/>
        <item x="5"/>
        <item m="1" x="41"/>
        <item x="25"/>
        <item m="1" x="53"/>
        <item x="6"/>
        <item m="1" x="51"/>
        <item x="0"/>
        <item x="1"/>
        <item x="4"/>
        <item m="1" x="39"/>
        <item x="3"/>
        <item x="21"/>
        <item x="20"/>
        <item x="19"/>
        <item x="18"/>
        <item x="26"/>
        <item x="38"/>
        <item x="28"/>
        <item x="31"/>
        <item x="32"/>
        <item x="33"/>
        <item x="34"/>
        <item x="35"/>
        <item x="36"/>
        <item x="37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62">
        <item h="1" x="0"/>
        <item x="23"/>
        <item m="1" x="56"/>
        <item h="1" x="1"/>
        <item h="1" m="1" x="46"/>
        <item h="1" m="1" x="38"/>
        <item m="1" x="59"/>
        <item m="1" x="58"/>
        <item m="1" x="55"/>
        <item m="1" x="57"/>
        <item m="1" x="60"/>
        <item m="1" x="54"/>
        <item m="1" x="52"/>
        <item m="1" x="53"/>
        <item m="1" x="49"/>
        <item m="1" x="50"/>
        <item m="1" x="51"/>
        <item m="1" x="47"/>
        <item m="1" x="45"/>
        <item m="1" x="44"/>
        <item m="1" x="48"/>
        <item m="1" x="40"/>
        <item m="1" x="41"/>
        <item m="1" x="43"/>
        <item m="1" x="42"/>
        <item m="1" x="39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34"/>
        <item x="15"/>
        <item h="1" m="1" x="37"/>
        <item h="1" x="13"/>
        <item h="1" x="17"/>
        <item h="1" x="18"/>
        <item h="1" x="19"/>
        <item h="1" x="20"/>
        <item h="1" x="22"/>
        <item h="1" x="21"/>
        <item h="1" m="1" x="35"/>
        <item h="1" m="1" x="36"/>
        <item h="1" x="24"/>
        <item h="1" x="25"/>
        <item h="1" x="27"/>
        <item h="1" x="26"/>
        <item h="1" x="28"/>
        <item h="1" x="29"/>
        <item h="1" x="30"/>
        <item h="1" x="31"/>
        <item h="1" x="32"/>
        <item h="1" x="3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40">
        <item x="7"/>
        <item x="12"/>
        <item m="1" x="34"/>
        <item x="8"/>
        <item x="18"/>
        <item x="13"/>
        <item x="19"/>
        <item x="6"/>
        <item x="0"/>
        <item m="1" x="29"/>
        <item m="1" x="32"/>
        <item x="9"/>
        <item x="4"/>
        <item m="1" x="33"/>
        <item x="16"/>
        <item m="1" x="35"/>
        <item x="11"/>
        <item x="3"/>
        <item m="1" x="31"/>
        <item x="17"/>
        <item x="5"/>
        <item x="10"/>
        <item x="23"/>
        <item m="1" x="30"/>
        <item x="14"/>
        <item m="1" x="36"/>
        <item m="1" x="37"/>
        <item x="1"/>
        <item x="15"/>
        <item x="2"/>
        <item m="1" x="38"/>
        <item x="26"/>
        <item m="1" x="28"/>
        <item x="20"/>
        <item x="21"/>
        <item x="22"/>
        <item m="1" x="27"/>
        <item x="25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78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9"/>
        <item x="570"/>
        <item x="571"/>
        <item x="572"/>
        <item x="574"/>
        <item x="575"/>
        <item x="577"/>
        <item x="578"/>
        <item x="579"/>
        <item x="580"/>
        <item x="581"/>
        <item x="582"/>
        <item x="583"/>
        <item x="588"/>
        <item x="584"/>
        <item x="585"/>
        <item x="586"/>
        <item x="587"/>
        <item x="589"/>
        <item x="622"/>
        <item x="625"/>
        <item x="626"/>
        <item x="590"/>
        <item x="591"/>
        <item x="592"/>
        <item x="593"/>
        <item x="773"/>
        <item x="774"/>
        <item x="614"/>
        <item x="615"/>
        <item x="613"/>
        <item x="594"/>
        <item x="630"/>
        <item x="618"/>
        <item x="604"/>
        <item x="619"/>
        <item x="620"/>
        <item x="531"/>
        <item x="568"/>
        <item x="595"/>
        <item x="597"/>
        <item x="598"/>
        <item x="601"/>
        <item x="603"/>
        <item x="606"/>
        <item x="607"/>
        <item x="623"/>
        <item x="624"/>
        <item x="548"/>
        <item x="549"/>
        <item x="567"/>
        <item x="573"/>
        <item x="596"/>
        <item x="599"/>
        <item x="602"/>
        <item x="605"/>
        <item x="610"/>
        <item x="631"/>
        <item x="632"/>
        <item x="633"/>
        <item x="634"/>
        <item x="635"/>
        <item x="636"/>
        <item x="637"/>
        <item x="638"/>
        <item x="644"/>
        <item x="645"/>
        <item x="646"/>
        <item x="647"/>
        <item x="608"/>
        <item x="609"/>
        <item x="648"/>
        <item x="649"/>
        <item x="661"/>
        <item x="650"/>
        <item x="651"/>
        <item x="775"/>
        <item x="616"/>
        <item x="659"/>
        <item x="660"/>
        <item x="628"/>
        <item x="655"/>
        <item x="678"/>
        <item x="652"/>
        <item x="611"/>
        <item x="612"/>
        <item x="656"/>
        <item x="657"/>
        <item x="658"/>
        <item x="627"/>
        <item x="621"/>
        <item x="617"/>
        <item x="653"/>
        <item x="654"/>
        <item x="681"/>
        <item x="682"/>
        <item x="540"/>
        <item x="662"/>
        <item x="663"/>
        <item x="664"/>
        <item x="665"/>
        <item x="666"/>
        <item x="679"/>
        <item x="680"/>
        <item x="576"/>
        <item x="629"/>
        <item x="668"/>
        <item x="669"/>
        <item x="675"/>
        <item x="696"/>
        <item x="697"/>
        <item x="676"/>
        <item x="763"/>
        <item x="683"/>
        <item x="677"/>
        <item x="547"/>
        <item x="600"/>
        <item x="639"/>
        <item x="640"/>
        <item x="643"/>
        <item x="667"/>
        <item x="684"/>
        <item x="687"/>
        <item x="688"/>
        <item x="689"/>
        <item x="690"/>
        <item x="691"/>
        <item x="670"/>
        <item x="671"/>
        <item x="692"/>
        <item x="700"/>
        <item x="701"/>
        <item x="704"/>
        <item x="705"/>
        <item x="706"/>
        <item x="707"/>
        <item x="708"/>
        <item x="709"/>
        <item x="702"/>
        <item x="703"/>
        <item x="713"/>
        <item x="672"/>
        <item x="673"/>
        <item x="674"/>
        <item x="693"/>
        <item x="694"/>
        <item x="695"/>
        <item x="714"/>
        <item x="698"/>
        <item x="699"/>
        <item x="715"/>
        <item x="719"/>
        <item x="720"/>
        <item x="721"/>
        <item x="723"/>
        <item x="722"/>
        <item x="749"/>
        <item x="750"/>
        <item x="742"/>
        <item x="734"/>
        <item x="736"/>
        <item x="711"/>
        <item x="743"/>
        <item x="712"/>
        <item x="745"/>
        <item x="710"/>
        <item x="735"/>
        <item x="641"/>
        <item x="642"/>
        <item x="746"/>
        <item x="730"/>
        <item x="748"/>
        <item x="733"/>
        <item x="686"/>
        <item x="737"/>
        <item x="725"/>
        <item x="727"/>
        <item x="729"/>
        <item x="726"/>
        <item x="728"/>
        <item x="751"/>
        <item x="732"/>
        <item x="717"/>
        <item x="718"/>
        <item x="724"/>
        <item x="739"/>
        <item x="740"/>
        <item x="760"/>
        <item x="716"/>
        <item x="744"/>
        <item x="731"/>
        <item x="747"/>
        <item x="761"/>
        <item x="755"/>
        <item x="756"/>
        <item x="757"/>
        <item x="685"/>
        <item x="738"/>
        <item x="741"/>
        <item x="752"/>
        <item x="753"/>
        <item x="754"/>
        <item x="758"/>
        <item x="759"/>
        <item x="762"/>
        <item x="764"/>
        <item x="765"/>
        <item x="766"/>
        <item x="767"/>
        <item x="768"/>
        <item x="769"/>
        <item x="770"/>
        <item x="771"/>
        <item x="772"/>
        <item x="776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9"/>
  </dataFields>
  <formats count="1">
    <format dxfId="20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D9969-6DC1-411D-9EC2-0FAAC71281E1}" name="数据透视表 3" cacheId="55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82:M98" firstHeaderRow="1" firstDataRow="2" firstDataCol="2" rowPageCount="3" colPageCount="1"/>
  <pivotFields count="59">
    <pivotField axis="axisPage" compact="0" outline="0" multipleItemSelectionAllowed="1" showAll="0" defaultSubtotal="0">
      <items count="284">
        <item x="281"/>
        <item m="1" x="283"/>
        <item x="282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4"/>
        <item x="172"/>
        <item x="175"/>
        <item x="173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37"/>
        <item h="1" x="238"/>
        <item x="239"/>
        <item x="246"/>
        <item x="248"/>
        <item h="1" x="240"/>
        <item x="241"/>
        <item h="1" x="242"/>
        <item x="243"/>
        <item x="247"/>
        <item x="249"/>
        <item h="1" x="244"/>
        <item x="250"/>
        <item x="252"/>
        <item h="1" x="251"/>
        <item x="245"/>
        <item x="190"/>
        <item x="182"/>
        <item h="1" x="191"/>
        <item x="186"/>
        <item x="180"/>
        <item x="192"/>
        <item x="197"/>
        <item x="176"/>
        <item x="183"/>
        <item h="1" x="193"/>
        <item x="187"/>
        <item x="177"/>
        <item h="1" x="188"/>
        <item x="189"/>
        <item x="181"/>
        <item x="194"/>
        <item x="198"/>
        <item x="178"/>
        <item x="184"/>
        <item h="1" x="195"/>
        <item x="199"/>
        <item x="205"/>
        <item h="1" x="200"/>
        <item x="201"/>
        <item h="1" x="202"/>
        <item x="203"/>
        <item x="206"/>
        <item h="1" x="204"/>
        <item x="207"/>
        <item x="209"/>
        <item x="210"/>
        <item x="211"/>
        <item x="212"/>
        <item x="179"/>
        <item x="185"/>
        <item h="1" x="208"/>
        <item x="196"/>
        <item x="213"/>
        <item x="214"/>
        <item x="215"/>
        <item x="216"/>
        <item x="217"/>
        <item x="218"/>
        <item x="280"/>
        <item h="1" x="219"/>
        <item h="1" x="220"/>
        <item h="1" x="221"/>
        <item h="1" x="222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5"/>
        <item h="1" x="236"/>
        <item h="1" x="253"/>
        <item h="1" x="232"/>
        <item h="1" x="233"/>
        <item h="1" x="23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9">
        <item m="1" x="68"/>
        <item m="1" x="65"/>
        <item m="1" x="67"/>
        <item m="1" x="63"/>
        <item x="55"/>
        <item x="54"/>
        <item x="9"/>
        <item m="1" x="62"/>
        <item x="10"/>
        <item x="56"/>
        <item x="57"/>
        <item x="7"/>
        <item m="1" x="61"/>
        <item m="1" x="66"/>
        <item x="8"/>
        <item x="6"/>
        <item x="32"/>
        <item x="5"/>
        <item x="33"/>
        <item x="31"/>
        <item x="2"/>
        <item x="3"/>
        <item x="4"/>
        <item x="1"/>
        <item x="0"/>
        <item m="1" x="64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m="1" x="60"/>
        <item x="35"/>
        <item x="37"/>
        <item x="36"/>
        <item x="34"/>
        <item x="30"/>
        <item x="53"/>
        <item x="44"/>
        <item x="45"/>
        <item x="46"/>
        <item x="47"/>
        <item m="1" x="58"/>
        <item m="1" x="59"/>
        <item x="48"/>
        <item x="43"/>
        <item x="52"/>
        <item x="38"/>
        <item x="39"/>
        <item x="40"/>
        <item x="41"/>
        <item x="42"/>
        <item x="49"/>
        <item x="50"/>
        <item x="51"/>
      </items>
    </pivotField>
    <pivotField compact="0" outline="0" showAll="0" defaultSubtotal="0"/>
    <pivotField axis="axisRow" compact="0" outline="0" showAll="0" defaultSubtotal="0">
      <items count="57">
        <item h="1" x="30"/>
        <item h="1" m="1" x="53"/>
        <item h="1" x="31"/>
        <item h="1" m="1" x="54"/>
        <item h="1" m="1" x="55"/>
        <item h="1" m="1" x="56"/>
        <item h="1" x="32"/>
        <item h="1" x="33"/>
        <item h="1"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51"/>
        <item h="1" x="52"/>
        <item h="1" x="49"/>
        <item h="1" x="50"/>
        <item h="1" x="25"/>
        <item h="1" x="24"/>
        <item h="1" x="48"/>
        <item h="1" x="40"/>
        <item h="1" x="41"/>
        <item h="1" x="42"/>
        <item h="1" x="43"/>
        <item h="1" x="34"/>
        <item h="1" x="35"/>
        <item h="1" x="36"/>
        <item h="1" x="37"/>
        <item h="1" x="38"/>
        <item h="1" x="39"/>
        <item h="1" x="47"/>
        <item h="1" x="44"/>
        <item h="1" x="45"/>
        <item h="1" x="46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7">
        <item h="1" x="6"/>
        <item h="1" x="9"/>
        <item x="0"/>
        <item x="5"/>
        <item x="8"/>
        <item h="1" x="4"/>
        <item x="1"/>
        <item x="2"/>
        <item x="7"/>
        <item x="3"/>
        <item h="1" x="10"/>
        <item h="1" x="11"/>
        <item h="1" m="1" x="16"/>
        <item h="1" m="1" x="15"/>
        <item h="1" x="13"/>
        <item h="1" x="12"/>
        <item h="1" x="14"/>
      </items>
    </pivotField>
    <pivotField compact="0" outline="0" showAll="0" defaultSubtotal="0">
      <items count="61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20"/>
        <item x="36"/>
        <item x="42"/>
        <item x="39"/>
        <item x="38"/>
        <item x="55"/>
        <item x="40"/>
        <item x="43"/>
        <item x="37"/>
        <item x="54"/>
        <item x="41"/>
        <item x="44"/>
        <item x="45"/>
        <item x="48"/>
        <item x="49"/>
        <item x="46"/>
        <item x="50"/>
        <item x="47"/>
        <item x="51"/>
        <item x="56"/>
        <item x="52"/>
        <item x="53"/>
        <item x="59"/>
        <item x="60"/>
        <item x="57"/>
        <item x="5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axis="axisCol" compact="0" outline="0" showAll="0" defaultSubtotal="0">
      <items count="13">
        <item x="11"/>
        <item x="0"/>
        <item x="2"/>
        <item x="1"/>
        <item x="3"/>
        <item x="4"/>
        <item x="5"/>
        <item x="6"/>
        <item x="8"/>
        <item x="7"/>
        <item x="9"/>
        <item x="10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15">
    <i>
      <x v="9"/>
      <x v="22"/>
    </i>
    <i>
      <x v="11"/>
      <x v="11"/>
    </i>
    <i>
      <x v="12"/>
      <x v="20"/>
    </i>
    <i>
      <x v="13"/>
      <x v="21"/>
    </i>
    <i>
      <x v="22"/>
      <x v="24"/>
    </i>
    <i>
      <x v="23"/>
      <x v="14"/>
    </i>
    <i r="1">
      <x v="17"/>
    </i>
    <i>
      <x v="24"/>
      <x v="6"/>
    </i>
    <i r="1">
      <x v="8"/>
    </i>
    <i r="1">
      <x v="15"/>
    </i>
    <i>
      <x v="25"/>
      <x v="16"/>
    </i>
    <i>
      <x v="26"/>
      <x v="18"/>
    </i>
    <i>
      <x v="27"/>
      <x v="19"/>
    </i>
    <i>
      <x v="35"/>
      <x v="23"/>
    </i>
    <i t="grand">
      <x/>
    </i>
  </rowItems>
  <colFields count="1">
    <field x="52"/>
  </colFields>
  <colItems count="11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2"/>
        <item x="3"/>
        <item m="1" x="7"/>
        <item x="1"/>
        <item h="1" x="0"/>
        <item h="1" x="4"/>
        <item h="1" x="5"/>
        <item h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9">
        <item x="53"/>
        <item x="0"/>
        <item x="1"/>
        <item x="2"/>
        <item x="3"/>
        <item x="4"/>
        <item x="5"/>
        <item x="6"/>
        <item x="7"/>
        <item m="1" x="61"/>
        <item x="8"/>
        <item x="9"/>
        <item m="1" x="62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63"/>
        <item x="22"/>
        <item x="23"/>
        <item x="24"/>
        <item x="25"/>
        <item x="26"/>
        <item m="1" x="64"/>
        <item x="27"/>
        <item x="28"/>
        <item x="29"/>
        <item m="1" x="65"/>
        <item m="1" x="67"/>
        <item m="1" x="68"/>
        <item x="33"/>
        <item x="31"/>
        <item x="32"/>
        <item x="54"/>
        <item x="55"/>
        <item x="56"/>
        <item x="57"/>
        <item m="1" x="66"/>
        <item x="10"/>
        <item x="30"/>
        <item x="34"/>
        <item x="35"/>
        <item x="36"/>
        <item x="37"/>
        <item m="1" x="60"/>
        <item x="44"/>
        <item x="45"/>
        <item x="46"/>
        <item x="47"/>
        <item m="1" x="58"/>
        <item m="1" x="59"/>
        <item x="48"/>
        <item x="43"/>
        <item x="52"/>
        <item x="38"/>
        <item x="39"/>
        <item x="40"/>
        <item x="41"/>
        <item x="42"/>
        <item x="49"/>
        <item x="50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32">
        <item m="1" x="125"/>
        <item x="88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9"/>
        <item x="39"/>
        <item m="1" x="130"/>
        <item m="1" x="131"/>
        <item x="33"/>
        <item x="92"/>
        <item x="36"/>
        <item x="42"/>
        <item x="43"/>
        <item x="63"/>
        <item x="41"/>
        <item m="1" x="128"/>
        <item m="1" x="121"/>
        <item m="1" x="102"/>
        <item m="1" x="122"/>
        <item m="1" x="123"/>
        <item x="50"/>
        <item m="1" x="124"/>
        <item m="1" x="120"/>
        <item x="40"/>
        <item x="99"/>
        <item m="1" x="126"/>
        <item m="1" x="127"/>
        <item x="34"/>
        <item m="1" x="116"/>
        <item x="35"/>
        <item x="37"/>
        <item x="38"/>
        <item m="1" x="110"/>
        <item x="32"/>
        <item x="44"/>
        <item x="47"/>
        <item x="48"/>
        <item x="49"/>
        <item m="1" x="115"/>
        <item x="94"/>
        <item x="55"/>
        <item m="1" x="117"/>
        <item x="57"/>
        <item m="1" x="118"/>
        <item x="59"/>
        <item m="1" x="119"/>
        <item x="73"/>
        <item x="97"/>
        <item m="1" x="112"/>
        <item x="56"/>
        <item x="58"/>
        <item x="60"/>
        <item x="61"/>
        <item m="1" x="113"/>
        <item m="1" x="114"/>
        <item x="98"/>
        <item x="45"/>
        <item x="46"/>
        <item x="52"/>
        <item m="1" x="111"/>
        <item x="54"/>
        <item x="53"/>
        <item x="62"/>
        <item x="64"/>
        <item x="68"/>
        <item x="69"/>
        <item x="70"/>
        <item x="65"/>
        <item x="66"/>
        <item x="67"/>
        <item x="85"/>
        <item m="1" x="101"/>
        <item m="1" x="103"/>
        <item m="1" x="104"/>
        <item m="1" x="105"/>
        <item x="87"/>
        <item x="82"/>
        <item x="83"/>
        <item m="1" x="106"/>
        <item x="71"/>
        <item x="72"/>
        <item x="74"/>
        <item m="1" x="107"/>
        <item m="1" x="108"/>
        <item x="91"/>
        <item m="1" x="109"/>
        <item x="75"/>
        <item x="78"/>
        <item x="77"/>
        <item x="80"/>
        <item x="81"/>
        <item x="84"/>
        <item m="1" x="100"/>
        <item x="90"/>
        <item x="76"/>
        <item x="79"/>
        <item x="86"/>
        <item x="93"/>
        <item x="95"/>
        <item x="96"/>
        <item x="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63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4"/>
        <item x="15"/>
        <item x="16"/>
        <item x="13"/>
        <item x="17"/>
        <item x="18"/>
        <item x="19"/>
        <item x="20"/>
        <item x="21"/>
        <item m="1" x="62"/>
        <item x="22"/>
        <item x="23"/>
        <item x="25"/>
        <item x="26"/>
        <item x="27"/>
        <item x="29"/>
        <item x="30"/>
        <item x="31"/>
        <item x="32"/>
        <item x="33"/>
        <item x="34"/>
        <item x="35"/>
        <item x="47"/>
        <item m="1" x="61"/>
        <item x="24"/>
        <item x="38"/>
        <item x="36"/>
        <item x="39"/>
        <item x="40"/>
        <item x="46"/>
        <item x="28"/>
        <item x="37"/>
        <item x="41"/>
        <item x="42"/>
        <item x="43"/>
        <item x="48"/>
        <item x="49"/>
        <item x="59"/>
        <item x="44"/>
        <item x="51"/>
        <item x="45"/>
        <item x="50"/>
        <item x="52"/>
        <item x="53"/>
        <item x="60"/>
        <item x="54"/>
        <item x="55"/>
        <item x="56"/>
        <item x="57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1">
        <item x="0"/>
        <item x="1"/>
        <item x="2"/>
        <item x="3"/>
        <item x="4"/>
        <item x="9"/>
        <item x="54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4"/>
        <item x="36"/>
        <item x="39"/>
        <item x="20"/>
        <item x="38"/>
        <item x="40"/>
        <item x="42"/>
        <item x="37"/>
        <item x="43"/>
        <item x="55"/>
        <item x="41"/>
        <item x="44"/>
        <item x="45"/>
        <item x="48"/>
        <item x="49"/>
        <item x="46"/>
        <item x="50"/>
        <item x="47"/>
        <item x="51"/>
        <item x="56"/>
        <item x="52"/>
        <item x="53"/>
        <item x="59"/>
        <item x="60"/>
        <item x="57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34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  <item h="1" x="21"/>
        <item h="1" x="25"/>
        <item h="1" x="32"/>
        <item h="1" x="22"/>
        <item h="1" x="23"/>
        <item h="1" x="27"/>
        <item h="1" x="24"/>
        <item h="1" x="33"/>
        <item h="1" x="31"/>
        <item h="1" x="26"/>
        <item h="1" x="28"/>
        <item h="1" x="29"/>
        <item h="1" x="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3217F-2DFB-4517-AC4C-772005A9184E}" name="数据透视表1" cacheId="55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109:G118" firstHeaderRow="1" firstDataRow="2" firstDataCol="2" rowPageCount="3" colPageCount="1"/>
  <pivotFields count="59">
    <pivotField axis="axisPage" compact="0" outline="0" multipleItemSelectionAllowed="1" showAll="0" defaultSubtotal="0">
      <items count="284">
        <item x="281"/>
        <item m="1" x="283"/>
        <item x="282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4"/>
        <item x="172"/>
        <item x="175"/>
        <item x="173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37"/>
        <item h="1" x="238"/>
        <item x="239"/>
        <item x="246"/>
        <item x="248"/>
        <item h="1" x="240"/>
        <item x="241"/>
        <item h="1" x="242"/>
        <item x="243"/>
        <item x="247"/>
        <item x="249"/>
        <item h="1" x="244"/>
        <item x="250"/>
        <item x="252"/>
        <item h="1" x="251"/>
        <item x="245"/>
        <item x="190"/>
        <item x="182"/>
        <item h="1" x="191"/>
        <item x="186"/>
        <item x="180"/>
        <item x="192"/>
        <item x="197"/>
        <item x="176"/>
        <item x="183"/>
        <item h="1" x="193"/>
        <item x="187"/>
        <item x="177"/>
        <item h="1" x="188"/>
        <item x="189"/>
        <item x="181"/>
        <item x="194"/>
        <item x="198"/>
        <item x="178"/>
        <item x="184"/>
        <item h="1" x="195"/>
        <item x="199"/>
        <item x="205"/>
        <item h="1" x="200"/>
        <item x="201"/>
        <item h="1" x="202"/>
        <item x="203"/>
        <item x="206"/>
        <item h="1" x="204"/>
        <item x="207"/>
        <item x="209"/>
        <item x="210"/>
        <item x="211"/>
        <item x="212"/>
        <item x="179"/>
        <item x="185"/>
        <item h="1" x="208"/>
        <item x="196"/>
        <item x="213"/>
        <item x="214"/>
        <item x="215"/>
        <item x="216"/>
        <item x="217"/>
        <item x="218"/>
        <item x="280"/>
        <item h="1" x="219"/>
        <item h="1" x="220"/>
        <item h="1" x="221"/>
        <item h="1" x="222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5"/>
        <item h="1" x="236"/>
        <item h="1" x="253"/>
        <item h="1" x="232"/>
        <item h="1" x="233"/>
        <item h="1" x="23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9">
        <item m="1" x="68"/>
        <item m="1" x="65"/>
        <item m="1" x="67"/>
        <item m="1" x="63"/>
        <item x="55"/>
        <item x="54"/>
        <item x="9"/>
        <item m="1" x="62"/>
        <item x="10"/>
        <item x="56"/>
        <item x="57"/>
        <item x="7"/>
        <item m="1" x="61"/>
        <item m="1" x="66"/>
        <item x="8"/>
        <item x="6"/>
        <item x="32"/>
        <item x="5"/>
        <item x="33"/>
        <item x="31"/>
        <item x="2"/>
        <item x="3"/>
        <item x="4"/>
        <item x="1"/>
        <item x="0"/>
        <item m="1" x="64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m="1" x="60"/>
        <item x="35"/>
        <item x="37"/>
        <item x="36"/>
        <item x="34"/>
        <item x="30"/>
        <item x="53"/>
        <item x="44"/>
        <item x="45"/>
        <item x="46"/>
        <item x="47"/>
        <item m="1" x="58"/>
        <item m="1" x="59"/>
        <item x="48"/>
        <item x="43"/>
        <item x="52"/>
        <item x="38"/>
        <item x="39"/>
        <item x="40"/>
        <item x="41"/>
        <item x="42"/>
        <item x="49"/>
        <item x="50"/>
        <item x="51"/>
      </items>
    </pivotField>
    <pivotField compact="0" outline="0" showAll="0" defaultSubtotal="0"/>
    <pivotField axis="axisRow" compact="0" outline="0" showAll="0" defaultSubtotal="0">
      <items count="57">
        <item x="30"/>
        <item m="1" x="53"/>
        <item x="31"/>
        <item m="1" x="54"/>
        <item m="1" x="55"/>
        <item m="1" x="56"/>
        <item x="32"/>
        <item x="33"/>
        <item x="23"/>
        <item h="1" x="4"/>
        <item h="1" x="26"/>
        <item h="1" x="7"/>
        <item h="1" x="2"/>
        <item h="1" x="3"/>
        <item h="1" x="13"/>
        <item h="1" x="22"/>
        <item h="1" x="14"/>
        <item h="1" x="20"/>
        <item h="1" x="17"/>
        <item h="1" x="18"/>
        <item h="1" x="21"/>
        <item h="1" x="19"/>
        <item h="1" x="0"/>
        <item h="1" x="5"/>
        <item h="1" x="6"/>
        <item h="1" x="28"/>
        <item h="1" x="29"/>
        <item h="1" x="27"/>
        <item h="1" x="10"/>
        <item h="1" x="11"/>
        <item h="1" x="16"/>
        <item h="1" x="15"/>
        <item h="1" x="8"/>
        <item h="1" x="9"/>
        <item h="1" x="12"/>
        <item h="1" x="1"/>
        <item h="1" x="51"/>
        <item h="1" x="52"/>
        <item h="1" x="49"/>
        <item h="1" x="50"/>
        <item h="1" x="25"/>
        <item h="1" x="24"/>
        <item h="1" x="48"/>
        <item h="1" x="40"/>
        <item h="1" x="41"/>
        <item h="1" x="42"/>
        <item x="43"/>
        <item x="34"/>
        <item x="35"/>
        <item x="36"/>
        <item x="37"/>
        <item x="38"/>
        <item h="1" x="39"/>
        <item h="1" x="47"/>
        <item h="1" x="44"/>
        <item h="1" x="45"/>
        <item h="1" x="46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7">
        <item h="1" x="6"/>
        <item h="1" x="9"/>
        <item x="0"/>
        <item x="5"/>
        <item x="8"/>
        <item h="1" x="4"/>
        <item x="1"/>
        <item x="2"/>
        <item x="7"/>
        <item x="3"/>
        <item h="1" x="10"/>
        <item h="1" x="11"/>
        <item h="1" m="1" x="16"/>
        <item h="1" m="1" x="15"/>
        <item h="1" x="13"/>
        <item h="1" x="12"/>
        <item h="1" x="14"/>
      </items>
    </pivotField>
    <pivotField compact="0" outline="0" showAll="0" defaultSubtotal="0">
      <items count="61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20"/>
        <item x="36"/>
        <item x="42"/>
        <item x="39"/>
        <item x="38"/>
        <item x="55"/>
        <item x="40"/>
        <item x="43"/>
        <item x="37"/>
        <item x="54"/>
        <item x="41"/>
        <item x="44"/>
        <item x="45"/>
        <item x="48"/>
        <item x="49"/>
        <item x="46"/>
        <item x="50"/>
        <item x="47"/>
        <item x="51"/>
        <item x="56"/>
        <item x="52"/>
        <item x="53"/>
        <item x="59"/>
        <item x="60"/>
        <item x="57"/>
        <item x="5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axis="axisCol" compact="0" outline="0" showAll="0" defaultSubtotal="0">
      <items count="13">
        <item x="11"/>
        <item x="0"/>
        <item x="2"/>
        <item x="1"/>
        <item x="3"/>
        <item x="4"/>
        <item x="5"/>
        <item x="6"/>
        <item x="8"/>
        <item x="7"/>
        <item x="9"/>
        <item x="10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8">
    <i>
      <x/>
      <x v="49"/>
    </i>
    <i>
      <x v="8"/>
      <x v="43"/>
    </i>
    <i>
      <x v="47"/>
      <x v="61"/>
    </i>
    <i>
      <x v="48"/>
      <x v="62"/>
    </i>
    <i>
      <x v="49"/>
      <x v="63"/>
    </i>
    <i>
      <x v="50"/>
      <x v="64"/>
    </i>
    <i>
      <x v="51"/>
      <x v="65"/>
    </i>
    <i t="grand">
      <x/>
    </i>
  </rowItems>
  <colFields count="1">
    <field x="52"/>
  </colFields>
  <colItems count="5">
    <i>
      <x v="3"/>
    </i>
    <i>
      <x v="5"/>
    </i>
    <i>
      <x v="9"/>
    </i>
    <i>
      <x v="10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3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m="1" x="55"/>
        <item h="1" x="15"/>
        <item h="1" x="12"/>
        <item h="1" m="1" x="50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8"/>
        <item h="1" m="1" x="54"/>
        <item h="1" x="3"/>
        <item h="1" m="1" x="49"/>
        <item m="1" x="53"/>
        <item h="1" m="1" x="44"/>
        <item m="1" x="51"/>
        <item h="1" m="1" x="52"/>
        <item h="1" m="1" x="45"/>
        <item h="1" m="1" x="46"/>
        <item h="1" x="30"/>
        <item h="1" m="1" x="47"/>
        <item h="1" m="1" x="48"/>
        <item h="1" x="2"/>
        <item h="1" m="1" x="41"/>
        <item h="1" x="16"/>
        <item h="1" x="23"/>
        <item h="1" x="24"/>
        <item h="1" x="11"/>
        <item h="1" m="1" x="42"/>
        <item h="1" m="1" x="43"/>
        <item h="1" x="20"/>
        <item h="1" x="21"/>
        <item h="1" x="18"/>
        <item h="1" x="19"/>
        <item h="1" x="27"/>
        <item h="1" m="1" x="40"/>
        <item h="1" m="1" x="39"/>
        <item h="1" x="5"/>
        <item h="1" x="26"/>
        <item h="1" x="29"/>
        <item h="1" x="28"/>
        <item h="1" x="31"/>
        <item h="1" x="32"/>
        <item h="1" x="33"/>
        <item h="1" x="34"/>
        <item h="1" x="35"/>
        <item h="1" x="36"/>
        <item h="1" x="37"/>
        <item t="default"/>
      </items>
    </pivotField>
    <pivotField compact="0" outline="0" showAll="0"/>
    <pivotField axis="axisRow" compact="0" outline="0" showAll="0">
      <items count="197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88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5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4"/>
        <item h="1" x="192"/>
        <item h="1" x="158"/>
        <item h="1" x="168"/>
        <item h="1" x="132"/>
        <item h="1" x="171"/>
        <item h="1" x="165"/>
        <item h="1" x="194"/>
        <item h="1" x="193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82"/>
        <item h="1" x="176"/>
        <item h="1" x="178"/>
        <item h="1" x="177"/>
        <item h="1" x="180"/>
        <item h="1" x="183"/>
        <item h="1" x="173"/>
        <item h="1" x="175"/>
        <item h="1" x="184"/>
        <item h="1" x="179"/>
        <item h="1" x="185"/>
        <item h="1" x="191"/>
        <item h="1" x="189"/>
        <item h="1" x="172"/>
        <item h="1" x="186"/>
        <item h="1" x="187"/>
        <item h="1" x="190"/>
        <item h="1" x="18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55">
        <item x="34"/>
        <item x="2"/>
        <item x="36"/>
        <item m="1" x="143"/>
        <item x="55"/>
        <item m="1" x="139"/>
        <item m="1" x="140"/>
        <item x="54"/>
        <item m="1" x="141"/>
        <item m="1" x="146"/>
        <item x="67"/>
        <item x="31"/>
        <item x="15"/>
        <item x="17"/>
        <item m="1" x="150"/>
        <item x="0"/>
        <item x="10"/>
        <item x="43"/>
        <item x="35"/>
        <item x="7"/>
        <item x="1"/>
        <item x="32"/>
        <item m="1" x="149"/>
        <item m="1" x="144"/>
        <item m="1" x="148"/>
        <item m="1" x="147"/>
        <item x="9"/>
        <item x="45"/>
        <item x="28"/>
        <item x="68"/>
        <item x="13"/>
        <item x="24"/>
        <item x="18"/>
        <item x="46"/>
        <item x="5"/>
        <item x="21"/>
        <item m="1" x="142"/>
        <item x="19"/>
        <item x="20"/>
        <item x="29"/>
        <item x="56"/>
        <item x="11"/>
        <item x="12"/>
        <item x="4"/>
        <item m="1" x="152"/>
        <item m="1" x="151"/>
        <item x="25"/>
        <item x="16"/>
        <item m="1" x="145"/>
        <item x="27"/>
        <item x="26"/>
        <item x="14"/>
        <item m="1" x="154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38"/>
        <item m="1" x="137"/>
        <item x="59"/>
        <item x="60"/>
        <item x="62"/>
        <item x="61"/>
        <item x="57"/>
        <item x="58"/>
        <item x="64"/>
        <item m="1" x="121"/>
        <item x="66"/>
        <item x="30"/>
        <item x="48"/>
        <item m="1" x="153"/>
        <item x="90"/>
        <item x="65"/>
        <item x="53"/>
        <item x="107"/>
        <item x="72"/>
        <item x="73"/>
        <item m="1" x="127"/>
        <item x="69"/>
        <item x="71"/>
        <item x="70"/>
        <item x="76"/>
        <item x="74"/>
        <item x="75"/>
        <item m="1" x="134"/>
        <item x="77"/>
        <item x="78"/>
        <item x="80"/>
        <item x="79"/>
        <item x="84"/>
        <item x="83"/>
        <item m="1" x="130"/>
        <item m="1" x="131"/>
        <item x="86"/>
        <item x="92"/>
        <item x="93"/>
        <item m="1" x="135"/>
        <item m="1" x="136"/>
        <item m="1" x="132"/>
        <item m="1" x="133"/>
        <item m="1" x="124"/>
        <item x="112"/>
        <item m="1" x="125"/>
        <item x="81"/>
        <item x="87"/>
        <item m="1" x="128"/>
        <item x="88"/>
        <item x="85"/>
        <item x="111"/>
        <item m="1" x="126"/>
        <item x="94"/>
        <item x="82"/>
        <item m="1" x="129"/>
        <item x="91"/>
        <item x="95"/>
        <item x="89"/>
        <item x="98"/>
        <item x="96"/>
        <item x="101"/>
        <item x="100"/>
        <item x="97"/>
        <item x="105"/>
        <item x="106"/>
        <item x="102"/>
        <item x="103"/>
        <item m="1" x="123"/>
        <item x="99"/>
        <item m="1" x="122"/>
        <item x="104"/>
        <item x="113"/>
        <item x="114"/>
        <item x="115"/>
        <item x="116"/>
        <item x="108"/>
        <item m="1" x="119"/>
        <item m="1" x="120"/>
        <item x="117"/>
        <item x="110"/>
        <item x="118"/>
        <item x="109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62">
        <item h="1" x="0"/>
        <item x="1"/>
        <item x="23"/>
        <item m="1" x="59"/>
        <item m="1" x="58"/>
        <item m="1" x="55"/>
        <item m="1" x="57"/>
        <item m="1" x="60"/>
        <item m="1" x="54"/>
        <item m="1" x="52"/>
        <item m="1" x="53"/>
        <item m="1" x="49"/>
        <item m="1" x="50"/>
        <item m="1" x="51"/>
        <item m="1" x="47"/>
        <item m="1" x="45"/>
        <item m="1" x="34"/>
        <item m="1" x="44"/>
        <item m="1" x="43"/>
        <item h="1" m="1" x="46"/>
        <item m="1" x="40"/>
        <item m="1" x="48"/>
        <item h="1" m="1" x="56"/>
        <item m="1" x="39"/>
        <item m="1" x="41"/>
        <item h="1" m="1" x="38"/>
        <item h="1" x="3"/>
        <item h="1" x="7"/>
        <item h="1" m="1" x="42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37"/>
        <item h="1" x="13"/>
        <item h="1" x="17"/>
        <item h="1" x="18"/>
        <item h="1" x="19"/>
        <item h="1" x="20"/>
        <item h="1" x="22"/>
        <item h="1" x="21"/>
        <item h="1" m="1" x="35"/>
        <item h="1" m="1" x="36"/>
        <item h="1" x="24"/>
        <item h="1" x="25"/>
        <item h="1" x="27"/>
        <item h="1" x="26"/>
        <item h="1" x="28"/>
        <item h="1" x="29"/>
        <item h="1" x="30"/>
        <item h="1" x="31"/>
        <item h="1" x="32"/>
        <item h="1" x="3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7"/>
        <item x="12"/>
        <item m="1" x="34"/>
        <item x="8"/>
        <item x="19"/>
        <item x="6"/>
        <item x="0"/>
        <item x="9"/>
        <item x="4"/>
        <item x="3"/>
        <item x="5"/>
        <item x="14"/>
        <item m="1" x="37"/>
        <item x="1"/>
        <item x="2"/>
        <item x="26"/>
        <item x="23"/>
        <item x="11"/>
        <item x="13"/>
        <item m="1" x="32"/>
        <item m="1" x="38"/>
        <item x="15"/>
        <item m="1" x="31"/>
        <item m="1" x="36"/>
        <item m="1" x="33"/>
        <item x="10"/>
        <item m="1" x="29"/>
        <item m="1" x="35"/>
        <item x="18"/>
        <item x="16"/>
        <item x="17"/>
        <item m="1" x="30"/>
        <item m="1" x="28"/>
        <item x="20"/>
        <item x="21"/>
        <item x="22"/>
        <item m="1" x="27"/>
        <item x="25"/>
        <item x="2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8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135"/>
      <x v="16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5">
    <queryTableFields count="17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23" name="Pick- Up Date" tableColumnId="13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4">
    <queryTableFields count="23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72" name="Pick- Up Date" tableColumnId="2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366" dataDxfId="365" tableBorderDxfId="364">
  <autoFilter ref="A1:BH463" xr:uid="{DCBF8DC5-5D67-4AB2-A114-9760136AE698}"/>
  <tableColumns count="60">
    <tableColumn id="1" xr3:uid="{4690EF3D-7F0C-4A58-8955-7E71572084A0}" name="TCL REFERENCE NO." dataDxfId="363"/>
    <tableColumn id="5" xr3:uid="{4F0B83C9-3C78-457B-9ADB-12F10F1870D1}" name="Factory Location" dataDxfId="362"/>
    <tableColumn id="10" xr3:uid="{6CD88A0A-7D94-463C-8BB1-AFBF1F8F6931}" name="FX_QTY criteria" dataDxfId="361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360"/>
    <tableColumn id="62" xr3:uid="{F7DB3954-FA04-4CDD-8FA0-5B14E4E4DBA7}" name="New Ark PO Type" dataDxfId="359"/>
    <tableColumn id="63" xr3:uid="{9E762414-B7BF-44F6-8E78-A5754C337F21}" name="New Ark WH" dataDxfId="358"/>
    <tableColumn id="2" xr3:uid="{30947979-E5E8-4256-AD03-4C325B89A5B1}" name="B/L Consignee" dataDxfId="357"/>
    <tableColumn id="4" xr3:uid="{84DF27F1-F348-41B2-8AAB-A691770FEB05}" name="TCL-HK PO INCOTERM Requested" dataDxfId="356"/>
    <tableColumn id="6" xr3:uid="{A6B101A6-1314-4F0A-A883-265DFACE569D}" name="ALLOCATION Planning" dataDxfId="355"/>
    <tableColumn id="21" xr3:uid="{39571CA6-4330-42A2-BC9D-9078E1124322}" name="Priority Level" dataDxfId="354"/>
    <tableColumn id="7" xr3:uid="{29F6F90F-0112-437D-A208-CF464311C249}" name="SPWR SO Number" dataDxfId="353"/>
    <tableColumn id="8" xr3:uid="{6A03F7EC-0609-4604-829F-B71F1FC628A7}" name="Region" dataDxfId="352"/>
    <tableColumn id="9" xr3:uid="{DCE5B142-D5AB-4C95-8BBE-CD099033C9FA}" name="G2G ?" dataDxfId="351"/>
    <tableColumn id="46" xr3:uid="{B8784B74-7B1E-4E18-828F-A3A1D85CD0F6}" name="Factory Available Date" dataDxfId="350"/>
    <tableColumn id="11" xr3:uid="{7E2771E8-6E5B-49C1-9E14-8A5474CCB339}" name="ATP Status" dataDxfId="349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348"/>
    <tableColumn id="53" xr3:uid="{FA528472-82B4-4B0E-A337-89E1ADBA609B}" name="New Ark SKU" dataDxfId="347"/>
    <tableColumn id="13" xr3:uid="{F68B01F2-068A-4D1E-9840-9FEB118900AE}" name="Oracle SKU" dataDxfId="346"/>
    <tableColumn id="14" xr3:uid="{5DF0F468-3ECE-45F9-80C3-D7169F7D3005}" name="DESCRIPTION" dataDxfId="345"/>
    <tableColumn id="15" xr3:uid="{EEA46F80-36BA-4DF9-8184-25369671BE51}" name="WATT" dataDxfId="344"/>
    <tableColumn id="16" xr3:uid="{7836B642-AA85-4DD5-A99A-0BC2AEBF9533}" name="QUANTITY" dataDxfId="343"/>
    <tableColumn id="17" xr3:uid="{1DF499B2-BE66-4B30-93FD-DEEBD8EE96CA}" name="MW" dataDxfId="342">
      <calculatedColumnFormula>PV_DATA4[[#This Row],[WATT]]*PV_DATA4[[#This Row],[QUANTITY]]/1000000</calculatedColumnFormula>
    </tableColumn>
    <tableColumn id="18" xr3:uid="{F06665C0-DBC1-4D97-96E2-34603DCDA986}" name="PALLETS" dataDxfId="341">
      <calculatedColumnFormula>U2/36</calculatedColumnFormula>
    </tableColumn>
    <tableColumn id="19" xr3:uid="{EA7D1B29-6F85-4840-96BA-DC40D424953D}" name="CONTAINERS" dataDxfId="340"/>
    <tableColumn id="20" xr3:uid="{E4C5472E-2639-48D5-A887-7CC01C3590A4}" name="STATUS" dataDxfId="339"/>
    <tableColumn id="66" xr3:uid="{93FC3083-2B9A-46A8-AAD8-64A095EBEFF9}" name="ship before 4.1?" dataDxfId="338"/>
    <tableColumn id="22" xr3:uid="{57226609-918F-40BF-BAEC-99E0E2854648}" name="Back Glass" dataDxfId="337"/>
    <tableColumn id="23" xr3:uid="{08FA0AEA-086D-4C3D-9151-03409FCE9D9D}" name="Cable Length" dataDxfId="336"/>
    <tableColumn id="24" xr3:uid="{5F3A7F07-0F05-4417-B82E-04E22A64481C}" name="Pick-Up Date" dataDxfId="335"/>
    <tableColumn id="25" xr3:uid="{75A7AB9C-A07A-4C7F-AD49-C7ECA7231EB4}" name="Pick-Up Week" dataDxfId="334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333"/>
    <tableColumn id="27" xr3:uid="{FB0C48A8-7DB0-4186-9853-CD1A4033A084}" name="SPTN-HKPV ORacle PO#" dataDxfId="332"/>
    <tableColumn id="28" xr3:uid="{3F58FDBA-6613-41D3-81CE-70D3C851F0D6}" name="PORT OF LOADING" dataDxfId="331"/>
    <tableColumn id="29" xr3:uid="{54444F52-1E13-4A01-9B20-379C7C9231C6}" name="PORT DESTINATION" dataDxfId="330"/>
    <tableColumn id="30" xr3:uid="{0BA50487-25F2-4C2D-8226-8C6987F6041A}" name="ETD On S/O" dataDxfId="329"/>
    <tableColumn id="31" xr3:uid="{B913178A-2F1D-486C-B812-388D5B043676}" name="ETD Update" dataDxfId="328"/>
    <tableColumn id="32" xr3:uid="{8A739F31-21FC-4C80-BCEB-840A41F999CE}" name="ATD PORT" dataDxfId="327"/>
    <tableColumn id="33" xr3:uid="{75CCA16E-427E-4391-9663-FC0BB51F530D}" name="ETA On S/O" dataDxfId="326"/>
    <tableColumn id="34" xr3:uid="{3BA98E37-9C49-4F93-91F6-CA65CC212D93}" name="ETA Update" dataDxfId="325"/>
    <tableColumn id="35" xr3:uid="{CC64EE0B-6C5A-4C66-AD15-81390747B7B6}" name="ATA PORT" dataDxfId="324"/>
    <tableColumn id="36" xr3:uid="{47D9CBA6-D003-4946-B9A5-9E12C8C2A7EE}" name="incoterm" dataDxfId="323"/>
    <tableColumn id="37" xr3:uid="{E3A8F415-5FE9-487A-81D2-1543178FBED8}" name="REFERENCE_x000a_V.V   " dataDxfId="322"/>
    <tableColumn id="38" xr3:uid="{A40F9677-061F-40C8-9B5E-CBD2E3DEFB85}" name="Carrier" dataDxfId="321"/>
    <tableColumn id="39" xr3:uid="{DC349D01-F557-486E-8B67-2E2439DA7EBC}" name="TCL Invoice#_x000a_or PO#" dataDxfId="320"/>
    <tableColumn id="40" xr3:uid="{A840CE08-CEC4-49BE-BC13-60E9926E8A3D}" name="MBL/HBL#" dataDxfId="319"/>
    <tableColumn id="41" xr3:uid="{DA1F505D-B6A8-4006-9B3E-C6DEC3810B21}" name="Booking #" dataDxfId="318"/>
    <tableColumn id="42" xr3:uid="{FB8C3720-9544-4688-AC89-A88C8DB669E7}" name="Leg2 leadtime On S/O" dataDxfId="317"/>
    <tableColumn id="43" xr3:uid="{D90843A6-C935-4652-99A1-874DC803BE77}" name="Telex released " dataDxfId="316"/>
    <tableColumn id="44" xr3:uid="{09980D74-1429-40BE-B11A-7C383F302F5C}" name="TBA - 1" dataDxfId="315"/>
    <tableColumn id="47" xr3:uid="{B49CC059-DF0D-46D7-9CE4-27FE099C5A46}" name="LT (pick-up to ETA)" dataDxfId="314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313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312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311">
      <calculatedColumnFormula>_xlfn.XLOOKUP(#REF!,#REF!,#REF!,,0)&amp;"-"&amp;_xlfn.XLOOKUP(#REF!,#REF!,#REF!,,0)</calculatedColumnFormula>
    </tableColumn>
    <tableColumn id="54" xr3:uid="{F61A6C49-5FE4-428F-B522-A344B7386D36}" name="New Ark ETA" dataDxfId="310">
      <calculatedColumnFormula>IF(ISERROR(#REF!),"",_xlfn.XLOOKUP(#REF!,#REF!,#REF!,"n/a",0))</calculatedColumnFormula>
    </tableColumn>
    <tableColumn id="52" xr3:uid="{81818AB7-A481-483C-A41A-51D078651687}" name="ETA WH / Port for New Ark" dataDxfId="309">
      <calculatedColumnFormula>IFERROR(PV_DATA4[[#This Row],[ODP Available Port]]+14,"n/a")</calculatedColumnFormula>
    </tableColumn>
    <tableColumn id="64" xr3:uid="{661DF4E2-5C14-4228-A8DE-9D78A0AF1703}" name="ETA WH Year" dataDxfId="308">
      <calculatedColumnFormula>YEAR(PV_DATA4[[#This Row],[ETA WH / Port for New Ark]])</calculatedColumnFormula>
    </tableColumn>
    <tableColumn id="61" xr3:uid="{A671B9BA-222D-4D54-89C6-7E10BA465FF8}" name="ETA WH Month" dataDxfId="307">
      <calculatedColumnFormula>MONTH(PV_DATA4[[#This Row],[ETA WH / Port for New Ark]])</calculatedColumnFormula>
    </tableColumn>
    <tableColumn id="56" xr3:uid="{A00E01E6-0151-4474-897B-957C04563253}" name="ETA WH Week" dataDxfId="306">
      <calculatedColumnFormula>IFERROR(_xlfn.ISOWEEKNUM(PV_DATA4[[#This Row],[ETA WH / Port for New Ark]]),0)</calculatedColumnFormula>
    </tableColumn>
    <tableColumn id="45" xr3:uid="{35858DBC-8343-4093-A0F9-BE35EB6E6D9B}" name="Qty/Pallet" dataDxfId="305"/>
    <tableColumn id="55" xr3:uid="{56ED7DCE-6D40-4025-B024-B1FC7A89DA60}" name="Qty/CT" dataDxfId="304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319" totalsRowShown="0" headerRowDxfId="303" dataDxfId="302" tableBorderDxfId="301">
  <autoFilter ref="A1:BH1319" xr:uid="{2CD5AE86-8652-4E0C-8097-37E069BF9A50}"/>
  <tableColumns count="60">
    <tableColumn id="1" xr3:uid="{58C3FCB6-A079-46E9-BFC3-16462428788F}" name="TCL REFERENCE" dataDxfId="300"/>
    <tableColumn id="5" xr3:uid="{EEC3BD87-F321-4ECF-B8AF-3C1A6D81CC1D}" name="Factory Location" dataDxfId="299"/>
    <tableColumn id="10" xr3:uid="{8A56B340-0958-47A3-989C-36AF4041464F}" name="FX_QTY criteria" dataDxfId="298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297"/>
    <tableColumn id="62" xr3:uid="{628F8B8A-1CB1-44C0-B8DF-1D26BB297B81}" name="New Ark PO Type" dataDxfId="296"/>
    <tableColumn id="63" xr3:uid="{5C665448-0825-4352-95E2-87CFC7F6B50A}" name="New Ark WH" dataDxfId="295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294"/>
    <tableColumn id="2" xr3:uid="{8925D154-A616-457A-9524-7BD55EE1B332}" name="B/L Consignee" dataDxfId="293"/>
    <tableColumn id="21" xr3:uid="{05C7C581-555D-48CF-B71C-4B8861400A97}" name="Priority Level" dataDxfId="292"/>
    <tableColumn id="6" xr3:uid="{A1427FC0-249D-414A-A988-31D2EAFFA02D}" name="ALLOCATION Planning" dataDxfId="291"/>
    <tableColumn id="7" xr3:uid="{65C4575B-500B-45AE-96FF-A856DBDA4BBA}" name="SPWR SO Number" dataDxfId="290"/>
    <tableColumn id="59" xr3:uid="{2FA46DD4-028C-42A9-9553-422F6F616B6B}" name="SPWR SO Line" dataDxfId="289"/>
    <tableColumn id="9" xr3:uid="{6CE758FF-FC56-4B41-8E41-E6A674E44FB5}" name="G2G / Planning" dataDxfId="288"/>
    <tableColumn id="46" xr3:uid="{1D91C7F5-621F-471B-87D2-C5011B7C5DDF}" name="Factory Available Date" dataDxfId="287"/>
    <tableColumn id="12" xr3:uid="{23F5DC22-8614-4D78-973D-A3A5A42E9920}" name="PRODUCT TYPE" dataDxfId="286"/>
    <tableColumn id="53" xr3:uid="{0EF1FE28-67C9-4E46-A8DE-C3A0FC874D78}" name="New Ark SKU" dataDxfId="285"/>
    <tableColumn id="14" xr3:uid="{ACE7D886-D688-4601-AE0F-79C59966D62B}" name="Model" dataDxfId="284"/>
    <tableColumn id="57" xr3:uid="{D518EC18-5433-4993-A1B2-59B1EEC831D4}" name="Connector" dataDxfId="283">
      <calculatedColumnFormula>_xlfn.XLOOKUP(PV_DATA[[#This Row],[New Ark SKU]],Table9[New Ark SKU],Table9[Connector],,0)</calculatedColumnFormula>
    </tableColumn>
    <tableColumn id="13" xr3:uid="{BE4E9D07-764F-413C-B86F-C36F76901770}" name="Cable Length" dataDxfId="282">
      <calculatedColumnFormula>_xlfn.XLOOKUP(PV_DATA[[#This Row],[New Ark SKU]],Table9[New Ark SKU],Table9[Cable],,0)</calculatedColumnFormula>
    </tableColumn>
    <tableColumn id="15" xr3:uid="{282DB856-518F-4DD4-A94B-2CE75288D730}" name="WATT" dataDxfId="281"/>
    <tableColumn id="16" xr3:uid="{259FCF23-5BB8-4AE3-9BE2-AB83F4A161A7}" name="QUANTITY" dataDxfId="280"/>
    <tableColumn id="17" xr3:uid="{B69E0AE1-9F0D-43B0-9C5A-EC1FC7B02C06}" name="MW" dataDxfId="279">
      <calculatedColumnFormula>PV_DATA[[#This Row],[QUANTITY]]*PV_DATA[[#This Row],[WATT]]/1000000</calculatedColumnFormula>
    </tableColumn>
    <tableColumn id="18" xr3:uid="{8BEE2A67-C491-4483-B48F-D5825C7E9EF4}" name="PALLETS" dataDxfId="278">
      <calculatedColumnFormula>PV_DATA[[#This Row],[QUANTITY]]/PV_DATA[[#This Row],[Qty/Pallet]]</calculatedColumnFormula>
    </tableColumn>
    <tableColumn id="19" xr3:uid="{DC186D4D-6148-4929-93DD-F7C0CFFB99C5}" name="CONTAINERS" dataDxfId="277"/>
    <tableColumn id="20" xr3:uid="{D4F1B3A0-2574-4696-8A72-0B8774513C0F}" name="STATUS" dataDxfId="276"/>
    <tableColumn id="22" xr3:uid="{84F10200-1A0E-481F-8143-B03E592DD3B1}" name="COMPLETED or IN-TRANSIT" dataDxfId="275">
      <calculatedColumnFormula>IF(AN2&lt;&gt;"","COMPLETED",IF(AK2&lt;&gt;"","IN-TRANSIT",""))</calculatedColumnFormula>
    </tableColumn>
    <tableColumn id="66" xr3:uid="{F20EC215-42ED-4F35-BBF8-349722AC47FF}" name="ETR" dataDxfId="274"/>
    <tableColumn id="24" xr3:uid="{F48B0F8F-CA20-43AE-BBD6-41B23540605E}" name="Pick- Up Date" dataDxfId="273"/>
    <tableColumn id="25" xr3:uid="{B4D181AD-C003-4CFA-874A-8C4D0A053CB0}" name="Pick-Up Week" dataDxfId="272">
      <calculatedColumnFormula>IF(PV_DATA[[#This Row],[Pick- Up Date]]&lt;&gt;"",_xlfn.ISOWEEKNUM(PV_DATA[[#This Row],[Pick- Up Date]]),"")</calculatedColumnFormula>
    </tableColumn>
    <tableColumn id="26" xr3:uid="{FDC91D96-88D4-4E95-BDC1-DD1147703899}" name="SPTN-PVHK New Ark PO#" dataDxfId="271"/>
    <tableColumn id="27" xr3:uid="{378E9EB6-5A43-4414-B3C4-BB6D0CA0969D}" name="SPTN-HKPV ORacle PO#" dataDxfId="270"/>
    <tableColumn id="28" xr3:uid="{7B6BFDE5-98C4-4D0B-A72F-3270FC98D4CF}" name="PORT OF LOADING" dataDxfId="269"/>
    <tableColumn id="44" xr3:uid="{B897D137-AEFE-451D-8204-C95B8D45A9C6}" name="POL" dataDxfId="268"/>
    <tableColumn id="29" xr3:uid="{29C63467-65EA-415E-914E-74EC0103A92A}" name="PORT DESTINATION" dataDxfId="267"/>
    <tableColumn id="30" xr3:uid="{C939EA06-4286-405B-BABC-8A0ED9B01066}" name="ETD On S/O_x000a_" dataDxfId="266"/>
    <tableColumn id="31" xr3:uid="{92412AE7-B970-4EEB-B30A-FA4E7DE233DC}" name="ETD Update" dataDxfId="265"/>
    <tableColumn id="32" xr3:uid="{46B9EA9D-6905-471E-809D-D79261790659}" name="ATD PORT" dataDxfId="264"/>
    <tableColumn id="33" xr3:uid="{08772FEE-C15C-42F4-96B5-0E5025071B36}" name="ETA On S/O" dataDxfId="263"/>
    <tableColumn id="34" xr3:uid="{BEFB425A-4BA2-4577-9E99-6FC742099518}" name="ETA Update" dataDxfId="262"/>
    <tableColumn id="35" xr3:uid="{6F5530E7-E6D7-4912-B514-1DAFD0340BB4}" name="ATA PORT" dataDxfId="261"/>
    <tableColumn id="36" xr3:uid="{68D61AF0-D5A7-497C-8FF4-466DFCBA2205}" name="Incoterm" dataDxfId="260"/>
    <tableColumn id="37" xr3:uid="{6CB8165C-90A5-4639-A0F5-F9E3F8411E38}" name="REFERENCE_x000a_V.V   " dataDxfId="259"/>
    <tableColumn id="38" xr3:uid="{7B2F96F5-2DCB-4087-AD9B-BAFAF416F4C4}" name="Carrier" dataDxfId="258"/>
    <tableColumn id="39" xr3:uid="{298CFF55-C446-4728-AE54-0083E5EB4E06}" name="TCL Invoice#_x000a_or PO#" dataDxfId="257"/>
    <tableColumn id="40" xr3:uid="{4349FA88-EB44-4DC0-8C93-2E455BB303E0}" name="MBL/HBL#" dataDxfId="256"/>
    <tableColumn id="41" xr3:uid="{98EF6CF7-4434-48BE-ACF3-99887385CDAF}" name="BOOKING#" dataDxfId="255"/>
    <tableColumn id="42" xr3:uid="{C55ABBC3-D502-4958-89C0-DBC5A6F15B47}" name="Leg2 leadtime On S/O" dataDxfId="254"/>
    <tableColumn id="43" xr3:uid="{4F9103BB-580E-42D8-AF22-069E5F3A823D}" name="Telex released " dataDxfId="253"/>
    <tableColumn id="49" xr3:uid="{02CB34BA-811E-4E08-BAC0-7080CE4D704F}" name="ODP ETA Port" dataDxfId="252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251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250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249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248">
      <calculatedColumnFormula>IFERROR(PV_DATA[[#This Row],[ODP ETA Port]]+PV_DATA[[#This Row],[Customs/Leg3 Assumption]],"n/a")</calculatedColumnFormula>
    </tableColumn>
    <tableColumn id="64" xr3:uid="{399882AC-21BE-4FED-9929-5FCF530893B8}" name="ETA Year" dataDxfId="247">
      <calculatedColumnFormula>YEAR(PV_DATA[[#This Row],[ETA for New Ark update]])</calculatedColumnFormula>
    </tableColumn>
    <tableColumn id="61" xr3:uid="{C884B4C0-89A2-4CBB-A6AA-C58868EF11DE}" name="ETA Month" dataDxfId="246">
      <calculatedColumnFormula>MONTH(PV_DATA[[#This Row],[ETA for New Ark update]])</calculatedColumnFormula>
    </tableColumn>
    <tableColumn id="56" xr3:uid="{A8ABF843-EF2A-4867-94EC-F4A345A03835}" name="ETA Week" dataDxfId="245">
      <calculatedColumnFormula>IFERROR(_xlfn.ISOWEEKNUM(PV_DATA[[#This Row],[ETA for New Ark update]]),0)</calculatedColumnFormula>
    </tableColumn>
    <tableColumn id="45" xr3:uid="{7919CC90-4323-4FD7-B3C4-FBA035887FD3}" name="Qty/Pallet" dataDxfId="244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243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242">
      <calculatedColumnFormula>_xlfn.XLOOKUP(PV_DATA[[#This Row],[New Ark SKU]],Table9[New Ark SKU],Table9[Back Glass],,0)</calculatedColumnFormula>
    </tableColumn>
    <tableColumn id="8" xr3:uid="{B4911852-797E-4555-9780-445B0A0D59B7}" name="Shipping Line" dataDxfId="241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93" totalsRowShown="0" headerRowDxfId="425" dataDxfId="424" tableBorderDxfId="423">
  <autoFilter ref="A1:BD293" xr:uid="{87F0E998-2CD5-4F64-94E3-3632216944F5}">
    <filterColumn colId="4">
      <filters>
        <filter val="Internal"/>
        <filter val="n/a"/>
      </filters>
    </filterColumn>
    <filterColumn colId="17">
      <customFilters>
        <customFilter operator="notEqual" val=" "/>
      </customFilters>
    </filterColumn>
    <filterColumn colId="27">
      <filters blank="1"/>
    </filterColumn>
    <filterColumn colId="31">
      <filters blank="1">
        <filter val="FOS"/>
        <filter val="FOS SUR MER"/>
        <filter val="GENOA"/>
        <filter val="ROTTERDAM"/>
      </filters>
    </filterColumn>
  </autoFilter>
  <tableColumns count="56">
    <tableColumn id="1" xr3:uid="{164B07FE-FA5D-4F50-916E-97FCDC71802E}" name="TCL REFERENCE" dataDxfId="422"/>
    <tableColumn id="5" xr3:uid="{60408A20-D06C-47F6-A626-94F837975ED9}" name="Factory Location" dataDxfId="421"/>
    <tableColumn id="10" xr3:uid="{445C21D5-7561-469F-8237-EDB7280A4A10}" name="FX_QTY criteria" dataDxfId="420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419"/>
    <tableColumn id="56" xr3:uid="{8C256FEC-9A81-4C96-B1A2-940F92B69A5D}" name="New Ark PO Type" dataDxfId="418"/>
    <tableColumn id="12" xr3:uid="{DB9E0BCA-AB16-4ADB-93EB-3C3693E5D24F}" name="New Ark WH" dataDxfId="417"/>
    <tableColumn id="4" xr3:uid="{230421AE-4979-4F88-A4A0-066E6CB45837}" name="TCL-HK PO INCOTERM Requested" dataDxfId="416"/>
    <tableColumn id="2" xr3:uid="{CBC47365-34DC-475D-B43D-47435E871A6D}" name="B/L Consignee" dataDxfId="415"/>
    <tableColumn id="21" xr3:uid="{D4B7FE1C-89E2-43BD-BD71-0C9B2D678FB3}" name="Priority Level" dataDxfId="414"/>
    <tableColumn id="6" xr3:uid="{61268571-2AFD-4E57-835D-8DDA4B0B541E}" name="ALLOCATION Planning" dataDxfId="413"/>
    <tableColumn id="7" xr3:uid="{89A12004-F963-402B-B094-0E69186184D4}" name="SPWR SO Number" dataDxfId="412"/>
    <tableColumn id="8" xr3:uid="{7BFF381E-E066-4BEF-8155-02D3A29EEAA6}" name="SPWR SO Line" dataDxfId="411"/>
    <tableColumn id="9" xr3:uid="{6624154E-7D12-4172-B819-ACA4306E5EC5}" name="G2G / Planning" dataDxfId="410"/>
    <tableColumn id="53" xr3:uid="{4F8C3BFD-E17F-4568-B83F-719FC91B14DC}" name="New Ark SKU" dataDxfId="409"/>
    <tableColumn id="13" xr3:uid="{AF483EBE-CD54-47AB-9147-61CF3DF39D96}" name="Product Type" dataDxfId="408"/>
    <tableColumn id="14" xr3:uid="{E109EC1B-26BB-48A4-97EA-6BF288AF1823}" name="Model" dataDxfId="407"/>
    <tableColumn id="15" xr3:uid="{2E488E4B-6710-4568-9789-D003D7B302B2}" name="WATT" dataDxfId="406"/>
    <tableColumn id="16" xr3:uid="{B513C8CA-2154-4DF9-89CB-6D4E8A74EEED}" name="QUANTITY" dataDxfId="405"/>
    <tableColumn id="17" xr3:uid="{1D395D46-3A86-4EA0-8363-251D851C236C}" name="MW" dataDxfId="404"/>
    <tableColumn id="18" xr3:uid="{2F598D22-5530-46C4-AE15-22C1D7B0597D}" name="PALLETS" dataDxfId="403"/>
    <tableColumn id="19" xr3:uid="{307DE70C-E400-447A-B96A-897A6AAE54C0}" name="CONTAINERS" dataDxfId="402"/>
    <tableColumn id="11" xr3:uid="{68B4D2D8-86E4-4956-BB35-E6C666EEE327}" name="CT Mark" dataDxfId="401"/>
    <tableColumn id="20" xr3:uid="{52FBA648-196C-4450-9F2A-BC210406C2A5}" name="STATUS" dataDxfId="400"/>
    <tableColumn id="47" xr3:uid="{152741E3-D0C0-47C1-B39B-471B1AE01F69}" name="COMPLETED or IN-TRANSIT" dataDxfId="399">
      <calculatedColumnFormula>IF(AL2&lt;&gt;"","COMPLETED",IF(AI2&lt;&gt;"","IN-TRANSIT",""))</calculatedColumnFormula>
    </tableColumn>
    <tableColumn id="22" xr3:uid="{0F29C16B-EF58-415F-969B-9BD6FAFC4074}" name="ETR" dataDxfId="398"/>
    <tableColumn id="24" xr3:uid="{663E9012-517F-4551-B278-A14E14248821}" name="Pick-Up Date" dataDxfId="397"/>
    <tableColumn id="25" xr3:uid="{E82325EF-0D1B-4224-ADA8-CCB862739923}" name="Pick-Up Week" dataDxfId="396">
      <calculatedColumnFormula>WEEKNUM(ESS_DATA[[#This Row],[Pick-Up Date]])</calculatedColumnFormula>
    </tableColumn>
    <tableColumn id="26" xr3:uid="{F659C961-DC43-4489-948B-AD99CA397F6B}" name="SPTN-PVHK New Ark PO#" dataDxfId="395"/>
    <tableColumn id="27" xr3:uid="{43483E84-22C5-4C57-8F69-9272B8F315DF}" name="SPTN-HKPV ORacle PO#" dataDxfId="394"/>
    <tableColumn id="28" xr3:uid="{A02FF1E8-CBA2-43AD-A51A-57EC700BAC30}" name="PORT OF LOADING" dataDxfId="393"/>
    <tableColumn id="46" xr3:uid="{710D1DA8-1E6A-44E8-B22B-4286B299AB3E}" name="POL" dataDxfId="392"/>
    <tableColumn id="29" xr3:uid="{39BD54AA-3309-4AA1-B2AA-BF655C4CD215}" name="PORT DESTINATION" dataDxfId="391"/>
    <tableColumn id="30" xr3:uid="{3F236515-A709-4BCE-A72B-E92AEC37A716}" name="ETD On S/O" dataDxfId="390"/>
    <tableColumn id="31" xr3:uid="{2AF6FC64-262B-4F04-9128-5E321414AA4E}" name="ETD Update" dataDxfId="389"/>
    <tableColumn id="32" xr3:uid="{CDC56BD0-9EFC-49D7-B5B2-C0797F738950}" name="ATD PORT" dataDxfId="388"/>
    <tableColumn id="33" xr3:uid="{866005B1-8964-459B-BDB8-9AE43E472DAD}" name="ETA On S/O" dataDxfId="387"/>
    <tableColumn id="34" xr3:uid="{038A7FF5-4C46-4E1C-A79C-1AA36D8B0EA0}" name="ETA Update" dataDxfId="386"/>
    <tableColumn id="35" xr3:uid="{9D8678AE-D215-424F-890A-FF210257888D}" name="ATA PORT" dataDxfId="385"/>
    <tableColumn id="36" xr3:uid="{D9754626-D407-41E2-B4F3-DFF5D6BB8705}" name="Incoterm" dataDxfId="384"/>
    <tableColumn id="37" xr3:uid="{9ACAC7EB-10F7-4278-8654-3827DB84D0AA}" name="REFERENCE_x000a_V.V   " dataDxfId="383"/>
    <tableColumn id="38" xr3:uid="{F01D2D0B-F990-4F78-AF1E-6BCA91231C4A}" name="Carrier" dataDxfId="382"/>
    <tableColumn id="39" xr3:uid="{977AECB1-FF6E-4739-B291-169D2686671F}" name="TCL Invoice#_x000a_or PO#" dataDxfId="381"/>
    <tableColumn id="40" xr3:uid="{10A28AB6-1AF2-445C-BDB2-93AB8DE0CB32}" name="MBL/HBL#" dataDxfId="380"/>
    <tableColumn id="41" xr3:uid="{217AFB9C-D91C-4D63-8BE5-4ABA7597E912}" name="BOOKING#" dataDxfId="379"/>
    <tableColumn id="42" xr3:uid="{B69F9B2D-2CD3-4C74-9904-73AAC0F2E949}" name="Leg2 leadtime On S/O" dataDxfId="378">
      <calculatedColumnFormula>ESS_DATA[[#This Row],[ETA On S/O]]-ESS_DATA[[#This Row],[ETD On S/O]]+1</calculatedColumnFormula>
    </tableColumn>
    <tableColumn id="43" xr3:uid="{DD0AEF34-6623-450C-AFAE-285D1C6BCE46}" name="Telex released " dataDxfId="377"/>
    <tableColumn id="49" xr3:uid="{C4DBB245-A08C-4D4A-857E-7173C42116CF}" name="ODP ETA Port" dataDxfId="376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375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374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373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372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371">
      <calculatedColumnFormula>YEAR(ESS_DATA[[#This Row],[ETA for New Ark update]])</calculatedColumnFormula>
    </tableColumn>
    <tableColumn id="59" xr3:uid="{B7184CA7-A536-4071-BB59-01C430FC22E2}" name="ETA Month" dataDxfId="370">
      <calculatedColumnFormula>MONTH(ESS_DATA[[#This Row],[ETA for New Ark update]])</calculatedColumnFormula>
    </tableColumn>
    <tableColumn id="61" xr3:uid="{46BAFF0C-6875-4274-ACC1-A20D785D1BFB}" name="ETA Week" dataDxfId="369">
      <calculatedColumnFormula>IFERROR(_xlfn.ISOWEEKNUM(ESS_DATA[[#This Row],[ETA for New Ark update]]),0)</calculatedColumnFormula>
    </tableColumn>
    <tableColumn id="60" xr3:uid="{335D7C13-45DA-415C-8B7B-6132E4DC3F57}" name="Shipping Line" dataDxfId="368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367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240" dataDxfId="238" headerRowBorderDxfId="239" tableBorderDxfId="237">
  <autoFilter ref="B3:J1656" xr:uid="{35CFA5FF-2652-4E85-97C6-CBCA12E20C4F}"/>
  <tableColumns count="9">
    <tableColumn id="1" xr3:uid="{3A387282-99BA-411D-9040-C65565DC4945}" name="Purchase order Number" dataDxfId="236"/>
    <tableColumn id="5" xr3:uid="{DC2B7997-5EC8-4430-81AD-C495A2D8A8FB}" name="Purchase Type" dataDxfId="235"/>
    <tableColumn id="2" xr3:uid="{48AB4FF4-9389-4180-AA3C-7383821C556F}" name="TMS bill Number / voucher bill Number" dataDxfId="234"/>
    <tableColumn id="7" xr3:uid="{35F219BD-F9A2-4C54-9DE9-3D8AF3B0F1F6}" name="Customer Po" dataDxfId="233"/>
    <tableColumn id="9" xr3:uid="{E7A5B0A9-52B0-4294-8020-222C47DE3F54}" name="Category" dataDxfId="232"/>
    <tableColumn id="8" xr3:uid="{3904192B-F362-46B6-A8C2-508AF6FDD704}" name="Estimated time of arrival" dataDxfId="231"/>
    <tableColumn id="3" xr3:uid="{FDDF12EC-4215-4204-9A1E-C62BE8343C2D}" name="Status" dataDxfId="230"/>
    <tableColumn id="6" xr3:uid="{844AC0CB-87A8-4F6F-86E2-AC294041AF82}" name="Approval Status" dataDxfId="229"/>
    <tableColumn id="4" xr3:uid="{9394E5D1-E5F3-48B4-9238-8113AA8F541B}" name="Note" dataDxfId="22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227" dataDxfId="225" headerRowBorderDxfId="226" tableBorderDxfId="224" totalsRowBorderDxfId="223">
  <autoFilter ref="C1:R4" xr:uid="{850BF759-E8E5-408F-AF26-A1EEC80CE9C5}"/>
  <tableColumns count="16">
    <tableColumn id="1" xr3:uid="{C3677118-50F8-45C9-96A1-5194E4E5EC20}" name="ALLOCATION REQUEST" dataDxfId="222"/>
    <tableColumn id="2" xr3:uid="{8B25345F-0C83-40F7-9E02-740E223FB42F}" name="Customer order (if any)"/>
    <tableColumn id="3" xr3:uid="{E89FCF33-A82D-4659-A68E-9EEC2D1E82C7}" name="Customer Order Incoterm" dataDxfId="221"/>
    <tableColumn id="5" xr3:uid="{39052C54-03DD-4CAF-BB14-A8A6848B064D}" name="Request Date / Shipment " dataDxfId="220"/>
    <tableColumn id="16" xr3:uid="{8DDA64A2-BE85-43E7-A40D-8A64779BECE2}" name="Origination ?" dataDxfId="219"/>
    <tableColumn id="15" xr3:uid="{6B1F5BB3-E854-4015-924F-424E780DC3B9}" name="PORT OF DESTINATION (tentative)" dataDxfId="218"/>
    <tableColumn id="4" xr3:uid="{1CD7161A-508A-41B2-9A43-2F3F50750F4B}" name="PICK-UP (Tentative)" dataDxfId="217"/>
    <tableColumn id="6" xr3:uid="{B9508EA7-5831-4675-BCFE-199DB888EDF7}" name="`PRODUCT TYPE" dataDxfId="216"/>
    <tableColumn id="7" xr3:uid="{790AA2FC-5D5D-409A-B030-704D373A1662}" name="New Ark SKU" dataDxfId="215"/>
    <tableColumn id="8" xr3:uid="{C3DB526E-79C0-4D0E-9F03-99B2FF16B62F}" name="Oracle SKU" dataDxfId="214"/>
    <tableColumn id="9" xr3:uid="{4B0737DB-A98D-47B4-AAAD-A43D6998A127}" name="DESCRIPTION" dataDxfId="213"/>
    <tableColumn id="10" xr3:uid="{9CD37D0E-948C-4BCC-A3E1-918D8771BEC1}" name="WATT" dataDxfId="212"/>
    <tableColumn id="11" xr3:uid="{43ACFD1C-21C9-4094-9714-9A50546F53AF}" name="QUANTITY" dataDxfId="211"/>
    <tableColumn id="12" xr3:uid="{52C361E0-3B62-44C1-82F0-8221405D3BD6}" name="MW" dataDxfId="210"/>
    <tableColumn id="13" xr3:uid="{97056B4D-6FB7-4124-AB24-CD0952241512}" name="PALLETS" dataDxfId="209"/>
    <tableColumn id="14" xr3:uid="{5BD6157D-B24D-4568-B07B-8F2DC1BE910A}" name="CONTAINERS" dataDxfId="208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53" totalsRowShown="0" headerRowDxfId="206" headerRowBorderDxfId="205">
  <autoFilter ref="A1:I153" xr:uid="{4A5BAEC9-31F3-47A7-BC87-3C9A47B36CAF}"/>
  <tableColumns count="9">
    <tableColumn id="1" xr3:uid="{A5769E0B-E4D2-4E06-8EEA-71565AD976E6}" name="New Ark SKU" dataDxfId="204"/>
    <tableColumn id="6" xr3:uid="{B4D4FE3D-AC07-40B2-9634-83EE4764802A}" name="Product Model" dataDxfId="203"/>
    <tableColumn id="2" xr3:uid="{DFD79F2B-E6EA-47EA-B08C-273238B264A6}" name="Cable" dataDxfId="202"/>
    <tableColumn id="3" xr3:uid="{61B51A9A-46DD-4B6A-B278-58C01E341B55}" name="Connector"/>
    <tableColumn id="4" xr3:uid="{8D9C9D1C-7096-40FF-AD31-D07A1F60CB4E}" name="Back Glass" dataDxfId="201"/>
    <tableColumn id="5" xr3:uid="{9CE9BCE7-0E30-432D-B371-040FD88F2D7E}" name="Frame" dataDxfId="200"/>
    <tableColumn id="7" xr3:uid="{8162B58E-D280-4FF8-9D92-B0055D926471}" name="Total PCS per Pallet" dataDxfId="199"/>
    <tableColumn id="8" xr3:uid="{C575A311-8191-43DC-B865-E47E24868778}" name="Total PCS per 40HQ Container" dataDxfId="198"/>
    <tableColumn id="9" xr3:uid="{FA6B90AB-02B8-47FC-81D6-050C1150AB27}" name="Material Description" dataDxfId="197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Q1332" tableType="queryTable" totalsRowShown="0">
  <autoFilter ref="A1:Q1332" xr:uid="{BFACEC0A-BA4D-4F47-8983-70887D51E088}"/>
  <tableColumns count="17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13" xr3:uid="{7175C20E-DD5F-49DB-8303-AE27D24A3023}" uniqueName="13" name="Pick- Up Date" queryTableFieldId="23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13"/>
    <tableColumn id="10" xr3:uid="{A59CE7D0-FCD2-4AE7-AA51-1827241734CF}" uniqueName="10" name="ETA On S/O" queryTableFieldId="10" dataDxfId="12"/>
    <tableColumn id="11" xr3:uid="{2D6B6012-ABAA-4613-9FF9-3931DE22B8B6}" uniqueName="11" name="ETA Update" queryTableFieldId="11" dataDxfId="11"/>
    <tableColumn id="12" xr3:uid="{72B74C91-2946-4AF0-9086-22A1EF1CF0CC}" uniqueName="12" name="ATA PORT" queryTableFieldId="12" dataDxfId="10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9"/>
    <tableColumn id="16" xr3:uid="{560123A8-6802-40A9-9CA3-7140C7B3789D}" uniqueName="16" name="ETA for New Ark update" queryTableFieldId="16" dataDxfId="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W156" tableType="queryTable" totalsRowShown="0">
  <autoFilter ref="A1:W156" xr:uid="{994992A8-889F-4804-BD53-FFFEDFAB9475}"/>
  <tableColumns count="23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2" xr3:uid="{5FB7A847-8779-4C9C-84DA-95DE79FAFB87}" uniqueName="2" name="Pick- Up Date" queryTableFieldId="72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7"/>
    <tableColumn id="34" xr3:uid="{AA8C1256-27B1-41D1-9CBF-BE7F36BFB768}" uniqueName="34" name="ETD Update" queryTableFieldId="34" dataDxfId="6"/>
    <tableColumn id="35" xr3:uid="{C8016EAF-3DAD-47DC-9EEC-D89A2F93ACD4}" uniqueName="35" name="ATD PORT" queryTableFieldId="35" dataDxfId="5"/>
    <tableColumn id="36" xr3:uid="{24FA0372-C056-4567-87C3-0733BBA543C7}" uniqueName="36" name="ETA On S/O" queryTableFieldId="36" dataDxfId="4"/>
    <tableColumn id="37" xr3:uid="{F65A9FBE-4D1E-445E-B416-6D58AFE8E2D5}" uniqueName="37" name="ETA Update" queryTableFieldId="37" dataDxfId="3"/>
    <tableColumn id="38" xr3:uid="{0A6CF3CF-C96D-4B31-8A6C-128CCA88A85D}" uniqueName="38" name="ATA PORT" queryTableFieldId="38" dataDxfId="2"/>
    <tableColumn id="47" xr3:uid="{26F45212-1C40-49B4-9AE9-A3AC22A36377}" uniqueName="47" name="ODP ETA Port" queryTableFieldId="47" dataDxfId="1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3" totalsRowShown="0" tableBorderDxfId="196">
  <autoFilter ref="E3:L43" xr:uid="{A2B2C819-0B14-4A11-978B-E43C99FC7194}"/>
  <tableColumns count="8">
    <tableColumn id="1" xr3:uid="{94765725-48C0-46D2-A05A-663B7BE14801}" name="Index" dataDxfId="195">
      <calculatedColumnFormula>LT_REF[[#This Row],[PORT OF LOADING]]&amp;LT_REF[[#This Row],[PORT DESTINATION]]</calculatedColumnFormula>
    </tableColumn>
    <tableColumn id="2" xr3:uid="{FAB585E5-386A-4198-8810-E77D0C7CC8FC}" name="PORT OF LOADING" dataDxfId="194"/>
    <tableColumn id="3" xr3:uid="{D306D218-E767-49CD-9E6E-392DBEC4323E}" name="PORT DESTINATION" dataDxfId="193"/>
    <tableColumn id="9" xr3:uid="{00B30558-34B8-4FD6-9DD0-96F7D0594F1E}" name="New Ark WH" dataDxfId="192"/>
    <tableColumn id="4" xr3:uid="{4172C0DF-19A8-4811-92BC-FB76F5E71CB0}" name="in Days" dataDxfId="191"/>
    <tableColumn id="5" xr3:uid="{DFFCE7D3-1AF0-46BB-AE88-EF971251BC20}" name="in Weeks" dataDxfId="190"/>
    <tableColumn id="7" xr3:uid="{53EEABB3-D122-4ED8-863B-2187B6F0876D}" name="Customs+Leg3" dataDxfId="189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9" totalsRowShown="0" headerRowDxfId="188">
  <autoFilter ref="N3:O39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187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186">
      <calculatedColumnFormula>C3+7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30" totalsRowShown="0" headerRowDxfId="185" headerRowBorderDxfId="184" tableBorderDxfId="183">
  <autoFilter ref="S3:U30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7E46C2-4DC9-415E-8623-893B2460A423}" name="表5" displayName="表5" ref="W3:W6" totalsRowShown="0" headerRowDxfId="182" dataDxfId="181">
  <autoFilter ref="W3:W6" xr:uid="{2C7E46C2-4DC9-415E-8623-893B2460A423}"/>
  <tableColumns count="1">
    <tableColumn id="1" xr3:uid="{53BED2BD-A654-40F6-9FEF-A04F4CAF3853}" name="G2G" dataDxfId="180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967A6E-9F8E-467E-A637-8969BEF86AFA}" name="表16" displayName="表16" ref="Y3:Y10" totalsRowShown="0" headerRowDxfId="179" dataDxfId="178">
  <autoFilter ref="Y3:Y10" xr:uid="{60967A6E-9F8E-467E-A637-8969BEF86AFA}"/>
  <tableColumns count="1">
    <tableColumn id="1" xr3:uid="{BA631D7C-E8F7-43E4-A38B-EA69DEEBECBA}" name="Priority" dataDxfId="17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3" dT="2026-09-02T07:40:05.76" personId="{D9F303E2-1809-4B06-9A5F-59B6E73873A2}" id="{5CA97146-699A-4692-805C-D56FDE5EE3C9}">
    <text>AEU 空班 - 5F</text>
  </threadedComment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+家电约5F+世桦FAK 7F</text>
  </threadedComment>
  <threadedComment ref="U7" dT="2026-08-31T02:29:02.60" personId="{56818584-B3E0-4B2D-A5E9-D37F823CA16D}" id="{32CC2AD9-4A9D-4558-AC46-78E5EB6385C2}">
    <text>COSCO AMC 24F+家电约20F</text>
  </threadedComment>
  <threadedComment ref="V7" dT="2026-09-04T10:54:02.07" personId="{ED0E0B94-28DE-45B0-99AC-EBA7D3821EBA}" id="{4FD07580-3CE1-4478-954E-35430B325C5E}">
    <text>危险品MSK 2F(276584236)</text>
  </threadedComment>
  <threadedComment ref="V7" dT="2026-09-08T01:43:42.45" personId="{ED0E0B94-28DE-45B0-99AC-EBA7D3821EBA}" id="{3D990CEA-A2D6-40A1-8EEB-DE5947B6B6B8}" parentId="{4FD07580-3CE1-4478-954E-35430B325C5E}">
    <text>COSCO AMC 24F+家电约(EMC)10F</text>
  </threadedComment>
  <threadedComment ref="W7" dT="2026-09-10T08:27:24.57" personId="{56818584-B3E0-4B2D-A5E9-D37F823CA16D}" id="{DAFC344A-E572-449F-B49F-074640A1A5BD}">
    <text>COSCO AMC 44F+ 家电12F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U27" dT="2026-09-02T01:43:15.07" personId="{ED0E0B94-28DE-45B0-99AC-EBA7D3821EBA}" id="{DDE985C2-DDA3-4BF5-AF15-7C48F7D5A940}">
    <text>MSK危险品舱位2F(276339822)</text>
  </threadedComment>
  <threadedComment ref="U27" dT="2026-09-22T06:14:42.85" personId="{56818584-B3E0-4B2D-A5E9-D37F823CA16D}" id="{BAC0DF63-8C75-402A-B9D6-CF3C45B0DD10}" parentId="{DDE985C2-DDA3-4BF5-AF15-7C48F7D5A940}">
    <text>COSCO AMC 5F +MSK 3F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X39" dT="2026-09-02T07:47:19.58" personId="{D9F303E2-1809-4B06-9A5F-59B6E73873A2}" id="{F81843B6-B9B4-44F9-A3DE-342518B588D3}">
    <text>AEM3 空班 -2F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U57" dT="2026-08-26T02:18:14.94" personId="{8C072ED9-67B2-4AC4-9725-D14F85A260B4}" id="{8CA8356F-6EF6-4F2C-BAEE-76C18DAF90A4}">
    <text>缺货，未订舱</text>
  </threadedComment>
  <threadedComment ref="V57" dT="2026-09-08T07:51:43.43" personId="{8C072ED9-67B2-4AC4-9725-D14F85A260B4}" id="{D2911FD1-D0E8-4799-B007-BAE3DAA199A2}">
    <text>AEU1-1F空班</text>
  </threadedComment>
  <threadedComment ref="Z57" dT="2026-09-29T08:29:23.42" personId="{8C072ED9-67B2-4AC4-9725-D14F85A260B4}" id="{43440A95-1916-4D88-9D45-0958CD8EB9E8}">
    <text>AEU1-1F空班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V77" dT="2026-09-08T01:38:05.52" personId="{8C072ED9-67B2-4AC4-9725-D14F85A260B4}" id="{DC4D7903-D60F-45C8-94A5-0A0C0772D298}">
    <text>AEM1-4F空班</text>
  </threadedComment>
  <threadedComment ref="Y77" dT="2026-09-22T05:58:06.25" personId="{8C072ED9-67B2-4AC4-9725-D14F85A260B4}" id="{7A49A645-7AA8-4183-B1E1-0A35A0A5EA2B}">
    <text>AEM2-2F空班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U89" dT="2026-08-31T02:20:32.13" personId="{8C072ED9-67B2-4AC4-9725-D14F85A260B4}" id="{DA90BF6B-9B6C-492A-8744-ACFBEB9BFDEB}">
    <text>缺货，未订舱</text>
  </threadedComment>
  <threadedComment ref="V89" dT="2026-09-14T06:05:23.23" personId="{8C072ED9-67B2-4AC4-9725-D14F85A260B4}" id="{F69B77C1-B0FA-41E5-A133-0CCA84983AC7}">
    <text>AEM3-1F缺货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X99" dT="2026-09-22T05:52:00.54" personId="{05C11D42-6D5E-441A-86A5-85325E59A632}" id="{B8FF5108-9672-4716-8C5C-682CAAA28FD0}">
    <text>AEU1-4T空班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W103" dT="2026-09-22T05:49:29.86" personId="{05C11D42-6D5E-441A-86A5-85325E59A632}" id="{C68E912E-0F47-4262-8B72-9C0CB640099B}">
    <text xml:space="preserve">AEU5-2T没货，AEU3-10T待定
</text>
  </threadedComment>
  <threadedComment ref="X103" dT="2026-09-22T05:52:00.54" personId="{05C11D42-6D5E-441A-86A5-85325E59A632}" id="{181787A5-C957-4369-B916-9EF2B10B0B29}">
    <text>AEU5-6T空班</text>
  </threadedComment>
  <threadedComment ref="Y103" dT="2026-10-09T09:39:18.13" personId="{05C11D42-6D5E-441A-86A5-85325E59A632}" id="{2FECA532-8647-4DB4-AF2D-CEBCDE71EAC6}">
    <text>AEU4-6T空班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X123" dT="2026-09-22T05:51:08.15" personId="{05C11D42-6D5E-441A-86A5-85325E59A632}" id="{751E858E-EEFF-4E27-AE5C-E89C1F177E3D}">
    <text>AEM1-4T空班</text>
  </threadedComment>
  <threadedComment ref="Y131" dT="2026-10-09T09:42:18.63" personId="{05C11D42-6D5E-441A-86A5-85325E59A632}" id="{3CD71756-D6E6-4455-9752-3EF98BD253E8}">
    <text>AEM2-2T空班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  <threadedComment ref="T139" dT="2026-09-07T06:00:15.24" personId="{05C11D42-6D5E-441A-86A5-85325E59A632}" id="{A7ABA424-4834-4DE5-B726-721EBFDBC408}">
    <text>AEM3-2T 没货 AEM2 -2T空班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AD835" dT="2026-09-03T08:12:46.07" personId="{02E0D6C5-DC91-4854-8BC7-690C84B272B9}" id="{A54BB2EE-EC15-4CDE-AF1A-4786FEEC45FE}">
    <text>former PO POPV260807038</text>
  </threadedComment>
  <threadedComment ref="AS835" dT="2026-09-02T10:29:01.09" personId="{56818584-B3E0-4B2D-A5E9-D37F823CA16D}" id="{8B0B66F5-9FF6-48F7-B717-C31160F3A052}">
    <text>Previous MBL EGLV149606435972</text>
  </threadedComment>
  <threadedComment ref="AD837" dT="2026-09-03T08:13:04.44" personId="{02E0D6C5-DC91-4854-8BC7-690C84B272B9}" id="{44EDB937-B3D6-49C4-8323-5A4C2C65BCE8}">
    <text>former PO POPV260807039</text>
  </threadedComment>
  <threadedComment ref="AS837" dT="2026-09-02T10:29:27.57" personId="{56818584-B3E0-4B2D-A5E9-D37F823CA16D}" id="{D040380E-565C-4558-A506-06F7B1C075FC}">
    <text>Previous BL NO.EGLV149606435972</text>
  </threadedComment>
  <threadedComment ref="AD838" dT="2026-09-03T08:13:04.44" personId="{02E0D6C5-DC91-4854-8BC7-690C84B272B9}" id="{E9273281-B330-419B-B025-4722B381B609}">
    <text>former PO POPV260807039</text>
  </threadedComment>
  <threadedComment ref="P850" dT="2026-07-27T17:27:31.33" personId="{02E0D6C5-DC91-4854-8BC7-690C84B272B9}" id="{CA018118-69EA-4452-91A5-E80A613E1FE9}">
    <text xml:space="preserve">H4
</text>
  </threadedComment>
  <threadedComment ref="P851" dT="2026-06-18T10:25:57.83" personId="{AEDBF3C1-4A8E-4E51-9E34-6FCF6E9F8787}" id="{67E6AD8C-A223-4383-AD79-FF61B368C0F3}">
    <text>H4</text>
  </threadedComment>
  <threadedComment ref="P852" dT="2026-06-18T10:25:57.83" personId="{AEDBF3C1-4A8E-4E51-9E34-6FCF6E9F8787}" id="{A78568BF-2161-468B-B6A6-F7D334A7C1CB}">
    <text>H4</text>
  </threadedComment>
  <threadedComment ref="P853" dT="2026-06-18T10:25:57.83" personId="{AEDBF3C1-4A8E-4E51-9E34-6FCF6E9F8787}" id="{993CB3C4-0853-4DCB-BF7E-A25B2978FFA5}">
    <text>H4</text>
  </threadedComment>
  <threadedComment ref="P854" dT="2026-06-18T10:25:57.83" personId="{AEDBF3C1-4A8E-4E51-9E34-6FCF6E9F8787}" id="{5A5064FD-E9F8-4A2E-9CF2-1ACBFAFE38D1}">
    <text>H4</text>
  </threadedComment>
  <threadedComment ref="A862" dT="2026-08-14T08:37:59.19" personId="{05B030F0-EC17-4ABC-8711-CF2A2F8CB2C1}" id="{DD8424C8-32FB-464A-AF67-D8FDB2113716}">
    <text>货物翻车</text>
  </threadedComment>
  <threadedComment ref="A863" dT="2026-08-19T08:13:58.59" personId="{05B030F0-EC17-4ABC-8711-CF2A2F8CB2C1}" id="{D38C2D89-4E55-458B-B648-334FB349A79F}">
    <text>0819已开单</text>
  </threadedComment>
  <threadedComment ref="AD878" dT="2026-09-01T09:50:26.63" personId="{CD7C98D9-7D9B-40B0-9849-33B1E1746B40}" id="{EC149913-37E2-4CD9-9D3B-7ACE7CEF6A84}">
    <text>old PO ref POPV260814047</text>
  </threadedComment>
  <threadedComment ref="A906" dT="2026-08-07T05:52:02.04" personId="{05B030F0-EC17-4ABC-8711-CF2A2F8CB2C1}" id="{D912977F-3449-4566-A38D-96C731AADB53}">
    <text>注意，这一行扣六月份订单</text>
  </threadedComment>
  <threadedComment ref="P908" dT="2026-06-16T03:27:33.14" personId="{AEDBF3C1-4A8E-4E51-9E34-6FCF6E9F8787}" id="{D008342A-DE5A-4560-93E5-7C6003CB9E26}">
    <text>EVO2</text>
  </threadedComment>
  <threadedComment ref="A911" dT="2026-08-14T01:28:54.14" personId="{05B030F0-EC17-4ABC-8711-CF2A2F8CB2C1}" id="{534F48C1-6DE8-462A-9F79-A8124770F3B3}">
    <text>8/21采购开单</text>
  </threadedComment>
  <threadedComment ref="P913" dT="2026-06-18T10:25:57.83" personId="{AEDBF3C1-4A8E-4E51-9E34-6FCF6E9F8787}" id="{112A1DFB-B9D9-41D3-9BDA-DD1C34B1CF71}">
    <text>H4</text>
  </threadedComment>
  <threadedComment ref="P915" dT="2026-06-16T03:27:33.14" personId="{AEDBF3C1-4A8E-4E51-9E34-6FCF6E9F8787}" id="{3D5A2B30-3EA1-4629-909F-7EB3C7EAD33C}">
    <text>EVO2</text>
  </threadedComment>
  <threadedComment ref="P916" dT="2026-06-18T10:26:12.96" personId="{AEDBF3C1-4A8E-4E51-9E34-6FCF6E9F8787}" id="{1306FD79-4E12-4A79-9AC3-9D2888E4DB60}">
    <text>H4</text>
  </threadedComment>
  <threadedComment ref="P917" dT="2026-06-18T10:26:12.96" personId="{AEDBF3C1-4A8E-4E51-9E34-6FCF6E9F8787}" id="{292D18C9-617A-45B0-A956-AE1497E5CB08}">
    <text>H4</text>
  </threadedComment>
  <threadedComment ref="P918" dT="2026-06-16T03:27:33.14" personId="{AEDBF3C1-4A8E-4E51-9E34-6FCF6E9F8787}" id="{2E6EE6F9-A215-46EC-9A12-69F8678443EF}">
    <text>EVO2</text>
  </threadedComment>
  <threadedComment ref="Y918" dT="2026-07-05T17:47:03.19" personId="{02E0D6C5-DC91-4854-8BC7-690C84B272B9}" id="{A236938D-9BFC-4B16-955B-1B0D016381A6}">
    <text>W29</text>
  </threadedComment>
  <threadedComment ref="AB920" dT="2026-08-21T05:45:31.33" personId="{56818584-B3E0-4B2D-A5E9-D37F823CA16D}" id="{B9FFCAA4-9821-40D4-AFCA-D3D6803F59B1}">
    <text>6 CTS picked up on 8-22 , 5 CTS picked up on 8-23</text>
  </threadedComment>
  <threadedComment ref="A942" dT="2026-08-21T07:16:46.47" personId="{05B030F0-EC17-4ABC-8711-CF2A2F8CB2C1}" id="{9192ADF5-7544-4DE3-9BFD-764EE308F242}">
    <text>按8月份价格</text>
  </threadedComment>
  <threadedComment ref="A946" dT="2026-08-26T06:31:45.49" personId="{05B030F0-EC17-4ABC-8711-CF2A2F8CB2C1}" id="{2BED387B-E666-45F1-8CA4-DB9E1D8C02D6}">
    <text>ETD九月，按八月汇率</text>
  </threadedComment>
  <threadedComment ref="A950" dT="2026-08-26T07:13:00.99" personId="{05B030F0-EC17-4ABC-8711-CF2A2F8CB2C1}" id="{B6103755-A2D9-4237-BE0F-73E2D421A355}">
    <text>ETD九月，按八月汇率</text>
  </threadedComment>
  <threadedComment ref="A952" dT="2026-08-21T07:15:58.13" personId="{05B030F0-EC17-4ABC-8711-CF2A2F8CB2C1}" id="{AF0A9FE6-52F0-440D-8035-DE2E08435734}">
    <text>按7月份价格</text>
  </threadedComment>
  <threadedComment ref="P962" dT="2026-06-16T03:27:33.14" personId="{AEDBF3C1-4A8E-4E51-9E34-6FCF6E9F8787}" id="{38E437D1-207A-4BE9-BEB2-6D0DB1077B29}">
    <text>EVO2</text>
  </threadedComment>
  <threadedComment ref="P970" dT="2026-06-16T03:27:33.14" personId="{AEDBF3C1-4A8E-4E51-9E34-6FCF6E9F8787}" id="{1E18460E-BA00-4402-92AB-B6184681E44F}">
    <text>EVO2</text>
  </threadedComment>
  <threadedComment ref="Y970" dT="2026-07-05T17:47:03.19" personId="{02E0D6C5-DC91-4854-8BC7-690C84B272B9}" id="{F63A8834-4B73-4021-9705-442E9EF3581B}">
    <text>W29</text>
  </threadedComment>
  <threadedComment ref="P973" dT="2026-06-16T03:27:33.14" personId="{AEDBF3C1-4A8E-4E51-9E34-6FCF6E9F8787}" id="{91264A7B-58E8-48C9-85C2-0CD98FBE73D2}">
    <text>EVO2</text>
  </threadedComment>
  <threadedComment ref="A976" dT="2026-08-26T06:31:53.93" personId="{05B030F0-EC17-4ABC-8711-CF2A2F8CB2C1}" id="{4DD6BC17-B30D-4998-9423-8197D10336B8}">
    <text>ETD九月，按八月汇率</text>
  </threadedComment>
  <threadedComment ref="A979" dT="2026-08-26T06:32:06.22" personId="{05B030F0-EC17-4ABC-8711-CF2A2F8CB2C1}" id="{2CB1CCF2-C3F8-4D21-9AB1-5AD07A7185F9}">
    <text>ETD九月，按八月汇率</text>
  </threadedComment>
  <threadedComment ref="A980" dT="2026-08-26T06:32:16.32" personId="{05B030F0-EC17-4ABC-8711-CF2A2F8CB2C1}" id="{0BB13111-F872-409A-A12E-3E21DE2DD01A}">
    <text>ETD九月，按八月汇率</text>
  </threadedComment>
  <threadedComment ref="AB981" dT="2026-08-28T02:07:04.37" personId="{56818584-B3E0-4B2D-A5E9-D37F823CA16D}" id="{80A5E73E-B107-4AE2-A0F3-C4440CE4160D}">
    <text>7 CTS picked up on 8-29, 1 CTS picked  up on 8-30</text>
  </threadedComment>
  <threadedComment ref="A986" dT="2026-08-25T08:27:15.37" personId="{C222A517-050F-4169-90D6-80E636A4EB9D}" id="{49D76FF7-6CBA-4D62-8184-58735AB41A1C}">
    <text>1柜塞6000pcs连接器</text>
  </threadedComment>
  <threadedComment ref="A986" dT="2026-08-25T08:31:11.20" personId="{C222A517-050F-4169-90D6-80E636A4EB9D}" id="{9CB4725F-9A20-46E1-BA31-19C3E11E42C4}" parentId="{49D76FF7-6CBA-4D62-8184-58735AB41A1C}">
    <text>GF0700002079</text>
  </threadedComment>
  <threadedComment ref="A990" dT="2026-09-01T10:03:34.19" personId="{05B030F0-EC17-4ABC-8711-CF2A2F8CB2C1}" id="{245F032C-1B07-4C1E-9663-477EB1228C06}">
    <text>一个柜6月价格一个柜7月价格</text>
  </threadedComment>
  <threadedComment ref="AB992" dT="2026-08-31T06:31:28.99" personId="{56818584-B3E0-4B2D-A5E9-D37F823CA16D}" id="{629020F1-A3EA-46B1-AC58-6CA04442137D}">
    <text>10 CTS picked up 8-30 ,1 CTS picked up 8-31</text>
  </threadedComment>
  <threadedComment ref="AB1003" dT="2026-09-04T08:21:02.31" personId="{05C11D42-6D5E-441A-86A5-85325E59A632}" id="{154A06E7-4C0E-4285-AE41-29DCA5D250B5}">
    <text>3 containers pickup on 3rd SEP,2 containers pickup on 4th SEP.</text>
  </threadedComment>
  <threadedComment ref="A1004" dT="2026-08-26T06:32:41.55" personId="{05B030F0-EC17-4ABC-8711-CF2A2F8CB2C1}" id="{A9DFCB20-B7D3-4B8F-8217-36379078B7ED}">
    <text>ETD九月，按八月汇率</text>
  </threadedComment>
  <threadedComment ref="A1009" dT="2026-08-26T06:32:29.05" personId="{05B030F0-EC17-4ABC-8711-CF2A2F8CB2C1}" id="{79560F1F-A330-405F-9ABC-B6839C0A019C}">
    <text>ETD九月，按八月汇率</text>
  </threadedComment>
  <threadedComment ref="P1011" dT="2026-06-16T03:27:33.14" personId="{AEDBF3C1-4A8E-4E51-9E34-6FCF6E9F8787}" id="{E7FC9C0F-E277-4564-914F-23857B3B0B82}">
    <text>EVO2</text>
  </threadedComment>
  <threadedComment ref="Y1011" dT="2026-07-05T17:47:03.19" personId="{02E0D6C5-DC91-4854-8BC7-690C84B272B9}" id="{088C2D5C-EA34-4EDE-B343-80C80FCE748A}">
    <text>W29</text>
  </threadedComment>
  <threadedComment ref="P1012" dT="2026-06-16T03:27:33.14" personId="{AEDBF3C1-4A8E-4E51-9E34-6FCF6E9F8787}" id="{B50E3E0F-3301-4C3C-90BB-57F1A6B2C9ED}">
    <text>EVO2</text>
  </threadedComment>
  <threadedComment ref="A1018" dT="2026-09-04T02:29:59.21" personId="{05B030F0-EC17-4ABC-8711-CF2A2F8CB2C1}" id="{ED201946-84E6-42A3-A881-44996C726AB5}">
    <text>3 CTS picked up on 9-03 ,2 CTS picked up on 9-04</text>
  </threadedComment>
  <threadedComment ref="AB1018" dT="2026-09-02T09:22:36.13" personId="{56818584-B3E0-4B2D-A5E9-D37F823CA16D}" id="{0322FBD2-9597-4027-8929-89D6EDAD980E}">
    <text>3 CTS picked up on 9-03 ,2 CTS picked up on 9-04</text>
  </threadedComment>
  <threadedComment ref="P1039" dT="2026-06-16T03:27:33.14" personId="{AEDBF3C1-4A8E-4E51-9E34-6FCF6E9F8787}" id="{F55A1DDD-081F-4D5D-8DEF-79B496731F99}">
    <text>EVO2</text>
  </threadedComment>
  <threadedComment ref="P1040" dT="2026-06-16T03:27:33.14" personId="{AEDBF3C1-4A8E-4E51-9E34-6FCF6E9F8787}" id="{2F3CFDBE-D55E-4245-88F9-179DD808A4E2}">
    <text>EVO2</text>
  </threadedComment>
  <threadedComment ref="AB1054" dT="2026-09-11T03:51:51.59" personId="{56818584-B3E0-4B2D-A5E9-D37F823CA16D}" id="{ADACFBB9-178D-46C7-AA59-77077C0F3A9F}">
    <text>7 CTS picked up on 9-12 , 4 CTS picked up on 9-13</text>
  </threadedComment>
  <threadedComment ref="A1074" dT="2026-09-18T08:12:06.97" personId="{C222A517-050F-4169-90D6-80E636A4EB9D}" id="{07F1A622-02D3-41F8-A34E-E4467A9B8D60}">
    <text>GF0700002079</text>
  </threadedComment>
  <threadedComment ref="P1081" dT="2026-06-16T03:27:33.14" personId="{AEDBF3C1-4A8E-4E51-9E34-6FCF6E9F8787}" id="{3D8C2884-F411-4A74-B750-D5C52A3B0DB7}">
    <text>EVO2</text>
  </threadedComment>
  <threadedComment ref="AB1088" dT="2026-09-20T06:35:50.10" personId="{56818584-B3E0-4B2D-A5E9-D37F823CA16D}" id="{A4BC1F17-891D-4A4D-85B6-16E12F840F87}">
    <text>8 CTS picked up on 9-19 ,3 CTS picked up on 9-20</text>
  </threadedComment>
  <threadedComment ref="P1113" dT="2026-06-16T03:27:33.14" personId="{AEDBF3C1-4A8E-4E51-9E34-6FCF6E9F8787}" id="{30EFEC93-7E92-4F17-8F39-DCD31CE8A920}">
    <text>EVO2</text>
  </threadedComment>
  <threadedComment ref="P1114" dT="2026-06-16T03:27:43.36" personId="{AEDBF3C1-4A8E-4E51-9E34-6FCF6E9F8787}" id="{40E7E0AC-D547-4D57-9767-8C313674ABAB}">
    <text>EVO2</text>
  </threadedComment>
  <threadedComment ref="AB1116" dT="2026-09-21T01:14:28.15" personId="{8C072ED9-67B2-4AC4-9725-D14F85A260B4}" id="{9810B57E-93CC-4901-BA65-E039C3A7A50F}">
    <text>9-21-4F,9-22-1F</text>
  </threadedComment>
  <threadedComment ref="AB1117" dT="2026-10-02T06:22:47.63" personId="{56818584-B3E0-4B2D-A5E9-D37F823CA16D}" id="{74A5619B-C8BF-4065-BE94-1390574F29DA}">
    <text>8 Cts picked up on 10-01 ,1 Cts picked up on 10-02</text>
  </threadedComment>
  <threadedComment ref="J1122" dT="2026-09-21T03:52:26.00" personId="{05B030F0-EC17-4ABC-8711-CF2A2F8CB2C1}" id="{184D869F-BD63-4D33-9708-93DF5F81D135}">
    <text>菲律宾APBG</text>
  </threadedComment>
  <threadedComment ref="U1176" dT="2026-04-29T02:42:39.41" personId="{AEDBF3C1-4A8E-4E51-9E34-6FCF6E9F8787}" id="{EC9B1E43-D22A-4734-AA29-65BA28D7AAC4}">
    <text>260429: cancel 1plt-33pcs</text>
  </threadedComment>
  <threadedComment ref="P1211" dT="2026-06-16T03:27:33.14" personId="{AEDBF3C1-4A8E-4E51-9E34-6FCF6E9F8787}" id="{87C68EEC-2CDB-461B-ABA3-649871D6402B}">
    <text>EVO2</text>
  </threadedComment>
  <threadedComment ref="P1212" dT="2026-06-16T03:27:43.36" personId="{AEDBF3C1-4A8E-4E51-9E34-6FCF6E9F8787}" id="{F56419AE-CFA8-44CF-B67F-6105757CE739}">
    <text>EVO2</text>
  </threadedComment>
  <threadedComment ref="A1216" dT="2026-07-29T08:12:37.19" personId="{05B030F0-EC17-4ABC-8711-CF2A2F8CB2C1}" id="{26346838-ABA2-4BA3-AA2C-FC42C49227F0}">
    <text>非欧，已开单</text>
  </threadedComment>
  <threadedComment ref="A1217" dT="2026-07-29T08:12:56.39" personId="{05B030F0-EC17-4ABC-8711-CF2A2F8CB2C1}" id="{EE80C541-28B8-47A1-B8F3-207C0B2E1068}">
    <text>非欧，已开单</text>
  </threadedComment>
  <threadedComment ref="A1218" dT="2026-07-29T08:13:24.09" personId="{05B030F0-EC17-4ABC-8711-CF2A2F8CB2C1}" id="{108D8866-E605-4DE5-9F81-A8F0D87DB5C6}">
    <text>非欧，已开单</text>
  </threadedComment>
  <threadedComment ref="A1219" dT="2026-08-21T05:39:18.25" personId="{05B030F0-EC17-4ABC-8711-CF2A2F8CB2C1}" id="{E0A69871-1B1B-4155-BC45-7EED2A7E75D0}">
    <text>非欧订单</text>
  </threadedComment>
  <threadedComment ref="P1233" dT="2026-06-18T10:25:57.83" personId="{AEDBF3C1-4A8E-4E51-9E34-6FCF6E9F8787}" id="{0979DD86-91C8-4F68-97ED-D199B27E32D4}">
    <text>H4</text>
  </threadedComment>
  <threadedComment ref="P1234" dT="2026-06-18T10:26:12.96" personId="{AEDBF3C1-4A8E-4E51-9E34-6FCF6E9F8787}" id="{D67F99D3-65CA-4A4E-8098-1E42DAF220E2}">
    <text>H4</text>
  </threadedComment>
  <threadedComment ref="A1249" dT="2026-10-10T01:30:27.53" personId="{05B030F0-EC17-4ABC-8711-CF2A2F8CB2C1}" id="{526B05C7-B91E-4B6F-99AB-11CC6861CC35}">
    <text>跟倩晴说不在新方舟开，在EUCT记录好价格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  <threadedComment ref="Z173" dT="2026-09-20T06:08:25.06" personId="{ED0E0B94-28DE-45B0-99AC-EBA7D3821EBA}" id="{2E00BE70-28F0-426D-8DB5-8B7A1849C17F}">
    <text>1 pick-up on 09-18, another pick-up on 09-19</text>
  </threadedComment>
  <threadedComment ref="R290" dT="2026-09-09T02:38:09.73" personId="{D7EA08E9-E1A4-4552-BE9E-A904D0E5D4EC}" id="{048A3401-D290-407B-B869-B5170A6AC83F}">
    <text>新方舟系统库存171pcs, 40pcs被户用提走，暂未开单。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  <threadedComment ref="L76" dT="2026-09-03T11:30:02.51" personId="{BA74EA03-B90E-4772-8A84-00C7DB6F61CD}" id="{0DF4761A-5909-4063-8472-1DC0C905BEE8}">
    <text>Transfer order PVAE260903000044</text>
  </threadedComment>
  <threadedComment ref="L77" dT="2026-09-23T13:30:32.08" personId="{BA74EA03-B90E-4772-8A84-00C7DB6F61CD}" id="{94001541-E4A2-4439-B422-67E9E95FBB34}">
    <text>PVAE260923000039</text>
  </threadedComment>
  <threadedComment ref="B78" dT="2026-09-24T08:48:59.07" personId="{BA74EA03-B90E-4772-8A84-00C7DB6F61CD}" id="{FC8FAC09-49D3-45F4-B31D-1E474DFD1756}">
    <text>CH0126091100003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2.xml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5.vml"/><Relationship Id="rId5" Type="http://schemas.microsoft.com/office/2019/04/relationships/namedSheetView" Target="../namedSheetViews/namedSheetView3.x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6.vml"/><Relationship Id="rId4" Type="http://schemas.microsoft.com/office/2017/10/relationships/threadedComment" Target="../threadedComments/threadedComment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mm21.com/e-service/general/trackNTrace/TrackNTrace.do" TargetMode="External"/><Relationship Id="rId3" Type="http://schemas.openxmlformats.org/officeDocument/2006/relationships/hyperlink" Target="https://www.oocl.com/eng/ourservices/eservices/cargotracking/pages/cargotracking.aspx" TargetMode="External"/><Relationship Id="rId7" Type="http://schemas.openxmlformats.org/officeDocument/2006/relationships/hyperlink" Target="https://www.cma-cgm.com/ebusiness/tracking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6" Type="http://schemas.openxmlformats.org/officeDocument/2006/relationships/hyperlink" Target="https://www.yangming.com/en/esolution/cargo_tracking" TargetMode="External"/><Relationship Id="rId5" Type="http://schemas.openxmlformats.org/officeDocument/2006/relationships/hyperlink" Target="https://www.one-line.com/one-ecom/manage-shipment/cargo-tracking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workbookViewId="0">
      <selection activeCell="W29" sqref="W29"/>
    </sheetView>
  </sheetViews>
  <sheetFormatPr defaultColWidth="14.8984375" defaultRowHeight="13" outlineLevelRow="1"/>
  <cols>
    <col min="1" max="2" width="14.8984375" style="1032"/>
    <col min="3" max="14" width="0" style="1032" hidden="1" customWidth="1"/>
    <col min="15" max="27" width="14.8984375" style="1032"/>
    <col min="28" max="28" width="14.8984375" style="1033"/>
    <col min="29" max="29" width="14.8984375" style="1032"/>
    <col min="30" max="30" width="16" style="1032" customWidth="1"/>
    <col min="31" max="34" width="14.8984375" style="1032"/>
    <col min="35" max="40" width="14.8984375" style="1033"/>
    <col min="41" max="48" width="14.8984375" style="1032"/>
    <col min="49" max="49" width="14.8984375" style="1033"/>
    <col min="50" max="50" width="14.8984375" style="1032"/>
    <col min="51" max="51" width="14.8984375" style="1033"/>
    <col min="52" max="52" width="14.8984375" style="1032"/>
    <col min="53" max="53" width="14.8984375" style="1033"/>
    <col min="54" max="16384" width="14.8984375" style="1032"/>
  </cols>
  <sheetData>
    <row r="1" spans="1:60" s="429" customFormat="1" ht="42" customHeight="1" outlineLevel="1">
      <c r="A1" s="918" t="s">
        <v>0</v>
      </c>
      <c r="B1" s="418" t="s">
        <v>1</v>
      </c>
      <c r="C1" s="419" t="s">
        <v>2</v>
      </c>
      <c r="D1" s="420" t="s">
        <v>3</v>
      </c>
      <c r="E1" s="421" t="s">
        <v>4</v>
      </c>
      <c r="F1" s="421" t="s">
        <v>5</v>
      </c>
      <c r="G1" s="421" t="s">
        <v>6</v>
      </c>
      <c r="H1" s="421" t="s">
        <v>7</v>
      </c>
      <c r="I1" s="421" t="s">
        <v>8</v>
      </c>
      <c r="J1" s="421" t="s">
        <v>9</v>
      </c>
      <c r="K1" s="421" t="s">
        <v>10</v>
      </c>
      <c r="L1" s="421" t="s">
        <v>11</v>
      </c>
      <c r="M1" s="421" t="s">
        <v>12</v>
      </c>
      <c r="N1" s="421" t="s">
        <v>13</v>
      </c>
      <c r="O1" s="418" t="s">
        <v>14</v>
      </c>
      <c r="P1" s="418" t="s">
        <v>15</v>
      </c>
      <c r="Q1" s="418" t="s">
        <v>16</v>
      </c>
      <c r="R1" s="427" t="s">
        <v>17</v>
      </c>
      <c r="S1" s="427" t="s">
        <v>18</v>
      </c>
      <c r="T1" s="418" t="s">
        <v>19</v>
      </c>
      <c r="U1" s="422" t="s">
        <v>20</v>
      </c>
      <c r="V1" s="1030" t="s">
        <v>21</v>
      </c>
      <c r="W1" s="1031" t="s">
        <v>22</v>
      </c>
      <c r="X1" s="419" t="s">
        <v>23</v>
      </c>
      <c r="Y1" s="418" t="s">
        <v>24</v>
      </c>
      <c r="Z1" s="418" t="s">
        <v>25</v>
      </c>
      <c r="AA1" s="423" t="s">
        <v>26</v>
      </c>
      <c r="AB1" s="424" t="s">
        <v>27</v>
      </c>
      <c r="AC1" s="420" t="s">
        <v>28</v>
      </c>
      <c r="AD1" s="890" t="s">
        <v>29</v>
      </c>
      <c r="AE1" s="418" t="s">
        <v>30</v>
      </c>
      <c r="AF1" s="421" t="s">
        <v>31</v>
      </c>
      <c r="AG1" s="421" t="s">
        <v>32</v>
      </c>
      <c r="AH1" s="421" t="s">
        <v>33</v>
      </c>
      <c r="AI1" s="1034" t="s">
        <v>34</v>
      </c>
      <c r="AJ1" s="542" t="s">
        <v>35</v>
      </c>
      <c r="AK1" s="1035" t="s">
        <v>36</v>
      </c>
      <c r="AL1" s="542" t="s">
        <v>37</v>
      </c>
      <c r="AM1" s="542" t="s">
        <v>38</v>
      </c>
      <c r="AN1" s="542" t="s">
        <v>39</v>
      </c>
      <c r="AO1" s="420" t="s">
        <v>40</v>
      </c>
      <c r="AP1" s="420" t="s">
        <v>41</v>
      </c>
      <c r="AQ1" s="420" t="s">
        <v>42</v>
      </c>
      <c r="AR1" s="420" t="s">
        <v>43</v>
      </c>
      <c r="AS1" s="420" t="s">
        <v>44</v>
      </c>
      <c r="AT1" s="420" t="s">
        <v>45</v>
      </c>
      <c r="AU1" s="542" t="s">
        <v>46</v>
      </c>
      <c r="AV1" s="420" t="s">
        <v>47</v>
      </c>
      <c r="AW1" s="425" t="s">
        <v>48</v>
      </c>
      <c r="AX1" s="425" t="s">
        <v>49</v>
      </c>
      <c r="AY1" s="425" t="s">
        <v>50</v>
      </c>
      <c r="AZ1" s="425" t="s">
        <v>51</v>
      </c>
      <c r="BA1" s="425" t="s">
        <v>52</v>
      </c>
      <c r="BB1" s="426" t="s">
        <v>53</v>
      </c>
      <c r="BC1" s="426" t="s">
        <v>54</v>
      </c>
      <c r="BD1" s="425" t="s">
        <v>55</v>
      </c>
      <c r="BE1" s="427" t="s">
        <v>56</v>
      </c>
      <c r="BF1" s="427" t="s">
        <v>57</v>
      </c>
      <c r="BG1" s="427" t="s">
        <v>58</v>
      </c>
      <c r="BH1" s="428" t="s">
        <v>59</v>
      </c>
    </row>
    <row r="2" spans="1:60">
      <c r="A2" s="1032" t="s">
        <v>60</v>
      </c>
      <c r="B2" s="1032" t="s">
        <v>61</v>
      </c>
      <c r="C2" s="1032" t="s">
        <v>62</v>
      </c>
      <c r="D2" s="1032" t="s">
        <v>63</v>
      </c>
      <c r="E2" s="1032" t="s">
        <v>64</v>
      </c>
      <c r="F2" s="1032" t="s">
        <v>65</v>
      </c>
      <c r="G2" s="1032" t="s">
        <v>66</v>
      </c>
      <c r="H2" s="1032" t="s">
        <v>67</v>
      </c>
      <c r="I2" s="1032" t="s">
        <v>68</v>
      </c>
      <c r="J2" s="1032" t="s">
        <v>69</v>
      </c>
      <c r="M2" s="1032" t="s">
        <v>68</v>
      </c>
      <c r="N2" s="1032" t="s">
        <v>68</v>
      </c>
      <c r="O2" s="1032" t="s">
        <v>70</v>
      </c>
      <c r="P2" s="1032" t="s">
        <v>71</v>
      </c>
      <c r="Q2" s="1032" t="s">
        <v>72</v>
      </c>
      <c r="R2" s="1032" t="s">
        <v>73</v>
      </c>
      <c r="S2" s="1032" t="s">
        <v>74</v>
      </c>
      <c r="T2" s="1032">
        <v>500</v>
      </c>
      <c r="U2" s="1032">
        <v>2592</v>
      </c>
      <c r="V2" s="1032">
        <v>1.296</v>
      </c>
      <c r="W2" s="1032">
        <v>72</v>
      </c>
      <c r="X2" s="1032">
        <v>3</v>
      </c>
      <c r="Y2" s="1032" t="s">
        <v>75</v>
      </c>
      <c r="Z2" s="1032" t="s">
        <v>75</v>
      </c>
      <c r="AB2" s="1033">
        <v>46003</v>
      </c>
      <c r="AC2" s="1032">
        <v>50</v>
      </c>
      <c r="AD2" s="1032" t="s">
        <v>76</v>
      </c>
      <c r="AE2" s="1032">
        <v>371009290</v>
      </c>
      <c r="AF2" s="1032" t="s">
        <v>77</v>
      </c>
      <c r="AG2" s="1032" t="s">
        <v>61</v>
      </c>
      <c r="AH2" s="1032" t="s">
        <v>78</v>
      </c>
      <c r="AI2" s="1033">
        <v>46009</v>
      </c>
      <c r="AJ2" s="1033">
        <v>46009</v>
      </c>
      <c r="AK2" s="1033">
        <v>46012</v>
      </c>
      <c r="AL2" s="1033">
        <v>46076</v>
      </c>
      <c r="AM2" s="1033">
        <v>46098</v>
      </c>
      <c r="AN2" s="1033">
        <v>46099</v>
      </c>
      <c r="AO2" s="1032" t="s">
        <v>66</v>
      </c>
      <c r="AP2" s="1032" t="s">
        <v>79</v>
      </c>
      <c r="AQ2" s="1032" t="s">
        <v>80</v>
      </c>
      <c r="AR2" s="1032" t="s">
        <v>81</v>
      </c>
      <c r="AS2" s="1032" t="s">
        <v>82</v>
      </c>
      <c r="AT2" s="1032" t="s">
        <v>82</v>
      </c>
      <c r="AU2" s="1032">
        <v>87</v>
      </c>
      <c r="AV2" s="1032" t="s">
        <v>83</v>
      </c>
      <c r="AW2" s="1033">
        <v>46099</v>
      </c>
      <c r="AX2" s="1032" t="s">
        <v>84</v>
      </c>
      <c r="AY2" s="1033">
        <v>46112</v>
      </c>
      <c r="AZ2" s="1032">
        <v>8</v>
      </c>
      <c r="BA2" s="1033">
        <v>46107</v>
      </c>
      <c r="BB2" s="1032">
        <v>2026</v>
      </c>
      <c r="BC2" s="1032">
        <v>3</v>
      </c>
      <c r="BD2" s="1032">
        <v>13</v>
      </c>
      <c r="BE2" s="1032">
        <v>36</v>
      </c>
      <c r="BF2" s="1032">
        <v>864</v>
      </c>
      <c r="BG2" s="1032" t="s">
        <v>85</v>
      </c>
      <c r="BH2" s="1032" t="s">
        <v>86</v>
      </c>
    </row>
    <row r="3" spans="1:60">
      <c r="A3" s="1032" t="s">
        <v>87</v>
      </c>
      <c r="B3" s="1032" t="s">
        <v>61</v>
      </c>
      <c r="C3" s="1032" t="s">
        <v>88</v>
      </c>
      <c r="D3" s="1032" t="s">
        <v>63</v>
      </c>
      <c r="E3" s="1032" t="s">
        <v>64</v>
      </c>
      <c r="F3" s="1032" t="s">
        <v>65</v>
      </c>
      <c r="G3" s="1032" t="s">
        <v>66</v>
      </c>
      <c r="H3" s="1032" t="s">
        <v>67</v>
      </c>
      <c r="I3" s="1032" t="s">
        <v>68</v>
      </c>
      <c r="J3" s="1032" t="s">
        <v>89</v>
      </c>
      <c r="K3" s="1032" t="s">
        <v>90</v>
      </c>
      <c r="M3" s="1032" t="s">
        <v>68</v>
      </c>
      <c r="N3" s="1032" t="s">
        <v>68</v>
      </c>
      <c r="O3" s="1032" t="s">
        <v>70</v>
      </c>
      <c r="P3" s="1032" t="s">
        <v>91</v>
      </c>
      <c r="Q3" s="1032" t="s">
        <v>92</v>
      </c>
      <c r="R3" s="1032" t="s">
        <v>73</v>
      </c>
      <c r="S3" s="1032" t="s">
        <v>74</v>
      </c>
      <c r="T3" s="1032">
        <v>450</v>
      </c>
      <c r="U3" s="1032">
        <v>936</v>
      </c>
      <c r="V3" s="1032">
        <v>0.42099999999999999</v>
      </c>
      <c r="W3" s="1032">
        <v>26</v>
      </c>
      <c r="X3" s="1032">
        <v>1</v>
      </c>
      <c r="Y3" s="1032" t="s">
        <v>75</v>
      </c>
      <c r="Z3" s="1032" t="s">
        <v>75</v>
      </c>
      <c r="AB3" s="1033">
        <v>46003</v>
      </c>
      <c r="AC3" s="1032">
        <v>50</v>
      </c>
      <c r="AD3" s="1032" t="s">
        <v>93</v>
      </c>
      <c r="AE3" s="1032">
        <v>371009297</v>
      </c>
      <c r="AF3" s="1032" t="s">
        <v>77</v>
      </c>
      <c r="AG3" s="1032" t="s">
        <v>61</v>
      </c>
      <c r="AH3" s="1032" t="s">
        <v>78</v>
      </c>
      <c r="AI3" s="1033">
        <v>46009</v>
      </c>
      <c r="AJ3" s="1033">
        <v>46009</v>
      </c>
      <c r="AK3" s="1033">
        <v>46012</v>
      </c>
      <c r="AL3" s="1033">
        <v>46076</v>
      </c>
      <c r="AM3" s="1033">
        <v>46098</v>
      </c>
      <c r="AN3" s="1033">
        <v>46099</v>
      </c>
      <c r="AO3" s="1032" t="s">
        <v>66</v>
      </c>
      <c r="AP3" s="1032" t="s">
        <v>79</v>
      </c>
      <c r="AQ3" s="1032" t="s">
        <v>80</v>
      </c>
      <c r="AR3" s="1032" t="s">
        <v>81</v>
      </c>
      <c r="AS3" s="1032" t="s">
        <v>82</v>
      </c>
      <c r="AT3" s="1032" t="s">
        <v>82</v>
      </c>
      <c r="AU3" s="1032">
        <v>87</v>
      </c>
      <c r="AV3" s="1032" t="s">
        <v>83</v>
      </c>
      <c r="AW3" s="1033">
        <v>46099</v>
      </c>
      <c r="AX3" s="1032" t="s">
        <v>84</v>
      </c>
      <c r="AY3" s="1033">
        <v>46112</v>
      </c>
      <c r="AZ3" s="1032">
        <v>8</v>
      </c>
      <c r="BA3" s="1033">
        <v>46107</v>
      </c>
      <c r="BB3" s="1032">
        <v>2026</v>
      </c>
      <c r="BC3" s="1032">
        <v>3</v>
      </c>
      <c r="BD3" s="1032">
        <v>13</v>
      </c>
      <c r="BE3" s="1032">
        <v>36</v>
      </c>
      <c r="BF3" s="1032">
        <v>936</v>
      </c>
      <c r="BG3" s="1032" t="s">
        <v>94</v>
      </c>
      <c r="BH3" s="1032" t="s">
        <v>86</v>
      </c>
    </row>
    <row r="4" spans="1:60">
      <c r="A4" s="1032" t="s">
        <v>95</v>
      </c>
      <c r="B4" s="1032" t="s">
        <v>61</v>
      </c>
      <c r="C4" s="1032" t="s">
        <v>88</v>
      </c>
      <c r="D4" s="1032" t="s">
        <v>63</v>
      </c>
      <c r="E4" s="1032" t="s">
        <v>64</v>
      </c>
      <c r="F4" s="1032" t="s">
        <v>65</v>
      </c>
      <c r="G4" s="1032" t="s">
        <v>66</v>
      </c>
      <c r="H4" s="1032" t="s">
        <v>67</v>
      </c>
      <c r="I4" s="1032" t="s">
        <v>68</v>
      </c>
      <c r="J4" s="1032" t="s">
        <v>96</v>
      </c>
      <c r="M4" s="1032" t="s">
        <v>68</v>
      </c>
      <c r="N4" s="1032" t="s">
        <v>68</v>
      </c>
      <c r="O4" s="1032" t="s">
        <v>70</v>
      </c>
      <c r="P4" s="1032" t="s">
        <v>91</v>
      </c>
      <c r="Q4" s="1032" t="s">
        <v>92</v>
      </c>
      <c r="R4" s="1032" t="s">
        <v>73</v>
      </c>
      <c r="S4" s="1032" t="s">
        <v>74</v>
      </c>
      <c r="T4" s="1032">
        <v>450</v>
      </c>
      <c r="U4" s="1032">
        <v>2808</v>
      </c>
      <c r="V4" s="1032">
        <v>1.264</v>
      </c>
      <c r="W4" s="1032">
        <v>78</v>
      </c>
      <c r="X4" s="1032">
        <v>3</v>
      </c>
      <c r="Y4" s="1032" t="s">
        <v>75</v>
      </c>
      <c r="Z4" s="1032" t="s">
        <v>75</v>
      </c>
      <c r="AB4" s="1033">
        <v>46003</v>
      </c>
      <c r="AC4" s="1032">
        <v>50</v>
      </c>
      <c r="AD4" s="1032" t="s">
        <v>97</v>
      </c>
      <c r="AE4" s="1032">
        <v>371009298</v>
      </c>
      <c r="AF4" s="1032" t="s">
        <v>77</v>
      </c>
      <c r="AG4" s="1032" t="s">
        <v>61</v>
      </c>
      <c r="AH4" s="1032" t="s">
        <v>78</v>
      </c>
      <c r="AI4" s="1033">
        <v>46009</v>
      </c>
      <c r="AJ4" s="1033">
        <v>46009</v>
      </c>
      <c r="AK4" s="1033">
        <v>46012</v>
      </c>
      <c r="AL4" s="1033">
        <v>46076</v>
      </c>
      <c r="AM4" s="1033">
        <v>46098</v>
      </c>
      <c r="AN4" s="1033">
        <v>46099</v>
      </c>
      <c r="AO4" s="1032" t="s">
        <v>66</v>
      </c>
      <c r="AP4" s="1032" t="s">
        <v>79</v>
      </c>
      <c r="AQ4" s="1032" t="s">
        <v>80</v>
      </c>
      <c r="AR4" s="1032" t="s">
        <v>81</v>
      </c>
      <c r="AS4" s="1032" t="s">
        <v>82</v>
      </c>
      <c r="AT4" s="1032" t="s">
        <v>82</v>
      </c>
      <c r="AU4" s="1032">
        <v>87</v>
      </c>
      <c r="AV4" s="1032" t="s">
        <v>83</v>
      </c>
      <c r="AW4" s="1033">
        <v>46099</v>
      </c>
      <c r="AX4" s="1032" t="s">
        <v>84</v>
      </c>
      <c r="AY4" s="1033">
        <v>46112</v>
      </c>
      <c r="AZ4" s="1032">
        <v>8</v>
      </c>
      <c r="BA4" s="1033">
        <v>46107</v>
      </c>
      <c r="BB4" s="1032">
        <v>2026</v>
      </c>
      <c r="BC4" s="1032">
        <v>3</v>
      </c>
      <c r="BD4" s="1032">
        <v>13</v>
      </c>
      <c r="BE4" s="1032">
        <v>36</v>
      </c>
      <c r="BF4" s="1032">
        <v>936</v>
      </c>
      <c r="BG4" s="1032" t="s">
        <v>94</v>
      </c>
      <c r="BH4" s="1032" t="s">
        <v>86</v>
      </c>
    </row>
    <row r="5" spans="1:60">
      <c r="A5" s="1032" t="s">
        <v>98</v>
      </c>
      <c r="B5" s="1032" t="s">
        <v>61</v>
      </c>
      <c r="C5" s="1032" t="s">
        <v>99</v>
      </c>
      <c r="D5" s="1032" t="s">
        <v>63</v>
      </c>
      <c r="E5" s="1032" t="s">
        <v>64</v>
      </c>
      <c r="F5" s="1032" t="s">
        <v>100</v>
      </c>
      <c r="G5" s="1032" t="s">
        <v>66</v>
      </c>
      <c r="H5" s="1032" t="s">
        <v>67</v>
      </c>
      <c r="I5" s="1032" t="s">
        <v>68</v>
      </c>
      <c r="J5" s="1032" t="s">
        <v>101</v>
      </c>
      <c r="M5" s="1032" t="s">
        <v>68</v>
      </c>
      <c r="N5" s="1032" t="s">
        <v>68</v>
      </c>
      <c r="O5" s="1032" t="s">
        <v>70</v>
      </c>
      <c r="P5" s="1032" t="s">
        <v>102</v>
      </c>
      <c r="Q5" s="1032" t="s">
        <v>103</v>
      </c>
      <c r="R5" s="1032" t="s">
        <v>73</v>
      </c>
      <c r="S5" s="1032" t="s">
        <v>74</v>
      </c>
      <c r="T5" s="1032">
        <v>620</v>
      </c>
      <c r="U5" s="1032">
        <v>4320</v>
      </c>
      <c r="V5" s="1032">
        <v>2.6779999999999999</v>
      </c>
      <c r="W5" s="1032">
        <v>120</v>
      </c>
      <c r="X5" s="1032">
        <v>6</v>
      </c>
      <c r="Y5" s="1032" t="s">
        <v>75</v>
      </c>
      <c r="Z5" s="1032" t="s">
        <v>75</v>
      </c>
      <c r="AB5" s="1033">
        <v>46000</v>
      </c>
      <c r="AC5" s="1032">
        <v>50</v>
      </c>
      <c r="AD5" s="1032" t="s">
        <v>104</v>
      </c>
      <c r="AE5" s="1032">
        <v>371009291</v>
      </c>
      <c r="AF5" s="1032" t="s">
        <v>77</v>
      </c>
      <c r="AG5" s="1032" t="s">
        <v>61</v>
      </c>
      <c r="AH5" s="1032" t="s">
        <v>105</v>
      </c>
      <c r="AI5" s="1033">
        <v>46009</v>
      </c>
      <c r="AJ5" s="1033">
        <v>46009</v>
      </c>
      <c r="AK5" s="1033">
        <v>46012</v>
      </c>
      <c r="AL5" s="1033">
        <v>46061</v>
      </c>
      <c r="AM5" s="1033">
        <v>46111</v>
      </c>
      <c r="AN5" s="1033">
        <v>46111</v>
      </c>
      <c r="AO5" s="1032" t="s">
        <v>66</v>
      </c>
      <c r="AP5" s="1032" t="s">
        <v>79</v>
      </c>
      <c r="AQ5" s="1032" t="s">
        <v>80</v>
      </c>
      <c r="AR5" s="1032" t="s">
        <v>106</v>
      </c>
      <c r="AS5" s="1032" t="s">
        <v>107</v>
      </c>
      <c r="AT5" s="1032" t="s">
        <v>107</v>
      </c>
      <c r="AU5" s="1032">
        <v>99</v>
      </c>
      <c r="AV5" s="1032" t="s">
        <v>83</v>
      </c>
      <c r="AW5" s="1033">
        <v>46111</v>
      </c>
      <c r="AX5" s="1032" t="s">
        <v>84</v>
      </c>
      <c r="AY5" s="1033">
        <v>46125</v>
      </c>
      <c r="AZ5" s="1032">
        <v>7</v>
      </c>
      <c r="BA5" s="1033">
        <v>46118</v>
      </c>
      <c r="BB5" s="1032">
        <v>2026</v>
      </c>
      <c r="BC5" s="1032">
        <v>4</v>
      </c>
      <c r="BD5" s="1032">
        <v>15</v>
      </c>
      <c r="BE5" s="1032">
        <v>36</v>
      </c>
      <c r="BF5" s="1032">
        <v>720</v>
      </c>
      <c r="BG5" s="1032" t="s">
        <v>108</v>
      </c>
      <c r="BH5" s="1032" t="s">
        <v>109</v>
      </c>
    </row>
    <row r="6" spans="1:60">
      <c r="A6" s="1032" t="s">
        <v>110</v>
      </c>
      <c r="B6" s="1032" t="s">
        <v>111</v>
      </c>
      <c r="C6" s="1032" t="s">
        <v>112</v>
      </c>
      <c r="D6" s="1032" t="s">
        <v>113</v>
      </c>
      <c r="E6" s="1032" t="s">
        <v>64</v>
      </c>
      <c r="F6" s="1032" t="s">
        <v>114</v>
      </c>
      <c r="G6" s="1032" t="s">
        <v>66</v>
      </c>
      <c r="H6" s="1032" t="s">
        <v>115</v>
      </c>
      <c r="I6" s="1032" t="s">
        <v>68</v>
      </c>
      <c r="J6" s="1032" t="s">
        <v>116</v>
      </c>
      <c r="K6" s="1032" t="s">
        <v>117</v>
      </c>
      <c r="M6" s="1032" t="s">
        <v>68</v>
      </c>
      <c r="N6" s="1032" t="s">
        <v>68</v>
      </c>
      <c r="O6" s="1032" t="s">
        <v>70</v>
      </c>
      <c r="P6" s="1032" t="s">
        <v>118</v>
      </c>
      <c r="Q6" s="1032" t="s">
        <v>119</v>
      </c>
      <c r="R6" s="1032" t="s">
        <v>73</v>
      </c>
      <c r="S6" s="1032" t="s">
        <v>120</v>
      </c>
      <c r="T6" s="1032">
        <v>640</v>
      </c>
      <c r="U6" s="1032">
        <v>2304</v>
      </c>
      <c r="V6" s="1032">
        <v>1.4750000000000001</v>
      </c>
      <c r="W6" s="1032">
        <v>64</v>
      </c>
      <c r="X6" s="1032">
        <v>4</v>
      </c>
      <c r="Y6" s="1032" t="s">
        <v>75</v>
      </c>
      <c r="Z6" s="1032" t="s">
        <v>75</v>
      </c>
      <c r="AB6" s="1033">
        <v>46015</v>
      </c>
      <c r="AC6" s="1032">
        <v>52</v>
      </c>
      <c r="AD6" s="1032" t="s">
        <v>121</v>
      </c>
      <c r="AF6" s="1032" t="s">
        <v>122</v>
      </c>
      <c r="AG6" s="1032" t="s">
        <v>123</v>
      </c>
      <c r="AH6" s="1032" t="s">
        <v>124</v>
      </c>
      <c r="AI6" s="1033">
        <v>46020</v>
      </c>
      <c r="AJ6" s="1033">
        <v>46030</v>
      </c>
      <c r="AK6" s="1033">
        <v>46030</v>
      </c>
      <c r="AL6" s="1033">
        <v>46072</v>
      </c>
      <c r="AM6" s="1033">
        <v>46092</v>
      </c>
      <c r="AN6" s="1033">
        <v>46094</v>
      </c>
      <c r="AO6" s="1032" t="s">
        <v>66</v>
      </c>
      <c r="AP6" s="1032" t="s">
        <v>125</v>
      </c>
      <c r="AQ6" s="1032" t="s">
        <v>80</v>
      </c>
      <c r="AR6" s="1032" t="s">
        <v>126</v>
      </c>
      <c r="AS6" s="1032" t="s">
        <v>127</v>
      </c>
      <c r="AT6" s="1032" t="s">
        <v>127</v>
      </c>
      <c r="AU6" s="1032">
        <v>64</v>
      </c>
      <c r="AW6" s="1033">
        <v>46094</v>
      </c>
      <c r="AX6" s="1032" t="s">
        <v>84</v>
      </c>
      <c r="AY6" s="1033">
        <v>46104</v>
      </c>
      <c r="AZ6" s="1032">
        <v>9</v>
      </c>
      <c r="BA6" s="1033">
        <v>46103</v>
      </c>
      <c r="BB6" s="1032">
        <v>2026</v>
      </c>
      <c r="BC6" s="1032">
        <v>3</v>
      </c>
      <c r="BD6" s="1032">
        <v>12</v>
      </c>
      <c r="BE6" s="1032">
        <v>36</v>
      </c>
      <c r="BF6" s="1032">
        <v>576</v>
      </c>
      <c r="BG6" s="1032" t="s">
        <v>128</v>
      </c>
      <c r="BH6" s="1032" t="s">
        <v>86</v>
      </c>
    </row>
    <row r="7" spans="1:60">
      <c r="A7" s="1032" t="s">
        <v>129</v>
      </c>
      <c r="B7" s="1032" t="s">
        <v>111</v>
      </c>
      <c r="C7" s="1032" t="s">
        <v>130</v>
      </c>
      <c r="D7" s="1032" t="s">
        <v>63</v>
      </c>
      <c r="E7" s="1032" t="s">
        <v>64</v>
      </c>
      <c r="F7" s="1032" t="s">
        <v>65</v>
      </c>
      <c r="G7" s="1032" t="s">
        <v>66</v>
      </c>
      <c r="H7" s="1032" t="s">
        <v>67</v>
      </c>
      <c r="I7" s="1032" t="s">
        <v>68</v>
      </c>
      <c r="J7" s="1032" t="s">
        <v>131</v>
      </c>
      <c r="M7" s="1032" t="s">
        <v>68</v>
      </c>
      <c r="N7" s="1032" t="s">
        <v>68</v>
      </c>
      <c r="O7" s="1032" t="s">
        <v>132</v>
      </c>
      <c r="P7" s="1032" t="s">
        <v>133</v>
      </c>
      <c r="Q7" s="1032" t="s">
        <v>134</v>
      </c>
      <c r="R7" s="1032" t="s">
        <v>73</v>
      </c>
      <c r="S7" s="1032" t="s">
        <v>120</v>
      </c>
      <c r="T7" s="1032">
        <v>720</v>
      </c>
      <c r="U7" s="1032">
        <v>1782</v>
      </c>
      <c r="V7" s="1032">
        <v>1.2829999999999999</v>
      </c>
      <c r="W7" s="1032">
        <v>54</v>
      </c>
      <c r="X7" s="1032">
        <v>3</v>
      </c>
      <c r="Y7" s="1032" t="s">
        <v>75</v>
      </c>
      <c r="Z7" s="1032" t="s">
        <v>75</v>
      </c>
      <c r="AB7" s="1033">
        <v>46012</v>
      </c>
      <c r="AC7" s="1032">
        <v>51</v>
      </c>
      <c r="AD7" s="1032" t="s">
        <v>135</v>
      </c>
      <c r="AF7" s="1032" t="s">
        <v>122</v>
      </c>
      <c r="AG7" s="1032" t="s">
        <v>123</v>
      </c>
      <c r="AH7" s="1032" t="s">
        <v>78</v>
      </c>
      <c r="AI7" s="1033">
        <v>46020</v>
      </c>
      <c r="AJ7" s="1033">
        <v>46030</v>
      </c>
      <c r="AK7" s="1033">
        <v>46030</v>
      </c>
      <c r="AL7" s="1033">
        <v>46064</v>
      </c>
      <c r="AM7" s="1033">
        <v>46098</v>
      </c>
      <c r="AN7" s="1033">
        <v>46099</v>
      </c>
      <c r="AO7" s="1032" t="s">
        <v>66</v>
      </c>
      <c r="AP7" s="1032" t="s">
        <v>125</v>
      </c>
      <c r="AQ7" s="1032" t="s">
        <v>80</v>
      </c>
      <c r="AR7" s="1032" t="s">
        <v>136</v>
      </c>
      <c r="AS7" s="1032" t="s">
        <v>137</v>
      </c>
      <c r="AT7" s="1032" t="s">
        <v>137</v>
      </c>
      <c r="AU7" s="1032">
        <v>69</v>
      </c>
      <c r="AW7" s="1033">
        <v>46099</v>
      </c>
      <c r="AX7" s="1032" t="s">
        <v>84</v>
      </c>
      <c r="AY7" s="1033">
        <v>46112</v>
      </c>
      <c r="AZ7" s="1032">
        <v>8</v>
      </c>
      <c r="BA7" s="1033">
        <v>46107</v>
      </c>
      <c r="BB7" s="1032">
        <v>2026</v>
      </c>
      <c r="BC7" s="1032">
        <v>3</v>
      </c>
      <c r="BD7" s="1032">
        <v>13</v>
      </c>
      <c r="BE7" s="1032">
        <v>33</v>
      </c>
      <c r="BF7" s="1032">
        <v>594</v>
      </c>
      <c r="BG7" s="1032" t="s">
        <v>108</v>
      </c>
      <c r="BH7" s="1032" t="s">
        <v>86</v>
      </c>
    </row>
    <row r="8" spans="1:60">
      <c r="A8" s="1032" t="s">
        <v>138</v>
      </c>
      <c r="B8" s="1032" t="s">
        <v>111</v>
      </c>
      <c r="C8" s="1032" t="s">
        <v>130</v>
      </c>
      <c r="D8" s="1032" t="s">
        <v>63</v>
      </c>
      <c r="E8" s="1032" t="s">
        <v>64</v>
      </c>
      <c r="F8" s="1032" t="s">
        <v>100</v>
      </c>
      <c r="G8" s="1032" t="s">
        <v>66</v>
      </c>
      <c r="H8" s="1032" t="s">
        <v>67</v>
      </c>
      <c r="I8" s="1032" t="s">
        <v>68</v>
      </c>
      <c r="J8" s="1032" t="s">
        <v>101</v>
      </c>
      <c r="M8" s="1032" t="s">
        <v>68</v>
      </c>
      <c r="N8" s="1032" t="s">
        <v>68</v>
      </c>
      <c r="O8" s="1032" t="s">
        <v>132</v>
      </c>
      <c r="P8" s="1032" t="s">
        <v>133</v>
      </c>
      <c r="Q8" s="1032" t="s">
        <v>134</v>
      </c>
      <c r="R8" s="1032" t="s">
        <v>73</v>
      </c>
      <c r="S8" s="1032" t="s">
        <v>120</v>
      </c>
      <c r="T8" s="1032">
        <v>720</v>
      </c>
      <c r="U8" s="1032">
        <v>1782</v>
      </c>
      <c r="V8" s="1032">
        <v>1.2829999999999999</v>
      </c>
      <c r="W8" s="1032">
        <v>54</v>
      </c>
      <c r="X8" s="1032">
        <v>3</v>
      </c>
      <c r="Y8" s="1032" t="s">
        <v>75</v>
      </c>
      <c r="Z8" s="1032" t="s">
        <v>75</v>
      </c>
      <c r="AB8" s="1033">
        <v>46008</v>
      </c>
      <c r="AC8" s="1032">
        <v>51</v>
      </c>
      <c r="AD8" s="1032" t="s">
        <v>139</v>
      </c>
      <c r="AF8" s="1032" t="s">
        <v>122</v>
      </c>
      <c r="AG8" s="1032" t="s">
        <v>123</v>
      </c>
      <c r="AH8" s="1032" t="s">
        <v>105</v>
      </c>
      <c r="AI8" s="1033">
        <v>46014</v>
      </c>
      <c r="AJ8" s="1033">
        <v>46018</v>
      </c>
      <c r="AK8" s="1033">
        <v>46017</v>
      </c>
      <c r="AL8" s="1033">
        <v>46073</v>
      </c>
      <c r="AM8" s="1033">
        <v>46090</v>
      </c>
      <c r="AN8" s="1033">
        <v>46090</v>
      </c>
      <c r="AO8" s="1032" t="s">
        <v>66</v>
      </c>
      <c r="AP8" s="1032" t="s">
        <v>140</v>
      </c>
      <c r="AQ8" s="1032" t="s">
        <v>80</v>
      </c>
      <c r="AR8" s="1032" t="s">
        <v>141</v>
      </c>
      <c r="AS8" s="1032" t="s">
        <v>142</v>
      </c>
      <c r="AT8" s="1032" t="s">
        <v>142</v>
      </c>
      <c r="AU8" s="1032">
        <v>73</v>
      </c>
      <c r="AW8" s="1033">
        <v>46090</v>
      </c>
      <c r="AX8" s="1032" t="s">
        <v>84</v>
      </c>
      <c r="AY8" s="1033">
        <v>46104</v>
      </c>
      <c r="AZ8" s="1032">
        <v>7</v>
      </c>
      <c r="BA8" s="1033">
        <v>46097</v>
      </c>
      <c r="BB8" s="1032">
        <v>2026</v>
      </c>
      <c r="BC8" s="1032">
        <v>3</v>
      </c>
      <c r="BD8" s="1032">
        <v>12</v>
      </c>
      <c r="BE8" s="1032">
        <v>33</v>
      </c>
      <c r="BF8" s="1032">
        <v>594</v>
      </c>
      <c r="BG8" s="1032" t="s">
        <v>108</v>
      </c>
      <c r="BH8" s="1032" t="s">
        <v>109</v>
      </c>
    </row>
    <row r="9" spans="1:60">
      <c r="A9" s="1032" t="s">
        <v>143</v>
      </c>
      <c r="B9" s="1032" t="s">
        <v>61</v>
      </c>
      <c r="C9" s="1032" t="s">
        <v>88</v>
      </c>
      <c r="D9" s="1032" t="s">
        <v>63</v>
      </c>
      <c r="E9" s="1032" t="s">
        <v>144</v>
      </c>
      <c r="F9" s="1032" t="s">
        <v>145</v>
      </c>
      <c r="G9" s="1032" t="s">
        <v>146</v>
      </c>
      <c r="H9" s="1032" t="s">
        <v>147</v>
      </c>
      <c r="I9" s="1032" t="s">
        <v>68</v>
      </c>
      <c r="J9" s="1032" t="s">
        <v>147</v>
      </c>
      <c r="K9" s="1032">
        <v>46010731</v>
      </c>
      <c r="M9" s="1032" t="s">
        <v>68</v>
      </c>
      <c r="N9" s="1032" t="s">
        <v>68</v>
      </c>
      <c r="O9" s="1032" t="s">
        <v>70</v>
      </c>
      <c r="P9" s="1032" t="s">
        <v>91</v>
      </c>
      <c r="Q9" s="1032" t="s">
        <v>92</v>
      </c>
      <c r="R9" s="1032" t="s">
        <v>73</v>
      </c>
      <c r="S9" s="1032" t="s">
        <v>74</v>
      </c>
      <c r="T9" s="1032">
        <v>450</v>
      </c>
      <c r="U9" s="1032">
        <v>936</v>
      </c>
      <c r="V9" s="1032">
        <v>0.42099999999999999</v>
      </c>
      <c r="W9" s="1032">
        <v>26</v>
      </c>
      <c r="X9" s="1032">
        <v>1</v>
      </c>
      <c r="Y9" s="1032" t="s">
        <v>75</v>
      </c>
      <c r="Z9" s="1032" t="s">
        <v>75</v>
      </c>
      <c r="AB9" s="1033">
        <v>46009</v>
      </c>
      <c r="AC9" s="1032">
        <v>51</v>
      </c>
      <c r="AD9" s="1032" t="s">
        <v>148</v>
      </c>
      <c r="AE9" s="1032">
        <v>371009343</v>
      </c>
      <c r="AF9" s="1032" t="s">
        <v>77</v>
      </c>
      <c r="AG9" s="1032" t="s">
        <v>61</v>
      </c>
      <c r="AH9" s="1032" t="s">
        <v>78</v>
      </c>
      <c r="AI9" s="1033">
        <v>46017</v>
      </c>
      <c r="AJ9" s="1033">
        <v>46018</v>
      </c>
      <c r="AK9" s="1033">
        <v>46018</v>
      </c>
      <c r="AL9" s="1033">
        <v>46077</v>
      </c>
      <c r="AM9" s="1033">
        <v>46090</v>
      </c>
      <c r="AN9" s="1033">
        <v>46090</v>
      </c>
      <c r="AO9" s="1032" t="s">
        <v>146</v>
      </c>
      <c r="AP9" s="1032" t="s">
        <v>149</v>
      </c>
      <c r="AQ9" s="1032" t="s">
        <v>80</v>
      </c>
      <c r="AR9" s="1032" t="s">
        <v>150</v>
      </c>
      <c r="AS9" s="1032" t="s">
        <v>151</v>
      </c>
      <c r="AT9" s="1032" t="s">
        <v>151</v>
      </c>
      <c r="AU9" s="1032">
        <v>72</v>
      </c>
      <c r="AV9" s="1032" t="s">
        <v>83</v>
      </c>
      <c r="AW9" s="1033">
        <v>46090</v>
      </c>
      <c r="AX9" s="1032" t="s">
        <v>84</v>
      </c>
      <c r="AY9" s="1033">
        <v>46026</v>
      </c>
      <c r="AZ9" s="1032" t="s">
        <v>152</v>
      </c>
      <c r="BA9" s="1033">
        <v>46090</v>
      </c>
      <c r="BB9" s="1032">
        <v>2026</v>
      </c>
      <c r="BC9" s="1032">
        <v>3</v>
      </c>
      <c r="BD9" s="1032">
        <v>11</v>
      </c>
      <c r="BE9" s="1032">
        <v>36</v>
      </c>
      <c r="BF9" s="1032">
        <v>936</v>
      </c>
      <c r="BG9" s="1032" t="s">
        <v>94</v>
      </c>
      <c r="BH9" s="1032" t="s">
        <v>86</v>
      </c>
    </row>
    <row r="10" spans="1:60">
      <c r="A10" s="1032" t="s">
        <v>153</v>
      </c>
      <c r="B10" s="1032" t="s">
        <v>61</v>
      </c>
      <c r="C10" s="1032" t="s">
        <v>88</v>
      </c>
      <c r="D10" s="1032" t="s">
        <v>63</v>
      </c>
      <c r="E10" s="1032" t="s">
        <v>144</v>
      </c>
      <c r="F10" s="1032" t="s">
        <v>145</v>
      </c>
      <c r="G10" s="1032" t="s">
        <v>146</v>
      </c>
      <c r="H10" s="1032" t="s">
        <v>147</v>
      </c>
      <c r="I10" s="1032" t="s">
        <v>68</v>
      </c>
      <c r="J10" s="1032" t="s">
        <v>147</v>
      </c>
      <c r="K10" s="1032">
        <v>46010817</v>
      </c>
      <c r="M10" s="1032" t="s">
        <v>68</v>
      </c>
      <c r="N10" s="1032" t="s">
        <v>68</v>
      </c>
      <c r="O10" s="1032" t="s">
        <v>70</v>
      </c>
      <c r="P10" s="1032" t="s">
        <v>91</v>
      </c>
      <c r="Q10" s="1032" t="s">
        <v>92</v>
      </c>
      <c r="R10" s="1032" t="s">
        <v>73</v>
      </c>
      <c r="S10" s="1032" t="s">
        <v>74</v>
      </c>
      <c r="T10" s="1032">
        <v>450</v>
      </c>
      <c r="U10" s="1032">
        <v>936</v>
      </c>
      <c r="V10" s="1032">
        <v>0.42099999999999999</v>
      </c>
      <c r="W10" s="1032">
        <v>26</v>
      </c>
      <c r="X10" s="1032">
        <v>1</v>
      </c>
      <c r="Y10" s="1032" t="s">
        <v>75</v>
      </c>
      <c r="Z10" s="1032" t="s">
        <v>75</v>
      </c>
      <c r="AB10" s="1033">
        <v>46009</v>
      </c>
      <c r="AC10" s="1032">
        <v>51</v>
      </c>
      <c r="AD10" s="1032" t="s">
        <v>154</v>
      </c>
      <c r="AE10" s="1032">
        <v>371009344</v>
      </c>
      <c r="AF10" s="1032" t="s">
        <v>77</v>
      </c>
      <c r="AG10" s="1032" t="s">
        <v>61</v>
      </c>
      <c r="AH10" s="1032" t="s">
        <v>78</v>
      </c>
      <c r="AI10" s="1033">
        <v>46017</v>
      </c>
      <c r="AJ10" s="1033">
        <v>46018</v>
      </c>
      <c r="AK10" s="1033">
        <v>46018</v>
      </c>
      <c r="AL10" s="1033">
        <v>46077</v>
      </c>
      <c r="AM10" s="1033">
        <v>46090</v>
      </c>
      <c r="AN10" s="1033">
        <v>46090</v>
      </c>
      <c r="AO10" s="1032" t="s">
        <v>146</v>
      </c>
      <c r="AP10" s="1032" t="s">
        <v>149</v>
      </c>
      <c r="AQ10" s="1032" t="s">
        <v>80</v>
      </c>
      <c r="AR10" s="1032" t="s">
        <v>150</v>
      </c>
      <c r="AS10" s="1032" t="s">
        <v>151</v>
      </c>
      <c r="AT10" s="1032" t="s">
        <v>151</v>
      </c>
      <c r="AU10" s="1032">
        <v>72</v>
      </c>
      <c r="AV10" s="1032" t="s">
        <v>83</v>
      </c>
      <c r="AW10" s="1033">
        <v>46090</v>
      </c>
      <c r="AX10" s="1032" t="s">
        <v>84</v>
      </c>
      <c r="AY10" s="1033">
        <v>46026</v>
      </c>
      <c r="AZ10" s="1032" t="s">
        <v>152</v>
      </c>
      <c r="BA10" s="1033">
        <v>46090</v>
      </c>
      <c r="BB10" s="1032">
        <v>2026</v>
      </c>
      <c r="BC10" s="1032">
        <v>3</v>
      </c>
      <c r="BD10" s="1032">
        <v>11</v>
      </c>
      <c r="BE10" s="1032">
        <v>36</v>
      </c>
      <c r="BF10" s="1032">
        <v>936</v>
      </c>
      <c r="BG10" s="1032" t="s">
        <v>94</v>
      </c>
      <c r="BH10" s="1032" t="s">
        <v>86</v>
      </c>
    </row>
    <row r="11" spans="1:60">
      <c r="A11" s="1032" t="s">
        <v>155</v>
      </c>
      <c r="B11" s="1032" t="s">
        <v>61</v>
      </c>
      <c r="C11" s="1032" t="s">
        <v>62</v>
      </c>
      <c r="D11" s="1032" t="s">
        <v>63</v>
      </c>
      <c r="E11" s="1032" t="s">
        <v>144</v>
      </c>
      <c r="F11" s="1032" t="s">
        <v>145</v>
      </c>
      <c r="G11" s="1032" t="s">
        <v>156</v>
      </c>
      <c r="H11" s="1032" t="s">
        <v>157</v>
      </c>
      <c r="I11" s="1032" t="s">
        <v>68</v>
      </c>
      <c r="J11" s="1032" t="s">
        <v>157</v>
      </c>
      <c r="K11" s="1032">
        <v>46011026</v>
      </c>
      <c r="M11" s="1032" t="s">
        <v>68</v>
      </c>
      <c r="N11" s="1032" t="s">
        <v>68</v>
      </c>
      <c r="O11" s="1032" t="s">
        <v>70</v>
      </c>
      <c r="P11" s="1032" t="s">
        <v>71</v>
      </c>
      <c r="Q11" s="1032" t="s">
        <v>72</v>
      </c>
      <c r="R11" s="1032" t="s">
        <v>73</v>
      </c>
      <c r="S11" s="1032" t="s">
        <v>74</v>
      </c>
      <c r="T11" s="1032">
        <v>500</v>
      </c>
      <c r="U11" s="1032">
        <v>2592</v>
      </c>
      <c r="V11" s="1032">
        <v>1.296</v>
      </c>
      <c r="W11" s="1032">
        <v>72</v>
      </c>
      <c r="X11" s="1032">
        <v>3</v>
      </c>
      <c r="Y11" s="1032" t="s">
        <v>75</v>
      </c>
      <c r="Z11" s="1032" t="s">
        <v>75</v>
      </c>
      <c r="AB11" s="1033">
        <v>46011</v>
      </c>
      <c r="AC11" s="1032">
        <v>51</v>
      </c>
      <c r="AD11" s="1032" t="s">
        <v>158</v>
      </c>
      <c r="AE11" s="1032">
        <v>371009338</v>
      </c>
      <c r="AF11" s="1032" t="s">
        <v>77</v>
      </c>
      <c r="AG11" s="1032" t="s">
        <v>61</v>
      </c>
      <c r="AH11" s="1032" t="s">
        <v>159</v>
      </c>
      <c r="AI11" s="1033">
        <v>46020</v>
      </c>
      <c r="AJ11" s="1033">
        <v>46022</v>
      </c>
      <c r="AK11" s="1033">
        <v>46020</v>
      </c>
      <c r="AL11" s="1033">
        <v>46088</v>
      </c>
      <c r="AM11" s="1033">
        <v>46106</v>
      </c>
      <c r="AN11" s="1033">
        <v>46106</v>
      </c>
      <c r="AO11" s="1032" t="s">
        <v>156</v>
      </c>
      <c r="AP11" s="1032" t="s">
        <v>160</v>
      </c>
      <c r="AQ11" s="1032" t="s">
        <v>161</v>
      </c>
      <c r="AR11" s="1032">
        <v>46011026</v>
      </c>
      <c r="AS11" s="1032">
        <v>1071458212</v>
      </c>
      <c r="AT11" s="1032" t="s">
        <v>162</v>
      </c>
      <c r="AU11" s="1032">
        <v>86</v>
      </c>
      <c r="AW11" s="1033">
        <v>46106</v>
      </c>
      <c r="AX11" s="1032" t="s">
        <v>84</v>
      </c>
      <c r="AY11" s="1033">
        <v>46026</v>
      </c>
      <c r="AZ11" s="1032" t="s">
        <v>152</v>
      </c>
      <c r="BA11" s="1033">
        <v>46106</v>
      </c>
      <c r="BB11" s="1032">
        <v>2026</v>
      </c>
      <c r="BC11" s="1032">
        <v>3</v>
      </c>
      <c r="BD11" s="1032">
        <v>13</v>
      </c>
      <c r="BE11" s="1032">
        <v>36</v>
      </c>
      <c r="BF11" s="1032">
        <v>864</v>
      </c>
      <c r="BG11" s="1032" t="s">
        <v>85</v>
      </c>
      <c r="BH11" s="1032" t="s">
        <v>109</v>
      </c>
    </row>
    <row r="12" spans="1:60">
      <c r="A12" s="1032" t="s">
        <v>163</v>
      </c>
      <c r="B12" s="1032" t="s">
        <v>61</v>
      </c>
      <c r="C12" s="1032" t="s">
        <v>99</v>
      </c>
      <c r="D12" s="1032" t="s">
        <v>63</v>
      </c>
      <c r="E12" s="1032" t="s">
        <v>64</v>
      </c>
      <c r="F12" s="1032" t="s">
        <v>100</v>
      </c>
      <c r="G12" s="1032" t="s">
        <v>66</v>
      </c>
      <c r="H12" s="1032" t="s">
        <v>67</v>
      </c>
      <c r="I12" s="1032" t="s">
        <v>68</v>
      </c>
      <c r="J12" s="1032" t="s">
        <v>101</v>
      </c>
      <c r="M12" s="1032" t="s">
        <v>68</v>
      </c>
      <c r="N12" s="1032" t="s">
        <v>68</v>
      </c>
      <c r="O12" s="1032" t="s">
        <v>70</v>
      </c>
      <c r="P12" s="1032" t="s">
        <v>102</v>
      </c>
      <c r="Q12" s="1032" t="s">
        <v>103</v>
      </c>
      <c r="R12" s="1032" t="s">
        <v>73</v>
      </c>
      <c r="S12" s="1032" t="s">
        <v>74</v>
      </c>
      <c r="T12" s="1032">
        <v>620</v>
      </c>
      <c r="U12" s="1032">
        <v>4320</v>
      </c>
      <c r="V12" s="1032">
        <v>2.6779999999999999</v>
      </c>
      <c r="W12" s="1032">
        <v>120</v>
      </c>
      <c r="X12" s="1032">
        <v>6</v>
      </c>
      <c r="Y12" s="1032" t="s">
        <v>75</v>
      </c>
      <c r="Z12" s="1032" t="s">
        <v>75</v>
      </c>
      <c r="AB12" s="1033">
        <v>46009</v>
      </c>
      <c r="AC12" s="1032">
        <v>51</v>
      </c>
      <c r="AD12" s="1032" t="s">
        <v>164</v>
      </c>
      <c r="AF12" s="1032" t="s">
        <v>77</v>
      </c>
      <c r="AG12" s="1032" t="s">
        <v>61</v>
      </c>
      <c r="AH12" s="1032" t="s">
        <v>105</v>
      </c>
      <c r="AI12" s="1033">
        <v>46017</v>
      </c>
      <c r="AJ12" s="1033">
        <v>46018</v>
      </c>
      <c r="AK12" s="1033">
        <v>46018</v>
      </c>
      <c r="AL12" s="1033">
        <v>46078</v>
      </c>
      <c r="AM12" s="1033">
        <v>46111</v>
      </c>
      <c r="AN12" s="1033">
        <v>46111</v>
      </c>
      <c r="AO12" s="1032" t="s">
        <v>66</v>
      </c>
      <c r="AP12" s="1032" t="s">
        <v>149</v>
      </c>
      <c r="AQ12" s="1032" t="s">
        <v>80</v>
      </c>
      <c r="AR12" s="1032" t="s">
        <v>165</v>
      </c>
      <c r="AS12" s="1032" t="s">
        <v>166</v>
      </c>
      <c r="AT12" s="1032" t="s">
        <v>166</v>
      </c>
      <c r="AU12" s="1032">
        <v>93</v>
      </c>
      <c r="AV12" s="1032" t="s">
        <v>83</v>
      </c>
      <c r="AW12" s="1033">
        <v>46111</v>
      </c>
      <c r="AX12" s="1032" t="s">
        <v>84</v>
      </c>
      <c r="AY12" s="1033">
        <v>46125</v>
      </c>
      <c r="AZ12" s="1032">
        <v>7</v>
      </c>
      <c r="BA12" s="1033">
        <v>46118</v>
      </c>
      <c r="BB12" s="1032">
        <v>2026</v>
      </c>
      <c r="BC12" s="1032">
        <v>4</v>
      </c>
      <c r="BD12" s="1032">
        <v>15</v>
      </c>
      <c r="BE12" s="1032">
        <v>36</v>
      </c>
      <c r="BF12" s="1032">
        <v>720</v>
      </c>
      <c r="BG12" s="1032" t="s">
        <v>108</v>
      </c>
      <c r="BH12" s="1032" t="s">
        <v>109</v>
      </c>
    </row>
    <row r="13" spans="1:60">
      <c r="A13" s="1032" t="s">
        <v>167</v>
      </c>
      <c r="B13" s="1032" t="s">
        <v>111</v>
      </c>
      <c r="C13" s="1032" t="s">
        <v>168</v>
      </c>
      <c r="D13" s="1032" t="s">
        <v>63</v>
      </c>
      <c r="E13" s="1032" t="s">
        <v>64</v>
      </c>
      <c r="F13" s="1032" t="s">
        <v>100</v>
      </c>
      <c r="G13" s="1032" t="s">
        <v>66</v>
      </c>
      <c r="H13" s="1032" t="s">
        <v>67</v>
      </c>
      <c r="I13" s="1032" t="s">
        <v>68</v>
      </c>
      <c r="J13" s="1032" t="s">
        <v>169</v>
      </c>
      <c r="M13" s="1032" t="s">
        <v>68</v>
      </c>
      <c r="N13" s="1032" t="s">
        <v>68</v>
      </c>
      <c r="O13" s="1032" t="s">
        <v>170</v>
      </c>
      <c r="P13" s="1032" t="s">
        <v>171</v>
      </c>
      <c r="Q13" s="1032" t="s">
        <v>172</v>
      </c>
      <c r="R13" s="1032" t="s">
        <v>73</v>
      </c>
      <c r="S13" s="1032" t="s">
        <v>120</v>
      </c>
      <c r="T13" s="1032">
        <v>555</v>
      </c>
      <c r="U13" s="1032">
        <v>1320</v>
      </c>
      <c r="V13" s="1032">
        <v>0.73299999999999998</v>
      </c>
      <c r="W13" s="1032">
        <v>40</v>
      </c>
      <c r="X13" s="1032">
        <v>2</v>
      </c>
      <c r="Y13" s="1032" t="s">
        <v>75</v>
      </c>
      <c r="Z13" s="1032" t="s">
        <v>75</v>
      </c>
      <c r="AB13" s="1033">
        <v>46013</v>
      </c>
      <c r="AC13" s="1032">
        <v>52</v>
      </c>
      <c r="AD13" s="1032" t="s">
        <v>173</v>
      </c>
      <c r="AF13" s="1032" t="s">
        <v>122</v>
      </c>
      <c r="AG13" s="1032" t="s">
        <v>123</v>
      </c>
      <c r="AH13" s="1032" t="s">
        <v>105</v>
      </c>
      <c r="AI13" s="1033">
        <v>46021</v>
      </c>
      <c r="AJ13" s="1033">
        <v>46031</v>
      </c>
      <c r="AK13" s="1033">
        <v>46030</v>
      </c>
      <c r="AL13" s="1033">
        <v>46075</v>
      </c>
      <c r="AM13" s="1033">
        <v>46111</v>
      </c>
      <c r="AN13" s="1033">
        <v>46111</v>
      </c>
      <c r="AO13" s="1032" t="s">
        <v>66</v>
      </c>
      <c r="AP13" s="1032" t="s">
        <v>174</v>
      </c>
      <c r="AQ13" s="1032" t="s">
        <v>80</v>
      </c>
      <c r="AR13" s="1032" t="s">
        <v>175</v>
      </c>
      <c r="AS13" s="1032" t="s">
        <v>176</v>
      </c>
      <c r="AT13" s="1032" t="s">
        <v>176</v>
      </c>
      <c r="AU13" s="1032">
        <v>81</v>
      </c>
      <c r="AW13" s="1033">
        <v>46111</v>
      </c>
      <c r="AX13" s="1032" t="s">
        <v>84</v>
      </c>
      <c r="AY13" s="1033">
        <v>46125</v>
      </c>
      <c r="AZ13" s="1032">
        <v>7</v>
      </c>
      <c r="BA13" s="1033">
        <v>46118</v>
      </c>
      <c r="BB13" s="1032">
        <v>2026</v>
      </c>
      <c r="BC13" s="1032">
        <v>4</v>
      </c>
      <c r="BD13" s="1032">
        <v>15</v>
      </c>
      <c r="BE13" s="1032">
        <v>33</v>
      </c>
      <c r="BF13" s="1032">
        <v>660</v>
      </c>
      <c r="BG13" s="1032" t="s">
        <v>108</v>
      </c>
      <c r="BH13" s="1032" t="s">
        <v>109</v>
      </c>
    </row>
    <row r="14" spans="1:60">
      <c r="A14" s="1032" t="s">
        <v>177</v>
      </c>
      <c r="B14" s="1032" t="s">
        <v>111</v>
      </c>
      <c r="C14" s="1032" t="s">
        <v>112</v>
      </c>
      <c r="D14" s="1032" t="s">
        <v>113</v>
      </c>
      <c r="E14" s="1032" t="s">
        <v>64</v>
      </c>
      <c r="F14" s="1032" t="s">
        <v>114</v>
      </c>
      <c r="G14" s="1032" t="s">
        <v>66</v>
      </c>
      <c r="H14" s="1032" t="s">
        <v>115</v>
      </c>
      <c r="I14" s="1032" t="s">
        <v>68</v>
      </c>
      <c r="J14" s="1032" t="s">
        <v>116</v>
      </c>
      <c r="K14" s="1032" t="s">
        <v>117</v>
      </c>
      <c r="M14" s="1032" t="s">
        <v>68</v>
      </c>
      <c r="N14" s="1032" t="s">
        <v>68</v>
      </c>
      <c r="O14" s="1032" t="s">
        <v>70</v>
      </c>
      <c r="P14" s="1032" t="s">
        <v>118</v>
      </c>
      <c r="Q14" s="1032" t="s">
        <v>119</v>
      </c>
      <c r="R14" s="1032" t="s">
        <v>73</v>
      </c>
      <c r="S14" s="1032" t="s">
        <v>120</v>
      </c>
      <c r="T14" s="1032">
        <v>640</v>
      </c>
      <c r="U14" s="1032">
        <v>1152</v>
      </c>
      <c r="V14" s="1032">
        <v>0.73699999999999999</v>
      </c>
      <c r="W14" s="1032">
        <v>32</v>
      </c>
      <c r="X14" s="1032">
        <v>2</v>
      </c>
      <c r="Y14" s="1032" t="s">
        <v>75</v>
      </c>
      <c r="Z14" s="1032" t="s">
        <v>75</v>
      </c>
      <c r="AB14" s="1033">
        <v>46018</v>
      </c>
      <c r="AC14" s="1032">
        <v>52</v>
      </c>
      <c r="AD14" s="1032" t="s">
        <v>178</v>
      </c>
      <c r="AF14" s="1032" t="s">
        <v>122</v>
      </c>
      <c r="AG14" s="1032" t="s">
        <v>123</v>
      </c>
      <c r="AH14" s="1032" t="s">
        <v>124</v>
      </c>
      <c r="AI14" s="1033">
        <v>46021</v>
      </c>
      <c r="AJ14" s="1033">
        <v>46031</v>
      </c>
      <c r="AK14" s="1033">
        <v>46030</v>
      </c>
      <c r="AL14" s="1033">
        <v>46065</v>
      </c>
      <c r="AM14" s="1033">
        <v>46088</v>
      </c>
      <c r="AN14" s="1033">
        <v>46089</v>
      </c>
      <c r="AO14" s="1032" t="s">
        <v>66</v>
      </c>
      <c r="AP14" s="1032" t="s">
        <v>174</v>
      </c>
      <c r="AQ14" s="1032" t="s">
        <v>80</v>
      </c>
      <c r="AR14" s="1032" t="s">
        <v>179</v>
      </c>
      <c r="AS14" s="1032" t="s">
        <v>180</v>
      </c>
      <c r="AT14" s="1032" t="s">
        <v>180</v>
      </c>
      <c r="AU14" s="1032">
        <v>59</v>
      </c>
      <c r="AW14" s="1033">
        <v>46089</v>
      </c>
      <c r="AX14" s="1032" t="s">
        <v>84</v>
      </c>
      <c r="AY14" s="1033">
        <v>46100</v>
      </c>
      <c r="AZ14" s="1032">
        <v>9</v>
      </c>
      <c r="BA14" s="1033">
        <v>46098</v>
      </c>
      <c r="BB14" s="1032">
        <v>2026</v>
      </c>
      <c r="BC14" s="1032">
        <v>3</v>
      </c>
      <c r="BD14" s="1032">
        <v>12</v>
      </c>
      <c r="BE14" s="1032">
        <v>36</v>
      </c>
      <c r="BF14" s="1032">
        <v>576</v>
      </c>
      <c r="BG14" s="1032" t="s">
        <v>128</v>
      </c>
      <c r="BH14" s="1032" t="s">
        <v>86</v>
      </c>
    </row>
    <row r="15" spans="1:60">
      <c r="A15" s="1032" t="s">
        <v>181</v>
      </c>
      <c r="B15" s="1032" t="s">
        <v>111</v>
      </c>
      <c r="C15" s="1032" t="s">
        <v>130</v>
      </c>
      <c r="D15" s="1032" t="s">
        <v>63</v>
      </c>
      <c r="E15" s="1032" t="s">
        <v>64</v>
      </c>
      <c r="F15" s="1032" t="s">
        <v>65</v>
      </c>
      <c r="G15" s="1032" t="s">
        <v>66</v>
      </c>
      <c r="H15" s="1032" t="s">
        <v>67</v>
      </c>
      <c r="I15" s="1032" t="s">
        <v>68</v>
      </c>
      <c r="J15" s="1032" t="s">
        <v>131</v>
      </c>
      <c r="M15" s="1032" t="s">
        <v>68</v>
      </c>
      <c r="N15" s="1032" t="s">
        <v>68</v>
      </c>
      <c r="O15" s="1032" t="s">
        <v>132</v>
      </c>
      <c r="P15" s="1032" t="s">
        <v>133</v>
      </c>
      <c r="Q15" s="1032" t="s">
        <v>134</v>
      </c>
      <c r="R15" s="1032" t="s">
        <v>73</v>
      </c>
      <c r="S15" s="1032" t="s">
        <v>120</v>
      </c>
      <c r="T15" s="1032">
        <v>720</v>
      </c>
      <c r="U15" s="1032">
        <v>4752</v>
      </c>
      <c r="V15" s="1032">
        <v>3.4209999999999998</v>
      </c>
      <c r="W15" s="1032">
        <v>144</v>
      </c>
      <c r="X15" s="1032">
        <v>8</v>
      </c>
      <c r="Y15" s="1032" t="s">
        <v>75</v>
      </c>
      <c r="Z15" s="1032" t="s">
        <v>75</v>
      </c>
      <c r="AB15" s="1033">
        <v>46021</v>
      </c>
      <c r="AC15" s="1032">
        <v>1</v>
      </c>
      <c r="AD15" s="1032" t="s">
        <v>182</v>
      </c>
      <c r="AF15" s="1032" t="s">
        <v>122</v>
      </c>
      <c r="AG15" s="1032" t="s">
        <v>123</v>
      </c>
      <c r="AH15" s="1032" t="s">
        <v>78</v>
      </c>
      <c r="AI15" s="1033">
        <v>46027</v>
      </c>
      <c r="AJ15" s="1033">
        <v>46029</v>
      </c>
      <c r="AK15" s="1033">
        <v>46030</v>
      </c>
      <c r="AL15" s="1033">
        <v>46073</v>
      </c>
      <c r="AM15" s="1033">
        <v>46098</v>
      </c>
      <c r="AN15" s="1033">
        <v>46099</v>
      </c>
      <c r="AO15" s="1032" t="s">
        <v>66</v>
      </c>
      <c r="AP15" s="1032" t="s">
        <v>183</v>
      </c>
      <c r="AQ15" s="1032" t="s">
        <v>80</v>
      </c>
      <c r="AR15" s="1032" t="s">
        <v>184</v>
      </c>
      <c r="AS15" s="1032" t="s">
        <v>185</v>
      </c>
      <c r="AT15" s="1032" t="s">
        <v>185</v>
      </c>
      <c r="AU15" s="1032">
        <v>69</v>
      </c>
      <c r="AW15" s="1033">
        <v>46099</v>
      </c>
      <c r="AX15" s="1032" t="s">
        <v>84</v>
      </c>
      <c r="AY15" s="1033">
        <v>46112</v>
      </c>
      <c r="AZ15" s="1032">
        <v>8</v>
      </c>
      <c r="BA15" s="1033">
        <v>46107</v>
      </c>
      <c r="BB15" s="1032">
        <v>2026</v>
      </c>
      <c r="BC15" s="1032">
        <v>3</v>
      </c>
      <c r="BD15" s="1032">
        <v>13</v>
      </c>
      <c r="BE15" s="1032">
        <v>33</v>
      </c>
      <c r="BF15" s="1032">
        <v>594</v>
      </c>
      <c r="BG15" s="1032" t="s">
        <v>108</v>
      </c>
      <c r="BH15" s="1032" t="s">
        <v>86</v>
      </c>
    </row>
    <row r="16" spans="1:60">
      <c r="A16" s="1032" t="s">
        <v>186</v>
      </c>
      <c r="B16" s="1032" t="s">
        <v>111</v>
      </c>
      <c r="C16" s="1032" t="s">
        <v>187</v>
      </c>
      <c r="D16" s="1032" t="s">
        <v>63</v>
      </c>
      <c r="E16" s="1032" t="s">
        <v>64</v>
      </c>
      <c r="F16" s="1032" t="s">
        <v>65</v>
      </c>
      <c r="G16" s="1032" t="s">
        <v>66</v>
      </c>
      <c r="H16" s="1032" t="s">
        <v>67</v>
      </c>
      <c r="I16" s="1032" t="s">
        <v>68</v>
      </c>
      <c r="J16" s="1032" t="s">
        <v>188</v>
      </c>
      <c r="M16" s="1032" t="s">
        <v>68</v>
      </c>
      <c r="N16" s="1032" t="s">
        <v>68</v>
      </c>
      <c r="O16" s="1032" t="s">
        <v>132</v>
      </c>
      <c r="P16" s="1032" t="s">
        <v>189</v>
      </c>
      <c r="Q16" s="1032" t="s">
        <v>190</v>
      </c>
      <c r="R16" s="1032" t="s">
        <v>73</v>
      </c>
      <c r="S16" s="1032" t="s">
        <v>74</v>
      </c>
      <c r="T16" s="1032">
        <v>465</v>
      </c>
      <c r="U16" s="1032">
        <v>4320</v>
      </c>
      <c r="V16" s="1032">
        <v>2.0089999999999999</v>
      </c>
      <c r="W16" s="1032">
        <v>120</v>
      </c>
      <c r="X16" s="1032">
        <v>5</v>
      </c>
      <c r="Y16" s="1032" t="s">
        <v>75</v>
      </c>
      <c r="Z16" s="1032" t="s">
        <v>75</v>
      </c>
      <c r="AB16" s="1033">
        <v>46021</v>
      </c>
      <c r="AC16" s="1032">
        <v>1</v>
      </c>
      <c r="AD16" s="1032" t="s">
        <v>191</v>
      </c>
      <c r="AF16" s="1032" t="s">
        <v>122</v>
      </c>
      <c r="AG16" s="1032" t="s">
        <v>123</v>
      </c>
      <c r="AH16" s="1032" t="s">
        <v>78</v>
      </c>
      <c r="AI16" s="1033">
        <v>46027</v>
      </c>
      <c r="AJ16" s="1033">
        <v>46029</v>
      </c>
      <c r="AK16" s="1033">
        <v>46030</v>
      </c>
      <c r="AL16" s="1033">
        <v>46073</v>
      </c>
      <c r="AM16" s="1033">
        <v>46098</v>
      </c>
      <c r="AN16" s="1033">
        <v>46099</v>
      </c>
      <c r="AO16" s="1032" t="s">
        <v>66</v>
      </c>
      <c r="AP16" s="1032" t="s">
        <v>183</v>
      </c>
      <c r="AQ16" s="1032" t="s">
        <v>80</v>
      </c>
      <c r="AR16" s="1032" t="s">
        <v>184</v>
      </c>
      <c r="AS16" s="1032" t="s">
        <v>185</v>
      </c>
      <c r="AT16" s="1032" t="s">
        <v>185</v>
      </c>
      <c r="AU16" s="1032">
        <v>69</v>
      </c>
      <c r="AW16" s="1033">
        <v>46099</v>
      </c>
      <c r="AX16" s="1032" t="s">
        <v>84</v>
      </c>
      <c r="AY16" s="1033">
        <v>46112</v>
      </c>
      <c r="AZ16" s="1032">
        <v>8</v>
      </c>
      <c r="BA16" s="1033">
        <v>46107</v>
      </c>
      <c r="BB16" s="1032">
        <v>2026</v>
      </c>
      <c r="BC16" s="1032">
        <v>3</v>
      </c>
      <c r="BD16" s="1032">
        <v>13</v>
      </c>
      <c r="BE16" s="1032">
        <v>36</v>
      </c>
      <c r="BF16" s="1032">
        <v>864</v>
      </c>
      <c r="BG16" s="1032" t="s">
        <v>108</v>
      </c>
      <c r="BH16" s="1032" t="s">
        <v>86</v>
      </c>
    </row>
    <row r="17" spans="1:60">
      <c r="A17" s="1032" t="s">
        <v>192</v>
      </c>
      <c r="B17" s="1032" t="s">
        <v>61</v>
      </c>
      <c r="C17" s="1032" t="s">
        <v>193</v>
      </c>
      <c r="D17" s="1032" t="s">
        <v>63</v>
      </c>
      <c r="E17" s="1032" t="s">
        <v>64</v>
      </c>
      <c r="F17" s="1032" t="s">
        <v>100</v>
      </c>
      <c r="G17" s="1032" t="s">
        <v>66</v>
      </c>
      <c r="H17" s="1032" t="s">
        <v>67</v>
      </c>
      <c r="I17" s="1032" t="s">
        <v>68</v>
      </c>
      <c r="J17" s="1032" t="s">
        <v>194</v>
      </c>
      <c r="K17" s="1032">
        <v>46011059</v>
      </c>
      <c r="M17" s="1032" t="s">
        <v>68</v>
      </c>
      <c r="N17" s="1032" t="s">
        <v>68</v>
      </c>
      <c r="O17" s="1032" t="s">
        <v>70</v>
      </c>
      <c r="P17" s="1032" t="s">
        <v>195</v>
      </c>
      <c r="Q17" s="1032" t="s">
        <v>196</v>
      </c>
      <c r="R17" s="1032" t="s">
        <v>73</v>
      </c>
      <c r="S17" s="1032" t="s">
        <v>74</v>
      </c>
      <c r="T17" s="1032">
        <v>450</v>
      </c>
      <c r="U17" s="1032">
        <v>1872</v>
      </c>
      <c r="V17" s="1032">
        <v>0.84199999999999997</v>
      </c>
      <c r="W17" s="1032">
        <v>52</v>
      </c>
      <c r="X17" s="1032">
        <v>2</v>
      </c>
      <c r="Y17" s="1032" t="s">
        <v>75</v>
      </c>
      <c r="Z17" s="1032" t="s">
        <v>75</v>
      </c>
      <c r="AA17" s="1032" t="s">
        <v>197</v>
      </c>
      <c r="AB17" s="1033">
        <v>46016</v>
      </c>
      <c r="AC17" s="1032">
        <v>52</v>
      </c>
      <c r="AD17" s="1032" t="s">
        <v>198</v>
      </c>
      <c r="AE17" s="1032" t="s">
        <v>197</v>
      </c>
      <c r="AF17" s="1032" t="s">
        <v>77</v>
      </c>
      <c r="AG17" s="1032" t="s">
        <v>61</v>
      </c>
      <c r="AH17" s="1032" t="s">
        <v>105</v>
      </c>
      <c r="AI17" s="1033">
        <v>46027</v>
      </c>
      <c r="AJ17" s="1033">
        <v>46027</v>
      </c>
      <c r="AK17" s="1033">
        <v>46027</v>
      </c>
      <c r="AL17" s="1033">
        <v>46081</v>
      </c>
      <c r="AM17" s="1033">
        <v>46094</v>
      </c>
      <c r="AN17" s="1033">
        <v>46094</v>
      </c>
      <c r="AO17" s="1032" t="s">
        <v>66</v>
      </c>
      <c r="AP17" s="1032" t="s">
        <v>199</v>
      </c>
      <c r="AQ17" s="1032" t="s">
        <v>80</v>
      </c>
      <c r="AR17" s="1032" t="s">
        <v>200</v>
      </c>
      <c r="AS17" s="1032" t="s">
        <v>201</v>
      </c>
      <c r="AT17" s="1032" t="s">
        <v>201</v>
      </c>
      <c r="AU17" s="1032">
        <v>67</v>
      </c>
      <c r="AV17" s="1032" t="s">
        <v>83</v>
      </c>
      <c r="AW17" s="1033">
        <v>46094</v>
      </c>
      <c r="AX17" s="1032" t="s">
        <v>84</v>
      </c>
      <c r="AY17" s="1033">
        <v>46097</v>
      </c>
      <c r="AZ17" s="1032">
        <v>7</v>
      </c>
      <c r="BA17" s="1033">
        <v>46101</v>
      </c>
      <c r="BB17" s="1032">
        <v>2026</v>
      </c>
      <c r="BC17" s="1032">
        <v>3</v>
      </c>
      <c r="BD17" s="1032">
        <v>12</v>
      </c>
      <c r="BE17" s="1032">
        <v>36</v>
      </c>
      <c r="BF17" s="1032">
        <v>936</v>
      </c>
      <c r="BG17" s="1032" t="s">
        <v>85</v>
      </c>
      <c r="BH17" s="1032" t="s">
        <v>109</v>
      </c>
    </row>
    <row r="18" spans="1:60">
      <c r="A18" s="1032" t="s">
        <v>202</v>
      </c>
      <c r="B18" s="1032" t="s">
        <v>61</v>
      </c>
      <c r="C18" s="1032" t="s">
        <v>203</v>
      </c>
      <c r="D18" s="1032" t="s">
        <v>63</v>
      </c>
      <c r="E18" s="1032" t="s">
        <v>64</v>
      </c>
      <c r="F18" s="1032" t="s">
        <v>65</v>
      </c>
      <c r="G18" s="1032" t="s">
        <v>66</v>
      </c>
      <c r="H18" s="1032" t="s">
        <v>67</v>
      </c>
      <c r="I18" s="1032" t="s">
        <v>68</v>
      </c>
      <c r="J18" s="1032" t="s">
        <v>96</v>
      </c>
      <c r="M18" s="1032" t="s">
        <v>68</v>
      </c>
      <c r="N18" s="1032" t="s">
        <v>68</v>
      </c>
      <c r="O18" s="1032" t="s">
        <v>70</v>
      </c>
      <c r="P18" s="1032" t="s">
        <v>204</v>
      </c>
      <c r="Q18" s="1032" t="s">
        <v>205</v>
      </c>
      <c r="R18" s="1032" t="s">
        <v>73</v>
      </c>
      <c r="S18" s="1032" t="s">
        <v>74</v>
      </c>
      <c r="T18" s="1032">
        <v>455</v>
      </c>
      <c r="U18" s="1032">
        <v>5616</v>
      </c>
      <c r="V18" s="1032">
        <v>2.5550000000000002</v>
      </c>
      <c r="W18" s="1032">
        <v>156</v>
      </c>
      <c r="X18" s="1032">
        <v>6</v>
      </c>
      <c r="Y18" s="1032" t="s">
        <v>75</v>
      </c>
      <c r="Z18" s="1032" t="s">
        <v>75</v>
      </c>
      <c r="AA18" s="1032" t="s">
        <v>197</v>
      </c>
      <c r="AB18" s="1033">
        <v>46016</v>
      </c>
      <c r="AC18" s="1032">
        <v>52</v>
      </c>
      <c r="AD18" s="1032" t="s">
        <v>206</v>
      </c>
      <c r="AE18" s="1032" t="s">
        <v>197</v>
      </c>
      <c r="AF18" s="1032" t="s">
        <v>77</v>
      </c>
      <c r="AG18" s="1032" t="s">
        <v>61</v>
      </c>
      <c r="AH18" s="1032" t="s">
        <v>78</v>
      </c>
      <c r="AI18" s="1033">
        <v>46027</v>
      </c>
      <c r="AJ18" s="1033">
        <v>46027</v>
      </c>
      <c r="AK18" s="1033">
        <v>46027</v>
      </c>
      <c r="AL18" s="1033">
        <v>46090</v>
      </c>
      <c r="AM18" s="1033">
        <v>46101</v>
      </c>
      <c r="AN18" s="1033">
        <v>46102</v>
      </c>
      <c r="AO18" s="1032" t="s">
        <v>66</v>
      </c>
      <c r="AP18" s="1032" t="s">
        <v>199</v>
      </c>
      <c r="AQ18" s="1032" t="s">
        <v>80</v>
      </c>
      <c r="AR18" s="1032" t="s">
        <v>207</v>
      </c>
      <c r="AS18" s="1032" t="s">
        <v>208</v>
      </c>
      <c r="AT18" s="1032" t="s">
        <v>208</v>
      </c>
      <c r="AU18" s="1032">
        <v>75</v>
      </c>
      <c r="AV18" s="1032" t="s">
        <v>83</v>
      </c>
      <c r="AW18" s="1033">
        <v>46102</v>
      </c>
      <c r="AX18" s="1032" t="s">
        <v>84</v>
      </c>
      <c r="AY18" s="1033">
        <v>46115</v>
      </c>
      <c r="AZ18" s="1032">
        <v>8</v>
      </c>
      <c r="BA18" s="1033">
        <v>46110</v>
      </c>
      <c r="BB18" s="1032">
        <v>2026</v>
      </c>
      <c r="BC18" s="1032">
        <v>3</v>
      </c>
      <c r="BD18" s="1032">
        <v>13</v>
      </c>
      <c r="BE18" s="1032">
        <v>36</v>
      </c>
      <c r="BF18" s="1032">
        <v>936</v>
      </c>
      <c r="BG18" s="1032" t="s">
        <v>94</v>
      </c>
      <c r="BH18" s="1032" t="s">
        <v>86</v>
      </c>
    </row>
    <row r="19" spans="1:60">
      <c r="A19" s="1032" t="s">
        <v>209</v>
      </c>
      <c r="B19" s="1032" t="s">
        <v>111</v>
      </c>
      <c r="C19" s="1032" t="s">
        <v>168</v>
      </c>
      <c r="D19" s="1032" t="s">
        <v>63</v>
      </c>
      <c r="E19" s="1032" t="s">
        <v>64</v>
      </c>
      <c r="F19" s="1032" t="s">
        <v>100</v>
      </c>
      <c r="G19" s="1032" t="s">
        <v>66</v>
      </c>
      <c r="H19" s="1032" t="s">
        <v>67</v>
      </c>
      <c r="I19" s="1032" t="s">
        <v>68</v>
      </c>
      <c r="J19" s="1032" t="s">
        <v>96</v>
      </c>
      <c r="M19" s="1032" t="s">
        <v>68</v>
      </c>
      <c r="N19" s="1032" t="s">
        <v>68</v>
      </c>
      <c r="O19" s="1032" t="s">
        <v>170</v>
      </c>
      <c r="P19" s="1032" t="s">
        <v>171</v>
      </c>
      <c r="Q19" s="1032" t="s">
        <v>172</v>
      </c>
      <c r="R19" s="1032" t="s">
        <v>73</v>
      </c>
      <c r="S19" s="1032" t="s">
        <v>120</v>
      </c>
      <c r="T19" s="1032">
        <v>555</v>
      </c>
      <c r="U19" s="1032">
        <v>660</v>
      </c>
      <c r="V19" s="1032">
        <v>0.36599999999999999</v>
      </c>
      <c r="W19" s="1032">
        <v>20</v>
      </c>
      <c r="X19" s="1032">
        <v>1</v>
      </c>
      <c r="Y19" s="1032" t="s">
        <v>75</v>
      </c>
      <c r="Z19" s="1032" t="s">
        <v>75</v>
      </c>
      <c r="AB19" s="1033">
        <v>46028</v>
      </c>
      <c r="AC19" s="1032">
        <v>2</v>
      </c>
      <c r="AD19" s="1032" t="s">
        <v>210</v>
      </c>
      <c r="AF19" s="1032" t="s">
        <v>122</v>
      </c>
      <c r="AG19" s="1032" t="s">
        <v>123</v>
      </c>
      <c r="AH19" s="1032" t="s">
        <v>105</v>
      </c>
      <c r="AI19" s="1033">
        <v>46031</v>
      </c>
      <c r="AJ19" s="1033">
        <v>46036</v>
      </c>
      <c r="AK19" s="1033">
        <v>46035</v>
      </c>
      <c r="AL19" s="1033">
        <v>46069</v>
      </c>
      <c r="AM19" s="1033">
        <v>46087</v>
      </c>
      <c r="AN19" s="1033">
        <v>46087</v>
      </c>
      <c r="AO19" s="1032" t="s">
        <v>66</v>
      </c>
      <c r="AP19" s="1032" t="s">
        <v>211</v>
      </c>
      <c r="AQ19" s="1032" t="s">
        <v>80</v>
      </c>
      <c r="AR19" s="1032" t="s">
        <v>212</v>
      </c>
      <c r="AS19" s="1032" t="s">
        <v>213</v>
      </c>
      <c r="AT19" s="1032" t="s">
        <v>213</v>
      </c>
      <c r="AU19" s="1032">
        <v>52</v>
      </c>
      <c r="AW19" s="1033">
        <v>46087</v>
      </c>
      <c r="AX19" s="1032" t="s">
        <v>84</v>
      </c>
      <c r="AY19" s="1033">
        <v>46101</v>
      </c>
      <c r="AZ19" s="1032">
        <v>7</v>
      </c>
      <c r="BA19" s="1033">
        <v>46094</v>
      </c>
      <c r="BB19" s="1032">
        <v>2026</v>
      </c>
      <c r="BC19" s="1032">
        <v>3</v>
      </c>
      <c r="BD19" s="1032">
        <v>11</v>
      </c>
      <c r="BE19" s="1032">
        <v>33</v>
      </c>
      <c r="BF19" s="1032">
        <v>660</v>
      </c>
      <c r="BG19" s="1032" t="s">
        <v>108</v>
      </c>
      <c r="BH19" s="1032" t="s">
        <v>109</v>
      </c>
    </row>
    <row r="20" spans="1:60">
      <c r="A20" s="1032" t="s">
        <v>214</v>
      </c>
      <c r="B20" s="1032" t="s">
        <v>111</v>
      </c>
      <c r="C20" s="1032" t="s">
        <v>215</v>
      </c>
      <c r="D20" s="1032" t="s">
        <v>113</v>
      </c>
      <c r="E20" s="1032" t="s">
        <v>64</v>
      </c>
      <c r="F20" s="1032" t="s">
        <v>100</v>
      </c>
      <c r="G20" s="1032" t="s">
        <v>66</v>
      </c>
      <c r="H20" s="1032" t="s">
        <v>67</v>
      </c>
      <c r="I20" s="1032" t="s">
        <v>68</v>
      </c>
      <c r="J20" s="1032" t="s">
        <v>216</v>
      </c>
      <c r="K20" s="1032" t="s">
        <v>217</v>
      </c>
      <c r="M20" s="1032" t="s">
        <v>68</v>
      </c>
      <c r="N20" s="1032" t="s">
        <v>68</v>
      </c>
      <c r="O20" s="1032" t="s">
        <v>70</v>
      </c>
      <c r="P20" s="1032" t="s">
        <v>218</v>
      </c>
      <c r="Q20" s="1032" t="s">
        <v>219</v>
      </c>
      <c r="R20" s="1032" t="s">
        <v>73</v>
      </c>
      <c r="S20" s="1032" t="s">
        <v>120</v>
      </c>
      <c r="T20" s="1032">
        <v>625</v>
      </c>
      <c r="U20" s="1032">
        <v>2880</v>
      </c>
      <c r="V20" s="1032">
        <v>1.8</v>
      </c>
      <c r="W20" s="1032">
        <v>80</v>
      </c>
      <c r="X20" s="1032">
        <v>4</v>
      </c>
      <c r="Y20" s="1032" t="s">
        <v>75</v>
      </c>
      <c r="Z20" s="1032" t="s">
        <v>75</v>
      </c>
      <c r="AB20" s="1033">
        <v>46028</v>
      </c>
      <c r="AC20" s="1032">
        <v>2</v>
      </c>
      <c r="AD20" s="1032" t="s">
        <v>220</v>
      </c>
      <c r="AF20" s="1032" t="s">
        <v>122</v>
      </c>
      <c r="AG20" s="1032" t="s">
        <v>123</v>
      </c>
      <c r="AH20" s="1032" t="s">
        <v>105</v>
      </c>
      <c r="AI20" s="1033">
        <v>46033</v>
      </c>
      <c r="AJ20" s="1033">
        <v>46033</v>
      </c>
      <c r="AK20" s="1033">
        <v>46032</v>
      </c>
      <c r="AL20" s="1033">
        <v>46070</v>
      </c>
      <c r="AM20" s="1033">
        <v>46074</v>
      </c>
      <c r="AN20" s="1033">
        <v>46078</v>
      </c>
      <c r="AO20" s="1032" t="s">
        <v>66</v>
      </c>
      <c r="AP20" s="1032" t="s">
        <v>221</v>
      </c>
      <c r="AQ20" s="1032" t="s">
        <v>161</v>
      </c>
      <c r="AR20" s="1032" t="s">
        <v>222</v>
      </c>
      <c r="AS20" s="1032" t="s">
        <v>223</v>
      </c>
      <c r="AT20" s="1032" t="s">
        <v>223</v>
      </c>
      <c r="AU20" s="1032">
        <v>46</v>
      </c>
      <c r="AW20" s="1033">
        <v>46078</v>
      </c>
      <c r="AX20" s="1032" t="s">
        <v>84</v>
      </c>
      <c r="AY20" s="1033">
        <v>46090</v>
      </c>
      <c r="AZ20" s="1032">
        <v>7</v>
      </c>
      <c r="BA20" s="1033">
        <v>46085</v>
      </c>
      <c r="BB20" s="1032">
        <v>2026</v>
      </c>
      <c r="BC20" s="1032">
        <v>3</v>
      </c>
      <c r="BD20" s="1032">
        <v>10</v>
      </c>
      <c r="BE20" s="1032">
        <v>36</v>
      </c>
      <c r="BF20" s="1032">
        <v>720</v>
      </c>
      <c r="BG20" s="1032" t="s">
        <v>128</v>
      </c>
      <c r="BH20" s="1032" t="s">
        <v>109</v>
      </c>
    </row>
    <row r="21" spans="1:60">
      <c r="A21" s="1032" t="s">
        <v>224</v>
      </c>
      <c r="B21" s="1032" t="s">
        <v>111</v>
      </c>
      <c r="C21" s="1032" t="s">
        <v>215</v>
      </c>
      <c r="D21" s="1032" t="s">
        <v>113</v>
      </c>
      <c r="E21" s="1032" t="s">
        <v>64</v>
      </c>
      <c r="F21" s="1032" t="s">
        <v>100</v>
      </c>
      <c r="G21" s="1032" t="s">
        <v>66</v>
      </c>
      <c r="H21" s="1032" t="s">
        <v>67</v>
      </c>
      <c r="I21" s="1032" t="s">
        <v>68</v>
      </c>
      <c r="J21" s="1032" t="s">
        <v>216</v>
      </c>
      <c r="K21" s="1032" t="s">
        <v>217</v>
      </c>
      <c r="M21" s="1032" t="s">
        <v>68</v>
      </c>
      <c r="N21" s="1032" t="s">
        <v>68</v>
      </c>
      <c r="O21" s="1032" t="s">
        <v>70</v>
      </c>
      <c r="P21" s="1032" t="s">
        <v>218</v>
      </c>
      <c r="Q21" s="1032" t="s">
        <v>219</v>
      </c>
      <c r="R21" s="1032" t="s">
        <v>73</v>
      </c>
      <c r="S21" s="1032" t="s">
        <v>120</v>
      </c>
      <c r="T21" s="1032">
        <v>625</v>
      </c>
      <c r="U21" s="1032">
        <v>5040</v>
      </c>
      <c r="V21" s="1032">
        <v>3.15</v>
      </c>
      <c r="W21" s="1032">
        <v>140</v>
      </c>
      <c r="X21" s="1032">
        <v>7</v>
      </c>
      <c r="Y21" s="1032" t="s">
        <v>75</v>
      </c>
      <c r="Z21" s="1032" t="s">
        <v>75</v>
      </c>
      <c r="AB21" s="1033">
        <v>46028</v>
      </c>
      <c r="AC21" s="1032">
        <v>2</v>
      </c>
      <c r="AD21" s="1032" t="s">
        <v>225</v>
      </c>
      <c r="AF21" s="1032" t="s">
        <v>122</v>
      </c>
      <c r="AG21" s="1032" t="s">
        <v>123</v>
      </c>
      <c r="AH21" s="1032" t="s">
        <v>105</v>
      </c>
      <c r="AI21" s="1033">
        <v>46033</v>
      </c>
      <c r="AJ21" s="1033">
        <v>46033</v>
      </c>
      <c r="AK21" s="1033">
        <v>46032</v>
      </c>
      <c r="AL21" s="1033">
        <v>46070</v>
      </c>
      <c r="AM21" s="1033">
        <v>46074</v>
      </c>
      <c r="AN21" s="1033">
        <v>46078</v>
      </c>
      <c r="AO21" s="1032" t="s">
        <v>66</v>
      </c>
      <c r="AP21" s="1032" t="s">
        <v>221</v>
      </c>
      <c r="AQ21" s="1032" t="s">
        <v>161</v>
      </c>
      <c r="AR21" s="1032" t="s">
        <v>222</v>
      </c>
      <c r="AS21" s="1032" t="s">
        <v>223</v>
      </c>
      <c r="AT21" s="1032" t="s">
        <v>223</v>
      </c>
      <c r="AU21" s="1032">
        <v>46</v>
      </c>
      <c r="AW21" s="1033">
        <v>46078</v>
      </c>
      <c r="AX21" s="1032" t="s">
        <v>84</v>
      </c>
      <c r="AY21" s="1033">
        <v>46090</v>
      </c>
      <c r="AZ21" s="1032">
        <v>7</v>
      </c>
      <c r="BA21" s="1033">
        <v>46085</v>
      </c>
      <c r="BB21" s="1032">
        <v>2026</v>
      </c>
      <c r="BC21" s="1032">
        <v>3</v>
      </c>
      <c r="BD21" s="1032">
        <v>10</v>
      </c>
      <c r="BE21" s="1032">
        <v>36</v>
      </c>
      <c r="BF21" s="1032">
        <v>720</v>
      </c>
      <c r="BG21" s="1032" t="s">
        <v>128</v>
      </c>
      <c r="BH21" s="1032" t="s">
        <v>109</v>
      </c>
    </row>
    <row r="22" spans="1:60">
      <c r="A22" s="1032" t="s">
        <v>226</v>
      </c>
      <c r="B22" s="1032" t="s">
        <v>111</v>
      </c>
      <c r="C22" s="1032" t="s">
        <v>168</v>
      </c>
      <c r="D22" s="1032" t="s">
        <v>63</v>
      </c>
      <c r="E22" s="1032" t="s">
        <v>64</v>
      </c>
      <c r="F22" s="1032" t="s">
        <v>65</v>
      </c>
      <c r="G22" s="1032" t="s">
        <v>66</v>
      </c>
      <c r="H22" s="1032" t="s">
        <v>67</v>
      </c>
      <c r="I22" s="1032" t="s">
        <v>68</v>
      </c>
      <c r="J22" s="1032" t="s">
        <v>96</v>
      </c>
      <c r="M22" s="1032" t="s">
        <v>68</v>
      </c>
      <c r="N22" s="1032" t="s">
        <v>68</v>
      </c>
      <c r="O22" s="1032" t="s">
        <v>170</v>
      </c>
      <c r="P22" s="1032" t="s">
        <v>171</v>
      </c>
      <c r="Q22" s="1032" t="s">
        <v>172</v>
      </c>
      <c r="R22" s="1032" t="s">
        <v>73</v>
      </c>
      <c r="S22" s="1032" t="s">
        <v>120</v>
      </c>
      <c r="T22" s="1032">
        <v>555</v>
      </c>
      <c r="U22" s="1032">
        <v>1320</v>
      </c>
      <c r="V22" s="1032">
        <v>0.73299999999999998</v>
      </c>
      <c r="W22" s="1032">
        <v>40</v>
      </c>
      <c r="X22" s="1032">
        <v>2</v>
      </c>
      <c r="Y22" s="1032" t="s">
        <v>75</v>
      </c>
      <c r="Z22" s="1032" t="s">
        <v>75</v>
      </c>
      <c r="AB22" s="1033">
        <v>46024</v>
      </c>
      <c r="AC22" s="1032">
        <v>1</v>
      </c>
      <c r="AD22" s="1032" t="s">
        <v>227</v>
      </c>
      <c r="AF22" s="1032" t="s">
        <v>122</v>
      </c>
      <c r="AG22" s="1032" t="s">
        <v>123</v>
      </c>
      <c r="AH22" s="1032" t="s">
        <v>78</v>
      </c>
      <c r="AI22" s="1033">
        <v>46028</v>
      </c>
      <c r="AJ22" s="1033">
        <v>46029</v>
      </c>
      <c r="AK22" s="1033">
        <v>46029</v>
      </c>
      <c r="AL22" s="1033">
        <v>46077</v>
      </c>
      <c r="AM22" s="1033">
        <v>46083</v>
      </c>
      <c r="AN22" s="1033">
        <v>46083</v>
      </c>
      <c r="AO22" s="1032" t="s">
        <v>66</v>
      </c>
      <c r="AP22" s="1032" t="s">
        <v>228</v>
      </c>
      <c r="AQ22" s="1032" t="s">
        <v>80</v>
      </c>
      <c r="AR22" s="1032" t="s">
        <v>229</v>
      </c>
      <c r="AS22" s="1032" t="s">
        <v>230</v>
      </c>
      <c r="AT22" s="1032" t="s">
        <v>230</v>
      </c>
      <c r="AU22" s="1032">
        <v>54</v>
      </c>
      <c r="AW22" s="1033">
        <v>46083</v>
      </c>
      <c r="AX22" s="1032" t="s">
        <v>84</v>
      </c>
      <c r="AY22" s="1033">
        <v>46097</v>
      </c>
      <c r="AZ22" s="1032">
        <v>8</v>
      </c>
      <c r="BA22" s="1033">
        <v>46091</v>
      </c>
      <c r="BB22" s="1032">
        <v>2026</v>
      </c>
      <c r="BC22" s="1032">
        <v>3</v>
      </c>
      <c r="BD22" s="1032">
        <v>11</v>
      </c>
      <c r="BE22" s="1032">
        <v>33</v>
      </c>
      <c r="BF22" s="1032">
        <v>660</v>
      </c>
      <c r="BG22" s="1032" t="s">
        <v>108</v>
      </c>
      <c r="BH22" s="1032" t="s">
        <v>86</v>
      </c>
    </row>
    <row r="23" spans="1:60">
      <c r="A23" s="1032" t="s">
        <v>231</v>
      </c>
      <c r="B23" s="1032" t="s">
        <v>111</v>
      </c>
      <c r="C23" s="1032" t="s">
        <v>168</v>
      </c>
      <c r="D23" s="1032" t="s">
        <v>63</v>
      </c>
      <c r="E23" s="1032" t="s">
        <v>64</v>
      </c>
      <c r="F23" s="1032" t="s">
        <v>65</v>
      </c>
      <c r="G23" s="1032" t="s">
        <v>66</v>
      </c>
      <c r="H23" s="1032" t="s">
        <v>67</v>
      </c>
      <c r="I23" s="1032" t="s">
        <v>68</v>
      </c>
      <c r="J23" s="1032" t="s">
        <v>232</v>
      </c>
      <c r="M23" s="1032" t="s">
        <v>68</v>
      </c>
      <c r="N23" s="1032" t="s">
        <v>68</v>
      </c>
      <c r="O23" s="1032" t="s">
        <v>170</v>
      </c>
      <c r="P23" s="1032" t="s">
        <v>171</v>
      </c>
      <c r="Q23" s="1032" t="s">
        <v>172</v>
      </c>
      <c r="R23" s="1032" t="s">
        <v>73</v>
      </c>
      <c r="S23" s="1032" t="s">
        <v>120</v>
      </c>
      <c r="T23" s="1032">
        <v>555</v>
      </c>
      <c r="U23" s="1032">
        <v>1320</v>
      </c>
      <c r="V23" s="1032">
        <v>0.73299999999999998</v>
      </c>
      <c r="W23" s="1032">
        <v>40</v>
      </c>
      <c r="X23" s="1032">
        <v>2</v>
      </c>
      <c r="Y23" s="1032" t="s">
        <v>75</v>
      </c>
      <c r="Z23" s="1032" t="s">
        <v>75</v>
      </c>
      <c r="AB23" s="1033">
        <v>46024</v>
      </c>
      <c r="AC23" s="1032">
        <v>1</v>
      </c>
      <c r="AD23" s="1032" t="s">
        <v>233</v>
      </c>
      <c r="AF23" s="1032" t="s">
        <v>122</v>
      </c>
      <c r="AG23" s="1032" t="s">
        <v>123</v>
      </c>
      <c r="AH23" s="1032" t="s">
        <v>78</v>
      </c>
      <c r="AI23" s="1033">
        <v>46028</v>
      </c>
      <c r="AJ23" s="1033">
        <v>46029</v>
      </c>
      <c r="AK23" s="1033">
        <v>46029</v>
      </c>
      <c r="AL23" s="1033">
        <v>46077</v>
      </c>
      <c r="AM23" s="1033">
        <v>46083</v>
      </c>
      <c r="AN23" s="1033">
        <v>46083</v>
      </c>
      <c r="AO23" s="1032" t="s">
        <v>66</v>
      </c>
      <c r="AP23" s="1032" t="s">
        <v>234</v>
      </c>
      <c r="AQ23" s="1032" t="s">
        <v>80</v>
      </c>
      <c r="AR23" s="1032" t="s">
        <v>229</v>
      </c>
      <c r="AS23" s="1032" t="s">
        <v>230</v>
      </c>
      <c r="AT23" s="1032" t="s">
        <v>230</v>
      </c>
      <c r="AU23" s="1032">
        <v>54</v>
      </c>
      <c r="AW23" s="1033">
        <v>46083</v>
      </c>
      <c r="AX23" s="1032" t="s">
        <v>84</v>
      </c>
      <c r="AY23" s="1033">
        <v>46097</v>
      </c>
      <c r="AZ23" s="1032">
        <v>8</v>
      </c>
      <c r="BA23" s="1033">
        <v>46091</v>
      </c>
      <c r="BB23" s="1032">
        <v>2026</v>
      </c>
      <c r="BC23" s="1032">
        <v>3</v>
      </c>
      <c r="BD23" s="1032">
        <v>11</v>
      </c>
      <c r="BE23" s="1032">
        <v>33</v>
      </c>
      <c r="BF23" s="1032">
        <v>660</v>
      </c>
      <c r="BG23" s="1032" t="s">
        <v>108</v>
      </c>
      <c r="BH23" s="1032" t="s">
        <v>86</v>
      </c>
    </row>
    <row r="24" spans="1:60">
      <c r="A24" s="1032" t="s">
        <v>235</v>
      </c>
      <c r="B24" s="1032" t="s">
        <v>111</v>
      </c>
      <c r="C24" s="1032" t="s">
        <v>112</v>
      </c>
      <c r="D24" s="1032" t="s">
        <v>113</v>
      </c>
      <c r="E24" s="1032" t="s">
        <v>64</v>
      </c>
      <c r="F24" s="1032" t="s">
        <v>114</v>
      </c>
      <c r="G24" s="1032" t="s">
        <v>66</v>
      </c>
      <c r="H24" s="1032" t="s">
        <v>115</v>
      </c>
      <c r="I24" s="1032" t="s">
        <v>68</v>
      </c>
      <c r="J24" s="1032" t="s">
        <v>116</v>
      </c>
      <c r="K24" s="1032" t="s">
        <v>117</v>
      </c>
      <c r="M24" s="1032" t="s">
        <v>68</v>
      </c>
      <c r="N24" s="1032" t="s">
        <v>68</v>
      </c>
      <c r="O24" s="1032" t="s">
        <v>70</v>
      </c>
      <c r="P24" s="1032" t="s">
        <v>118</v>
      </c>
      <c r="Q24" s="1032" t="s">
        <v>119</v>
      </c>
      <c r="R24" s="1032" t="s">
        <v>73</v>
      </c>
      <c r="S24" s="1032" t="s">
        <v>120</v>
      </c>
      <c r="T24" s="1032">
        <v>640</v>
      </c>
      <c r="U24" s="1032">
        <v>1152</v>
      </c>
      <c r="V24" s="1032">
        <v>0.73699999999999999</v>
      </c>
      <c r="W24" s="1032">
        <v>32</v>
      </c>
      <c r="X24" s="1032">
        <v>2</v>
      </c>
      <c r="Y24" s="1032" t="s">
        <v>75</v>
      </c>
      <c r="Z24" s="1032" t="s">
        <v>75</v>
      </c>
      <c r="AB24" s="1033">
        <v>46024</v>
      </c>
      <c r="AC24" s="1032">
        <v>1</v>
      </c>
      <c r="AD24" s="1032" t="s">
        <v>236</v>
      </c>
      <c r="AF24" s="1032" t="s">
        <v>122</v>
      </c>
      <c r="AG24" s="1032" t="s">
        <v>123</v>
      </c>
      <c r="AH24" s="1032" t="s">
        <v>124</v>
      </c>
      <c r="AI24" s="1033">
        <v>46028</v>
      </c>
      <c r="AJ24" s="1033">
        <v>46029</v>
      </c>
      <c r="AK24" s="1033">
        <v>46029</v>
      </c>
      <c r="AL24" s="1033">
        <v>46072</v>
      </c>
      <c r="AM24" s="1033">
        <v>46072</v>
      </c>
      <c r="AN24" s="1033">
        <v>46075</v>
      </c>
      <c r="AO24" s="1032" t="s">
        <v>66</v>
      </c>
      <c r="AP24" s="1032" t="s">
        <v>228</v>
      </c>
      <c r="AQ24" s="1032" t="s">
        <v>80</v>
      </c>
      <c r="AR24" s="1032" t="s">
        <v>237</v>
      </c>
      <c r="AS24" s="1032" t="s">
        <v>238</v>
      </c>
      <c r="AT24" s="1032" t="s">
        <v>238</v>
      </c>
      <c r="AU24" s="1032">
        <v>46</v>
      </c>
      <c r="AW24" s="1033">
        <v>46075</v>
      </c>
      <c r="AX24" s="1032" t="s">
        <v>84</v>
      </c>
      <c r="AY24" s="1033">
        <v>46086</v>
      </c>
      <c r="AZ24" s="1032">
        <v>9</v>
      </c>
      <c r="BA24" s="1033">
        <v>46084</v>
      </c>
      <c r="BB24" s="1032">
        <v>2026</v>
      </c>
      <c r="BC24" s="1032">
        <v>3</v>
      </c>
      <c r="BD24" s="1032">
        <v>10</v>
      </c>
      <c r="BE24" s="1032">
        <v>36</v>
      </c>
      <c r="BF24" s="1032">
        <v>576</v>
      </c>
      <c r="BG24" s="1032" t="s">
        <v>128</v>
      </c>
      <c r="BH24" s="1032" t="s">
        <v>86</v>
      </c>
    </row>
    <row r="25" spans="1:60">
      <c r="A25" s="1032" t="s">
        <v>239</v>
      </c>
      <c r="B25" s="1032" t="s">
        <v>111</v>
      </c>
      <c r="C25" s="1032" t="s">
        <v>112</v>
      </c>
      <c r="D25" s="1032" t="s">
        <v>113</v>
      </c>
      <c r="E25" s="1032" t="s">
        <v>64</v>
      </c>
      <c r="F25" s="1032" t="s">
        <v>114</v>
      </c>
      <c r="G25" s="1032" t="s">
        <v>66</v>
      </c>
      <c r="H25" s="1032" t="s">
        <v>115</v>
      </c>
      <c r="I25" s="1032" t="s">
        <v>68</v>
      </c>
      <c r="J25" s="1032" t="s">
        <v>116</v>
      </c>
      <c r="K25" s="1032" t="s">
        <v>117</v>
      </c>
      <c r="M25" s="1032" t="s">
        <v>68</v>
      </c>
      <c r="N25" s="1032" t="s">
        <v>68</v>
      </c>
      <c r="O25" s="1032" t="s">
        <v>70</v>
      </c>
      <c r="P25" s="1032" t="s">
        <v>118</v>
      </c>
      <c r="Q25" s="1032" t="s">
        <v>119</v>
      </c>
      <c r="R25" s="1032" t="s">
        <v>73</v>
      </c>
      <c r="S25" s="1032" t="s">
        <v>120</v>
      </c>
      <c r="T25" s="1032">
        <v>640</v>
      </c>
      <c r="U25" s="1032">
        <v>967</v>
      </c>
      <c r="V25" s="1032">
        <v>0.61899999999999999</v>
      </c>
      <c r="W25" s="1032">
        <v>26.9</v>
      </c>
      <c r="X25" s="1032">
        <v>1.7</v>
      </c>
      <c r="Y25" s="1032" t="s">
        <v>75</v>
      </c>
      <c r="Z25" s="1032" t="s">
        <v>75</v>
      </c>
      <c r="AB25" s="1033">
        <v>46027</v>
      </c>
      <c r="AC25" s="1032">
        <v>2</v>
      </c>
      <c r="AD25" s="1032" t="s">
        <v>240</v>
      </c>
      <c r="AF25" s="1032" t="s">
        <v>122</v>
      </c>
      <c r="AG25" s="1032" t="s">
        <v>123</v>
      </c>
      <c r="AH25" s="1032" t="s">
        <v>124</v>
      </c>
      <c r="AI25" s="1033">
        <v>46032</v>
      </c>
      <c r="AJ25" s="1033">
        <v>45670</v>
      </c>
      <c r="AK25" s="1033">
        <v>46035</v>
      </c>
      <c r="AL25" s="1033">
        <v>46072</v>
      </c>
      <c r="AM25" s="1033">
        <v>46076</v>
      </c>
      <c r="AN25" s="1033">
        <v>46078</v>
      </c>
      <c r="AO25" s="1032" t="s">
        <v>66</v>
      </c>
      <c r="AP25" s="1032" t="s">
        <v>241</v>
      </c>
      <c r="AQ25" s="1032" t="s">
        <v>80</v>
      </c>
      <c r="AR25" s="1032" t="s">
        <v>242</v>
      </c>
      <c r="AS25" s="1032" t="s">
        <v>243</v>
      </c>
      <c r="AT25" s="1032" t="s">
        <v>243</v>
      </c>
      <c r="AU25" s="1032">
        <v>43</v>
      </c>
      <c r="AW25" s="1033">
        <v>46078</v>
      </c>
      <c r="AX25" s="1032" t="s">
        <v>84</v>
      </c>
      <c r="AY25" s="1033">
        <v>46092</v>
      </c>
      <c r="AZ25" s="1032">
        <v>9</v>
      </c>
      <c r="BA25" s="1033">
        <v>46087</v>
      </c>
      <c r="BB25" s="1032">
        <v>2026</v>
      </c>
      <c r="BC25" s="1032">
        <v>3</v>
      </c>
      <c r="BD25" s="1032">
        <v>10</v>
      </c>
      <c r="BE25" s="1032">
        <v>36</v>
      </c>
      <c r="BF25" s="1032">
        <v>576</v>
      </c>
      <c r="BG25" s="1032" t="s">
        <v>128</v>
      </c>
      <c r="BH25" s="1032" t="s">
        <v>86</v>
      </c>
    </row>
    <row r="26" spans="1:60">
      <c r="A26" s="1032" t="s">
        <v>244</v>
      </c>
      <c r="B26" s="1032" t="s">
        <v>111</v>
      </c>
      <c r="C26" s="1032" t="s">
        <v>112</v>
      </c>
      <c r="D26" s="1032" t="s">
        <v>113</v>
      </c>
      <c r="E26" s="1032" t="s">
        <v>64</v>
      </c>
      <c r="F26" s="1032" t="s">
        <v>114</v>
      </c>
      <c r="G26" s="1032" t="s">
        <v>66</v>
      </c>
      <c r="H26" s="1032" t="s">
        <v>115</v>
      </c>
      <c r="I26" s="1032" t="s">
        <v>68</v>
      </c>
      <c r="J26" s="1032" t="s">
        <v>116</v>
      </c>
      <c r="K26" s="1032" t="s">
        <v>117</v>
      </c>
      <c r="M26" s="1032" t="s">
        <v>68</v>
      </c>
      <c r="N26" s="1032" t="s">
        <v>68</v>
      </c>
      <c r="O26" s="1032" t="s">
        <v>70</v>
      </c>
      <c r="P26" s="1032" t="s">
        <v>118</v>
      </c>
      <c r="Q26" s="1032" t="s">
        <v>119</v>
      </c>
      <c r="R26" s="1032" t="s">
        <v>73</v>
      </c>
      <c r="S26" s="1032" t="s">
        <v>120</v>
      </c>
      <c r="T26" s="1032">
        <v>640</v>
      </c>
      <c r="U26" s="1032">
        <v>761</v>
      </c>
      <c r="V26" s="1032">
        <v>0.48699999999999999</v>
      </c>
      <c r="W26" s="1032">
        <v>21.1</v>
      </c>
      <c r="X26" s="1032">
        <v>1.3</v>
      </c>
      <c r="Y26" s="1032" t="s">
        <v>75</v>
      </c>
      <c r="Z26" s="1032" t="s">
        <v>75</v>
      </c>
      <c r="AB26" s="1033">
        <v>46027</v>
      </c>
      <c r="AC26" s="1032">
        <v>2</v>
      </c>
      <c r="AD26" s="1032" t="s">
        <v>240</v>
      </c>
      <c r="AF26" s="1032" t="s">
        <v>122</v>
      </c>
      <c r="AG26" s="1032" t="s">
        <v>123</v>
      </c>
      <c r="AH26" s="1032" t="s">
        <v>124</v>
      </c>
      <c r="AI26" s="1033">
        <v>46032</v>
      </c>
      <c r="AJ26" s="1033">
        <v>45670</v>
      </c>
      <c r="AK26" s="1033">
        <v>46035</v>
      </c>
      <c r="AL26" s="1033">
        <v>46072</v>
      </c>
      <c r="AM26" s="1033">
        <v>46076</v>
      </c>
      <c r="AN26" s="1033">
        <v>46078</v>
      </c>
      <c r="AO26" s="1032" t="s">
        <v>66</v>
      </c>
      <c r="AP26" s="1032" t="s">
        <v>241</v>
      </c>
      <c r="AQ26" s="1032" t="s">
        <v>80</v>
      </c>
      <c r="AR26" s="1032" t="s">
        <v>242</v>
      </c>
      <c r="AS26" s="1032" t="s">
        <v>243</v>
      </c>
      <c r="AT26" s="1032" t="s">
        <v>243</v>
      </c>
      <c r="AU26" s="1032">
        <v>43</v>
      </c>
      <c r="AW26" s="1033">
        <v>46078</v>
      </c>
      <c r="AX26" s="1032" t="s">
        <v>84</v>
      </c>
      <c r="AY26" s="1033">
        <v>46092</v>
      </c>
      <c r="AZ26" s="1032">
        <v>9</v>
      </c>
      <c r="BA26" s="1033">
        <v>46087</v>
      </c>
      <c r="BB26" s="1032">
        <v>2026</v>
      </c>
      <c r="BC26" s="1032">
        <v>3</v>
      </c>
      <c r="BD26" s="1032">
        <v>10</v>
      </c>
      <c r="BE26" s="1032">
        <v>36</v>
      </c>
      <c r="BF26" s="1032">
        <v>576</v>
      </c>
      <c r="BG26" s="1032" t="s">
        <v>128</v>
      </c>
      <c r="BH26" s="1032" t="s">
        <v>86</v>
      </c>
    </row>
    <row r="27" spans="1:60">
      <c r="A27" s="1032" t="s">
        <v>245</v>
      </c>
      <c r="B27" s="1032" t="s">
        <v>111</v>
      </c>
      <c r="C27" s="1032" t="s">
        <v>112</v>
      </c>
      <c r="D27" s="1032" t="s">
        <v>113</v>
      </c>
      <c r="E27" s="1032" t="s">
        <v>64</v>
      </c>
      <c r="F27" s="1032" t="s">
        <v>114</v>
      </c>
      <c r="G27" s="1032" t="s">
        <v>66</v>
      </c>
      <c r="H27" s="1032" t="s">
        <v>115</v>
      </c>
      <c r="I27" s="1032" t="s">
        <v>68</v>
      </c>
      <c r="J27" s="1032" t="s">
        <v>116</v>
      </c>
      <c r="K27" s="1032" t="s">
        <v>117</v>
      </c>
      <c r="M27" s="1032" t="s">
        <v>68</v>
      </c>
      <c r="N27" s="1032" t="s">
        <v>68</v>
      </c>
      <c r="O27" s="1032" t="s">
        <v>70</v>
      </c>
      <c r="P27" s="1032" t="s">
        <v>118</v>
      </c>
      <c r="Q27" s="1032" t="s">
        <v>119</v>
      </c>
      <c r="R27" s="1032" t="s">
        <v>73</v>
      </c>
      <c r="S27" s="1032" t="s">
        <v>120</v>
      </c>
      <c r="T27" s="1032">
        <v>640</v>
      </c>
      <c r="U27" s="1032">
        <v>1728</v>
      </c>
      <c r="V27" s="1032">
        <v>1.1060000000000001</v>
      </c>
      <c r="W27" s="1032">
        <v>48</v>
      </c>
      <c r="X27" s="1032">
        <v>3</v>
      </c>
      <c r="Y27" s="1032" t="s">
        <v>75</v>
      </c>
      <c r="Z27" s="1032" t="s">
        <v>75</v>
      </c>
      <c r="AB27" s="1033">
        <v>46026</v>
      </c>
      <c r="AC27" s="1032">
        <v>1</v>
      </c>
      <c r="AD27" s="1032" t="s">
        <v>246</v>
      </c>
      <c r="AF27" s="1032" t="s">
        <v>122</v>
      </c>
      <c r="AG27" s="1032" t="s">
        <v>123</v>
      </c>
      <c r="AH27" s="1032" t="s">
        <v>124</v>
      </c>
      <c r="AI27" s="1033">
        <v>46031</v>
      </c>
      <c r="AK27" s="1033">
        <v>46030</v>
      </c>
      <c r="AL27" s="1033">
        <v>46086</v>
      </c>
      <c r="AM27" s="1033">
        <v>46088</v>
      </c>
      <c r="AN27" s="1033">
        <v>46089</v>
      </c>
      <c r="AO27" s="1032" t="s">
        <v>66</v>
      </c>
      <c r="AP27" s="1032" t="s">
        <v>247</v>
      </c>
      <c r="AQ27" s="1032" t="s">
        <v>80</v>
      </c>
      <c r="AR27" s="1032" t="s">
        <v>248</v>
      </c>
      <c r="AS27" s="1032" t="s">
        <v>249</v>
      </c>
      <c r="AT27" s="1032" t="s">
        <v>249</v>
      </c>
      <c r="AU27" s="1032">
        <v>59</v>
      </c>
      <c r="AW27" s="1033">
        <v>46089</v>
      </c>
      <c r="AX27" s="1032" t="s">
        <v>84</v>
      </c>
      <c r="AY27" s="1033">
        <v>46100</v>
      </c>
      <c r="AZ27" s="1032">
        <v>9</v>
      </c>
      <c r="BA27" s="1033">
        <v>46098</v>
      </c>
      <c r="BB27" s="1032">
        <v>2026</v>
      </c>
      <c r="BC27" s="1032">
        <v>3</v>
      </c>
      <c r="BD27" s="1032">
        <v>12</v>
      </c>
      <c r="BE27" s="1032">
        <v>36</v>
      </c>
      <c r="BF27" s="1032">
        <v>576</v>
      </c>
      <c r="BG27" s="1032" t="s">
        <v>128</v>
      </c>
      <c r="BH27" s="1032" t="s">
        <v>86</v>
      </c>
    </row>
    <row r="28" spans="1:60">
      <c r="A28" s="1032" t="s">
        <v>250</v>
      </c>
      <c r="B28" s="1032" t="s">
        <v>111</v>
      </c>
      <c r="C28" s="1032" t="s">
        <v>187</v>
      </c>
      <c r="D28" s="1032" t="s">
        <v>63</v>
      </c>
      <c r="E28" s="1032" t="s">
        <v>64</v>
      </c>
      <c r="F28" s="1032" t="s">
        <v>65</v>
      </c>
      <c r="G28" s="1032" t="s">
        <v>66</v>
      </c>
      <c r="H28" s="1032" t="s">
        <v>67</v>
      </c>
      <c r="I28" s="1032" t="s">
        <v>68</v>
      </c>
      <c r="J28" s="1032" t="s">
        <v>188</v>
      </c>
      <c r="M28" s="1032" t="s">
        <v>68</v>
      </c>
      <c r="N28" s="1032" t="s">
        <v>68</v>
      </c>
      <c r="O28" s="1032" t="s">
        <v>132</v>
      </c>
      <c r="P28" s="1032" t="s">
        <v>189</v>
      </c>
      <c r="Q28" s="1032" t="s">
        <v>190</v>
      </c>
      <c r="R28" s="1032" t="s">
        <v>73</v>
      </c>
      <c r="S28" s="1032" t="s">
        <v>74</v>
      </c>
      <c r="T28" s="1032">
        <v>465</v>
      </c>
      <c r="U28" s="1032">
        <v>1728</v>
      </c>
      <c r="V28" s="1032">
        <v>0.80400000000000005</v>
      </c>
      <c r="W28" s="1032">
        <v>48</v>
      </c>
      <c r="X28" s="1032">
        <v>2</v>
      </c>
      <c r="Y28" s="1032" t="s">
        <v>75</v>
      </c>
      <c r="Z28" s="1032" t="s">
        <v>75</v>
      </c>
      <c r="AB28" s="1033">
        <v>46026</v>
      </c>
      <c r="AC28" s="1032">
        <v>1</v>
      </c>
      <c r="AD28" s="1032" t="s">
        <v>251</v>
      </c>
      <c r="AF28" s="1032" t="s">
        <v>122</v>
      </c>
      <c r="AG28" s="1032" t="s">
        <v>123</v>
      </c>
      <c r="AH28" s="1032" t="s">
        <v>78</v>
      </c>
      <c r="AI28" s="1033">
        <v>46031</v>
      </c>
      <c r="AK28" s="1033">
        <v>46030</v>
      </c>
      <c r="AL28" s="1033">
        <v>46078</v>
      </c>
      <c r="AM28" s="1033">
        <v>46083</v>
      </c>
      <c r="AN28" s="1033">
        <v>46084</v>
      </c>
      <c r="AO28" s="1032" t="s">
        <v>66</v>
      </c>
      <c r="AP28" s="1032" t="s">
        <v>247</v>
      </c>
      <c r="AQ28" s="1032" t="s">
        <v>80</v>
      </c>
      <c r="AR28" s="1032" t="s">
        <v>252</v>
      </c>
      <c r="AS28" s="1032" t="s">
        <v>253</v>
      </c>
      <c r="AT28" s="1032" t="s">
        <v>253</v>
      </c>
      <c r="AU28" s="1032">
        <v>54</v>
      </c>
      <c r="AW28" s="1033">
        <v>46084</v>
      </c>
      <c r="AX28" s="1032" t="s">
        <v>84</v>
      </c>
      <c r="AY28" s="1033">
        <v>46097</v>
      </c>
      <c r="AZ28" s="1032">
        <v>8</v>
      </c>
      <c r="BA28" s="1033">
        <v>46092</v>
      </c>
      <c r="BB28" s="1032">
        <v>2026</v>
      </c>
      <c r="BC28" s="1032">
        <v>3</v>
      </c>
      <c r="BD28" s="1032">
        <v>11</v>
      </c>
      <c r="BE28" s="1032">
        <v>36</v>
      </c>
      <c r="BF28" s="1032">
        <v>864</v>
      </c>
      <c r="BG28" s="1032" t="s">
        <v>108</v>
      </c>
      <c r="BH28" s="1032" t="s">
        <v>86</v>
      </c>
    </row>
    <row r="29" spans="1:60">
      <c r="A29" s="1032" t="s">
        <v>254</v>
      </c>
      <c r="B29" s="1032" t="s">
        <v>111</v>
      </c>
      <c r="C29" s="1032" t="s">
        <v>187</v>
      </c>
      <c r="D29" s="1032" t="s">
        <v>63</v>
      </c>
      <c r="E29" s="1032" t="s">
        <v>64</v>
      </c>
      <c r="F29" s="1032" t="s">
        <v>100</v>
      </c>
      <c r="G29" s="1032" t="s">
        <v>66</v>
      </c>
      <c r="H29" s="1032" t="s">
        <v>67</v>
      </c>
      <c r="I29" s="1032" t="s">
        <v>68</v>
      </c>
      <c r="J29" s="1032" t="s">
        <v>101</v>
      </c>
      <c r="M29" s="1032" t="s">
        <v>68</v>
      </c>
      <c r="N29" s="1032" t="s">
        <v>68</v>
      </c>
      <c r="O29" s="1032" t="s">
        <v>132</v>
      </c>
      <c r="P29" s="1032" t="s">
        <v>189</v>
      </c>
      <c r="Q29" s="1032" t="s">
        <v>190</v>
      </c>
      <c r="R29" s="1032" t="s">
        <v>73</v>
      </c>
      <c r="S29" s="1032" t="s">
        <v>74</v>
      </c>
      <c r="T29" s="1032">
        <v>465</v>
      </c>
      <c r="U29" s="1032">
        <v>864</v>
      </c>
      <c r="V29" s="1032">
        <v>0.40200000000000002</v>
      </c>
      <c r="W29" s="1032">
        <v>24</v>
      </c>
      <c r="X29" s="1032">
        <v>1</v>
      </c>
      <c r="Y29" s="1032" t="s">
        <v>75</v>
      </c>
      <c r="Z29" s="1032" t="s">
        <v>75</v>
      </c>
      <c r="AB29" s="1033">
        <v>46026</v>
      </c>
      <c r="AC29" s="1032">
        <v>1</v>
      </c>
      <c r="AD29" s="1032" t="s">
        <v>255</v>
      </c>
      <c r="AF29" s="1032" t="s">
        <v>122</v>
      </c>
      <c r="AG29" s="1032" t="s">
        <v>123</v>
      </c>
      <c r="AH29" s="1032" t="s">
        <v>105</v>
      </c>
      <c r="AI29" s="1033">
        <v>46031</v>
      </c>
      <c r="AK29" s="1033">
        <v>46030</v>
      </c>
      <c r="AL29" s="1033">
        <v>46080</v>
      </c>
      <c r="AM29" s="1033">
        <v>46111</v>
      </c>
      <c r="AN29" s="1033">
        <v>46111</v>
      </c>
      <c r="AO29" s="1032" t="s">
        <v>66</v>
      </c>
      <c r="AP29" s="1032" t="s">
        <v>247</v>
      </c>
      <c r="AQ29" s="1032" t="s">
        <v>80</v>
      </c>
      <c r="AR29" s="1032" t="s">
        <v>256</v>
      </c>
      <c r="AS29" s="1032" t="s">
        <v>257</v>
      </c>
      <c r="AT29" s="1032" t="s">
        <v>257</v>
      </c>
      <c r="AU29" s="1032">
        <v>81</v>
      </c>
      <c r="AW29" s="1033">
        <v>46111</v>
      </c>
      <c r="AX29" s="1032" t="s">
        <v>84</v>
      </c>
      <c r="AY29" s="1033">
        <v>46146</v>
      </c>
      <c r="AZ29" s="1032">
        <v>7</v>
      </c>
      <c r="BA29" s="1033">
        <v>46118</v>
      </c>
      <c r="BB29" s="1032">
        <v>2026</v>
      </c>
      <c r="BC29" s="1032">
        <v>4</v>
      </c>
      <c r="BD29" s="1032">
        <v>15</v>
      </c>
      <c r="BE29" s="1032">
        <v>36</v>
      </c>
      <c r="BF29" s="1032">
        <v>864</v>
      </c>
      <c r="BG29" s="1032" t="s">
        <v>108</v>
      </c>
      <c r="BH29" s="1032" t="s">
        <v>109</v>
      </c>
    </row>
    <row r="30" spans="1:60">
      <c r="A30" s="1032" t="s">
        <v>258</v>
      </c>
      <c r="B30" s="1032" t="s">
        <v>111</v>
      </c>
      <c r="C30" s="1032" t="s">
        <v>168</v>
      </c>
      <c r="D30" s="1032" t="s">
        <v>63</v>
      </c>
      <c r="E30" s="1032" t="s">
        <v>64</v>
      </c>
      <c r="F30" s="1032" t="s">
        <v>100</v>
      </c>
      <c r="G30" s="1032" t="s">
        <v>66</v>
      </c>
      <c r="H30" s="1032" t="s">
        <v>67</v>
      </c>
      <c r="I30" s="1032" t="s">
        <v>68</v>
      </c>
      <c r="J30" s="1032" t="s">
        <v>169</v>
      </c>
      <c r="M30" s="1032" t="s">
        <v>68</v>
      </c>
      <c r="N30" s="1032" t="s">
        <v>68</v>
      </c>
      <c r="O30" s="1032" t="s">
        <v>170</v>
      </c>
      <c r="P30" s="1032" t="s">
        <v>171</v>
      </c>
      <c r="Q30" s="1032" t="s">
        <v>172</v>
      </c>
      <c r="R30" s="1032" t="s">
        <v>73</v>
      </c>
      <c r="S30" s="1032" t="s">
        <v>120</v>
      </c>
      <c r="T30" s="1032">
        <v>555</v>
      </c>
      <c r="U30" s="1032">
        <v>660</v>
      </c>
      <c r="V30" s="1032">
        <v>0.36599999999999999</v>
      </c>
      <c r="W30" s="1032">
        <v>20</v>
      </c>
      <c r="X30" s="1032">
        <v>1</v>
      </c>
      <c r="Y30" s="1032" t="s">
        <v>75</v>
      </c>
      <c r="Z30" s="1032" t="s">
        <v>75</v>
      </c>
      <c r="AB30" s="1033">
        <v>46026</v>
      </c>
      <c r="AC30" s="1032">
        <v>1</v>
      </c>
      <c r="AD30" s="1032" t="s">
        <v>259</v>
      </c>
      <c r="AF30" s="1032" t="s">
        <v>122</v>
      </c>
      <c r="AG30" s="1032" t="s">
        <v>123</v>
      </c>
      <c r="AH30" s="1032" t="s">
        <v>105</v>
      </c>
      <c r="AI30" s="1033">
        <v>46031</v>
      </c>
      <c r="AK30" s="1033">
        <v>46030</v>
      </c>
      <c r="AL30" s="1033">
        <v>46080</v>
      </c>
      <c r="AM30" s="1033">
        <v>46111</v>
      </c>
      <c r="AN30" s="1033">
        <v>46111</v>
      </c>
      <c r="AO30" s="1032" t="s">
        <v>66</v>
      </c>
      <c r="AP30" s="1032" t="s">
        <v>247</v>
      </c>
      <c r="AQ30" s="1032" t="s">
        <v>80</v>
      </c>
      <c r="AR30" s="1032" t="s">
        <v>256</v>
      </c>
      <c r="AS30" s="1032" t="s">
        <v>257</v>
      </c>
      <c r="AT30" s="1032" t="s">
        <v>257</v>
      </c>
      <c r="AU30" s="1032">
        <v>81</v>
      </c>
      <c r="AW30" s="1033">
        <v>46111</v>
      </c>
      <c r="AX30" s="1032" t="s">
        <v>84</v>
      </c>
      <c r="AY30" s="1033">
        <v>46125</v>
      </c>
      <c r="AZ30" s="1032">
        <v>7</v>
      </c>
      <c r="BA30" s="1033">
        <v>46118</v>
      </c>
      <c r="BB30" s="1032">
        <v>2026</v>
      </c>
      <c r="BC30" s="1032">
        <v>4</v>
      </c>
      <c r="BD30" s="1032">
        <v>15</v>
      </c>
      <c r="BE30" s="1032">
        <v>33</v>
      </c>
      <c r="BF30" s="1032">
        <v>660</v>
      </c>
      <c r="BG30" s="1032" t="s">
        <v>108</v>
      </c>
      <c r="BH30" s="1032" t="s">
        <v>109</v>
      </c>
    </row>
    <row r="31" spans="1:60">
      <c r="A31" s="1032" t="s">
        <v>260</v>
      </c>
      <c r="B31" s="1032" t="s">
        <v>111</v>
      </c>
      <c r="C31" s="1032" t="s">
        <v>168</v>
      </c>
      <c r="D31" s="1032" t="s">
        <v>63</v>
      </c>
      <c r="E31" s="1032" t="s">
        <v>64</v>
      </c>
      <c r="F31" s="1032" t="s">
        <v>100</v>
      </c>
      <c r="G31" s="1032" t="s">
        <v>66</v>
      </c>
      <c r="H31" s="1032" t="s">
        <v>67</v>
      </c>
      <c r="I31" s="1032" t="s">
        <v>68</v>
      </c>
      <c r="J31" s="1032" t="s">
        <v>96</v>
      </c>
      <c r="M31" s="1032" t="s">
        <v>68</v>
      </c>
      <c r="N31" s="1032" t="s">
        <v>68</v>
      </c>
      <c r="O31" s="1032" t="s">
        <v>170</v>
      </c>
      <c r="P31" s="1032" t="s">
        <v>171</v>
      </c>
      <c r="Q31" s="1032" t="s">
        <v>172</v>
      </c>
      <c r="R31" s="1032" t="s">
        <v>73</v>
      </c>
      <c r="S31" s="1032" t="s">
        <v>120</v>
      </c>
      <c r="T31" s="1032">
        <v>555</v>
      </c>
      <c r="U31" s="1032">
        <v>1320</v>
      </c>
      <c r="V31" s="1032">
        <v>0.73299999999999998</v>
      </c>
      <c r="W31" s="1032">
        <v>40</v>
      </c>
      <c r="X31" s="1032">
        <v>2</v>
      </c>
      <c r="Y31" s="1032" t="s">
        <v>75</v>
      </c>
      <c r="Z31" s="1032" t="s">
        <v>75</v>
      </c>
      <c r="AB31" s="1033">
        <v>46029</v>
      </c>
      <c r="AC31" s="1032">
        <v>2</v>
      </c>
      <c r="AD31" s="1032" t="s">
        <v>261</v>
      </c>
      <c r="AF31" s="1032" t="s">
        <v>122</v>
      </c>
      <c r="AG31" s="1032" t="s">
        <v>123</v>
      </c>
      <c r="AH31" s="1032" t="s">
        <v>105</v>
      </c>
      <c r="AI31" s="1033">
        <v>46035</v>
      </c>
      <c r="AJ31" s="1033">
        <v>46037</v>
      </c>
      <c r="AK31" s="1033">
        <v>46037</v>
      </c>
      <c r="AL31" s="1033">
        <v>46071</v>
      </c>
      <c r="AM31" s="1033">
        <v>46083</v>
      </c>
      <c r="AN31" s="1033">
        <v>46083</v>
      </c>
      <c r="AO31" s="1032" t="s">
        <v>66</v>
      </c>
      <c r="AP31" s="1032" t="s">
        <v>262</v>
      </c>
      <c r="AQ31" s="1032" t="s">
        <v>80</v>
      </c>
      <c r="AR31" s="1032" t="s">
        <v>263</v>
      </c>
      <c r="AS31" s="1032" t="s">
        <v>264</v>
      </c>
      <c r="AT31" s="1032" t="s">
        <v>264</v>
      </c>
      <c r="AU31" s="1032">
        <v>46</v>
      </c>
      <c r="AW31" s="1033">
        <v>46083</v>
      </c>
      <c r="AX31" s="1032" t="s">
        <v>84</v>
      </c>
      <c r="AY31" s="1033">
        <v>46097</v>
      </c>
      <c r="AZ31" s="1032">
        <v>7</v>
      </c>
      <c r="BA31" s="1033">
        <v>46090</v>
      </c>
      <c r="BB31" s="1032">
        <v>2026</v>
      </c>
      <c r="BC31" s="1032">
        <v>3</v>
      </c>
      <c r="BD31" s="1032">
        <v>11</v>
      </c>
      <c r="BE31" s="1032">
        <v>33</v>
      </c>
      <c r="BF31" s="1032">
        <v>660</v>
      </c>
      <c r="BG31" s="1032" t="s">
        <v>108</v>
      </c>
      <c r="BH31" s="1032" t="s">
        <v>109</v>
      </c>
    </row>
    <row r="32" spans="1:60">
      <c r="A32" s="1032" t="s">
        <v>265</v>
      </c>
      <c r="B32" s="1032" t="s">
        <v>111</v>
      </c>
      <c r="C32" s="1032" t="s">
        <v>112</v>
      </c>
      <c r="D32" s="1032" t="s">
        <v>113</v>
      </c>
      <c r="E32" s="1032" t="s">
        <v>64</v>
      </c>
      <c r="F32" s="1032" t="s">
        <v>114</v>
      </c>
      <c r="G32" s="1032" t="s">
        <v>66</v>
      </c>
      <c r="H32" s="1032" t="s">
        <v>115</v>
      </c>
      <c r="I32" s="1032" t="s">
        <v>68</v>
      </c>
      <c r="J32" s="1032" t="s">
        <v>116</v>
      </c>
      <c r="K32" s="1032" t="s">
        <v>266</v>
      </c>
      <c r="M32" s="1032" t="s">
        <v>68</v>
      </c>
      <c r="N32" s="1032" t="s">
        <v>68</v>
      </c>
      <c r="O32" s="1032" t="s">
        <v>70</v>
      </c>
      <c r="P32" s="1032" t="s">
        <v>118</v>
      </c>
      <c r="Q32" s="1032" t="s">
        <v>119</v>
      </c>
      <c r="R32" s="1032" t="s">
        <v>73</v>
      </c>
      <c r="S32" s="1032" t="s">
        <v>120</v>
      </c>
      <c r="T32" s="1032">
        <v>640</v>
      </c>
      <c r="U32" s="1032">
        <v>1152</v>
      </c>
      <c r="V32" s="1032">
        <v>0.73699999999999999</v>
      </c>
      <c r="W32" s="1032">
        <v>32</v>
      </c>
      <c r="X32" s="1032">
        <v>2</v>
      </c>
      <c r="Y32" s="1032" t="s">
        <v>75</v>
      </c>
      <c r="Z32" s="1032" t="s">
        <v>75</v>
      </c>
      <c r="AB32" s="1033">
        <v>46034</v>
      </c>
      <c r="AC32" s="1032">
        <v>3</v>
      </c>
      <c r="AD32" s="1032" t="s">
        <v>267</v>
      </c>
      <c r="AF32" s="1032" t="s">
        <v>122</v>
      </c>
      <c r="AG32" s="1032" t="s">
        <v>123</v>
      </c>
      <c r="AH32" s="1032" t="s">
        <v>124</v>
      </c>
      <c r="AI32" s="1033">
        <v>46042</v>
      </c>
      <c r="AJ32" s="1033">
        <v>46044</v>
      </c>
      <c r="AK32" s="1033">
        <v>46044</v>
      </c>
      <c r="AL32" s="1033">
        <v>46081</v>
      </c>
      <c r="AM32" s="1033">
        <v>46083</v>
      </c>
      <c r="AN32" s="1033">
        <v>46084</v>
      </c>
      <c r="AO32" s="1032" t="s">
        <v>66</v>
      </c>
      <c r="AP32" s="1032" t="s">
        <v>268</v>
      </c>
      <c r="AQ32" s="1032" t="s">
        <v>80</v>
      </c>
      <c r="AR32" s="1032" t="s">
        <v>269</v>
      </c>
      <c r="AS32" s="1032" t="s">
        <v>270</v>
      </c>
      <c r="AT32" s="1032" t="s">
        <v>270</v>
      </c>
      <c r="AU32" s="1032">
        <v>40</v>
      </c>
      <c r="AW32" s="1033">
        <v>46084</v>
      </c>
      <c r="AX32" s="1032" t="s">
        <v>84</v>
      </c>
      <c r="AY32" s="1033">
        <v>46095</v>
      </c>
      <c r="AZ32" s="1032">
        <v>9</v>
      </c>
      <c r="BA32" s="1033">
        <v>46093</v>
      </c>
      <c r="BB32" s="1032">
        <v>2026</v>
      </c>
      <c r="BC32" s="1032">
        <v>3</v>
      </c>
      <c r="BD32" s="1032">
        <v>11</v>
      </c>
      <c r="BE32" s="1032">
        <v>36</v>
      </c>
      <c r="BF32" s="1032">
        <v>576</v>
      </c>
      <c r="BG32" s="1032" t="s">
        <v>128</v>
      </c>
      <c r="BH32" s="1032" t="s">
        <v>86</v>
      </c>
    </row>
    <row r="33" spans="1:60">
      <c r="A33" s="1032" t="s">
        <v>271</v>
      </c>
      <c r="B33" s="1032" t="s">
        <v>111</v>
      </c>
      <c r="C33" s="1032" t="s">
        <v>112</v>
      </c>
      <c r="D33" s="1032" t="s">
        <v>113</v>
      </c>
      <c r="E33" s="1032" t="s">
        <v>64</v>
      </c>
      <c r="F33" s="1032" t="s">
        <v>114</v>
      </c>
      <c r="G33" s="1032" t="s">
        <v>66</v>
      </c>
      <c r="H33" s="1032" t="s">
        <v>115</v>
      </c>
      <c r="I33" s="1032" t="s">
        <v>68</v>
      </c>
      <c r="J33" s="1032" t="s">
        <v>116</v>
      </c>
      <c r="K33" s="1032" t="s">
        <v>117</v>
      </c>
      <c r="M33" s="1032" t="s">
        <v>68</v>
      </c>
      <c r="N33" s="1032" t="s">
        <v>68</v>
      </c>
      <c r="O33" s="1032" t="s">
        <v>70</v>
      </c>
      <c r="P33" s="1032" t="s">
        <v>118</v>
      </c>
      <c r="Q33" s="1032" t="s">
        <v>119</v>
      </c>
      <c r="R33" s="1032" t="s">
        <v>73</v>
      </c>
      <c r="S33" s="1032" t="s">
        <v>120</v>
      </c>
      <c r="T33" s="1032">
        <v>640</v>
      </c>
      <c r="U33" s="1032">
        <v>2124</v>
      </c>
      <c r="V33" s="1032">
        <v>1.359</v>
      </c>
      <c r="W33" s="1032">
        <v>59</v>
      </c>
      <c r="X33" s="1032">
        <v>3.7</v>
      </c>
      <c r="Y33" s="1032" t="s">
        <v>75</v>
      </c>
      <c r="Z33" s="1032" t="s">
        <v>75</v>
      </c>
      <c r="AB33" s="1033">
        <v>46029</v>
      </c>
      <c r="AC33" s="1032">
        <v>2</v>
      </c>
      <c r="AD33" s="1032" t="s">
        <v>272</v>
      </c>
      <c r="AF33" s="1032" t="s">
        <v>122</v>
      </c>
      <c r="AG33" s="1032" t="s">
        <v>123</v>
      </c>
      <c r="AH33" s="1032" t="s">
        <v>124</v>
      </c>
      <c r="AI33" s="1033">
        <v>46035</v>
      </c>
      <c r="AJ33" s="1033">
        <v>46041</v>
      </c>
      <c r="AK33" s="1033">
        <v>46041</v>
      </c>
      <c r="AL33" s="1033">
        <v>46079</v>
      </c>
      <c r="AM33" s="1033">
        <v>46079</v>
      </c>
      <c r="AN33" s="1033">
        <v>46079</v>
      </c>
      <c r="AO33" s="1032" t="s">
        <v>66</v>
      </c>
      <c r="AP33" s="1032" t="s">
        <v>273</v>
      </c>
      <c r="AQ33" s="1032" t="s">
        <v>80</v>
      </c>
      <c r="AR33" s="1032" t="s">
        <v>274</v>
      </c>
      <c r="AS33" s="1032" t="s">
        <v>275</v>
      </c>
      <c r="AT33" s="1032" t="s">
        <v>275</v>
      </c>
      <c r="AU33" s="1032">
        <v>38</v>
      </c>
      <c r="AW33" s="1033">
        <v>46079</v>
      </c>
      <c r="AX33" s="1032" t="s">
        <v>84</v>
      </c>
      <c r="AY33" s="1033">
        <v>46093</v>
      </c>
      <c r="AZ33" s="1032">
        <v>9</v>
      </c>
      <c r="BA33" s="1033">
        <v>46088</v>
      </c>
      <c r="BB33" s="1032">
        <v>2026</v>
      </c>
      <c r="BC33" s="1032">
        <v>3</v>
      </c>
      <c r="BD33" s="1032">
        <v>10</v>
      </c>
      <c r="BE33" s="1032">
        <v>36</v>
      </c>
      <c r="BF33" s="1032">
        <v>576</v>
      </c>
      <c r="BG33" s="1032" t="s">
        <v>128</v>
      </c>
      <c r="BH33" s="1032" t="s">
        <v>86</v>
      </c>
    </row>
    <row r="34" spans="1:60">
      <c r="A34" s="1032" t="s">
        <v>276</v>
      </c>
      <c r="B34" s="1032" t="s">
        <v>111</v>
      </c>
      <c r="C34" s="1032" t="s">
        <v>112</v>
      </c>
      <c r="D34" s="1032" t="s">
        <v>113</v>
      </c>
      <c r="E34" s="1032" t="s">
        <v>64</v>
      </c>
      <c r="F34" s="1032" t="s">
        <v>114</v>
      </c>
      <c r="G34" s="1032" t="s">
        <v>66</v>
      </c>
      <c r="H34" s="1032" t="s">
        <v>115</v>
      </c>
      <c r="I34" s="1032" t="s">
        <v>68</v>
      </c>
      <c r="J34" s="1032" t="s">
        <v>116</v>
      </c>
      <c r="K34" s="1032" t="s">
        <v>266</v>
      </c>
      <c r="M34" s="1032" t="s">
        <v>68</v>
      </c>
      <c r="N34" s="1032" t="s">
        <v>68</v>
      </c>
      <c r="O34" s="1032" t="s">
        <v>70</v>
      </c>
      <c r="P34" s="1032" t="s">
        <v>118</v>
      </c>
      <c r="Q34" s="1032" t="s">
        <v>119</v>
      </c>
      <c r="R34" s="1032" t="s">
        <v>73</v>
      </c>
      <c r="S34" s="1032" t="s">
        <v>120</v>
      </c>
      <c r="T34" s="1032">
        <v>640</v>
      </c>
      <c r="U34" s="1032">
        <v>180</v>
      </c>
      <c r="V34" s="1032">
        <v>0.115</v>
      </c>
      <c r="W34" s="1032">
        <v>5</v>
      </c>
      <c r="X34" s="1032">
        <v>0.3</v>
      </c>
      <c r="Y34" s="1032" t="s">
        <v>75</v>
      </c>
      <c r="Z34" s="1032" t="s">
        <v>75</v>
      </c>
      <c r="AB34" s="1033">
        <v>46029</v>
      </c>
      <c r="AC34" s="1032">
        <v>2</v>
      </c>
      <c r="AD34" s="1032" t="s">
        <v>277</v>
      </c>
      <c r="AF34" s="1032" t="s">
        <v>122</v>
      </c>
      <c r="AG34" s="1032" t="s">
        <v>123</v>
      </c>
      <c r="AH34" s="1032" t="s">
        <v>124</v>
      </c>
      <c r="AI34" s="1033">
        <v>46035</v>
      </c>
      <c r="AJ34" s="1033">
        <v>46041</v>
      </c>
      <c r="AK34" s="1033">
        <v>46041</v>
      </c>
      <c r="AL34" s="1033">
        <v>46079</v>
      </c>
      <c r="AM34" s="1033">
        <v>46079</v>
      </c>
      <c r="AN34" s="1033">
        <v>46079</v>
      </c>
      <c r="AO34" s="1032" t="s">
        <v>66</v>
      </c>
      <c r="AP34" s="1032" t="s">
        <v>273</v>
      </c>
      <c r="AQ34" s="1032" t="s">
        <v>80</v>
      </c>
      <c r="AR34" s="1032" t="s">
        <v>274</v>
      </c>
      <c r="AS34" s="1032" t="s">
        <v>275</v>
      </c>
      <c r="AT34" s="1032" t="s">
        <v>275</v>
      </c>
      <c r="AU34" s="1032">
        <v>38</v>
      </c>
      <c r="AW34" s="1033">
        <v>46079</v>
      </c>
      <c r="AX34" s="1032" t="s">
        <v>84</v>
      </c>
      <c r="AY34" s="1033">
        <v>46093</v>
      </c>
      <c r="AZ34" s="1032">
        <v>9</v>
      </c>
      <c r="BA34" s="1033">
        <v>46088</v>
      </c>
      <c r="BB34" s="1032">
        <v>2026</v>
      </c>
      <c r="BC34" s="1032">
        <v>3</v>
      </c>
      <c r="BD34" s="1032">
        <v>10</v>
      </c>
      <c r="BE34" s="1032">
        <v>36</v>
      </c>
      <c r="BF34" s="1032">
        <v>576</v>
      </c>
      <c r="BG34" s="1032" t="s">
        <v>128</v>
      </c>
      <c r="BH34" s="1032" t="s">
        <v>86</v>
      </c>
    </row>
    <row r="35" spans="1:60">
      <c r="A35" s="1032" t="s">
        <v>278</v>
      </c>
      <c r="B35" s="1032" t="s">
        <v>111</v>
      </c>
      <c r="C35" s="1032" t="s">
        <v>112</v>
      </c>
      <c r="D35" s="1032" t="s">
        <v>113</v>
      </c>
      <c r="E35" s="1032" t="s">
        <v>64</v>
      </c>
      <c r="F35" s="1032" t="s">
        <v>114</v>
      </c>
      <c r="G35" s="1032" t="s">
        <v>66</v>
      </c>
      <c r="H35" s="1032" t="s">
        <v>115</v>
      </c>
      <c r="I35" s="1032" t="s">
        <v>68</v>
      </c>
      <c r="J35" s="1032" t="s">
        <v>116</v>
      </c>
      <c r="K35" s="1032" t="s">
        <v>266</v>
      </c>
      <c r="M35" s="1032" t="s">
        <v>68</v>
      </c>
      <c r="N35" s="1032" t="s">
        <v>68</v>
      </c>
      <c r="O35" s="1032" t="s">
        <v>70</v>
      </c>
      <c r="P35" s="1032" t="s">
        <v>118</v>
      </c>
      <c r="Q35" s="1032" t="s">
        <v>119</v>
      </c>
      <c r="R35" s="1032" t="s">
        <v>73</v>
      </c>
      <c r="S35" s="1032" t="s">
        <v>120</v>
      </c>
      <c r="T35" s="1032">
        <v>640</v>
      </c>
      <c r="U35" s="1032">
        <v>1152</v>
      </c>
      <c r="V35" s="1032">
        <v>0.73699999999999999</v>
      </c>
      <c r="W35" s="1032">
        <v>32</v>
      </c>
      <c r="X35" s="1032">
        <v>2</v>
      </c>
      <c r="Y35" s="1032" t="s">
        <v>75</v>
      </c>
      <c r="Z35" s="1032" t="s">
        <v>75</v>
      </c>
      <c r="AB35" s="1033">
        <v>46029</v>
      </c>
      <c r="AC35" s="1032">
        <v>2</v>
      </c>
      <c r="AD35" s="1032" t="s">
        <v>279</v>
      </c>
      <c r="AF35" s="1032" t="s">
        <v>122</v>
      </c>
      <c r="AG35" s="1032" t="s">
        <v>123</v>
      </c>
      <c r="AH35" s="1032" t="s">
        <v>124</v>
      </c>
      <c r="AI35" s="1033">
        <v>46035</v>
      </c>
      <c r="AJ35" s="1033">
        <v>46041</v>
      </c>
      <c r="AK35" s="1033">
        <v>46041</v>
      </c>
      <c r="AL35" s="1033">
        <v>46079</v>
      </c>
      <c r="AM35" s="1033">
        <v>46079</v>
      </c>
      <c r="AN35" s="1033">
        <v>46079</v>
      </c>
      <c r="AO35" s="1032" t="s">
        <v>66</v>
      </c>
      <c r="AP35" s="1032" t="s">
        <v>273</v>
      </c>
      <c r="AQ35" s="1032" t="s">
        <v>80</v>
      </c>
      <c r="AR35" s="1032" t="s">
        <v>274</v>
      </c>
      <c r="AS35" s="1032" t="s">
        <v>275</v>
      </c>
      <c r="AT35" s="1032" t="s">
        <v>275</v>
      </c>
      <c r="AU35" s="1032">
        <v>38</v>
      </c>
      <c r="AW35" s="1033">
        <v>46079</v>
      </c>
      <c r="AX35" s="1032" t="s">
        <v>84</v>
      </c>
      <c r="AY35" s="1033">
        <v>46093</v>
      </c>
      <c r="AZ35" s="1032">
        <v>9</v>
      </c>
      <c r="BA35" s="1033">
        <v>46088</v>
      </c>
      <c r="BB35" s="1032">
        <v>2026</v>
      </c>
      <c r="BC35" s="1032">
        <v>3</v>
      </c>
      <c r="BD35" s="1032">
        <v>10</v>
      </c>
      <c r="BE35" s="1032">
        <v>36</v>
      </c>
      <c r="BF35" s="1032">
        <v>576</v>
      </c>
      <c r="BG35" s="1032" t="s">
        <v>128</v>
      </c>
      <c r="BH35" s="1032" t="s">
        <v>86</v>
      </c>
    </row>
    <row r="36" spans="1:60">
      <c r="A36" s="1032" t="s">
        <v>280</v>
      </c>
      <c r="B36" s="1032" t="s">
        <v>281</v>
      </c>
      <c r="C36" s="1032" t="s">
        <v>282</v>
      </c>
      <c r="D36" s="1032" t="s">
        <v>63</v>
      </c>
      <c r="E36" s="1032" t="s">
        <v>64</v>
      </c>
      <c r="F36" s="1032" t="s">
        <v>100</v>
      </c>
      <c r="G36" s="1032" t="s">
        <v>66</v>
      </c>
      <c r="H36" s="1032" t="s">
        <v>67</v>
      </c>
      <c r="I36" s="1032" t="s">
        <v>68</v>
      </c>
      <c r="J36" s="1032" t="s">
        <v>283</v>
      </c>
      <c r="M36" s="1032" t="s">
        <v>68</v>
      </c>
      <c r="N36" s="1032" t="s">
        <v>68</v>
      </c>
      <c r="O36" s="1032" t="s">
        <v>284</v>
      </c>
      <c r="P36" s="1032" t="s">
        <v>285</v>
      </c>
      <c r="Q36" s="1032" t="s">
        <v>286</v>
      </c>
      <c r="R36" s="1032" t="s">
        <v>73</v>
      </c>
      <c r="S36" s="1032" t="s">
        <v>120</v>
      </c>
      <c r="T36" s="1032">
        <v>460</v>
      </c>
      <c r="U36" s="1032">
        <v>962</v>
      </c>
      <c r="V36" s="1032">
        <v>0.443</v>
      </c>
      <c r="W36" s="1032">
        <v>26</v>
      </c>
      <c r="X36" s="1032">
        <v>1</v>
      </c>
      <c r="Y36" s="1032" t="s">
        <v>75</v>
      </c>
      <c r="Z36" s="1032" t="s">
        <v>75</v>
      </c>
      <c r="AB36" s="1033">
        <v>46030</v>
      </c>
      <c r="AC36" s="1032">
        <v>2</v>
      </c>
      <c r="AD36" s="1032" t="s">
        <v>287</v>
      </c>
      <c r="AF36" s="1032" t="s">
        <v>288</v>
      </c>
      <c r="AG36" s="1032" t="s">
        <v>289</v>
      </c>
      <c r="AH36" s="1032" t="s">
        <v>105</v>
      </c>
      <c r="AI36" s="1033">
        <v>46038</v>
      </c>
      <c r="AJ36" s="1033">
        <v>46041</v>
      </c>
      <c r="AK36" s="1033">
        <v>46041</v>
      </c>
      <c r="AL36" s="1033">
        <v>46069</v>
      </c>
      <c r="AM36" s="1033">
        <v>46087</v>
      </c>
      <c r="AN36" s="1033">
        <v>46087</v>
      </c>
      <c r="AO36" s="1032" t="s">
        <v>66</v>
      </c>
      <c r="AP36" s="1032" t="s">
        <v>211</v>
      </c>
      <c r="AQ36" s="1032" t="s">
        <v>80</v>
      </c>
      <c r="AR36" s="1032" t="s">
        <v>290</v>
      </c>
      <c r="AS36" s="1032" t="s">
        <v>291</v>
      </c>
      <c r="AT36" s="1032" t="s">
        <v>291</v>
      </c>
      <c r="AU36" s="1032">
        <v>46</v>
      </c>
      <c r="AV36" s="1032" t="s">
        <v>83</v>
      </c>
      <c r="AW36" s="1033">
        <v>46087</v>
      </c>
      <c r="AX36" s="1032" t="s">
        <v>84</v>
      </c>
      <c r="AY36" s="1033">
        <v>46094</v>
      </c>
      <c r="AZ36" s="1032">
        <v>7</v>
      </c>
      <c r="BA36" s="1033">
        <v>46094</v>
      </c>
      <c r="BB36" s="1032">
        <v>2026</v>
      </c>
      <c r="BC36" s="1032">
        <v>3</v>
      </c>
      <c r="BD36" s="1032">
        <v>11</v>
      </c>
      <c r="BE36" s="1032">
        <v>37</v>
      </c>
      <c r="BF36" s="1032">
        <v>962</v>
      </c>
      <c r="BG36" s="1032" t="s">
        <v>85</v>
      </c>
      <c r="BH36" s="1032" t="s">
        <v>109</v>
      </c>
    </row>
    <row r="37" spans="1:60">
      <c r="A37" s="1032" t="s">
        <v>292</v>
      </c>
      <c r="B37" s="1032" t="s">
        <v>281</v>
      </c>
      <c r="C37" s="1032" t="s">
        <v>282</v>
      </c>
      <c r="D37" s="1032" t="s">
        <v>63</v>
      </c>
      <c r="E37" s="1032" t="s">
        <v>64</v>
      </c>
      <c r="F37" s="1032" t="s">
        <v>100</v>
      </c>
      <c r="G37" s="1032" t="s">
        <v>66</v>
      </c>
      <c r="H37" s="1032" t="s">
        <v>67</v>
      </c>
      <c r="I37" s="1032" t="s">
        <v>68</v>
      </c>
      <c r="J37" s="1032" t="s">
        <v>293</v>
      </c>
      <c r="M37" s="1032" t="s">
        <v>68</v>
      </c>
      <c r="N37" s="1032" t="s">
        <v>68</v>
      </c>
      <c r="O37" s="1032" t="s">
        <v>284</v>
      </c>
      <c r="P37" s="1032" t="s">
        <v>285</v>
      </c>
      <c r="Q37" s="1032" t="s">
        <v>286</v>
      </c>
      <c r="R37" s="1032" t="s">
        <v>73</v>
      </c>
      <c r="S37" s="1032" t="s">
        <v>120</v>
      </c>
      <c r="T37" s="1032">
        <v>460</v>
      </c>
      <c r="U37" s="1032">
        <v>4810</v>
      </c>
      <c r="V37" s="1032">
        <v>2.2130000000000001</v>
      </c>
      <c r="W37" s="1032">
        <v>130</v>
      </c>
      <c r="X37" s="1032">
        <v>5</v>
      </c>
      <c r="Y37" s="1032" t="s">
        <v>75</v>
      </c>
      <c r="Z37" s="1032" t="s">
        <v>75</v>
      </c>
      <c r="AB37" s="1033">
        <v>46030</v>
      </c>
      <c r="AC37" s="1032">
        <v>2</v>
      </c>
      <c r="AD37" s="1032" t="s">
        <v>294</v>
      </c>
      <c r="AF37" s="1032" t="s">
        <v>288</v>
      </c>
      <c r="AG37" s="1032" t="s">
        <v>289</v>
      </c>
      <c r="AH37" s="1032" t="s">
        <v>105</v>
      </c>
      <c r="AI37" s="1033">
        <v>46038</v>
      </c>
      <c r="AJ37" s="1033">
        <v>46041</v>
      </c>
      <c r="AK37" s="1033">
        <v>46041</v>
      </c>
      <c r="AL37" s="1033">
        <v>46069</v>
      </c>
      <c r="AM37" s="1033">
        <v>46087</v>
      </c>
      <c r="AN37" s="1033">
        <v>46087</v>
      </c>
      <c r="AO37" s="1032" t="s">
        <v>66</v>
      </c>
      <c r="AP37" s="1032" t="s">
        <v>211</v>
      </c>
      <c r="AQ37" s="1032" t="s">
        <v>80</v>
      </c>
      <c r="AR37" s="1032" t="s">
        <v>290</v>
      </c>
      <c r="AS37" s="1032" t="s">
        <v>291</v>
      </c>
      <c r="AT37" s="1032" t="s">
        <v>291</v>
      </c>
      <c r="AU37" s="1032">
        <v>46</v>
      </c>
      <c r="AV37" s="1032" t="s">
        <v>83</v>
      </c>
      <c r="AW37" s="1033">
        <v>46087</v>
      </c>
      <c r="AX37" s="1032" t="s">
        <v>84</v>
      </c>
      <c r="AY37" s="1033">
        <v>46094</v>
      </c>
      <c r="AZ37" s="1032">
        <v>7</v>
      </c>
      <c r="BA37" s="1033">
        <v>46094</v>
      </c>
      <c r="BB37" s="1032">
        <v>2026</v>
      </c>
      <c r="BC37" s="1032">
        <v>3</v>
      </c>
      <c r="BD37" s="1032">
        <v>11</v>
      </c>
      <c r="BE37" s="1032">
        <v>37</v>
      </c>
      <c r="BF37" s="1032">
        <v>962</v>
      </c>
      <c r="BG37" s="1032" t="s">
        <v>85</v>
      </c>
      <c r="BH37" s="1032" t="s">
        <v>109</v>
      </c>
    </row>
    <row r="38" spans="1:60">
      <c r="A38" s="1032" t="s">
        <v>295</v>
      </c>
      <c r="B38" s="1032" t="s">
        <v>296</v>
      </c>
      <c r="C38" s="1032" t="s">
        <v>297</v>
      </c>
      <c r="D38" s="1032" t="s">
        <v>63</v>
      </c>
      <c r="E38" s="1032" t="s">
        <v>64</v>
      </c>
      <c r="F38" s="1032" t="s">
        <v>100</v>
      </c>
      <c r="G38" s="1032" t="s">
        <v>66</v>
      </c>
      <c r="H38" s="1032" t="s">
        <v>67</v>
      </c>
      <c r="I38" s="1032" t="s">
        <v>68</v>
      </c>
      <c r="J38" s="1032" t="s">
        <v>96</v>
      </c>
      <c r="M38" s="1032" t="s">
        <v>68</v>
      </c>
      <c r="N38" s="1032" t="s">
        <v>68</v>
      </c>
      <c r="O38" s="1032" t="s">
        <v>298</v>
      </c>
      <c r="P38" s="1032" t="s">
        <v>299</v>
      </c>
      <c r="Q38" s="1032" t="s">
        <v>300</v>
      </c>
      <c r="R38" s="1032" t="s">
        <v>73</v>
      </c>
      <c r="S38" s="1032" t="s">
        <v>74</v>
      </c>
      <c r="T38" s="1032">
        <v>480</v>
      </c>
      <c r="U38" s="1032">
        <v>1924</v>
      </c>
      <c r="V38" s="1032">
        <v>0.92400000000000004</v>
      </c>
      <c r="W38" s="1032">
        <v>52</v>
      </c>
      <c r="X38" s="1032">
        <v>2</v>
      </c>
      <c r="Y38" s="1032" t="s">
        <v>75</v>
      </c>
      <c r="Z38" s="1032" t="s">
        <v>75</v>
      </c>
      <c r="AB38" s="1033">
        <v>46031</v>
      </c>
      <c r="AC38" s="1032">
        <v>2</v>
      </c>
      <c r="AD38" s="1032" t="s">
        <v>301</v>
      </c>
      <c r="AF38" s="1032" t="s">
        <v>288</v>
      </c>
      <c r="AG38" s="1032" t="s">
        <v>289</v>
      </c>
      <c r="AH38" s="1032" t="s">
        <v>105</v>
      </c>
      <c r="AI38" s="1033">
        <v>46038</v>
      </c>
      <c r="AJ38" s="1033">
        <v>46041</v>
      </c>
      <c r="AK38" s="1033">
        <v>46041</v>
      </c>
      <c r="AL38" s="1033">
        <v>46069</v>
      </c>
      <c r="AM38" s="1033">
        <v>46087</v>
      </c>
      <c r="AN38" s="1033">
        <v>46087</v>
      </c>
      <c r="AO38" s="1032" t="s">
        <v>66</v>
      </c>
      <c r="AP38" s="1032" t="s">
        <v>211</v>
      </c>
      <c r="AQ38" s="1032" t="s">
        <v>80</v>
      </c>
      <c r="AR38" s="1032" t="s">
        <v>302</v>
      </c>
      <c r="AS38" s="1032" t="s">
        <v>303</v>
      </c>
      <c r="AT38" s="1032" t="s">
        <v>303</v>
      </c>
      <c r="AU38" s="1032">
        <v>46</v>
      </c>
      <c r="AV38" s="1032" t="s">
        <v>83</v>
      </c>
      <c r="AW38" s="1033">
        <v>46087</v>
      </c>
      <c r="AX38" s="1032" t="s">
        <v>84</v>
      </c>
      <c r="AY38" s="1033">
        <v>46101</v>
      </c>
      <c r="AZ38" s="1032">
        <v>7</v>
      </c>
      <c r="BA38" s="1033">
        <v>46094</v>
      </c>
      <c r="BB38" s="1032">
        <v>2026</v>
      </c>
      <c r="BC38" s="1032">
        <v>3</v>
      </c>
      <c r="BD38" s="1032">
        <v>11</v>
      </c>
      <c r="BE38" s="1032">
        <v>37</v>
      </c>
      <c r="BF38" s="1032">
        <v>962</v>
      </c>
      <c r="BG38" s="1032" t="s">
        <v>85</v>
      </c>
      <c r="BH38" s="1032" t="s">
        <v>109</v>
      </c>
    </row>
    <row r="39" spans="1:60">
      <c r="A39" s="1032" t="s">
        <v>304</v>
      </c>
      <c r="B39" s="1032" t="s">
        <v>296</v>
      </c>
      <c r="C39" s="1032" t="s">
        <v>305</v>
      </c>
      <c r="D39" s="1032" t="s">
        <v>63</v>
      </c>
      <c r="E39" s="1032" t="s">
        <v>64</v>
      </c>
      <c r="F39" s="1032" t="s">
        <v>100</v>
      </c>
      <c r="G39" s="1032" t="s">
        <v>66</v>
      </c>
      <c r="H39" s="1032" t="s">
        <v>67</v>
      </c>
      <c r="I39" s="1032" t="s">
        <v>68</v>
      </c>
      <c r="J39" s="1032" t="s">
        <v>96</v>
      </c>
      <c r="M39" s="1032" t="s">
        <v>68</v>
      </c>
      <c r="N39" s="1032" t="s">
        <v>68</v>
      </c>
      <c r="O39" s="1032" t="s">
        <v>298</v>
      </c>
      <c r="P39" s="1032" t="s">
        <v>306</v>
      </c>
      <c r="Q39" s="1032" t="s">
        <v>307</v>
      </c>
      <c r="R39" s="1032" t="s">
        <v>73</v>
      </c>
      <c r="S39" s="1032" t="s">
        <v>74</v>
      </c>
      <c r="T39" s="1032">
        <v>485</v>
      </c>
      <c r="U39" s="1032">
        <v>2886</v>
      </c>
      <c r="V39" s="1032">
        <v>1.4</v>
      </c>
      <c r="W39" s="1032">
        <v>78</v>
      </c>
      <c r="X39" s="1032">
        <v>3</v>
      </c>
      <c r="Y39" s="1032" t="s">
        <v>75</v>
      </c>
      <c r="Z39" s="1032" t="s">
        <v>75</v>
      </c>
      <c r="AB39" s="1033">
        <v>46031</v>
      </c>
      <c r="AC39" s="1032">
        <v>2</v>
      </c>
      <c r="AD39" s="1032" t="s">
        <v>308</v>
      </c>
      <c r="AF39" s="1032" t="s">
        <v>288</v>
      </c>
      <c r="AG39" s="1032" t="s">
        <v>289</v>
      </c>
      <c r="AH39" s="1032" t="s">
        <v>105</v>
      </c>
      <c r="AI39" s="1033">
        <v>46038</v>
      </c>
      <c r="AJ39" s="1033">
        <v>46041</v>
      </c>
      <c r="AK39" s="1033">
        <v>46041</v>
      </c>
      <c r="AL39" s="1033">
        <v>46069</v>
      </c>
      <c r="AM39" s="1033">
        <v>46087</v>
      </c>
      <c r="AN39" s="1033">
        <v>46087</v>
      </c>
      <c r="AO39" s="1032" t="s">
        <v>66</v>
      </c>
      <c r="AP39" s="1032" t="s">
        <v>211</v>
      </c>
      <c r="AQ39" s="1032" t="s">
        <v>80</v>
      </c>
      <c r="AR39" s="1032" t="s">
        <v>302</v>
      </c>
      <c r="AS39" s="1032" t="s">
        <v>303</v>
      </c>
      <c r="AT39" s="1032" t="s">
        <v>303</v>
      </c>
      <c r="AU39" s="1032">
        <v>46</v>
      </c>
      <c r="AV39" s="1032" t="s">
        <v>83</v>
      </c>
      <c r="AW39" s="1033">
        <v>46087</v>
      </c>
      <c r="AX39" s="1032" t="s">
        <v>84</v>
      </c>
      <c r="AY39" s="1033">
        <v>46101</v>
      </c>
      <c r="AZ39" s="1032">
        <v>7</v>
      </c>
      <c r="BA39" s="1033">
        <v>46094</v>
      </c>
      <c r="BB39" s="1032">
        <v>2026</v>
      </c>
      <c r="BC39" s="1032">
        <v>3</v>
      </c>
      <c r="BD39" s="1032">
        <v>11</v>
      </c>
      <c r="BE39" s="1032">
        <v>37</v>
      </c>
      <c r="BF39" s="1032">
        <v>962</v>
      </c>
      <c r="BG39" s="1032" t="s">
        <v>85</v>
      </c>
      <c r="BH39" s="1032" t="s">
        <v>109</v>
      </c>
    </row>
    <row r="40" spans="1:60">
      <c r="A40" s="1032" t="s">
        <v>309</v>
      </c>
      <c r="B40" s="1032" t="s">
        <v>296</v>
      </c>
      <c r="C40" s="1032" t="s">
        <v>297</v>
      </c>
      <c r="D40" s="1032" t="s">
        <v>63</v>
      </c>
      <c r="E40" s="1032" t="s">
        <v>64</v>
      </c>
      <c r="F40" s="1032" t="s">
        <v>310</v>
      </c>
      <c r="G40" s="1032" t="s">
        <v>66</v>
      </c>
      <c r="H40" s="1032" t="s">
        <v>311</v>
      </c>
      <c r="I40" s="1032" t="s">
        <v>68</v>
      </c>
      <c r="J40" s="1032" t="s">
        <v>312</v>
      </c>
      <c r="M40" s="1032" t="s">
        <v>68</v>
      </c>
      <c r="N40" s="1032" t="s">
        <v>68</v>
      </c>
      <c r="O40" s="1032" t="s">
        <v>298</v>
      </c>
      <c r="P40" s="1032" t="s">
        <v>299</v>
      </c>
      <c r="Q40" s="1032" t="s">
        <v>300</v>
      </c>
      <c r="R40" s="1032" t="s">
        <v>73</v>
      </c>
      <c r="S40" s="1032" t="s">
        <v>74</v>
      </c>
      <c r="T40" s="1032">
        <v>480</v>
      </c>
      <c r="U40" s="1032">
        <v>1924</v>
      </c>
      <c r="V40" s="1032">
        <v>0.92400000000000004</v>
      </c>
      <c r="W40" s="1032">
        <v>52</v>
      </c>
      <c r="X40" s="1032">
        <v>2</v>
      </c>
      <c r="Y40" s="1032" t="s">
        <v>75</v>
      </c>
      <c r="Z40" s="1032" t="s">
        <v>75</v>
      </c>
      <c r="AB40" s="1033">
        <v>46034</v>
      </c>
      <c r="AC40" s="1032">
        <v>3</v>
      </c>
      <c r="AD40" s="1032" t="s">
        <v>313</v>
      </c>
      <c r="AF40" s="1032" t="s">
        <v>288</v>
      </c>
      <c r="AG40" s="1032" t="s">
        <v>289</v>
      </c>
      <c r="AH40" s="1032" t="s">
        <v>314</v>
      </c>
      <c r="AI40" s="1033">
        <v>46037</v>
      </c>
      <c r="AJ40" s="1033">
        <v>46037</v>
      </c>
      <c r="AK40" s="1033">
        <v>46038</v>
      </c>
      <c r="AL40" s="1033">
        <v>46078</v>
      </c>
      <c r="AM40" s="1033">
        <v>46078</v>
      </c>
      <c r="AN40" s="1033">
        <v>46078</v>
      </c>
      <c r="AO40" s="1032" t="s">
        <v>66</v>
      </c>
      <c r="AP40" s="1032" t="s">
        <v>247</v>
      </c>
      <c r="AQ40" s="1032" t="s">
        <v>80</v>
      </c>
      <c r="AR40" s="1032" t="s">
        <v>315</v>
      </c>
      <c r="AS40" s="1032" t="s">
        <v>316</v>
      </c>
      <c r="AT40" s="1032" t="s">
        <v>316</v>
      </c>
      <c r="AU40" s="1032">
        <v>40</v>
      </c>
      <c r="AV40" s="1032" t="s">
        <v>83</v>
      </c>
      <c r="AW40" s="1033">
        <v>46078</v>
      </c>
      <c r="AX40" s="1032" t="s">
        <v>84</v>
      </c>
      <c r="AY40" s="1033">
        <v>46092</v>
      </c>
      <c r="AZ40" s="1032">
        <v>13</v>
      </c>
      <c r="BA40" s="1033">
        <v>46091</v>
      </c>
      <c r="BB40" s="1032">
        <v>2026</v>
      </c>
      <c r="BC40" s="1032">
        <v>3</v>
      </c>
      <c r="BD40" s="1032">
        <v>11</v>
      </c>
      <c r="BE40" s="1032">
        <v>37</v>
      </c>
      <c r="BF40" s="1032">
        <v>962</v>
      </c>
      <c r="BG40" s="1032" t="s">
        <v>85</v>
      </c>
      <c r="BH40" s="1032" t="s">
        <v>86</v>
      </c>
    </row>
    <row r="41" spans="1:60">
      <c r="A41" s="1032" t="s">
        <v>317</v>
      </c>
      <c r="B41" s="1032" t="s">
        <v>296</v>
      </c>
      <c r="C41" s="1032" t="s">
        <v>305</v>
      </c>
      <c r="D41" s="1032" t="s">
        <v>63</v>
      </c>
      <c r="E41" s="1032" t="s">
        <v>64</v>
      </c>
      <c r="F41" s="1032" t="s">
        <v>310</v>
      </c>
      <c r="G41" s="1032" t="s">
        <v>66</v>
      </c>
      <c r="H41" s="1032" t="s">
        <v>311</v>
      </c>
      <c r="I41" s="1032" t="s">
        <v>68</v>
      </c>
      <c r="J41" s="1032" t="s">
        <v>312</v>
      </c>
      <c r="M41" s="1032" t="s">
        <v>68</v>
      </c>
      <c r="N41" s="1032" t="s">
        <v>68</v>
      </c>
      <c r="O41" s="1032" t="s">
        <v>298</v>
      </c>
      <c r="P41" s="1032" t="s">
        <v>306</v>
      </c>
      <c r="Q41" s="1032" t="s">
        <v>307</v>
      </c>
      <c r="R41" s="1032" t="s">
        <v>73</v>
      </c>
      <c r="S41" s="1032" t="s">
        <v>74</v>
      </c>
      <c r="T41" s="1032">
        <v>485</v>
      </c>
      <c r="U41" s="1032">
        <v>1924</v>
      </c>
      <c r="V41" s="1032">
        <v>0.93300000000000005</v>
      </c>
      <c r="W41" s="1032">
        <v>52</v>
      </c>
      <c r="X41" s="1032">
        <v>2</v>
      </c>
      <c r="Y41" s="1032" t="s">
        <v>75</v>
      </c>
      <c r="Z41" s="1032" t="s">
        <v>75</v>
      </c>
      <c r="AB41" s="1033">
        <v>46034</v>
      </c>
      <c r="AC41" s="1032">
        <v>3</v>
      </c>
      <c r="AD41" s="1032" t="s">
        <v>318</v>
      </c>
      <c r="AF41" s="1032" t="s">
        <v>288</v>
      </c>
      <c r="AG41" s="1032" t="s">
        <v>289</v>
      </c>
      <c r="AH41" s="1032" t="s">
        <v>314</v>
      </c>
      <c r="AI41" s="1033">
        <v>46037</v>
      </c>
      <c r="AJ41" s="1033">
        <v>46037</v>
      </c>
      <c r="AK41" s="1033">
        <v>46038</v>
      </c>
      <c r="AL41" s="1033">
        <v>46078</v>
      </c>
      <c r="AM41" s="1033">
        <v>46078</v>
      </c>
      <c r="AN41" s="1033">
        <v>46078</v>
      </c>
      <c r="AO41" s="1032" t="s">
        <v>66</v>
      </c>
      <c r="AP41" s="1032" t="s">
        <v>247</v>
      </c>
      <c r="AQ41" s="1032" t="s">
        <v>80</v>
      </c>
      <c r="AR41" s="1032" t="s">
        <v>315</v>
      </c>
      <c r="AS41" s="1032" t="s">
        <v>316</v>
      </c>
      <c r="AT41" s="1032" t="s">
        <v>316</v>
      </c>
      <c r="AU41" s="1032">
        <v>40</v>
      </c>
      <c r="AV41" s="1032" t="s">
        <v>83</v>
      </c>
      <c r="AW41" s="1033">
        <v>46078</v>
      </c>
      <c r="AX41" s="1032" t="s">
        <v>84</v>
      </c>
      <c r="AY41" s="1033">
        <v>46092</v>
      </c>
      <c r="AZ41" s="1032">
        <v>13</v>
      </c>
      <c r="BA41" s="1033">
        <v>46091</v>
      </c>
      <c r="BB41" s="1032">
        <v>2026</v>
      </c>
      <c r="BC41" s="1032">
        <v>3</v>
      </c>
      <c r="BD41" s="1032">
        <v>11</v>
      </c>
      <c r="BE41" s="1032">
        <v>37</v>
      </c>
      <c r="BF41" s="1032">
        <v>962</v>
      </c>
      <c r="BG41" s="1032" t="s">
        <v>85</v>
      </c>
      <c r="BH41" s="1032" t="s">
        <v>86</v>
      </c>
    </row>
    <row r="42" spans="1:60">
      <c r="A42" s="1032" t="s">
        <v>319</v>
      </c>
      <c r="B42" s="1032" t="s">
        <v>296</v>
      </c>
      <c r="C42" s="1032" t="s">
        <v>305</v>
      </c>
      <c r="D42" s="1032" t="s">
        <v>63</v>
      </c>
      <c r="E42" s="1032" t="s">
        <v>64</v>
      </c>
      <c r="F42" s="1032" t="s">
        <v>100</v>
      </c>
      <c r="G42" s="1032" t="s">
        <v>66</v>
      </c>
      <c r="H42" s="1032" t="s">
        <v>67</v>
      </c>
      <c r="I42" s="1032" t="s">
        <v>68</v>
      </c>
      <c r="J42" s="1032" t="s">
        <v>169</v>
      </c>
      <c r="M42" s="1032" t="s">
        <v>68</v>
      </c>
      <c r="N42" s="1032" t="s">
        <v>68</v>
      </c>
      <c r="O42" s="1032" t="s">
        <v>298</v>
      </c>
      <c r="P42" s="1032" t="s">
        <v>306</v>
      </c>
      <c r="Q42" s="1032" t="s">
        <v>307</v>
      </c>
      <c r="R42" s="1032" t="s">
        <v>73</v>
      </c>
      <c r="S42" s="1032" t="s">
        <v>74</v>
      </c>
      <c r="T42" s="1032">
        <v>485</v>
      </c>
      <c r="U42" s="1032">
        <v>962</v>
      </c>
      <c r="V42" s="1032">
        <v>0.46700000000000003</v>
      </c>
      <c r="W42" s="1032">
        <v>26</v>
      </c>
      <c r="X42" s="1032">
        <v>1</v>
      </c>
      <c r="Y42" s="1032" t="s">
        <v>75</v>
      </c>
      <c r="Z42" s="1032" t="s">
        <v>75</v>
      </c>
      <c r="AB42" s="1033">
        <v>46031</v>
      </c>
      <c r="AC42" s="1032">
        <v>2</v>
      </c>
      <c r="AD42" s="1032" t="s">
        <v>320</v>
      </c>
      <c r="AF42" s="1032" t="s">
        <v>288</v>
      </c>
      <c r="AG42" s="1032" t="s">
        <v>289</v>
      </c>
      <c r="AH42" s="1032" t="s">
        <v>105</v>
      </c>
      <c r="AI42" s="1033">
        <v>46041</v>
      </c>
      <c r="AJ42" s="1033">
        <v>46042</v>
      </c>
      <c r="AK42" s="1033">
        <v>46042</v>
      </c>
      <c r="AL42" s="1033">
        <v>46090</v>
      </c>
      <c r="AM42" s="1033">
        <v>46111</v>
      </c>
      <c r="AN42" s="1033">
        <v>46111</v>
      </c>
      <c r="AO42" s="1032" t="s">
        <v>66</v>
      </c>
      <c r="AP42" s="1032" t="s">
        <v>241</v>
      </c>
      <c r="AQ42" s="1032" t="s">
        <v>80</v>
      </c>
      <c r="AR42" s="1032" t="s">
        <v>321</v>
      </c>
      <c r="AS42" s="1032" t="s">
        <v>322</v>
      </c>
      <c r="AT42" s="1032" t="s">
        <v>322</v>
      </c>
      <c r="AU42" s="1032">
        <v>69</v>
      </c>
      <c r="AW42" s="1033">
        <v>46111</v>
      </c>
      <c r="AX42" s="1032" t="s">
        <v>84</v>
      </c>
      <c r="AY42" s="1033">
        <v>46125</v>
      </c>
      <c r="AZ42" s="1032">
        <v>7</v>
      </c>
      <c r="BA42" s="1033">
        <v>46118</v>
      </c>
      <c r="BB42" s="1032">
        <v>2026</v>
      </c>
      <c r="BC42" s="1032">
        <v>4</v>
      </c>
      <c r="BD42" s="1032">
        <v>15</v>
      </c>
      <c r="BE42" s="1032">
        <v>37</v>
      </c>
      <c r="BF42" s="1032">
        <v>962</v>
      </c>
      <c r="BG42" s="1032" t="s">
        <v>85</v>
      </c>
      <c r="BH42" s="1032" t="s">
        <v>109</v>
      </c>
    </row>
    <row r="43" spans="1:60">
      <c r="A43" s="1032" t="s">
        <v>323</v>
      </c>
      <c r="B43" s="1032" t="s">
        <v>296</v>
      </c>
      <c r="C43" s="1032" t="s">
        <v>297</v>
      </c>
      <c r="D43" s="1032" t="s">
        <v>63</v>
      </c>
      <c r="E43" s="1032" t="s">
        <v>64</v>
      </c>
      <c r="F43" s="1032" t="s">
        <v>100</v>
      </c>
      <c r="G43" s="1032" t="s">
        <v>66</v>
      </c>
      <c r="H43" s="1032" t="s">
        <v>67</v>
      </c>
      <c r="I43" s="1032" t="s">
        <v>68</v>
      </c>
      <c r="J43" s="1032" t="s">
        <v>169</v>
      </c>
      <c r="M43" s="1032" t="s">
        <v>68</v>
      </c>
      <c r="N43" s="1032" t="s">
        <v>68</v>
      </c>
      <c r="O43" s="1032" t="s">
        <v>298</v>
      </c>
      <c r="P43" s="1032" t="s">
        <v>299</v>
      </c>
      <c r="Q43" s="1032" t="s">
        <v>300</v>
      </c>
      <c r="R43" s="1032" t="s">
        <v>73</v>
      </c>
      <c r="S43" s="1032" t="s">
        <v>74</v>
      </c>
      <c r="T43" s="1032">
        <v>480</v>
      </c>
      <c r="U43" s="1032">
        <v>962</v>
      </c>
      <c r="V43" s="1032">
        <v>0.46200000000000002</v>
      </c>
      <c r="W43" s="1032">
        <v>26</v>
      </c>
      <c r="X43" s="1032">
        <v>1</v>
      </c>
      <c r="Y43" s="1032" t="s">
        <v>75</v>
      </c>
      <c r="Z43" s="1032" t="s">
        <v>75</v>
      </c>
      <c r="AB43" s="1033">
        <v>46031</v>
      </c>
      <c r="AC43" s="1032">
        <v>2</v>
      </c>
      <c r="AD43" s="1032" t="s">
        <v>324</v>
      </c>
      <c r="AF43" s="1032" t="s">
        <v>288</v>
      </c>
      <c r="AG43" s="1032" t="s">
        <v>289</v>
      </c>
      <c r="AH43" s="1032" t="s">
        <v>105</v>
      </c>
      <c r="AI43" s="1033">
        <v>46041</v>
      </c>
      <c r="AJ43" s="1033">
        <v>46042</v>
      </c>
      <c r="AK43" s="1033">
        <v>46042</v>
      </c>
      <c r="AL43" s="1033">
        <v>46090</v>
      </c>
      <c r="AM43" s="1033">
        <v>46111</v>
      </c>
      <c r="AN43" s="1033">
        <v>46111</v>
      </c>
      <c r="AO43" s="1032" t="s">
        <v>66</v>
      </c>
      <c r="AP43" s="1032" t="s">
        <v>241</v>
      </c>
      <c r="AQ43" s="1032" t="s">
        <v>80</v>
      </c>
      <c r="AR43" s="1032" t="s">
        <v>321</v>
      </c>
      <c r="AS43" s="1032" t="s">
        <v>322</v>
      </c>
      <c r="AT43" s="1032" t="s">
        <v>322</v>
      </c>
      <c r="AU43" s="1032">
        <v>69</v>
      </c>
      <c r="AW43" s="1033">
        <v>46111</v>
      </c>
      <c r="AX43" s="1032" t="s">
        <v>84</v>
      </c>
      <c r="AY43" s="1033">
        <v>46125</v>
      </c>
      <c r="AZ43" s="1032">
        <v>7</v>
      </c>
      <c r="BA43" s="1033">
        <v>46118</v>
      </c>
      <c r="BB43" s="1032">
        <v>2026</v>
      </c>
      <c r="BC43" s="1032">
        <v>4</v>
      </c>
      <c r="BD43" s="1032">
        <v>15</v>
      </c>
      <c r="BE43" s="1032">
        <v>37</v>
      </c>
      <c r="BF43" s="1032">
        <v>962</v>
      </c>
      <c r="BG43" s="1032" t="s">
        <v>85</v>
      </c>
      <c r="BH43" s="1032" t="s">
        <v>109</v>
      </c>
    </row>
    <row r="44" spans="1:60">
      <c r="A44" s="1032" t="s">
        <v>325</v>
      </c>
      <c r="B44" s="1032" t="s">
        <v>61</v>
      </c>
      <c r="C44" s="1032" t="s">
        <v>326</v>
      </c>
      <c r="D44" s="1032" t="s">
        <v>113</v>
      </c>
      <c r="E44" s="1032" t="s">
        <v>64</v>
      </c>
      <c r="F44" s="1032" t="s">
        <v>100</v>
      </c>
      <c r="G44" s="1032" t="s">
        <v>66</v>
      </c>
      <c r="H44" s="1032" t="s">
        <v>67</v>
      </c>
      <c r="I44" s="1032" t="s">
        <v>68</v>
      </c>
      <c r="J44" s="1032" t="s">
        <v>327</v>
      </c>
      <c r="K44" s="1032" t="s">
        <v>328</v>
      </c>
      <c r="M44" s="1032" t="s">
        <v>68</v>
      </c>
      <c r="N44" s="1032" t="s">
        <v>68</v>
      </c>
      <c r="O44" s="1032" t="s">
        <v>70</v>
      </c>
      <c r="P44" s="1032" t="s">
        <v>329</v>
      </c>
      <c r="Q44" s="1032" t="s">
        <v>330</v>
      </c>
      <c r="R44" s="1032" t="s">
        <v>331</v>
      </c>
      <c r="S44" s="1032" t="s">
        <v>120</v>
      </c>
      <c r="T44" s="1032">
        <v>625</v>
      </c>
      <c r="U44" s="1032">
        <v>7200</v>
      </c>
      <c r="V44" s="1032">
        <v>4.5</v>
      </c>
      <c r="W44" s="1032">
        <v>200</v>
      </c>
      <c r="X44" s="1032">
        <v>10</v>
      </c>
      <c r="Y44" s="1032" t="s">
        <v>75</v>
      </c>
      <c r="Z44" s="1032" t="s">
        <v>75</v>
      </c>
      <c r="AB44" s="1033">
        <v>46030</v>
      </c>
      <c r="AC44" s="1032">
        <v>2</v>
      </c>
      <c r="AD44" s="1032" t="s">
        <v>332</v>
      </c>
      <c r="AF44" s="1032" t="s">
        <v>77</v>
      </c>
      <c r="AG44" s="1032" t="s">
        <v>61</v>
      </c>
      <c r="AH44" s="1032" t="s">
        <v>105</v>
      </c>
      <c r="AI44" s="1033">
        <v>46036</v>
      </c>
      <c r="AJ44" s="1033">
        <v>46038</v>
      </c>
      <c r="AK44" s="1033">
        <v>46038</v>
      </c>
      <c r="AL44" s="1033">
        <v>46077</v>
      </c>
      <c r="AM44" s="1033">
        <v>46094</v>
      </c>
      <c r="AN44" s="1033">
        <v>46094</v>
      </c>
      <c r="AO44" s="1032" t="s">
        <v>66</v>
      </c>
      <c r="AP44" s="1032" t="s">
        <v>333</v>
      </c>
      <c r="AQ44" s="1032" t="s">
        <v>161</v>
      </c>
      <c r="AR44" s="1032" t="s">
        <v>334</v>
      </c>
      <c r="AS44" s="1032" t="s">
        <v>335</v>
      </c>
      <c r="AT44" s="1032" t="s">
        <v>335</v>
      </c>
      <c r="AU44" s="1032">
        <v>56</v>
      </c>
      <c r="AW44" s="1033">
        <v>46094</v>
      </c>
      <c r="AX44" s="1032" t="s">
        <v>84</v>
      </c>
      <c r="AY44" s="1033">
        <v>46104</v>
      </c>
      <c r="AZ44" s="1032">
        <v>7</v>
      </c>
      <c r="BA44" s="1033">
        <v>46101</v>
      </c>
      <c r="BB44" s="1032">
        <v>2026</v>
      </c>
      <c r="BC44" s="1032">
        <v>3</v>
      </c>
      <c r="BD44" s="1032">
        <v>12</v>
      </c>
      <c r="BE44" s="1032">
        <v>36</v>
      </c>
      <c r="BF44" s="1032">
        <v>720</v>
      </c>
      <c r="BG44" s="1032" t="s">
        <v>128</v>
      </c>
      <c r="BH44" s="1032" t="s">
        <v>109</v>
      </c>
    </row>
    <row r="45" spans="1:60">
      <c r="A45" s="1032" t="s">
        <v>336</v>
      </c>
      <c r="B45" s="1032" t="s">
        <v>61</v>
      </c>
      <c r="C45" s="1032" t="s">
        <v>193</v>
      </c>
      <c r="D45" s="1032" t="s">
        <v>63</v>
      </c>
      <c r="E45" s="1032" t="s">
        <v>64</v>
      </c>
      <c r="F45" s="1032" t="s">
        <v>100</v>
      </c>
      <c r="G45" s="1032" t="s">
        <v>66</v>
      </c>
      <c r="H45" s="1032" t="s">
        <v>67</v>
      </c>
      <c r="I45" s="1032" t="s">
        <v>68</v>
      </c>
      <c r="J45" s="1032" t="s">
        <v>283</v>
      </c>
      <c r="M45" s="1032" t="s">
        <v>68</v>
      </c>
      <c r="N45" s="1032" t="s">
        <v>68</v>
      </c>
      <c r="O45" s="1032" t="s">
        <v>70</v>
      </c>
      <c r="P45" s="1032" t="s">
        <v>195</v>
      </c>
      <c r="Q45" s="1032" t="s">
        <v>196</v>
      </c>
      <c r="R45" s="1032" t="s">
        <v>73</v>
      </c>
      <c r="S45" s="1032" t="s">
        <v>74</v>
      </c>
      <c r="T45" s="1032">
        <v>450</v>
      </c>
      <c r="U45" s="1032">
        <v>936</v>
      </c>
      <c r="V45" s="1032">
        <v>0.42099999999999999</v>
      </c>
      <c r="W45" s="1032">
        <v>26</v>
      </c>
      <c r="X45" s="1032">
        <v>1</v>
      </c>
      <c r="Y45" s="1032" t="s">
        <v>75</v>
      </c>
      <c r="Z45" s="1032" t="s">
        <v>75</v>
      </c>
      <c r="AB45" s="1033">
        <v>46030</v>
      </c>
      <c r="AC45" s="1032">
        <v>2</v>
      </c>
      <c r="AD45" s="1032" t="s">
        <v>337</v>
      </c>
      <c r="AF45" s="1032" t="s">
        <v>77</v>
      </c>
      <c r="AG45" s="1032" t="s">
        <v>61</v>
      </c>
      <c r="AH45" s="1032" t="s">
        <v>105</v>
      </c>
      <c r="AI45" s="1033">
        <v>46036</v>
      </c>
      <c r="AJ45" s="1033">
        <v>46038</v>
      </c>
      <c r="AK45" s="1033">
        <v>46038</v>
      </c>
      <c r="AL45" s="1033">
        <v>46077</v>
      </c>
      <c r="AM45" s="1033">
        <v>46094</v>
      </c>
      <c r="AN45" s="1033">
        <v>46094</v>
      </c>
      <c r="AO45" s="1032" t="s">
        <v>66</v>
      </c>
      <c r="AP45" s="1032" t="s">
        <v>338</v>
      </c>
      <c r="AQ45" s="1032" t="s">
        <v>80</v>
      </c>
      <c r="AR45" s="1032" t="s">
        <v>339</v>
      </c>
      <c r="AS45" s="1032" t="s">
        <v>340</v>
      </c>
      <c r="AT45" s="1032" t="s">
        <v>340</v>
      </c>
      <c r="AU45" s="1032">
        <v>56</v>
      </c>
      <c r="AW45" s="1033">
        <v>46094</v>
      </c>
      <c r="AX45" s="1032" t="s">
        <v>84</v>
      </c>
      <c r="AY45" s="1033">
        <v>46107</v>
      </c>
      <c r="AZ45" s="1032">
        <v>7</v>
      </c>
      <c r="BA45" s="1033">
        <v>46101</v>
      </c>
      <c r="BB45" s="1032">
        <v>2026</v>
      </c>
      <c r="BC45" s="1032">
        <v>3</v>
      </c>
      <c r="BD45" s="1032">
        <v>12</v>
      </c>
      <c r="BE45" s="1032">
        <v>36</v>
      </c>
      <c r="BF45" s="1032">
        <v>936</v>
      </c>
      <c r="BG45" s="1032" t="s">
        <v>85</v>
      </c>
      <c r="BH45" s="1032" t="s">
        <v>109</v>
      </c>
    </row>
    <row r="46" spans="1:60">
      <c r="A46" s="1032" t="s">
        <v>341</v>
      </c>
      <c r="B46" s="1032" t="s">
        <v>61</v>
      </c>
      <c r="C46" s="1032" t="s">
        <v>326</v>
      </c>
      <c r="D46" s="1032" t="s">
        <v>113</v>
      </c>
      <c r="E46" s="1032" t="s">
        <v>64</v>
      </c>
      <c r="F46" s="1032" t="s">
        <v>100</v>
      </c>
      <c r="G46" s="1032" t="s">
        <v>66</v>
      </c>
      <c r="H46" s="1032" t="s">
        <v>67</v>
      </c>
      <c r="I46" s="1032" t="s">
        <v>68</v>
      </c>
      <c r="J46" s="1032" t="s">
        <v>327</v>
      </c>
      <c r="K46" s="1032" t="s">
        <v>328</v>
      </c>
      <c r="M46" s="1032" t="s">
        <v>68</v>
      </c>
      <c r="N46" s="1032" t="s">
        <v>68</v>
      </c>
      <c r="O46" s="1032" t="s">
        <v>70</v>
      </c>
      <c r="P46" s="1032" t="s">
        <v>329</v>
      </c>
      <c r="Q46" s="1032" t="s">
        <v>330</v>
      </c>
      <c r="R46" s="1032" t="s">
        <v>331</v>
      </c>
      <c r="S46" s="1032" t="s">
        <v>120</v>
      </c>
      <c r="T46" s="1032">
        <v>625</v>
      </c>
      <c r="U46" s="1032">
        <v>7200</v>
      </c>
      <c r="V46" s="1032">
        <v>4.5</v>
      </c>
      <c r="W46" s="1032">
        <v>200</v>
      </c>
      <c r="X46" s="1032">
        <v>10</v>
      </c>
      <c r="Y46" s="1032" t="s">
        <v>75</v>
      </c>
      <c r="Z46" s="1032" t="s">
        <v>75</v>
      </c>
      <c r="AB46" s="1033">
        <v>46026</v>
      </c>
      <c r="AC46" s="1032">
        <v>1</v>
      </c>
      <c r="AD46" s="1032" t="s">
        <v>342</v>
      </c>
      <c r="AF46" s="1032" t="s">
        <v>77</v>
      </c>
      <c r="AG46" s="1032" t="s">
        <v>61</v>
      </c>
      <c r="AH46" s="1032" t="s">
        <v>105</v>
      </c>
      <c r="AI46" s="1033">
        <v>46036</v>
      </c>
      <c r="AJ46" s="1033">
        <v>46038</v>
      </c>
      <c r="AK46" s="1033">
        <v>46038</v>
      </c>
      <c r="AL46" s="1033">
        <v>46077</v>
      </c>
      <c r="AM46" s="1033">
        <v>46094</v>
      </c>
      <c r="AN46" s="1033">
        <v>46094</v>
      </c>
      <c r="AO46" s="1032" t="s">
        <v>66</v>
      </c>
      <c r="AP46" s="1032" t="s">
        <v>333</v>
      </c>
      <c r="AQ46" s="1032" t="s">
        <v>161</v>
      </c>
      <c r="AR46" s="1032" t="s">
        <v>343</v>
      </c>
      <c r="AS46" s="1032" t="s">
        <v>344</v>
      </c>
      <c r="AT46" s="1032" t="s">
        <v>344</v>
      </c>
      <c r="AU46" s="1032">
        <v>56</v>
      </c>
      <c r="AW46" s="1033">
        <v>46094</v>
      </c>
      <c r="AX46" s="1032" t="s">
        <v>84</v>
      </c>
      <c r="AY46" s="1033">
        <v>46107</v>
      </c>
      <c r="AZ46" s="1032">
        <v>7</v>
      </c>
      <c r="BA46" s="1033">
        <v>46101</v>
      </c>
      <c r="BB46" s="1032">
        <v>2026</v>
      </c>
      <c r="BC46" s="1032">
        <v>3</v>
      </c>
      <c r="BD46" s="1032">
        <v>12</v>
      </c>
      <c r="BE46" s="1032">
        <v>36</v>
      </c>
      <c r="BF46" s="1032">
        <v>720</v>
      </c>
      <c r="BG46" s="1032" t="s">
        <v>128</v>
      </c>
      <c r="BH46" s="1032" t="s">
        <v>109</v>
      </c>
    </row>
    <row r="47" spans="1:60">
      <c r="A47" s="1032" t="s">
        <v>345</v>
      </c>
      <c r="B47" s="1032" t="s">
        <v>61</v>
      </c>
      <c r="C47" s="1032" t="s">
        <v>62</v>
      </c>
      <c r="D47" s="1032" t="s">
        <v>63</v>
      </c>
      <c r="E47" s="1032" t="s">
        <v>144</v>
      </c>
      <c r="F47" s="1032" t="s">
        <v>145</v>
      </c>
      <c r="G47" s="1032" t="s">
        <v>146</v>
      </c>
      <c r="H47" s="1032" t="s">
        <v>147</v>
      </c>
      <c r="I47" s="1032" t="s">
        <v>68</v>
      </c>
      <c r="J47" s="1032" t="s">
        <v>147</v>
      </c>
      <c r="K47" s="1032" t="s">
        <v>346</v>
      </c>
      <c r="M47" s="1032" t="s">
        <v>68</v>
      </c>
      <c r="N47" s="1032" t="s">
        <v>68</v>
      </c>
      <c r="O47" s="1032" t="s">
        <v>70</v>
      </c>
      <c r="P47" s="1032" t="s">
        <v>71</v>
      </c>
      <c r="Q47" s="1032" t="s">
        <v>72</v>
      </c>
      <c r="R47" s="1032" t="s">
        <v>73</v>
      </c>
      <c r="S47" s="1032" t="s">
        <v>74</v>
      </c>
      <c r="T47" s="1032">
        <v>500</v>
      </c>
      <c r="U47" s="1032">
        <v>864</v>
      </c>
      <c r="V47" s="1032">
        <v>0.432</v>
      </c>
      <c r="W47" s="1032">
        <v>24</v>
      </c>
      <c r="X47" s="1032">
        <v>1</v>
      </c>
      <c r="Y47" s="1032" t="s">
        <v>75</v>
      </c>
      <c r="Z47" s="1032" t="s">
        <v>75</v>
      </c>
      <c r="AB47" s="1033">
        <v>46027</v>
      </c>
      <c r="AC47" s="1032">
        <v>2</v>
      </c>
      <c r="AD47" s="1032" t="s">
        <v>347</v>
      </c>
      <c r="AF47" s="1032" t="s">
        <v>77</v>
      </c>
      <c r="AG47" s="1032" t="s">
        <v>61</v>
      </c>
      <c r="AH47" s="1032" t="s">
        <v>78</v>
      </c>
      <c r="AI47" s="1033">
        <v>46032</v>
      </c>
      <c r="AJ47" s="1033">
        <v>46034</v>
      </c>
      <c r="AK47" s="1033">
        <v>46034</v>
      </c>
      <c r="AL47" s="1033">
        <v>46091</v>
      </c>
      <c r="AM47" s="1033">
        <v>46095</v>
      </c>
      <c r="AN47" s="1033">
        <v>46096</v>
      </c>
      <c r="AO47" s="1032" t="s">
        <v>146</v>
      </c>
      <c r="AP47" s="1032" t="s">
        <v>348</v>
      </c>
      <c r="AQ47" s="1032" t="s">
        <v>80</v>
      </c>
      <c r="AR47" s="1032" t="s">
        <v>349</v>
      </c>
      <c r="AS47" s="1032" t="s">
        <v>350</v>
      </c>
      <c r="AT47" s="1032" t="s">
        <v>350</v>
      </c>
      <c r="AU47" s="1032">
        <v>62</v>
      </c>
      <c r="AW47" s="1033">
        <v>46096</v>
      </c>
      <c r="AX47" s="1032" t="s">
        <v>84</v>
      </c>
      <c r="AY47" s="1033">
        <v>46105</v>
      </c>
      <c r="AZ47" s="1032" t="s">
        <v>152</v>
      </c>
      <c r="BA47" s="1033">
        <v>46096</v>
      </c>
      <c r="BB47" s="1032">
        <v>2026</v>
      </c>
      <c r="BC47" s="1032">
        <v>3</v>
      </c>
      <c r="BD47" s="1032">
        <v>11</v>
      </c>
      <c r="BE47" s="1032">
        <v>36</v>
      </c>
      <c r="BF47" s="1032">
        <v>864</v>
      </c>
      <c r="BG47" s="1032" t="s">
        <v>85</v>
      </c>
      <c r="BH47" s="1032" t="s">
        <v>86</v>
      </c>
    </row>
    <row r="48" spans="1:60">
      <c r="A48" s="1032" t="s">
        <v>351</v>
      </c>
      <c r="B48" s="1032" t="s">
        <v>111</v>
      </c>
      <c r="C48" s="1032" t="s">
        <v>352</v>
      </c>
      <c r="D48" s="1032" t="s">
        <v>113</v>
      </c>
      <c r="E48" s="1032" t="s">
        <v>64</v>
      </c>
      <c r="F48" s="1032" t="s">
        <v>65</v>
      </c>
      <c r="G48" s="1032" t="s">
        <v>66</v>
      </c>
      <c r="H48" s="1032" t="s">
        <v>67</v>
      </c>
      <c r="I48" s="1032" t="s">
        <v>68</v>
      </c>
      <c r="J48" s="1032" t="s">
        <v>353</v>
      </c>
      <c r="K48" s="1032" t="s">
        <v>354</v>
      </c>
      <c r="M48" s="1032" t="s">
        <v>68</v>
      </c>
      <c r="N48" s="1032" t="s">
        <v>68</v>
      </c>
      <c r="O48" s="1032" t="s">
        <v>70</v>
      </c>
      <c r="P48" s="1032" t="s">
        <v>218</v>
      </c>
      <c r="Q48" s="1032" t="s">
        <v>219</v>
      </c>
      <c r="R48" s="1032" t="s">
        <v>73</v>
      </c>
      <c r="S48" s="1032" t="s">
        <v>120</v>
      </c>
      <c r="T48" s="1032">
        <v>625</v>
      </c>
      <c r="U48" s="1032">
        <v>2880</v>
      </c>
      <c r="V48" s="1032">
        <v>1.8</v>
      </c>
      <c r="W48" s="1032">
        <v>80</v>
      </c>
      <c r="X48" s="1032">
        <v>4</v>
      </c>
      <c r="Y48" s="1032" t="s">
        <v>75</v>
      </c>
      <c r="Z48" s="1032" t="s">
        <v>75</v>
      </c>
      <c r="AB48" s="1033">
        <v>46035</v>
      </c>
      <c r="AC48" s="1032">
        <v>3</v>
      </c>
      <c r="AD48" s="1032" t="s">
        <v>355</v>
      </c>
      <c r="AF48" s="1032" t="s">
        <v>122</v>
      </c>
      <c r="AG48" s="1032" t="s">
        <v>123</v>
      </c>
      <c r="AH48" s="1032" t="s">
        <v>356</v>
      </c>
      <c r="AI48" s="1033">
        <v>46040</v>
      </c>
      <c r="AJ48" s="1033">
        <v>46045</v>
      </c>
      <c r="AK48" s="1033">
        <v>46043</v>
      </c>
      <c r="AL48" s="1033">
        <v>46077</v>
      </c>
      <c r="AM48" s="1033">
        <v>46077</v>
      </c>
      <c r="AN48" s="1033">
        <v>46079</v>
      </c>
      <c r="AO48" s="1032" t="s">
        <v>66</v>
      </c>
      <c r="AP48" s="1032" t="s">
        <v>357</v>
      </c>
      <c r="AQ48" s="1032" t="s">
        <v>161</v>
      </c>
      <c r="AR48" s="1032" t="s">
        <v>358</v>
      </c>
      <c r="AS48" s="1032" t="s">
        <v>359</v>
      </c>
      <c r="AT48" s="1032" t="s">
        <v>359</v>
      </c>
      <c r="AU48" s="1032">
        <v>36</v>
      </c>
      <c r="AW48" s="1033">
        <v>46079</v>
      </c>
      <c r="AX48" s="1032" t="s">
        <v>84</v>
      </c>
      <c r="AY48" s="1033">
        <v>46091</v>
      </c>
      <c r="AZ48" s="1032">
        <v>8</v>
      </c>
      <c r="BA48" s="1033">
        <v>46087</v>
      </c>
      <c r="BB48" s="1032">
        <v>2026</v>
      </c>
      <c r="BC48" s="1032">
        <v>3</v>
      </c>
      <c r="BD48" s="1032">
        <v>10</v>
      </c>
      <c r="BE48" s="1032">
        <v>36</v>
      </c>
      <c r="BF48" s="1032">
        <v>720</v>
      </c>
      <c r="BG48" s="1032" t="s">
        <v>128</v>
      </c>
      <c r="BH48" s="1032" t="s">
        <v>109</v>
      </c>
    </row>
    <row r="49" spans="1:60">
      <c r="A49" s="1032" t="s">
        <v>360</v>
      </c>
      <c r="B49" s="1032" t="s">
        <v>111</v>
      </c>
      <c r="C49" s="1032" t="s">
        <v>215</v>
      </c>
      <c r="D49" s="1032" t="s">
        <v>113</v>
      </c>
      <c r="E49" s="1032" t="s">
        <v>64</v>
      </c>
      <c r="F49" s="1032" t="s">
        <v>65</v>
      </c>
      <c r="G49" s="1032" t="s">
        <v>66</v>
      </c>
      <c r="H49" s="1032" t="s">
        <v>67</v>
      </c>
      <c r="I49" s="1032" t="s">
        <v>68</v>
      </c>
      <c r="J49" s="1032" t="s">
        <v>353</v>
      </c>
      <c r="K49" s="1032" t="s">
        <v>354</v>
      </c>
      <c r="M49" s="1032" t="s">
        <v>68</v>
      </c>
      <c r="N49" s="1032" t="s">
        <v>68</v>
      </c>
      <c r="O49" s="1032" t="s">
        <v>70</v>
      </c>
      <c r="P49" s="1032" t="s">
        <v>218</v>
      </c>
      <c r="Q49" s="1032" t="s">
        <v>219</v>
      </c>
      <c r="R49" s="1032" t="s">
        <v>73</v>
      </c>
      <c r="S49" s="1032" t="s">
        <v>120</v>
      </c>
      <c r="T49" s="1032">
        <v>625</v>
      </c>
      <c r="U49" s="1032">
        <v>1440</v>
      </c>
      <c r="V49" s="1032">
        <v>0.9</v>
      </c>
      <c r="W49" s="1032">
        <v>40</v>
      </c>
      <c r="X49" s="1032">
        <v>2</v>
      </c>
      <c r="Y49" s="1032" t="s">
        <v>75</v>
      </c>
      <c r="Z49" s="1032" t="s">
        <v>75</v>
      </c>
      <c r="AB49" s="1033">
        <v>46035</v>
      </c>
      <c r="AC49" s="1032">
        <v>3</v>
      </c>
      <c r="AD49" s="1032" t="s">
        <v>361</v>
      </c>
      <c r="AF49" s="1032" t="s">
        <v>122</v>
      </c>
      <c r="AG49" s="1032" t="s">
        <v>123</v>
      </c>
      <c r="AH49" s="1032" t="s">
        <v>356</v>
      </c>
      <c r="AI49" s="1033">
        <v>46040</v>
      </c>
      <c r="AJ49" s="1033">
        <v>46045</v>
      </c>
      <c r="AK49" s="1033">
        <v>46043</v>
      </c>
      <c r="AL49" s="1033">
        <v>46077</v>
      </c>
      <c r="AM49" s="1033">
        <v>46077</v>
      </c>
      <c r="AN49" s="1033">
        <v>46079</v>
      </c>
      <c r="AO49" s="1032" t="s">
        <v>66</v>
      </c>
      <c r="AP49" s="1032" t="s">
        <v>357</v>
      </c>
      <c r="AQ49" s="1032" t="s">
        <v>161</v>
      </c>
      <c r="AR49" s="1032" t="s">
        <v>358</v>
      </c>
      <c r="AS49" s="1032" t="s">
        <v>359</v>
      </c>
      <c r="AT49" s="1032" t="s">
        <v>359</v>
      </c>
      <c r="AU49" s="1032">
        <v>36</v>
      </c>
      <c r="AW49" s="1033">
        <v>46079</v>
      </c>
      <c r="AX49" s="1032" t="s">
        <v>84</v>
      </c>
      <c r="AY49" s="1033">
        <v>46091</v>
      </c>
      <c r="AZ49" s="1032">
        <v>8</v>
      </c>
      <c r="BA49" s="1033">
        <v>46087</v>
      </c>
      <c r="BB49" s="1032">
        <v>2026</v>
      </c>
      <c r="BC49" s="1032">
        <v>3</v>
      </c>
      <c r="BD49" s="1032">
        <v>10</v>
      </c>
      <c r="BE49" s="1032">
        <v>36</v>
      </c>
      <c r="BF49" s="1032">
        <v>720</v>
      </c>
      <c r="BG49" s="1032" t="s">
        <v>128</v>
      </c>
      <c r="BH49" s="1032" t="s">
        <v>109</v>
      </c>
    </row>
    <row r="50" spans="1:60">
      <c r="A50" s="1032" t="s">
        <v>362</v>
      </c>
      <c r="B50" s="1032" t="s">
        <v>111</v>
      </c>
      <c r="C50" s="1032" t="s">
        <v>215</v>
      </c>
      <c r="D50" s="1032" t="s">
        <v>113</v>
      </c>
      <c r="E50" s="1032" t="s">
        <v>64</v>
      </c>
      <c r="F50" s="1032" t="s">
        <v>65</v>
      </c>
      <c r="G50" s="1032" t="s">
        <v>66</v>
      </c>
      <c r="H50" s="1032" t="s">
        <v>67</v>
      </c>
      <c r="I50" s="1032" t="s">
        <v>68</v>
      </c>
      <c r="J50" s="1032" t="s">
        <v>363</v>
      </c>
      <c r="K50" s="1032" t="s">
        <v>364</v>
      </c>
      <c r="M50" s="1032" t="s">
        <v>68</v>
      </c>
      <c r="N50" s="1032" t="s">
        <v>68</v>
      </c>
      <c r="O50" s="1032" t="s">
        <v>70</v>
      </c>
      <c r="P50" s="1032" t="s">
        <v>218</v>
      </c>
      <c r="Q50" s="1032" t="s">
        <v>219</v>
      </c>
      <c r="R50" s="1032" t="s">
        <v>73</v>
      </c>
      <c r="S50" s="1032" t="s">
        <v>120</v>
      </c>
      <c r="T50" s="1032">
        <v>625</v>
      </c>
      <c r="U50" s="1032">
        <v>2880</v>
      </c>
      <c r="V50" s="1032">
        <v>1.8</v>
      </c>
      <c r="W50" s="1032">
        <v>80</v>
      </c>
      <c r="X50" s="1032">
        <v>4</v>
      </c>
      <c r="Y50" s="1032" t="s">
        <v>75</v>
      </c>
      <c r="Z50" s="1032" t="s">
        <v>75</v>
      </c>
      <c r="AB50" s="1033">
        <v>46035</v>
      </c>
      <c r="AC50" s="1032">
        <v>3</v>
      </c>
      <c r="AD50" s="1032" t="s">
        <v>365</v>
      </c>
      <c r="AF50" s="1032" t="s">
        <v>122</v>
      </c>
      <c r="AG50" s="1032" t="s">
        <v>123</v>
      </c>
      <c r="AH50" s="1032" t="s">
        <v>356</v>
      </c>
      <c r="AI50" s="1033">
        <v>46040</v>
      </c>
      <c r="AJ50" s="1033">
        <v>46045</v>
      </c>
      <c r="AK50" s="1033">
        <v>46043</v>
      </c>
      <c r="AL50" s="1033">
        <v>46077</v>
      </c>
      <c r="AM50" s="1033">
        <v>46077</v>
      </c>
      <c r="AN50" s="1033">
        <v>46079</v>
      </c>
      <c r="AO50" s="1032" t="s">
        <v>66</v>
      </c>
      <c r="AP50" s="1032" t="s">
        <v>357</v>
      </c>
      <c r="AQ50" s="1032" t="s">
        <v>161</v>
      </c>
      <c r="AR50" s="1032" t="s">
        <v>358</v>
      </c>
      <c r="AS50" s="1032" t="s">
        <v>359</v>
      </c>
      <c r="AT50" s="1032" t="s">
        <v>359</v>
      </c>
      <c r="AU50" s="1032">
        <v>36</v>
      </c>
      <c r="AW50" s="1033">
        <v>46079</v>
      </c>
      <c r="AX50" s="1032" t="s">
        <v>84</v>
      </c>
      <c r="AY50" s="1033">
        <v>46091</v>
      </c>
      <c r="AZ50" s="1032">
        <v>8</v>
      </c>
      <c r="BA50" s="1033">
        <v>46087</v>
      </c>
      <c r="BB50" s="1032">
        <v>2026</v>
      </c>
      <c r="BC50" s="1032">
        <v>3</v>
      </c>
      <c r="BD50" s="1032">
        <v>10</v>
      </c>
      <c r="BE50" s="1032">
        <v>36</v>
      </c>
      <c r="BF50" s="1032">
        <v>720</v>
      </c>
      <c r="BG50" s="1032" t="s">
        <v>128</v>
      </c>
      <c r="BH50" s="1032" t="s">
        <v>109</v>
      </c>
    </row>
    <row r="51" spans="1:60">
      <c r="A51" s="1032" t="s">
        <v>366</v>
      </c>
      <c r="B51" s="1032" t="s">
        <v>111</v>
      </c>
      <c r="C51" s="1032" t="s">
        <v>215</v>
      </c>
      <c r="D51" s="1032" t="s">
        <v>113</v>
      </c>
      <c r="E51" s="1032" t="s">
        <v>64</v>
      </c>
      <c r="F51" s="1032" t="s">
        <v>65</v>
      </c>
      <c r="G51" s="1032" t="s">
        <v>66</v>
      </c>
      <c r="H51" s="1032" t="s">
        <v>67</v>
      </c>
      <c r="I51" s="1032" t="s">
        <v>68</v>
      </c>
      <c r="J51" s="1032" t="s">
        <v>363</v>
      </c>
      <c r="K51" s="1032" t="s">
        <v>364</v>
      </c>
      <c r="M51" s="1032" t="s">
        <v>68</v>
      </c>
      <c r="N51" s="1032" t="s">
        <v>68</v>
      </c>
      <c r="O51" s="1032" t="s">
        <v>70</v>
      </c>
      <c r="P51" s="1032" t="s">
        <v>218</v>
      </c>
      <c r="Q51" s="1032" t="s">
        <v>219</v>
      </c>
      <c r="R51" s="1032" t="s">
        <v>73</v>
      </c>
      <c r="S51" s="1032" t="s">
        <v>120</v>
      </c>
      <c r="T51" s="1032">
        <v>625</v>
      </c>
      <c r="U51" s="1032">
        <v>1440</v>
      </c>
      <c r="V51" s="1032">
        <v>0.9</v>
      </c>
      <c r="W51" s="1032">
        <v>40</v>
      </c>
      <c r="X51" s="1032">
        <v>2</v>
      </c>
      <c r="Y51" s="1032" t="s">
        <v>75</v>
      </c>
      <c r="Z51" s="1032" t="s">
        <v>75</v>
      </c>
      <c r="AB51" s="1033">
        <v>46035</v>
      </c>
      <c r="AC51" s="1032">
        <v>3</v>
      </c>
      <c r="AD51" s="1032" t="s">
        <v>367</v>
      </c>
      <c r="AF51" s="1032" t="s">
        <v>122</v>
      </c>
      <c r="AG51" s="1032" t="s">
        <v>123</v>
      </c>
      <c r="AH51" s="1032" t="s">
        <v>356</v>
      </c>
      <c r="AI51" s="1033">
        <v>46040</v>
      </c>
      <c r="AJ51" s="1033">
        <v>46045</v>
      </c>
      <c r="AK51" s="1033">
        <v>46043</v>
      </c>
      <c r="AL51" s="1033">
        <v>46077</v>
      </c>
      <c r="AM51" s="1033">
        <v>46077</v>
      </c>
      <c r="AN51" s="1033">
        <v>46079</v>
      </c>
      <c r="AO51" s="1032" t="s">
        <v>66</v>
      </c>
      <c r="AP51" s="1032" t="s">
        <v>357</v>
      </c>
      <c r="AQ51" s="1032" t="s">
        <v>161</v>
      </c>
      <c r="AR51" s="1032" t="s">
        <v>358</v>
      </c>
      <c r="AS51" s="1032" t="s">
        <v>359</v>
      </c>
      <c r="AT51" s="1032" t="s">
        <v>359</v>
      </c>
      <c r="AU51" s="1032">
        <v>36</v>
      </c>
      <c r="AW51" s="1033">
        <v>46079</v>
      </c>
      <c r="AX51" s="1032" t="s">
        <v>84</v>
      </c>
      <c r="AY51" s="1033">
        <v>46091</v>
      </c>
      <c r="AZ51" s="1032">
        <v>8</v>
      </c>
      <c r="BA51" s="1033">
        <v>46087</v>
      </c>
      <c r="BB51" s="1032">
        <v>2026</v>
      </c>
      <c r="BC51" s="1032">
        <v>3</v>
      </c>
      <c r="BD51" s="1032">
        <v>10</v>
      </c>
      <c r="BE51" s="1032">
        <v>36</v>
      </c>
      <c r="BF51" s="1032">
        <v>720</v>
      </c>
      <c r="BG51" s="1032" t="s">
        <v>128</v>
      </c>
      <c r="BH51" s="1032" t="s">
        <v>109</v>
      </c>
    </row>
    <row r="52" spans="1:60">
      <c r="A52" s="1032" t="s">
        <v>368</v>
      </c>
      <c r="B52" s="1032" t="s">
        <v>111</v>
      </c>
      <c r="C52" s="1032" t="s">
        <v>215</v>
      </c>
      <c r="D52" s="1032" t="s">
        <v>113</v>
      </c>
      <c r="E52" s="1032" t="s">
        <v>64</v>
      </c>
      <c r="F52" s="1032" t="s">
        <v>65</v>
      </c>
      <c r="G52" s="1032" t="s">
        <v>66</v>
      </c>
      <c r="H52" s="1032" t="s">
        <v>67</v>
      </c>
      <c r="I52" s="1032" t="s">
        <v>68</v>
      </c>
      <c r="J52" s="1032" t="s">
        <v>216</v>
      </c>
      <c r="K52" s="1032" t="s">
        <v>217</v>
      </c>
      <c r="M52" s="1032" t="s">
        <v>68</v>
      </c>
      <c r="N52" s="1032" t="s">
        <v>68</v>
      </c>
      <c r="O52" s="1032" t="s">
        <v>70</v>
      </c>
      <c r="P52" s="1032" t="s">
        <v>218</v>
      </c>
      <c r="Q52" s="1032" t="s">
        <v>219</v>
      </c>
      <c r="R52" s="1032" t="s">
        <v>73</v>
      </c>
      <c r="S52" s="1032" t="s">
        <v>120</v>
      </c>
      <c r="T52" s="1032">
        <v>625</v>
      </c>
      <c r="U52" s="1032">
        <v>72</v>
      </c>
      <c r="V52" s="1032">
        <v>4.4999999999999998E-2</v>
      </c>
      <c r="W52" s="1032">
        <v>2</v>
      </c>
      <c r="X52" s="1032">
        <v>0.1</v>
      </c>
      <c r="Y52" s="1032" t="s">
        <v>75</v>
      </c>
      <c r="Z52" s="1032" t="s">
        <v>75</v>
      </c>
      <c r="AB52" s="1033">
        <v>46035</v>
      </c>
      <c r="AC52" s="1032">
        <v>3</v>
      </c>
      <c r="AD52" s="1032" t="s">
        <v>369</v>
      </c>
      <c r="AF52" s="1032" t="s">
        <v>122</v>
      </c>
      <c r="AG52" s="1032" t="s">
        <v>123</v>
      </c>
      <c r="AH52" s="1032" t="s">
        <v>356</v>
      </c>
      <c r="AI52" s="1033">
        <v>46040</v>
      </c>
      <c r="AJ52" s="1033">
        <v>46043</v>
      </c>
      <c r="AK52" s="1033">
        <v>46043</v>
      </c>
      <c r="AL52" s="1033">
        <v>46077</v>
      </c>
      <c r="AM52" s="1033">
        <v>46077</v>
      </c>
      <c r="AN52" s="1033">
        <v>46078</v>
      </c>
      <c r="AO52" s="1032" t="s">
        <v>66</v>
      </c>
      <c r="AP52" s="1032" t="s">
        <v>370</v>
      </c>
      <c r="AQ52" s="1032" t="s">
        <v>80</v>
      </c>
      <c r="AR52" s="1032" t="s">
        <v>371</v>
      </c>
      <c r="AS52" s="1032" t="s">
        <v>372</v>
      </c>
      <c r="AT52" s="1032" t="s">
        <v>372</v>
      </c>
      <c r="AU52" s="1032">
        <v>35</v>
      </c>
      <c r="AW52" s="1033">
        <v>46078</v>
      </c>
      <c r="AX52" s="1032" t="s">
        <v>84</v>
      </c>
      <c r="AY52" s="1033">
        <v>46091</v>
      </c>
      <c r="AZ52" s="1032">
        <v>8</v>
      </c>
      <c r="BA52" s="1033">
        <v>46086</v>
      </c>
      <c r="BB52" s="1032">
        <v>2026</v>
      </c>
      <c r="BC52" s="1032">
        <v>3</v>
      </c>
      <c r="BD52" s="1032">
        <v>10</v>
      </c>
      <c r="BE52" s="1032">
        <v>36</v>
      </c>
      <c r="BF52" s="1032">
        <v>720</v>
      </c>
      <c r="BG52" s="1032" t="s">
        <v>128</v>
      </c>
      <c r="BH52" s="1032" t="s">
        <v>109</v>
      </c>
    </row>
    <row r="53" spans="1:60">
      <c r="A53" s="1032" t="s">
        <v>373</v>
      </c>
      <c r="B53" s="1032" t="s">
        <v>111</v>
      </c>
      <c r="C53" s="1032" t="s">
        <v>215</v>
      </c>
      <c r="D53" s="1032" t="s">
        <v>113</v>
      </c>
      <c r="E53" s="1032" t="s">
        <v>64</v>
      </c>
      <c r="F53" s="1032" t="s">
        <v>65</v>
      </c>
      <c r="G53" s="1032" t="s">
        <v>66</v>
      </c>
      <c r="H53" s="1032" t="s">
        <v>67</v>
      </c>
      <c r="I53" s="1032" t="s">
        <v>68</v>
      </c>
      <c r="J53" s="1032" t="s">
        <v>363</v>
      </c>
      <c r="K53" s="1032" t="s">
        <v>364</v>
      </c>
      <c r="M53" s="1032" t="s">
        <v>68</v>
      </c>
      <c r="N53" s="1032" t="s">
        <v>68</v>
      </c>
      <c r="O53" s="1032" t="s">
        <v>70</v>
      </c>
      <c r="P53" s="1032" t="s">
        <v>218</v>
      </c>
      <c r="Q53" s="1032" t="s">
        <v>219</v>
      </c>
      <c r="R53" s="1032" t="s">
        <v>73</v>
      </c>
      <c r="S53" s="1032" t="s">
        <v>120</v>
      </c>
      <c r="T53" s="1032">
        <v>625</v>
      </c>
      <c r="U53" s="1032">
        <v>324</v>
      </c>
      <c r="V53" s="1032">
        <v>0.20300000000000001</v>
      </c>
      <c r="W53" s="1032">
        <v>9</v>
      </c>
      <c r="X53" s="1032">
        <v>0.5</v>
      </c>
      <c r="Y53" s="1032" t="s">
        <v>75</v>
      </c>
      <c r="Z53" s="1032" t="s">
        <v>75</v>
      </c>
      <c r="AB53" s="1033">
        <v>46035</v>
      </c>
      <c r="AC53" s="1032">
        <v>3</v>
      </c>
      <c r="AD53" s="1032" t="s">
        <v>374</v>
      </c>
      <c r="AF53" s="1032" t="s">
        <v>122</v>
      </c>
      <c r="AG53" s="1032" t="s">
        <v>123</v>
      </c>
      <c r="AH53" s="1032" t="s">
        <v>356</v>
      </c>
      <c r="AI53" s="1033">
        <v>46040</v>
      </c>
      <c r="AJ53" s="1033">
        <v>46043</v>
      </c>
      <c r="AK53" s="1033">
        <v>46043</v>
      </c>
      <c r="AL53" s="1033">
        <v>46077</v>
      </c>
      <c r="AM53" s="1033">
        <v>46077</v>
      </c>
      <c r="AN53" s="1033">
        <v>46078</v>
      </c>
      <c r="AO53" s="1032" t="s">
        <v>66</v>
      </c>
      <c r="AP53" s="1032" t="s">
        <v>370</v>
      </c>
      <c r="AQ53" s="1032" t="s">
        <v>80</v>
      </c>
      <c r="AR53" s="1032" t="s">
        <v>371</v>
      </c>
      <c r="AS53" s="1032" t="s">
        <v>372</v>
      </c>
      <c r="AT53" s="1032" t="s">
        <v>372</v>
      </c>
      <c r="AU53" s="1032">
        <v>35</v>
      </c>
      <c r="AW53" s="1033">
        <v>46078</v>
      </c>
      <c r="AX53" s="1032" t="s">
        <v>84</v>
      </c>
      <c r="AY53" s="1033">
        <v>46091</v>
      </c>
      <c r="AZ53" s="1032">
        <v>8</v>
      </c>
      <c r="BA53" s="1033">
        <v>46086</v>
      </c>
      <c r="BB53" s="1032">
        <v>2026</v>
      </c>
      <c r="BC53" s="1032">
        <v>3</v>
      </c>
      <c r="BD53" s="1032">
        <v>10</v>
      </c>
      <c r="BE53" s="1032">
        <v>36</v>
      </c>
      <c r="BF53" s="1032">
        <v>720</v>
      </c>
      <c r="BG53" s="1032" t="s">
        <v>128</v>
      </c>
      <c r="BH53" s="1032" t="s">
        <v>109</v>
      </c>
    </row>
    <row r="54" spans="1:60">
      <c r="A54" s="1032" t="s">
        <v>375</v>
      </c>
      <c r="B54" s="1032" t="s">
        <v>111</v>
      </c>
      <c r="C54" s="1032" t="s">
        <v>376</v>
      </c>
      <c r="D54" s="1032" t="s">
        <v>113</v>
      </c>
      <c r="E54" s="1032" t="s">
        <v>64</v>
      </c>
      <c r="F54" s="1032" t="s">
        <v>65</v>
      </c>
      <c r="G54" s="1032" t="s">
        <v>66</v>
      </c>
      <c r="H54" s="1032" t="s">
        <v>67</v>
      </c>
      <c r="I54" s="1032" t="s">
        <v>68</v>
      </c>
      <c r="J54" s="1032" t="s">
        <v>377</v>
      </c>
      <c r="K54" s="1032" t="s">
        <v>328</v>
      </c>
      <c r="M54" s="1032" t="s">
        <v>68</v>
      </c>
      <c r="N54" s="1032" t="s">
        <v>68</v>
      </c>
      <c r="O54" s="1032" t="s">
        <v>70</v>
      </c>
      <c r="P54" s="1032" t="s">
        <v>378</v>
      </c>
      <c r="Q54" s="1032" t="s">
        <v>379</v>
      </c>
      <c r="R54" s="1032" t="s">
        <v>73</v>
      </c>
      <c r="S54" s="1032" t="s">
        <v>120</v>
      </c>
      <c r="T54" s="1032">
        <v>620</v>
      </c>
      <c r="U54" s="1032">
        <v>324</v>
      </c>
      <c r="V54" s="1032">
        <v>0.20100000000000001</v>
      </c>
      <c r="W54" s="1032">
        <v>9</v>
      </c>
      <c r="X54" s="1032">
        <v>0.5</v>
      </c>
      <c r="Y54" s="1032" t="s">
        <v>75</v>
      </c>
      <c r="Z54" s="1032" t="s">
        <v>75</v>
      </c>
      <c r="AB54" s="1033">
        <v>46035</v>
      </c>
      <c r="AC54" s="1032">
        <v>3</v>
      </c>
      <c r="AD54" s="1032" t="s">
        <v>380</v>
      </c>
      <c r="AF54" s="1032" t="s">
        <v>122</v>
      </c>
      <c r="AG54" s="1032" t="s">
        <v>123</v>
      </c>
      <c r="AH54" s="1032" t="s">
        <v>356</v>
      </c>
      <c r="AI54" s="1033">
        <v>46040</v>
      </c>
      <c r="AJ54" s="1033">
        <v>46043</v>
      </c>
      <c r="AK54" s="1033">
        <v>46043</v>
      </c>
      <c r="AL54" s="1033">
        <v>46077</v>
      </c>
      <c r="AM54" s="1033">
        <v>46077</v>
      </c>
      <c r="AN54" s="1033">
        <v>46078</v>
      </c>
      <c r="AO54" s="1032" t="s">
        <v>66</v>
      </c>
      <c r="AP54" s="1032" t="s">
        <v>370</v>
      </c>
      <c r="AQ54" s="1032" t="s">
        <v>80</v>
      </c>
      <c r="AR54" s="1032" t="s">
        <v>371</v>
      </c>
      <c r="AS54" s="1032" t="s">
        <v>372</v>
      </c>
      <c r="AT54" s="1032" t="s">
        <v>372</v>
      </c>
      <c r="AU54" s="1032">
        <v>35</v>
      </c>
      <c r="AW54" s="1033">
        <v>46078</v>
      </c>
      <c r="AX54" s="1032" t="s">
        <v>84</v>
      </c>
      <c r="AY54" s="1033">
        <v>46091</v>
      </c>
      <c r="AZ54" s="1032">
        <v>8</v>
      </c>
      <c r="BA54" s="1033">
        <v>46086</v>
      </c>
      <c r="BB54" s="1032">
        <v>2026</v>
      </c>
      <c r="BC54" s="1032">
        <v>3</v>
      </c>
      <c r="BD54" s="1032">
        <v>10</v>
      </c>
      <c r="BE54" s="1032">
        <v>36</v>
      </c>
      <c r="BF54" s="1032">
        <v>720</v>
      </c>
      <c r="BG54" s="1032" t="s">
        <v>128</v>
      </c>
      <c r="BH54" s="1032" t="s">
        <v>109</v>
      </c>
    </row>
    <row r="55" spans="1:60">
      <c r="A55" s="1032" t="s">
        <v>381</v>
      </c>
      <c r="B55" s="1032" t="s">
        <v>111</v>
      </c>
      <c r="C55" s="1032" t="s">
        <v>187</v>
      </c>
      <c r="D55" s="1032" t="s">
        <v>63</v>
      </c>
      <c r="E55" s="1032" t="s">
        <v>64</v>
      </c>
      <c r="F55" s="1032" t="s">
        <v>65</v>
      </c>
      <c r="G55" s="1032" t="s">
        <v>66</v>
      </c>
      <c r="H55" s="1032" t="s">
        <v>67</v>
      </c>
      <c r="I55" s="1032" t="s">
        <v>68</v>
      </c>
      <c r="J55" s="1032" t="s">
        <v>188</v>
      </c>
      <c r="M55" s="1032" t="s">
        <v>68</v>
      </c>
      <c r="N55" s="1032" t="s">
        <v>68</v>
      </c>
      <c r="O55" s="1032" t="s">
        <v>132</v>
      </c>
      <c r="P55" s="1032" t="s">
        <v>189</v>
      </c>
      <c r="Q55" s="1032" t="s">
        <v>190</v>
      </c>
      <c r="R55" s="1032" t="s">
        <v>73</v>
      </c>
      <c r="S55" s="1032" t="s">
        <v>74</v>
      </c>
      <c r="T55" s="1032">
        <v>465</v>
      </c>
      <c r="U55" s="1032">
        <v>1728</v>
      </c>
      <c r="V55" s="1032">
        <v>0.80400000000000005</v>
      </c>
      <c r="W55" s="1032">
        <v>48</v>
      </c>
      <c r="X55" s="1032">
        <v>2</v>
      </c>
      <c r="Y55" s="1032" t="s">
        <v>75</v>
      </c>
      <c r="Z55" s="1032" t="s">
        <v>75</v>
      </c>
      <c r="AB55" s="1033">
        <v>46033</v>
      </c>
      <c r="AC55" s="1032">
        <v>2</v>
      </c>
      <c r="AD55" s="1032" t="s">
        <v>382</v>
      </c>
      <c r="AF55" s="1032" t="s">
        <v>122</v>
      </c>
      <c r="AG55" s="1032" t="s">
        <v>123</v>
      </c>
      <c r="AH55" s="1032" t="s">
        <v>78</v>
      </c>
      <c r="AI55" s="1033">
        <v>46042</v>
      </c>
      <c r="AJ55" s="1033">
        <v>46044</v>
      </c>
      <c r="AK55" s="1033">
        <v>46044</v>
      </c>
      <c r="AL55" s="1033">
        <v>46085</v>
      </c>
      <c r="AM55" s="1033">
        <v>46101</v>
      </c>
      <c r="AN55" s="1033">
        <v>46102</v>
      </c>
      <c r="AO55" s="1032" t="s">
        <v>66</v>
      </c>
      <c r="AP55" s="1032" t="s">
        <v>383</v>
      </c>
      <c r="AQ55" s="1032" t="s">
        <v>80</v>
      </c>
      <c r="AR55" s="1032" t="s">
        <v>384</v>
      </c>
      <c r="AS55" s="1032" t="s">
        <v>385</v>
      </c>
      <c r="AT55" s="1032" t="s">
        <v>385</v>
      </c>
      <c r="AU55" s="1032">
        <v>58</v>
      </c>
      <c r="AW55" s="1033">
        <v>46102</v>
      </c>
      <c r="AX55" s="1032" t="s">
        <v>84</v>
      </c>
      <c r="AY55" s="1033">
        <v>46115</v>
      </c>
      <c r="AZ55" s="1032">
        <v>8</v>
      </c>
      <c r="BA55" s="1033">
        <v>46110</v>
      </c>
      <c r="BB55" s="1032">
        <v>2026</v>
      </c>
      <c r="BC55" s="1032">
        <v>3</v>
      </c>
      <c r="BD55" s="1032">
        <v>13</v>
      </c>
      <c r="BE55" s="1032">
        <v>36</v>
      </c>
      <c r="BF55" s="1032">
        <v>864</v>
      </c>
      <c r="BG55" s="1032" t="s">
        <v>108</v>
      </c>
      <c r="BH55" s="1032" t="s">
        <v>86</v>
      </c>
    </row>
    <row r="56" spans="1:60">
      <c r="A56" s="1032" t="s">
        <v>386</v>
      </c>
      <c r="B56" s="1032" t="s">
        <v>111</v>
      </c>
      <c r="C56" s="1032" t="s">
        <v>387</v>
      </c>
      <c r="D56" s="1032" t="s">
        <v>63</v>
      </c>
      <c r="E56" s="1032" t="s">
        <v>64</v>
      </c>
      <c r="F56" s="1032" t="s">
        <v>65</v>
      </c>
      <c r="G56" s="1032" t="s">
        <v>66</v>
      </c>
      <c r="H56" s="1032" t="s">
        <v>67</v>
      </c>
      <c r="I56" s="1032" t="s">
        <v>68</v>
      </c>
      <c r="J56" s="1032" t="s">
        <v>188</v>
      </c>
      <c r="M56" s="1032" t="s">
        <v>68</v>
      </c>
      <c r="N56" s="1032" t="s">
        <v>68</v>
      </c>
      <c r="O56" s="1032" t="s">
        <v>132</v>
      </c>
      <c r="P56" s="1032" t="s">
        <v>189</v>
      </c>
      <c r="Q56" s="1032" t="s">
        <v>190</v>
      </c>
      <c r="R56" s="1032" t="s">
        <v>73</v>
      </c>
      <c r="S56" s="1032" t="s">
        <v>74</v>
      </c>
      <c r="T56" s="1032">
        <v>465</v>
      </c>
      <c r="U56" s="1032">
        <v>2592</v>
      </c>
      <c r="V56" s="1032">
        <v>1.2050000000000001</v>
      </c>
      <c r="W56" s="1032">
        <v>72</v>
      </c>
      <c r="X56" s="1032">
        <v>3</v>
      </c>
      <c r="Y56" s="1032" t="s">
        <v>75</v>
      </c>
      <c r="Z56" s="1032" t="s">
        <v>75</v>
      </c>
      <c r="AB56" s="1033">
        <v>46033</v>
      </c>
      <c r="AC56" s="1032">
        <v>2</v>
      </c>
      <c r="AD56" s="1032" t="s">
        <v>388</v>
      </c>
      <c r="AF56" s="1032" t="s">
        <v>122</v>
      </c>
      <c r="AG56" s="1032" t="s">
        <v>123</v>
      </c>
      <c r="AH56" s="1032" t="s">
        <v>78</v>
      </c>
      <c r="AI56" s="1033">
        <v>46042</v>
      </c>
      <c r="AJ56" s="1033">
        <v>46044</v>
      </c>
      <c r="AK56" s="1033">
        <v>46044</v>
      </c>
      <c r="AL56" s="1033">
        <v>46085</v>
      </c>
      <c r="AM56" s="1033">
        <v>46101</v>
      </c>
      <c r="AN56" s="1033">
        <v>46102</v>
      </c>
      <c r="AO56" s="1032" t="s">
        <v>66</v>
      </c>
      <c r="AP56" s="1032" t="s">
        <v>383</v>
      </c>
      <c r="AQ56" s="1032" t="s">
        <v>80</v>
      </c>
      <c r="AR56" s="1032" t="s">
        <v>384</v>
      </c>
      <c r="AS56" s="1032" t="s">
        <v>385</v>
      </c>
      <c r="AT56" s="1032" t="s">
        <v>385</v>
      </c>
      <c r="AU56" s="1032">
        <v>58</v>
      </c>
      <c r="AW56" s="1033">
        <v>46102</v>
      </c>
      <c r="AX56" s="1032" t="s">
        <v>84</v>
      </c>
      <c r="AY56" s="1033">
        <v>46115</v>
      </c>
      <c r="AZ56" s="1032">
        <v>8</v>
      </c>
      <c r="BA56" s="1033">
        <v>46110</v>
      </c>
      <c r="BB56" s="1032">
        <v>2026</v>
      </c>
      <c r="BC56" s="1032">
        <v>3</v>
      </c>
      <c r="BD56" s="1032">
        <v>13</v>
      </c>
      <c r="BE56" s="1032">
        <v>36</v>
      </c>
      <c r="BF56" s="1032">
        <v>864</v>
      </c>
      <c r="BG56" s="1032" t="s">
        <v>108</v>
      </c>
      <c r="BH56" s="1032" t="s">
        <v>86</v>
      </c>
    </row>
    <row r="57" spans="1:60">
      <c r="A57" s="1032" t="s">
        <v>389</v>
      </c>
      <c r="B57" s="1032" t="s">
        <v>111</v>
      </c>
      <c r="C57" s="1032" t="s">
        <v>387</v>
      </c>
      <c r="D57" s="1032" t="s">
        <v>63</v>
      </c>
      <c r="E57" s="1032" t="s">
        <v>64</v>
      </c>
      <c r="F57" s="1032" t="s">
        <v>65</v>
      </c>
      <c r="G57" s="1032" t="s">
        <v>66</v>
      </c>
      <c r="H57" s="1032" t="s">
        <v>67</v>
      </c>
      <c r="I57" s="1032" t="s">
        <v>68</v>
      </c>
      <c r="J57" s="1032" t="s">
        <v>188</v>
      </c>
      <c r="M57" s="1032" t="s">
        <v>68</v>
      </c>
      <c r="N57" s="1032" t="s">
        <v>68</v>
      </c>
      <c r="O57" s="1032" t="s">
        <v>132</v>
      </c>
      <c r="P57" s="1032" t="s">
        <v>189</v>
      </c>
      <c r="Q57" s="1032" t="s">
        <v>190</v>
      </c>
      <c r="R57" s="1032" t="s">
        <v>73</v>
      </c>
      <c r="S57" s="1032" t="s">
        <v>74</v>
      </c>
      <c r="T57" s="1032">
        <v>465</v>
      </c>
      <c r="U57" s="1032">
        <v>1728</v>
      </c>
      <c r="V57" s="1032">
        <v>0.80400000000000005</v>
      </c>
      <c r="W57" s="1032">
        <v>48</v>
      </c>
      <c r="X57" s="1032">
        <v>2</v>
      </c>
      <c r="Y57" s="1032" t="s">
        <v>75</v>
      </c>
      <c r="Z57" s="1032" t="s">
        <v>75</v>
      </c>
      <c r="AB57" s="1033">
        <v>46033</v>
      </c>
      <c r="AC57" s="1032">
        <v>2</v>
      </c>
      <c r="AD57" s="1032" t="s">
        <v>390</v>
      </c>
      <c r="AF57" s="1032" t="s">
        <v>122</v>
      </c>
      <c r="AG57" s="1032" t="s">
        <v>123</v>
      </c>
      <c r="AH57" s="1032" t="s">
        <v>78</v>
      </c>
      <c r="AI57" s="1033">
        <v>46042</v>
      </c>
      <c r="AJ57" s="1033">
        <v>46044</v>
      </c>
      <c r="AK57" s="1033">
        <v>46044</v>
      </c>
      <c r="AL57" s="1033">
        <v>46085</v>
      </c>
      <c r="AM57" s="1033">
        <v>46101</v>
      </c>
      <c r="AN57" s="1033">
        <v>46102</v>
      </c>
      <c r="AO57" s="1032" t="s">
        <v>66</v>
      </c>
      <c r="AP57" s="1032" t="s">
        <v>383</v>
      </c>
      <c r="AQ57" s="1032" t="s">
        <v>80</v>
      </c>
      <c r="AR57" s="1032" t="s">
        <v>384</v>
      </c>
      <c r="AS57" s="1032" t="s">
        <v>385</v>
      </c>
      <c r="AT57" s="1032" t="s">
        <v>385</v>
      </c>
      <c r="AU57" s="1032">
        <v>58</v>
      </c>
      <c r="AW57" s="1033">
        <v>46102</v>
      </c>
      <c r="AX57" s="1032" t="s">
        <v>84</v>
      </c>
      <c r="AY57" s="1033">
        <v>46115</v>
      </c>
      <c r="AZ57" s="1032">
        <v>8</v>
      </c>
      <c r="BA57" s="1033">
        <v>46110</v>
      </c>
      <c r="BB57" s="1032">
        <v>2026</v>
      </c>
      <c r="BC57" s="1032">
        <v>3</v>
      </c>
      <c r="BD57" s="1032">
        <v>13</v>
      </c>
      <c r="BE57" s="1032">
        <v>36</v>
      </c>
      <c r="BF57" s="1032">
        <v>864</v>
      </c>
      <c r="BG57" s="1032" t="s">
        <v>108</v>
      </c>
      <c r="BH57" s="1032" t="s">
        <v>86</v>
      </c>
    </row>
    <row r="58" spans="1:60">
      <c r="A58" s="1032" t="s">
        <v>391</v>
      </c>
      <c r="B58" s="1032" t="s">
        <v>111</v>
      </c>
      <c r="C58" s="1032" t="s">
        <v>187</v>
      </c>
      <c r="D58" s="1032" t="s">
        <v>63</v>
      </c>
      <c r="E58" s="1032" t="s">
        <v>64</v>
      </c>
      <c r="F58" s="1032" t="s">
        <v>100</v>
      </c>
      <c r="G58" s="1032" t="s">
        <v>66</v>
      </c>
      <c r="H58" s="1032" t="s">
        <v>67</v>
      </c>
      <c r="I58" s="1032" t="s">
        <v>68</v>
      </c>
      <c r="J58" s="1032" t="s">
        <v>101</v>
      </c>
      <c r="M58" s="1032" t="s">
        <v>68</v>
      </c>
      <c r="N58" s="1032" t="s">
        <v>68</v>
      </c>
      <c r="O58" s="1032" t="s">
        <v>132</v>
      </c>
      <c r="P58" s="1032" t="s">
        <v>189</v>
      </c>
      <c r="Q58" s="1032" t="s">
        <v>190</v>
      </c>
      <c r="R58" s="1032" t="s">
        <v>73</v>
      </c>
      <c r="S58" s="1032" t="s">
        <v>74</v>
      </c>
      <c r="T58" s="1032">
        <v>465</v>
      </c>
      <c r="U58" s="1032">
        <v>1728</v>
      </c>
      <c r="V58" s="1032">
        <v>0.80400000000000005</v>
      </c>
      <c r="W58" s="1032">
        <v>48</v>
      </c>
      <c r="X58" s="1032">
        <v>2</v>
      </c>
      <c r="Y58" s="1032" t="s">
        <v>75</v>
      </c>
      <c r="Z58" s="1032" t="s">
        <v>75</v>
      </c>
      <c r="AB58" s="1033">
        <v>46039</v>
      </c>
      <c r="AC58" s="1032">
        <v>3</v>
      </c>
      <c r="AD58" s="1032" t="s">
        <v>392</v>
      </c>
      <c r="AF58" s="1032" t="s">
        <v>122</v>
      </c>
      <c r="AG58" s="1032" t="s">
        <v>123</v>
      </c>
      <c r="AH58" s="1032" t="s">
        <v>105</v>
      </c>
      <c r="AI58" s="1033">
        <v>46045</v>
      </c>
      <c r="AJ58" s="1033">
        <v>46047</v>
      </c>
      <c r="AK58" s="1033">
        <v>46047</v>
      </c>
      <c r="AL58" s="1033">
        <v>46096</v>
      </c>
      <c r="AM58" s="1033">
        <v>46111</v>
      </c>
      <c r="AN58" s="1033">
        <v>46116</v>
      </c>
      <c r="AO58" s="1032" t="s">
        <v>66</v>
      </c>
      <c r="AP58" s="1032" t="s">
        <v>393</v>
      </c>
      <c r="AQ58" s="1032" t="s">
        <v>80</v>
      </c>
      <c r="AR58" s="1032" t="s">
        <v>394</v>
      </c>
      <c r="AS58" s="1032" t="s">
        <v>395</v>
      </c>
      <c r="AT58" s="1032" t="s">
        <v>395</v>
      </c>
      <c r="AU58" s="1032">
        <v>69</v>
      </c>
      <c r="AW58" s="1033">
        <v>46116</v>
      </c>
      <c r="AX58" s="1032" t="s">
        <v>84</v>
      </c>
      <c r="AY58" s="1033">
        <v>46129</v>
      </c>
      <c r="AZ58" s="1032">
        <v>7</v>
      </c>
      <c r="BA58" s="1033">
        <v>46123</v>
      </c>
      <c r="BB58" s="1032">
        <v>2026</v>
      </c>
      <c r="BC58" s="1032">
        <v>4</v>
      </c>
      <c r="BD58" s="1032">
        <v>15</v>
      </c>
      <c r="BE58" s="1032">
        <v>36</v>
      </c>
      <c r="BF58" s="1032">
        <v>864</v>
      </c>
      <c r="BG58" s="1032" t="s">
        <v>108</v>
      </c>
      <c r="BH58" s="1032" t="s">
        <v>109</v>
      </c>
    </row>
    <row r="59" spans="1:60">
      <c r="A59" s="1032" t="s">
        <v>396</v>
      </c>
      <c r="B59" s="1032" t="s">
        <v>111</v>
      </c>
      <c r="C59" s="1032" t="s">
        <v>112</v>
      </c>
      <c r="D59" s="1032" t="s">
        <v>113</v>
      </c>
      <c r="E59" s="1032" t="s">
        <v>64</v>
      </c>
      <c r="F59" s="1032" t="s">
        <v>114</v>
      </c>
      <c r="G59" s="1032" t="s">
        <v>66</v>
      </c>
      <c r="H59" s="1032" t="s">
        <v>115</v>
      </c>
      <c r="I59" s="1032" t="s">
        <v>68</v>
      </c>
      <c r="J59" s="1032" t="s">
        <v>116</v>
      </c>
      <c r="K59" s="1032" t="s">
        <v>266</v>
      </c>
      <c r="M59" s="1032" t="s">
        <v>68</v>
      </c>
      <c r="N59" s="1032" t="s">
        <v>68</v>
      </c>
      <c r="O59" s="1032" t="s">
        <v>70</v>
      </c>
      <c r="P59" s="1032" t="s">
        <v>118</v>
      </c>
      <c r="Q59" s="1032" t="s">
        <v>119</v>
      </c>
      <c r="R59" s="1032" t="s">
        <v>73</v>
      </c>
      <c r="S59" s="1032" t="s">
        <v>120</v>
      </c>
      <c r="T59" s="1032">
        <v>640</v>
      </c>
      <c r="U59" s="1032">
        <v>1152</v>
      </c>
      <c r="V59" s="1032">
        <v>0.73699999999999999</v>
      </c>
      <c r="W59" s="1032">
        <v>32</v>
      </c>
      <c r="X59" s="1032">
        <v>2</v>
      </c>
      <c r="Y59" s="1032" t="s">
        <v>75</v>
      </c>
      <c r="Z59" s="1032" t="s">
        <v>75</v>
      </c>
      <c r="AB59" s="1033">
        <v>46039</v>
      </c>
      <c r="AC59" s="1032">
        <v>3</v>
      </c>
      <c r="AD59" s="1032" t="s">
        <v>397</v>
      </c>
      <c r="AF59" s="1032" t="s">
        <v>122</v>
      </c>
      <c r="AG59" s="1032" t="s">
        <v>123</v>
      </c>
      <c r="AH59" s="1032" t="s">
        <v>124</v>
      </c>
      <c r="AI59" s="1033">
        <v>46043</v>
      </c>
      <c r="AJ59" s="1033">
        <v>46046</v>
      </c>
      <c r="AK59" s="1033">
        <v>46046</v>
      </c>
      <c r="AL59" s="1033">
        <v>46081</v>
      </c>
      <c r="AM59" s="1033">
        <v>46091</v>
      </c>
      <c r="AN59" s="1033">
        <v>46092</v>
      </c>
      <c r="AO59" s="1032" t="s">
        <v>66</v>
      </c>
      <c r="AP59" s="1032" t="s">
        <v>398</v>
      </c>
      <c r="AQ59" s="1032" t="s">
        <v>161</v>
      </c>
      <c r="AR59" s="1032" t="s">
        <v>399</v>
      </c>
      <c r="AS59" s="1032">
        <v>263794612</v>
      </c>
      <c r="AT59" s="1032">
        <v>263794612</v>
      </c>
      <c r="AU59" s="1032">
        <v>46</v>
      </c>
      <c r="AW59" s="1033">
        <v>46092</v>
      </c>
      <c r="AX59" s="1032" t="s">
        <v>84</v>
      </c>
      <c r="AY59" s="1033">
        <v>46097</v>
      </c>
      <c r="AZ59" s="1032">
        <v>9</v>
      </c>
      <c r="BA59" s="1033">
        <v>46101</v>
      </c>
      <c r="BB59" s="1032">
        <v>2026</v>
      </c>
      <c r="BC59" s="1032">
        <v>3</v>
      </c>
      <c r="BD59" s="1032">
        <v>12</v>
      </c>
      <c r="BE59" s="1032">
        <v>36</v>
      </c>
      <c r="BF59" s="1032">
        <v>576</v>
      </c>
      <c r="BG59" s="1032" t="s">
        <v>128</v>
      </c>
      <c r="BH59" s="1032" t="s">
        <v>86</v>
      </c>
    </row>
    <row r="60" spans="1:60">
      <c r="A60" s="1032" t="s">
        <v>400</v>
      </c>
      <c r="B60" s="1032" t="s">
        <v>111</v>
      </c>
      <c r="C60" s="1032" t="s">
        <v>401</v>
      </c>
      <c r="D60" s="1032" t="s">
        <v>63</v>
      </c>
      <c r="E60" s="1032" t="s">
        <v>144</v>
      </c>
      <c r="F60" s="1032" t="s">
        <v>145</v>
      </c>
      <c r="G60" s="1032" t="s">
        <v>402</v>
      </c>
      <c r="H60" s="1032" t="s">
        <v>403</v>
      </c>
      <c r="I60" s="1032" t="s">
        <v>68</v>
      </c>
      <c r="J60" s="1032" t="s">
        <v>404</v>
      </c>
      <c r="M60" s="1032" t="s">
        <v>68</v>
      </c>
      <c r="N60" s="1032" t="s">
        <v>68</v>
      </c>
      <c r="O60" s="1032" t="s">
        <v>132</v>
      </c>
      <c r="P60" s="1032" t="s">
        <v>405</v>
      </c>
      <c r="Q60" s="1032" t="s">
        <v>406</v>
      </c>
      <c r="R60" s="1032" t="s">
        <v>73</v>
      </c>
      <c r="S60" s="1032" t="s">
        <v>120</v>
      </c>
      <c r="T60" s="1032">
        <v>510</v>
      </c>
      <c r="U60" s="1032">
        <v>2376</v>
      </c>
      <c r="V60" s="1032">
        <v>1.212</v>
      </c>
      <c r="W60" s="1032">
        <v>66</v>
      </c>
      <c r="X60" s="1032">
        <v>3</v>
      </c>
      <c r="Y60" s="1032" t="s">
        <v>75</v>
      </c>
      <c r="Z60" s="1032" t="s">
        <v>75</v>
      </c>
      <c r="AB60" s="1033">
        <v>46035</v>
      </c>
      <c r="AC60" s="1032">
        <v>3</v>
      </c>
      <c r="AD60" s="1032" t="s">
        <v>407</v>
      </c>
      <c r="AF60" s="1032" t="s">
        <v>122</v>
      </c>
      <c r="AG60" s="1032" t="s">
        <v>123</v>
      </c>
      <c r="AH60" s="1032" t="s">
        <v>124</v>
      </c>
      <c r="AI60" s="1033">
        <v>46042</v>
      </c>
      <c r="AJ60" s="1033">
        <v>46041</v>
      </c>
      <c r="AK60" s="1033">
        <v>46041</v>
      </c>
      <c r="AL60" s="1033">
        <v>46086</v>
      </c>
      <c r="AM60" s="1033">
        <v>46079</v>
      </c>
      <c r="AN60" s="1033">
        <v>46079</v>
      </c>
      <c r="AO60" s="1032" t="s">
        <v>402</v>
      </c>
      <c r="AP60" s="1032" t="s">
        <v>408</v>
      </c>
      <c r="AQ60" s="1032" t="s">
        <v>80</v>
      </c>
      <c r="AR60" s="1032" t="s">
        <v>409</v>
      </c>
      <c r="AS60" s="1032" t="s">
        <v>410</v>
      </c>
      <c r="AT60" s="1032" t="s">
        <v>410</v>
      </c>
      <c r="AU60" s="1032">
        <v>38</v>
      </c>
      <c r="AW60" s="1033">
        <v>46079</v>
      </c>
      <c r="AX60" s="1032" t="s">
        <v>84</v>
      </c>
      <c r="AY60" s="1033">
        <v>46086</v>
      </c>
      <c r="AZ60" s="1032" t="s">
        <v>152</v>
      </c>
      <c r="BA60" s="1033">
        <v>46079</v>
      </c>
      <c r="BB60" s="1032">
        <v>2026</v>
      </c>
      <c r="BC60" s="1032">
        <v>2</v>
      </c>
      <c r="BD60" s="1032">
        <v>9</v>
      </c>
      <c r="BE60" s="1032">
        <v>36</v>
      </c>
      <c r="BF60" s="1032">
        <v>792</v>
      </c>
      <c r="BG60" s="1032" t="s">
        <v>108</v>
      </c>
      <c r="BH60" s="1032" t="s">
        <v>86</v>
      </c>
    </row>
    <row r="61" spans="1:60">
      <c r="A61" s="1032" t="s">
        <v>411</v>
      </c>
      <c r="B61" s="1032" t="s">
        <v>111</v>
      </c>
      <c r="C61" s="1032" t="s">
        <v>168</v>
      </c>
      <c r="D61" s="1032" t="s">
        <v>63</v>
      </c>
      <c r="E61" s="1032" t="s">
        <v>64</v>
      </c>
      <c r="F61" s="1032" t="s">
        <v>65</v>
      </c>
      <c r="G61" s="1032" t="s">
        <v>66</v>
      </c>
      <c r="H61" s="1032" t="s">
        <v>67</v>
      </c>
      <c r="I61" s="1032" t="s">
        <v>68</v>
      </c>
      <c r="J61" s="1032" t="s">
        <v>232</v>
      </c>
      <c r="M61" s="1032" t="s">
        <v>68</v>
      </c>
      <c r="N61" s="1032" t="s">
        <v>68</v>
      </c>
      <c r="O61" s="1032" t="s">
        <v>170</v>
      </c>
      <c r="P61" s="1032" t="s">
        <v>171</v>
      </c>
      <c r="Q61" s="1032" t="s">
        <v>172</v>
      </c>
      <c r="R61" s="1032" t="s">
        <v>73</v>
      </c>
      <c r="S61" s="1032" t="s">
        <v>120</v>
      </c>
      <c r="T61" s="1032">
        <v>555</v>
      </c>
      <c r="U61" s="1032">
        <v>660</v>
      </c>
      <c r="V61" s="1032">
        <v>0.36599999999999999</v>
      </c>
      <c r="W61" s="1032">
        <v>20</v>
      </c>
      <c r="X61" s="1032">
        <v>1</v>
      </c>
      <c r="Y61" s="1032" t="s">
        <v>75</v>
      </c>
      <c r="Z61" s="1032" t="s">
        <v>75</v>
      </c>
      <c r="AB61" s="1033">
        <v>46035</v>
      </c>
      <c r="AC61" s="1032">
        <v>3</v>
      </c>
      <c r="AD61" s="1032" t="s">
        <v>412</v>
      </c>
      <c r="AF61" s="1032" t="s">
        <v>122</v>
      </c>
      <c r="AG61" s="1032" t="s">
        <v>123</v>
      </c>
      <c r="AH61" s="1032" t="s">
        <v>78</v>
      </c>
      <c r="AI61" s="1033">
        <v>46042</v>
      </c>
      <c r="AJ61" s="1033">
        <v>46041</v>
      </c>
      <c r="AK61" s="1033">
        <v>46041</v>
      </c>
      <c r="AL61" s="1033">
        <v>46091</v>
      </c>
      <c r="AM61" s="1033">
        <v>46090</v>
      </c>
      <c r="AN61" s="1033">
        <v>46090</v>
      </c>
      <c r="AO61" s="1032" t="s">
        <v>66</v>
      </c>
      <c r="AP61" s="1032" t="s">
        <v>408</v>
      </c>
      <c r="AQ61" s="1032" t="s">
        <v>80</v>
      </c>
      <c r="AR61" s="1032" t="s">
        <v>413</v>
      </c>
      <c r="AS61" s="1032" t="s">
        <v>414</v>
      </c>
      <c r="AT61" s="1032" t="s">
        <v>414</v>
      </c>
      <c r="AU61" s="1032">
        <v>49</v>
      </c>
      <c r="AW61" s="1033">
        <v>46090</v>
      </c>
      <c r="AX61" s="1032" t="s">
        <v>84</v>
      </c>
      <c r="AY61" s="1033">
        <v>46104</v>
      </c>
      <c r="AZ61" s="1032">
        <v>8</v>
      </c>
      <c r="BA61" s="1033">
        <v>46098</v>
      </c>
      <c r="BB61" s="1032">
        <v>2026</v>
      </c>
      <c r="BC61" s="1032">
        <v>3</v>
      </c>
      <c r="BD61" s="1032">
        <v>12</v>
      </c>
      <c r="BE61" s="1032">
        <v>33</v>
      </c>
      <c r="BF61" s="1032">
        <v>660</v>
      </c>
      <c r="BG61" s="1032" t="s">
        <v>108</v>
      </c>
      <c r="BH61" s="1032" t="s">
        <v>86</v>
      </c>
    </row>
    <row r="62" spans="1:60">
      <c r="A62" s="1032" t="s">
        <v>415</v>
      </c>
      <c r="B62" s="1032" t="s">
        <v>111</v>
      </c>
      <c r="C62" s="1032" t="s">
        <v>168</v>
      </c>
      <c r="D62" s="1032" t="s">
        <v>63</v>
      </c>
      <c r="E62" s="1032" t="s">
        <v>64</v>
      </c>
      <c r="F62" s="1032" t="s">
        <v>65</v>
      </c>
      <c r="G62" s="1032" t="s">
        <v>66</v>
      </c>
      <c r="H62" s="1032" t="s">
        <v>67</v>
      </c>
      <c r="I62" s="1032" t="s">
        <v>68</v>
      </c>
      <c r="J62" s="1032" t="s">
        <v>232</v>
      </c>
      <c r="M62" s="1032" t="s">
        <v>68</v>
      </c>
      <c r="N62" s="1032" t="s">
        <v>68</v>
      </c>
      <c r="O62" s="1032" t="s">
        <v>170</v>
      </c>
      <c r="P62" s="1032" t="s">
        <v>171</v>
      </c>
      <c r="Q62" s="1032" t="s">
        <v>172</v>
      </c>
      <c r="R62" s="1032" t="s">
        <v>73</v>
      </c>
      <c r="S62" s="1032" t="s">
        <v>120</v>
      </c>
      <c r="T62" s="1032">
        <v>555</v>
      </c>
      <c r="U62" s="1032">
        <v>1320</v>
      </c>
      <c r="V62" s="1032">
        <v>0.73299999999999998</v>
      </c>
      <c r="W62" s="1032">
        <v>40</v>
      </c>
      <c r="X62" s="1032">
        <v>2</v>
      </c>
      <c r="Y62" s="1032" t="s">
        <v>75</v>
      </c>
      <c r="Z62" s="1032" t="s">
        <v>75</v>
      </c>
      <c r="AB62" s="1033">
        <v>46035</v>
      </c>
      <c r="AC62" s="1032">
        <v>3</v>
      </c>
      <c r="AD62" s="1032" t="s">
        <v>416</v>
      </c>
      <c r="AF62" s="1032" t="s">
        <v>122</v>
      </c>
      <c r="AG62" s="1032" t="s">
        <v>123</v>
      </c>
      <c r="AH62" s="1032" t="s">
        <v>78</v>
      </c>
      <c r="AI62" s="1033">
        <v>46042</v>
      </c>
      <c r="AJ62" s="1033">
        <v>46041</v>
      </c>
      <c r="AK62" s="1033">
        <v>46041</v>
      </c>
      <c r="AL62" s="1033">
        <v>46091</v>
      </c>
      <c r="AM62" s="1033">
        <v>46090</v>
      </c>
      <c r="AN62" s="1033">
        <v>46090</v>
      </c>
      <c r="AO62" s="1032" t="s">
        <v>66</v>
      </c>
      <c r="AP62" s="1032" t="s">
        <v>408</v>
      </c>
      <c r="AQ62" s="1032" t="s">
        <v>80</v>
      </c>
      <c r="AR62" s="1032" t="s">
        <v>413</v>
      </c>
      <c r="AS62" s="1032" t="s">
        <v>414</v>
      </c>
      <c r="AT62" s="1032" t="s">
        <v>414</v>
      </c>
      <c r="AU62" s="1032">
        <v>49</v>
      </c>
      <c r="AW62" s="1033">
        <v>46090</v>
      </c>
      <c r="AX62" s="1032" t="s">
        <v>84</v>
      </c>
      <c r="AY62" s="1033">
        <v>46104</v>
      </c>
      <c r="AZ62" s="1032">
        <v>8</v>
      </c>
      <c r="BA62" s="1033">
        <v>46098</v>
      </c>
      <c r="BB62" s="1032">
        <v>2026</v>
      </c>
      <c r="BC62" s="1032">
        <v>3</v>
      </c>
      <c r="BD62" s="1032">
        <v>12</v>
      </c>
      <c r="BE62" s="1032">
        <v>33</v>
      </c>
      <c r="BF62" s="1032">
        <v>660</v>
      </c>
      <c r="BG62" s="1032" t="s">
        <v>108</v>
      </c>
      <c r="BH62" s="1032" t="s">
        <v>86</v>
      </c>
    </row>
    <row r="63" spans="1:60">
      <c r="A63" s="1032" t="s">
        <v>417</v>
      </c>
      <c r="B63" s="1032" t="s">
        <v>61</v>
      </c>
      <c r="C63" s="1032" t="s">
        <v>418</v>
      </c>
      <c r="D63" s="1032" t="s">
        <v>63</v>
      </c>
      <c r="E63" s="1032" t="s">
        <v>64</v>
      </c>
      <c r="F63" s="1032" t="s">
        <v>100</v>
      </c>
      <c r="G63" s="1032" t="s">
        <v>66</v>
      </c>
      <c r="H63" s="1032" t="s">
        <v>67</v>
      </c>
      <c r="I63" s="1032" t="s">
        <v>68</v>
      </c>
      <c r="J63" s="1032" t="s">
        <v>419</v>
      </c>
      <c r="M63" s="1032" t="s">
        <v>68</v>
      </c>
      <c r="N63" s="1032" t="s">
        <v>68</v>
      </c>
      <c r="O63" s="1032" t="s">
        <v>70</v>
      </c>
      <c r="P63" s="1032" t="s">
        <v>420</v>
      </c>
      <c r="Q63" s="1032" t="s">
        <v>421</v>
      </c>
      <c r="R63" s="1032" t="s">
        <v>73</v>
      </c>
      <c r="S63" s="1032" t="s">
        <v>120</v>
      </c>
      <c r="T63" s="1032">
        <v>505</v>
      </c>
      <c r="U63" s="1032">
        <v>1728</v>
      </c>
      <c r="V63" s="1032">
        <v>0.873</v>
      </c>
      <c r="W63" s="1032">
        <v>48</v>
      </c>
      <c r="X63" s="1032">
        <v>2</v>
      </c>
      <c r="Y63" s="1032" t="s">
        <v>75</v>
      </c>
      <c r="Z63" s="1032" t="s">
        <v>75</v>
      </c>
      <c r="AB63" s="1033">
        <v>46031</v>
      </c>
      <c r="AC63" s="1032">
        <v>2</v>
      </c>
      <c r="AD63" s="1032" t="s">
        <v>422</v>
      </c>
      <c r="AF63" s="1032" t="s">
        <v>77</v>
      </c>
      <c r="AG63" s="1032" t="s">
        <v>61</v>
      </c>
      <c r="AH63" s="1032" t="s">
        <v>105</v>
      </c>
      <c r="AI63" s="1033">
        <v>46036</v>
      </c>
      <c r="AJ63" s="1033">
        <v>46038</v>
      </c>
      <c r="AK63" s="1033">
        <v>46038</v>
      </c>
      <c r="AL63" s="1033">
        <v>46077</v>
      </c>
      <c r="AM63" s="1033">
        <v>46094</v>
      </c>
      <c r="AN63" s="1033">
        <v>46094</v>
      </c>
      <c r="AO63" s="1032" t="s">
        <v>66</v>
      </c>
      <c r="AP63" s="1032" t="s">
        <v>338</v>
      </c>
      <c r="AQ63" s="1032" t="s">
        <v>80</v>
      </c>
      <c r="AR63" s="1032" t="s">
        <v>423</v>
      </c>
      <c r="AS63" s="1032" t="s">
        <v>424</v>
      </c>
      <c r="AT63" s="1032" t="s">
        <v>424</v>
      </c>
      <c r="AU63" s="1032">
        <v>56</v>
      </c>
      <c r="AW63" s="1033">
        <v>46094</v>
      </c>
      <c r="AX63" s="1032" t="s">
        <v>84</v>
      </c>
      <c r="AY63" s="1033">
        <v>46104</v>
      </c>
      <c r="AZ63" s="1032">
        <v>7</v>
      </c>
      <c r="BA63" s="1033">
        <v>46101</v>
      </c>
      <c r="BB63" s="1032">
        <v>2026</v>
      </c>
      <c r="BC63" s="1032">
        <v>3</v>
      </c>
      <c r="BD63" s="1032">
        <v>12</v>
      </c>
      <c r="BE63" s="1032">
        <v>36</v>
      </c>
      <c r="BF63" s="1032">
        <v>864</v>
      </c>
      <c r="BG63" s="1032" t="s">
        <v>85</v>
      </c>
      <c r="BH63" s="1032" t="s">
        <v>109</v>
      </c>
    </row>
    <row r="64" spans="1:60">
      <c r="A64" s="1032" t="s">
        <v>425</v>
      </c>
      <c r="B64" s="1032" t="s">
        <v>61</v>
      </c>
      <c r="C64" s="1032" t="s">
        <v>326</v>
      </c>
      <c r="D64" s="1032" t="s">
        <v>113</v>
      </c>
      <c r="E64" s="1032" t="s">
        <v>64</v>
      </c>
      <c r="F64" s="1032" t="s">
        <v>100</v>
      </c>
      <c r="G64" s="1032" t="s">
        <v>66</v>
      </c>
      <c r="H64" s="1032" t="s">
        <v>67</v>
      </c>
      <c r="I64" s="1032" t="s">
        <v>68</v>
      </c>
      <c r="J64" s="1032" t="s">
        <v>327</v>
      </c>
      <c r="K64" s="1032" t="s">
        <v>328</v>
      </c>
      <c r="M64" s="1032" t="s">
        <v>68</v>
      </c>
      <c r="N64" s="1032" t="s">
        <v>68</v>
      </c>
      <c r="O64" s="1032" t="s">
        <v>70</v>
      </c>
      <c r="P64" s="1032" t="s">
        <v>329</v>
      </c>
      <c r="Q64" s="1032" t="s">
        <v>330</v>
      </c>
      <c r="R64" s="1032" t="s">
        <v>331</v>
      </c>
      <c r="S64" s="1032" t="s">
        <v>120</v>
      </c>
      <c r="T64" s="1032">
        <v>625</v>
      </c>
      <c r="U64" s="1032">
        <v>7200</v>
      </c>
      <c r="V64" s="1032">
        <v>4.5</v>
      </c>
      <c r="W64" s="1032">
        <v>200</v>
      </c>
      <c r="X64" s="1032">
        <v>10</v>
      </c>
      <c r="Y64" s="1032" t="s">
        <v>75</v>
      </c>
      <c r="Z64" s="1032" t="s">
        <v>75</v>
      </c>
      <c r="AB64" s="1033">
        <v>46034</v>
      </c>
      <c r="AC64" s="1032">
        <v>3</v>
      </c>
      <c r="AD64" s="1032" t="s">
        <v>426</v>
      </c>
      <c r="AF64" s="1032" t="s">
        <v>77</v>
      </c>
      <c r="AG64" s="1032" t="s">
        <v>61</v>
      </c>
      <c r="AH64" s="1032" t="s">
        <v>105</v>
      </c>
      <c r="AI64" s="1033">
        <v>46040</v>
      </c>
      <c r="AJ64" s="1033">
        <v>46040</v>
      </c>
      <c r="AK64" s="1033">
        <v>46040</v>
      </c>
      <c r="AL64" s="1033">
        <v>46084</v>
      </c>
      <c r="AM64" s="1033">
        <v>46103</v>
      </c>
      <c r="AN64" s="1033">
        <v>46103</v>
      </c>
      <c r="AO64" s="1032" t="s">
        <v>66</v>
      </c>
      <c r="AP64" s="1032" t="s">
        <v>427</v>
      </c>
      <c r="AQ64" s="1032" t="s">
        <v>161</v>
      </c>
      <c r="AR64" s="1032" t="s">
        <v>428</v>
      </c>
      <c r="AS64" s="1032" t="s">
        <v>429</v>
      </c>
      <c r="AT64" s="1032" t="s">
        <v>429</v>
      </c>
      <c r="AU64" s="1032">
        <v>63</v>
      </c>
      <c r="AW64" s="1033">
        <v>46103</v>
      </c>
      <c r="AX64" s="1032" t="s">
        <v>84</v>
      </c>
      <c r="AY64" s="1033">
        <v>46118</v>
      </c>
      <c r="AZ64" s="1032">
        <v>7</v>
      </c>
      <c r="BA64" s="1033">
        <v>46110</v>
      </c>
      <c r="BB64" s="1032">
        <v>2026</v>
      </c>
      <c r="BC64" s="1032">
        <v>3</v>
      </c>
      <c r="BD64" s="1032">
        <v>13</v>
      </c>
      <c r="BE64" s="1032">
        <v>36</v>
      </c>
      <c r="BF64" s="1032">
        <v>720</v>
      </c>
      <c r="BG64" s="1032" t="s">
        <v>128</v>
      </c>
      <c r="BH64" s="1032" t="s">
        <v>109</v>
      </c>
    </row>
    <row r="65" spans="1:60">
      <c r="A65" s="1032" t="s">
        <v>430</v>
      </c>
      <c r="B65" s="1032" t="s">
        <v>111</v>
      </c>
      <c r="C65" s="1032" t="s">
        <v>352</v>
      </c>
      <c r="D65" s="1032" t="s">
        <v>113</v>
      </c>
      <c r="E65" s="1032" t="s">
        <v>64</v>
      </c>
      <c r="F65" s="1032" t="s">
        <v>65</v>
      </c>
      <c r="G65" s="1032" t="s">
        <v>66</v>
      </c>
      <c r="H65" s="1032" t="s">
        <v>67</v>
      </c>
      <c r="I65" s="1032" t="s">
        <v>68</v>
      </c>
      <c r="J65" s="1032" t="s">
        <v>353</v>
      </c>
      <c r="K65" s="1032" t="s">
        <v>354</v>
      </c>
      <c r="M65" s="1032" t="s">
        <v>68</v>
      </c>
      <c r="N65" s="1032" t="s">
        <v>68</v>
      </c>
      <c r="O65" s="1032" t="s">
        <v>70</v>
      </c>
      <c r="P65" s="1032" t="s">
        <v>218</v>
      </c>
      <c r="Q65" s="1032" t="s">
        <v>219</v>
      </c>
      <c r="R65" s="1032" t="s">
        <v>73</v>
      </c>
      <c r="S65" s="1032" t="s">
        <v>120</v>
      </c>
      <c r="T65" s="1032">
        <v>625</v>
      </c>
      <c r="U65" s="1032">
        <v>2880</v>
      </c>
      <c r="V65" s="1032">
        <v>1.8</v>
      </c>
      <c r="W65" s="1032">
        <v>80</v>
      </c>
      <c r="X65" s="1032">
        <v>4</v>
      </c>
      <c r="Y65" s="1032" t="s">
        <v>75</v>
      </c>
      <c r="Z65" s="1032" t="s">
        <v>75</v>
      </c>
      <c r="AB65" s="1033">
        <v>46041</v>
      </c>
      <c r="AC65" s="1032">
        <v>4</v>
      </c>
      <c r="AD65" s="1032" t="s">
        <v>431</v>
      </c>
      <c r="AF65" s="1032" t="s">
        <v>122</v>
      </c>
      <c r="AG65" s="1032" t="s">
        <v>123</v>
      </c>
      <c r="AH65" s="1032" t="s">
        <v>356</v>
      </c>
      <c r="AI65" s="1033">
        <v>46047</v>
      </c>
      <c r="AJ65" s="1033">
        <v>46045</v>
      </c>
      <c r="AK65" s="1033">
        <v>46045</v>
      </c>
      <c r="AL65" s="1033">
        <v>46084</v>
      </c>
      <c r="AM65" s="1033">
        <v>46092</v>
      </c>
      <c r="AN65" s="1033">
        <v>46092</v>
      </c>
      <c r="AO65" s="1032" t="s">
        <v>66</v>
      </c>
      <c r="AP65" s="1032" t="s">
        <v>432</v>
      </c>
      <c r="AQ65" s="1032" t="s">
        <v>161</v>
      </c>
      <c r="AR65" s="1032" t="s">
        <v>433</v>
      </c>
      <c r="AS65" s="1032" t="s">
        <v>434</v>
      </c>
      <c r="AT65" s="1032" t="s">
        <v>434</v>
      </c>
      <c r="AU65" s="1032">
        <v>47</v>
      </c>
      <c r="AW65" s="1033">
        <v>46092</v>
      </c>
      <c r="AX65" s="1032" t="s">
        <v>84</v>
      </c>
      <c r="AY65" s="1033">
        <v>46105</v>
      </c>
      <c r="AZ65" s="1032">
        <v>8</v>
      </c>
      <c r="BA65" s="1033">
        <v>46100</v>
      </c>
      <c r="BB65" s="1032">
        <v>2026</v>
      </c>
      <c r="BC65" s="1032">
        <v>3</v>
      </c>
      <c r="BD65" s="1032">
        <v>12</v>
      </c>
      <c r="BE65" s="1032">
        <v>36</v>
      </c>
      <c r="BF65" s="1032">
        <v>720</v>
      </c>
      <c r="BG65" s="1032" t="s">
        <v>128</v>
      </c>
      <c r="BH65" s="1032" t="s">
        <v>109</v>
      </c>
    </row>
    <row r="66" spans="1:60">
      <c r="A66" s="1032" t="s">
        <v>435</v>
      </c>
      <c r="B66" s="1032" t="s">
        <v>111</v>
      </c>
      <c r="C66" s="1032" t="s">
        <v>352</v>
      </c>
      <c r="D66" s="1032" t="s">
        <v>113</v>
      </c>
      <c r="E66" s="1032" t="s">
        <v>64</v>
      </c>
      <c r="F66" s="1032" t="s">
        <v>65</v>
      </c>
      <c r="G66" s="1032" t="s">
        <v>66</v>
      </c>
      <c r="H66" s="1032" t="s">
        <v>67</v>
      </c>
      <c r="I66" s="1032" t="s">
        <v>68</v>
      </c>
      <c r="J66" s="1032" t="s">
        <v>353</v>
      </c>
      <c r="K66" s="1032" t="s">
        <v>354</v>
      </c>
      <c r="M66" s="1032" t="s">
        <v>68</v>
      </c>
      <c r="N66" s="1032" t="s">
        <v>68</v>
      </c>
      <c r="O66" s="1032" t="s">
        <v>70</v>
      </c>
      <c r="P66" s="1032" t="s">
        <v>218</v>
      </c>
      <c r="Q66" s="1032" t="s">
        <v>219</v>
      </c>
      <c r="R66" s="1032" t="s">
        <v>73</v>
      </c>
      <c r="S66" s="1032" t="s">
        <v>120</v>
      </c>
      <c r="T66" s="1032">
        <v>625</v>
      </c>
      <c r="U66" s="1032">
        <v>1440</v>
      </c>
      <c r="V66" s="1032">
        <v>0.9</v>
      </c>
      <c r="W66" s="1032">
        <v>40</v>
      </c>
      <c r="X66" s="1032">
        <v>2</v>
      </c>
      <c r="Y66" s="1032" t="s">
        <v>75</v>
      </c>
      <c r="Z66" s="1032" t="s">
        <v>75</v>
      </c>
      <c r="AB66" s="1033">
        <v>46041</v>
      </c>
      <c r="AC66" s="1032">
        <v>4</v>
      </c>
      <c r="AD66" s="1032" t="s">
        <v>436</v>
      </c>
      <c r="AF66" s="1032" t="s">
        <v>122</v>
      </c>
      <c r="AG66" s="1032" t="s">
        <v>123</v>
      </c>
      <c r="AH66" s="1032" t="s">
        <v>356</v>
      </c>
      <c r="AI66" s="1033">
        <v>46047</v>
      </c>
      <c r="AJ66" s="1033">
        <v>46045</v>
      </c>
      <c r="AK66" s="1033">
        <v>46045</v>
      </c>
      <c r="AL66" s="1033">
        <v>46084</v>
      </c>
      <c r="AM66" s="1033">
        <v>46092</v>
      </c>
      <c r="AN66" s="1033">
        <v>46092</v>
      </c>
      <c r="AO66" s="1032" t="s">
        <v>66</v>
      </c>
      <c r="AP66" s="1032" t="s">
        <v>432</v>
      </c>
      <c r="AQ66" s="1032" t="s">
        <v>161</v>
      </c>
      <c r="AR66" s="1032" t="s">
        <v>433</v>
      </c>
      <c r="AS66" s="1032" t="s">
        <v>434</v>
      </c>
      <c r="AT66" s="1032" t="s">
        <v>434</v>
      </c>
      <c r="AU66" s="1032">
        <v>47</v>
      </c>
      <c r="AW66" s="1033">
        <v>46092</v>
      </c>
      <c r="AX66" s="1032" t="s">
        <v>84</v>
      </c>
      <c r="AY66" s="1033">
        <v>46105</v>
      </c>
      <c r="AZ66" s="1032">
        <v>8</v>
      </c>
      <c r="BA66" s="1033">
        <v>46100</v>
      </c>
      <c r="BB66" s="1032">
        <v>2026</v>
      </c>
      <c r="BC66" s="1032">
        <v>3</v>
      </c>
      <c r="BD66" s="1032">
        <v>12</v>
      </c>
      <c r="BE66" s="1032">
        <v>36</v>
      </c>
      <c r="BF66" s="1032">
        <v>720</v>
      </c>
      <c r="BG66" s="1032" t="s">
        <v>128</v>
      </c>
      <c r="BH66" s="1032" t="s">
        <v>109</v>
      </c>
    </row>
    <row r="67" spans="1:60">
      <c r="A67" s="1032" t="s">
        <v>437</v>
      </c>
      <c r="B67" s="1032" t="s">
        <v>111</v>
      </c>
      <c r="C67" s="1032" t="s">
        <v>215</v>
      </c>
      <c r="D67" s="1032" t="s">
        <v>113</v>
      </c>
      <c r="E67" s="1032" t="s">
        <v>64</v>
      </c>
      <c r="F67" s="1032" t="s">
        <v>65</v>
      </c>
      <c r="G67" s="1032" t="s">
        <v>66</v>
      </c>
      <c r="H67" s="1032" t="s">
        <v>67</v>
      </c>
      <c r="I67" s="1032" t="s">
        <v>68</v>
      </c>
      <c r="J67" s="1032" t="s">
        <v>353</v>
      </c>
      <c r="K67" s="1032" t="s">
        <v>438</v>
      </c>
      <c r="M67" s="1032" t="s">
        <v>68</v>
      </c>
      <c r="N67" s="1032" t="s">
        <v>68</v>
      </c>
      <c r="O67" s="1032" t="s">
        <v>70</v>
      </c>
      <c r="P67" s="1032" t="s">
        <v>218</v>
      </c>
      <c r="Q67" s="1032" t="s">
        <v>219</v>
      </c>
      <c r="R67" s="1032" t="s">
        <v>73</v>
      </c>
      <c r="S67" s="1032" t="s">
        <v>120</v>
      </c>
      <c r="T67" s="1032">
        <v>625</v>
      </c>
      <c r="U67" s="1032">
        <v>2592</v>
      </c>
      <c r="V67" s="1032">
        <v>1.62</v>
      </c>
      <c r="W67" s="1032">
        <v>72</v>
      </c>
      <c r="X67" s="1032">
        <v>3.6</v>
      </c>
      <c r="Y67" s="1032" t="s">
        <v>75</v>
      </c>
      <c r="Z67" s="1032" t="s">
        <v>75</v>
      </c>
      <c r="AB67" s="1033">
        <v>46041</v>
      </c>
      <c r="AC67" s="1032">
        <v>4</v>
      </c>
      <c r="AD67" s="1032" t="s">
        <v>439</v>
      </c>
      <c r="AF67" s="1032" t="s">
        <v>122</v>
      </c>
      <c r="AG67" s="1032" t="s">
        <v>123</v>
      </c>
      <c r="AH67" s="1032" t="s">
        <v>356</v>
      </c>
      <c r="AI67" s="1033">
        <v>46047</v>
      </c>
      <c r="AJ67" s="1033">
        <v>46045</v>
      </c>
      <c r="AK67" s="1033">
        <v>46045</v>
      </c>
      <c r="AL67" s="1033">
        <v>46084</v>
      </c>
      <c r="AM67" s="1033">
        <v>46092</v>
      </c>
      <c r="AN67" s="1033">
        <v>46092</v>
      </c>
      <c r="AO67" s="1032" t="s">
        <v>66</v>
      </c>
      <c r="AP67" s="1032" t="s">
        <v>432</v>
      </c>
      <c r="AQ67" s="1032" t="s">
        <v>161</v>
      </c>
      <c r="AR67" s="1032" t="s">
        <v>433</v>
      </c>
      <c r="AS67" s="1032" t="s">
        <v>434</v>
      </c>
      <c r="AT67" s="1032" t="s">
        <v>434</v>
      </c>
      <c r="AU67" s="1032">
        <v>47</v>
      </c>
      <c r="AW67" s="1033">
        <v>46092</v>
      </c>
      <c r="AX67" s="1032" t="s">
        <v>84</v>
      </c>
      <c r="AY67" s="1033">
        <v>46105</v>
      </c>
      <c r="AZ67" s="1032">
        <v>8</v>
      </c>
      <c r="BA67" s="1033">
        <v>46100</v>
      </c>
      <c r="BB67" s="1032">
        <v>2026</v>
      </c>
      <c r="BC67" s="1032">
        <v>3</v>
      </c>
      <c r="BD67" s="1032">
        <v>12</v>
      </c>
      <c r="BE67" s="1032">
        <v>36</v>
      </c>
      <c r="BF67" s="1032">
        <v>720</v>
      </c>
      <c r="BG67" s="1032" t="s">
        <v>128</v>
      </c>
      <c r="BH67" s="1032" t="s">
        <v>109</v>
      </c>
    </row>
    <row r="68" spans="1:60">
      <c r="A68" s="1032" t="s">
        <v>440</v>
      </c>
      <c r="B68" s="1032" t="s">
        <v>111</v>
      </c>
      <c r="C68" s="1032" t="s">
        <v>352</v>
      </c>
      <c r="D68" s="1032" t="s">
        <v>113</v>
      </c>
      <c r="E68" s="1032" t="s">
        <v>64</v>
      </c>
      <c r="F68" s="1032" t="s">
        <v>65</v>
      </c>
      <c r="G68" s="1032" t="s">
        <v>66</v>
      </c>
      <c r="H68" s="1032" t="s">
        <v>67</v>
      </c>
      <c r="I68" s="1032" t="s">
        <v>68</v>
      </c>
      <c r="J68" s="1032" t="s">
        <v>353</v>
      </c>
      <c r="K68" s="1032" t="s">
        <v>438</v>
      </c>
      <c r="M68" s="1032" t="s">
        <v>68</v>
      </c>
      <c r="N68" s="1032" t="s">
        <v>68</v>
      </c>
      <c r="O68" s="1032" t="s">
        <v>70</v>
      </c>
      <c r="P68" s="1032" t="s">
        <v>218</v>
      </c>
      <c r="Q68" s="1032" t="s">
        <v>219</v>
      </c>
      <c r="R68" s="1032" t="s">
        <v>73</v>
      </c>
      <c r="S68" s="1032" t="s">
        <v>120</v>
      </c>
      <c r="T68" s="1032">
        <v>625</v>
      </c>
      <c r="U68" s="1032">
        <v>72</v>
      </c>
      <c r="V68" s="1032">
        <v>4.4999999999999998E-2</v>
      </c>
      <c r="W68" s="1032">
        <v>2</v>
      </c>
      <c r="X68" s="1032">
        <v>0.1</v>
      </c>
      <c r="Y68" s="1032" t="s">
        <v>75</v>
      </c>
      <c r="Z68" s="1032" t="s">
        <v>75</v>
      </c>
      <c r="AB68" s="1033">
        <v>46041</v>
      </c>
      <c r="AC68" s="1032">
        <v>4</v>
      </c>
      <c r="AD68" s="1032" t="s">
        <v>441</v>
      </c>
      <c r="AF68" s="1032" t="s">
        <v>122</v>
      </c>
      <c r="AG68" s="1032" t="s">
        <v>123</v>
      </c>
      <c r="AH68" s="1032" t="s">
        <v>356</v>
      </c>
      <c r="AI68" s="1033">
        <v>45682</v>
      </c>
      <c r="AJ68" s="1033">
        <v>46045</v>
      </c>
      <c r="AK68" s="1033">
        <v>46045</v>
      </c>
      <c r="AL68" s="1033">
        <v>46084</v>
      </c>
      <c r="AM68" s="1033">
        <v>46092</v>
      </c>
      <c r="AN68" s="1033">
        <v>46092</v>
      </c>
      <c r="AO68" s="1032" t="s">
        <v>66</v>
      </c>
      <c r="AP68" s="1032" t="s">
        <v>442</v>
      </c>
      <c r="AQ68" s="1032" t="s">
        <v>161</v>
      </c>
      <c r="AR68" s="1032" t="s">
        <v>433</v>
      </c>
      <c r="AS68" s="1032" t="s">
        <v>434</v>
      </c>
      <c r="AT68" s="1032" t="s">
        <v>434</v>
      </c>
      <c r="AU68" s="1032">
        <v>47</v>
      </c>
      <c r="AW68" s="1033">
        <v>46092</v>
      </c>
      <c r="AX68" s="1032" t="s">
        <v>84</v>
      </c>
      <c r="AY68" s="1033">
        <v>46105</v>
      </c>
      <c r="AZ68" s="1032">
        <v>8</v>
      </c>
      <c r="BA68" s="1033">
        <v>46100</v>
      </c>
      <c r="BB68" s="1032">
        <v>2026</v>
      </c>
      <c r="BC68" s="1032">
        <v>3</v>
      </c>
      <c r="BD68" s="1032">
        <v>12</v>
      </c>
      <c r="BE68" s="1032">
        <v>36</v>
      </c>
      <c r="BF68" s="1032">
        <v>720</v>
      </c>
      <c r="BG68" s="1032" t="s">
        <v>128</v>
      </c>
      <c r="BH68" s="1032" t="s">
        <v>109</v>
      </c>
    </row>
    <row r="69" spans="1:60">
      <c r="A69" s="1032" t="s">
        <v>443</v>
      </c>
      <c r="B69" s="1032" t="s">
        <v>111</v>
      </c>
      <c r="C69" s="1032" t="s">
        <v>376</v>
      </c>
      <c r="D69" s="1032" t="s">
        <v>113</v>
      </c>
      <c r="E69" s="1032" t="s">
        <v>64</v>
      </c>
      <c r="F69" s="1032" t="s">
        <v>65</v>
      </c>
      <c r="G69" s="1032" t="s">
        <v>66</v>
      </c>
      <c r="H69" s="1032" t="s">
        <v>67</v>
      </c>
      <c r="I69" s="1032" t="s">
        <v>68</v>
      </c>
      <c r="J69" s="1032" t="s">
        <v>377</v>
      </c>
      <c r="K69" s="1032" t="s">
        <v>328</v>
      </c>
      <c r="M69" s="1032" t="s">
        <v>68</v>
      </c>
      <c r="N69" s="1032" t="s">
        <v>68</v>
      </c>
      <c r="O69" s="1032" t="s">
        <v>70</v>
      </c>
      <c r="P69" s="1032" t="s">
        <v>378</v>
      </c>
      <c r="Q69" s="1032" t="s">
        <v>379</v>
      </c>
      <c r="R69" s="1032" t="s">
        <v>73</v>
      </c>
      <c r="S69" s="1032" t="s">
        <v>120</v>
      </c>
      <c r="T69" s="1032">
        <v>620</v>
      </c>
      <c r="U69" s="1032">
        <v>216</v>
      </c>
      <c r="V69" s="1032">
        <v>0.13400000000000001</v>
      </c>
      <c r="W69" s="1032">
        <v>6</v>
      </c>
      <c r="X69" s="1032">
        <v>0.3</v>
      </c>
      <c r="Y69" s="1032" t="s">
        <v>75</v>
      </c>
      <c r="Z69" s="1032" t="s">
        <v>75</v>
      </c>
      <c r="AB69" s="1033">
        <v>46041</v>
      </c>
      <c r="AC69" s="1032">
        <v>4</v>
      </c>
      <c r="AD69" s="1032" t="s">
        <v>444</v>
      </c>
      <c r="AF69" s="1032" t="s">
        <v>122</v>
      </c>
      <c r="AG69" s="1032" t="s">
        <v>123</v>
      </c>
      <c r="AH69" s="1032" t="s">
        <v>356</v>
      </c>
      <c r="AI69" s="1033">
        <v>45682</v>
      </c>
      <c r="AJ69" s="1033">
        <v>46045</v>
      </c>
      <c r="AK69" s="1033">
        <v>46045</v>
      </c>
      <c r="AL69" s="1033">
        <v>46084</v>
      </c>
      <c r="AM69" s="1033">
        <v>46092</v>
      </c>
      <c r="AN69" s="1033">
        <v>46092</v>
      </c>
      <c r="AO69" s="1032" t="s">
        <v>66</v>
      </c>
      <c r="AP69" s="1032" t="s">
        <v>442</v>
      </c>
      <c r="AQ69" s="1032" t="s">
        <v>161</v>
      </c>
      <c r="AR69" s="1032" t="s">
        <v>433</v>
      </c>
      <c r="AS69" s="1032" t="s">
        <v>434</v>
      </c>
      <c r="AT69" s="1032" t="s">
        <v>434</v>
      </c>
      <c r="AU69" s="1032">
        <v>47</v>
      </c>
      <c r="AW69" s="1033">
        <v>46092</v>
      </c>
      <c r="AX69" s="1032" t="s">
        <v>84</v>
      </c>
      <c r="AY69" s="1033">
        <v>46105</v>
      </c>
      <c r="AZ69" s="1032">
        <v>8</v>
      </c>
      <c r="BA69" s="1033">
        <v>46100</v>
      </c>
      <c r="BB69" s="1032">
        <v>2026</v>
      </c>
      <c r="BC69" s="1032">
        <v>3</v>
      </c>
      <c r="BD69" s="1032">
        <v>12</v>
      </c>
      <c r="BE69" s="1032">
        <v>36</v>
      </c>
      <c r="BF69" s="1032">
        <v>720</v>
      </c>
      <c r="BG69" s="1032" t="s">
        <v>128</v>
      </c>
      <c r="BH69" s="1032" t="s">
        <v>109</v>
      </c>
    </row>
    <row r="70" spans="1:60">
      <c r="A70" s="1032" t="s">
        <v>352</v>
      </c>
      <c r="B70" s="1032" t="s">
        <v>111</v>
      </c>
      <c r="C70" s="1032" t="s">
        <v>203</v>
      </c>
      <c r="D70" s="1032" t="s">
        <v>113</v>
      </c>
      <c r="E70" s="1032" t="s">
        <v>64</v>
      </c>
      <c r="F70" s="1032" t="s">
        <v>65</v>
      </c>
      <c r="G70" s="1032" t="s">
        <v>66</v>
      </c>
      <c r="H70" s="1032" t="s">
        <v>67</v>
      </c>
      <c r="I70" s="1032" t="s">
        <v>68</v>
      </c>
      <c r="J70" s="1032" t="s">
        <v>353</v>
      </c>
      <c r="K70" s="1032" t="s">
        <v>438</v>
      </c>
      <c r="M70" s="1032" t="s">
        <v>68</v>
      </c>
      <c r="N70" s="1032" t="s">
        <v>68</v>
      </c>
      <c r="O70" s="1032" t="s">
        <v>70</v>
      </c>
      <c r="P70" s="1032" t="s">
        <v>218</v>
      </c>
      <c r="Q70" s="1032" t="s">
        <v>219</v>
      </c>
      <c r="R70" s="1032" t="s">
        <v>73</v>
      </c>
      <c r="S70" s="1032" t="s">
        <v>120</v>
      </c>
      <c r="T70" s="1032">
        <v>625</v>
      </c>
      <c r="U70" s="1032">
        <v>720</v>
      </c>
      <c r="V70" s="1032">
        <v>0.45</v>
      </c>
      <c r="W70" s="1032">
        <v>20</v>
      </c>
      <c r="X70" s="1032">
        <v>1</v>
      </c>
      <c r="Y70" s="1032" t="s">
        <v>75</v>
      </c>
      <c r="Z70" s="1032" t="s">
        <v>75</v>
      </c>
      <c r="AB70" s="1033">
        <v>46041</v>
      </c>
      <c r="AC70" s="1032">
        <v>4</v>
      </c>
      <c r="AD70" s="1032" t="s">
        <v>445</v>
      </c>
      <c r="AF70" s="1032" t="s">
        <v>122</v>
      </c>
      <c r="AG70" s="1032" t="s">
        <v>123</v>
      </c>
      <c r="AH70" s="1032" t="s">
        <v>356</v>
      </c>
      <c r="AI70" s="1033">
        <v>45682</v>
      </c>
      <c r="AJ70" s="1033">
        <v>46045</v>
      </c>
      <c r="AK70" s="1033">
        <v>46045</v>
      </c>
      <c r="AL70" s="1033">
        <v>46084</v>
      </c>
      <c r="AM70" s="1033">
        <v>46086</v>
      </c>
      <c r="AN70" s="1033">
        <v>46086</v>
      </c>
      <c r="AO70" s="1032" t="s">
        <v>66</v>
      </c>
      <c r="AP70" s="1032" t="s">
        <v>442</v>
      </c>
      <c r="AQ70" s="1032" t="s">
        <v>80</v>
      </c>
      <c r="AR70" s="1032" t="s">
        <v>446</v>
      </c>
      <c r="AS70" s="1032" t="s">
        <v>447</v>
      </c>
      <c r="AT70" s="1032" t="s">
        <v>447</v>
      </c>
      <c r="AU70" s="1032">
        <v>41</v>
      </c>
      <c r="AW70" s="1033">
        <v>46086</v>
      </c>
      <c r="AX70" s="1032" t="s">
        <v>84</v>
      </c>
      <c r="AY70" s="1033">
        <v>46099</v>
      </c>
      <c r="AZ70" s="1032">
        <v>8</v>
      </c>
      <c r="BA70" s="1033">
        <v>46094</v>
      </c>
      <c r="BB70" s="1032">
        <v>2026</v>
      </c>
      <c r="BC70" s="1032">
        <v>3</v>
      </c>
      <c r="BD70" s="1032">
        <v>11</v>
      </c>
      <c r="BE70" s="1032">
        <v>36</v>
      </c>
      <c r="BF70" s="1032">
        <v>720</v>
      </c>
      <c r="BG70" s="1032" t="s">
        <v>128</v>
      </c>
      <c r="BH70" s="1032" t="s">
        <v>109</v>
      </c>
    </row>
    <row r="71" spans="1:60">
      <c r="A71" s="1032" t="s">
        <v>448</v>
      </c>
      <c r="B71" s="1032" t="s">
        <v>111</v>
      </c>
      <c r="C71" s="1032" t="s">
        <v>449</v>
      </c>
      <c r="D71" s="1032" t="s">
        <v>63</v>
      </c>
      <c r="E71" s="1032" t="s">
        <v>64</v>
      </c>
      <c r="F71" s="1032" t="s">
        <v>450</v>
      </c>
      <c r="G71" s="1032" t="s">
        <v>66</v>
      </c>
      <c r="H71" s="1032" t="s">
        <v>451</v>
      </c>
      <c r="I71" s="1032" t="s">
        <v>68</v>
      </c>
      <c r="J71" s="1032" t="s">
        <v>452</v>
      </c>
      <c r="K71" s="1032">
        <v>20519249</v>
      </c>
      <c r="M71" s="1032" t="s">
        <v>68</v>
      </c>
      <c r="N71" s="1032" t="s">
        <v>68</v>
      </c>
      <c r="O71" s="1032" t="s">
        <v>132</v>
      </c>
      <c r="P71" s="1032" t="s">
        <v>453</v>
      </c>
      <c r="Q71" s="1032" t="s">
        <v>454</v>
      </c>
      <c r="R71" s="1032" t="s">
        <v>73</v>
      </c>
      <c r="S71" s="1032" t="s">
        <v>74</v>
      </c>
      <c r="T71" s="1032">
        <v>460</v>
      </c>
      <c r="U71" s="1032">
        <v>1728</v>
      </c>
      <c r="V71" s="1032">
        <v>0.79500000000000004</v>
      </c>
      <c r="W71" s="1032">
        <v>48</v>
      </c>
      <c r="X71" s="1032">
        <v>2</v>
      </c>
      <c r="Y71" s="1032" t="s">
        <v>75</v>
      </c>
      <c r="Z71" s="1032" t="s">
        <v>75</v>
      </c>
      <c r="AB71" s="1033">
        <v>46042</v>
      </c>
      <c r="AC71" s="1032">
        <v>4</v>
      </c>
      <c r="AD71" s="1032" t="s">
        <v>455</v>
      </c>
      <c r="AF71" s="1032" t="s">
        <v>122</v>
      </c>
      <c r="AG71" s="1032" t="s">
        <v>123</v>
      </c>
      <c r="AH71" s="1032" t="s">
        <v>456</v>
      </c>
      <c r="AI71" s="1033">
        <v>46050</v>
      </c>
      <c r="AJ71" s="1033">
        <v>46053</v>
      </c>
      <c r="AK71" s="1033">
        <v>46053</v>
      </c>
      <c r="AL71" s="1033">
        <v>46089</v>
      </c>
      <c r="AM71" s="1033">
        <v>46108</v>
      </c>
      <c r="AN71" s="1033">
        <v>46108</v>
      </c>
      <c r="AO71" s="1032" t="s">
        <v>66</v>
      </c>
      <c r="AP71" s="1032" t="s">
        <v>457</v>
      </c>
      <c r="AQ71" s="1032" t="s">
        <v>80</v>
      </c>
      <c r="AR71" s="1032" t="s">
        <v>458</v>
      </c>
      <c r="AS71" s="1032" t="s">
        <v>459</v>
      </c>
      <c r="AT71" s="1032" t="s">
        <v>459</v>
      </c>
      <c r="AU71" s="1032">
        <v>55</v>
      </c>
      <c r="AW71" s="1033">
        <v>46108</v>
      </c>
      <c r="AX71" s="1032" t="s">
        <v>84</v>
      </c>
      <c r="AY71" s="1033">
        <v>46120</v>
      </c>
      <c r="AZ71" s="1032">
        <v>7</v>
      </c>
      <c r="BA71" s="1033">
        <v>46115</v>
      </c>
      <c r="BB71" s="1032">
        <v>2026</v>
      </c>
      <c r="BC71" s="1032">
        <v>4</v>
      </c>
      <c r="BD71" s="1032">
        <v>14</v>
      </c>
      <c r="BE71" s="1032">
        <v>36</v>
      </c>
      <c r="BF71" s="1032">
        <v>864</v>
      </c>
      <c r="BG71" s="1032" t="s">
        <v>108</v>
      </c>
      <c r="BH71" s="1032" t="s">
        <v>109</v>
      </c>
    </row>
    <row r="72" spans="1:60">
      <c r="A72" s="1032" t="s">
        <v>460</v>
      </c>
      <c r="B72" s="1032" t="s">
        <v>111</v>
      </c>
      <c r="C72" s="1032" t="s">
        <v>461</v>
      </c>
      <c r="D72" s="1032" t="s">
        <v>63</v>
      </c>
      <c r="E72" s="1032" t="s">
        <v>64</v>
      </c>
      <c r="F72" s="1032" t="s">
        <v>65</v>
      </c>
      <c r="G72" s="1032" t="s">
        <v>66</v>
      </c>
      <c r="H72" s="1032" t="s">
        <v>67</v>
      </c>
      <c r="I72" s="1032" t="s">
        <v>68</v>
      </c>
      <c r="J72" s="1032" t="s">
        <v>232</v>
      </c>
      <c r="M72" s="1032" t="s">
        <v>68</v>
      </c>
      <c r="N72" s="1032" t="s">
        <v>68</v>
      </c>
      <c r="O72" s="1032" t="s">
        <v>170</v>
      </c>
      <c r="P72" s="1032" t="s">
        <v>462</v>
      </c>
      <c r="Q72" s="1032" t="s">
        <v>463</v>
      </c>
      <c r="R72" s="1032" t="s">
        <v>73</v>
      </c>
      <c r="S72" s="1032" t="s">
        <v>464</v>
      </c>
      <c r="T72" s="1032">
        <v>550</v>
      </c>
      <c r="U72" s="1032">
        <v>660</v>
      </c>
      <c r="V72" s="1032">
        <v>0.36299999999999999</v>
      </c>
      <c r="W72" s="1032">
        <v>20</v>
      </c>
      <c r="X72" s="1032">
        <v>1</v>
      </c>
      <c r="Y72" s="1032" t="s">
        <v>75</v>
      </c>
      <c r="Z72" s="1032" t="s">
        <v>75</v>
      </c>
      <c r="AB72" s="1033">
        <v>46044</v>
      </c>
      <c r="AC72" s="1032">
        <v>4</v>
      </c>
      <c r="AD72" s="1032" t="s">
        <v>465</v>
      </c>
      <c r="AF72" s="1032" t="s">
        <v>122</v>
      </c>
      <c r="AG72" s="1032" t="s">
        <v>123</v>
      </c>
      <c r="AH72" s="1032" t="s">
        <v>78</v>
      </c>
      <c r="AI72" s="1033">
        <v>46049</v>
      </c>
      <c r="AJ72" s="1033">
        <v>46055</v>
      </c>
      <c r="AK72" s="1033">
        <v>46056</v>
      </c>
      <c r="AL72" s="1033">
        <v>46098</v>
      </c>
      <c r="AM72" s="1033">
        <v>46101</v>
      </c>
      <c r="AN72" s="1033">
        <v>46103</v>
      </c>
      <c r="AO72" s="1032" t="s">
        <v>66</v>
      </c>
      <c r="AP72" s="1032" t="s">
        <v>466</v>
      </c>
      <c r="AQ72" s="1032" t="s">
        <v>80</v>
      </c>
      <c r="AR72" s="1032" t="s">
        <v>467</v>
      </c>
      <c r="AS72" s="1032" t="s">
        <v>468</v>
      </c>
      <c r="AT72" s="1032" t="s">
        <v>468</v>
      </c>
      <c r="AU72" s="1032">
        <v>47</v>
      </c>
      <c r="AW72" s="1033">
        <v>46103</v>
      </c>
      <c r="AX72" s="1032" t="s">
        <v>84</v>
      </c>
      <c r="AY72" s="1033">
        <v>46115</v>
      </c>
      <c r="AZ72" s="1032">
        <v>8</v>
      </c>
      <c r="BA72" s="1033">
        <v>46111</v>
      </c>
      <c r="BB72" s="1032">
        <v>2026</v>
      </c>
      <c r="BC72" s="1032">
        <v>3</v>
      </c>
      <c r="BD72" s="1032">
        <v>14</v>
      </c>
      <c r="BE72" s="1032">
        <v>33</v>
      </c>
      <c r="BF72" s="1032">
        <v>660</v>
      </c>
      <c r="BG72" s="1032" t="s">
        <v>108</v>
      </c>
      <c r="BH72" s="1032" t="s">
        <v>86</v>
      </c>
    </row>
    <row r="73" spans="1:60">
      <c r="A73" s="1032" t="s">
        <v>469</v>
      </c>
      <c r="B73" s="1032" t="s">
        <v>111</v>
      </c>
      <c r="C73" s="1032" t="s">
        <v>461</v>
      </c>
      <c r="D73" s="1032" t="s">
        <v>63</v>
      </c>
      <c r="E73" s="1032" t="s">
        <v>64</v>
      </c>
      <c r="F73" s="1032" t="s">
        <v>65</v>
      </c>
      <c r="G73" s="1032" t="s">
        <v>66</v>
      </c>
      <c r="H73" s="1032" t="s">
        <v>67</v>
      </c>
      <c r="I73" s="1032" t="s">
        <v>68</v>
      </c>
      <c r="J73" s="1032" t="s">
        <v>232</v>
      </c>
      <c r="M73" s="1032" t="s">
        <v>68</v>
      </c>
      <c r="N73" s="1032" t="s">
        <v>68</v>
      </c>
      <c r="O73" s="1032" t="s">
        <v>170</v>
      </c>
      <c r="P73" s="1032" t="s">
        <v>462</v>
      </c>
      <c r="Q73" s="1032" t="s">
        <v>463</v>
      </c>
      <c r="R73" s="1032" t="s">
        <v>73</v>
      </c>
      <c r="S73" s="1032" t="s">
        <v>464</v>
      </c>
      <c r="T73" s="1032">
        <v>550</v>
      </c>
      <c r="U73" s="1032">
        <v>1320</v>
      </c>
      <c r="V73" s="1032">
        <v>0.72599999999999998</v>
      </c>
      <c r="W73" s="1032">
        <v>40</v>
      </c>
      <c r="X73" s="1032">
        <v>2</v>
      </c>
      <c r="Y73" s="1032" t="s">
        <v>75</v>
      </c>
      <c r="Z73" s="1032" t="s">
        <v>75</v>
      </c>
      <c r="AB73" s="1033">
        <v>46044</v>
      </c>
      <c r="AC73" s="1032">
        <v>4</v>
      </c>
      <c r="AD73" s="1032" t="s">
        <v>470</v>
      </c>
      <c r="AF73" s="1032" t="s">
        <v>122</v>
      </c>
      <c r="AG73" s="1032" t="s">
        <v>123</v>
      </c>
      <c r="AH73" s="1032" t="s">
        <v>78</v>
      </c>
      <c r="AI73" s="1033">
        <v>46049</v>
      </c>
      <c r="AJ73" s="1033">
        <v>46055</v>
      </c>
      <c r="AK73" s="1033">
        <v>46056</v>
      </c>
      <c r="AL73" s="1033">
        <v>46098</v>
      </c>
      <c r="AM73" s="1033">
        <v>46101</v>
      </c>
      <c r="AN73" s="1033">
        <v>46103</v>
      </c>
      <c r="AO73" s="1032" t="s">
        <v>66</v>
      </c>
      <c r="AP73" s="1032" t="s">
        <v>466</v>
      </c>
      <c r="AQ73" s="1032" t="s">
        <v>80</v>
      </c>
      <c r="AR73" s="1032" t="s">
        <v>467</v>
      </c>
      <c r="AS73" s="1032" t="s">
        <v>468</v>
      </c>
      <c r="AT73" s="1032" t="s">
        <v>468</v>
      </c>
      <c r="AU73" s="1032">
        <v>47</v>
      </c>
      <c r="AW73" s="1033">
        <v>46103</v>
      </c>
      <c r="AX73" s="1032" t="s">
        <v>84</v>
      </c>
      <c r="AY73" s="1033">
        <v>46115</v>
      </c>
      <c r="AZ73" s="1032">
        <v>8</v>
      </c>
      <c r="BA73" s="1033">
        <v>46111</v>
      </c>
      <c r="BB73" s="1032">
        <v>2026</v>
      </c>
      <c r="BC73" s="1032">
        <v>3</v>
      </c>
      <c r="BD73" s="1032">
        <v>14</v>
      </c>
      <c r="BE73" s="1032">
        <v>33</v>
      </c>
      <c r="BF73" s="1032">
        <v>660</v>
      </c>
      <c r="BG73" s="1032" t="s">
        <v>108</v>
      </c>
      <c r="BH73" s="1032" t="s">
        <v>86</v>
      </c>
    </row>
    <row r="74" spans="1:60">
      <c r="A74" s="1032" t="s">
        <v>471</v>
      </c>
      <c r="B74" s="1032" t="s">
        <v>111</v>
      </c>
      <c r="C74" s="1032" t="s">
        <v>472</v>
      </c>
      <c r="D74" s="1032" t="s">
        <v>63</v>
      </c>
      <c r="E74" s="1032" t="s">
        <v>64</v>
      </c>
      <c r="F74" s="1032" t="s">
        <v>65</v>
      </c>
      <c r="G74" s="1032" t="s">
        <v>66</v>
      </c>
      <c r="H74" s="1032" t="s">
        <v>67</v>
      </c>
      <c r="I74" s="1032" t="s">
        <v>68</v>
      </c>
      <c r="J74" s="1032" t="s">
        <v>232</v>
      </c>
      <c r="M74" s="1032" t="s">
        <v>68</v>
      </c>
      <c r="N74" s="1032" t="s">
        <v>68</v>
      </c>
      <c r="O74" s="1032" t="s">
        <v>473</v>
      </c>
      <c r="P74" s="1032" t="s">
        <v>474</v>
      </c>
      <c r="Q74" s="1032" t="s">
        <v>475</v>
      </c>
      <c r="R74" s="1032" t="s">
        <v>73</v>
      </c>
      <c r="S74" s="1032" t="s">
        <v>74</v>
      </c>
      <c r="T74" s="1032">
        <v>460</v>
      </c>
      <c r="U74" s="1032">
        <v>2592</v>
      </c>
      <c r="V74" s="1032">
        <v>1.1919999999999999</v>
      </c>
      <c r="W74" s="1032">
        <v>72</v>
      </c>
      <c r="X74" s="1032">
        <v>3</v>
      </c>
      <c r="Y74" s="1032" t="s">
        <v>75</v>
      </c>
      <c r="Z74" s="1032" t="s">
        <v>75</v>
      </c>
      <c r="AB74" s="1033">
        <v>46044</v>
      </c>
      <c r="AC74" s="1032">
        <v>4</v>
      </c>
      <c r="AD74" s="1032" t="s">
        <v>476</v>
      </c>
      <c r="AF74" s="1032" t="s">
        <v>122</v>
      </c>
      <c r="AG74" s="1032" t="s">
        <v>123</v>
      </c>
      <c r="AH74" s="1032" t="s">
        <v>78</v>
      </c>
      <c r="AI74" s="1033">
        <v>46049</v>
      </c>
      <c r="AJ74" s="1033">
        <v>46055</v>
      </c>
      <c r="AK74" s="1033">
        <v>46056</v>
      </c>
      <c r="AL74" s="1033">
        <v>46098</v>
      </c>
      <c r="AM74" s="1033">
        <v>46101</v>
      </c>
      <c r="AN74" s="1033">
        <v>46103</v>
      </c>
      <c r="AO74" s="1032" t="s">
        <v>66</v>
      </c>
      <c r="AP74" s="1032" t="s">
        <v>466</v>
      </c>
      <c r="AQ74" s="1032" t="s">
        <v>80</v>
      </c>
      <c r="AR74" s="1032" t="s">
        <v>467</v>
      </c>
      <c r="AS74" s="1032" t="s">
        <v>468</v>
      </c>
      <c r="AT74" s="1032" t="s">
        <v>468</v>
      </c>
      <c r="AU74" s="1032">
        <v>47</v>
      </c>
      <c r="AW74" s="1033">
        <v>46103</v>
      </c>
      <c r="AX74" s="1032" t="s">
        <v>84</v>
      </c>
      <c r="AY74" s="1033">
        <v>46115</v>
      </c>
      <c r="AZ74" s="1032">
        <v>8</v>
      </c>
      <c r="BA74" s="1033">
        <v>46111</v>
      </c>
      <c r="BB74" s="1032">
        <v>2026</v>
      </c>
      <c r="BC74" s="1032">
        <v>3</v>
      </c>
      <c r="BD74" s="1032">
        <v>14</v>
      </c>
      <c r="BE74" s="1032">
        <v>36</v>
      </c>
      <c r="BF74" s="1032">
        <v>864</v>
      </c>
      <c r="BG74" s="1032" t="s">
        <v>85</v>
      </c>
      <c r="BH74" s="1032" t="s">
        <v>86</v>
      </c>
    </row>
    <row r="75" spans="1:60">
      <c r="A75" s="1032" t="s">
        <v>477</v>
      </c>
      <c r="B75" s="1032" t="s">
        <v>111</v>
      </c>
      <c r="C75" s="1032" t="s">
        <v>461</v>
      </c>
      <c r="D75" s="1032" t="s">
        <v>63</v>
      </c>
      <c r="E75" s="1032" t="s">
        <v>64</v>
      </c>
      <c r="F75" s="1032" t="s">
        <v>65</v>
      </c>
      <c r="G75" s="1032" t="s">
        <v>66</v>
      </c>
      <c r="H75" s="1032" t="s">
        <v>67</v>
      </c>
      <c r="I75" s="1032" t="s">
        <v>68</v>
      </c>
      <c r="J75" s="1032" t="s">
        <v>232</v>
      </c>
      <c r="M75" s="1032" t="s">
        <v>68</v>
      </c>
      <c r="N75" s="1032" t="s">
        <v>68</v>
      </c>
      <c r="O75" s="1032" t="s">
        <v>170</v>
      </c>
      <c r="P75" s="1032" t="s">
        <v>462</v>
      </c>
      <c r="Q75" s="1032" t="s">
        <v>463</v>
      </c>
      <c r="R75" s="1032" t="s">
        <v>73</v>
      </c>
      <c r="S75" s="1032" t="s">
        <v>464</v>
      </c>
      <c r="T75" s="1032">
        <v>550</v>
      </c>
      <c r="U75" s="1032">
        <v>660</v>
      </c>
      <c r="V75" s="1032">
        <v>0.36299999999999999</v>
      </c>
      <c r="W75" s="1032">
        <v>20</v>
      </c>
      <c r="X75" s="1032">
        <v>1</v>
      </c>
      <c r="Y75" s="1032" t="s">
        <v>75</v>
      </c>
      <c r="Z75" s="1032" t="s">
        <v>75</v>
      </c>
      <c r="AB75" s="1033">
        <v>46040</v>
      </c>
      <c r="AC75" s="1032">
        <v>3</v>
      </c>
      <c r="AD75" s="1032" t="s">
        <v>478</v>
      </c>
      <c r="AF75" s="1032" t="s">
        <v>122</v>
      </c>
      <c r="AG75" s="1032" t="s">
        <v>123</v>
      </c>
      <c r="AH75" s="1032" t="s">
        <v>78</v>
      </c>
      <c r="AI75" s="1033">
        <v>46045</v>
      </c>
      <c r="AJ75" s="1033">
        <v>46047</v>
      </c>
      <c r="AK75" s="1033">
        <v>46047</v>
      </c>
      <c r="AL75" s="1033">
        <v>46097</v>
      </c>
      <c r="AM75" s="1033">
        <v>46111</v>
      </c>
      <c r="AN75" s="1033">
        <v>46111</v>
      </c>
      <c r="AO75" s="1032" t="s">
        <v>66</v>
      </c>
      <c r="AP75" s="1032" t="s">
        <v>479</v>
      </c>
      <c r="AQ75" s="1032" t="s">
        <v>80</v>
      </c>
      <c r="AR75" s="1032" t="s">
        <v>480</v>
      </c>
      <c r="AS75" s="1032" t="s">
        <v>481</v>
      </c>
      <c r="AT75" s="1032" t="s">
        <v>481</v>
      </c>
      <c r="AU75" s="1032">
        <v>64</v>
      </c>
      <c r="AW75" s="1033">
        <v>46111</v>
      </c>
      <c r="AX75" s="1032" t="s">
        <v>84</v>
      </c>
      <c r="AY75" s="1033">
        <v>46120</v>
      </c>
      <c r="AZ75" s="1032">
        <v>8</v>
      </c>
      <c r="BA75" s="1033">
        <v>46119</v>
      </c>
      <c r="BB75" s="1032">
        <v>2026</v>
      </c>
      <c r="BC75" s="1032">
        <v>4</v>
      </c>
      <c r="BD75" s="1032">
        <v>15</v>
      </c>
      <c r="BE75" s="1032">
        <v>33</v>
      </c>
      <c r="BF75" s="1032">
        <v>660</v>
      </c>
      <c r="BG75" s="1032" t="s">
        <v>108</v>
      </c>
      <c r="BH75" s="1032" t="s">
        <v>86</v>
      </c>
    </row>
    <row r="76" spans="1:60">
      <c r="A76" s="1032" t="s">
        <v>482</v>
      </c>
      <c r="B76" s="1032" t="s">
        <v>111</v>
      </c>
      <c r="C76" s="1032" t="s">
        <v>387</v>
      </c>
      <c r="D76" s="1032" t="s">
        <v>63</v>
      </c>
      <c r="E76" s="1032" t="s">
        <v>64</v>
      </c>
      <c r="F76" s="1032" t="s">
        <v>100</v>
      </c>
      <c r="G76" s="1032" t="s">
        <v>66</v>
      </c>
      <c r="H76" s="1032" t="s">
        <v>67</v>
      </c>
      <c r="I76" s="1032" t="s">
        <v>68</v>
      </c>
      <c r="J76" s="1032" t="s">
        <v>483</v>
      </c>
      <c r="M76" s="1032" t="s">
        <v>68</v>
      </c>
      <c r="N76" s="1032" t="s">
        <v>68</v>
      </c>
      <c r="O76" s="1032" t="s">
        <v>132</v>
      </c>
      <c r="P76" s="1032" t="s">
        <v>189</v>
      </c>
      <c r="Q76" s="1032" t="s">
        <v>190</v>
      </c>
      <c r="R76" s="1032" t="s">
        <v>73</v>
      </c>
      <c r="S76" s="1032" t="s">
        <v>74</v>
      </c>
      <c r="T76" s="1032">
        <v>465</v>
      </c>
      <c r="U76" s="1032">
        <v>864</v>
      </c>
      <c r="V76" s="1032">
        <v>0.40200000000000002</v>
      </c>
      <c r="W76" s="1032">
        <v>24</v>
      </c>
      <c r="X76" s="1032">
        <v>1</v>
      </c>
      <c r="Y76" s="1032" t="s">
        <v>75</v>
      </c>
      <c r="Z76" s="1032" t="s">
        <v>75</v>
      </c>
      <c r="AB76" s="1033">
        <v>46042</v>
      </c>
      <c r="AC76" s="1032">
        <v>4</v>
      </c>
      <c r="AD76" s="1032" t="s">
        <v>484</v>
      </c>
      <c r="AF76" s="1032" t="s">
        <v>122</v>
      </c>
      <c r="AG76" s="1032" t="s">
        <v>123</v>
      </c>
      <c r="AH76" s="1032" t="s">
        <v>105</v>
      </c>
      <c r="AI76" s="1033">
        <v>46050</v>
      </c>
      <c r="AJ76" s="1033">
        <v>46053</v>
      </c>
      <c r="AK76" s="1033">
        <v>46054</v>
      </c>
      <c r="AL76" s="1033">
        <v>46101</v>
      </c>
      <c r="AM76" s="1033">
        <v>46116</v>
      </c>
      <c r="AN76" s="1033">
        <v>46118</v>
      </c>
      <c r="AO76" s="1032" t="s">
        <v>66</v>
      </c>
      <c r="AP76" s="1032" t="s">
        <v>485</v>
      </c>
      <c r="AQ76" s="1032" t="s">
        <v>80</v>
      </c>
      <c r="AR76" s="1032" t="s">
        <v>486</v>
      </c>
      <c r="AS76" s="1032" t="s">
        <v>487</v>
      </c>
      <c r="AT76" s="1032" t="s">
        <v>487</v>
      </c>
      <c r="AU76" s="1032">
        <v>64</v>
      </c>
      <c r="AW76" s="1033">
        <v>46118</v>
      </c>
      <c r="AX76" s="1032" t="s">
        <v>84</v>
      </c>
      <c r="AY76" s="1033">
        <v>46132</v>
      </c>
      <c r="AZ76" s="1032">
        <v>7</v>
      </c>
      <c r="BA76" s="1033">
        <v>46125</v>
      </c>
      <c r="BB76" s="1032">
        <v>2026</v>
      </c>
      <c r="BC76" s="1032">
        <v>4</v>
      </c>
      <c r="BD76" s="1032">
        <v>16</v>
      </c>
      <c r="BE76" s="1032">
        <v>36</v>
      </c>
      <c r="BF76" s="1032">
        <v>864</v>
      </c>
      <c r="BG76" s="1032" t="s">
        <v>108</v>
      </c>
      <c r="BH76" s="1032" t="s">
        <v>109</v>
      </c>
    </row>
    <row r="77" spans="1:60">
      <c r="A77" s="1032" t="s">
        <v>488</v>
      </c>
      <c r="B77" s="1032" t="s">
        <v>111</v>
      </c>
      <c r="C77" s="1032" t="s">
        <v>187</v>
      </c>
      <c r="D77" s="1032" t="s">
        <v>63</v>
      </c>
      <c r="E77" s="1032" t="s">
        <v>64</v>
      </c>
      <c r="F77" s="1032" t="s">
        <v>100</v>
      </c>
      <c r="G77" s="1032" t="s">
        <v>66</v>
      </c>
      <c r="H77" s="1032" t="s">
        <v>67</v>
      </c>
      <c r="I77" s="1032" t="s">
        <v>68</v>
      </c>
      <c r="J77" s="1032" t="s">
        <v>483</v>
      </c>
      <c r="M77" s="1032" t="s">
        <v>68</v>
      </c>
      <c r="N77" s="1032" t="s">
        <v>68</v>
      </c>
      <c r="O77" s="1032" t="s">
        <v>132</v>
      </c>
      <c r="P77" s="1032" t="s">
        <v>189</v>
      </c>
      <c r="Q77" s="1032" t="s">
        <v>190</v>
      </c>
      <c r="R77" s="1032" t="s">
        <v>73</v>
      </c>
      <c r="S77" s="1032" t="s">
        <v>74</v>
      </c>
      <c r="T77" s="1032">
        <v>465</v>
      </c>
      <c r="U77" s="1032">
        <v>1728</v>
      </c>
      <c r="V77" s="1032">
        <v>0.80400000000000005</v>
      </c>
      <c r="W77" s="1032">
        <v>48</v>
      </c>
      <c r="X77" s="1032">
        <v>2</v>
      </c>
      <c r="Y77" s="1032" t="s">
        <v>75</v>
      </c>
      <c r="Z77" s="1032" t="s">
        <v>75</v>
      </c>
      <c r="AB77" s="1033">
        <v>46042</v>
      </c>
      <c r="AC77" s="1032">
        <v>4</v>
      </c>
      <c r="AD77" s="1032" t="s">
        <v>489</v>
      </c>
      <c r="AF77" s="1032" t="s">
        <v>122</v>
      </c>
      <c r="AG77" s="1032" t="s">
        <v>123</v>
      </c>
      <c r="AH77" s="1032" t="s">
        <v>105</v>
      </c>
      <c r="AI77" s="1033">
        <v>46050</v>
      </c>
      <c r="AJ77" s="1033">
        <v>46053</v>
      </c>
      <c r="AK77" s="1033">
        <v>46054</v>
      </c>
      <c r="AL77" s="1033">
        <v>46101</v>
      </c>
      <c r="AM77" s="1033">
        <v>46116</v>
      </c>
      <c r="AN77" s="1033">
        <v>46118</v>
      </c>
      <c r="AO77" s="1032" t="s">
        <v>66</v>
      </c>
      <c r="AP77" s="1032" t="s">
        <v>485</v>
      </c>
      <c r="AQ77" s="1032" t="s">
        <v>80</v>
      </c>
      <c r="AR77" s="1032" t="s">
        <v>486</v>
      </c>
      <c r="AS77" s="1032" t="s">
        <v>487</v>
      </c>
      <c r="AT77" s="1032" t="s">
        <v>487</v>
      </c>
      <c r="AU77" s="1032">
        <v>64</v>
      </c>
      <c r="AW77" s="1033">
        <v>46118</v>
      </c>
      <c r="AX77" s="1032" t="s">
        <v>84</v>
      </c>
      <c r="AY77" s="1033">
        <v>46132</v>
      </c>
      <c r="AZ77" s="1032">
        <v>7</v>
      </c>
      <c r="BA77" s="1033">
        <v>46125</v>
      </c>
      <c r="BB77" s="1032">
        <v>2026</v>
      </c>
      <c r="BC77" s="1032">
        <v>4</v>
      </c>
      <c r="BD77" s="1032">
        <v>16</v>
      </c>
      <c r="BE77" s="1032">
        <v>36</v>
      </c>
      <c r="BF77" s="1032">
        <v>864</v>
      </c>
      <c r="BG77" s="1032" t="s">
        <v>108</v>
      </c>
      <c r="BH77" s="1032" t="s">
        <v>109</v>
      </c>
    </row>
    <row r="78" spans="1:60">
      <c r="A78" s="1032" t="s">
        <v>490</v>
      </c>
      <c r="B78" s="1032" t="s">
        <v>111</v>
      </c>
      <c r="C78" s="1032" t="s">
        <v>387</v>
      </c>
      <c r="D78" s="1032" t="s">
        <v>63</v>
      </c>
      <c r="E78" s="1032" t="s">
        <v>64</v>
      </c>
      <c r="F78" s="1032" t="s">
        <v>100</v>
      </c>
      <c r="G78" s="1032" t="s">
        <v>66</v>
      </c>
      <c r="H78" s="1032" t="s">
        <v>67</v>
      </c>
      <c r="I78" s="1032" t="s">
        <v>68</v>
      </c>
      <c r="J78" s="1032" t="s">
        <v>101</v>
      </c>
      <c r="M78" s="1032" t="s">
        <v>68</v>
      </c>
      <c r="N78" s="1032" t="s">
        <v>68</v>
      </c>
      <c r="O78" s="1032" t="s">
        <v>132</v>
      </c>
      <c r="P78" s="1032" t="s">
        <v>189</v>
      </c>
      <c r="Q78" s="1032" t="s">
        <v>190</v>
      </c>
      <c r="R78" s="1032" t="s">
        <v>73</v>
      </c>
      <c r="S78" s="1032" t="s">
        <v>74</v>
      </c>
      <c r="T78" s="1032">
        <v>465</v>
      </c>
      <c r="U78" s="1032">
        <v>1728</v>
      </c>
      <c r="V78" s="1032">
        <v>0.80400000000000005</v>
      </c>
      <c r="W78" s="1032">
        <v>48</v>
      </c>
      <c r="X78" s="1032">
        <v>2</v>
      </c>
      <c r="Y78" s="1032" t="s">
        <v>75</v>
      </c>
      <c r="Z78" s="1032" t="s">
        <v>75</v>
      </c>
      <c r="AB78" s="1033">
        <v>46040</v>
      </c>
      <c r="AC78" s="1032">
        <v>3</v>
      </c>
      <c r="AD78" s="1032" t="s">
        <v>491</v>
      </c>
      <c r="AF78" s="1032" t="s">
        <v>122</v>
      </c>
      <c r="AG78" s="1032" t="s">
        <v>123</v>
      </c>
      <c r="AH78" s="1032" t="s">
        <v>105</v>
      </c>
      <c r="AI78" s="1033">
        <v>46045</v>
      </c>
      <c r="AJ78" s="1033">
        <v>46047</v>
      </c>
      <c r="AK78" s="1033">
        <v>46047</v>
      </c>
      <c r="AL78" s="1033">
        <v>46089</v>
      </c>
      <c r="AM78" s="1033">
        <v>46111</v>
      </c>
      <c r="AN78" s="1033">
        <v>46111</v>
      </c>
      <c r="AO78" s="1032" t="s">
        <v>66</v>
      </c>
      <c r="AP78" s="1032" t="s">
        <v>479</v>
      </c>
      <c r="AQ78" s="1032" t="s">
        <v>80</v>
      </c>
      <c r="AR78" s="1032" t="s">
        <v>492</v>
      </c>
      <c r="AS78" s="1032" t="s">
        <v>493</v>
      </c>
      <c r="AT78" s="1032" t="s">
        <v>493</v>
      </c>
      <c r="AU78" s="1032">
        <v>64</v>
      </c>
      <c r="AW78" s="1033">
        <v>46111</v>
      </c>
      <c r="AX78" s="1032" t="s">
        <v>84</v>
      </c>
      <c r="AY78" s="1033">
        <v>46125</v>
      </c>
      <c r="AZ78" s="1032">
        <v>7</v>
      </c>
      <c r="BA78" s="1033">
        <v>46118</v>
      </c>
      <c r="BB78" s="1032">
        <v>2026</v>
      </c>
      <c r="BC78" s="1032">
        <v>4</v>
      </c>
      <c r="BD78" s="1032">
        <v>15</v>
      </c>
      <c r="BE78" s="1032">
        <v>36</v>
      </c>
      <c r="BF78" s="1032">
        <v>864</v>
      </c>
      <c r="BG78" s="1032" t="s">
        <v>108</v>
      </c>
      <c r="BH78" s="1032" t="s">
        <v>109</v>
      </c>
    </row>
    <row r="79" spans="1:60">
      <c r="A79" s="1032" t="s">
        <v>494</v>
      </c>
      <c r="B79" s="1032" t="s">
        <v>111</v>
      </c>
      <c r="C79" s="1032" t="s">
        <v>387</v>
      </c>
      <c r="D79" s="1032" t="s">
        <v>63</v>
      </c>
      <c r="E79" s="1032" t="s">
        <v>64</v>
      </c>
      <c r="F79" s="1032" t="s">
        <v>100</v>
      </c>
      <c r="G79" s="1032" t="s">
        <v>66</v>
      </c>
      <c r="H79" s="1032" t="s">
        <v>67</v>
      </c>
      <c r="I79" s="1032" t="s">
        <v>68</v>
      </c>
      <c r="J79" s="1032" t="s">
        <v>101</v>
      </c>
      <c r="M79" s="1032" t="s">
        <v>68</v>
      </c>
      <c r="N79" s="1032" t="s">
        <v>68</v>
      </c>
      <c r="O79" s="1032" t="s">
        <v>132</v>
      </c>
      <c r="P79" s="1032" t="s">
        <v>189</v>
      </c>
      <c r="Q79" s="1032" t="s">
        <v>190</v>
      </c>
      <c r="R79" s="1032" t="s">
        <v>73</v>
      </c>
      <c r="S79" s="1032" t="s">
        <v>74</v>
      </c>
      <c r="T79" s="1032">
        <v>465</v>
      </c>
      <c r="U79" s="1032">
        <v>864</v>
      </c>
      <c r="V79" s="1032">
        <v>0.40200000000000002</v>
      </c>
      <c r="W79" s="1032">
        <v>24</v>
      </c>
      <c r="X79" s="1032">
        <v>1</v>
      </c>
      <c r="Y79" s="1032" t="s">
        <v>75</v>
      </c>
      <c r="Z79" s="1032" t="s">
        <v>75</v>
      </c>
      <c r="AB79" s="1033">
        <v>46040</v>
      </c>
      <c r="AC79" s="1032">
        <v>3</v>
      </c>
      <c r="AD79" s="1032" t="s">
        <v>495</v>
      </c>
      <c r="AF79" s="1032" t="s">
        <v>122</v>
      </c>
      <c r="AG79" s="1032" t="s">
        <v>123</v>
      </c>
      <c r="AH79" s="1032" t="s">
        <v>105</v>
      </c>
      <c r="AI79" s="1033">
        <v>46045</v>
      </c>
      <c r="AJ79" s="1033">
        <v>46047</v>
      </c>
      <c r="AK79" s="1033">
        <v>46047</v>
      </c>
      <c r="AL79" s="1033">
        <v>46089</v>
      </c>
      <c r="AM79" s="1033">
        <v>46111</v>
      </c>
      <c r="AN79" s="1033">
        <v>46111</v>
      </c>
      <c r="AO79" s="1032" t="s">
        <v>66</v>
      </c>
      <c r="AP79" s="1032" t="s">
        <v>479</v>
      </c>
      <c r="AQ79" s="1032" t="s">
        <v>80</v>
      </c>
      <c r="AR79" s="1032" t="s">
        <v>492</v>
      </c>
      <c r="AS79" s="1032" t="s">
        <v>493</v>
      </c>
      <c r="AT79" s="1032" t="s">
        <v>493</v>
      </c>
      <c r="AU79" s="1032">
        <v>64</v>
      </c>
      <c r="AW79" s="1033">
        <v>46111</v>
      </c>
      <c r="AX79" s="1032" t="s">
        <v>84</v>
      </c>
      <c r="AY79" s="1033">
        <v>46125</v>
      </c>
      <c r="AZ79" s="1032">
        <v>7</v>
      </c>
      <c r="BA79" s="1033">
        <v>46118</v>
      </c>
      <c r="BB79" s="1032">
        <v>2026</v>
      </c>
      <c r="BC79" s="1032">
        <v>4</v>
      </c>
      <c r="BD79" s="1032">
        <v>15</v>
      </c>
      <c r="BE79" s="1032">
        <v>36</v>
      </c>
      <c r="BF79" s="1032">
        <v>864</v>
      </c>
      <c r="BG79" s="1032" t="s">
        <v>108</v>
      </c>
      <c r="BH79" s="1032" t="s">
        <v>109</v>
      </c>
    </row>
    <row r="80" spans="1:60">
      <c r="A80" s="1032" t="s">
        <v>496</v>
      </c>
      <c r="B80" s="1032" t="s">
        <v>111</v>
      </c>
      <c r="C80" s="1032" t="s">
        <v>461</v>
      </c>
      <c r="D80" s="1032" t="s">
        <v>63</v>
      </c>
      <c r="E80" s="1032" t="s">
        <v>64</v>
      </c>
      <c r="F80" s="1032" t="s">
        <v>100</v>
      </c>
      <c r="G80" s="1032" t="s">
        <v>66</v>
      </c>
      <c r="H80" s="1032" t="s">
        <v>67</v>
      </c>
      <c r="I80" s="1032" t="s">
        <v>68</v>
      </c>
      <c r="J80" s="1032" t="s">
        <v>169</v>
      </c>
      <c r="M80" s="1032" t="s">
        <v>68</v>
      </c>
      <c r="N80" s="1032" t="s">
        <v>68</v>
      </c>
      <c r="O80" s="1032" t="s">
        <v>170</v>
      </c>
      <c r="P80" s="1032" t="s">
        <v>462</v>
      </c>
      <c r="Q80" s="1032" t="s">
        <v>463</v>
      </c>
      <c r="R80" s="1032" t="s">
        <v>73</v>
      </c>
      <c r="S80" s="1032" t="s">
        <v>464</v>
      </c>
      <c r="T80" s="1032">
        <v>550</v>
      </c>
      <c r="U80" s="1032">
        <v>660</v>
      </c>
      <c r="V80" s="1032">
        <v>0.36299999999999999</v>
      </c>
      <c r="W80" s="1032">
        <v>20</v>
      </c>
      <c r="X80" s="1032">
        <v>1</v>
      </c>
      <c r="Y80" s="1032" t="s">
        <v>75</v>
      </c>
      <c r="Z80" s="1032" t="s">
        <v>75</v>
      </c>
      <c r="AB80" s="1033">
        <v>46040</v>
      </c>
      <c r="AC80" s="1032">
        <v>3</v>
      </c>
      <c r="AD80" s="1032" t="s">
        <v>497</v>
      </c>
      <c r="AF80" s="1032" t="s">
        <v>122</v>
      </c>
      <c r="AG80" s="1032" t="s">
        <v>123</v>
      </c>
      <c r="AH80" s="1032" t="s">
        <v>105</v>
      </c>
      <c r="AI80" s="1033">
        <v>46045</v>
      </c>
      <c r="AJ80" s="1033">
        <v>46047</v>
      </c>
      <c r="AK80" s="1033">
        <v>46047</v>
      </c>
      <c r="AL80" s="1033">
        <v>46089</v>
      </c>
      <c r="AM80" s="1033">
        <v>46111</v>
      </c>
      <c r="AN80" s="1033">
        <v>46111</v>
      </c>
      <c r="AO80" s="1032" t="s">
        <v>66</v>
      </c>
      <c r="AP80" s="1032" t="s">
        <v>479</v>
      </c>
      <c r="AQ80" s="1032" t="s">
        <v>80</v>
      </c>
      <c r="AR80" s="1032" t="s">
        <v>492</v>
      </c>
      <c r="AS80" s="1032" t="s">
        <v>493</v>
      </c>
      <c r="AT80" s="1032" t="s">
        <v>493</v>
      </c>
      <c r="AU80" s="1032">
        <v>64</v>
      </c>
      <c r="AW80" s="1033">
        <v>46111</v>
      </c>
      <c r="AX80" s="1032" t="s">
        <v>84</v>
      </c>
      <c r="AY80" s="1033">
        <v>46125</v>
      </c>
      <c r="AZ80" s="1032">
        <v>7</v>
      </c>
      <c r="BA80" s="1033">
        <v>46118</v>
      </c>
      <c r="BB80" s="1032">
        <v>2026</v>
      </c>
      <c r="BC80" s="1032">
        <v>4</v>
      </c>
      <c r="BD80" s="1032">
        <v>15</v>
      </c>
      <c r="BE80" s="1032">
        <v>33</v>
      </c>
      <c r="BF80" s="1032">
        <v>660</v>
      </c>
      <c r="BG80" s="1032" t="s">
        <v>108</v>
      </c>
      <c r="BH80" s="1032" t="s">
        <v>109</v>
      </c>
    </row>
    <row r="81" spans="1:60">
      <c r="A81" s="1032" t="s">
        <v>498</v>
      </c>
      <c r="B81" s="1032" t="s">
        <v>111</v>
      </c>
      <c r="C81" s="1032" t="s">
        <v>461</v>
      </c>
      <c r="D81" s="1032" t="s">
        <v>63</v>
      </c>
      <c r="E81" s="1032" t="s">
        <v>64</v>
      </c>
      <c r="F81" s="1032" t="s">
        <v>100</v>
      </c>
      <c r="G81" s="1032" t="s">
        <v>66</v>
      </c>
      <c r="H81" s="1032" t="s">
        <v>67</v>
      </c>
      <c r="I81" s="1032" t="s">
        <v>68</v>
      </c>
      <c r="J81" s="1032" t="s">
        <v>169</v>
      </c>
      <c r="M81" s="1032" t="s">
        <v>68</v>
      </c>
      <c r="N81" s="1032" t="s">
        <v>68</v>
      </c>
      <c r="O81" s="1032" t="s">
        <v>170</v>
      </c>
      <c r="P81" s="1032" t="s">
        <v>462</v>
      </c>
      <c r="Q81" s="1032" t="s">
        <v>463</v>
      </c>
      <c r="R81" s="1032" t="s">
        <v>73</v>
      </c>
      <c r="S81" s="1032" t="s">
        <v>464</v>
      </c>
      <c r="T81" s="1032">
        <v>550</v>
      </c>
      <c r="U81" s="1032">
        <v>660</v>
      </c>
      <c r="V81" s="1032">
        <v>0.36299999999999999</v>
      </c>
      <c r="W81" s="1032">
        <v>20</v>
      </c>
      <c r="X81" s="1032">
        <v>1</v>
      </c>
      <c r="Y81" s="1032" t="s">
        <v>75</v>
      </c>
      <c r="Z81" s="1032" t="s">
        <v>75</v>
      </c>
      <c r="AB81" s="1033">
        <v>46040</v>
      </c>
      <c r="AC81" s="1032">
        <v>3</v>
      </c>
      <c r="AD81" s="1032" t="s">
        <v>499</v>
      </c>
      <c r="AF81" s="1032" t="s">
        <v>122</v>
      </c>
      <c r="AG81" s="1032" t="s">
        <v>123</v>
      </c>
      <c r="AH81" s="1032" t="s">
        <v>105</v>
      </c>
      <c r="AI81" s="1033">
        <v>46045</v>
      </c>
      <c r="AJ81" s="1033">
        <v>46047</v>
      </c>
      <c r="AK81" s="1033">
        <v>46047</v>
      </c>
      <c r="AL81" s="1033">
        <v>46089</v>
      </c>
      <c r="AM81" s="1033">
        <v>46111</v>
      </c>
      <c r="AN81" s="1033">
        <v>46111</v>
      </c>
      <c r="AO81" s="1032" t="s">
        <v>66</v>
      </c>
      <c r="AP81" s="1032" t="s">
        <v>479</v>
      </c>
      <c r="AQ81" s="1032" t="s">
        <v>80</v>
      </c>
      <c r="AR81" s="1032" t="s">
        <v>492</v>
      </c>
      <c r="AS81" s="1032" t="s">
        <v>493</v>
      </c>
      <c r="AT81" s="1032" t="s">
        <v>493</v>
      </c>
      <c r="AU81" s="1032">
        <v>64</v>
      </c>
      <c r="AW81" s="1033">
        <v>46111</v>
      </c>
      <c r="AX81" s="1032" t="s">
        <v>84</v>
      </c>
      <c r="AY81" s="1033">
        <v>46125</v>
      </c>
      <c r="AZ81" s="1032">
        <v>7</v>
      </c>
      <c r="BA81" s="1033">
        <v>46118</v>
      </c>
      <c r="BB81" s="1032">
        <v>2026</v>
      </c>
      <c r="BC81" s="1032">
        <v>4</v>
      </c>
      <c r="BD81" s="1032">
        <v>15</v>
      </c>
      <c r="BE81" s="1032">
        <v>33</v>
      </c>
      <c r="BF81" s="1032">
        <v>660</v>
      </c>
      <c r="BG81" s="1032" t="s">
        <v>108</v>
      </c>
      <c r="BH81" s="1032" t="s">
        <v>109</v>
      </c>
    </row>
    <row r="82" spans="1:60">
      <c r="A82" s="1032" t="s">
        <v>500</v>
      </c>
      <c r="B82" s="1032" t="s">
        <v>111</v>
      </c>
      <c r="C82" s="1032" t="s">
        <v>387</v>
      </c>
      <c r="D82" s="1032" t="s">
        <v>63</v>
      </c>
      <c r="E82" s="1032" t="s">
        <v>64</v>
      </c>
      <c r="F82" s="1032" t="s">
        <v>65</v>
      </c>
      <c r="G82" s="1032" t="s">
        <v>66</v>
      </c>
      <c r="H82" s="1032" t="s">
        <v>67</v>
      </c>
      <c r="I82" s="1032" t="s">
        <v>68</v>
      </c>
      <c r="J82" s="1032" t="s">
        <v>188</v>
      </c>
      <c r="M82" s="1032" t="s">
        <v>68</v>
      </c>
      <c r="N82" s="1032" t="s">
        <v>68</v>
      </c>
      <c r="O82" s="1032" t="s">
        <v>132</v>
      </c>
      <c r="P82" s="1032" t="s">
        <v>189</v>
      </c>
      <c r="Q82" s="1032" t="s">
        <v>190</v>
      </c>
      <c r="R82" s="1032" t="s">
        <v>73</v>
      </c>
      <c r="S82" s="1032" t="s">
        <v>74</v>
      </c>
      <c r="T82" s="1032">
        <v>465</v>
      </c>
      <c r="U82" s="1032">
        <v>1728</v>
      </c>
      <c r="V82" s="1032">
        <v>0.80400000000000005</v>
      </c>
      <c r="W82" s="1032">
        <v>48</v>
      </c>
      <c r="X82" s="1032">
        <v>2</v>
      </c>
      <c r="Y82" s="1032" t="s">
        <v>75</v>
      </c>
      <c r="Z82" s="1032" t="s">
        <v>75</v>
      </c>
      <c r="AB82" s="1033">
        <v>46038</v>
      </c>
      <c r="AC82" s="1032">
        <v>3</v>
      </c>
      <c r="AD82" s="1032" t="s">
        <v>501</v>
      </c>
      <c r="AF82" s="1032" t="s">
        <v>122</v>
      </c>
      <c r="AG82" s="1032" t="s">
        <v>123</v>
      </c>
      <c r="AH82" s="1032" t="s">
        <v>78</v>
      </c>
      <c r="AI82" s="1033">
        <v>46045</v>
      </c>
      <c r="AJ82" s="1033">
        <v>46047</v>
      </c>
      <c r="AK82" s="1033">
        <v>46047</v>
      </c>
      <c r="AL82" s="1033">
        <v>46092</v>
      </c>
      <c r="AM82" s="1033">
        <v>46111</v>
      </c>
      <c r="AN82" s="1033">
        <v>46111</v>
      </c>
      <c r="AO82" s="1032" t="s">
        <v>66</v>
      </c>
      <c r="AP82" s="1032" t="s">
        <v>479</v>
      </c>
      <c r="AQ82" s="1032" t="s">
        <v>80</v>
      </c>
      <c r="AR82" s="1032" t="s">
        <v>502</v>
      </c>
      <c r="AS82" s="1032" t="s">
        <v>503</v>
      </c>
      <c r="AT82" s="1032" t="s">
        <v>503</v>
      </c>
      <c r="AU82" s="1032">
        <v>64</v>
      </c>
      <c r="AW82" s="1033">
        <v>46111</v>
      </c>
      <c r="AX82" s="1032" t="s">
        <v>84</v>
      </c>
      <c r="AY82" s="1033">
        <v>46120</v>
      </c>
      <c r="AZ82" s="1032">
        <v>8</v>
      </c>
      <c r="BA82" s="1033">
        <v>46119</v>
      </c>
      <c r="BB82" s="1032">
        <v>2026</v>
      </c>
      <c r="BC82" s="1032">
        <v>4</v>
      </c>
      <c r="BD82" s="1032">
        <v>15</v>
      </c>
      <c r="BE82" s="1032">
        <v>36</v>
      </c>
      <c r="BF82" s="1032">
        <v>864</v>
      </c>
      <c r="BG82" s="1032" t="s">
        <v>108</v>
      </c>
      <c r="BH82" s="1032" t="s">
        <v>86</v>
      </c>
    </row>
    <row r="83" spans="1:60">
      <c r="A83" s="1032" t="s">
        <v>504</v>
      </c>
      <c r="B83" s="1032" t="s">
        <v>111</v>
      </c>
      <c r="C83" s="1032" t="s">
        <v>130</v>
      </c>
      <c r="D83" s="1032" t="s">
        <v>63</v>
      </c>
      <c r="E83" s="1032" t="s">
        <v>64</v>
      </c>
      <c r="F83" s="1032" t="s">
        <v>65</v>
      </c>
      <c r="G83" s="1032" t="s">
        <v>66</v>
      </c>
      <c r="H83" s="1032" t="s">
        <v>67</v>
      </c>
      <c r="I83" s="1032" t="s">
        <v>68</v>
      </c>
      <c r="J83" s="1032" t="s">
        <v>188</v>
      </c>
      <c r="M83" s="1032" t="s">
        <v>68</v>
      </c>
      <c r="N83" s="1032" t="s">
        <v>68</v>
      </c>
      <c r="O83" s="1032" t="s">
        <v>132</v>
      </c>
      <c r="P83" s="1032" t="s">
        <v>133</v>
      </c>
      <c r="Q83" s="1032" t="s">
        <v>134</v>
      </c>
      <c r="R83" s="1032" t="s">
        <v>73</v>
      </c>
      <c r="S83" s="1032" t="s">
        <v>120</v>
      </c>
      <c r="T83" s="1032">
        <v>720</v>
      </c>
      <c r="U83" s="1032">
        <v>594</v>
      </c>
      <c r="V83" s="1032">
        <v>0.42799999999999999</v>
      </c>
      <c r="W83" s="1032">
        <v>18</v>
      </c>
      <c r="X83" s="1032">
        <v>1</v>
      </c>
      <c r="Y83" s="1032" t="s">
        <v>75</v>
      </c>
      <c r="Z83" s="1032" t="s">
        <v>75</v>
      </c>
      <c r="AB83" s="1033">
        <v>46038</v>
      </c>
      <c r="AC83" s="1032">
        <v>3</v>
      </c>
      <c r="AD83" s="1032" t="s">
        <v>505</v>
      </c>
      <c r="AF83" s="1032" t="s">
        <v>122</v>
      </c>
      <c r="AG83" s="1032" t="s">
        <v>123</v>
      </c>
      <c r="AH83" s="1032" t="s">
        <v>78</v>
      </c>
      <c r="AI83" s="1033">
        <v>46045</v>
      </c>
      <c r="AJ83" s="1033">
        <v>46047</v>
      </c>
      <c r="AK83" s="1033">
        <v>46047</v>
      </c>
      <c r="AL83" s="1033">
        <v>46092</v>
      </c>
      <c r="AM83" s="1033">
        <v>46111</v>
      </c>
      <c r="AN83" s="1033">
        <v>46111</v>
      </c>
      <c r="AO83" s="1032" t="s">
        <v>66</v>
      </c>
      <c r="AP83" s="1032" t="s">
        <v>479</v>
      </c>
      <c r="AQ83" s="1032" t="s">
        <v>80</v>
      </c>
      <c r="AR83" s="1032" t="s">
        <v>502</v>
      </c>
      <c r="AS83" s="1032" t="s">
        <v>503</v>
      </c>
      <c r="AT83" s="1032" t="s">
        <v>503</v>
      </c>
      <c r="AU83" s="1032">
        <v>64</v>
      </c>
      <c r="AW83" s="1033">
        <v>46111</v>
      </c>
      <c r="AX83" s="1032" t="s">
        <v>84</v>
      </c>
      <c r="AY83" s="1033">
        <v>46120</v>
      </c>
      <c r="AZ83" s="1032">
        <v>8</v>
      </c>
      <c r="BA83" s="1033">
        <v>46119</v>
      </c>
      <c r="BB83" s="1032">
        <v>2026</v>
      </c>
      <c r="BC83" s="1032">
        <v>4</v>
      </c>
      <c r="BD83" s="1032">
        <v>15</v>
      </c>
      <c r="BE83" s="1032">
        <v>33</v>
      </c>
      <c r="BF83" s="1032">
        <v>594</v>
      </c>
      <c r="BG83" s="1032" t="s">
        <v>108</v>
      </c>
      <c r="BH83" s="1032" t="s">
        <v>86</v>
      </c>
    </row>
    <row r="84" spans="1:60">
      <c r="A84" s="1032" t="s">
        <v>506</v>
      </c>
      <c r="B84" s="1032" t="s">
        <v>111</v>
      </c>
      <c r="C84" s="1032" t="s">
        <v>387</v>
      </c>
      <c r="D84" s="1032" t="s">
        <v>63</v>
      </c>
      <c r="E84" s="1032" t="s">
        <v>64</v>
      </c>
      <c r="F84" s="1032" t="s">
        <v>65</v>
      </c>
      <c r="G84" s="1032" t="s">
        <v>66</v>
      </c>
      <c r="H84" s="1032" t="s">
        <v>67</v>
      </c>
      <c r="I84" s="1032" t="s">
        <v>68</v>
      </c>
      <c r="J84" s="1032" t="s">
        <v>188</v>
      </c>
      <c r="M84" s="1032" t="s">
        <v>68</v>
      </c>
      <c r="N84" s="1032" t="s">
        <v>68</v>
      </c>
      <c r="O84" s="1032" t="s">
        <v>132</v>
      </c>
      <c r="P84" s="1032" t="s">
        <v>189</v>
      </c>
      <c r="Q84" s="1032" t="s">
        <v>190</v>
      </c>
      <c r="R84" s="1032" t="s">
        <v>73</v>
      </c>
      <c r="S84" s="1032" t="s">
        <v>74</v>
      </c>
      <c r="T84" s="1032">
        <v>465</v>
      </c>
      <c r="U84" s="1032">
        <v>3456</v>
      </c>
      <c r="V84" s="1032">
        <v>1.607</v>
      </c>
      <c r="W84" s="1032">
        <v>96</v>
      </c>
      <c r="X84" s="1032">
        <v>4</v>
      </c>
      <c r="Y84" s="1032" t="s">
        <v>75</v>
      </c>
      <c r="Z84" s="1032" t="s">
        <v>75</v>
      </c>
      <c r="AB84" s="1033">
        <v>46038</v>
      </c>
      <c r="AC84" s="1032">
        <v>3</v>
      </c>
      <c r="AD84" s="1032" t="s">
        <v>507</v>
      </c>
      <c r="AF84" s="1032" t="s">
        <v>122</v>
      </c>
      <c r="AG84" s="1032" t="s">
        <v>123</v>
      </c>
      <c r="AH84" s="1032" t="s">
        <v>78</v>
      </c>
      <c r="AI84" s="1033">
        <v>46045</v>
      </c>
      <c r="AJ84" s="1033">
        <v>46047</v>
      </c>
      <c r="AK84" s="1033">
        <v>46047</v>
      </c>
      <c r="AL84" s="1033">
        <v>46092</v>
      </c>
      <c r="AM84" s="1033">
        <v>46111</v>
      </c>
      <c r="AN84" s="1033">
        <v>46111</v>
      </c>
      <c r="AO84" s="1032" t="s">
        <v>66</v>
      </c>
      <c r="AP84" s="1032" t="s">
        <v>479</v>
      </c>
      <c r="AQ84" s="1032" t="s">
        <v>80</v>
      </c>
      <c r="AR84" s="1032" t="s">
        <v>502</v>
      </c>
      <c r="AS84" s="1032" t="s">
        <v>503</v>
      </c>
      <c r="AT84" s="1032" t="s">
        <v>503</v>
      </c>
      <c r="AU84" s="1032">
        <v>64</v>
      </c>
      <c r="AW84" s="1033">
        <v>46111</v>
      </c>
      <c r="AX84" s="1032" t="s">
        <v>84</v>
      </c>
      <c r="AY84" s="1033">
        <v>46120</v>
      </c>
      <c r="AZ84" s="1032">
        <v>8</v>
      </c>
      <c r="BA84" s="1033">
        <v>46119</v>
      </c>
      <c r="BB84" s="1032">
        <v>2026</v>
      </c>
      <c r="BC84" s="1032">
        <v>4</v>
      </c>
      <c r="BD84" s="1032">
        <v>15</v>
      </c>
      <c r="BE84" s="1032">
        <v>36</v>
      </c>
      <c r="BF84" s="1032">
        <v>864</v>
      </c>
      <c r="BG84" s="1032" t="s">
        <v>108</v>
      </c>
      <c r="BH84" s="1032" t="s">
        <v>86</v>
      </c>
    </row>
    <row r="85" spans="1:60">
      <c r="A85" s="1032" t="s">
        <v>508</v>
      </c>
      <c r="B85" s="1032" t="s">
        <v>111</v>
      </c>
      <c r="C85" s="1032" t="s">
        <v>130</v>
      </c>
      <c r="D85" s="1032" t="s">
        <v>63</v>
      </c>
      <c r="E85" s="1032" t="s">
        <v>64</v>
      </c>
      <c r="F85" s="1032" t="s">
        <v>65</v>
      </c>
      <c r="G85" s="1032" t="s">
        <v>66</v>
      </c>
      <c r="H85" s="1032" t="s">
        <v>67</v>
      </c>
      <c r="I85" s="1032" t="s">
        <v>68</v>
      </c>
      <c r="J85" s="1032" t="s">
        <v>188</v>
      </c>
      <c r="M85" s="1032" t="s">
        <v>68</v>
      </c>
      <c r="N85" s="1032" t="s">
        <v>68</v>
      </c>
      <c r="O85" s="1032" t="s">
        <v>132</v>
      </c>
      <c r="P85" s="1032" t="s">
        <v>133</v>
      </c>
      <c r="Q85" s="1032" t="s">
        <v>134</v>
      </c>
      <c r="R85" s="1032" t="s">
        <v>73</v>
      </c>
      <c r="S85" s="1032" t="s">
        <v>120</v>
      </c>
      <c r="T85" s="1032">
        <v>720</v>
      </c>
      <c r="U85" s="1032">
        <v>1782</v>
      </c>
      <c r="V85" s="1032">
        <v>1.2829999999999999</v>
      </c>
      <c r="W85" s="1032">
        <v>54</v>
      </c>
      <c r="X85" s="1032">
        <v>3</v>
      </c>
      <c r="Y85" s="1032" t="s">
        <v>75</v>
      </c>
      <c r="Z85" s="1032" t="s">
        <v>75</v>
      </c>
      <c r="AB85" s="1033">
        <v>46039</v>
      </c>
      <c r="AC85" s="1032">
        <v>3</v>
      </c>
      <c r="AD85" s="1032" t="s">
        <v>509</v>
      </c>
      <c r="AF85" s="1032" t="s">
        <v>122</v>
      </c>
      <c r="AG85" s="1032" t="s">
        <v>123</v>
      </c>
      <c r="AH85" s="1032" t="s">
        <v>78</v>
      </c>
      <c r="AI85" s="1033">
        <v>46045</v>
      </c>
      <c r="AJ85" s="1033">
        <v>46047</v>
      </c>
      <c r="AK85" s="1033">
        <v>46047</v>
      </c>
      <c r="AL85" s="1033">
        <v>46092</v>
      </c>
      <c r="AM85" s="1033">
        <v>46111</v>
      </c>
      <c r="AN85" s="1033">
        <v>46111</v>
      </c>
      <c r="AO85" s="1032" t="s">
        <v>66</v>
      </c>
      <c r="AP85" s="1032" t="s">
        <v>479</v>
      </c>
      <c r="AQ85" s="1032" t="s">
        <v>80</v>
      </c>
      <c r="AR85" s="1032" t="s">
        <v>510</v>
      </c>
      <c r="AS85" s="1032" t="s">
        <v>511</v>
      </c>
      <c r="AT85" s="1032" t="s">
        <v>511</v>
      </c>
      <c r="AU85" s="1032">
        <v>64</v>
      </c>
      <c r="AW85" s="1033">
        <v>46111</v>
      </c>
      <c r="AX85" s="1032" t="s">
        <v>84</v>
      </c>
      <c r="AY85" s="1033">
        <v>46120</v>
      </c>
      <c r="AZ85" s="1032">
        <v>8</v>
      </c>
      <c r="BA85" s="1033">
        <v>46119</v>
      </c>
      <c r="BB85" s="1032">
        <v>2026</v>
      </c>
      <c r="BC85" s="1032">
        <v>4</v>
      </c>
      <c r="BD85" s="1032">
        <v>15</v>
      </c>
      <c r="BE85" s="1032">
        <v>33</v>
      </c>
      <c r="BF85" s="1032">
        <v>594</v>
      </c>
      <c r="BG85" s="1032" t="s">
        <v>108</v>
      </c>
      <c r="BH85" s="1032" t="s">
        <v>86</v>
      </c>
    </row>
    <row r="86" spans="1:60">
      <c r="A86" s="1032" t="s">
        <v>512</v>
      </c>
      <c r="B86" s="1032" t="s">
        <v>111</v>
      </c>
      <c r="C86" s="1032" t="s">
        <v>130</v>
      </c>
      <c r="D86" s="1032" t="s">
        <v>63</v>
      </c>
      <c r="E86" s="1032" t="s">
        <v>64</v>
      </c>
      <c r="F86" s="1032" t="s">
        <v>65</v>
      </c>
      <c r="G86" s="1032" t="s">
        <v>66</v>
      </c>
      <c r="H86" s="1032" t="s">
        <v>67</v>
      </c>
      <c r="I86" s="1032" t="s">
        <v>68</v>
      </c>
      <c r="J86" s="1032" t="s">
        <v>188</v>
      </c>
      <c r="M86" s="1032" t="s">
        <v>68</v>
      </c>
      <c r="N86" s="1032" t="s">
        <v>68</v>
      </c>
      <c r="O86" s="1032" t="s">
        <v>132</v>
      </c>
      <c r="P86" s="1032" t="s">
        <v>133</v>
      </c>
      <c r="Q86" s="1032" t="s">
        <v>134</v>
      </c>
      <c r="R86" s="1032" t="s">
        <v>73</v>
      </c>
      <c r="S86" s="1032" t="s">
        <v>120</v>
      </c>
      <c r="T86" s="1032">
        <v>720</v>
      </c>
      <c r="U86" s="1032">
        <v>2376</v>
      </c>
      <c r="V86" s="1032">
        <v>1.7110000000000001</v>
      </c>
      <c r="W86" s="1032">
        <v>72</v>
      </c>
      <c r="X86" s="1032">
        <v>4</v>
      </c>
      <c r="Y86" s="1032" t="s">
        <v>75</v>
      </c>
      <c r="Z86" s="1032" t="s">
        <v>75</v>
      </c>
      <c r="AB86" s="1033">
        <v>46039</v>
      </c>
      <c r="AC86" s="1032">
        <v>3</v>
      </c>
      <c r="AD86" s="1032" t="s">
        <v>513</v>
      </c>
      <c r="AF86" s="1032" t="s">
        <v>122</v>
      </c>
      <c r="AG86" s="1032" t="s">
        <v>123</v>
      </c>
      <c r="AH86" s="1032" t="s">
        <v>78</v>
      </c>
      <c r="AI86" s="1033">
        <v>46045</v>
      </c>
      <c r="AJ86" s="1033">
        <v>46047</v>
      </c>
      <c r="AK86" s="1033">
        <v>46047</v>
      </c>
      <c r="AL86" s="1033">
        <v>46092</v>
      </c>
      <c r="AM86" s="1033">
        <v>46111</v>
      </c>
      <c r="AN86" s="1033">
        <v>46111</v>
      </c>
      <c r="AO86" s="1032" t="s">
        <v>66</v>
      </c>
      <c r="AP86" s="1032" t="s">
        <v>479</v>
      </c>
      <c r="AQ86" s="1032" t="s">
        <v>80</v>
      </c>
      <c r="AR86" s="1032" t="s">
        <v>510</v>
      </c>
      <c r="AS86" s="1032" t="s">
        <v>511</v>
      </c>
      <c r="AT86" s="1032" t="s">
        <v>511</v>
      </c>
      <c r="AU86" s="1032">
        <v>64</v>
      </c>
      <c r="AW86" s="1033">
        <v>46111</v>
      </c>
      <c r="AX86" s="1032" t="s">
        <v>84</v>
      </c>
      <c r="AY86" s="1033">
        <v>46120</v>
      </c>
      <c r="AZ86" s="1032">
        <v>8</v>
      </c>
      <c r="BA86" s="1033">
        <v>46119</v>
      </c>
      <c r="BB86" s="1032">
        <v>2026</v>
      </c>
      <c r="BC86" s="1032">
        <v>4</v>
      </c>
      <c r="BD86" s="1032">
        <v>15</v>
      </c>
      <c r="BE86" s="1032">
        <v>33</v>
      </c>
      <c r="BF86" s="1032">
        <v>594</v>
      </c>
      <c r="BG86" s="1032" t="s">
        <v>108</v>
      </c>
      <c r="BH86" s="1032" t="s">
        <v>86</v>
      </c>
    </row>
    <row r="87" spans="1:60">
      <c r="A87" s="1032" t="s">
        <v>514</v>
      </c>
      <c r="B87" s="1032" t="s">
        <v>111</v>
      </c>
      <c r="C87" s="1032" t="s">
        <v>112</v>
      </c>
      <c r="D87" s="1032" t="s">
        <v>113</v>
      </c>
      <c r="E87" s="1032" t="s">
        <v>64</v>
      </c>
      <c r="F87" s="1032" t="s">
        <v>114</v>
      </c>
      <c r="G87" s="1032" t="s">
        <v>66</v>
      </c>
      <c r="H87" s="1032" t="s">
        <v>115</v>
      </c>
      <c r="I87" s="1032" t="s">
        <v>68</v>
      </c>
      <c r="J87" s="1032" t="s">
        <v>116</v>
      </c>
      <c r="K87" s="1032" t="s">
        <v>266</v>
      </c>
      <c r="M87" s="1032" t="s">
        <v>68</v>
      </c>
      <c r="N87" s="1032" t="s">
        <v>68</v>
      </c>
      <c r="O87" s="1032" t="s">
        <v>70</v>
      </c>
      <c r="P87" s="1032" t="s">
        <v>118</v>
      </c>
      <c r="Q87" s="1032" t="s">
        <v>119</v>
      </c>
      <c r="R87" s="1032" t="s">
        <v>73</v>
      </c>
      <c r="S87" s="1032" t="s">
        <v>120</v>
      </c>
      <c r="T87" s="1032">
        <v>640</v>
      </c>
      <c r="U87" s="1032" t="s">
        <v>197</v>
      </c>
      <c r="V87" s="1032" t="s">
        <v>515</v>
      </c>
      <c r="W87" s="1032" t="s">
        <v>516</v>
      </c>
      <c r="X87" s="1032">
        <v>0</v>
      </c>
      <c r="Y87" s="1032" t="s">
        <v>75</v>
      </c>
      <c r="Z87" s="1032" t="s">
        <v>75</v>
      </c>
      <c r="AB87" s="1033">
        <v>46040</v>
      </c>
      <c r="AC87" s="1032">
        <v>3</v>
      </c>
      <c r="AD87" s="1032" t="s">
        <v>517</v>
      </c>
      <c r="AF87" s="1032" t="s">
        <v>122</v>
      </c>
      <c r="AG87" s="1032" t="s">
        <v>123</v>
      </c>
      <c r="AH87" s="1032" t="s">
        <v>124</v>
      </c>
      <c r="AI87" s="1033">
        <v>46045</v>
      </c>
      <c r="AJ87" s="1033">
        <v>46047</v>
      </c>
      <c r="AK87" s="1033">
        <v>46047</v>
      </c>
      <c r="AL87" s="1033">
        <v>46100</v>
      </c>
      <c r="AM87" s="1033">
        <v>46114</v>
      </c>
      <c r="AN87" s="1033">
        <v>46117</v>
      </c>
      <c r="AO87" s="1032" t="s">
        <v>66</v>
      </c>
      <c r="AP87" s="1032" t="s">
        <v>479</v>
      </c>
      <c r="AQ87" s="1032" t="s">
        <v>80</v>
      </c>
      <c r="AR87" s="1032" t="s">
        <v>518</v>
      </c>
      <c r="AS87" s="1032" t="s">
        <v>519</v>
      </c>
      <c r="AT87" s="1032" t="s">
        <v>519</v>
      </c>
      <c r="AU87" s="1032">
        <v>70</v>
      </c>
      <c r="AW87" s="1033">
        <v>46117</v>
      </c>
      <c r="AX87" s="1032" t="s">
        <v>84</v>
      </c>
      <c r="AY87" s="1033">
        <v>46120</v>
      </c>
      <c r="AZ87" s="1032">
        <v>9</v>
      </c>
      <c r="BA87" s="1033">
        <v>46126</v>
      </c>
      <c r="BB87" s="1032">
        <v>2026</v>
      </c>
      <c r="BC87" s="1032">
        <v>4</v>
      </c>
      <c r="BD87" s="1032">
        <v>16</v>
      </c>
      <c r="BE87" s="1032">
        <v>36</v>
      </c>
      <c r="BF87" s="1032">
        <v>576</v>
      </c>
      <c r="BG87" s="1032" t="s">
        <v>128</v>
      </c>
      <c r="BH87" s="1032" t="s">
        <v>86</v>
      </c>
    </row>
    <row r="88" spans="1:60">
      <c r="A88" s="1032" t="s">
        <v>520</v>
      </c>
      <c r="B88" s="1032" t="s">
        <v>111</v>
      </c>
      <c r="C88" s="1032" t="s">
        <v>112</v>
      </c>
      <c r="D88" s="1032" t="s">
        <v>113</v>
      </c>
      <c r="E88" s="1032" t="s">
        <v>64</v>
      </c>
      <c r="F88" s="1032" t="s">
        <v>114</v>
      </c>
      <c r="G88" s="1032" t="s">
        <v>66</v>
      </c>
      <c r="H88" s="1032" t="s">
        <v>115</v>
      </c>
      <c r="I88" s="1032" t="s">
        <v>68</v>
      </c>
      <c r="J88" s="1032" t="s">
        <v>116</v>
      </c>
      <c r="K88" s="1032" t="s">
        <v>266</v>
      </c>
      <c r="M88" s="1032" t="s">
        <v>68</v>
      </c>
      <c r="N88" s="1032" t="s">
        <v>68</v>
      </c>
      <c r="O88" s="1032" t="s">
        <v>70</v>
      </c>
      <c r="P88" s="1032" t="s">
        <v>118</v>
      </c>
      <c r="Q88" s="1032" t="s">
        <v>119</v>
      </c>
      <c r="R88" s="1032" t="s">
        <v>73</v>
      </c>
      <c r="S88" s="1032" t="s">
        <v>120</v>
      </c>
      <c r="T88" s="1032">
        <v>640</v>
      </c>
      <c r="U88" s="1032">
        <v>1152</v>
      </c>
      <c r="V88" s="1032">
        <v>0.73699999999999999</v>
      </c>
      <c r="W88" s="1032">
        <v>32</v>
      </c>
      <c r="X88" s="1032">
        <v>2</v>
      </c>
      <c r="Y88" s="1032" t="s">
        <v>75</v>
      </c>
      <c r="Z88" s="1032" t="s">
        <v>75</v>
      </c>
      <c r="AB88" s="1033">
        <v>46042</v>
      </c>
      <c r="AC88" s="1032">
        <v>4</v>
      </c>
      <c r="AD88" s="1032" t="s">
        <v>521</v>
      </c>
      <c r="AF88" s="1032" t="s">
        <v>122</v>
      </c>
      <c r="AG88" s="1032" t="s">
        <v>123</v>
      </c>
      <c r="AH88" s="1032" t="s">
        <v>124</v>
      </c>
      <c r="AI88" s="1033">
        <v>46051</v>
      </c>
      <c r="AJ88" s="1033">
        <v>46053</v>
      </c>
      <c r="AK88" s="1033">
        <v>46054</v>
      </c>
      <c r="AL88" s="1033">
        <v>46093</v>
      </c>
      <c r="AM88" s="1033">
        <v>46095</v>
      </c>
      <c r="AN88" s="1033">
        <v>46095</v>
      </c>
      <c r="AO88" s="1032" t="s">
        <v>66</v>
      </c>
      <c r="AP88" s="1032" t="s">
        <v>485</v>
      </c>
      <c r="AQ88" s="1032" t="s">
        <v>80</v>
      </c>
      <c r="AR88" s="1032" t="s">
        <v>522</v>
      </c>
      <c r="AS88" s="1032" t="s">
        <v>523</v>
      </c>
      <c r="AT88" s="1032" t="s">
        <v>523</v>
      </c>
      <c r="AU88" s="1032">
        <v>41</v>
      </c>
      <c r="AW88" s="1033">
        <v>46095</v>
      </c>
      <c r="AX88" s="1032" t="s">
        <v>84</v>
      </c>
      <c r="AY88" s="1033">
        <v>46107</v>
      </c>
      <c r="AZ88" s="1032">
        <v>9</v>
      </c>
      <c r="BA88" s="1033">
        <v>46104</v>
      </c>
      <c r="BB88" s="1032">
        <v>2026</v>
      </c>
      <c r="BC88" s="1032">
        <v>3</v>
      </c>
      <c r="BD88" s="1032">
        <v>13</v>
      </c>
      <c r="BE88" s="1032">
        <v>36</v>
      </c>
      <c r="BF88" s="1032">
        <v>576</v>
      </c>
      <c r="BG88" s="1032" t="s">
        <v>128</v>
      </c>
      <c r="BH88" s="1032" t="s">
        <v>86</v>
      </c>
    </row>
    <row r="89" spans="1:60">
      <c r="A89" s="1032" t="s">
        <v>524</v>
      </c>
      <c r="B89" s="1032" t="s">
        <v>111</v>
      </c>
      <c r="C89" s="1032" t="s">
        <v>525</v>
      </c>
      <c r="D89" s="1032" t="s">
        <v>63</v>
      </c>
      <c r="E89" s="1032" t="s">
        <v>144</v>
      </c>
      <c r="F89" s="1032" t="s">
        <v>145</v>
      </c>
      <c r="G89" s="1032" t="s">
        <v>402</v>
      </c>
      <c r="H89" s="1032" t="s">
        <v>526</v>
      </c>
      <c r="I89" s="1032" t="s">
        <v>68</v>
      </c>
      <c r="J89" s="1032" t="s">
        <v>527</v>
      </c>
      <c r="K89" s="1032" t="s">
        <v>528</v>
      </c>
      <c r="M89" s="1032" t="s">
        <v>68</v>
      </c>
      <c r="N89" s="1032" t="s">
        <v>68</v>
      </c>
      <c r="O89" s="1032" t="s">
        <v>473</v>
      </c>
      <c r="P89" s="1032" t="s">
        <v>529</v>
      </c>
      <c r="Q89" s="1032" t="s">
        <v>530</v>
      </c>
      <c r="R89" s="1032" t="s">
        <v>73</v>
      </c>
      <c r="S89" s="1032" t="s">
        <v>74</v>
      </c>
      <c r="T89" s="1032">
        <v>455</v>
      </c>
      <c r="U89" s="1032">
        <v>4320</v>
      </c>
      <c r="V89" s="1032">
        <v>1.966</v>
      </c>
      <c r="W89" s="1032">
        <v>120</v>
      </c>
      <c r="X89" s="1032">
        <v>5</v>
      </c>
      <c r="Y89" s="1032" t="s">
        <v>75</v>
      </c>
      <c r="Z89" s="1032" t="s">
        <v>75</v>
      </c>
      <c r="AB89" s="1033">
        <v>46049</v>
      </c>
      <c r="AC89" s="1032">
        <v>5</v>
      </c>
      <c r="AD89" s="1032" t="s">
        <v>531</v>
      </c>
      <c r="AF89" s="1032" t="s">
        <v>122</v>
      </c>
      <c r="AG89" s="1032" t="s">
        <v>123</v>
      </c>
      <c r="AH89" s="1032" t="s">
        <v>532</v>
      </c>
      <c r="AI89" s="1033">
        <v>46055</v>
      </c>
      <c r="AJ89" s="1033">
        <v>46059</v>
      </c>
      <c r="AK89" s="1033">
        <v>46059</v>
      </c>
      <c r="AL89" s="1033">
        <v>46106</v>
      </c>
      <c r="AM89" s="1033">
        <v>46121</v>
      </c>
      <c r="AN89" s="1033">
        <v>46122</v>
      </c>
      <c r="AO89" s="1032" t="s">
        <v>402</v>
      </c>
      <c r="AP89" s="1032" t="s">
        <v>533</v>
      </c>
      <c r="AQ89" s="1032" t="s">
        <v>161</v>
      </c>
      <c r="AR89" s="1032" t="s">
        <v>534</v>
      </c>
      <c r="AS89" s="1032" t="s">
        <v>535</v>
      </c>
      <c r="AT89" s="1032" t="s">
        <v>536</v>
      </c>
      <c r="AU89" s="1032">
        <v>63</v>
      </c>
      <c r="AW89" s="1033">
        <v>46122</v>
      </c>
      <c r="AX89" s="1032" t="s">
        <v>84</v>
      </c>
      <c r="AY89" s="1033">
        <v>46120</v>
      </c>
      <c r="AZ89" s="1032" t="s">
        <v>152</v>
      </c>
      <c r="BA89" s="1033">
        <v>46122</v>
      </c>
      <c r="BB89" s="1032">
        <v>2026</v>
      </c>
      <c r="BC89" s="1032">
        <v>4</v>
      </c>
      <c r="BD89" s="1032">
        <v>15</v>
      </c>
      <c r="BE89" s="1032">
        <v>36</v>
      </c>
      <c r="BF89" s="1032">
        <v>864</v>
      </c>
      <c r="BG89" s="1032" t="s">
        <v>85</v>
      </c>
      <c r="BH89" s="1032" t="s">
        <v>109</v>
      </c>
    </row>
    <row r="90" spans="1:60">
      <c r="A90" s="1032" t="s">
        <v>537</v>
      </c>
      <c r="B90" s="1032" t="s">
        <v>111</v>
      </c>
      <c r="C90" s="1032" t="s">
        <v>203</v>
      </c>
      <c r="D90" s="1032" t="s">
        <v>63</v>
      </c>
      <c r="E90" s="1032" t="s">
        <v>144</v>
      </c>
      <c r="F90" s="1032" t="s">
        <v>145</v>
      </c>
      <c r="G90" s="1032" t="s">
        <v>402</v>
      </c>
      <c r="H90" s="1032" t="s">
        <v>538</v>
      </c>
      <c r="I90" s="1032" t="s">
        <v>68</v>
      </c>
      <c r="J90" s="1032" t="s">
        <v>538</v>
      </c>
      <c r="K90" s="1032" t="s">
        <v>539</v>
      </c>
      <c r="M90" s="1032" t="s">
        <v>68</v>
      </c>
      <c r="N90" s="1032" t="s">
        <v>68</v>
      </c>
      <c r="O90" s="1032" t="s">
        <v>473</v>
      </c>
      <c r="P90" s="1032" t="s">
        <v>529</v>
      </c>
      <c r="Q90" s="1032" t="s">
        <v>530</v>
      </c>
      <c r="R90" s="1032" t="s">
        <v>73</v>
      </c>
      <c r="S90" s="1032" t="s">
        <v>74</v>
      </c>
      <c r="T90" s="1032">
        <v>455</v>
      </c>
      <c r="U90" s="1032">
        <v>1728</v>
      </c>
      <c r="V90" s="1032">
        <v>0.78600000000000003</v>
      </c>
      <c r="W90" s="1032">
        <v>48</v>
      </c>
      <c r="X90" s="1032">
        <v>2</v>
      </c>
      <c r="Y90" s="1032" t="s">
        <v>75</v>
      </c>
      <c r="Z90" s="1032" t="s">
        <v>75</v>
      </c>
      <c r="AB90" s="1033">
        <v>46040</v>
      </c>
      <c r="AC90" s="1032">
        <v>3</v>
      </c>
      <c r="AD90" s="1032" t="s">
        <v>540</v>
      </c>
      <c r="AF90" s="1032" t="s">
        <v>122</v>
      </c>
      <c r="AG90" s="1032" t="s">
        <v>123</v>
      </c>
      <c r="AH90" s="1032" t="s">
        <v>541</v>
      </c>
      <c r="AI90" s="1033">
        <v>46047</v>
      </c>
      <c r="AJ90" s="1033">
        <v>46054</v>
      </c>
      <c r="AK90" s="1033">
        <v>46054</v>
      </c>
      <c r="AL90" s="1033">
        <v>46093</v>
      </c>
      <c r="AM90" s="1033">
        <v>46107</v>
      </c>
      <c r="AN90" s="1033">
        <v>46107</v>
      </c>
      <c r="AO90" s="1032" t="s">
        <v>402</v>
      </c>
      <c r="AP90" s="1032" t="s">
        <v>542</v>
      </c>
      <c r="AQ90" s="1032" t="s">
        <v>161</v>
      </c>
      <c r="AR90" s="1032" t="s">
        <v>543</v>
      </c>
      <c r="AS90" s="1032" t="s">
        <v>544</v>
      </c>
      <c r="AT90" s="1032" t="s">
        <v>544</v>
      </c>
      <c r="AU90" s="1032">
        <v>53</v>
      </c>
      <c r="AW90" s="1033">
        <v>46107</v>
      </c>
      <c r="AX90" s="1032" t="s">
        <v>84</v>
      </c>
      <c r="AY90" s="1033">
        <v>46104</v>
      </c>
      <c r="AZ90" s="1032" t="s">
        <v>152</v>
      </c>
      <c r="BA90" s="1033">
        <v>46107</v>
      </c>
      <c r="BB90" s="1032">
        <v>2026</v>
      </c>
      <c r="BC90" s="1032">
        <v>3</v>
      </c>
      <c r="BD90" s="1032">
        <v>13</v>
      </c>
      <c r="BE90" s="1032">
        <v>36</v>
      </c>
      <c r="BF90" s="1032">
        <v>864</v>
      </c>
      <c r="BG90" s="1032" t="s">
        <v>85</v>
      </c>
      <c r="BH90" s="1032" t="s">
        <v>109</v>
      </c>
    </row>
    <row r="91" spans="1:60">
      <c r="A91" s="1032" t="s">
        <v>545</v>
      </c>
      <c r="B91" s="1032" t="s">
        <v>111</v>
      </c>
      <c r="C91" s="1032" t="s">
        <v>203</v>
      </c>
      <c r="D91" s="1032" t="s">
        <v>63</v>
      </c>
      <c r="E91" s="1032" t="s">
        <v>144</v>
      </c>
      <c r="F91" s="1032" t="s">
        <v>145</v>
      </c>
      <c r="G91" s="1032" t="s">
        <v>402</v>
      </c>
      <c r="H91" s="1032" t="s">
        <v>538</v>
      </c>
      <c r="I91" s="1032" t="s">
        <v>68</v>
      </c>
      <c r="J91" s="1032" t="s">
        <v>538</v>
      </c>
      <c r="K91" s="1032" t="s">
        <v>539</v>
      </c>
      <c r="M91" s="1032" t="s">
        <v>68</v>
      </c>
      <c r="N91" s="1032" t="s">
        <v>68</v>
      </c>
      <c r="O91" s="1032" t="s">
        <v>473</v>
      </c>
      <c r="P91" s="1032" t="s">
        <v>529</v>
      </c>
      <c r="Q91" s="1032" t="s">
        <v>530</v>
      </c>
      <c r="R91" s="1032" t="s">
        <v>73</v>
      </c>
      <c r="S91" s="1032" t="s">
        <v>74</v>
      </c>
      <c r="T91" s="1032">
        <v>455</v>
      </c>
      <c r="U91" s="1032">
        <v>2592</v>
      </c>
      <c r="V91" s="1032">
        <v>1.179</v>
      </c>
      <c r="W91" s="1032">
        <v>72</v>
      </c>
      <c r="X91" s="1032">
        <v>3</v>
      </c>
      <c r="Y91" s="1032" t="s">
        <v>75</v>
      </c>
      <c r="Z91" s="1032" t="s">
        <v>75</v>
      </c>
      <c r="AB91" s="1033">
        <v>46040</v>
      </c>
      <c r="AC91" s="1032">
        <v>3</v>
      </c>
      <c r="AD91" s="1032" t="s">
        <v>546</v>
      </c>
      <c r="AF91" s="1032" t="s">
        <v>122</v>
      </c>
      <c r="AG91" s="1032" t="s">
        <v>123</v>
      </c>
      <c r="AH91" s="1032" t="s">
        <v>541</v>
      </c>
      <c r="AI91" s="1033">
        <v>46047</v>
      </c>
      <c r="AJ91" s="1033">
        <v>46054</v>
      </c>
      <c r="AK91" s="1033">
        <v>46054</v>
      </c>
      <c r="AL91" s="1033">
        <v>46093</v>
      </c>
      <c r="AM91" s="1033">
        <v>46107</v>
      </c>
      <c r="AN91" s="1033">
        <v>46107</v>
      </c>
      <c r="AO91" s="1032" t="s">
        <v>402</v>
      </c>
      <c r="AP91" s="1032" t="s">
        <v>542</v>
      </c>
      <c r="AQ91" s="1032" t="s">
        <v>161</v>
      </c>
      <c r="AR91" s="1032" t="s">
        <v>543</v>
      </c>
      <c r="AS91" s="1032" t="s">
        <v>544</v>
      </c>
      <c r="AT91" s="1032" t="s">
        <v>544</v>
      </c>
      <c r="AU91" s="1032">
        <v>53</v>
      </c>
      <c r="AW91" s="1033">
        <v>46107</v>
      </c>
      <c r="AX91" s="1032" t="s">
        <v>84</v>
      </c>
      <c r="AY91" s="1033">
        <v>46104</v>
      </c>
      <c r="AZ91" s="1032" t="s">
        <v>152</v>
      </c>
      <c r="BA91" s="1033">
        <v>46107</v>
      </c>
      <c r="BB91" s="1032">
        <v>2026</v>
      </c>
      <c r="BC91" s="1032">
        <v>3</v>
      </c>
      <c r="BD91" s="1032">
        <v>13</v>
      </c>
      <c r="BE91" s="1032">
        <v>36</v>
      </c>
      <c r="BF91" s="1032">
        <v>864</v>
      </c>
      <c r="BG91" s="1032" t="s">
        <v>85</v>
      </c>
      <c r="BH91" s="1032" t="s">
        <v>109</v>
      </c>
    </row>
    <row r="92" spans="1:60">
      <c r="A92" s="1032" t="s">
        <v>547</v>
      </c>
      <c r="B92" s="1032" t="s">
        <v>111</v>
      </c>
      <c r="C92" s="1032" t="s">
        <v>548</v>
      </c>
      <c r="D92" s="1032" t="s">
        <v>63</v>
      </c>
      <c r="E92" s="1032" t="s">
        <v>144</v>
      </c>
      <c r="F92" s="1032" t="s">
        <v>145</v>
      </c>
      <c r="G92" s="1032" t="s">
        <v>402</v>
      </c>
      <c r="H92" s="1032" t="s">
        <v>538</v>
      </c>
      <c r="I92" s="1032" t="s">
        <v>68</v>
      </c>
      <c r="J92" s="1032" t="s">
        <v>538</v>
      </c>
      <c r="K92" s="1032" t="s">
        <v>549</v>
      </c>
      <c r="M92" s="1032" t="s">
        <v>68</v>
      </c>
      <c r="N92" s="1032" t="s">
        <v>68</v>
      </c>
      <c r="O92" s="1032" t="s">
        <v>550</v>
      </c>
      <c r="P92" s="1032" t="s">
        <v>551</v>
      </c>
      <c r="Q92" s="1032" t="s">
        <v>552</v>
      </c>
      <c r="R92" s="1032" t="s">
        <v>73</v>
      </c>
      <c r="S92" s="1032" t="s">
        <v>553</v>
      </c>
      <c r="T92" s="1032">
        <v>510</v>
      </c>
      <c r="U92" s="1032">
        <v>2376</v>
      </c>
      <c r="V92" s="1032">
        <v>1.212</v>
      </c>
      <c r="W92" s="1032">
        <v>66</v>
      </c>
      <c r="X92" s="1032">
        <v>3</v>
      </c>
      <c r="Y92" s="1032" t="s">
        <v>75</v>
      </c>
      <c r="Z92" s="1032" t="s">
        <v>75</v>
      </c>
      <c r="AB92" s="1033">
        <v>46040</v>
      </c>
      <c r="AC92" s="1032">
        <v>3</v>
      </c>
      <c r="AD92" s="1032" t="s">
        <v>554</v>
      </c>
      <c r="AF92" s="1032" t="s">
        <v>122</v>
      </c>
      <c r="AG92" s="1032" t="s">
        <v>123</v>
      </c>
      <c r="AH92" s="1032" t="s">
        <v>541</v>
      </c>
      <c r="AI92" s="1033">
        <v>46047</v>
      </c>
      <c r="AJ92" s="1033">
        <v>46054</v>
      </c>
      <c r="AK92" s="1033">
        <v>46054</v>
      </c>
      <c r="AL92" s="1033">
        <v>46093</v>
      </c>
      <c r="AM92" s="1033">
        <v>46107</v>
      </c>
      <c r="AN92" s="1033">
        <v>46107</v>
      </c>
      <c r="AO92" s="1032" t="s">
        <v>402</v>
      </c>
      <c r="AP92" s="1032" t="s">
        <v>542</v>
      </c>
      <c r="AQ92" s="1032" t="s">
        <v>161</v>
      </c>
      <c r="AR92" s="1032" t="s">
        <v>543</v>
      </c>
      <c r="AS92" s="1032" t="s">
        <v>544</v>
      </c>
      <c r="AT92" s="1032" t="s">
        <v>544</v>
      </c>
      <c r="AU92" s="1032">
        <v>53</v>
      </c>
      <c r="AW92" s="1033">
        <v>46107</v>
      </c>
      <c r="AX92" s="1032" t="s">
        <v>84</v>
      </c>
      <c r="AY92" s="1033">
        <v>46104</v>
      </c>
      <c r="AZ92" s="1032" t="s">
        <v>152</v>
      </c>
      <c r="BA92" s="1033">
        <v>46107</v>
      </c>
      <c r="BB92" s="1032">
        <v>2026</v>
      </c>
      <c r="BC92" s="1032">
        <v>3</v>
      </c>
      <c r="BD92" s="1032">
        <v>13</v>
      </c>
      <c r="BE92" s="1032">
        <v>36</v>
      </c>
      <c r="BF92" s="1032">
        <v>792</v>
      </c>
      <c r="BG92" s="1032" t="s">
        <v>85</v>
      </c>
      <c r="BH92" s="1032" t="s">
        <v>109</v>
      </c>
    </row>
    <row r="93" spans="1:60">
      <c r="A93" s="1032" t="s">
        <v>555</v>
      </c>
      <c r="B93" s="1032" t="s">
        <v>111</v>
      </c>
      <c r="C93" s="1032" t="s">
        <v>525</v>
      </c>
      <c r="D93" s="1032" t="s">
        <v>63</v>
      </c>
      <c r="E93" s="1032" t="s">
        <v>144</v>
      </c>
      <c r="F93" s="1032" t="s">
        <v>145</v>
      </c>
      <c r="G93" s="1032" t="s">
        <v>402</v>
      </c>
      <c r="H93" s="1032" t="s">
        <v>538</v>
      </c>
      <c r="I93" s="1032" t="s">
        <v>68</v>
      </c>
      <c r="J93" s="1032" t="s">
        <v>538</v>
      </c>
      <c r="K93" s="1032" t="s">
        <v>549</v>
      </c>
      <c r="M93" s="1032" t="s">
        <v>68</v>
      </c>
      <c r="N93" s="1032" t="s">
        <v>68</v>
      </c>
      <c r="O93" s="1032" t="s">
        <v>473</v>
      </c>
      <c r="P93" s="1032" t="s">
        <v>529</v>
      </c>
      <c r="Q93" s="1032" t="s">
        <v>530</v>
      </c>
      <c r="R93" s="1032" t="s">
        <v>73</v>
      </c>
      <c r="S93" s="1032" t="s">
        <v>74</v>
      </c>
      <c r="T93" s="1032">
        <v>455</v>
      </c>
      <c r="U93" s="1032">
        <v>5184</v>
      </c>
      <c r="V93" s="1032">
        <v>2.359</v>
      </c>
      <c r="W93" s="1032">
        <v>144</v>
      </c>
      <c r="X93" s="1032">
        <v>6</v>
      </c>
      <c r="Y93" s="1032" t="s">
        <v>75</v>
      </c>
      <c r="Z93" s="1032" t="s">
        <v>75</v>
      </c>
      <c r="AB93" s="1033">
        <v>46040</v>
      </c>
      <c r="AC93" s="1032">
        <v>3</v>
      </c>
      <c r="AD93" s="1032" t="s">
        <v>556</v>
      </c>
      <c r="AF93" s="1032" t="s">
        <v>122</v>
      </c>
      <c r="AG93" s="1032" t="s">
        <v>123</v>
      </c>
      <c r="AH93" s="1032" t="s">
        <v>541</v>
      </c>
      <c r="AI93" s="1033">
        <v>46047</v>
      </c>
      <c r="AJ93" s="1033">
        <v>46054</v>
      </c>
      <c r="AK93" s="1033">
        <v>46054</v>
      </c>
      <c r="AL93" s="1033">
        <v>46093</v>
      </c>
      <c r="AM93" s="1033">
        <v>46107</v>
      </c>
      <c r="AN93" s="1033">
        <v>46107</v>
      </c>
      <c r="AO93" s="1032" t="s">
        <v>402</v>
      </c>
      <c r="AP93" s="1032" t="s">
        <v>542</v>
      </c>
      <c r="AQ93" s="1032" t="s">
        <v>161</v>
      </c>
      <c r="AR93" s="1032" t="s">
        <v>543</v>
      </c>
      <c r="AS93" s="1032" t="s">
        <v>544</v>
      </c>
      <c r="AT93" s="1032" t="s">
        <v>544</v>
      </c>
      <c r="AU93" s="1032">
        <v>53</v>
      </c>
      <c r="AW93" s="1033">
        <v>46107</v>
      </c>
      <c r="AX93" s="1032" t="s">
        <v>84</v>
      </c>
      <c r="AY93" s="1033">
        <v>46104</v>
      </c>
      <c r="AZ93" s="1032" t="s">
        <v>152</v>
      </c>
      <c r="BA93" s="1033">
        <v>46107</v>
      </c>
      <c r="BB93" s="1032">
        <v>2026</v>
      </c>
      <c r="BC93" s="1032">
        <v>3</v>
      </c>
      <c r="BD93" s="1032">
        <v>13</v>
      </c>
      <c r="BE93" s="1032">
        <v>36</v>
      </c>
      <c r="BF93" s="1032">
        <v>864</v>
      </c>
      <c r="BG93" s="1032" t="s">
        <v>85</v>
      </c>
      <c r="BH93" s="1032" t="s">
        <v>109</v>
      </c>
    </row>
    <row r="94" spans="1:60">
      <c r="A94" s="1032" t="s">
        <v>557</v>
      </c>
      <c r="B94" s="1032" t="s">
        <v>61</v>
      </c>
      <c r="C94" s="1032" t="s">
        <v>558</v>
      </c>
      <c r="D94" s="1032" t="s">
        <v>63</v>
      </c>
      <c r="E94" s="1032" t="s">
        <v>144</v>
      </c>
      <c r="F94" s="1032" t="s">
        <v>145</v>
      </c>
      <c r="G94" s="1032" t="s">
        <v>402</v>
      </c>
      <c r="H94" s="1032" t="s">
        <v>538</v>
      </c>
      <c r="I94" s="1032" t="s">
        <v>68</v>
      </c>
      <c r="J94" s="1032" t="s">
        <v>538</v>
      </c>
      <c r="K94" s="1032" t="s">
        <v>559</v>
      </c>
      <c r="M94" s="1032" t="s">
        <v>68</v>
      </c>
      <c r="N94" s="1032" t="s">
        <v>68</v>
      </c>
      <c r="O94" s="1032" t="s">
        <v>70</v>
      </c>
      <c r="P94" s="1032" t="s">
        <v>560</v>
      </c>
      <c r="Q94" s="1032" t="s">
        <v>196</v>
      </c>
      <c r="R94" s="1032" t="s">
        <v>73</v>
      </c>
      <c r="S94" s="1032" t="s">
        <v>120</v>
      </c>
      <c r="T94" s="1032">
        <v>450</v>
      </c>
      <c r="U94" s="1032">
        <v>1872</v>
      </c>
      <c r="V94" s="1032">
        <v>0.84199999999999997</v>
      </c>
      <c r="W94" s="1032">
        <v>52</v>
      </c>
      <c r="X94" s="1032">
        <v>2</v>
      </c>
      <c r="Y94" s="1032" t="s">
        <v>75</v>
      </c>
      <c r="Z94" s="1032" t="s">
        <v>75</v>
      </c>
      <c r="AB94" s="1033">
        <v>46044</v>
      </c>
      <c r="AC94" s="1032">
        <v>4</v>
      </c>
      <c r="AD94" s="1032" t="s">
        <v>561</v>
      </c>
      <c r="AF94" s="1032" t="s">
        <v>77</v>
      </c>
      <c r="AG94" s="1032" t="s">
        <v>61</v>
      </c>
      <c r="AH94" s="1032" t="s">
        <v>541</v>
      </c>
      <c r="AI94" s="1033">
        <v>46050</v>
      </c>
      <c r="AJ94" s="1033">
        <v>46051</v>
      </c>
      <c r="AK94" s="1033">
        <v>46051</v>
      </c>
      <c r="AL94" s="1033">
        <v>46119</v>
      </c>
      <c r="AM94" s="1033">
        <v>46128</v>
      </c>
      <c r="AN94" s="1033">
        <v>46128</v>
      </c>
      <c r="AO94" s="1032" t="s">
        <v>402</v>
      </c>
      <c r="AP94" s="1032" t="s">
        <v>562</v>
      </c>
      <c r="AQ94" s="1032" t="s">
        <v>161</v>
      </c>
      <c r="AR94" s="1032" t="s">
        <v>563</v>
      </c>
      <c r="AS94" s="1032" t="s">
        <v>564</v>
      </c>
      <c r="AT94" s="1032" t="s">
        <v>564</v>
      </c>
      <c r="AU94" s="1032">
        <v>77</v>
      </c>
      <c r="AW94" s="1033">
        <v>46128</v>
      </c>
      <c r="AX94" s="1032" t="s">
        <v>84</v>
      </c>
      <c r="AY94" s="1033">
        <v>46118</v>
      </c>
      <c r="AZ94" s="1032" t="s">
        <v>152</v>
      </c>
      <c r="BA94" s="1033">
        <v>46128</v>
      </c>
      <c r="BB94" s="1032">
        <v>2026</v>
      </c>
      <c r="BC94" s="1032">
        <v>4</v>
      </c>
      <c r="BD94" s="1032">
        <v>16</v>
      </c>
      <c r="BE94" s="1032">
        <v>36</v>
      </c>
      <c r="BF94" s="1032">
        <v>936</v>
      </c>
      <c r="BG94" s="1032" t="s">
        <v>94</v>
      </c>
      <c r="BH94" s="1032" t="s">
        <v>109</v>
      </c>
    </row>
    <row r="95" spans="1:60">
      <c r="A95" s="1032" t="s">
        <v>565</v>
      </c>
      <c r="B95" s="1032" t="s">
        <v>61</v>
      </c>
      <c r="C95" s="1032" t="s">
        <v>558</v>
      </c>
      <c r="D95" s="1032" t="s">
        <v>63</v>
      </c>
      <c r="E95" s="1032" t="s">
        <v>144</v>
      </c>
      <c r="F95" s="1032" t="s">
        <v>145</v>
      </c>
      <c r="G95" s="1032" t="s">
        <v>402</v>
      </c>
      <c r="H95" s="1032" t="s">
        <v>538</v>
      </c>
      <c r="I95" s="1032" t="s">
        <v>68</v>
      </c>
      <c r="J95" s="1032" t="s">
        <v>538</v>
      </c>
      <c r="K95" s="1032" t="s">
        <v>566</v>
      </c>
      <c r="M95" s="1032" t="s">
        <v>68</v>
      </c>
      <c r="N95" s="1032" t="s">
        <v>68</v>
      </c>
      <c r="O95" s="1032" t="s">
        <v>70</v>
      </c>
      <c r="P95" s="1032" t="s">
        <v>560</v>
      </c>
      <c r="Q95" s="1032" t="s">
        <v>196</v>
      </c>
      <c r="R95" s="1032" t="s">
        <v>73</v>
      </c>
      <c r="S95" s="1032" t="s">
        <v>120</v>
      </c>
      <c r="T95" s="1032">
        <v>450</v>
      </c>
      <c r="U95" s="1032">
        <v>1872</v>
      </c>
      <c r="V95" s="1032">
        <v>0.84199999999999997</v>
      </c>
      <c r="W95" s="1032">
        <v>52</v>
      </c>
      <c r="X95" s="1032">
        <v>2</v>
      </c>
      <c r="Y95" s="1032" t="s">
        <v>75</v>
      </c>
      <c r="Z95" s="1032" t="s">
        <v>75</v>
      </c>
      <c r="AB95" s="1033">
        <v>46044</v>
      </c>
      <c r="AC95" s="1032">
        <v>4</v>
      </c>
      <c r="AD95" s="1032" t="s">
        <v>567</v>
      </c>
      <c r="AF95" s="1032" t="s">
        <v>77</v>
      </c>
      <c r="AG95" s="1032" t="s">
        <v>61</v>
      </c>
      <c r="AH95" s="1032" t="s">
        <v>541</v>
      </c>
      <c r="AI95" s="1033">
        <v>46050</v>
      </c>
      <c r="AJ95" s="1033">
        <v>46051</v>
      </c>
      <c r="AK95" s="1033">
        <v>46051</v>
      </c>
      <c r="AL95" s="1033">
        <v>46119</v>
      </c>
      <c r="AM95" s="1033">
        <v>46128</v>
      </c>
      <c r="AN95" s="1033">
        <v>46128</v>
      </c>
      <c r="AO95" s="1032" t="s">
        <v>402</v>
      </c>
      <c r="AP95" s="1032" t="s">
        <v>562</v>
      </c>
      <c r="AQ95" s="1032" t="s">
        <v>161</v>
      </c>
      <c r="AR95" s="1032" t="s">
        <v>563</v>
      </c>
      <c r="AS95" s="1032" t="s">
        <v>564</v>
      </c>
      <c r="AT95" s="1032" t="s">
        <v>564</v>
      </c>
      <c r="AU95" s="1032">
        <v>77</v>
      </c>
      <c r="AW95" s="1033">
        <v>46128</v>
      </c>
      <c r="AX95" s="1032" t="s">
        <v>84</v>
      </c>
      <c r="AY95" s="1033">
        <v>46118</v>
      </c>
      <c r="AZ95" s="1032" t="s">
        <v>152</v>
      </c>
      <c r="BA95" s="1033">
        <v>46128</v>
      </c>
      <c r="BB95" s="1032">
        <v>2026</v>
      </c>
      <c r="BC95" s="1032">
        <v>4</v>
      </c>
      <c r="BD95" s="1032">
        <v>16</v>
      </c>
      <c r="BE95" s="1032">
        <v>36</v>
      </c>
      <c r="BF95" s="1032">
        <v>936</v>
      </c>
      <c r="BG95" s="1032" t="s">
        <v>94</v>
      </c>
      <c r="BH95" s="1032" t="s">
        <v>109</v>
      </c>
    </row>
    <row r="96" spans="1:60">
      <c r="A96" s="1032" t="s">
        <v>568</v>
      </c>
      <c r="B96" s="1032" t="s">
        <v>61</v>
      </c>
      <c r="C96" s="1032" t="s">
        <v>569</v>
      </c>
      <c r="D96" s="1032" t="s">
        <v>63</v>
      </c>
      <c r="E96" s="1032" t="s">
        <v>144</v>
      </c>
      <c r="F96" s="1032" t="s">
        <v>145</v>
      </c>
      <c r="G96" s="1032" t="s">
        <v>402</v>
      </c>
      <c r="H96" s="1032" t="s">
        <v>538</v>
      </c>
      <c r="I96" s="1032" t="s">
        <v>68</v>
      </c>
      <c r="J96" s="1032" t="s">
        <v>538</v>
      </c>
      <c r="K96" s="1032" t="s">
        <v>559</v>
      </c>
      <c r="M96" s="1032" t="s">
        <v>68</v>
      </c>
      <c r="N96" s="1032" t="s">
        <v>68</v>
      </c>
      <c r="O96" s="1032" t="s">
        <v>70</v>
      </c>
      <c r="P96" s="1032" t="s">
        <v>570</v>
      </c>
      <c r="Q96" s="1032" t="s">
        <v>571</v>
      </c>
      <c r="R96" s="1032" t="s">
        <v>73</v>
      </c>
      <c r="S96" s="1032" t="s">
        <v>120</v>
      </c>
      <c r="T96" s="1032">
        <v>445</v>
      </c>
      <c r="U96" s="1032">
        <v>3744</v>
      </c>
      <c r="V96" s="1032">
        <v>1.6659999999999999</v>
      </c>
      <c r="W96" s="1032">
        <v>104</v>
      </c>
      <c r="X96" s="1032">
        <v>4</v>
      </c>
      <c r="Y96" s="1032" t="s">
        <v>75</v>
      </c>
      <c r="Z96" s="1032" t="s">
        <v>75</v>
      </c>
      <c r="AB96" s="1033">
        <v>46044</v>
      </c>
      <c r="AC96" s="1032">
        <v>4</v>
      </c>
      <c r="AD96" s="1032" t="s">
        <v>572</v>
      </c>
      <c r="AF96" s="1032" t="s">
        <v>77</v>
      </c>
      <c r="AG96" s="1032" t="s">
        <v>61</v>
      </c>
      <c r="AH96" s="1032" t="s">
        <v>541</v>
      </c>
      <c r="AI96" s="1033">
        <v>46050</v>
      </c>
      <c r="AJ96" s="1033">
        <v>46051</v>
      </c>
      <c r="AK96" s="1033">
        <v>46051</v>
      </c>
      <c r="AL96" s="1033">
        <v>46119</v>
      </c>
      <c r="AM96" s="1033">
        <v>46128</v>
      </c>
      <c r="AN96" s="1033">
        <v>46128</v>
      </c>
      <c r="AO96" s="1032" t="s">
        <v>402</v>
      </c>
      <c r="AP96" s="1032" t="s">
        <v>562</v>
      </c>
      <c r="AQ96" s="1032" t="s">
        <v>161</v>
      </c>
      <c r="AR96" s="1032" t="s">
        <v>563</v>
      </c>
      <c r="AS96" s="1032" t="s">
        <v>564</v>
      </c>
      <c r="AT96" s="1032" t="s">
        <v>564</v>
      </c>
      <c r="AU96" s="1032">
        <v>77</v>
      </c>
      <c r="AW96" s="1033">
        <v>46128</v>
      </c>
      <c r="AX96" s="1032" t="s">
        <v>84</v>
      </c>
      <c r="AY96" s="1033">
        <v>46118</v>
      </c>
      <c r="AZ96" s="1032" t="s">
        <v>152</v>
      </c>
      <c r="BA96" s="1033">
        <v>46128</v>
      </c>
      <c r="BB96" s="1032">
        <v>2026</v>
      </c>
      <c r="BC96" s="1032">
        <v>4</v>
      </c>
      <c r="BD96" s="1032">
        <v>16</v>
      </c>
      <c r="BE96" s="1032">
        <v>36</v>
      </c>
      <c r="BF96" s="1032">
        <v>936</v>
      </c>
      <c r="BG96" s="1032" t="s">
        <v>94</v>
      </c>
      <c r="BH96" s="1032" t="s">
        <v>109</v>
      </c>
    </row>
    <row r="97" spans="1:60">
      <c r="A97" s="1032" t="s">
        <v>573</v>
      </c>
      <c r="B97" s="1032" t="s">
        <v>61</v>
      </c>
      <c r="C97" s="1032" t="s">
        <v>569</v>
      </c>
      <c r="D97" s="1032" t="s">
        <v>63</v>
      </c>
      <c r="E97" s="1032" t="s">
        <v>144</v>
      </c>
      <c r="F97" s="1032" t="s">
        <v>145</v>
      </c>
      <c r="G97" s="1032" t="s">
        <v>402</v>
      </c>
      <c r="H97" s="1032" t="s">
        <v>538</v>
      </c>
      <c r="I97" s="1032" t="s">
        <v>68</v>
      </c>
      <c r="J97" s="1032" t="s">
        <v>538</v>
      </c>
      <c r="K97" s="1032" t="s">
        <v>574</v>
      </c>
      <c r="M97" s="1032" t="s">
        <v>68</v>
      </c>
      <c r="N97" s="1032" t="s">
        <v>68</v>
      </c>
      <c r="O97" s="1032" t="s">
        <v>70</v>
      </c>
      <c r="P97" s="1032" t="s">
        <v>570</v>
      </c>
      <c r="Q97" s="1032" t="s">
        <v>571</v>
      </c>
      <c r="R97" s="1032" t="s">
        <v>73</v>
      </c>
      <c r="S97" s="1032" t="s">
        <v>120</v>
      </c>
      <c r="T97" s="1032">
        <v>445</v>
      </c>
      <c r="U97" s="1032">
        <v>4680</v>
      </c>
      <c r="V97" s="1032">
        <v>2.0830000000000002</v>
      </c>
      <c r="W97" s="1032">
        <v>130</v>
      </c>
      <c r="X97" s="1032">
        <v>5</v>
      </c>
      <c r="Y97" s="1032" t="s">
        <v>75</v>
      </c>
      <c r="Z97" s="1032" t="s">
        <v>75</v>
      </c>
      <c r="AB97" s="1033">
        <v>46044</v>
      </c>
      <c r="AC97" s="1032">
        <v>4</v>
      </c>
      <c r="AD97" s="1032" t="s">
        <v>575</v>
      </c>
      <c r="AF97" s="1032" t="s">
        <v>77</v>
      </c>
      <c r="AG97" s="1032" t="s">
        <v>61</v>
      </c>
      <c r="AH97" s="1032" t="s">
        <v>541</v>
      </c>
      <c r="AI97" s="1033">
        <v>46050</v>
      </c>
      <c r="AJ97" s="1033">
        <v>46051</v>
      </c>
      <c r="AK97" s="1033">
        <v>46051</v>
      </c>
      <c r="AL97" s="1033">
        <v>46119</v>
      </c>
      <c r="AM97" s="1033">
        <v>46128</v>
      </c>
      <c r="AN97" s="1033">
        <v>46128</v>
      </c>
      <c r="AO97" s="1032" t="s">
        <v>402</v>
      </c>
      <c r="AP97" s="1032" t="s">
        <v>562</v>
      </c>
      <c r="AQ97" s="1032" t="s">
        <v>161</v>
      </c>
      <c r="AR97" s="1032" t="s">
        <v>563</v>
      </c>
      <c r="AS97" s="1032" t="s">
        <v>564</v>
      </c>
      <c r="AT97" s="1032" t="s">
        <v>564</v>
      </c>
      <c r="AU97" s="1032">
        <v>77</v>
      </c>
      <c r="AW97" s="1033">
        <v>46128</v>
      </c>
      <c r="AX97" s="1032" t="s">
        <v>84</v>
      </c>
      <c r="AY97" s="1033">
        <v>46118</v>
      </c>
      <c r="AZ97" s="1032" t="s">
        <v>152</v>
      </c>
      <c r="BA97" s="1033">
        <v>46128</v>
      </c>
      <c r="BB97" s="1032">
        <v>2026</v>
      </c>
      <c r="BC97" s="1032">
        <v>4</v>
      </c>
      <c r="BD97" s="1032">
        <v>16</v>
      </c>
      <c r="BE97" s="1032">
        <v>36</v>
      </c>
      <c r="BF97" s="1032">
        <v>936</v>
      </c>
      <c r="BG97" s="1032" t="s">
        <v>94</v>
      </c>
      <c r="BH97" s="1032" t="s">
        <v>109</v>
      </c>
    </row>
    <row r="98" spans="1:60">
      <c r="A98" s="1032" t="s">
        <v>576</v>
      </c>
      <c r="B98" s="1032" t="s">
        <v>61</v>
      </c>
      <c r="C98" s="1032" t="s">
        <v>577</v>
      </c>
      <c r="D98" s="1032" t="s">
        <v>63</v>
      </c>
      <c r="E98" s="1032" t="s">
        <v>64</v>
      </c>
      <c r="F98" s="1032" t="s">
        <v>100</v>
      </c>
      <c r="G98" s="1032" t="s">
        <v>66</v>
      </c>
      <c r="H98" s="1032" t="s">
        <v>67</v>
      </c>
      <c r="I98" s="1032" t="s">
        <v>68</v>
      </c>
      <c r="J98" s="1032" t="s">
        <v>578</v>
      </c>
      <c r="K98" s="1032" t="s">
        <v>328</v>
      </c>
      <c r="M98" s="1032" t="s">
        <v>68</v>
      </c>
      <c r="N98" s="1032" t="s">
        <v>68</v>
      </c>
      <c r="O98" s="1032" t="s">
        <v>70</v>
      </c>
      <c r="P98" s="1032" t="s">
        <v>71</v>
      </c>
      <c r="Q98" s="1032" t="s">
        <v>72</v>
      </c>
      <c r="R98" s="1032" t="s">
        <v>73</v>
      </c>
      <c r="S98" s="1032" t="s">
        <v>74</v>
      </c>
      <c r="T98" s="1032">
        <v>500</v>
      </c>
      <c r="U98" s="1032">
        <v>8640</v>
      </c>
      <c r="V98" s="1032">
        <v>4.32</v>
      </c>
      <c r="W98" s="1032">
        <v>240</v>
      </c>
      <c r="X98" s="1032">
        <v>10</v>
      </c>
      <c r="Y98" s="1032" t="s">
        <v>75</v>
      </c>
      <c r="Z98" s="1032" t="s">
        <v>75</v>
      </c>
      <c r="AA98" s="1032" t="s">
        <v>197</v>
      </c>
      <c r="AB98" s="1033">
        <v>46045</v>
      </c>
      <c r="AC98" s="1032">
        <v>4</v>
      </c>
      <c r="AD98" s="1032" t="s">
        <v>579</v>
      </c>
      <c r="AE98" s="1032" t="s">
        <v>197</v>
      </c>
      <c r="AF98" s="1032" t="s">
        <v>77</v>
      </c>
      <c r="AG98" s="1032" t="s">
        <v>61</v>
      </c>
      <c r="AH98" s="1032" t="s">
        <v>105</v>
      </c>
      <c r="AI98" s="1033">
        <v>46054</v>
      </c>
      <c r="AJ98" s="1033">
        <v>46054</v>
      </c>
      <c r="AK98" s="1033">
        <v>46055</v>
      </c>
      <c r="AL98" s="1033">
        <v>46094</v>
      </c>
      <c r="AM98" s="1033">
        <v>46116</v>
      </c>
      <c r="AN98" s="1033">
        <v>46118</v>
      </c>
      <c r="AO98" s="1032" t="s">
        <v>66</v>
      </c>
      <c r="AP98" s="1032" t="s">
        <v>580</v>
      </c>
      <c r="AQ98" s="1032" t="s">
        <v>80</v>
      </c>
      <c r="AR98" s="1032" t="s">
        <v>581</v>
      </c>
      <c r="AS98" s="1032" t="s">
        <v>582</v>
      </c>
      <c r="AT98" s="1032" t="s">
        <v>582</v>
      </c>
      <c r="AU98" s="1032">
        <v>63</v>
      </c>
      <c r="AW98" s="1033">
        <v>46118</v>
      </c>
      <c r="AX98" s="1032" t="s">
        <v>84</v>
      </c>
      <c r="AY98" s="1033">
        <v>46129</v>
      </c>
      <c r="AZ98" s="1032">
        <v>7</v>
      </c>
      <c r="BA98" s="1033">
        <v>46125</v>
      </c>
      <c r="BB98" s="1032">
        <v>2026</v>
      </c>
      <c r="BC98" s="1032">
        <v>4</v>
      </c>
      <c r="BD98" s="1032">
        <v>16</v>
      </c>
      <c r="BE98" s="1032">
        <v>36</v>
      </c>
      <c r="BF98" s="1032">
        <v>864</v>
      </c>
      <c r="BG98" s="1032" t="s">
        <v>85</v>
      </c>
      <c r="BH98" s="1032" t="s">
        <v>109</v>
      </c>
    </row>
    <row r="99" spans="1:60">
      <c r="A99" s="1032" t="s">
        <v>583</v>
      </c>
      <c r="B99" s="1032" t="s">
        <v>61</v>
      </c>
      <c r="C99" s="1032" t="s">
        <v>584</v>
      </c>
      <c r="D99" s="1032" t="s">
        <v>63</v>
      </c>
      <c r="E99" s="1032" t="s">
        <v>64</v>
      </c>
      <c r="F99" s="1032" t="s">
        <v>310</v>
      </c>
      <c r="G99" s="1032" t="s">
        <v>66</v>
      </c>
      <c r="H99" s="1032" t="s">
        <v>311</v>
      </c>
      <c r="I99" s="1032" t="s">
        <v>68</v>
      </c>
      <c r="J99" s="1032" t="s">
        <v>188</v>
      </c>
      <c r="M99" s="1032" t="s">
        <v>68</v>
      </c>
      <c r="N99" s="1032" t="s">
        <v>68</v>
      </c>
      <c r="O99" s="1032" t="s">
        <v>70</v>
      </c>
      <c r="P99" s="1032" t="s">
        <v>585</v>
      </c>
      <c r="Q99" s="1032" t="s">
        <v>103</v>
      </c>
      <c r="R99" s="1032" t="s">
        <v>331</v>
      </c>
      <c r="S99" s="1032" t="s">
        <v>120</v>
      </c>
      <c r="T99" s="1032">
        <v>620</v>
      </c>
      <c r="U99" s="1032">
        <v>1440</v>
      </c>
      <c r="V99" s="1032">
        <v>0.89300000000000002</v>
      </c>
      <c r="W99" s="1032">
        <v>40</v>
      </c>
      <c r="X99" s="1032">
        <v>2</v>
      </c>
      <c r="Y99" s="1032" t="s">
        <v>75</v>
      </c>
      <c r="Z99" s="1032" t="s">
        <v>75</v>
      </c>
      <c r="AA99" s="1032" t="s">
        <v>197</v>
      </c>
      <c r="AB99" s="1033">
        <v>46044</v>
      </c>
      <c r="AC99" s="1032">
        <v>4</v>
      </c>
      <c r="AD99" s="1032" t="s">
        <v>586</v>
      </c>
      <c r="AE99" s="1032" t="s">
        <v>197</v>
      </c>
      <c r="AF99" s="1032" t="s">
        <v>77</v>
      </c>
      <c r="AG99" s="1032" t="s">
        <v>61</v>
      </c>
      <c r="AH99" s="1032" t="s">
        <v>314</v>
      </c>
      <c r="AI99" s="1033">
        <v>46048</v>
      </c>
      <c r="AJ99" s="1033">
        <v>46049</v>
      </c>
      <c r="AK99" s="1033">
        <v>46049</v>
      </c>
      <c r="AL99" s="1033">
        <v>46106</v>
      </c>
      <c r="AM99" s="1033">
        <v>46120</v>
      </c>
      <c r="AN99" s="1033">
        <v>46120</v>
      </c>
      <c r="AO99" s="1032" t="s">
        <v>66</v>
      </c>
      <c r="AP99" s="1032" t="s">
        <v>587</v>
      </c>
      <c r="AQ99" s="1032" t="s">
        <v>80</v>
      </c>
      <c r="AR99" s="1032" t="s">
        <v>588</v>
      </c>
      <c r="AS99" s="1032" t="s">
        <v>589</v>
      </c>
      <c r="AT99" s="1032" t="s">
        <v>589</v>
      </c>
      <c r="AU99" s="1032">
        <v>71</v>
      </c>
      <c r="AW99" s="1033">
        <v>46120</v>
      </c>
      <c r="AX99" s="1032" t="s">
        <v>84</v>
      </c>
      <c r="AY99" s="1033">
        <v>46132</v>
      </c>
      <c r="AZ99" s="1032">
        <v>13</v>
      </c>
      <c r="BA99" s="1033">
        <v>46133</v>
      </c>
      <c r="BB99" s="1032">
        <v>2026</v>
      </c>
      <c r="BC99" s="1032">
        <v>4</v>
      </c>
      <c r="BD99" s="1032">
        <v>17</v>
      </c>
      <c r="BE99" s="1032">
        <v>36</v>
      </c>
      <c r="BF99" s="1032">
        <v>720</v>
      </c>
      <c r="BG99" s="1032" t="s">
        <v>128</v>
      </c>
      <c r="BH99" s="1032" t="s">
        <v>86</v>
      </c>
    </row>
    <row r="100" spans="1:60">
      <c r="A100" s="1032" t="s">
        <v>590</v>
      </c>
      <c r="B100" s="1032" t="s">
        <v>61</v>
      </c>
      <c r="C100" s="1032" t="s">
        <v>418</v>
      </c>
      <c r="D100" s="1032" t="s">
        <v>63</v>
      </c>
      <c r="E100" s="1032" t="s">
        <v>64</v>
      </c>
      <c r="F100" s="1032" t="s">
        <v>310</v>
      </c>
      <c r="G100" s="1032" t="s">
        <v>66</v>
      </c>
      <c r="H100" s="1032" t="s">
        <v>311</v>
      </c>
      <c r="I100" s="1032" t="s">
        <v>68</v>
      </c>
      <c r="J100" s="1032" t="s">
        <v>188</v>
      </c>
      <c r="M100" s="1032" t="s">
        <v>68</v>
      </c>
      <c r="N100" s="1032" t="s">
        <v>68</v>
      </c>
      <c r="O100" s="1032" t="s">
        <v>70</v>
      </c>
      <c r="P100" s="1032" t="s">
        <v>420</v>
      </c>
      <c r="Q100" s="1032" t="s">
        <v>421</v>
      </c>
      <c r="R100" s="1032" t="s">
        <v>73</v>
      </c>
      <c r="S100" s="1032" t="s">
        <v>120</v>
      </c>
      <c r="T100" s="1032">
        <v>505</v>
      </c>
      <c r="U100" s="1032">
        <v>2592</v>
      </c>
      <c r="V100" s="1032">
        <v>1.3089999999999999</v>
      </c>
      <c r="W100" s="1032">
        <v>72</v>
      </c>
      <c r="X100" s="1032">
        <v>3</v>
      </c>
      <c r="Y100" s="1032" t="s">
        <v>75</v>
      </c>
      <c r="Z100" s="1032" t="s">
        <v>75</v>
      </c>
      <c r="AA100" s="1032" t="s">
        <v>197</v>
      </c>
      <c r="AB100" s="1033">
        <v>46044</v>
      </c>
      <c r="AC100" s="1032">
        <v>4</v>
      </c>
      <c r="AD100" s="1032" t="s">
        <v>591</v>
      </c>
      <c r="AE100" s="1032" t="s">
        <v>197</v>
      </c>
      <c r="AF100" s="1032" t="s">
        <v>77</v>
      </c>
      <c r="AG100" s="1032" t="s">
        <v>61</v>
      </c>
      <c r="AH100" s="1032" t="s">
        <v>314</v>
      </c>
      <c r="AI100" s="1033">
        <v>46048</v>
      </c>
      <c r="AJ100" s="1033">
        <v>46049</v>
      </c>
      <c r="AK100" s="1033">
        <v>46049</v>
      </c>
      <c r="AL100" s="1033">
        <v>46106</v>
      </c>
      <c r="AM100" s="1033">
        <v>46120</v>
      </c>
      <c r="AN100" s="1033">
        <v>46120</v>
      </c>
      <c r="AO100" s="1032" t="s">
        <v>66</v>
      </c>
      <c r="AP100" s="1032" t="s">
        <v>587</v>
      </c>
      <c r="AQ100" s="1032" t="s">
        <v>80</v>
      </c>
      <c r="AR100" s="1032" t="s">
        <v>588</v>
      </c>
      <c r="AS100" s="1032" t="s">
        <v>589</v>
      </c>
      <c r="AT100" s="1032" t="s">
        <v>589</v>
      </c>
      <c r="AU100" s="1032">
        <v>71</v>
      </c>
      <c r="AW100" s="1033">
        <v>46120</v>
      </c>
      <c r="AX100" s="1032" t="s">
        <v>84</v>
      </c>
      <c r="AY100" s="1033">
        <v>46133</v>
      </c>
      <c r="AZ100" s="1032">
        <v>13</v>
      </c>
      <c r="BA100" s="1033">
        <v>46133</v>
      </c>
      <c r="BB100" s="1032">
        <v>2026</v>
      </c>
      <c r="BC100" s="1032">
        <v>4</v>
      </c>
      <c r="BD100" s="1032">
        <v>17</v>
      </c>
      <c r="BE100" s="1032">
        <v>36</v>
      </c>
      <c r="BF100" s="1032">
        <v>864</v>
      </c>
      <c r="BG100" s="1032" t="s">
        <v>85</v>
      </c>
      <c r="BH100" s="1032" t="s">
        <v>86</v>
      </c>
    </row>
    <row r="101" spans="1:60">
      <c r="A101" s="1032" t="s">
        <v>592</v>
      </c>
      <c r="B101" s="1032" t="s">
        <v>61</v>
      </c>
      <c r="C101" s="1032" t="s">
        <v>193</v>
      </c>
      <c r="D101" s="1032" t="s">
        <v>63</v>
      </c>
      <c r="E101" s="1032" t="s">
        <v>144</v>
      </c>
      <c r="F101" s="1032" t="s">
        <v>145</v>
      </c>
      <c r="G101" s="1032" t="s">
        <v>402</v>
      </c>
      <c r="H101" s="1032" t="s">
        <v>593</v>
      </c>
      <c r="I101" s="1032" t="s">
        <v>68</v>
      </c>
      <c r="J101" s="1032" t="s">
        <v>594</v>
      </c>
      <c r="K101" s="1032" t="s">
        <v>595</v>
      </c>
      <c r="M101" s="1032" t="s">
        <v>68</v>
      </c>
      <c r="N101" s="1032" t="s">
        <v>68</v>
      </c>
      <c r="O101" s="1032" t="s">
        <v>70</v>
      </c>
      <c r="P101" s="1032" t="s">
        <v>195</v>
      </c>
      <c r="Q101" s="1032" t="s">
        <v>196</v>
      </c>
      <c r="R101" s="1032" t="s">
        <v>73</v>
      </c>
      <c r="S101" s="1032" t="s">
        <v>74</v>
      </c>
      <c r="T101" s="1032">
        <v>450</v>
      </c>
      <c r="U101" s="1032">
        <v>1872</v>
      </c>
      <c r="V101" s="1032">
        <v>0.84199999999999997</v>
      </c>
      <c r="W101" s="1032">
        <v>52</v>
      </c>
      <c r="X101" s="1032">
        <v>2</v>
      </c>
      <c r="Y101" s="1032" t="s">
        <v>75</v>
      </c>
      <c r="Z101" s="1032" t="s">
        <v>75</v>
      </c>
      <c r="AA101" s="1032" t="s">
        <v>197</v>
      </c>
      <c r="AB101" s="1033">
        <v>46041</v>
      </c>
      <c r="AC101" s="1032">
        <v>4</v>
      </c>
      <c r="AD101" s="1032" t="s">
        <v>596</v>
      </c>
      <c r="AE101" s="1032" t="s">
        <v>197</v>
      </c>
      <c r="AF101" s="1032" t="s">
        <v>77</v>
      </c>
      <c r="AG101" s="1032" t="s">
        <v>61</v>
      </c>
      <c r="AH101" s="1032" t="s">
        <v>124</v>
      </c>
      <c r="AI101" s="1033">
        <v>46048</v>
      </c>
      <c r="AJ101" s="1033">
        <v>46049</v>
      </c>
      <c r="AK101" s="1033">
        <v>46049</v>
      </c>
      <c r="AL101" s="1033">
        <v>46114</v>
      </c>
      <c r="AN101" s="1033">
        <v>46112</v>
      </c>
      <c r="AO101" s="1032" t="s">
        <v>402</v>
      </c>
      <c r="AP101" s="1032" t="s">
        <v>597</v>
      </c>
      <c r="AQ101" s="1032" t="s">
        <v>80</v>
      </c>
      <c r="AR101" s="1032" t="s">
        <v>598</v>
      </c>
      <c r="AS101" s="1032" t="s">
        <v>599</v>
      </c>
      <c r="AT101" s="1032" t="s">
        <v>599</v>
      </c>
      <c r="AU101" s="1032">
        <v>63</v>
      </c>
      <c r="AW101" s="1033">
        <v>46112</v>
      </c>
      <c r="AX101" s="1032" t="s">
        <v>84</v>
      </c>
      <c r="AY101" s="1033">
        <v>46114</v>
      </c>
      <c r="AZ101" s="1032" t="s">
        <v>152</v>
      </c>
      <c r="BA101" s="1033">
        <v>46112</v>
      </c>
      <c r="BB101" s="1032">
        <v>2026</v>
      </c>
      <c r="BC101" s="1032">
        <v>3</v>
      </c>
      <c r="BD101" s="1032">
        <v>14</v>
      </c>
      <c r="BE101" s="1032">
        <v>36</v>
      </c>
      <c r="BF101" s="1032">
        <v>936</v>
      </c>
      <c r="BG101" s="1032" t="s">
        <v>85</v>
      </c>
      <c r="BH101" s="1032" t="s">
        <v>86</v>
      </c>
    </row>
    <row r="102" spans="1:60">
      <c r="A102" s="1032" t="s">
        <v>600</v>
      </c>
      <c r="B102" s="1032" t="s">
        <v>281</v>
      </c>
      <c r="C102" s="1032" t="s">
        <v>601</v>
      </c>
      <c r="D102" s="1032" t="s">
        <v>63</v>
      </c>
      <c r="E102" s="1032" t="s">
        <v>64</v>
      </c>
      <c r="F102" s="1032" t="s">
        <v>100</v>
      </c>
      <c r="G102" s="1032" t="s">
        <v>66</v>
      </c>
      <c r="H102" s="1032" t="s">
        <v>67</v>
      </c>
      <c r="I102" s="1032" t="s">
        <v>68</v>
      </c>
      <c r="J102" s="1032" t="s">
        <v>293</v>
      </c>
      <c r="M102" s="1032" t="s">
        <v>68</v>
      </c>
      <c r="N102" s="1032" t="s">
        <v>68</v>
      </c>
      <c r="O102" s="1032" t="s">
        <v>284</v>
      </c>
      <c r="P102" s="1032" t="s">
        <v>602</v>
      </c>
      <c r="Q102" s="1032" t="s">
        <v>603</v>
      </c>
      <c r="R102" s="1032" t="s">
        <v>73</v>
      </c>
      <c r="S102" s="1032" t="s">
        <v>120</v>
      </c>
      <c r="T102" s="1032">
        <v>465</v>
      </c>
      <c r="U102" s="1032">
        <v>14430</v>
      </c>
      <c r="V102" s="1032">
        <v>6.71</v>
      </c>
      <c r="W102" s="1032">
        <v>390</v>
      </c>
      <c r="X102" s="1032">
        <v>15</v>
      </c>
      <c r="Y102" s="1032" t="s">
        <v>75</v>
      </c>
      <c r="Z102" s="1032" t="s">
        <v>75</v>
      </c>
      <c r="AB102" s="1033">
        <v>46043</v>
      </c>
      <c r="AC102" s="1032">
        <v>4</v>
      </c>
      <c r="AD102" s="1032" t="s">
        <v>604</v>
      </c>
      <c r="AF102" s="1032" t="s">
        <v>288</v>
      </c>
      <c r="AG102" s="1032" t="s">
        <v>289</v>
      </c>
      <c r="AH102" s="1032" t="s">
        <v>105</v>
      </c>
      <c r="AI102" s="1033">
        <v>46050</v>
      </c>
      <c r="AJ102" s="1033">
        <v>46050</v>
      </c>
      <c r="AK102" s="1033">
        <v>46050</v>
      </c>
      <c r="AL102" s="1033">
        <v>46087</v>
      </c>
      <c r="AM102" s="1033">
        <v>46102</v>
      </c>
      <c r="AN102" s="1033">
        <v>46102</v>
      </c>
      <c r="AO102" s="1032" t="s">
        <v>66</v>
      </c>
      <c r="AP102" s="1032" t="s">
        <v>605</v>
      </c>
      <c r="AQ102" s="1032" t="s">
        <v>161</v>
      </c>
      <c r="AR102" s="1032" t="s">
        <v>606</v>
      </c>
      <c r="AS102" s="1032" t="s">
        <v>607</v>
      </c>
      <c r="AT102" s="1032" t="s">
        <v>608</v>
      </c>
      <c r="AU102" s="1032">
        <v>52</v>
      </c>
      <c r="AW102" s="1033">
        <v>46102</v>
      </c>
      <c r="AX102" s="1032" t="s">
        <v>84</v>
      </c>
      <c r="AY102" s="1033">
        <v>46114</v>
      </c>
      <c r="AZ102" s="1032">
        <v>7</v>
      </c>
      <c r="BA102" s="1033">
        <v>46109</v>
      </c>
      <c r="BB102" s="1032">
        <v>2026</v>
      </c>
      <c r="BC102" s="1032">
        <v>3</v>
      </c>
      <c r="BD102" s="1032">
        <v>13</v>
      </c>
      <c r="BE102" s="1032">
        <v>37</v>
      </c>
      <c r="BF102" s="1032">
        <v>962</v>
      </c>
      <c r="BG102" s="1032" t="s">
        <v>108</v>
      </c>
      <c r="BH102" s="1032" t="s">
        <v>109</v>
      </c>
    </row>
    <row r="103" spans="1:60">
      <c r="A103" s="1032" t="s">
        <v>609</v>
      </c>
      <c r="B103" s="1032" t="s">
        <v>281</v>
      </c>
      <c r="C103" s="1032" t="s">
        <v>601</v>
      </c>
      <c r="D103" s="1032" t="s">
        <v>63</v>
      </c>
      <c r="E103" s="1032" t="s">
        <v>64</v>
      </c>
      <c r="F103" s="1032" t="s">
        <v>100</v>
      </c>
      <c r="G103" s="1032" t="s">
        <v>66</v>
      </c>
      <c r="H103" s="1032" t="s">
        <v>67</v>
      </c>
      <c r="I103" s="1032" t="s">
        <v>68</v>
      </c>
      <c r="J103" s="1032" t="s">
        <v>293</v>
      </c>
      <c r="M103" s="1032" t="s">
        <v>68</v>
      </c>
      <c r="N103" s="1032" t="s">
        <v>68</v>
      </c>
      <c r="O103" s="1032" t="s">
        <v>284</v>
      </c>
      <c r="P103" s="1032" t="s">
        <v>602</v>
      </c>
      <c r="Q103" s="1032" t="s">
        <v>603</v>
      </c>
      <c r="R103" s="1032" t="s">
        <v>73</v>
      </c>
      <c r="S103" s="1032" t="s">
        <v>120</v>
      </c>
      <c r="T103" s="1032">
        <v>465</v>
      </c>
      <c r="U103" s="1032">
        <v>4810</v>
      </c>
      <c r="V103" s="1032">
        <v>2.2370000000000001</v>
      </c>
      <c r="W103" s="1032">
        <v>130</v>
      </c>
      <c r="X103" s="1032">
        <v>5</v>
      </c>
      <c r="Y103" s="1032" t="s">
        <v>75</v>
      </c>
      <c r="Z103" s="1032" t="s">
        <v>75</v>
      </c>
      <c r="AB103" s="1033">
        <v>46038</v>
      </c>
      <c r="AC103" s="1032">
        <v>3</v>
      </c>
      <c r="AD103" s="1032" t="s">
        <v>610</v>
      </c>
      <c r="AF103" s="1032" t="s">
        <v>288</v>
      </c>
      <c r="AG103" s="1032" t="s">
        <v>289</v>
      </c>
      <c r="AH103" s="1032" t="s">
        <v>105</v>
      </c>
      <c r="AI103" s="1033">
        <v>46045</v>
      </c>
      <c r="AJ103" s="1033">
        <v>46045</v>
      </c>
      <c r="AK103" s="1033">
        <v>46045</v>
      </c>
      <c r="AL103" s="1033">
        <v>46087</v>
      </c>
      <c r="AM103" s="1033">
        <v>46097</v>
      </c>
      <c r="AN103" s="1033">
        <v>46100</v>
      </c>
      <c r="AO103" s="1032" t="s">
        <v>66</v>
      </c>
      <c r="AP103" s="1032" t="s">
        <v>611</v>
      </c>
      <c r="AQ103" s="1032" t="s">
        <v>161</v>
      </c>
      <c r="AR103" s="1032" t="s">
        <v>612</v>
      </c>
      <c r="AS103" s="1032" t="s">
        <v>613</v>
      </c>
      <c r="AT103" s="1032" t="s">
        <v>614</v>
      </c>
      <c r="AU103" s="1032">
        <v>55</v>
      </c>
      <c r="AW103" s="1033">
        <v>46100</v>
      </c>
      <c r="AX103" s="1032" t="s">
        <v>84</v>
      </c>
      <c r="AY103" s="1033">
        <v>46104</v>
      </c>
      <c r="AZ103" s="1032">
        <v>7</v>
      </c>
      <c r="BA103" s="1033">
        <v>46107</v>
      </c>
      <c r="BB103" s="1032">
        <v>2026</v>
      </c>
      <c r="BC103" s="1032">
        <v>3</v>
      </c>
      <c r="BD103" s="1032">
        <v>13</v>
      </c>
      <c r="BE103" s="1032">
        <v>37</v>
      </c>
      <c r="BF103" s="1032">
        <v>962</v>
      </c>
      <c r="BG103" s="1032" t="s">
        <v>108</v>
      </c>
      <c r="BH103" s="1032" t="s">
        <v>109</v>
      </c>
    </row>
    <row r="104" spans="1:60">
      <c r="A104" s="1032" t="s">
        <v>615</v>
      </c>
      <c r="B104" s="1032" t="s">
        <v>281</v>
      </c>
      <c r="C104" s="1032" t="s">
        <v>601</v>
      </c>
      <c r="D104" s="1032" t="s">
        <v>63</v>
      </c>
      <c r="E104" s="1032" t="s">
        <v>64</v>
      </c>
      <c r="F104" s="1032" t="s">
        <v>100</v>
      </c>
      <c r="G104" s="1032" t="s">
        <v>66</v>
      </c>
      <c r="H104" s="1032" t="s">
        <v>67</v>
      </c>
      <c r="I104" s="1032" t="s">
        <v>68</v>
      </c>
      <c r="J104" s="1032" t="s">
        <v>293</v>
      </c>
      <c r="M104" s="1032" t="s">
        <v>68</v>
      </c>
      <c r="N104" s="1032" t="s">
        <v>68</v>
      </c>
      <c r="O104" s="1032" t="s">
        <v>284</v>
      </c>
      <c r="P104" s="1032" t="s">
        <v>602</v>
      </c>
      <c r="Q104" s="1032" t="s">
        <v>603</v>
      </c>
      <c r="R104" s="1032" t="s">
        <v>73</v>
      </c>
      <c r="S104" s="1032" t="s">
        <v>120</v>
      </c>
      <c r="T104" s="1032">
        <v>465</v>
      </c>
      <c r="U104" s="1032">
        <v>4810</v>
      </c>
      <c r="V104" s="1032">
        <v>2.2370000000000001</v>
      </c>
      <c r="W104" s="1032">
        <v>130</v>
      </c>
      <c r="X104" s="1032">
        <v>5</v>
      </c>
      <c r="Y104" s="1032" t="s">
        <v>75</v>
      </c>
      <c r="Z104" s="1032" t="s">
        <v>75</v>
      </c>
      <c r="AB104" s="1033">
        <v>46042</v>
      </c>
      <c r="AC104" s="1032">
        <v>4</v>
      </c>
      <c r="AD104" s="1032" t="s">
        <v>616</v>
      </c>
      <c r="AF104" s="1032" t="s">
        <v>288</v>
      </c>
      <c r="AG104" s="1032" t="s">
        <v>289</v>
      </c>
      <c r="AH104" s="1032" t="s">
        <v>105</v>
      </c>
      <c r="AI104" s="1033">
        <v>46048</v>
      </c>
      <c r="AJ104" s="1033">
        <v>46048</v>
      </c>
      <c r="AK104" s="1033">
        <v>46048</v>
      </c>
      <c r="AL104" s="1033">
        <v>46090</v>
      </c>
      <c r="AM104" s="1033">
        <v>46091</v>
      </c>
      <c r="AN104" s="1033">
        <v>46089</v>
      </c>
      <c r="AO104" s="1032" t="s">
        <v>66</v>
      </c>
      <c r="AP104" s="1032" t="s">
        <v>617</v>
      </c>
      <c r="AQ104" s="1032" t="s">
        <v>161</v>
      </c>
      <c r="AR104" s="1032" t="s">
        <v>618</v>
      </c>
      <c r="AS104" s="1032" t="s">
        <v>619</v>
      </c>
      <c r="AT104" s="1032" t="s">
        <v>620</v>
      </c>
      <c r="AU104" s="1032">
        <v>41</v>
      </c>
      <c r="AW104" s="1033">
        <v>46089</v>
      </c>
      <c r="AX104" s="1032" t="s">
        <v>84</v>
      </c>
      <c r="AY104" s="1033">
        <v>46105</v>
      </c>
      <c r="AZ104" s="1032">
        <v>7</v>
      </c>
      <c r="BA104" s="1033">
        <v>46096</v>
      </c>
      <c r="BB104" s="1032">
        <v>2026</v>
      </c>
      <c r="BC104" s="1032">
        <v>3</v>
      </c>
      <c r="BD104" s="1032">
        <v>11</v>
      </c>
      <c r="BE104" s="1032">
        <v>37</v>
      </c>
      <c r="BF104" s="1032">
        <v>962</v>
      </c>
      <c r="BG104" s="1032" t="s">
        <v>108</v>
      </c>
      <c r="BH104" s="1032" t="s">
        <v>109</v>
      </c>
    </row>
    <row r="105" spans="1:60">
      <c r="A105" s="1032" t="s">
        <v>621</v>
      </c>
      <c r="B105" s="1032" t="s">
        <v>281</v>
      </c>
      <c r="C105" s="1032" t="s">
        <v>601</v>
      </c>
      <c r="D105" s="1032" t="s">
        <v>63</v>
      </c>
      <c r="E105" s="1032" t="s">
        <v>64</v>
      </c>
      <c r="F105" s="1032" t="s">
        <v>100</v>
      </c>
      <c r="G105" s="1032" t="s">
        <v>66</v>
      </c>
      <c r="H105" s="1032" t="s">
        <v>67</v>
      </c>
      <c r="I105" s="1032" t="s">
        <v>68</v>
      </c>
      <c r="J105" s="1032" t="s">
        <v>293</v>
      </c>
      <c r="M105" s="1032" t="s">
        <v>68</v>
      </c>
      <c r="N105" s="1032" t="s">
        <v>68</v>
      </c>
      <c r="O105" s="1032" t="s">
        <v>284</v>
      </c>
      <c r="P105" s="1032" t="s">
        <v>602</v>
      </c>
      <c r="Q105" s="1032" t="s">
        <v>603</v>
      </c>
      <c r="R105" s="1032" t="s">
        <v>73</v>
      </c>
      <c r="S105" s="1032" t="s">
        <v>120</v>
      </c>
      <c r="T105" s="1032">
        <v>465</v>
      </c>
      <c r="U105" s="1032">
        <v>9620</v>
      </c>
      <c r="V105" s="1032">
        <v>4.4729999999999999</v>
      </c>
      <c r="W105" s="1032">
        <v>260</v>
      </c>
      <c r="X105" s="1032">
        <v>10</v>
      </c>
      <c r="Y105" s="1032" t="s">
        <v>75</v>
      </c>
      <c r="Z105" s="1032" t="s">
        <v>75</v>
      </c>
      <c r="AB105" s="1033">
        <v>46049</v>
      </c>
      <c r="AC105" s="1032">
        <v>5</v>
      </c>
      <c r="AD105" s="1032" t="s">
        <v>622</v>
      </c>
      <c r="AF105" s="1032" t="s">
        <v>288</v>
      </c>
      <c r="AG105" s="1032" t="s">
        <v>289</v>
      </c>
      <c r="AH105" s="1032" t="s">
        <v>105</v>
      </c>
      <c r="AI105" s="1033">
        <v>46057</v>
      </c>
      <c r="AJ105" s="1033">
        <v>46067</v>
      </c>
      <c r="AK105" s="1033">
        <v>46070</v>
      </c>
      <c r="AL105" s="1033">
        <v>46094</v>
      </c>
      <c r="AM105" s="1033">
        <v>46106</v>
      </c>
      <c r="AN105" s="1033">
        <v>46107</v>
      </c>
      <c r="AO105" s="1032" t="s">
        <v>66</v>
      </c>
      <c r="AP105" s="1032" t="s">
        <v>623</v>
      </c>
      <c r="AQ105" s="1032" t="s">
        <v>161</v>
      </c>
      <c r="AR105" s="1032" t="s">
        <v>624</v>
      </c>
      <c r="AS105" s="1032" t="s">
        <v>625</v>
      </c>
      <c r="AT105" s="1032" t="s">
        <v>625</v>
      </c>
      <c r="AU105" s="1032">
        <v>37</v>
      </c>
      <c r="AW105" s="1033">
        <v>46107</v>
      </c>
      <c r="AX105" s="1032" t="s">
        <v>84</v>
      </c>
      <c r="AY105" s="1033">
        <v>46120</v>
      </c>
      <c r="AZ105" s="1032">
        <v>7</v>
      </c>
      <c r="BA105" s="1033">
        <v>46114</v>
      </c>
      <c r="BB105" s="1032">
        <v>2026</v>
      </c>
      <c r="BC105" s="1032">
        <v>4</v>
      </c>
      <c r="BD105" s="1032">
        <v>14</v>
      </c>
      <c r="BE105" s="1032">
        <v>37</v>
      </c>
      <c r="BF105" s="1032">
        <v>962</v>
      </c>
      <c r="BG105" s="1032" t="s">
        <v>108</v>
      </c>
      <c r="BH105" s="1032" t="s">
        <v>109</v>
      </c>
    </row>
    <row r="106" spans="1:60">
      <c r="A106" s="1032" t="s">
        <v>626</v>
      </c>
      <c r="B106" s="1032" t="s">
        <v>281</v>
      </c>
      <c r="C106" s="1032" t="s">
        <v>601</v>
      </c>
      <c r="D106" s="1032" t="s">
        <v>63</v>
      </c>
      <c r="E106" s="1032" t="s">
        <v>64</v>
      </c>
      <c r="F106" s="1032" t="s">
        <v>100</v>
      </c>
      <c r="G106" s="1032" t="s">
        <v>66</v>
      </c>
      <c r="H106" s="1032" t="s">
        <v>67</v>
      </c>
      <c r="I106" s="1032" t="s">
        <v>68</v>
      </c>
      <c r="J106" s="1032" t="s">
        <v>293</v>
      </c>
      <c r="M106" s="1032" t="s">
        <v>68</v>
      </c>
      <c r="N106" s="1032" t="s">
        <v>68</v>
      </c>
      <c r="O106" s="1032" t="s">
        <v>284</v>
      </c>
      <c r="P106" s="1032" t="s">
        <v>602</v>
      </c>
      <c r="Q106" s="1032" t="s">
        <v>603</v>
      </c>
      <c r="R106" s="1032" t="s">
        <v>73</v>
      </c>
      <c r="S106" s="1032" t="s">
        <v>120</v>
      </c>
      <c r="T106" s="1032">
        <v>465</v>
      </c>
      <c r="U106" s="1032">
        <v>9620</v>
      </c>
      <c r="V106" s="1032">
        <v>4.4729999999999999</v>
      </c>
      <c r="W106" s="1032">
        <v>260</v>
      </c>
      <c r="X106" s="1032">
        <v>10</v>
      </c>
      <c r="Y106" s="1032" t="s">
        <v>75</v>
      </c>
      <c r="Z106" s="1032" t="s">
        <v>75</v>
      </c>
      <c r="AB106" s="1033">
        <v>46050</v>
      </c>
      <c r="AC106" s="1032">
        <v>5</v>
      </c>
      <c r="AD106" s="1032" t="s">
        <v>627</v>
      </c>
      <c r="AF106" s="1032" t="s">
        <v>288</v>
      </c>
      <c r="AG106" s="1032" t="s">
        <v>289</v>
      </c>
      <c r="AH106" s="1032" t="s">
        <v>105</v>
      </c>
      <c r="AI106" s="1033">
        <v>46057</v>
      </c>
      <c r="AJ106" s="1033">
        <v>46067</v>
      </c>
      <c r="AK106" s="1033">
        <v>46070</v>
      </c>
      <c r="AL106" s="1033">
        <v>46094</v>
      </c>
      <c r="AM106" s="1033">
        <v>46106</v>
      </c>
      <c r="AN106" s="1033">
        <v>46107</v>
      </c>
      <c r="AO106" s="1032" t="s">
        <v>66</v>
      </c>
      <c r="AP106" s="1032" t="s">
        <v>623</v>
      </c>
      <c r="AQ106" s="1032" t="s">
        <v>161</v>
      </c>
      <c r="AR106" s="1032" t="s">
        <v>628</v>
      </c>
      <c r="AS106" s="1032" t="s">
        <v>629</v>
      </c>
      <c r="AT106" s="1032" t="s">
        <v>629</v>
      </c>
      <c r="AU106" s="1032">
        <v>37</v>
      </c>
      <c r="AW106" s="1033">
        <v>46107</v>
      </c>
      <c r="AX106" s="1032" t="s">
        <v>84</v>
      </c>
      <c r="AY106" s="1033">
        <v>46120</v>
      </c>
      <c r="AZ106" s="1032">
        <v>7</v>
      </c>
      <c r="BA106" s="1033">
        <v>46114</v>
      </c>
      <c r="BB106" s="1032">
        <v>2026</v>
      </c>
      <c r="BC106" s="1032">
        <v>4</v>
      </c>
      <c r="BD106" s="1032">
        <v>14</v>
      </c>
      <c r="BE106" s="1032">
        <v>37</v>
      </c>
      <c r="BF106" s="1032">
        <v>962</v>
      </c>
      <c r="BG106" s="1032" t="s">
        <v>108</v>
      </c>
      <c r="BH106" s="1032" t="s">
        <v>109</v>
      </c>
    </row>
    <row r="107" spans="1:60">
      <c r="A107" s="1032" t="s">
        <v>630</v>
      </c>
      <c r="B107" s="1032" t="s">
        <v>111</v>
      </c>
      <c r="C107" s="1032" t="s">
        <v>168</v>
      </c>
      <c r="D107" s="1032" t="s">
        <v>63</v>
      </c>
      <c r="E107" s="1032" t="s">
        <v>64</v>
      </c>
      <c r="F107" s="1032" t="s">
        <v>65</v>
      </c>
      <c r="G107" s="1032" t="s">
        <v>66</v>
      </c>
      <c r="H107" s="1032" t="s">
        <v>67</v>
      </c>
      <c r="I107" s="1032" t="s">
        <v>68</v>
      </c>
      <c r="J107" s="1032" t="s">
        <v>232</v>
      </c>
      <c r="M107" s="1032" t="s">
        <v>68</v>
      </c>
      <c r="N107" s="1032" t="s">
        <v>68</v>
      </c>
      <c r="O107" s="1032" t="s">
        <v>170</v>
      </c>
      <c r="P107" s="1032" t="s">
        <v>171</v>
      </c>
      <c r="Q107" s="1032" t="s">
        <v>172</v>
      </c>
      <c r="R107" s="1032" t="s">
        <v>73</v>
      </c>
      <c r="S107" s="1032" t="s">
        <v>120</v>
      </c>
      <c r="T107" s="1032">
        <v>555</v>
      </c>
      <c r="U107" s="1032">
        <v>3300</v>
      </c>
      <c r="V107" s="1032">
        <v>1.8320000000000001</v>
      </c>
      <c r="W107" s="1032">
        <v>100</v>
      </c>
      <c r="X107" s="1032">
        <v>5</v>
      </c>
      <c r="Y107" s="1032" t="s">
        <v>75</v>
      </c>
      <c r="Z107" s="1032" t="s">
        <v>75</v>
      </c>
      <c r="AB107" s="1033">
        <v>46048</v>
      </c>
      <c r="AC107" s="1032">
        <v>5</v>
      </c>
      <c r="AD107" s="1032" t="s">
        <v>631</v>
      </c>
      <c r="AF107" s="1032" t="s">
        <v>122</v>
      </c>
      <c r="AG107" s="1032" t="s">
        <v>123</v>
      </c>
      <c r="AH107" s="1032" t="s">
        <v>356</v>
      </c>
      <c r="AI107" s="1033">
        <v>46054</v>
      </c>
      <c r="AJ107" s="1033">
        <v>46054</v>
      </c>
      <c r="AK107" s="1033">
        <v>46054</v>
      </c>
      <c r="AL107" s="1033">
        <v>46091</v>
      </c>
      <c r="AM107" s="1033">
        <v>46109</v>
      </c>
      <c r="AN107" s="1033">
        <v>46110</v>
      </c>
      <c r="AO107" s="1032" t="s">
        <v>66</v>
      </c>
      <c r="AP107" s="1032" t="s">
        <v>632</v>
      </c>
      <c r="AQ107" s="1032" t="s">
        <v>161</v>
      </c>
      <c r="AR107" s="1032" t="s">
        <v>633</v>
      </c>
      <c r="AS107" s="1032" t="s">
        <v>634</v>
      </c>
      <c r="AT107" s="1032" t="s">
        <v>634</v>
      </c>
      <c r="AU107" s="1032">
        <v>56</v>
      </c>
      <c r="AW107" s="1033">
        <v>46110</v>
      </c>
      <c r="AX107" s="1032" t="s">
        <v>84</v>
      </c>
      <c r="AY107" s="1033">
        <v>46121</v>
      </c>
      <c r="AZ107" s="1032">
        <v>8</v>
      </c>
      <c r="BA107" s="1033">
        <v>46118</v>
      </c>
      <c r="BB107" s="1032">
        <v>2026</v>
      </c>
      <c r="BC107" s="1032">
        <v>4</v>
      </c>
      <c r="BD107" s="1032">
        <v>15</v>
      </c>
      <c r="BE107" s="1032">
        <v>33</v>
      </c>
      <c r="BF107" s="1032">
        <v>660</v>
      </c>
      <c r="BG107" s="1032" t="s">
        <v>108</v>
      </c>
      <c r="BH107" s="1032" t="s">
        <v>109</v>
      </c>
    </row>
    <row r="108" spans="1:60">
      <c r="A108" s="1032" t="s">
        <v>635</v>
      </c>
      <c r="B108" s="1032" t="s">
        <v>111</v>
      </c>
      <c r="C108" s="1032" t="s">
        <v>461</v>
      </c>
      <c r="D108" s="1032" t="s">
        <v>63</v>
      </c>
      <c r="E108" s="1032" t="s">
        <v>64</v>
      </c>
      <c r="F108" s="1032" t="s">
        <v>65</v>
      </c>
      <c r="G108" s="1032" t="s">
        <v>66</v>
      </c>
      <c r="H108" s="1032" t="s">
        <v>67</v>
      </c>
      <c r="I108" s="1032" t="s">
        <v>68</v>
      </c>
      <c r="J108" s="1032" t="s">
        <v>232</v>
      </c>
      <c r="M108" s="1032" t="s">
        <v>68</v>
      </c>
      <c r="N108" s="1032" t="s">
        <v>68</v>
      </c>
      <c r="O108" s="1032" t="s">
        <v>170</v>
      </c>
      <c r="P108" s="1032" t="s">
        <v>462</v>
      </c>
      <c r="Q108" s="1032" t="s">
        <v>463</v>
      </c>
      <c r="R108" s="1032" t="s">
        <v>73</v>
      </c>
      <c r="S108" s="1032" t="s">
        <v>464</v>
      </c>
      <c r="T108" s="1032">
        <v>550</v>
      </c>
      <c r="U108" s="1032">
        <v>1320</v>
      </c>
      <c r="V108" s="1032">
        <v>0.72599999999999998</v>
      </c>
      <c r="W108" s="1032">
        <v>40</v>
      </c>
      <c r="X108" s="1032">
        <v>2</v>
      </c>
      <c r="Y108" s="1032" t="s">
        <v>75</v>
      </c>
      <c r="Z108" s="1032" t="s">
        <v>75</v>
      </c>
      <c r="AB108" s="1033">
        <v>46048</v>
      </c>
      <c r="AC108" s="1032">
        <v>5</v>
      </c>
      <c r="AD108" s="1032" t="s">
        <v>636</v>
      </c>
      <c r="AF108" s="1032" t="s">
        <v>122</v>
      </c>
      <c r="AG108" s="1032" t="s">
        <v>123</v>
      </c>
      <c r="AH108" s="1032" t="s">
        <v>356</v>
      </c>
      <c r="AI108" s="1033">
        <v>46054</v>
      </c>
      <c r="AJ108" s="1033">
        <v>46054</v>
      </c>
      <c r="AK108" s="1033">
        <v>46054</v>
      </c>
      <c r="AL108" s="1033">
        <v>46091</v>
      </c>
      <c r="AM108" s="1033">
        <v>46109</v>
      </c>
      <c r="AN108" s="1033">
        <v>46110</v>
      </c>
      <c r="AO108" s="1032" t="s">
        <v>66</v>
      </c>
      <c r="AP108" s="1032" t="s">
        <v>632</v>
      </c>
      <c r="AQ108" s="1032" t="s">
        <v>161</v>
      </c>
      <c r="AR108" s="1032" t="s">
        <v>633</v>
      </c>
      <c r="AS108" s="1032" t="s">
        <v>634</v>
      </c>
      <c r="AT108" s="1032" t="s">
        <v>634</v>
      </c>
      <c r="AU108" s="1032">
        <v>56</v>
      </c>
      <c r="AW108" s="1033">
        <v>46110</v>
      </c>
      <c r="AX108" s="1032" t="s">
        <v>84</v>
      </c>
      <c r="AY108" s="1033">
        <v>46121</v>
      </c>
      <c r="AZ108" s="1032">
        <v>8</v>
      </c>
      <c r="BA108" s="1033">
        <v>46118</v>
      </c>
      <c r="BB108" s="1032">
        <v>2026</v>
      </c>
      <c r="BC108" s="1032">
        <v>4</v>
      </c>
      <c r="BD108" s="1032">
        <v>15</v>
      </c>
      <c r="BE108" s="1032">
        <v>33</v>
      </c>
      <c r="BF108" s="1032">
        <v>660</v>
      </c>
      <c r="BG108" s="1032" t="s">
        <v>108</v>
      </c>
      <c r="BH108" s="1032" t="s">
        <v>109</v>
      </c>
    </row>
    <row r="109" spans="1:60">
      <c r="A109" s="1032" t="s">
        <v>637</v>
      </c>
      <c r="B109" s="1032" t="s">
        <v>111</v>
      </c>
      <c r="C109" s="1032" t="s">
        <v>638</v>
      </c>
      <c r="D109" s="1032" t="s">
        <v>63</v>
      </c>
      <c r="E109" s="1032" t="s">
        <v>64</v>
      </c>
      <c r="F109" s="1032" t="s">
        <v>65</v>
      </c>
      <c r="G109" s="1032" t="s">
        <v>66</v>
      </c>
      <c r="H109" s="1032" t="s">
        <v>67</v>
      </c>
      <c r="I109" s="1032" t="s">
        <v>68</v>
      </c>
      <c r="J109" s="1032" t="s">
        <v>232</v>
      </c>
      <c r="M109" s="1032" t="s">
        <v>68</v>
      </c>
      <c r="N109" s="1032" t="s">
        <v>68</v>
      </c>
      <c r="O109" s="1032" t="s">
        <v>473</v>
      </c>
      <c r="P109" s="1032" t="s">
        <v>474</v>
      </c>
      <c r="Q109" s="1032" t="s">
        <v>475</v>
      </c>
      <c r="R109" s="1032" t="s">
        <v>73</v>
      </c>
      <c r="S109" s="1032" t="s">
        <v>74</v>
      </c>
      <c r="T109" s="1032">
        <v>460</v>
      </c>
      <c r="U109" s="1032">
        <v>2592</v>
      </c>
      <c r="V109" s="1032">
        <v>1.1919999999999999</v>
      </c>
      <c r="W109" s="1032">
        <v>72</v>
      </c>
      <c r="X109" s="1032">
        <v>3</v>
      </c>
      <c r="Y109" s="1032" t="s">
        <v>75</v>
      </c>
      <c r="Z109" s="1032" t="s">
        <v>75</v>
      </c>
      <c r="AB109" s="1033">
        <v>46048</v>
      </c>
      <c r="AC109" s="1032">
        <v>5</v>
      </c>
      <c r="AD109" s="1032" t="s">
        <v>639</v>
      </c>
      <c r="AF109" s="1032" t="s">
        <v>122</v>
      </c>
      <c r="AG109" s="1032" t="s">
        <v>123</v>
      </c>
      <c r="AH109" s="1032" t="s">
        <v>356</v>
      </c>
      <c r="AI109" s="1033">
        <v>46054</v>
      </c>
      <c r="AJ109" s="1033">
        <v>46054</v>
      </c>
      <c r="AK109" s="1033">
        <v>46054</v>
      </c>
      <c r="AL109" s="1033">
        <v>46091</v>
      </c>
      <c r="AM109" s="1033">
        <v>46109</v>
      </c>
      <c r="AN109" s="1033">
        <v>46110</v>
      </c>
      <c r="AO109" s="1032" t="s">
        <v>66</v>
      </c>
      <c r="AP109" s="1032" t="s">
        <v>632</v>
      </c>
      <c r="AQ109" s="1032" t="s">
        <v>161</v>
      </c>
      <c r="AR109" s="1032" t="s">
        <v>633</v>
      </c>
      <c r="AS109" s="1032" t="s">
        <v>634</v>
      </c>
      <c r="AT109" s="1032" t="s">
        <v>634</v>
      </c>
      <c r="AU109" s="1032">
        <v>56</v>
      </c>
      <c r="AW109" s="1033">
        <v>46110</v>
      </c>
      <c r="AX109" s="1032" t="s">
        <v>84</v>
      </c>
      <c r="AY109" s="1033">
        <v>46121</v>
      </c>
      <c r="AZ109" s="1032">
        <v>8</v>
      </c>
      <c r="BA109" s="1033">
        <v>46118</v>
      </c>
      <c r="BB109" s="1032">
        <v>2026</v>
      </c>
      <c r="BC109" s="1032">
        <v>4</v>
      </c>
      <c r="BD109" s="1032">
        <v>15</v>
      </c>
      <c r="BE109" s="1032">
        <v>36</v>
      </c>
      <c r="BF109" s="1032">
        <v>864</v>
      </c>
      <c r="BG109" s="1032" t="s">
        <v>85</v>
      </c>
      <c r="BH109" s="1032" t="s">
        <v>109</v>
      </c>
    </row>
    <row r="110" spans="1:60">
      <c r="A110" s="1032" t="s">
        <v>640</v>
      </c>
      <c r="B110" s="1032" t="s">
        <v>111</v>
      </c>
      <c r="C110" s="1032" t="s">
        <v>472</v>
      </c>
      <c r="D110" s="1032" t="s">
        <v>63</v>
      </c>
      <c r="E110" s="1032" t="s">
        <v>64</v>
      </c>
      <c r="F110" s="1032" t="s">
        <v>100</v>
      </c>
      <c r="G110" s="1032" t="s">
        <v>66</v>
      </c>
      <c r="H110" s="1032" t="s">
        <v>67</v>
      </c>
      <c r="I110" s="1032" t="s">
        <v>68</v>
      </c>
      <c r="J110" s="1032" t="s">
        <v>483</v>
      </c>
      <c r="M110" s="1032" t="s">
        <v>68</v>
      </c>
      <c r="N110" s="1032" t="s">
        <v>68</v>
      </c>
      <c r="O110" s="1032" t="s">
        <v>473</v>
      </c>
      <c r="P110" s="1032" t="s">
        <v>474</v>
      </c>
      <c r="Q110" s="1032" t="s">
        <v>475</v>
      </c>
      <c r="R110" s="1032" t="s">
        <v>73</v>
      </c>
      <c r="S110" s="1032" t="s">
        <v>74</v>
      </c>
      <c r="T110" s="1032">
        <v>460</v>
      </c>
      <c r="U110" s="1032">
        <v>2592</v>
      </c>
      <c r="V110" s="1032">
        <v>1.1919999999999999</v>
      </c>
      <c r="W110" s="1032">
        <v>72</v>
      </c>
      <c r="X110" s="1032">
        <v>3</v>
      </c>
      <c r="Y110" s="1032" t="s">
        <v>75</v>
      </c>
      <c r="Z110" s="1032" t="s">
        <v>75</v>
      </c>
      <c r="AB110" s="1033">
        <v>46050</v>
      </c>
      <c r="AC110" s="1032">
        <v>5</v>
      </c>
      <c r="AD110" s="1032" t="s">
        <v>641</v>
      </c>
      <c r="AF110" s="1032" t="s">
        <v>122</v>
      </c>
      <c r="AG110" s="1032" t="s">
        <v>123</v>
      </c>
      <c r="AH110" s="1032" t="s">
        <v>105</v>
      </c>
      <c r="AI110" s="1033">
        <v>46055</v>
      </c>
      <c r="AJ110" s="1033">
        <v>46059</v>
      </c>
      <c r="AK110" s="1033">
        <v>46059</v>
      </c>
      <c r="AL110" s="1033">
        <v>46092</v>
      </c>
      <c r="AM110" s="1033">
        <v>46102</v>
      </c>
      <c r="AN110" s="1033">
        <v>46103</v>
      </c>
      <c r="AO110" s="1032" t="s">
        <v>66</v>
      </c>
      <c r="AP110" s="1032" t="s">
        <v>642</v>
      </c>
      <c r="AQ110" s="1032" t="s">
        <v>80</v>
      </c>
      <c r="AR110" s="1032" t="s">
        <v>643</v>
      </c>
      <c r="AS110" s="1032" t="s">
        <v>644</v>
      </c>
      <c r="AT110" s="1032" t="s">
        <v>644</v>
      </c>
      <c r="AU110" s="1032">
        <v>44</v>
      </c>
      <c r="AW110" s="1033">
        <v>46103</v>
      </c>
      <c r="AX110" s="1032" t="s">
        <v>84</v>
      </c>
      <c r="AY110" s="1033">
        <v>46115</v>
      </c>
      <c r="AZ110" s="1032">
        <v>7</v>
      </c>
      <c r="BA110" s="1033">
        <v>46110</v>
      </c>
      <c r="BB110" s="1032">
        <v>2026</v>
      </c>
      <c r="BC110" s="1032">
        <v>3</v>
      </c>
      <c r="BD110" s="1032">
        <v>13</v>
      </c>
      <c r="BE110" s="1032">
        <v>36</v>
      </c>
      <c r="BF110" s="1032">
        <v>864</v>
      </c>
      <c r="BG110" s="1032" t="s">
        <v>85</v>
      </c>
      <c r="BH110" s="1032" t="s">
        <v>109</v>
      </c>
    </row>
    <row r="111" spans="1:60">
      <c r="A111" s="1032" t="s">
        <v>645</v>
      </c>
      <c r="B111" s="1032" t="s">
        <v>111</v>
      </c>
      <c r="C111" s="1032" t="s">
        <v>525</v>
      </c>
      <c r="D111" s="1032" t="s">
        <v>63</v>
      </c>
      <c r="E111" s="1032" t="s">
        <v>64</v>
      </c>
      <c r="F111" s="1032" t="s">
        <v>114</v>
      </c>
      <c r="G111" s="1032" t="s">
        <v>66</v>
      </c>
      <c r="H111" s="1032" t="s">
        <v>115</v>
      </c>
      <c r="I111" s="1032" t="s">
        <v>68</v>
      </c>
      <c r="J111" s="1032" t="s">
        <v>646</v>
      </c>
      <c r="M111" s="1032" t="s">
        <v>68</v>
      </c>
      <c r="N111" s="1032" t="s">
        <v>68</v>
      </c>
      <c r="O111" s="1032" t="s">
        <v>473</v>
      </c>
      <c r="P111" s="1032" t="s">
        <v>529</v>
      </c>
      <c r="Q111" s="1032" t="s">
        <v>530</v>
      </c>
      <c r="R111" s="1032" t="s">
        <v>73</v>
      </c>
      <c r="S111" s="1032" t="s">
        <v>74</v>
      </c>
      <c r="T111" s="1032">
        <v>455</v>
      </c>
      <c r="U111" s="1032">
        <v>2592</v>
      </c>
      <c r="V111" s="1032">
        <v>1.179</v>
      </c>
      <c r="W111" s="1032">
        <v>72</v>
      </c>
      <c r="X111" s="1032">
        <v>3</v>
      </c>
      <c r="Y111" s="1032" t="s">
        <v>75</v>
      </c>
      <c r="Z111" s="1032" t="s">
        <v>75</v>
      </c>
      <c r="AB111" s="1033">
        <v>46050</v>
      </c>
      <c r="AC111" s="1032">
        <v>5</v>
      </c>
      <c r="AD111" s="1032" t="s">
        <v>647</v>
      </c>
      <c r="AF111" s="1032" t="s">
        <v>122</v>
      </c>
      <c r="AG111" s="1032" t="s">
        <v>123</v>
      </c>
      <c r="AH111" s="1032" t="s">
        <v>124</v>
      </c>
      <c r="AI111" s="1033">
        <v>46055</v>
      </c>
      <c r="AJ111" s="1033">
        <v>46056</v>
      </c>
      <c r="AK111" s="1033">
        <v>46056</v>
      </c>
      <c r="AL111" s="1033">
        <v>46093</v>
      </c>
      <c r="AM111" s="1033">
        <v>46095</v>
      </c>
      <c r="AN111" s="1033">
        <v>46095</v>
      </c>
      <c r="AO111" s="1032" t="s">
        <v>66</v>
      </c>
      <c r="AP111" s="1032" t="s">
        <v>648</v>
      </c>
      <c r="AQ111" s="1032" t="s">
        <v>80</v>
      </c>
      <c r="AR111" s="1032" t="s">
        <v>649</v>
      </c>
      <c r="AS111" s="1032" t="s">
        <v>650</v>
      </c>
      <c r="AT111" s="1032" t="s">
        <v>650</v>
      </c>
      <c r="AU111" s="1032">
        <v>39</v>
      </c>
      <c r="AW111" s="1033">
        <v>46095</v>
      </c>
      <c r="AX111" s="1032" t="s">
        <v>84</v>
      </c>
      <c r="AY111" s="1033">
        <v>46111</v>
      </c>
      <c r="AZ111" s="1032">
        <v>9</v>
      </c>
      <c r="BA111" s="1033">
        <v>46104</v>
      </c>
      <c r="BB111" s="1032">
        <v>2026</v>
      </c>
      <c r="BC111" s="1032">
        <v>3</v>
      </c>
      <c r="BD111" s="1032">
        <v>13</v>
      </c>
      <c r="BE111" s="1032">
        <v>36</v>
      </c>
      <c r="BF111" s="1032">
        <v>864</v>
      </c>
      <c r="BG111" s="1032" t="s">
        <v>85</v>
      </c>
      <c r="BH111" s="1032" t="s">
        <v>86</v>
      </c>
    </row>
    <row r="112" spans="1:60">
      <c r="A112" s="1032" t="s">
        <v>651</v>
      </c>
      <c r="B112" s="1032" t="s">
        <v>111</v>
      </c>
      <c r="C112" s="1032" t="s">
        <v>472</v>
      </c>
      <c r="D112" s="1032" t="s">
        <v>63</v>
      </c>
      <c r="E112" s="1032" t="s">
        <v>64</v>
      </c>
      <c r="F112" s="1032" t="s">
        <v>65</v>
      </c>
      <c r="G112" s="1032" t="s">
        <v>66</v>
      </c>
      <c r="H112" s="1032" t="s">
        <v>67</v>
      </c>
      <c r="I112" s="1032" t="s">
        <v>68</v>
      </c>
      <c r="J112" s="1032" t="s">
        <v>232</v>
      </c>
      <c r="M112" s="1032" t="s">
        <v>68</v>
      </c>
      <c r="N112" s="1032" t="s">
        <v>68</v>
      </c>
      <c r="O112" s="1032" t="s">
        <v>473</v>
      </c>
      <c r="P112" s="1032" t="s">
        <v>474</v>
      </c>
      <c r="Q112" s="1032" t="s">
        <v>475</v>
      </c>
      <c r="R112" s="1032" t="s">
        <v>73</v>
      </c>
      <c r="S112" s="1032" t="s">
        <v>74</v>
      </c>
      <c r="T112" s="1032">
        <v>460</v>
      </c>
      <c r="U112" s="1032">
        <v>2592</v>
      </c>
      <c r="V112" s="1032">
        <v>1.1919999999999999</v>
      </c>
      <c r="W112" s="1032">
        <v>72</v>
      </c>
      <c r="X112" s="1032">
        <v>3</v>
      </c>
      <c r="Y112" s="1032" t="s">
        <v>75</v>
      </c>
      <c r="Z112" s="1032" t="s">
        <v>75</v>
      </c>
      <c r="AB112" s="1033">
        <v>46050</v>
      </c>
      <c r="AC112" s="1032">
        <v>5</v>
      </c>
      <c r="AD112" s="1032" t="s">
        <v>652</v>
      </c>
      <c r="AF112" s="1032" t="s">
        <v>122</v>
      </c>
      <c r="AG112" s="1032" t="s">
        <v>123</v>
      </c>
      <c r="AH112" s="1032" t="s">
        <v>78</v>
      </c>
      <c r="AI112" s="1033">
        <v>46055</v>
      </c>
      <c r="AJ112" s="1033">
        <v>46056</v>
      </c>
      <c r="AK112" s="1033">
        <v>46056</v>
      </c>
      <c r="AL112" s="1033">
        <v>46098</v>
      </c>
      <c r="AM112" s="1033">
        <v>46101</v>
      </c>
      <c r="AN112" s="1033">
        <v>46103</v>
      </c>
      <c r="AO112" s="1032" t="s">
        <v>66</v>
      </c>
      <c r="AP112" s="1032" t="s">
        <v>653</v>
      </c>
      <c r="AQ112" s="1032" t="s">
        <v>80</v>
      </c>
      <c r="AR112" s="1032" t="s">
        <v>654</v>
      </c>
      <c r="AS112" s="1032" t="s">
        <v>655</v>
      </c>
      <c r="AT112" s="1032" t="s">
        <v>655</v>
      </c>
      <c r="AU112" s="1032">
        <v>47</v>
      </c>
      <c r="AW112" s="1033">
        <v>46103</v>
      </c>
      <c r="AX112" s="1032" t="s">
        <v>84</v>
      </c>
      <c r="AY112" s="1033">
        <v>46115</v>
      </c>
      <c r="AZ112" s="1032">
        <v>8</v>
      </c>
      <c r="BA112" s="1033">
        <v>46111</v>
      </c>
      <c r="BB112" s="1032">
        <v>2026</v>
      </c>
      <c r="BC112" s="1032">
        <v>3</v>
      </c>
      <c r="BD112" s="1032">
        <v>14</v>
      </c>
      <c r="BE112" s="1032">
        <v>36</v>
      </c>
      <c r="BF112" s="1032">
        <v>864</v>
      </c>
      <c r="BG112" s="1032" t="s">
        <v>85</v>
      </c>
      <c r="BH112" s="1032" t="s">
        <v>86</v>
      </c>
    </row>
    <row r="113" spans="1:60">
      <c r="A113" s="1032" t="s">
        <v>461</v>
      </c>
      <c r="B113" s="1032" t="s">
        <v>111</v>
      </c>
      <c r="C113" s="1032" t="s">
        <v>203</v>
      </c>
      <c r="D113" s="1032" t="s">
        <v>63</v>
      </c>
      <c r="E113" s="1032" t="s">
        <v>64</v>
      </c>
      <c r="F113" s="1032" t="s">
        <v>65</v>
      </c>
      <c r="G113" s="1032" t="s">
        <v>66</v>
      </c>
      <c r="H113" s="1032" t="s">
        <v>67</v>
      </c>
      <c r="I113" s="1032" t="s">
        <v>68</v>
      </c>
      <c r="J113" s="1032" t="s">
        <v>131</v>
      </c>
      <c r="M113" s="1032" t="s">
        <v>68</v>
      </c>
      <c r="N113" s="1032" t="s">
        <v>68</v>
      </c>
      <c r="O113" s="1032" t="s">
        <v>170</v>
      </c>
      <c r="P113" s="1032" t="s">
        <v>462</v>
      </c>
      <c r="Q113" s="1032" t="s">
        <v>463</v>
      </c>
      <c r="R113" s="1032" t="s">
        <v>73</v>
      </c>
      <c r="S113" s="1032" t="s">
        <v>464</v>
      </c>
      <c r="T113" s="1032">
        <v>550</v>
      </c>
      <c r="U113" s="1032">
        <v>2640</v>
      </c>
      <c r="V113" s="1032">
        <v>1.452</v>
      </c>
      <c r="W113" s="1032">
        <v>80</v>
      </c>
      <c r="X113" s="1032">
        <v>4</v>
      </c>
      <c r="Y113" s="1032" t="s">
        <v>75</v>
      </c>
      <c r="Z113" s="1032" t="s">
        <v>75</v>
      </c>
      <c r="AB113" s="1033">
        <v>46049</v>
      </c>
      <c r="AC113" s="1032">
        <v>5</v>
      </c>
      <c r="AD113" s="1032" t="s">
        <v>656</v>
      </c>
      <c r="AF113" s="1032" t="s">
        <v>122</v>
      </c>
      <c r="AG113" s="1032" t="s">
        <v>123</v>
      </c>
      <c r="AH113" s="1032" t="s">
        <v>78</v>
      </c>
      <c r="AI113" s="1033">
        <v>46055</v>
      </c>
      <c r="AJ113" s="1033">
        <v>46058</v>
      </c>
      <c r="AK113" s="1033">
        <v>46058</v>
      </c>
      <c r="AL113" s="1033">
        <v>46099</v>
      </c>
      <c r="AM113" s="1033">
        <v>46112</v>
      </c>
      <c r="AN113" s="1033">
        <v>46120</v>
      </c>
      <c r="AO113" s="1032" t="s">
        <v>66</v>
      </c>
      <c r="AP113" s="1032" t="s">
        <v>657</v>
      </c>
      <c r="AQ113" s="1032" t="s">
        <v>80</v>
      </c>
      <c r="AR113" s="1032" t="s">
        <v>658</v>
      </c>
      <c r="AS113" s="1032" t="s">
        <v>659</v>
      </c>
      <c r="AT113" s="1032" t="s">
        <v>659</v>
      </c>
      <c r="AU113" s="1032">
        <v>62</v>
      </c>
      <c r="AW113" s="1033">
        <v>46120</v>
      </c>
      <c r="AX113" s="1032" t="s">
        <v>84</v>
      </c>
      <c r="AY113" s="1033">
        <v>46132</v>
      </c>
      <c r="AZ113" s="1032">
        <v>8</v>
      </c>
      <c r="BA113" s="1033">
        <v>46128</v>
      </c>
      <c r="BB113" s="1032">
        <v>2026</v>
      </c>
      <c r="BC113" s="1032">
        <v>4</v>
      </c>
      <c r="BD113" s="1032">
        <v>16</v>
      </c>
      <c r="BE113" s="1032">
        <v>33</v>
      </c>
      <c r="BF113" s="1032">
        <v>660</v>
      </c>
      <c r="BG113" s="1032" t="s">
        <v>108</v>
      </c>
      <c r="BH113" s="1032" t="s">
        <v>86</v>
      </c>
    </row>
    <row r="114" spans="1:60">
      <c r="A114" s="1032" t="s">
        <v>660</v>
      </c>
      <c r="B114" s="1032" t="s">
        <v>111</v>
      </c>
      <c r="C114" s="1032" t="s">
        <v>461</v>
      </c>
      <c r="D114" s="1032" t="s">
        <v>63</v>
      </c>
      <c r="E114" s="1032" t="s">
        <v>64</v>
      </c>
      <c r="F114" s="1032" t="s">
        <v>100</v>
      </c>
      <c r="G114" s="1032" t="s">
        <v>66</v>
      </c>
      <c r="H114" s="1032" t="s">
        <v>67</v>
      </c>
      <c r="I114" s="1032" t="s">
        <v>68</v>
      </c>
      <c r="J114" s="1032" t="s">
        <v>169</v>
      </c>
      <c r="M114" s="1032" t="s">
        <v>68</v>
      </c>
      <c r="N114" s="1032" t="s">
        <v>68</v>
      </c>
      <c r="O114" s="1032" t="s">
        <v>170</v>
      </c>
      <c r="P114" s="1032" t="s">
        <v>462</v>
      </c>
      <c r="Q114" s="1032" t="s">
        <v>463</v>
      </c>
      <c r="R114" s="1032" t="s">
        <v>73</v>
      </c>
      <c r="S114" s="1032" t="s">
        <v>464</v>
      </c>
      <c r="T114" s="1032">
        <v>550</v>
      </c>
      <c r="U114" s="1032">
        <v>660</v>
      </c>
      <c r="V114" s="1032">
        <v>0.36299999999999999</v>
      </c>
      <c r="W114" s="1032">
        <v>20</v>
      </c>
      <c r="X114" s="1032">
        <v>1</v>
      </c>
      <c r="Y114" s="1032" t="s">
        <v>75</v>
      </c>
      <c r="Z114" s="1032" t="s">
        <v>75</v>
      </c>
      <c r="AB114" s="1033">
        <v>46049</v>
      </c>
      <c r="AC114" s="1032">
        <v>5</v>
      </c>
      <c r="AD114" s="1032" t="s">
        <v>661</v>
      </c>
      <c r="AF114" s="1032" t="s">
        <v>122</v>
      </c>
      <c r="AG114" s="1032" t="s">
        <v>123</v>
      </c>
      <c r="AH114" s="1032" t="s">
        <v>105</v>
      </c>
      <c r="AI114" s="1033">
        <v>46055</v>
      </c>
      <c r="AJ114" s="1033">
        <v>46058</v>
      </c>
      <c r="AK114" s="1033">
        <v>46058</v>
      </c>
      <c r="AL114" s="1033">
        <v>46101</v>
      </c>
      <c r="AM114" s="1033">
        <v>46111</v>
      </c>
      <c r="AN114" s="1033">
        <v>46118</v>
      </c>
      <c r="AO114" s="1032" t="s">
        <v>66</v>
      </c>
      <c r="AP114" s="1032" t="s">
        <v>657</v>
      </c>
      <c r="AQ114" s="1032" t="s">
        <v>80</v>
      </c>
      <c r="AR114" s="1032" t="s">
        <v>662</v>
      </c>
      <c r="AS114" s="1032" t="s">
        <v>663</v>
      </c>
      <c r="AT114" s="1032" t="s">
        <v>663</v>
      </c>
      <c r="AU114" s="1032">
        <v>60</v>
      </c>
      <c r="AW114" s="1033">
        <v>46118</v>
      </c>
      <c r="AX114" s="1032" t="s">
        <v>84</v>
      </c>
      <c r="AY114" s="1033">
        <v>46133</v>
      </c>
      <c r="AZ114" s="1032">
        <v>7</v>
      </c>
      <c r="BA114" s="1033">
        <v>46125</v>
      </c>
      <c r="BB114" s="1032">
        <v>2026</v>
      </c>
      <c r="BC114" s="1032">
        <v>4</v>
      </c>
      <c r="BD114" s="1032">
        <v>16</v>
      </c>
      <c r="BE114" s="1032">
        <v>33</v>
      </c>
      <c r="BF114" s="1032">
        <v>660</v>
      </c>
      <c r="BG114" s="1032" t="s">
        <v>108</v>
      </c>
      <c r="BH114" s="1032" t="s">
        <v>109</v>
      </c>
    </row>
    <row r="115" spans="1:60">
      <c r="A115" s="1032" t="s">
        <v>664</v>
      </c>
      <c r="B115" s="1032" t="s">
        <v>111</v>
      </c>
      <c r="C115" s="1032" t="s">
        <v>168</v>
      </c>
      <c r="D115" s="1032" t="s">
        <v>63</v>
      </c>
      <c r="E115" s="1032" t="s">
        <v>64</v>
      </c>
      <c r="F115" s="1032" t="s">
        <v>100</v>
      </c>
      <c r="G115" s="1032" t="s">
        <v>66</v>
      </c>
      <c r="H115" s="1032" t="s">
        <v>67</v>
      </c>
      <c r="I115" s="1032" t="s">
        <v>68</v>
      </c>
      <c r="J115" s="1032" t="s">
        <v>169</v>
      </c>
      <c r="M115" s="1032" t="s">
        <v>68</v>
      </c>
      <c r="N115" s="1032" t="s">
        <v>68</v>
      </c>
      <c r="O115" s="1032" t="s">
        <v>170</v>
      </c>
      <c r="P115" s="1032" t="s">
        <v>171</v>
      </c>
      <c r="Q115" s="1032" t="s">
        <v>172</v>
      </c>
      <c r="R115" s="1032" t="s">
        <v>73</v>
      </c>
      <c r="S115" s="1032" t="s">
        <v>120</v>
      </c>
      <c r="T115" s="1032">
        <v>555</v>
      </c>
      <c r="U115" s="1032">
        <v>1320</v>
      </c>
      <c r="V115" s="1032">
        <v>0.73299999999999998</v>
      </c>
      <c r="W115" s="1032">
        <v>40</v>
      </c>
      <c r="X115" s="1032">
        <v>2</v>
      </c>
      <c r="Y115" s="1032" t="s">
        <v>75</v>
      </c>
      <c r="Z115" s="1032" t="s">
        <v>75</v>
      </c>
      <c r="AB115" s="1033">
        <v>46049</v>
      </c>
      <c r="AC115" s="1032">
        <v>5</v>
      </c>
      <c r="AD115" s="1032" t="s">
        <v>665</v>
      </c>
      <c r="AF115" s="1032" t="s">
        <v>122</v>
      </c>
      <c r="AG115" s="1032" t="s">
        <v>123</v>
      </c>
      <c r="AH115" s="1032" t="s">
        <v>105</v>
      </c>
      <c r="AI115" s="1033">
        <v>46055</v>
      </c>
      <c r="AJ115" s="1033">
        <v>46058</v>
      </c>
      <c r="AK115" s="1033">
        <v>46058</v>
      </c>
      <c r="AL115" s="1033">
        <v>46101</v>
      </c>
      <c r="AM115" s="1033">
        <v>46111</v>
      </c>
      <c r="AN115" s="1033">
        <v>46118</v>
      </c>
      <c r="AO115" s="1032" t="s">
        <v>66</v>
      </c>
      <c r="AP115" s="1032" t="s">
        <v>657</v>
      </c>
      <c r="AQ115" s="1032" t="s">
        <v>80</v>
      </c>
      <c r="AR115" s="1032" t="s">
        <v>662</v>
      </c>
      <c r="AS115" s="1032" t="s">
        <v>663</v>
      </c>
      <c r="AT115" s="1032" t="s">
        <v>663</v>
      </c>
      <c r="AU115" s="1032">
        <v>60</v>
      </c>
      <c r="AW115" s="1033">
        <v>46118</v>
      </c>
      <c r="AX115" s="1032" t="s">
        <v>84</v>
      </c>
      <c r="AY115" s="1033">
        <v>46133</v>
      </c>
      <c r="AZ115" s="1032">
        <v>7</v>
      </c>
      <c r="BA115" s="1033">
        <v>46125</v>
      </c>
      <c r="BB115" s="1032">
        <v>2026</v>
      </c>
      <c r="BC115" s="1032">
        <v>4</v>
      </c>
      <c r="BD115" s="1032">
        <v>16</v>
      </c>
      <c r="BE115" s="1032">
        <v>33</v>
      </c>
      <c r="BF115" s="1032">
        <v>660</v>
      </c>
      <c r="BG115" s="1032" t="s">
        <v>108</v>
      </c>
      <c r="BH115" s="1032" t="s">
        <v>109</v>
      </c>
    </row>
    <row r="116" spans="1:60">
      <c r="A116" s="1032" t="s">
        <v>282</v>
      </c>
      <c r="B116" s="1032" t="s">
        <v>281</v>
      </c>
      <c r="C116" s="1032" t="s">
        <v>203</v>
      </c>
      <c r="D116" s="1032" t="s">
        <v>63</v>
      </c>
      <c r="E116" s="1032" t="s">
        <v>64</v>
      </c>
      <c r="F116" s="1032" t="s">
        <v>100</v>
      </c>
      <c r="G116" s="1032" t="s">
        <v>66</v>
      </c>
      <c r="H116" s="1032" t="s">
        <v>67</v>
      </c>
      <c r="I116" s="1032" t="s">
        <v>68</v>
      </c>
      <c r="J116" s="1032" t="s">
        <v>293</v>
      </c>
      <c r="M116" s="1032" t="s">
        <v>68</v>
      </c>
      <c r="N116" s="1032" t="s">
        <v>68</v>
      </c>
      <c r="O116" s="1032" t="s">
        <v>284</v>
      </c>
      <c r="P116" s="1032" t="s">
        <v>285</v>
      </c>
      <c r="Q116" s="1032" t="s">
        <v>286</v>
      </c>
      <c r="R116" s="1032" t="s">
        <v>73</v>
      </c>
      <c r="S116" s="1032" t="s">
        <v>120</v>
      </c>
      <c r="T116" s="1032">
        <v>460</v>
      </c>
      <c r="U116" s="1032">
        <v>1924</v>
      </c>
      <c r="V116" s="1032">
        <v>0.88500000000000001</v>
      </c>
      <c r="W116" s="1032">
        <v>52</v>
      </c>
      <c r="X116" s="1032">
        <v>2</v>
      </c>
      <c r="Y116" s="1032" t="s">
        <v>75</v>
      </c>
      <c r="Z116" s="1032" t="s">
        <v>75</v>
      </c>
      <c r="AB116" s="1033">
        <v>46051</v>
      </c>
      <c r="AC116" s="1032">
        <v>5</v>
      </c>
      <c r="AD116" s="1032" t="s">
        <v>666</v>
      </c>
      <c r="AF116" s="1032" t="s">
        <v>288</v>
      </c>
      <c r="AG116" s="1032" t="s">
        <v>289</v>
      </c>
      <c r="AH116" s="1032" t="s">
        <v>105</v>
      </c>
      <c r="AI116" s="1033">
        <v>46057</v>
      </c>
      <c r="AJ116" s="1033">
        <v>46061</v>
      </c>
      <c r="AK116" s="1033">
        <v>46061</v>
      </c>
      <c r="AL116" s="1033">
        <v>46087</v>
      </c>
      <c r="AM116" s="1033">
        <v>46097</v>
      </c>
      <c r="AN116" s="1033">
        <v>46099</v>
      </c>
      <c r="AO116" s="1032" t="s">
        <v>66</v>
      </c>
      <c r="AP116" s="1032" t="s">
        <v>457</v>
      </c>
      <c r="AQ116" s="1032" t="s">
        <v>161</v>
      </c>
      <c r="AR116" s="1032" t="s">
        <v>667</v>
      </c>
      <c r="AS116" s="1032" t="s">
        <v>668</v>
      </c>
      <c r="AT116" s="1032">
        <v>149600000000</v>
      </c>
      <c r="AU116" s="1032">
        <v>38</v>
      </c>
      <c r="AW116" s="1033">
        <v>46099</v>
      </c>
      <c r="AX116" s="1032" t="s">
        <v>84</v>
      </c>
      <c r="AY116" s="1033">
        <v>46111</v>
      </c>
      <c r="AZ116" s="1032">
        <v>7</v>
      </c>
      <c r="BA116" s="1033">
        <v>46106</v>
      </c>
      <c r="BB116" s="1032">
        <v>2026</v>
      </c>
      <c r="BC116" s="1032">
        <v>3</v>
      </c>
      <c r="BD116" s="1032">
        <v>13</v>
      </c>
      <c r="BE116" s="1032">
        <v>37</v>
      </c>
      <c r="BF116" s="1032">
        <v>962</v>
      </c>
      <c r="BG116" s="1032" t="s">
        <v>85</v>
      </c>
      <c r="BH116" s="1032" t="s">
        <v>109</v>
      </c>
    </row>
    <row r="117" spans="1:60">
      <c r="A117" s="1032" t="s">
        <v>669</v>
      </c>
      <c r="B117" s="1032" t="s">
        <v>281</v>
      </c>
      <c r="C117" s="1032" t="s">
        <v>601</v>
      </c>
      <c r="D117" s="1032" t="s">
        <v>63</v>
      </c>
      <c r="E117" s="1032" t="s">
        <v>144</v>
      </c>
      <c r="F117" s="1032" t="s">
        <v>145</v>
      </c>
      <c r="G117" s="1032" t="s">
        <v>402</v>
      </c>
      <c r="H117" s="1032" t="s">
        <v>670</v>
      </c>
      <c r="I117" s="1032" t="s">
        <v>68</v>
      </c>
      <c r="J117" s="1032" t="s">
        <v>671</v>
      </c>
      <c r="K117" s="1032" t="s">
        <v>672</v>
      </c>
      <c r="M117" s="1032" t="s">
        <v>68</v>
      </c>
      <c r="N117" s="1032" t="s">
        <v>68</v>
      </c>
      <c r="O117" s="1032" t="s">
        <v>284</v>
      </c>
      <c r="P117" s="1032" t="s">
        <v>602</v>
      </c>
      <c r="Q117" s="1032" t="s">
        <v>603</v>
      </c>
      <c r="R117" s="1032" t="s">
        <v>73</v>
      </c>
      <c r="S117" s="1032" t="s">
        <v>120</v>
      </c>
      <c r="T117" s="1032">
        <v>465</v>
      </c>
      <c r="U117" s="1032">
        <v>13468</v>
      </c>
      <c r="V117" s="1032">
        <v>6.2629999999999999</v>
      </c>
      <c r="W117" s="1032">
        <v>364</v>
      </c>
      <c r="X117" s="1032">
        <v>14</v>
      </c>
      <c r="Y117" s="1032" t="s">
        <v>75</v>
      </c>
      <c r="Z117" s="1032" t="s">
        <v>75</v>
      </c>
      <c r="AB117" s="1033">
        <v>46041</v>
      </c>
      <c r="AC117" s="1032">
        <v>4</v>
      </c>
      <c r="AD117" s="1032" t="s">
        <v>673</v>
      </c>
      <c r="AF117" s="1032" t="s">
        <v>288</v>
      </c>
      <c r="AG117" s="1032" t="s">
        <v>289</v>
      </c>
      <c r="AH117" s="1032" t="s">
        <v>105</v>
      </c>
      <c r="AI117" s="1033">
        <v>46045</v>
      </c>
      <c r="AJ117" s="1033">
        <v>46045</v>
      </c>
      <c r="AK117" s="1033">
        <v>46045</v>
      </c>
      <c r="AL117" s="1033">
        <v>46071</v>
      </c>
      <c r="AM117" s="1033">
        <v>46080</v>
      </c>
      <c r="AN117" s="1033">
        <v>46084</v>
      </c>
      <c r="AO117" s="1032" t="s">
        <v>402</v>
      </c>
      <c r="AP117" s="1032" t="s">
        <v>262</v>
      </c>
      <c r="AQ117" s="1032" t="s">
        <v>161</v>
      </c>
      <c r="AR117" s="1032" t="s">
        <v>674</v>
      </c>
      <c r="AS117" s="1032" t="s">
        <v>675</v>
      </c>
      <c r="AT117" s="1032">
        <v>149600000000</v>
      </c>
      <c r="AU117" s="1032">
        <v>39</v>
      </c>
      <c r="AW117" s="1033">
        <v>46084</v>
      </c>
      <c r="AX117" s="1032" t="s">
        <v>84</v>
      </c>
      <c r="AY117" s="1033">
        <v>46085</v>
      </c>
      <c r="AZ117" s="1032" t="s">
        <v>152</v>
      </c>
      <c r="BA117" s="1033">
        <v>46084</v>
      </c>
      <c r="BB117" s="1032">
        <v>2026</v>
      </c>
      <c r="BC117" s="1032">
        <v>3</v>
      </c>
      <c r="BD117" s="1032">
        <v>10</v>
      </c>
      <c r="BE117" s="1032">
        <v>37</v>
      </c>
      <c r="BF117" s="1032">
        <v>962</v>
      </c>
      <c r="BG117" s="1032" t="s">
        <v>108</v>
      </c>
      <c r="BH117" s="1032" t="s">
        <v>109</v>
      </c>
    </row>
    <row r="118" spans="1:60">
      <c r="A118" s="1032" t="s">
        <v>676</v>
      </c>
      <c r="B118" s="1032" t="s">
        <v>281</v>
      </c>
      <c r="C118" s="1032" t="s">
        <v>601</v>
      </c>
      <c r="D118" s="1032" t="s">
        <v>63</v>
      </c>
      <c r="E118" s="1032" t="s">
        <v>144</v>
      </c>
      <c r="F118" s="1032" t="s">
        <v>145</v>
      </c>
      <c r="G118" s="1032" t="s">
        <v>402</v>
      </c>
      <c r="H118" s="1032" t="s">
        <v>670</v>
      </c>
      <c r="I118" s="1032" t="s">
        <v>68</v>
      </c>
      <c r="J118" s="1032" t="s">
        <v>677</v>
      </c>
      <c r="K118" s="1032" t="s">
        <v>672</v>
      </c>
      <c r="M118" s="1032" t="s">
        <v>68</v>
      </c>
      <c r="N118" s="1032" t="s">
        <v>68</v>
      </c>
      <c r="O118" s="1032" t="s">
        <v>284</v>
      </c>
      <c r="P118" s="1032" t="s">
        <v>602</v>
      </c>
      <c r="Q118" s="1032" t="s">
        <v>603</v>
      </c>
      <c r="R118" s="1032" t="s">
        <v>73</v>
      </c>
      <c r="S118" s="1032" t="s">
        <v>120</v>
      </c>
      <c r="T118" s="1032">
        <v>465</v>
      </c>
      <c r="U118" s="1032">
        <v>10582</v>
      </c>
      <c r="V118" s="1032">
        <v>4.9210000000000003</v>
      </c>
      <c r="W118" s="1032">
        <v>286</v>
      </c>
      <c r="X118" s="1032">
        <v>11</v>
      </c>
      <c r="Y118" s="1032" t="s">
        <v>75</v>
      </c>
      <c r="Z118" s="1032" t="s">
        <v>75</v>
      </c>
      <c r="AB118" s="1033">
        <v>46051</v>
      </c>
      <c r="AC118" s="1032">
        <v>5</v>
      </c>
      <c r="AD118" s="1032" t="s">
        <v>678</v>
      </c>
      <c r="AF118" s="1032" t="s">
        <v>288</v>
      </c>
      <c r="AG118" s="1032" t="s">
        <v>289</v>
      </c>
      <c r="AH118" s="1032" t="s">
        <v>105</v>
      </c>
      <c r="AI118" s="1033">
        <v>46056</v>
      </c>
      <c r="AJ118" s="1033">
        <v>46057</v>
      </c>
      <c r="AK118" s="1033">
        <v>46057</v>
      </c>
      <c r="AL118" s="1033">
        <v>46090</v>
      </c>
      <c r="AM118" s="1033">
        <v>46091</v>
      </c>
      <c r="AN118" s="1033">
        <v>46092</v>
      </c>
      <c r="AO118" s="1032" t="s">
        <v>402</v>
      </c>
      <c r="AP118" s="1032" t="s">
        <v>679</v>
      </c>
      <c r="AQ118" s="1032" t="s">
        <v>161</v>
      </c>
      <c r="AR118" s="1032" t="s">
        <v>680</v>
      </c>
      <c r="AS118" s="1032">
        <v>265292580</v>
      </c>
      <c r="AT118" s="1032">
        <v>265292580</v>
      </c>
      <c r="AU118" s="1032">
        <v>35</v>
      </c>
      <c r="AW118" s="1033">
        <v>46092</v>
      </c>
      <c r="AX118" s="1032" t="s">
        <v>84</v>
      </c>
      <c r="AY118" s="1033">
        <v>46104</v>
      </c>
      <c r="AZ118" s="1032" t="s">
        <v>152</v>
      </c>
      <c r="BA118" s="1033">
        <v>46092</v>
      </c>
      <c r="BB118" s="1032">
        <v>2026</v>
      </c>
      <c r="BC118" s="1032">
        <v>3</v>
      </c>
      <c r="BD118" s="1032">
        <v>11</v>
      </c>
      <c r="BE118" s="1032">
        <v>37</v>
      </c>
      <c r="BF118" s="1032">
        <v>962</v>
      </c>
      <c r="BG118" s="1032" t="s">
        <v>108</v>
      </c>
      <c r="BH118" s="1032" t="s">
        <v>109</v>
      </c>
    </row>
    <row r="119" spans="1:60">
      <c r="A119" s="1032" t="s">
        <v>681</v>
      </c>
      <c r="B119" s="1032" t="s">
        <v>281</v>
      </c>
      <c r="C119" s="1032" t="s">
        <v>601</v>
      </c>
      <c r="D119" s="1032" t="s">
        <v>63</v>
      </c>
      <c r="E119" s="1032" t="s">
        <v>144</v>
      </c>
      <c r="F119" s="1032" t="s">
        <v>145</v>
      </c>
      <c r="G119" s="1032" t="s">
        <v>402</v>
      </c>
      <c r="H119" s="1032" t="s">
        <v>670</v>
      </c>
      <c r="I119" s="1032" t="s">
        <v>68</v>
      </c>
      <c r="J119" s="1032" t="s">
        <v>677</v>
      </c>
      <c r="K119" s="1032" t="s">
        <v>672</v>
      </c>
      <c r="M119" s="1032" t="s">
        <v>68</v>
      </c>
      <c r="N119" s="1032" t="s">
        <v>68</v>
      </c>
      <c r="O119" s="1032" t="s">
        <v>284</v>
      </c>
      <c r="P119" s="1032" t="s">
        <v>602</v>
      </c>
      <c r="Q119" s="1032" t="s">
        <v>603</v>
      </c>
      <c r="R119" s="1032" t="s">
        <v>73</v>
      </c>
      <c r="S119" s="1032" t="s">
        <v>120</v>
      </c>
      <c r="T119" s="1032">
        <v>465</v>
      </c>
      <c r="U119" s="1032">
        <v>1924</v>
      </c>
      <c r="V119" s="1032">
        <v>0.89500000000000002</v>
      </c>
      <c r="W119" s="1032">
        <v>52</v>
      </c>
      <c r="X119" s="1032">
        <v>2</v>
      </c>
      <c r="Y119" s="1032" t="s">
        <v>75</v>
      </c>
      <c r="Z119" s="1032" t="s">
        <v>75</v>
      </c>
      <c r="AB119" s="1033">
        <v>46048</v>
      </c>
      <c r="AC119" s="1032">
        <v>5</v>
      </c>
      <c r="AD119" s="1032" t="s">
        <v>682</v>
      </c>
      <c r="AF119" s="1032" t="s">
        <v>288</v>
      </c>
      <c r="AG119" s="1032" t="s">
        <v>289</v>
      </c>
      <c r="AH119" s="1032" t="s">
        <v>105</v>
      </c>
      <c r="AI119" s="1033">
        <v>46053</v>
      </c>
      <c r="AJ119" s="1033">
        <v>46054</v>
      </c>
      <c r="AK119" s="1033">
        <v>46054</v>
      </c>
      <c r="AL119" s="1033">
        <v>46087</v>
      </c>
      <c r="AM119" s="1033">
        <v>46113</v>
      </c>
      <c r="AN119" s="1033">
        <v>46114</v>
      </c>
      <c r="AO119" s="1032" t="s">
        <v>402</v>
      </c>
      <c r="AP119" s="1032" t="s">
        <v>683</v>
      </c>
      <c r="AQ119" s="1032" t="s">
        <v>161</v>
      </c>
      <c r="AR119" s="1032" t="s">
        <v>684</v>
      </c>
      <c r="AS119" s="1032" t="s">
        <v>685</v>
      </c>
      <c r="AT119" s="1032" t="s">
        <v>686</v>
      </c>
      <c r="AU119" s="1032">
        <v>60</v>
      </c>
      <c r="AW119" s="1033">
        <v>46114</v>
      </c>
      <c r="AX119" s="1032" t="s">
        <v>84</v>
      </c>
      <c r="AY119" s="1033">
        <v>46101</v>
      </c>
      <c r="AZ119" s="1032" t="s">
        <v>152</v>
      </c>
      <c r="BA119" s="1033">
        <v>46114</v>
      </c>
      <c r="BB119" s="1032">
        <v>2026</v>
      </c>
      <c r="BC119" s="1032">
        <v>4</v>
      </c>
      <c r="BD119" s="1032">
        <v>14</v>
      </c>
      <c r="BE119" s="1032">
        <v>37</v>
      </c>
      <c r="BF119" s="1032">
        <v>962</v>
      </c>
      <c r="BG119" s="1032" t="s">
        <v>108</v>
      </c>
      <c r="BH119" s="1032" t="s">
        <v>109</v>
      </c>
    </row>
    <row r="120" spans="1:60">
      <c r="A120" s="1032" t="s">
        <v>687</v>
      </c>
      <c r="B120" s="1032" t="s">
        <v>77</v>
      </c>
      <c r="C120" s="1032" t="s">
        <v>688</v>
      </c>
      <c r="D120" s="1032" t="s">
        <v>63</v>
      </c>
      <c r="E120" s="1032" t="s">
        <v>64</v>
      </c>
      <c r="F120" s="1032" t="s">
        <v>65</v>
      </c>
      <c r="G120" s="1032" t="s">
        <v>66</v>
      </c>
      <c r="H120" s="1032" t="s">
        <v>67</v>
      </c>
      <c r="I120" s="1032" t="s">
        <v>689</v>
      </c>
      <c r="J120" s="1032" t="s">
        <v>690</v>
      </c>
      <c r="M120" s="1032" t="s">
        <v>68</v>
      </c>
      <c r="N120" s="1032" t="s">
        <v>68</v>
      </c>
      <c r="O120" s="1032" t="s">
        <v>70</v>
      </c>
      <c r="P120" s="1032" t="s">
        <v>691</v>
      </c>
      <c r="Q120" s="1032" t="s">
        <v>692</v>
      </c>
      <c r="R120" s="1032" t="s">
        <v>73</v>
      </c>
      <c r="S120" s="1032" t="s">
        <v>74</v>
      </c>
      <c r="T120" s="1032">
        <v>505</v>
      </c>
      <c r="U120" s="1032">
        <v>1728</v>
      </c>
      <c r="V120" s="1032">
        <v>0.873</v>
      </c>
      <c r="W120" s="1032">
        <v>48</v>
      </c>
      <c r="X120" s="1032">
        <v>2</v>
      </c>
      <c r="Y120" s="1032" t="s">
        <v>75</v>
      </c>
      <c r="Z120" s="1032" t="s">
        <v>75</v>
      </c>
      <c r="AA120" s="1032" t="s">
        <v>197</v>
      </c>
      <c r="AB120" s="1033">
        <v>46050</v>
      </c>
      <c r="AC120" s="1032">
        <v>5</v>
      </c>
      <c r="AD120" s="1032" t="s">
        <v>693</v>
      </c>
      <c r="AE120" s="1032" t="s">
        <v>197</v>
      </c>
      <c r="AF120" s="1032" t="s">
        <v>77</v>
      </c>
      <c r="AG120" s="1032" t="s">
        <v>61</v>
      </c>
      <c r="AH120" s="1032" t="s">
        <v>356</v>
      </c>
      <c r="AI120" s="1033">
        <v>46057</v>
      </c>
      <c r="AJ120" s="1033">
        <v>46058</v>
      </c>
      <c r="AK120" s="1033">
        <v>46058</v>
      </c>
      <c r="AL120" s="1033">
        <v>46112</v>
      </c>
      <c r="AM120" s="1033">
        <v>46132</v>
      </c>
      <c r="AN120" s="1033">
        <v>46132</v>
      </c>
      <c r="AO120" s="1032" t="s">
        <v>66</v>
      </c>
      <c r="AP120" s="1032" t="s">
        <v>694</v>
      </c>
      <c r="AQ120" s="1032" t="s">
        <v>80</v>
      </c>
      <c r="AR120" s="1032" t="s">
        <v>695</v>
      </c>
      <c r="AS120" s="1032" t="s">
        <v>696</v>
      </c>
      <c r="AT120" s="1032" t="s">
        <v>696</v>
      </c>
      <c r="AU120" s="1032">
        <v>74</v>
      </c>
      <c r="AW120" s="1033">
        <v>46132</v>
      </c>
      <c r="AX120" s="1032" t="s">
        <v>84</v>
      </c>
      <c r="AY120" s="1033">
        <v>46146</v>
      </c>
      <c r="AZ120" s="1032">
        <v>8</v>
      </c>
      <c r="BA120" s="1033">
        <v>46140</v>
      </c>
      <c r="BB120" s="1032">
        <v>2026</v>
      </c>
      <c r="BC120" s="1032">
        <v>4</v>
      </c>
      <c r="BD120" s="1032">
        <v>18</v>
      </c>
      <c r="BE120" s="1032">
        <v>36</v>
      </c>
      <c r="BF120" s="1032">
        <v>864</v>
      </c>
      <c r="BG120" s="1032" t="s">
        <v>85</v>
      </c>
      <c r="BH120" s="1032" t="s">
        <v>109</v>
      </c>
    </row>
    <row r="121" spans="1:60">
      <c r="A121" s="1032" t="s">
        <v>697</v>
      </c>
      <c r="B121" s="1032" t="s">
        <v>77</v>
      </c>
      <c r="C121" s="1032" t="s">
        <v>688</v>
      </c>
      <c r="D121" s="1032" t="s">
        <v>63</v>
      </c>
      <c r="E121" s="1032" t="s">
        <v>64</v>
      </c>
      <c r="F121" s="1032" t="s">
        <v>65</v>
      </c>
      <c r="G121" s="1032" t="s">
        <v>66</v>
      </c>
      <c r="H121" s="1032" t="s">
        <v>67</v>
      </c>
      <c r="I121" s="1032" t="s">
        <v>68</v>
      </c>
      <c r="J121" s="1032" t="s">
        <v>690</v>
      </c>
      <c r="M121" s="1032" t="s">
        <v>68</v>
      </c>
      <c r="N121" s="1032" t="s">
        <v>68</v>
      </c>
      <c r="O121" s="1032" t="s">
        <v>70</v>
      </c>
      <c r="P121" s="1032" t="s">
        <v>691</v>
      </c>
      <c r="Q121" s="1032" t="s">
        <v>692</v>
      </c>
      <c r="R121" s="1032" t="s">
        <v>73</v>
      </c>
      <c r="S121" s="1032" t="s">
        <v>74</v>
      </c>
      <c r="T121" s="1032">
        <v>505</v>
      </c>
      <c r="U121" s="1032">
        <v>1728</v>
      </c>
      <c r="V121" s="1032">
        <v>0.873</v>
      </c>
      <c r="W121" s="1032">
        <v>48</v>
      </c>
      <c r="X121" s="1032">
        <v>2</v>
      </c>
      <c r="Y121" s="1032" t="s">
        <v>75</v>
      </c>
      <c r="Z121" s="1032" t="s">
        <v>75</v>
      </c>
      <c r="AA121" s="1032" t="s">
        <v>197</v>
      </c>
      <c r="AB121" s="1033">
        <v>46050</v>
      </c>
      <c r="AC121" s="1032">
        <v>5</v>
      </c>
      <c r="AD121" s="1032" t="s">
        <v>698</v>
      </c>
      <c r="AE121" s="1032" t="s">
        <v>197</v>
      </c>
      <c r="AF121" s="1032" t="s">
        <v>77</v>
      </c>
      <c r="AG121" s="1032" t="s">
        <v>61</v>
      </c>
      <c r="AH121" s="1032" t="s">
        <v>356</v>
      </c>
      <c r="AI121" s="1033">
        <v>46057</v>
      </c>
      <c r="AJ121" s="1033">
        <v>46058</v>
      </c>
      <c r="AK121" s="1033">
        <v>46058</v>
      </c>
      <c r="AL121" s="1033">
        <v>46112</v>
      </c>
      <c r="AM121" s="1033">
        <v>46132</v>
      </c>
      <c r="AN121" s="1033">
        <v>46132</v>
      </c>
      <c r="AO121" s="1032" t="s">
        <v>66</v>
      </c>
      <c r="AP121" s="1032" t="s">
        <v>694</v>
      </c>
      <c r="AQ121" s="1032" t="s">
        <v>80</v>
      </c>
      <c r="AR121" s="1032" t="s">
        <v>695</v>
      </c>
      <c r="AS121" s="1032" t="s">
        <v>696</v>
      </c>
      <c r="AT121" s="1032" t="s">
        <v>696</v>
      </c>
      <c r="AU121" s="1032">
        <v>74</v>
      </c>
      <c r="AW121" s="1033">
        <v>46132</v>
      </c>
      <c r="AX121" s="1032" t="s">
        <v>84</v>
      </c>
      <c r="AY121" s="1033">
        <v>46146</v>
      </c>
      <c r="AZ121" s="1032">
        <v>8</v>
      </c>
      <c r="BA121" s="1033">
        <v>46140</v>
      </c>
      <c r="BB121" s="1032">
        <v>2026</v>
      </c>
      <c r="BC121" s="1032">
        <v>4</v>
      </c>
      <c r="BD121" s="1032">
        <v>18</v>
      </c>
      <c r="BE121" s="1032">
        <v>36</v>
      </c>
      <c r="BF121" s="1032">
        <v>864</v>
      </c>
      <c r="BG121" s="1032" t="s">
        <v>85</v>
      </c>
      <c r="BH121" s="1032" t="s">
        <v>109</v>
      </c>
    </row>
    <row r="122" spans="1:60">
      <c r="A122" s="1032" t="s">
        <v>699</v>
      </c>
      <c r="B122" s="1032" t="s">
        <v>61</v>
      </c>
      <c r="C122" s="1032" t="s">
        <v>326</v>
      </c>
      <c r="D122" s="1032" t="s">
        <v>113</v>
      </c>
      <c r="E122" s="1032" t="s">
        <v>64</v>
      </c>
      <c r="F122" s="1032" t="s">
        <v>100</v>
      </c>
      <c r="G122" s="1032" t="s">
        <v>66</v>
      </c>
      <c r="H122" s="1032" t="s">
        <v>67</v>
      </c>
      <c r="I122" s="1032" t="s">
        <v>68</v>
      </c>
      <c r="J122" s="1032" t="s">
        <v>327</v>
      </c>
      <c r="K122" s="1032" t="s">
        <v>328</v>
      </c>
      <c r="M122" s="1032" t="s">
        <v>68</v>
      </c>
      <c r="N122" s="1032" t="s">
        <v>68</v>
      </c>
      <c r="O122" s="1032" t="s">
        <v>70</v>
      </c>
      <c r="P122" s="1032" t="s">
        <v>329</v>
      </c>
      <c r="Q122" s="1032" t="s">
        <v>330</v>
      </c>
      <c r="R122" s="1032" t="s">
        <v>331</v>
      </c>
      <c r="S122" s="1032" t="s">
        <v>120</v>
      </c>
      <c r="T122" s="1032">
        <v>625</v>
      </c>
      <c r="U122" s="1032">
        <v>2880</v>
      </c>
      <c r="V122" s="1032">
        <v>1.8</v>
      </c>
      <c r="W122" s="1032">
        <v>80</v>
      </c>
      <c r="X122" s="1032">
        <v>4</v>
      </c>
      <c r="Y122" s="1032" t="s">
        <v>75</v>
      </c>
      <c r="Z122" s="1032" t="s">
        <v>75</v>
      </c>
      <c r="AA122" s="1032" t="s">
        <v>197</v>
      </c>
      <c r="AB122" s="1033">
        <v>46048</v>
      </c>
      <c r="AC122" s="1032">
        <v>5</v>
      </c>
      <c r="AD122" s="1032" t="s">
        <v>700</v>
      </c>
      <c r="AE122" s="1032" t="s">
        <v>197</v>
      </c>
      <c r="AF122" s="1032" t="s">
        <v>77</v>
      </c>
      <c r="AG122" s="1032" t="s">
        <v>61</v>
      </c>
      <c r="AH122" s="1032" t="s">
        <v>105</v>
      </c>
      <c r="AI122" s="1033">
        <v>46054</v>
      </c>
      <c r="AJ122" s="1033">
        <v>46054</v>
      </c>
      <c r="AK122" s="1033">
        <v>46055</v>
      </c>
      <c r="AL122" s="1033">
        <v>46094</v>
      </c>
      <c r="AM122" s="1033">
        <v>46116</v>
      </c>
      <c r="AN122" s="1033">
        <v>46118</v>
      </c>
      <c r="AO122" s="1032" t="s">
        <v>66</v>
      </c>
      <c r="AP122" s="1032" t="s">
        <v>701</v>
      </c>
      <c r="AQ122" s="1032" t="s">
        <v>161</v>
      </c>
      <c r="AR122" s="1032" t="s">
        <v>702</v>
      </c>
      <c r="AS122" s="1032" t="s">
        <v>703</v>
      </c>
      <c r="AT122" s="1032" t="s">
        <v>703</v>
      </c>
      <c r="AU122" s="1032">
        <v>63</v>
      </c>
      <c r="AW122" s="1033">
        <v>46118</v>
      </c>
      <c r="AX122" s="1032" t="s">
        <v>84</v>
      </c>
      <c r="AY122" s="1033">
        <v>46129</v>
      </c>
      <c r="AZ122" s="1032">
        <v>7</v>
      </c>
      <c r="BA122" s="1033">
        <v>46125</v>
      </c>
      <c r="BB122" s="1032">
        <v>2026</v>
      </c>
      <c r="BC122" s="1032">
        <v>4</v>
      </c>
      <c r="BD122" s="1032">
        <v>16</v>
      </c>
      <c r="BE122" s="1032">
        <v>36</v>
      </c>
      <c r="BF122" s="1032">
        <v>720</v>
      </c>
      <c r="BG122" s="1032" t="s">
        <v>128</v>
      </c>
      <c r="BH122" s="1032" t="s">
        <v>109</v>
      </c>
    </row>
    <row r="123" spans="1:60">
      <c r="A123" s="1032" t="s">
        <v>704</v>
      </c>
      <c r="B123" s="1032" t="s">
        <v>77</v>
      </c>
      <c r="C123" s="1032" t="s">
        <v>705</v>
      </c>
      <c r="D123" s="1032" t="s">
        <v>63</v>
      </c>
      <c r="E123" s="1032" t="s">
        <v>64</v>
      </c>
      <c r="F123" s="1032" t="s">
        <v>65</v>
      </c>
      <c r="G123" s="1032" t="s">
        <v>66</v>
      </c>
      <c r="H123" s="1032" t="s">
        <v>67</v>
      </c>
      <c r="I123" s="1032" t="s">
        <v>68</v>
      </c>
      <c r="J123" s="1032" t="s">
        <v>690</v>
      </c>
      <c r="M123" s="1032" t="s">
        <v>68</v>
      </c>
      <c r="N123" s="1032" t="s">
        <v>68</v>
      </c>
      <c r="O123" s="1032" t="s">
        <v>70</v>
      </c>
      <c r="P123" s="1032" t="s">
        <v>706</v>
      </c>
      <c r="Q123" s="1032" t="s">
        <v>707</v>
      </c>
      <c r="R123" s="1032" t="s">
        <v>73</v>
      </c>
      <c r="S123" s="1032" t="s">
        <v>74</v>
      </c>
      <c r="T123" s="1032">
        <v>500</v>
      </c>
      <c r="U123" s="1032">
        <v>1728</v>
      </c>
      <c r="V123" s="1032">
        <v>0.86399999999999999</v>
      </c>
      <c r="W123" s="1032">
        <v>48</v>
      </c>
      <c r="X123" s="1032">
        <v>2</v>
      </c>
      <c r="Y123" s="1032" t="s">
        <v>75</v>
      </c>
      <c r="Z123" s="1032" t="s">
        <v>75</v>
      </c>
      <c r="AA123" s="1032" t="s">
        <v>197</v>
      </c>
      <c r="AB123" s="1033">
        <v>46050</v>
      </c>
      <c r="AC123" s="1032">
        <v>5</v>
      </c>
      <c r="AD123" s="1032" t="s">
        <v>708</v>
      </c>
      <c r="AE123" s="1032" t="s">
        <v>197</v>
      </c>
      <c r="AF123" s="1032" t="s">
        <v>77</v>
      </c>
      <c r="AG123" s="1032" t="s">
        <v>61</v>
      </c>
      <c r="AH123" s="1032" t="s">
        <v>78</v>
      </c>
      <c r="AI123" s="1033">
        <v>46057</v>
      </c>
      <c r="AJ123" s="1033">
        <v>46058</v>
      </c>
      <c r="AK123" s="1033">
        <v>46058</v>
      </c>
      <c r="AL123" s="1033">
        <v>46119</v>
      </c>
      <c r="AM123" s="1033">
        <v>46125</v>
      </c>
      <c r="AN123" s="1033">
        <v>46125</v>
      </c>
      <c r="AO123" s="1032" t="s">
        <v>66</v>
      </c>
      <c r="AP123" s="1032" t="s">
        <v>694</v>
      </c>
      <c r="AQ123" s="1032" t="s">
        <v>80</v>
      </c>
      <c r="AR123" s="1032" t="s">
        <v>709</v>
      </c>
      <c r="AS123" s="1032" t="s">
        <v>710</v>
      </c>
      <c r="AT123" s="1032" t="s">
        <v>710</v>
      </c>
      <c r="AU123" s="1032">
        <v>67</v>
      </c>
      <c r="AW123" s="1033">
        <v>46125</v>
      </c>
      <c r="AX123" s="1032" t="s">
        <v>84</v>
      </c>
      <c r="AY123" s="1033">
        <v>46139</v>
      </c>
      <c r="AZ123" s="1032">
        <v>8</v>
      </c>
      <c r="BA123" s="1033">
        <v>46133</v>
      </c>
      <c r="BB123" s="1032">
        <v>2026</v>
      </c>
      <c r="BC123" s="1032">
        <v>4</v>
      </c>
      <c r="BD123" s="1032">
        <v>17</v>
      </c>
      <c r="BE123" s="1032">
        <v>36</v>
      </c>
      <c r="BF123" s="1032">
        <v>864</v>
      </c>
      <c r="BG123" s="1032" t="s">
        <v>85</v>
      </c>
      <c r="BH123" s="1032" t="s">
        <v>86</v>
      </c>
    </row>
    <row r="124" spans="1:60">
      <c r="A124" s="1032" t="s">
        <v>711</v>
      </c>
      <c r="B124" s="1032" t="s">
        <v>61</v>
      </c>
      <c r="C124" s="1032" t="s">
        <v>203</v>
      </c>
      <c r="D124" s="1032" t="s">
        <v>113</v>
      </c>
      <c r="E124" s="1032" t="s">
        <v>64</v>
      </c>
      <c r="F124" s="1032" t="s">
        <v>65</v>
      </c>
      <c r="G124" s="1032" t="s">
        <v>66</v>
      </c>
      <c r="H124" s="1032" t="s">
        <v>67</v>
      </c>
      <c r="I124" s="1032" t="s">
        <v>68</v>
      </c>
      <c r="J124" s="1032" t="s">
        <v>712</v>
      </c>
      <c r="K124" s="1032" t="s">
        <v>328</v>
      </c>
      <c r="M124" s="1032" t="s">
        <v>68</v>
      </c>
      <c r="N124" s="1032">
        <v>46045</v>
      </c>
      <c r="O124" s="1032" t="s">
        <v>713</v>
      </c>
      <c r="P124" s="1032" t="s">
        <v>714</v>
      </c>
      <c r="Q124" s="1032" t="s">
        <v>715</v>
      </c>
      <c r="R124" s="1032" t="s">
        <v>73</v>
      </c>
      <c r="S124" s="1032" t="s">
        <v>716</v>
      </c>
      <c r="T124" s="1032">
        <v>625</v>
      </c>
      <c r="U124" s="1032">
        <v>108</v>
      </c>
      <c r="V124" s="1032">
        <v>6.8000000000000005E-2</v>
      </c>
      <c r="W124" s="1032">
        <v>3</v>
      </c>
      <c r="X124" s="1032">
        <v>0.2</v>
      </c>
      <c r="Y124" s="1032" t="s">
        <v>75</v>
      </c>
      <c r="Z124" s="1032" t="s">
        <v>75</v>
      </c>
      <c r="AA124" s="1032" t="s">
        <v>197</v>
      </c>
      <c r="AB124" s="1033">
        <v>46051</v>
      </c>
      <c r="AC124" s="1032">
        <v>5</v>
      </c>
      <c r="AD124" s="1032" t="s">
        <v>717</v>
      </c>
      <c r="AE124" s="1032" t="s">
        <v>197</v>
      </c>
      <c r="AF124" s="1032" t="s">
        <v>77</v>
      </c>
      <c r="AG124" s="1032" t="s">
        <v>61</v>
      </c>
      <c r="AH124" s="1032" t="s">
        <v>78</v>
      </c>
      <c r="AI124" s="1033">
        <v>46057</v>
      </c>
      <c r="AJ124" s="1033">
        <v>46058</v>
      </c>
      <c r="AK124" s="1033">
        <v>46058</v>
      </c>
      <c r="AL124" s="1033">
        <v>46125</v>
      </c>
      <c r="AM124" s="1033">
        <v>46136</v>
      </c>
      <c r="AN124" s="1033">
        <v>46137</v>
      </c>
      <c r="AO124" s="1032" t="s">
        <v>66</v>
      </c>
      <c r="AP124" s="1032" t="s">
        <v>694</v>
      </c>
      <c r="AQ124" s="1032" t="s">
        <v>80</v>
      </c>
      <c r="AR124" s="1032" t="s">
        <v>718</v>
      </c>
      <c r="AS124" s="1032" t="s">
        <v>719</v>
      </c>
      <c r="AT124" s="1032" t="s">
        <v>719</v>
      </c>
      <c r="AU124" s="1032">
        <v>79</v>
      </c>
      <c r="AW124" s="1033">
        <v>46137</v>
      </c>
      <c r="AX124" s="1032" t="s">
        <v>84</v>
      </c>
      <c r="AY124" s="1033">
        <v>46150</v>
      </c>
      <c r="AZ124" s="1032">
        <v>8</v>
      </c>
      <c r="BA124" s="1033">
        <v>46145</v>
      </c>
      <c r="BB124" s="1032">
        <v>2026</v>
      </c>
      <c r="BC124" s="1032">
        <v>5</v>
      </c>
      <c r="BD124" s="1032">
        <v>18</v>
      </c>
      <c r="BE124" s="1032">
        <v>36</v>
      </c>
      <c r="BF124" s="1032">
        <v>576</v>
      </c>
      <c r="BG124" s="1032" t="s">
        <v>108</v>
      </c>
      <c r="BH124" s="1032" t="s">
        <v>86</v>
      </c>
    </row>
    <row r="125" spans="1:60">
      <c r="A125" s="1032" t="s">
        <v>720</v>
      </c>
      <c r="B125" s="1032" t="s">
        <v>77</v>
      </c>
      <c r="C125" s="1032" t="s">
        <v>688</v>
      </c>
      <c r="D125" s="1032" t="s">
        <v>63</v>
      </c>
      <c r="E125" s="1032" t="s">
        <v>64</v>
      </c>
      <c r="F125" s="1032" t="s">
        <v>65</v>
      </c>
      <c r="G125" s="1032" t="s">
        <v>66</v>
      </c>
      <c r="H125" s="1032" t="s">
        <v>67</v>
      </c>
      <c r="I125" s="1032" t="s">
        <v>68</v>
      </c>
      <c r="J125" s="1032" t="s">
        <v>690</v>
      </c>
      <c r="M125" s="1032" t="s">
        <v>68</v>
      </c>
      <c r="N125" s="1032" t="s">
        <v>68</v>
      </c>
      <c r="O125" s="1032" t="s">
        <v>70</v>
      </c>
      <c r="P125" s="1032" t="s">
        <v>691</v>
      </c>
      <c r="Q125" s="1032" t="s">
        <v>692</v>
      </c>
      <c r="R125" s="1032" t="s">
        <v>73</v>
      </c>
      <c r="S125" s="1032" t="s">
        <v>74</v>
      </c>
      <c r="T125" s="1032">
        <v>505</v>
      </c>
      <c r="U125" s="1032">
        <v>684</v>
      </c>
      <c r="V125" s="1032">
        <v>0.34499999999999997</v>
      </c>
      <c r="W125" s="1032">
        <v>19</v>
      </c>
      <c r="X125" s="1032">
        <v>0.8</v>
      </c>
      <c r="Y125" s="1032" t="s">
        <v>75</v>
      </c>
      <c r="Z125" s="1032" t="s">
        <v>75</v>
      </c>
      <c r="AA125" s="1032" t="s">
        <v>197</v>
      </c>
      <c r="AB125" s="1033">
        <v>46051</v>
      </c>
      <c r="AC125" s="1032">
        <v>5</v>
      </c>
      <c r="AD125" s="1032" t="s">
        <v>721</v>
      </c>
      <c r="AE125" s="1032" t="s">
        <v>197</v>
      </c>
      <c r="AF125" s="1032" t="s">
        <v>77</v>
      </c>
      <c r="AG125" s="1032" t="s">
        <v>61</v>
      </c>
      <c r="AH125" s="1032" t="s">
        <v>78</v>
      </c>
      <c r="AI125" s="1033">
        <v>46057</v>
      </c>
      <c r="AJ125" s="1033">
        <v>46058</v>
      </c>
      <c r="AK125" s="1033">
        <v>46058</v>
      </c>
      <c r="AL125" s="1033">
        <v>46125</v>
      </c>
      <c r="AM125" s="1033">
        <v>46136</v>
      </c>
      <c r="AN125" s="1033">
        <v>46137</v>
      </c>
      <c r="AO125" s="1032" t="s">
        <v>66</v>
      </c>
      <c r="AP125" s="1032" t="s">
        <v>694</v>
      </c>
      <c r="AQ125" s="1032" t="s">
        <v>80</v>
      </c>
      <c r="AR125" s="1032" t="s">
        <v>718</v>
      </c>
      <c r="AS125" s="1032" t="s">
        <v>719</v>
      </c>
      <c r="AT125" s="1032" t="s">
        <v>719</v>
      </c>
      <c r="AU125" s="1032">
        <v>79</v>
      </c>
      <c r="AW125" s="1033">
        <v>46137</v>
      </c>
      <c r="AX125" s="1032" t="s">
        <v>84</v>
      </c>
      <c r="AY125" s="1033">
        <v>46150</v>
      </c>
      <c r="AZ125" s="1032">
        <v>8</v>
      </c>
      <c r="BA125" s="1033">
        <v>46145</v>
      </c>
      <c r="BB125" s="1032">
        <v>2026</v>
      </c>
      <c r="BC125" s="1032">
        <v>5</v>
      </c>
      <c r="BD125" s="1032">
        <v>18</v>
      </c>
      <c r="BE125" s="1032">
        <v>36</v>
      </c>
      <c r="BF125" s="1032">
        <v>864</v>
      </c>
      <c r="BG125" s="1032" t="s">
        <v>85</v>
      </c>
      <c r="BH125" s="1032" t="s">
        <v>86</v>
      </c>
    </row>
    <row r="126" spans="1:60">
      <c r="A126" s="1032" t="s">
        <v>88</v>
      </c>
      <c r="B126" s="1032" t="s">
        <v>61</v>
      </c>
      <c r="C126" s="1032" t="s">
        <v>203</v>
      </c>
      <c r="D126" s="1032" t="s">
        <v>63</v>
      </c>
      <c r="E126" s="1032" t="s">
        <v>64</v>
      </c>
      <c r="F126" s="1032" t="s">
        <v>65</v>
      </c>
      <c r="G126" s="1032" t="s">
        <v>66</v>
      </c>
      <c r="H126" s="1032" t="s">
        <v>67</v>
      </c>
      <c r="I126" s="1032" t="s">
        <v>68</v>
      </c>
      <c r="J126" s="1032" t="s">
        <v>690</v>
      </c>
      <c r="M126" s="1032" t="s">
        <v>68</v>
      </c>
      <c r="N126" s="1032" t="s">
        <v>68</v>
      </c>
      <c r="O126" s="1032" t="s">
        <v>70</v>
      </c>
      <c r="P126" s="1032" t="s">
        <v>91</v>
      </c>
      <c r="Q126" s="1032" t="s">
        <v>92</v>
      </c>
      <c r="R126" s="1032" t="s">
        <v>73</v>
      </c>
      <c r="S126" s="1032" t="s">
        <v>74</v>
      </c>
      <c r="T126" s="1032">
        <v>450</v>
      </c>
      <c r="U126" s="1032">
        <v>936</v>
      </c>
      <c r="V126" s="1032">
        <v>0.42099999999999999</v>
      </c>
      <c r="W126" s="1032">
        <v>26</v>
      </c>
      <c r="X126" s="1032">
        <v>1</v>
      </c>
      <c r="Y126" s="1032" t="s">
        <v>75</v>
      </c>
      <c r="Z126" s="1032" t="s">
        <v>75</v>
      </c>
      <c r="AA126" s="1032" t="s">
        <v>197</v>
      </c>
      <c r="AB126" s="1033">
        <v>46051</v>
      </c>
      <c r="AC126" s="1032">
        <v>5</v>
      </c>
      <c r="AD126" s="1032" t="s">
        <v>722</v>
      </c>
      <c r="AE126" s="1032" t="s">
        <v>197</v>
      </c>
      <c r="AF126" s="1032" t="s">
        <v>77</v>
      </c>
      <c r="AG126" s="1032" t="s">
        <v>61</v>
      </c>
      <c r="AH126" s="1032" t="s">
        <v>78</v>
      </c>
      <c r="AI126" s="1033">
        <v>46057</v>
      </c>
      <c r="AJ126" s="1033">
        <v>46058</v>
      </c>
      <c r="AK126" s="1033">
        <v>46058</v>
      </c>
      <c r="AL126" s="1033">
        <v>46125</v>
      </c>
      <c r="AM126" s="1033">
        <v>46136</v>
      </c>
      <c r="AN126" s="1033">
        <v>46137</v>
      </c>
      <c r="AO126" s="1032" t="s">
        <v>66</v>
      </c>
      <c r="AP126" s="1032" t="s">
        <v>694</v>
      </c>
      <c r="AQ126" s="1032" t="s">
        <v>80</v>
      </c>
      <c r="AR126" s="1032" t="s">
        <v>718</v>
      </c>
      <c r="AS126" s="1032" t="s">
        <v>719</v>
      </c>
      <c r="AT126" s="1032" t="s">
        <v>719</v>
      </c>
      <c r="AU126" s="1032">
        <v>79</v>
      </c>
      <c r="AW126" s="1033">
        <v>46137</v>
      </c>
      <c r="AX126" s="1032" t="s">
        <v>84</v>
      </c>
      <c r="AY126" s="1033">
        <v>46150</v>
      </c>
      <c r="AZ126" s="1032">
        <v>8</v>
      </c>
      <c r="BA126" s="1033">
        <v>46145</v>
      </c>
      <c r="BB126" s="1032">
        <v>2026</v>
      </c>
      <c r="BC126" s="1032">
        <v>5</v>
      </c>
      <c r="BD126" s="1032">
        <v>18</v>
      </c>
      <c r="BE126" s="1032">
        <v>36</v>
      </c>
      <c r="BF126" s="1032">
        <v>936</v>
      </c>
      <c r="BG126" s="1032" t="s">
        <v>94</v>
      </c>
      <c r="BH126" s="1032" t="s">
        <v>86</v>
      </c>
    </row>
    <row r="127" spans="1:60">
      <c r="A127" s="1032" t="s">
        <v>723</v>
      </c>
      <c r="B127" s="1032" t="s">
        <v>111</v>
      </c>
      <c r="C127" s="1032" t="s">
        <v>168</v>
      </c>
      <c r="D127" s="1032" t="s">
        <v>63</v>
      </c>
      <c r="E127" s="1032" t="s">
        <v>64</v>
      </c>
      <c r="F127" s="1032" t="s">
        <v>100</v>
      </c>
      <c r="G127" s="1032" t="s">
        <v>402</v>
      </c>
      <c r="H127" s="1032" t="s">
        <v>67</v>
      </c>
      <c r="I127" s="1032" t="s">
        <v>68</v>
      </c>
      <c r="J127" s="1032" t="s">
        <v>483</v>
      </c>
      <c r="M127" s="1032" t="s">
        <v>68</v>
      </c>
      <c r="N127" s="1032" t="s">
        <v>68</v>
      </c>
      <c r="O127" s="1032" t="s">
        <v>170</v>
      </c>
      <c r="P127" s="1032" t="s">
        <v>171</v>
      </c>
      <c r="Q127" s="1032" t="s">
        <v>172</v>
      </c>
      <c r="R127" s="1032" t="s">
        <v>73</v>
      </c>
      <c r="S127" s="1032" t="s">
        <v>120</v>
      </c>
      <c r="T127" s="1032">
        <v>555</v>
      </c>
      <c r="U127" s="1032">
        <v>1980</v>
      </c>
      <c r="V127" s="1032">
        <v>1.099</v>
      </c>
      <c r="W127" s="1032">
        <v>60</v>
      </c>
      <c r="X127" s="1032">
        <v>3</v>
      </c>
      <c r="Y127" s="1032" t="s">
        <v>75</v>
      </c>
      <c r="Z127" s="1032" t="s">
        <v>75</v>
      </c>
      <c r="AB127" s="1033">
        <v>46056</v>
      </c>
      <c r="AC127" s="1032">
        <v>6</v>
      </c>
      <c r="AD127" s="1032" t="s">
        <v>724</v>
      </c>
      <c r="AF127" s="1032" t="s">
        <v>122</v>
      </c>
      <c r="AG127" s="1032" t="s">
        <v>123</v>
      </c>
      <c r="AH127" s="1032" t="s">
        <v>105</v>
      </c>
      <c r="AI127" s="1033">
        <v>46062</v>
      </c>
      <c r="AJ127" s="1033">
        <v>46067</v>
      </c>
      <c r="AK127" s="1033">
        <v>46068</v>
      </c>
      <c r="AL127" s="1033">
        <v>46102</v>
      </c>
      <c r="AM127" s="1033">
        <v>46111</v>
      </c>
      <c r="AN127" s="1033">
        <v>46113</v>
      </c>
      <c r="AO127" s="1032" t="s">
        <v>402</v>
      </c>
      <c r="AP127" s="1032" t="s">
        <v>623</v>
      </c>
      <c r="AQ127" s="1032" t="s">
        <v>161</v>
      </c>
      <c r="AR127" s="1032" t="s">
        <v>725</v>
      </c>
      <c r="AS127" s="1032" t="s">
        <v>726</v>
      </c>
      <c r="AT127" s="1032" t="s">
        <v>726</v>
      </c>
      <c r="AU127" s="1032">
        <v>45</v>
      </c>
      <c r="AW127" s="1033">
        <v>46113</v>
      </c>
      <c r="AX127" s="1032" t="s">
        <v>84</v>
      </c>
      <c r="AY127" s="1033">
        <v>46125</v>
      </c>
      <c r="AZ127" s="1032">
        <v>7</v>
      </c>
      <c r="BA127" s="1033">
        <v>46120</v>
      </c>
      <c r="BB127" s="1032">
        <v>2026</v>
      </c>
      <c r="BC127" s="1032">
        <v>4</v>
      </c>
      <c r="BD127" s="1032">
        <v>15</v>
      </c>
      <c r="BE127" s="1032">
        <v>33</v>
      </c>
      <c r="BF127" s="1032">
        <v>660</v>
      </c>
      <c r="BG127" s="1032" t="s">
        <v>108</v>
      </c>
      <c r="BH127" s="1032" t="s">
        <v>109</v>
      </c>
    </row>
    <row r="128" spans="1:60">
      <c r="A128" s="1032" t="s">
        <v>727</v>
      </c>
      <c r="B128" s="1032" t="s">
        <v>111</v>
      </c>
      <c r="C128" s="1032" t="s">
        <v>168</v>
      </c>
      <c r="D128" s="1032" t="s">
        <v>63</v>
      </c>
      <c r="E128" s="1032" t="s">
        <v>64</v>
      </c>
      <c r="F128" s="1032" t="s">
        <v>100</v>
      </c>
      <c r="G128" s="1032" t="s">
        <v>402</v>
      </c>
      <c r="H128" s="1032" t="s">
        <v>67</v>
      </c>
      <c r="I128" s="1032" t="s">
        <v>68</v>
      </c>
      <c r="J128" s="1032" t="s">
        <v>483</v>
      </c>
      <c r="M128" s="1032" t="s">
        <v>68</v>
      </c>
      <c r="N128" s="1032" t="s">
        <v>68</v>
      </c>
      <c r="O128" s="1032" t="s">
        <v>170</v>
      </c>
      <c r="P128" s="1032" t="s">
        <v>171</v>
      </c>
      <c r="Q128" s="1032" t="s">
        <v>172</v>
      </c>
      <c r="R128" s="1032" t="s">
        <v>73</v>
      </c>
      <c r="S128" s="1032" t="s">
        <v>120</v>
      </c>
      <c r="T128" s="1032">
        <v>555</v>
      </c>
      <c r="U128" s="1032">
        <v>3300</v>
      </c>
      <c r="V128" s="1032">
        <v>1.8320000000000001</v>
      </c>
      <c r="W128" s="1032">
        <v>100</v>
      </c>
      <c r="X128" s="1032">
        <v>5</v>
      </c>
      <c r="Y128" s="1032" t="s">
        <v>75</v>
      </c>
      <c r="Z128" s="1032" t="s">
        <v>75</v>
      </c>
      <c r="AB128" s="1033">
        <v>46056</v>
      </c>
      <c r="AC128" s="1032">
        <v>6</v>
      </c>
      <c r="AD128" s="1032" t="s">
        <v>728</v>
      </c>
      <c r="AF128" s="1032" t="s">
        <v>122</v>
      </c>
      <c r="AG128" s="1032" t="s">
        <v>123</v>
      </c>
      <c r="AH128" s="1032" t="s">
        <v>105</v>
      </c>
      <c r="AI128" s="1033">
        <v>46062</v>
      </c>
      <c r="AJ128" s="1033">
        <v>46067</v>
      </c>
      <c r="AK128" s="1033">
        <v>46068</v>
      </c>
      <c r="AL128" s="1033">
        <v>46102</v>
      </c>
      <c r="AM128" s="1033">
        <v>46111</v>
      </c>
      <c r="AN128" s="1033">
        <v>46113</v>
      </c>
      <c r="AO128" s="1032" t="s">
        <v>402</v>
      </c>
      <c r="AP128" s="1032" t="s">
        <v>623</v>
      </c>
      <c r="AQ128" s="1032" t="s">
        <v>161</v>
      </c>
      <c r="AR128" s="1032" t="s">
        <v>725</v>
      </c>
      <c r="AS128" s="1032" t="s">
        <v>726</v>
      </c>
      <c r="AT128" s="1032" t="s">
        <v>726</v>
      </c>
      <c r="AU128" s="1032">
        <v>45</v>
      </c>
      <c r="AW128" s="1033">
        <v>46113</v>
      </c>
      <c r="AX128" s="1032" t="s">
        <v>84</v>
      </c>
      <c r="AY128" s="1033">
        <v>46125</v>
      </c>
      <c r="AZ128" s="1032">
        <v>7</v>
      </c>
      <c r="BA128" s="1033">
        <v>46120</v>
      </c>
      <c r="BB128" s="1032">
        <v>2026</v>
      </c>
      <c r="BC128" s="1032">
        <v>4</v>
      </c>
      <c r="BD128" s="1032">
        <v>15</v>
      </c>
      <c r="BE128" s="1032">
        <v>33</v>
      </c>
      <c r="BF128" s="1032">
        <v>660</v>
      </c>
      <c r="BG128" s="1032" t="s">
        <v>108</v>
      </c>
      <c r="BH128" s="1032" t="s">
        <v>109</v>
      </c>
    </row>
    <row r="129" spans="1:60">
      <c r="A129" s="1032" t="s">
        <v>525</v>
      </c>
      <c r="B129" s="1032" t="s">
        <v>111</v>
      </c>
      <c r="C129" s="1032" t="s">
        <v>203</v>
      </c>
      <c r="D129" s="1032" t="s">
        <v>63</v>
      </c>
      <c r="E129" s="1032" t="s">
        <v>64</v>
      </c>
      <c r="F129" s="1032" t="s">
        <v>100</v>
      </c>
      <c r="G129" s="1032" t="s">
        <v>402</v>
      </c>
      <c r="H129" s="1032" t="s">
        <v>67</v>
      </c>
      <c r="I129" s="1032" t="s">
        <v>68</v>
      </c>
      <c r="J129" s="1032" t="s">
        <v>483</v>
      </c>
      <c r="M129" s="1032" t="s">
        <v>68</v>
      </c>
      <c r="N129" s="1032" t="s">
        <v>68</v>
      </c>
      <c r="O129" s="1032" t="s">
        <v>473</v>
      </c>
      <c r="P129" s="1032" t="s">
        <v>529</v>
      </c>
      <c r="Q129" s="1032" t="s">
        <v>530</v>
      </c>
      <c r="R129" s="1032" t="s">
        <v>73</v>
      </c>
      <c r="S129" s="1032" t="s">
        <v>74</v>
      </c>
      <c r="T129" s="1032">
        <v>455</v>
      </c>
      <c r="U129" s="1032">
        <v>1728</v>
      </c>
      <c r="V129" s="1032">
        <v>0.78600000000000003</v>
      </c>
      <c r="W129" s="1032">
        <v>48</v>
      </c>
      <c r="X129" s="1032">
        <v>2</v>
      </c>
      <c r="Y129" s="1032" t="s">
        <v>75</v>
      </c>
      <c r="Z129" s="1032" t="s">
        <v>75</v>
      </c>
      <c r="AB129" s="1033">
        <v>46056</v>
      </c>
      <c r="AC129" s="1032">
        <v>6</v>
      </c>
      <c r="AD129" s="1032" t="s">
        <v>729</v>
      </c>
      <c r="AF129" s="1032" t="s">
        <v>122</v>
      </c>
      <c r="AG129" s="1032" t="s">
        <v>123</v>
      </c>
      <c r="AH129" s="1032" t="s">
        <v>105</v>
      </c>
      <c r="AI129" s="1033">
        <v>46062</v>
      </c>
      <c r="AJ129" s="1033">
        <v>46067</v>
      </c>
      <c r="AK129" s="1033">
        <v>46068</v>
      </c>
      <c r="AL129" s="1033">
        <v>46102</v>
      </c>
      <c r="AM129" s="1033">
        <v>46111</v>
      </c>
      <c r="AN129" s="1033">
        <v>46113</v>
      </c>
      <c r="AO129" s="1032" t="s">
        <v>402</v>
      </c>
      <c r="AP129" s="1032" t="s">
        <v>623</v>
      </c>
      <c r="AQ129" s="1032" t="s">
        <v>161</v>
      </c>
      <c r="AR129" s="1032" t="s">
        <v>725</v>
      </c>
      <c r="AS129" s="1032" t="s">
        <v>726</v>
      </c>
      <c r="AT129" s="1032" t="s">
        <v>726</v>
      </c>
      <c r="AU129" s="1032">
        <v>45</v>
      </c>
      <c r="AW129" s="1033">
        <v>46113</v>
      </c>
      <c r="AX129" s="1032" t="s">
        <v>84</v>
      </c>
      <c r="AY129" s="1033">
        <v>46125</v>
      </c>
      <c r="AZ129" s="1032">
        <v>7</v>
      </c>
      <c r="BA129" s="1033">
        <v>46120</v>
      </c>
      <c r="BB129" s="1032">
        <v>2026</v>
      </c>
      <c r="BC129" s="1032">
        <v>4</v>
      </c>
      <c r="BD129" s="1032">
        <v>15</v>
      </c>
      <c r="BE129" s="1032">
        <v>36</v>
      </c>
      <c r="BF129" s="1032">
        <v>864</v>
      </c>
      <c r="BG129" s="1032" t="s">
        <v>85</v>
      </c>
      <c r="BH129" s="1032" t="s">
        <v>109</v>
      </c>
    </row>
    <row r="130" spans="1:60">
      <c r="A130" s="1032" t="s">
        <v>638</v>
      </c>
      <c r="B130" s="1032" t="s">
        <v>111</v>
      </c>
      <c r="C130" s="1032" t="s">
        <v>203</v>
      </c>
      <c r="D130" s="1032" t="s">
        <v>63</v>
      </c>
      <c r="E130" s="1032" t="s">
        <v>64</v>
      </c>
      <c r="F130" s="1032" t="s">
        <v>100</v>
      </c>
      <c r="G130" s="1032" t="s">
        <v>402</v>
      </c>
      <c r="H130" s="1032" t="s">
        <v>67</v>
      </c>
      <c r="I130" s="1032" t="s">
        <v>68</v>
      </c>
      <c r="J130" s="1032" t="s">
        <v>483</v>
      </c>
      <c r="M130" s="1032" t="s">
        <v>68</v>
      </c>
      <c r="N130" s="1032" t="s">
        <v>68</v>
      </c>
      <c r="O130" s="1032" t="s">
        <v>473</v>
      </c>
      <c r="P130" s="1032" t="s">
        <v>474</v>
      </c>
      <c r="Q130" s="1032" t="s">
        <v>475</v>
      </c>
      <c r="R130" s="1032" t="s">
        <v>73</v>
      </c>
      <c r="S130" s="1032" t="s">
        <v>74</v>
      </c>
      <c r="T130" s="1032">
        <v>460</v>
      </c>
      <c r="U130" s="1032">
        <v>864</v>
      </c>
      <c r="V130" s="1032">
        <v>0.39700000000000002</v>
      </c>
      <c r="W130" s="1032">
        <v>24</v>
      </c>
      <c r="X130" s="1032">
        <v>1</v>
      </c>
      <c r="Y130" s="1032" t="s">
        <v>75</v>
      </c>
      <c r="Z130" s="1032" t="s">
        <v>75</v>
      </c>
      <c r="AB130" s="1033">
        <v>46057</v>
      </c>
      <c r="AC130" s="1032">
        <v>6</v>
      </c>
      <c r="AD130" s="1032" t="s">
        <v>730</v>
      </c>
      <c r="AF130" s="1032" t="s">
        <v>122</v>
      </c>
      <c r="AG130" s="1032" t="s">
        <v>123</v>
      </c>
      <c r="AH130" s="1032" t="s">
        <v>105</v>
      </c>
      <c r="AI130" s="1033">
        <v>46062</v>
      </c>
      <c r="AJ130" s="1033">
        <v>46067</v>
      </c>
      <c r="AK130" s="1033">
        <v>46069</v>
      </c>
      <c r="AL130" s="1033">
        <v>46099</v>
      </c>
      <c r="AM130" s="1033">
        <v>46126</v>
      </c>
      <c r="AN130" s="1033">
        <v>46127</v>
      </c>
      <c r="AO130" s="1032" t="s">
        <v>402</v>
      </c>
      <c r="AP130" s="1032" t="s">
        <v>731</v>
      </c>
      <c r="AQ130" s="1032" t="s">
        <v>80</v>
      </c>
      <c r="AR130" s="1032" t="s">
        <v>732</v>
      </c>
      <c r="AS130" s="1032" t="s">
        <v>733</v>
      </c>
      <c r="AT130" s="1032" t="s">
        <v>733</v>
      </c>
      <c r="AU130" s="1032">
        <v>58</v>
      </c>
      <c r="AW130" s="1033">
        <v>46127</v>
      </c>
      <c r="AX130" s="1032" t="s">
        <v>84</v>
      </c>
      <c r="AY130" s="1033">
        <v>46134</v>
      </c>
      <c r="AZ130" s="1032">
        <v>7</v>
      </c>
      <c r="BA130" s="1033">
        <v>46134</v>
      </c>
      <c r="BB130" s="1032">
        <v>2026</v>
      </c>
      <c r="BC130" s="1032">
        <v>4</v>
      </c>
      <c r="BD130" s="1032">
        <v>17</v>
      </c>
      <c r="BE130" s="1032">
        <v>36</v>
      </c>
      <c r="BF130" s="1032">
        <v>864</v>
      </c>
      <c r="BG130" s="1032" t="s">
        <v>85</v>
      </c>
      <c r="BH130" s="1032" t="s">
        <v>109</v>
      </c>
    </row>
    <row r="131" spans="1:60">
      <c r="A131" s="1032" t="s">
        <v>734</v>
      </c>
      <c r="B131" s="1032" t="s">
        <v>111</v>
      </c>
      <c r="C131" s="1032" t="s">
        <v>387</v>
      </c>
      <c r="D131" s="1032" t="s">
        <v>63</v>
      </c>
      <c r="E131" s="1032" t="s">
        <v>64</v>
      </c>
      <c r="F131" s="1032" t="s">
        <v>100</v>
      </c>
      <c r="G131" s="1032" t="s">
        <v>402</v>
      </c>
      <c r="H131" s="1032" t="s">
        <v>67</v>
      </c>
      <c r="I131" s="1032" t="s">
        <v>68</v>
      </c>
      <c r="J131" s="1032" t="s">
        <v>293</v>
      </c>
      <c r="M131" s="1032" t="s">
        <v>68</v>
      </c>
      <c r="N131" s="1032" t="s">
        <v>68</v>
      </c>
      <c r="O131" s="1032" t="s">
        <v>132</v>
      </c>
      <c r="P131" s="1032" t="s">
        <v>189</v>
      </c>
      <c r="Q131" s="1032" t="s">
        <v>190</v>
      </c>
      <c r="R131" s="1032" t="s">
        <v>73</v>
      </c>
      <c r="S131" s="1032" t="s">
        <v>74</v>
      </c>
      <c r="T131" s="1032">
        <v>465</v>
      </c>
      <c r="U131" s="1032">
        <v>2592</v>
      </c>
      <c r="V131" s="1032">
        <v>1.2050000000000001</v>
      </c>
      <c r="W131" s="1032">
        <v>72</v>
      </c>
      <c r="X131" s="1032">
        <v>3</v>
      </c>
      <c r="Y131" s="1032" t="s">
        <v>75</v>
      </c>
      <c r="Z131" s="1032" t="s">
        <v>75</v>
      </c>
      <c r="AB131" s="1033">
        <v>46057</v>
      </c>
      <c r="AC131" s="1032">
        <v>6</v>
      </c>
      <c r="AD131" s="1032" t="s">
        <v>735</v>
      </c>
      <c r="AF131" s="1032" t="s">
        <v>122</v>
      </c>
      <c r="AG131" s="1032" t="s">
        <v>123</v>
      </c>
      <c r="AH131" s="1032" t="s">
        <v>105</v>
      </c>
      <c r="AI131" s="1033">
        <v>46062</v>
      </c>
      <c r="AJ131" s="1033">
        <v>46067</v>
      </c>
      <c r="AK131" s="1033">
        <v>46069</v>
      </c>
      <c r="AL131" s="1033">
        <v>46099</v>
      </c>
      <c r="AM131" s="1033">
        <v>46126</v>
      </c>
      <c r="AN131" s="1033">
        <v>46127</v>
      </c>
      <c r="AO131" s="1032" t="s">
        <v>402</v>
      </c>
      <c r="AP131" s="1032" t="s">
        <v>731</v>
      </c>
      <c r="AQ131" s="1032" t="s">
        <v>80</v>
      </c>
      <c r="AR131" s="1032" t="s">
        <v>732</v>
      </c>
      <c r="AS131" s="1032" t="s">
        <v>733</v>
      </c>
      <c r="AT131" s="1032" t="s">
        <v>733</v>
      </c>
      <c r="AU131" s="1032">
        <v>58</v>
      </c>
      <c r="AW131" s="1033">
        <v>46127</v>
      </c>
      <c r="AX131" s="1032" t="s">
        <v>84</v>
      </c>
      <c r="AY131" s="1033">
        <v>46134</v>
      </c>
      <c r="AZ131" s="1032">
        <v>7</v>
      </c>
      <c r="BA131" s="1033">
        <v>46134</v>
      </c>
      <c r="BB131" s="1032">
        <v>2026</v>
      </c>
      <c r="BC131" s="1032">
        <v>4</v>
      </c>
      <c r="BD131" s="1032">
        <v>17</v>
      </c>
      <c r="BE131" s="1032">
        <v>36</v>
      </c>
      <c r="BF131" s="1032">
        <v>864</v>
      </c>
      <c r="BG131" s="1032" t="s">
        <v>108</v>
      </c>
      <c r="BH131" s="1032" t="s">
        <v>109</v>
      </c>
    </row>
    <row r="132" spans="1:60">
      <c r="A132" s="1032" t="s">
        <v>736</v>
      </c>
      <c r="B132" s="1032" t="s">
        <v>111</v>
      </c>
      <c r="C132" s="1032" t="s">
        <v>168</v>
      </c>
      <c r="D132" s="1032" t="s">
        <v>63</v>
      </c>
      <c r="E132" s="1032" t="s">
        <v>64</v>
      </c>
      <c r="F132" s="1032" t="s">
        <v>65</v>
      </c>
      <c r="G132" s="1032" t="s">
        <v>402</v>
      </c>
      <c r="H132" s="1032" t="s">
        <v>67</v>
      </c>
      <c r="I132" s="1032" t="s">
        <v>68</v>
      </c>
      <c r="J132" s="1032" t="s">
        <v>737</v>
      </c>
      <c r="M132" s="1032" t="s">
        <v>68</v>
      </c>
      <c r="N132" s="1032" t="s">
        <v>68</v>
      </c>
      <c r="O132" s="1032" t="s">
        <v>170</v>
      </c>
      <c r="P132" s="1032" t="s">
        <v>171</v>
      </c>
      <c r="Q132" s="1032" t="s">
        <v>172</v>
      </c>
      <c r="R132" s="1032" t="s">
        <v>73</v>
      </c>
      <c r="S132" s="1032" t="s">
        <v>120</v>
      </c>
      <c r="T132" s="1032">
        <v>555</v>
      </c>
      <c r="U132" s="1032">
        <v>3960</v>
      </c>
      <c r="V132" s="1032">
        <v>2.198</v>
      </c>
      <c r="W132" s="1032">
        <v>120</v>
      </c>
      <c r="X132" s="1032">
        <v>6</v>
      </c>
      <c r="Y132" s="1032" t="s">
        <v>75</v>
      </c>
      <c r="Z132" s="1032" t="s">
        <v>75</v>
      </c>
      <c r="AB132" s="1033">
        <v>46054</v>
      </c>
      <c r="AC132" s="1032">
        <v>5</v>
      </c>
      <c r="AD132" s="1032" t="s">
        <v>738</v>
      </c>
      <c r="AF132" s="1032" t="s">
        <v>122</v>
      </c>
      <c r="AG132" s="1032" t="s">
        <v>123</v>
      </c>
      <c r="AH132" s="1032" t="s">
        <v>78</v>
      </c>
      <c r="AI132" s="1033">
        <v>46063</v>
      </c>
      <c r="AJ132" s="1033">
        <v>46065</v>
      </c>
      <c r="AK132" s="1033">
        <v>46078</v>
      </c>
      <c r="AL132" s="1033">
        <v>46111</v>
      </c>
      <c r="AM132" s="1033">
        <v>46136</v>
      </c>
      <c r="AN132" s="1033">
        <v>46137</v>
      </c>
      <c r="AO132" s="1032" t="s">
        <v>402</v>
      </c>
      <c r="AP132" s="1032" t="s">
        <v>739</v>
      </c>
      <c r="AQ132" s="1032" t="s">
        <v>80</v>
      </c>
      <c r="AR132" s="1032" t="s">
        <v>740</v>
      </c>
      <c r="AS132" s="1032" t="s">
        <v>741</v>
      </c>
      <c r="AT132" s="1032" t="s">
        <v>741</v>
      </c>
      <c r="AU132" s="1032">
        <v>59</v>
      </c>
      <c r="AW132" s="1033">
        <v>46137</v>
      </c>
      <c r="AX132" s="1032" t="s">
        <v>84</v>
      </c>
      <c r="AY132" s="1033">
        <v>46150</v>
      </c>
      <c r="AZ132" s="1032">
        <v>8</v>
      </c>
      <c r="BA132" s="1033">
        <v>46145</v>
      </c>
      <c r="BB132" s="1032">
        <v>2026</v>
      </c>
      <c r="BC132" s="1032">
        <v>5</v>
      </c>
      <c r="BD132" s="1032">
        <v>18</v>
      </c>
      <c r="BE132" s="1032">
        <v>33</v>
      </c>
      <c r="BF132" s="1032">
        <v>660</v>
      </c>
      <c r="BG132" s="1032" t="s">
        <v>108</v>
      </c>
      <c r="BH132" s="1032" t="s">
        <v>86</v>
      </c>
    </row>
    <row r="133" spans="1:60">
      <c r="A133" s="1032" t="s">
        <v>742</v>
      </c>
      <c r="B133" s="1032" t="s">
        <v>111</v>
      </c>
      <c r="C133" s="1032" t="s">
        <v>168</v>
      </c>
      <c r="D133" s="1032" t="s">
        <v>63</v>
      </c>
      <c r="E133" s="1032" t="s">
        <v>64</v>
      </c>
      <c r="F133" s="1032" t="s">
        <v>65</v>
      </c>
      <c r="G133" s="1032" t="s">
        <v>402</v>
      </c>
      <c r="H133" s="1032" t="s">
        <v>67</v>
      </c>
      <c r="I133" s="1032" t="s">
        <v>68</v>
      </c>
      <c r="J133" s="1032" t="s">
        <v>737</v>
      </c>
      <c r="M133" s="1032" t="s">
        <v>68</v>
      </c>
      <c r="N133" s="1032" t="s">
        <v>68</v>
      </c>
      <c r="O133" s="1032" t="s">
        <v>170</v>
      </c>
      <c r="P133" s="1032" t="s">
        <v>171</v>
      </c>
      <c r="Q133" s="1032" t="s">
        <v>172</v>
      </c>
      <c r="R133" s="1032" t="s">
        <v>73</v>
      </c>
      <c r="S133" s="1032" t="s">
        <v>120</v>
      </c>
      <c r="T133" s="1032">
        <v>555</v>
      </c>
      <c r="U133" s="1032">
        <v>660</v>
      </c>
      <c r="V133" s="1032">
        <v>0.36599999999999999</v>
      </c>
      <c r="W133" s="1032">
        <v>20</v>
      </c>
      <c r="X133" s="1032">
        <v>1</v>
      </c>
      <c r="Y133" s="1032" t="s">
        <v>75</v>
      </c>
      <c r="Z133" s="1032" t="s">
        <v>75</v>
      </c>
      <c r="AB133" s="1033">
        <v>46054</v>
      </c>
      <c r="AC133" s="1032">
        <v>5</v>
      </c>
      <c r="AD133" s="1032" t="s">
        <v>743</v>
      </c>
      <c r="AF133" s="1032" t="s">
        <v>122</v>
      </c>
      <c r="AG133" s="1032" t="s">
        <v>123</v>
      </c>
      <c r="AH133" s="1032" t="s">
        <v>78</v>
      </c>
      <c r="AI133" s="1033">
        <v>46063</v>
      </c>
      <c r="AJ133" s="1033">
        <v>46065</v>
      </c>
      <c r="AK133" s="1033">
        <v>46078</v>
      </c>
      <c r="AL133" s="1033">
        <v>46101</v>
      </c>
      <c r="AM133" s="1033">
        <v>46136</v>
      </c>
      <c r="AN133" s="1033">
        <v>46137</v>
      </c>
      <c r="AO133" s="1032" t="s">
        <v>402</v>
      </c>
      <c r="AP133" s="1032" t="s">
        <v>739</v>
      </c>
      <c r="AQ133" s="1032" t="s">
        <v>80</v>
      </c>
      <c r="AR133" s="1032" t="s">
        <v>740</v>
      </c>
      <c r="AS133" s="1032" t="s">
        <v>741</v>
      </c>
      <c r="AT133" s="1032" t="s">
        <v>741</v>
      </c>
      <c r="AU133" s="1032">
        <v>59</v>
      </c>
      <c r="AW133" s="1033">
        <v>46137</v>
      </c>
      <c r="AX133" s="1032" t="s">
        <v>84</v>
      </c>
      <c r="AY133" s="1033">
        <v>46150</v>
      </c>
      <c r="AZ133" s="1032">
        <v>8</v>
      </c>
      <c r="BA133" s="1033">
        <v>46145</v>
      </c>
      <c r="BB133" s="1032">
        <v>2026</v>
      </c>
      <c r="BC133" s="1032">
        <v>5</v>
      </c>
      <c r="BD133" s="1032">
        <v>18</v>
      </c>
      <c r="BE133" s="1032">
        <v>33</v>
      </c>
      <c r="BF133" s="1032">
        <v>660</v>
      </c>
      <c r="BG133" s="1032" t="s">
        <v>108</v>
      </c>
      <c r="BH133" s="1032" t="s">
        <v>86</v>
      </c>
    </row>
    <row r="134" spans="1:60">
      <c r="A134" s="1032" t="s">
        <v>744</v>
      </c>
      <c r="B134" s="1032" t="s">
        <v>111</v>
      </c>
      <c r="C134" s="1032" t="s">
        <v>168</v>
      </c>
      <c r="D134" s="1032" t="s">
        <v>63</v>
      </c>
      <c r="E134" s="1032" t="s">
        <v>64</v>
      </c>
      <c r="F134" s="1032" t="s">
        <v>65</v>
      </c>
      <c r="G134" s="1032" t="s">
        <v>402</v>
      </c>
      <c r="H134" s="1032" t="s">
        <v>67</v>
      </c>
      <c r="I134" s="1032" t="s">
        <v>68</v>
      </c>
      <c r="J134" s="1032" t="s">
        <v>737</v>
      </c>
      <c r="M134" s="1032" t="s">
        <v>68</v>
      </c>
      <c r="N134" s="1032" t="s">
        <v>68</v>
      </c>
      <c r="O134" s="1032" t="s">
        <v>170</v>
      </c>
      <c r="P134" s="1032" t="s">
        <v>171</v>
      </c>
      <c r="Q134" s="1032" t="s">
        <v>172</v>
      </c>
      <c r="R134" s="1032" t="s">
        <v>73</v>
      </c>
      <c r="S134" s="1032" t="s">
        <v>120</v>
      </c>
      <c r="T134" s="1032">
        <v>555</v>
      </c>
      <c r="U134" s="1032">
        <v>660</v>
      </c>
      <c r="V134" s="1032">
        <v>0.36599999999999999</v>
      </c>
      <c r="W134" s="1032">
        <v>20</v>
      </c>
      <c r="X134" s="1032">
        <v>1</v>
      </c>
      <c r="Y134" s="1032" t="s">
        <v>75</v>
      </c>
      <c r="Z134" s="1032" t="s">
        <v>75</v>
      </c>
      <c r="AB134" s="1033">
        <v>46054</v>
      </c>
      <c r="AC134" s="1032">
        <v>5</v>
      </c>
      <c r="AD134" s="1032" t="s">
        <v>745</v>
      </c>
      <c r="AF134" s="1032" t="s">
        <v>122</v>
      </c>
      <c r="AG134" s="1032" t="s">
        <v>123</v>
      </c>
      <c r="AH134" s="1032" t="s">
        <v>78</v>
      </c>
      <c r="AI134" s="1033">
        <v>46063</v>
      </c>
      <c r="AJ134" s="1033">
        <v>46065</v>
      </c>
      <c r="AK134" s="1033">
        <v>46078</v>
      </c>
      <c r="AL134" s="1033">
        <v>46108</v>
      </c>
      <c r="AM134" s="1033">
        <v>46136</v>
      </c>
      <c r="AN134" s="1033">
        <v>46137</v>
      </c>
      <c r="AO134" s="1032" t="s">
        <v>402</v>
      </c>
      <c r="AP134" s="1032" t="s">
        <v>739</v>
      </c>
      <c r="AQ134" s="1032" t="s">
        <v>80</v>
      </c>
      <c r="AR134" s="1032" t="s">
        <v>740</v>
      </c>
      <c r="AS134" s="1032" t="s">
        <v>741</v>
      </c>
      <c r="AT134" s="1032" t="s">
        <v>741</v>
      </c>
      <c r="AU134" s="1032">
        <v>59</v>
      </c>
      <c r="AW134" s="1033">
        <v>46137</v>
      </c>
      <c r="AX134" s="1032" t="s">
        <v>84</v>
      </c>
      <c r="AY134" s="1033">
        <v>46150</v>
      </c>
      <c r="AZ134" s="1032">
        <v>8</v>
      </c>
      <c r="BA134" s="1033">
        <v>46145</v>
      </c>
      <c r="BB134" s="1032">
        <v>2026</v>
      </c>
      <c r="BC134" s="1032">
        <v>5</v>
      </c>
      <c r="BD134" s="1032">
        <v>18</v>
      </c>
      <c r="BE134" s="1032">
        <v>33</v>
      </c>
      <c r="BF134" s="1032">
        <v>660</v>
      </c>
      <c r="BG134" s="1032" t="s">
        <v>108</v>
      </c>
      <c r="BH134" s="1032" t="s">
        <v>86</v>
      </c>
    </row>
    <row r="135" spans="1:60">
      <c r="A135" s="1032" t="s">
        <v>746</v>
      </c>
      <c r="B135" s="1032" t="s">
        <v>111</v>
      </c>
      <c r="C135" s="1032" t="s">
        <v>112</v>
      </c>
      <c r="D135" s="1032" t="s">
        <v>113</v>
      </c>
      <c r="E135" s="1032" t="s">
        <v>64</v>
      </c>
      <c r="F135" s="1032" t="s">
        <v>114</v>
      </c>
      <c r="G135" s="1032" t="s">
        <v>402</v>
      </c>
      <c r="H135" s="1032" t="s">
        <v>115</v>
      </c>
      <c r="I135" s="1032" t="s">
        <v>68</v>
      </c>
      <c r="J135" s="1032" t="s">
        <v>116</v>
      </c>
      <c r="K135" s="1032" t="s">
        <v>266</v>
      </c>
      <c r="M135" s="1032" t="s">
        <v>68</v>
      </c>
      <c r="N135" s="1032" t="s">
        <v>68</v>
      </c>
      <c r="O135" s="1032" t="s">
        <v>70</v>
      </c>
      <c r="P135" s="1032" t="s">
        <v>118</v>
      </c>
      <c r="Q135" s="1032" t="s">
        <v>119</v>
      </c>
      <c r="R135" s="1032" t="s">
        <v>73</v>
      </c>
      <c r="S135" s="1032" t="s">
        <v>120</v>
      </c>
      <c r="T135" s="1032">
        <v>640</v>
      </c>
      <c r="U135" s="1032">
        <v>3456</v>
      </c>
      <c r="V135" s="1032">
        <v>2.2120000000000002</v>
      </c>
      <c r="W135" s="1032">
        <v>96</v>
      </c>
      <c r="X135" s="1032">
        <v>6</v>
      </c>
      <c r="Y135" s="1032" t="s">
        <v>75</v>
      </c>
      <c r="Z135" s="1032" t="s">
        <v>75</v>
      </c>
      <c r="AB135" s="1033">
        <v>46057</v>
      </c>
      <c r="AC135" s="1032">
        <v>6</v>
      </c>
      <c r="AD135" s="1032" t="s">
        <v>747</v>
      </c>
      <c r="AF135" s="1032" t="s">
        <v>122</v>
      </c>
      <c r="AG135" s="1032" t="s">
        <v>123</v>
      </c>
      <c r="AH135" s="1032" t="s">
        <v>124</v>
      </c>
      <c r="AI135" s="1033">
        <v>46063</v>
      </c>
      <c r="AJ135" s="1033">
        <v>46067</v>
      </c>
      <c r="AK135" s="1033">
        <v>46067</v>
      </c>
      <c r="AL135" s="1033">
        <v>46107</v>
      </c>
      <c r="AM135" s="1033">
        <v>46112</v>
      </c>
      <c r="AN135" s="1033">
        <v>46112</v>
      </c>
      <c r="AO135" s="1032" t="s">
        <v>402</v>
      </c>
      <c r="AP135" s="1032" t="s">
        <v>748</v>
      </c>
      <c r="AQ135" s="1032" t="s">
        <v>80</v>
      </c>
      <c r="AR135" s="1032" t="s">
        <v>749</v>
      </c>
      <c r="AS135" s="1032" t="s">
        <v>750</v>
      </c>
      <c r="AT135" s="1032" t="s">
        <v>750</v>
      </c>
      <c r="AU135" s="1032">
        <v>45</v>
      </c>
      <c r="AW135" s="1033">
        <v>46112</v>
      </c>
      <c r="AX135" s="1032" t="s">
        <v>84</v>
      </c>
      <c r="AY135" s="1033">
        <v>46121</v>
      </c>
      <c r="AZ135" s="1032">
        <v>9</v>
      </c>
      <c r="BA135" s="1033">
        <v>46121</v>
      </c>
      <c r="BB135" s="1032">
        <v>2026</v>
      </c>
      <c r="BC135" s="1032">
        <v>4</v>
      </c>
      <c r="BD135" s="1032">
        <v>15</v>
      </c>
      <c r="BE135" s="1032">
        <v>36</v>
      </c>
      <c r="BF135" s="1032">
        <v>576</v>
      </c>
      <c r="BG135" s="1032" t="s">
        <v>128</v>
      </c>
      <c r="BH135" s="1032" t="s">
        <v>86</v>
      </c>
    </row>
    <row r="136" spans="1:60">
      <c r="A136" s="1032" t="s">
        <v>751</v>
      </c>
      <c r="B136" s="1032" t="s">
        <v>111</v>
      </c>
      <c r="C136" s="1032" t="s">
        <v>112</v>
      </c>
      <c r="D136" s="1032" t="s">
        <v>113</v>
      </c>
      <c r="E136" s="1032" t="s">
        <v>64</v>
      </c>
      <c r="F136" s="1032" t="s">
        <v>114</v>
      </c>
      <c r="G136" s="1032" t="s">
        <v>402</v>
      </c>
      <c r="H136" s="1032" t="s">
        <v>115</v>
      </c>
      <c r="I136" s="1032" t="s">
        <v>68</v>
      </c>
      <c r="J136" s="1032" t="s">
        <v>116</v>
      </c>
      <c r="K136" s="1032" t="s">
        <v>266</v>
      </c>
      <c r="M136" s="1032" t="s">
        <v>68</v>
      </c>
      <c r="N136" s="1032" t="s">
        <v>68</v>
      </c>
      <c r="O136" s="1032" t="s">
        <v>70</v>
      </c>
      <c r="P136" s="1032" t="s">
        <v>118</v>
      </c>
      <c r="Q136" s="1032" t="s">
        <v>119</v>
      </c>
      <c r="R136" s="1032" t="s">
        <v>73</v>
      </c>
      <c r="S136" s="1032" t="s">
        <v>120</v>
      </c>
      <c r="T136" s="1032">
        <v>640</v>
      </c>
      <c r="U136" s="1032">
        <v>1152</v>
      </c>
      <c r="V136" s="1032">
        <v>0.73699999999999999</v>
      </c>
      <c r="W136" s="1032">
        <v>32</v>
      </c>
      <c r="X136" s="1032">
        <v>2</v>
      </c>
      <c r="Y136" s="1032" t="s">
        <v>75</v>
      </c>
      <c r="Z136" s="1032" t="s">
        <v>75</v>
      </c>
      <c r="AB136" s="1033">
        <v>46058</v>
      </c>
      <c r="AC136" s="1032">
        <v>6</v>
      </c>
      <c r="AD136" s="1032" t="s">
        <v>752</v>
      </c>
      <c r="AF136" s="1032" t="s">
        <v>122</v>
      </c>
      <c r="AG136" s="1032" t="s">
        <v>123</v>
      </c>
      <c r="AH136" s="1032" t="s">
        <v>124</v>
      </c>
      <c r="AI136" s="1033">
        <v>46063</v>
      </c>
      <c r="AJ136" s="1033">
        <v>46065</v>
      </c>
      <c r="AK136" s="1033">
        <v>46065</v>
      </c>
      <c r="AL136" s="1033">
        <v>46114</v>
      </c>
      <c r="AM136" s="1033">
        <v>46125</v>
      </c>
      <c r="AN136" s="1033">
        <v>46126</v>
      </c>
      <c r="AO136" s="1032" t="s">
        <v>402</v>
      </c>
      <c r="AP136" s="1032" t="s">
        <v>739</v>
      </c>
      <c r="AQ136" s="1032" t="s">
        <v>80</v>
      </c>
      <c r="AR136" s="1032" t="s">
        <v>753</v>
      </c>
      <c r="AS136" s="1032" t="s">
        <v>754</v>
      </c>
      <c r="AT136" s="1032" t="s">
        <v>754</v>
      </c>
      <c r="AU136" s="1032">
        <v>61</v>
      </c>
      <c r="AW136" s="1033">
        <v>46126</v>
      </c>
      <c r="AX136" s="1032" t="s">
        <v>84</v>
      </c>
      <c r="AY136" s="1033">
        <v>46135</v>
      </c>
      <c r="AZ136" s="1032">
        <v>9</v>
      </c>
      <c r="BA136" s="1033">
        <v>46135</v>
      </c>
      <c r="BB136" s="1032">
        <v>2026</v>
      </c>
      <c r="BC136" s="1032">
        <v>4</v>
      </c>
      <c r="BD136" s="1032">
        <v>17</v>
      </c>
      <c r="BE136" s="1032">
        <v>36</v>
      </c>
      <c r="BF136" s="1032">
        <v>576</v>
      </c>
      <c r="BG136" s="1032" t="s">
        <v>128</v>
      </c>
      <c r="BH136" s="1032" t="s">
        <v>86</v>
      </c>
    </row>
    <row r="137" spans="1:60">
      <c r="A137" s="1032" t="s">
        <v>755</v>
      </c>
      <c r="B137" s="1032" t="s">
        <v>111</v>
      </c>
      <c r="C137" s="1032" t="s">
        <v>112</v>
      </c>
      <c r="D137" s="1032" t="s">
        <v>113</v>
      </c>
      <c r="E137" s="1032" t="s">
        <v>64</v>
      </c>
      <c r="F137" s="1032" t="s">
        <v>114</v>
      </c>
      <c r="G137" s="1032" t="s">
        <v>402</v>
      </c>
      <c r="H137" s="1032" t="s">
        <v>115</v>
      </c>
      <c r="I137" s="1032" t="s">
        <v>68</v>
      </c>
      <c r="J137" s="1032" t="s">
        <v>116</v>
      </c>
      <c r="K137" s="1032" t="s">
        <v>266</v>
      </c>
      <c r="M137" s="1032" t="s">
        <v>68</v>
      </c>
      <c r="N137" s="1032" t="s">
        <v>68</v>
      </c>
      <c r="O137" s="1032" t="s">
        <v>70</v>
      </c>
      <c r="P137" s="1032" t="s">
        <v>118</v>
      </c>
      <c r="Q137" s="1032" t="s">
        <v>119</v>
      </c>
      <c r="R137" s="1032" t="s">
        <v>73</v>
      </c>
      <c r="S137" s="1032" t="s">
        <v>120</v>
      </c>
      <c r="T137" s="1032">
        <v>640</v>
      </c>
      <c r="U137" s="1032">
        <v>4032</v>
      </c>
      <c r="V137" s="1032">
        <v>2.58</v>
      </c>
      <c r="W137" s="1032">
        <v>112</v>
      </c>
      <c r="X137" s="1032">
        <v>7</v>
      </c>
      <c r="Y137" s="1032" t="s">
        <v>75</v>
      </c>
      <c r="Z137" s="1032" t="s">
        <v>75</v>
      </c>
      <c r="AB137" s="1033">
        <v>46058</v>
      </c>
      <c r="AC137" s="1032">
        <v>6</v>
      </c>
      <c r="AD137" s="1032" t="s">
        <v>756</v>
      </c>
      <c r="AF137" s="1032" t="s">
        <v>122</v>
      </c>
      <c r="AG137" s="1032" t="s">
        <v>123</v>
      </c>
      <c r="AH137" s="1032" t="s">
        <v>124</v>
      </c>
      <c r="AI137" s="1033">
        <v>46063</v>
      </c>
      <c r="AJ137" s="1033">
        <v>46065</v>
      </c>
      <c r="AK137" s="1033">
        <v>46065</v>
      </c>
      <c r="AL137" s="1033">
        <v>46114</v>
      </c>
      <c r="AM137" s="1033">
        <v>46125</v>
      </c>
      <c r="AN137" s="1033">
        <v>46126</v>
      </c>
      <c r="AO137" s="1032" t="s">
        <v>402</v>
      </c>
      <c r="AP137" s="1032" t="s">
        <v>739</v>
      </c>
      <c r="AQ137" s="1032" t="s">
        <v>80</v>
      </c>
      <c r="AR137" s="1032" t="s">
        <v>753</v>
      </c>
      <c r="AS137" s="1032" t="s">
        <v>754</v>
      </c>
      <c r="AT137" s="1032" t="s">
        <v>754</v>
      </c>
      <c r="AU137" s="1032">
        <v>61</v>
      </c>
      <c r="AW137" s="1033">
        <v>46126</v>
      </c>
      <c r="AX137" s="1032" t="s">
        <v>84</v>
      </c>
      <c r="AY137" s="1033">
        <v>46135</v>
      </c>
      <c r="AZ137" s="1032">
        <v>9</v>
      </c>
      <c r="BA137" s="1033">
        <v>46135</v>
      </c>
      <c r="BB137" s="1032">
        <v>2026</v>
      </c>
      <c r="BC137" s="1032">
        <v>4</v>
      </c>
      <c r="BD137" s="1032">
        <v>17</v>
      </c>
      <c r="BE137" s="1032">
        <v>36</v>
      </c>
      <c r="BF137" s="1032">
        <v>576</v>
      </c>
      <c r="BG137" s="1032" t="s">
        <v>128</v>
      </c>
      <c r="BH137" s="1032" t="s">
        <v>86</v>
      </c>
    </row>
    <row r="138" spans="1:60">
      <c r="A138" s="1032" t="s">
        <v>757</v>
      </c>
      <c r="B138" s="1032" t="s">
        <v>111</v>
      </c>
      <c r="C138" s="1032" t="s">
        <v>112</v>
      </c>
      <c r="D138" s="1032" t="s">
        <v>113</v>
      </c>
      <c r="E138" s="1032" t="s">
        <v>64</v>
      </c>
      <c r="F138" s="1032" t="s">
        <v>114</v>
      </c>
      <c r="G138" s="1032" t="s">
        <v>402</v>
      </c>
      <c r="H138" s="1032" t="s">
        <v>115</v>
      </c>
      <c r="I138" s="1032" t="s">
        <v>68</v>
      </c>
      <c r="J138" s="1032" t="s">
        <v>116</v>
      </c>
      <c r="K138" s="1032" t="s">
        <v>266</v>
      </c>
      <c r="M138" s="1032" t="s">
        <v>68</v>
      </c>
      <c r="N138" s="1032" t="s">
        <v>68</v>
      </c>
      <c r="O138" s="1032" t="s">
        <v>70</v>
      </c>
      <c r="P138" s="1032" t="s">
        <v>118</v>
      </c>
      <c r="Q138" s="1032" t="s">
        <v>119</v>
      </c>
      <c r="R138" s="1032" t="s">
        <v>73</v>
      </c>
      <c r="S138" s="1032" t="s">
        <v>120</v>
      </c>
      <c r="T138" s="1032">
        <v>640</v>
      </c>
      <c r="U138" s="1032">
        <v>5760</v>
      </c>
      <c r="V138" s="1032">
        <v>3.6859999999999999</v>
      </c>
      <c r="W138" s="1032">
        <v>160</v>
      </c>
      <c r="X138" s="1032">
        <v>10</v>
      </c>
      <c r="Y138" s="1032" t="s">
        <v>75</v>
      </c>
      <c r="Z138" s="1032" t="s">
        <v>75</v>
      </c>
      <c r="AB138" s="1033">
        <v>46059</v>
      </c>
      <c r="AC138" s="1032">
        <v>6</v>
      </c>
      <c r="AD138" s="1032" t="s">
        <v>758</v>
      </c>
      <c r="AF138" s="1032" t="s">
        <v>122</v>
      </c>
      <c r="AG138" s="1032" t="s">
        <v>123</v>
      </c>
      <c r="AH138" s="1032" t="s">
        <v>124</v>
      </c>
      <c r="AI138" s="1033">
        <v>46063</v>
      </c>
      <c r="AJ138" s="1033">
        <v>46065</v>
      </c>
      <c r="AK138" s="1033">
        <v>46065</v>
      </c>
      <c r="AL138" s="1033">
        <v>46114</v>
      </c>
      <c r="AM138" s="1033">
        <v>46125</v>
      </c>
      <c r="AN138" s="1033">
        <v>46126</v>
      </c>
      <c r="AO138" s="1032" t="s">
        <v>402</v>
      </c>
      <c r="AP138" s="1032" t="s">
        <v>739</v>
      </c>
      <c r="AQ138" s="1032" t="s">
        <v>80</v>
      </c>
      <c r="AR138" s="1032" t="s">
        <v>759</v>
      </c>
      <c r="AS138" s="1032" t="s">
        <v>760</v>
      </c>
      <c r="AT138" s="1032" t="s">
        <v>760</v>
      </c>
      <c r="AU138" s="1032">
        <v>61</v>
      </c>
      <c r="AW138" s="1033">
        <v>46126</v>
      </c>
      <c r="AX138" s="1032" t="s">
        <v>84</v>
      </c>
      <c r="AY138" s="1033">
        <v>46135</v>
      </c>
      <c r="AZ138" s="1032">
        <v>9</v>
      </c>
      <c r="BA138" s="1033">
        <v>46135</v>
      </c>
      <c r="BB138" s="1032">
        <v>2026</v>
      </c>
      <c r="BC138" s="1032">
        <v>4</v>
      </c>
      <c r="BD138" s="1032">
        <v>17</v>
      </c>
      <c r="BE138" s="1032">
        <v>36</v>
      </c>
      <c r="BF138" s="1032">
        <v>576</v>
      </c>
      <c r="BG138" s="1032" t="s">
        <v>128</v>
      </c>
      <c r="BH138" s="1032" t="s">
        <v>86</v>
      </c>
    </row>
    <row r="139" spans="1:60">
      <c r="A139" s="1032" t="s">
        <v>112</v>
      </c>
      <c r="B139" s="1032" t="s">
        <v>111</v>
      </c>
      <c r="C139" s="1032" t="s">
        <v>203</v>
      </c>
      <c r="D139" s="1032" t="s">
        <v>113</v>
      </c>
      <c r="E139" s="1032" t="s">
        <v>64</v>
      </c>
      <c r="F139" s="1032" t="s">
        <v>114</v>
      </c>
      <c r="G139" s="1032" t="s">
        <v>402</v>
      </c>
      <c r="H139" s="1032" t="s">
        <v>115</v>
      </c>
      <c r="I139" s="1032" t="s">
        <v>68</v>
      </c>
      <c r="J139" s="1032" t="s">
        <v>116</v>
      </c>
      <c r="K139" s="1032" t="s">
        <v>266</v>
      </c>
      <c r="M139" s="1032" t="s">
        <v>68</v>
      </c>
      <c r="N139" s="1032" t="s">
        <v>68</v>
      </c>
      <c r="O139" s="1032" t="s">
        <v>70</v>
      </c>
      <c r="P139" s="1032" t="s">
        <v>118</v>
      </c>
      <c r="Q139" s="1032" t="s">
        <v>119</v>
      </c>
      <c r="R139" s="1032" t="s">
        <v>73</v>
      </c>
      <c r="S139" s="1032" t="s">
        <v>120</v>
      </c>
      <c r="T139" s="1032">
        <v>640</v>
      </c>
      <c r="U139" s="1032">
        <v>2787</v>
      </c>
      <c r="V139" s="1032">
        <v>1.784</v>
      </c>
      <c r="W139" s="1032">
        <v>77.400000000000006</v>
      </c>
      <c r="X139" s="1032">
        <v>4.8</v>
      </c>
      <c r="Y139" s="1032" t="s">
        <v>75</v>
      </c>
      <c r="Z139" s="1032" t="s">
        <v>75</v>
      </c>
      <c r="AB139" s="1033">
        <v>46059</v>
      </c>
      <c r="AC139" s="1032">
        <v>6</v>
      </c>
      <c r="AD139" s="1032" t="s">
        <v>761</v>
      </c>
      <c r="AF139" s="1032" t="s">
        <v>122</v>
      </c>
      <c r="AG139" s="1032" t="s">
        <v>123</v>
      </c>
      <c r="AH139" s="1032" t="s">
        <v>124</v>
      </c>
      <c r="AI139" s="1033">
        <v>46063</v>
      </c>
      <c r="AJ139" s="1033">
        <v>46065</v>
      </c>
      <c r="AK139" s="1033">
        <v>46065</v>
      </c>
      <c r="AL139" s="1033">
        <v>46114</v>
      </c>
      <c r="AM139" s="1033">
        <v>46125</v>
      </c>
      <c r="AN139" s="1033">
        <v>46126</v>
      </c>
      <c r="AO139" s="1032" t="s">
        <v>402</v>
      </c>
      <c r="AP139" s="1032" t="s">
        <v>739</v>
      </c>
      <c r="AQ139" s="1032" t="s">
        <v>80</v>
      </c>
      <c r="AR139" s="1032" t="s">
        <v>759</v>
      </c>
      <c r="AS139" s="1032" t="s">
        <v>760</v>
      </c>
      <c r="AT139" s="1032" t="s">
        <v>760</v>
      </c>
      <c r="AU139" s="1032">
        <v>61</v>
      </c>
      <c r="AW139" s="1033">
        <v>46126</v>
      </c>
      <c r="AX139" s="1032" t="s">
        <v>84</v>
      </c>
      <c r="AY139" s="1033">
        <v>46135</v>
      </c>
      <c r="AZ139" s="1032">
        <v>9</v>
      </c>
      <c r="BA139" s="1033">
        <v>46135</v>
      </c>
      <c r="BB139" s="1032">
        <v>2026</v>
      </c>
      <c r="BC139" s="1032">
        <v>4</v>
      </c>
      <c r="BD139" s="1032">
        <v>17</v>
      </c>
      <c r="BE139" s="1032">
        <v>36</v>
      </c>
      <c r="BF139" s="1032">
        <v>576</v>
      </c>
      <c r="BG139" s="1032" t="s">
        <v>128</v>
      </c>
      <c r="BH139" s="1032" t="s">
        <v>86</v>
      </c>
    </row>
    <row r="140" spans="1:60">
      <c r="A140" s="1032" t="s">
        <v>762</v>
      </c>
      <c r="B140" s="1032" t="s">
        <v>111</v>
      </c>
      <c r="C140" s="1032" t="s">
        <v>203</v>
      </c>
      <c r="D140" s="1032" t="s">
        <v>63</v>
      </c>
      <c r="E140" s="1032" t="s">
        <v>64</v>
      </c>
      <c r="F140" s="1032" t="s">
        <v>65</v>
      </c>
      <c r="G140" s="1032" t="s">
        <v>402</v>
      </c>
      <c r="H140" s="1032" t="s">
        <v>67</v>
      </c>
      <c r="I140" s="1032" t="s">
        <v>68</v>
      </c>
      <c r="J140" s="1032" t="s">
        <v>232</v>
      </c>
      <c r="M140" s="1032" t="s">
        <v>68</v>
      </c>
      <c r="N140" s="1032" t="s">
        <v>68</v>
      </c>
      <c r="O140" s="1032" t="s">
        <v>473</v>
      </c>
      <c r="P140" s="1032" t="s">
        <v>763</v>
      </c>
      <c r="Q140" s="1032" t="s">
        <v>764</v>
      </c>
      <c r="R140" s="1032" t="s">
        <v>73</v>
      </c>
      <c r="S140" s="1032" t="s">
        <v>74</v>
      </c>
      <c r="T140" s="1032">
        <v>450</v>
      </c>
      <c r="U140" s="1032">
        <v>864</v>
      </c>
      <c r="V140" s="1032">
        <v>0.38900000000000001</v>
      </c>
      <c r="W140" s="1032">
        <v>24</v>
      </c>
      <c r="X140" s="1032">
        <v>1</v>
      </c>
      <c r="Y140" s="1032" t="s">
        <v>75</v>
      </c>
      <c r="Z140" s="1032" t="s">
        <v>75</v>
      </c>
      <c r="AB140" s="1033">
        <v>46058</v>
      </c>
      <c r="AC140" s="1032">
        <v>6</v>
      </c>
      <c r="AD140" s="1032" t="s">
        <v>765</v>
      </c>
      <c r="AF140" s="1032" t="s">
        <v>122</v>
      </c>
      <c r="AG140" s="1032" t="s">
        <v>123</v>
      </c>
      <c r="AH140" s="1032" t="s">
        <v>78</v>
      </c>
      <c r="AI140" s="1033">
        <v>46063</v>
      </c>
      <c r="AJ140" s="1033">
        <v>46067</v>
      </c>
      <c r="AK140" s="1033">
        <v>46067</v>
      </c>
      <c r="AL140" s="1033">
        <v>46092</v>
      </c>
      <c r="AM140" s="1033">
        <v>46115</v>
      </c>
      <c r="AN140" s="1033">
        <v>46119</v>
      </c>
      <c r="AO140" s="1032" t="s">
        <v>402</v>
      </c>
      <c r="AP140" s="1032" t="s">
        <v>748</v>
      </c>
      <c r="AQ140" s="1032" t="s">
        <v>80</v>
      </c>
      <c r="AR140" s="1032" t="s">
        <v>766</v>
      </c>
      <c r="AS140" s="1032" t="s">
        <v>767</v>
      </c>
      <c r="AT140" s="1032" t="s">
        <v>767</v>
      </c>
      <c r="AU140" s="1032">
        <v>52</v>
      </c>
      <c r="AW140" s="1033">
        <v>46119</v>
      </c>
      <c r="AX140" s="1032" t="s">
        <v>84</v>
      </c>
      <c r="AY140" s="1033">
        <v>46129</v>
      </c>
      <c r="AZ140" s="1032">
        <v>8</v>
      </c>
      <c r="BA140" s="1033">
        <v>46127</v>
      </c>
      <c r="BB140" s="1032">
        <v>2026</v>
      </c>
      <c r="BC140" s="1032">
        <v>4</v>
      </c>
      <c r="BD140" s="1032">
        <v>16</v>
      </c>
      <c r="BE140" s="1032">
        <v>36</v>
      </c>
      <c r="BF140" s="1032">
        <v>864</v>
      </c>
      <c r="BG140" s="1032" t="s">
        <v>85</v>
      </c>
      <c r="BH140" s="1032" t="s">
        <v>86</v>
      </c>
    </row>
    <row r="141" spans="1:60">
      <c r="A141" s="1032" t="s">
        <v>768</v>
      </c>
      <c r="B141" s="1032" t="s">
        <v>61</v>
      </c>
      <c r="C141" s="1032" t="s">
        <v>769</v>
      </c>
      <c r="D141" s="1032" t="s">
        <v>63</v>
      </c>
      <c r="E141" s="1032" t="s">
        <v>64</v>
      </c>
      <c r="F141" s="1032" t="s">
        <v>100</v>
      </c>
      <c r="G141" s="1032" t="s">
        <v>402</v>
      </c>
      <c r="H141" s="1032" t="s">
        <v>67</v>
      </c>
      <c r="I141" s="1032" t="s">
        <v>68</v>
      </c>
      <c r="J141" s="1032" t="s">
        <v>293</v>
      </c>
      <c r="M141" s="1032" t="s">
        <v>68</v>
      </c>
      <c r="N141" s="1032" t="s">
        <v>68</v>
      </c>
      <c r="O141" s="1032" t="s">
        <v>70</v>
      </c>
      <c r="P141" s="1032" t="s">
        <v>560</v>
      </c>
      <c r="Q141" s="1032" t="s">
        <v>196</v>
      </c>
      <c r="R141" s="1032" t="s">
        <v>73</v>
      </c>
      <c r="S141" s="1032" t="s">
        <v>120</v>
      </c>
      <c r="T141" s="1032">
        <v>450</v>
      </c>
      <c r="U141" s="1032">
        <v>2736</v>
      </c>
      <c r="V141" s="1032">
        <v>1.2310000000000001</v>
      </c>
      <c r="W141" s="1032">
        <v>76</v>
      </c>
      <c r="X141" s="1032">
        <v>2.9</v>
      </c>
      <c r="Y141" s="1032" t="s">
        <v>75</v>
      </c>
      <c r="Z141" s="1032" t="s">
        <v>75</v>
      </c>
      <c r="AB141" s="1033">
        <v>46055</v>
      </c>
      <c r="AC141" s="1032">
        <v>6</v>
      </c>
      <c r="AD141" s="1032" t="s">
        <v>770</v>
      </c>
      <c r="AF141" s="1032" t="s">
        <v>77</v>
      </c>
      <c r="AG141" s="1032" t="s">
        <v>61</v>
      </c>
      <c r="AH141" s="1032" t="s">
        <v>105</v>
      </c>
      <c r="AI141" s="1033">
        <v>46066</v>
      </c>
      <c r="AJ141" s="1033">
        <v>46065</v>
      </c>
      <c r="AK141" s="1033">
        <v>46065</v>
      </c>
      <c r="AL141" s="1033">
        <v>46119</v>
      </c>
      <c r="AM141" s="1033">
        <v>46141</v>
      </c>
      <c r="AN141" s="1033">
        <v>46137</v>
      </c>
      <c r="AO141" s="1032" t="s">
        <v>402</v>
      </c>
      <c r="AP141" s="1032" t="s">
        <v>771</v>
      </c>
      <c r="AQ141" s="1032" t="s">
        <v>80</v>
      </c>
      <c r="AR141" s="1032" t="s">
        <v>772</v>
      </c>
      <c r="AS141" s="1032" t="s">
        <v>773</v>
      </c>
      <c r="AT141" s="1032" t="s">
        <v>773</v>
      </c>
      <c r="AU141" s="1032">
        <v>72</v>
      </c>
      <c r="AW141" s="1033">
        <v>46137</v>
      </c>
      <c r="AX141" s="1032" t="s">
        <v>84</v>
      </c>
      <c r="AY141" s="1033">
        <v>46150</v>
      </c>
      <c r="AZ141" s="1032">
        <v>7</v>
      </c>
      <c r="BA141" s="1033">
        <v>46144</v>
      </c>
      <c r="BB141" s="1032">
        <v>2026</v>
      </c>
      <c r="BC141" s="1032">
        <v>5</v>
      </c>
      <c r="BD141" s="1032">
        <v>18</v>
      </c>
      <c r="BE141" s="1032">
        <v>36</v>
      </c>
      <c r="BF141" s="1032">
        <v>936</v>
      </c>
      <c r="BG141" s="1032" t="s">
        <v>94</v>
      </c>
      <c r="BH141" s="1032" t="s">
        <v>109</v>
      </c>
    </row>
    <row r="142" spans="1:60">
      <c r="A142" s="1032" t="s">
        <v>774</v>
      </c>
      <c r="B142" s="1032" t="s">
        <v>61</v>
      </c>
      <c r="C142" s="1032" t="s">
        <v>775</v>
      </c>
      <c r="D142" s="1032" t="s">
        <v>63</v>
      </c>
      <c r="E142" s="1032" t="s">
        <v>64</v>
      </c>
      <c r="F142" s="1032" t="s">
        <v>65</v>
      </c>
      <c r="G142" s="1032" t="s">
        <v>402</v>
      </c>
      <c r="H142" s="1032" t="s">
        <v>67</v>
      </c>
      <c r="I142" s="1032" t="s">
        <v>68</v>
      </c>
      <c r="J142" s="1032" t="s">
        <v>690</v>
      </c>
      <c r="L142" s="1032" t="s">
        <v>197</v>
      </c>
      <c r="M142" s="1032" t="s">
        <v>68</v>
      </c>
      <c r="N142" s="1032" t="s">
        <v>68</v>
      </c>
      <c r="O142" s="1032" t="s">
        <v>70</v>
      </c>
      <c r="P142" s="1032" t="s">
        <v>91</v>
      </c>
      <c r="Q142" s="1032" t="s">
        <v>92</v>
      </c>
      <c r="R142" s="1032" t="s">
        <v>73</v>
      </c>
      <c r="S142" s="1032" t="s">
        <v>74</v>
      </c>
      <c r="T142" s="1032">
        <v>450</v>
      </c>
      <c r="U142" s="1032">
        <v>1872</v>
      </c>
      <c r="V142" s="1032">
        <v>0.84199999999999997</v>
      </c>
      <c r="W142" s="1032">
        <v>52</v>
      </c>
      <c r="X142" s="1032">
        <v>2</v>
      </c>
      <c r="Y142" s="1032" t="s">
        <v>75</v>
      </c>
      <c r="Z142" s="1032" t="s">
        <v>75</v>
      </c>
      <c r="AA142" s="1032" t="s">
        <v>197</v>
      </c>
      <c r="AB142" s="1033">
        <v>46056</v>
      </c>
      <c r="AC142" s="1032">
        <v>6</v>
      </c>
      <c r="AD142" s="1032" t="s">
        <v>776</v>
      </c>
      <c r="AE142" s="1032" t="s">
        <v>197</v>
      </c>
      <c r="AF142" s="1032" t="s">
        <v>77</v>
      </c>
      <c r="AG142" s="1032" t="s">
        <v>61</v>
      </c>
      <c r="AH142" s="1032" t="s">
        <v>78</v>
      </c>
      <c r="AI142" s="1033">
        <v>46066</v>
      </c>
      <c r="AJ142" s="1033">
        <v>46065</v>
      </c>
      <c r="AK142" s="1033">
        <v>46065</v>
      </c>
      <c r="AL142" s="1033">
        <v>46139</v>
      </c>
      <c r="AM142" s="1033">
        <v>46146</v>
      </c>
      <c r="AN142" s="1033">
        <v>46144</v>
      </c>
      <c r="AO142" s="1032" t="s">
        <v>402</v>
      </c>
      <c r="AP142" s="1032" t="s">
        <v>771</v>
      </c>
      <c r="AQ142" s="1032" t="s">
        <v>80</v>
      </c>
      <c r="AR142" s="1032" t="s">
        <v>777</v>
      </c>
      <c r="AS142" s="1032" t="s">
        <v>778</v>
      </c>
      <c r="AT142" s="1032" t="s">
        <v>778</v>
      </c>
      <c r="AU142" s="1032">
        <v>79</v>
      </c>
      <c r="AV142" s="1032" t="s">
        <v>197</v>
      </c>
      <c r="AW142" s="1033">
        <v>46144</v>
      </c>
      <c r="AX142" s="1032" t="s">
        <v>84</v>
      </c>
      <c r="AY142" s="1033">
        <v>46160</v>
      </c>
      <c r="AZ142" s="1032">
        <v>8</v>
      </c>
      <c r="BA142" s="1033">
        <v>46152</v>
      </c>
      <c r="BB142" s="1032">
        <v>2026</v>
      </c>
      <c r="BC142" s="1032">
        <v>5</v>
      </c>
      <c r="BD142" s="1032">
        <v>19</v>
      </c>
      <c r="BE142" s="1032">
        <v>36</v>
      </c>
      <c r="BF142" s="1032">
        <v>936</v>
      </c>
      <c r="BG142" s="1032" t="s">
        <v>94</v>
      </c>
      <c r="BH142" s="1032" t="s">
        <v>86</v>
      </c>
    </row>
    <row r="143" spans="1:60">
      <c r="A143" s="1032" t="s">
        <v>775</v>
      </c>
      <c r="B143" s="1032" t="s">
        <v>61</v>
      </c>
      <c r="C143" s="1032" t="s">
        <v>203</v>
      </c>
      <c r="D143" s="1032" t="s">
        <v>63</v>
      </c>
      <c r="E143" s="1032" t="s">
        <v>64</v>
      </c>
      <c r="F143" s="1032" t="s">
        <v>65</v>
      </c>
      <c r="G143" s="1032" t="s">
        <v>402</v>
      </c>
      <c r="H143" s="1032" t="s">
        <v>67</v>
      </c>
      <c r="I143" s="1032" t="s">
        <v>68</v>
      </c>
      <c r="J143" s="1032" t="s">
        <v>690</v>
      </c>
      <c r="L143" s="1032" t="s">
        <v>197</v>
      </c>
      <c r="M143" s="1032" t="s">
        <v>68</v>
      </c>
      <c r="N143" s="1032" t="s">
        <v>68</v>
      </c>
      <c r="O143" s="1032" t="s">
        <v>70</v>
      </c>
      <c r="P143" s="1032" t="s">
        <v>91</v>
      </c>
      <c r="Q143" s="1032" t="s">
        <v>92</v>
      </c>
      <c r="R143" s="1032" t="s">
        <v>73</v>
      </c>
      <c r="S143" s="1032" t="s">
        <v>74</v>
      </c>
      <c r="T143" s="1032">
        <v>450</v>
      </c>
      <c r="U143" s="1032">
        <v>4428</v>
      </c>
      <c r="V143" s="1032">
        <v>1.9930000000000001</v>
      </c>
      <c r="W143" s="1032">
        <v>123</v>
      </c>
      <c r="X143" s="1032">
        <v>4.7</v>
      </c>
      <c r="Y143" s="1032" t="s">
        <v>75</v>
      </c>
      <c r="Z143" s="1032" t="s">
        <v>75</v>
      </c>
      <c r="AA143" s="1032" t="s">
        <v>197</v>
      </c>
      <c r="AB143" s="1033">
        <v>46056</v>
      </c>
      <c r="AC143" s="1032">
        <v>6</v>
      </c>
      <c r="AD143" s="1032" t="s">
        <v>776</v>
      </c>
      <c r="AE143" s="1032" t="s">
        <v>197</v>
      </c>
      <c r="AF143" s="1032" t="s">
        <v>77</v>
      </c>
      <c r="AG143" s="1032" t="s">
        <v>61</v>
      </c>
      <c r="AH143" s="1032" t="s">
        <v>78</v>
      </c>
      <c r="AI143" s="1033">
        <v>46066</v>
      </c>
      <c r="AJ143" s="1033">
        <v>46065</v>
      </c>
      <c r="AK143" s="1033">
        <v>46065</v>
      </c>
      <c r="AL143" s="1033">
        <v>46139</v>
      </c>
      <c r="AM143" s="1033">
        <v>46146</v>
      </c>
      <c r="AN143" s="1033">
        <v>46144</v>
      </c>
      <c r="AO143" s="1032" t="s">
        <v>402</v>
      </c>
      <c r="AP143" s="1032" t="s">
        <v>771</v>
      </c>
      <c r="AQ143" s="1032" t="s">
        <v>80</v>
      </c>
      <c r="AR143" s="1032" t="s">
        <v>777</v>
      </c>
      <c r="AS143" s="1032" t="s">
        <v>778</v>
      </c>
      <c r="AT143" s="1032" t="s">
        <v>778</v>
      </c>
      <c r="AU143" s="1032">
        <v>79</v>
      </c>
      <c r="AV143" s="1032" t="s">
        <v>197</v>
      </c>
      <c r="AW143" s="1033">
        <v>46144</v>
      </c>
      <c r="AX143" s="1032" t="s">
        <v>84</v>
      </c>
      <c r="AY143" s="1033">
        <v>46160</v>
      </c>
      <c r="AZ143" s="1032">
        <v>8</v>
      </c>
      <c r="BA143" s="1033">
        <v>46152</v>
      </c>
      <c r="BB143" s="1032">
        <v>2026</v>
      </c>
      <c r="BC143" s="1032">
        <v>5</v>
      </c>
      <c r="BD143" s="1032">
        <v>19</v>
      </c>
      <c r="BE143" s="1032">
        <v>36</v>
      </c>
      <c r="BF143" s="1032">
        <v>936</v>
      </c>
      <c r="BG143" s="1032" t="s">
        <v>94</v>
      </c>
      <c r="BH143" s="1032" t="s">
        <v>86</v>
      </c>
    </row>
    <row r="144" spans="1:60">
      <c r="A144" s="1032" t="s">
        <v>779</v>
      </c>
      <c r="B144" s="1032" t="s">
        <v>61</v>
      </c>
      <c r="C144" s="1032" t="s">
        <v>780</v>
      </c>
      <c r="D144" s="1032" t="s">
        <v>63</v>
      </c>
      <c r="E144" s="1032" t="s">
        <v>64</v>
      </c>
      <c r="F144" s="1032" t="s">
        <v>65</v>
      </c>
      <c r="G144" s="1032" t="s">
        <v>402</v>
      </c>
      <c r="H144" s="1032" t="s">
        <v>67</v>
      </c>
      <c r="I144" s="1032" t="s">
        <v>68</v>
      </c>
      <c r="J144" s="1032" t="s">
        <v>690</v>
      </c>
      <c r="M144" s="1032" t="s">
        <v>68</v>
      </c>
      <c r="N144" s="1032" t="s">
        <v>68</v>
      </c>
      <c r="O144" s="1032" t="s">
        <v>70</v>
      </c>
      <c r="P144" s="1032" t="s">
        <v>204</v>
      </c>
      <c r="Q144" s="1032" t="s">
        <v>205</v>
      </c>
      <c r="R144" s="1032" t="s">
        <v>73</v>
      </c>
      <c r="S144" s="1032" t="s">
        <v>74</v>
      </c>
      <c r="T144" s="1032">
        <v>455</v>
      </c>
      <c r="U144" s="1032">
        <v>5868</v>
      </c>
      <c r="V144" s="1032">
        <v>2.67</v>
      </c>
      <c r="W144" s="1032">
        <v>163</v>
      </c>
      <c r="X144" s="1032">
        <v>6.3</v>
      </c>
      <c r="Y144" s="1032" t="s">
        <v>75</v>
      </c>
      <c r="Z144" s="1032" t="s">
        <v>75</v>
      </c>
      <c r="AB144" s="1033">
        <v>46056</v>
      </c>
      <c r="AC144" s="1032">
        <v>6</v>
      </c>
      <c r="AD144" s="1032" t="s">
        <v>781</v>
      </c>
      <c r="AF144" s="1032" t="s">
        <v>77</v>
      </c>
      <c r="AG144" s="1032" t="s">
        <v>61</v>
      </c>
      <c r="AH144" s="1032" t="s">
        <v>78</v>
      </c>
      <c r="AI144" s="1033">
        <v>46066</v>
      </c>
      <c r="AJ144" s="1033">
        <v>46065</v>
      </c>
      <c r="AK144" s="1033">
        <v>46065</v>
      </c>
      <c r="AL144" s="1033">
        <v>46139</v>
      </c>
      <c r="AM144" s="1033">
        <v>46146</v>
      </c>
      <c r="AN144" s="1033">
        <v>46144</v>
      </c>
      <c r="AO144" s="1032" t="s">
        <v>402</v>
      </c>
      <c r="AP144" s="1032" t="s">
        <v>771</v>
      </c>
      <c r="AQ144" s="1032" t="s">
        <v>80</v>
      </c>
      <c r="AR144" s="1032" t="s">
        <v>777</v>
      </c>
      <c r="AS144" s="1032" t="s">
        <v>778</v>
      </c>
      <c r="AT144" s="1032" t="s">
        <v>778</v>
      </c>
      <c r="AU144" s="1032">
        <v>79</v>
      </c>
      <c r="AW144" s="1033">
        <v>46144</v>
      </c>
      <c r="AX144" s="1032" t="s">
        <v>84</v>
      </c>
      <c r="AY144" s="1033">
        <v>46160</v>
      </c>
      <c r="AZ144" s="1032">
        <v>8</v>
      </c>
      <c r="BA144" s="1033">
        <v>46152</v>
      </c>
      <c r="BB144" s="1032">
        <v>2026</v>
      </c>
      <c r="BC144" s="1032">
        <v>5</v>
      </c>
      <c r="BD144" s="1032">
        <v>19</v>
      </c>
      <c r="BE144" s="1032">
        <v>36</v>
      </c>
      <c r="BF144" s="1032">
        <v>936</v>
      </c>
      <c r="BG144" s="1032" t="s">
        <v>94</v>
      </c>
      <c r="BH144" s="1032" t="s">
        <v>86</v>
      </c>
    </row>
    <row r="145" spans="1:60">
      <c r="A145" s="1032" t="s">
        <v>782</v>
      </c>
      <c r="B145" s="1032" t="s">
        <v>61</v>
      </c>
      <c r="C145" s="1032" t="s">
        <v>688</v>
      </c>
      <c r="D145" s="1032" t="s">
        <v>63</v>
      </c>
      <c r="E145" s="1032" t="s">
        <v>64</v>
      </c>
      <c r="F145" s="1032" t="s">
        <v>65</v>
      </c>
      <c r="G145" s="1032" t="s">
        <v>402</v>
      </c>
      <c r="H145" s="1032" t="s">
        <v>67</v>
      </c>
      <c r="I145" s="1032" t="s">
        <v>68</v>
      </c>
      <c r="J145" s="1032" t="s">
        <v>690</v>
      </c>
      <c r="M145" s="1032" t="s">
        <v>68</v>
      </c>
      <c r="N145" s="1032" t="s">
        <v>68</v>
      </c>
      <c r="O145" s="1032" t="s">
        <v>70</v>
      </c>
      <c r="P145" s="1032" t="s">
        <v>691</v>
      </c>
      <c r="Q145" s="1032" t="s">
        <v>692</v>
      </c>
      <c r="R145" s="1032" t="s">
        <v>73</v>
      </c>
      <c r="S145" s="1032" t="s">
        <v>74</v>
      </c>
      <c r="T145" s="1032">
        <v>505</v>
      </c>
      <c r="U145" s="1032">
        <v>864</v>
      </c>
      <c r="V145" s="1032">
        <v>0.436</v>
      </c>
      <c r="W145" s="1032">
        <v>24</v>
      </c>
      <c r="X145" s="1032">
        <v>1</v>
      </c>
      <c r="Y145" s="1032" t="s">
        <v>75</v>
      </c>
      <c r="Z145" s="1032" t="s">
        <v>75</v>
      </c>
      <c r="AB145" s="1033">
        <v>46056</v>
      </c>
      <c r="AC145" s="1032">
        <v>6</v>
      </c>
      <c r="AD145" s="1032" t="s">
        <v>783</v>
      </c>
      <c r="AF145" s="1032" t="s">
        <v>77</v>
      </c>
      <c r="AG145" s="1032" t="s">
        <v>61</v>
      </c>
      <c r="AH145" s="1032" t="s">
        <v>78</v>
      </c>
      <c r="AI145" s="1033">
        <v>46066</v>
      </c>
      <c r="AJ145" s="1033">
        <v>46065</v>
      </c>
      <c r="AK145" s="1033">
        <v>46065</v>
      </c>
      <c r="AL145" s="1033">
        <v>46139</v>
      </c>
      <c r="AM145" s="1033">
        <v>46146</v>
      </c>
      <c r="AN145" s="1033">
        <v>46144</v>
      </c>
      <c r="AO145" s="1032" t="s">
        <v>402</v>
      </c>
      <c r="AP145" s="1032" t="s">
        <v>771</v>
      </c>
      <c r="AQ145" s="1032" t="s">
        <v>80</v>
      </c>
      <c r="AR145" s="1032" t="s">
        <v>777</v>
      </c>
      <c r="AS145" s="1032" t="s">
        <v>778</v>
      </c>
      <c r="AT145" s="1032" t="s">
        <v>778</v>
      </c>
      <c r="AU145" s="1032">
        <v>79</v>
      </c>
      <c r="AW145" s="1033">
        <v>46144</v>
      </c>
      <c r="AX145" s="1032" t="s">
        <v>84</v>
      </c>
      <c r="AY145" s="1033">
        <v>46160</v>
      </c>
      <c r="AZ145" s="1032">
        <v>8</v>
      </c>
      <c r="BA145" s="1033">
        <v>46152</v>
      </c>
      <c r="BB145" s="1032">
        <v>2026</v>
      </c>
      <c r="BC145" s="1032">
        <v>5</v>
      </c>
      <c r="BD145" s="1032">
        <v>19</v>
      </c>
      <c r="BE145" s="1032">
        <v>36</v>
      </c>
      <c r="BF145" s="1032">
        <v>864</v>
      </c>
      <c r="BG145" s="1032" t="s">
        <v>85</v>
      </c>
      <c r="BH145" s="1032" t="s">
        <v>86</v>
      </c>
    </row>
    <row r="146" spans="1:60">
      <c r="A146" s="1032" t="s">
        <v>784</v>
      </c>
      <c r="B146" s="1032" t="s">
        <v>77</v>
      </c>
      <c r="C146" s="1032" t="s">
        <v>688</v>
      </c>
      <c r="D146" s="1032" t="s">
        <v>63</v>
      </c>
      <c r="E146" s="1032" t="s">
        <v>64</v>
      </c>
      <c r="F146" s="1032" t="s">
        <v>65</v>
      </c>
      <c r="G146" s="1032" t="s">
        <v>402</v>
      </c>
      <c r="H146" s="1032" t="s">
        <v>67</v>
      </c>
      <c r="I146" s="1032" t="s">
        <v>68</v>
      </c>
      <c r="J146" s="1032" t="s">
        <v>690</v>
      </c>
      <c r="M146" s="1032" t="s">
        <v>68</v>
      </c>
      <c r="N146" s="1032">
        <v>46045</v>
      </c>
      <c r="O146" s="1032" t="s">
        <v>70</v>
      </c>
      <c r="P146" s="1032" t="s">
        <v>691</v>
      </c>
      <c r="Q146" s="1032" t="s">
        <v>692</v>
      </c>
      <c r="R146" s="1032" t="s">
        <v>73</v>
      </c>
      <c r="S146" s="1032" t="s">
        <v>74</v>
      </c>
      <c r="T146" s="1032">
        <v>505</v>
      </c>
      <c r="U146" s="1032">
        <v>864</v>
      </c>
      <c r="V146" s="1032">
        <v>0.436</v>
      </c>
      <c r="W146" s="1032">
        <v>24</v>
      </c>
      <c r="X146" s="1032">
        <v>1</v>
      </c>
      <c r="Y146" s="1032" t="s">
        <v>75</v>
      </c>
      <c r="Z146" s="1032" t="s">
        <v>75</v>
      </c>
      <c r="AB146" s="1033">
        <v>46056</v>
      </c>
      <c r="AC146" s="1032">
        <v>6</v>
      </c>
      <c r="AD146" s="1032" t="s">
        <v>785</v>
      </c>
      <c r="AF146" s="1032" t="s">
        <v>77</v>
      </c>
      <c r="AG146" s="1032" t="s">
        <v>61</v>
      </c>
      <c r="AH146" s="1032" t="s">
        <v>78</v>
      </c>
      <c r="AI146" s="1033">
        <v>46066</v>
      </c>
      <c r="AJ146" s="1033">
        <v>46065</v>
      </c>
      <c r="AK146" s="1033">
        <v>46065</v>
      </c>
      <c r="AL146" s="1033">
        <v>46139</v>
      </c>
      <c r="AM146" s="1033">
        <v>46146</v>
      </c>
      <c r="AN146" s="1033">
        <v>46144</v>
      </c>
      <c r="AO146" s="1032" t="s">
        <v>402</v>
      </c>
      <c r="AP146" s="1032" t="s">
        <v>771</v>
      </c>
      <c r="AQ146" s="1032" t="s">
        <v>80</v>
      </c>
      <c r="AR146" s="1032" t="s">
        <v>777</v>
      </c>
      <c r="AS146" s="1032" t="s">
        <v>778</v>
      </c>
      <c r="AT146" s="1032" t="s">
        <v>778</v>
      </c>
      <c r="AU146" s="1032">
        <v>79</v>
      </c>
      <c r="AW146" s="1033">
        <v>46144</v>
      </c>
      <c r="AX146" s="1032" t="s">
        <v>84</v>
      </c>
      <c r="AY146" s="1033">
        <v>46160</v>
      </c>
      <c r="AZ146" s="1032">
        <v>8</v>
      </c>
      <c r="BA146" s="1033">
        <v>46152</v>
      </c>
      <c r="BB146" s="1032">
        <v>2026</v>
      </c>
      <c r="BC146" s="1032">
        <v>5</v>
      </c>
      <c r="BD146" s="1032">
        <v>19</v>
      </c>
      <c r="BE146" s="1032">
        <v>36</v>
      </c>
      <c r="BF146" s="1032">
        <v>864</v>
      </c>
      <c r="BG146" s="1032" t="s">
        <v>85</v>
      </c>
      <c r="BH146" s="1032" t="s">
        <v>86</v>
      </c>
    </row>
    <row r="147" spans="1:60">
      <c r="A147" s="1032" t="s">
        <v>786</v>
      </c>
      <c r="B147" s="1032" t="s">
        <v>77</v>
      </c>
      <c r="C147" s="1032" t="s">
        <v>688</v>
      </c>
      <c r="D147" s="1032" t="s">
        <v>63</v>
      </c>
      <c r="E147" s="1032" t="s">
        <v>64</v>
      </c>
      <c r="F147" s="1032" t="s">
        <v>65</v>
      </c>
      <c r="G147" s="1032" t="s">
        <v>402</v>
      </c>
      <c r="H147" s="1032" t="s">
        <v>67</v>
      </c>
      <c r="I147" s="1032" t="s">
        <v>68</v>
      </c>
      <c r="J147" s="1032" t="s">
        <v>690</v>
      </c>
      <c r="M147" s="1032" t="s">
        <v>68</v>
      </c>
      <c r="N147" s="1032">
        <v>46045</v>
      </c>
      <c r="O147" s="1032" t="s">
        <v>70</v>
      </c>
      <c r="P147" s="1032" t="s">
        <v>691</v>
      </c>
      <c r="Q147" s="1032" t="s">
        <v>692</v>
      </c>
      <c r="R147" s="1032" t="s">
        <v>73</v>
      </c>
      <c r="S147" s="1032" t="s">
        <v>74</v>
      </c>
      <c r="T147" s="1032">
        <v>505</v>
      </c>
      <c r="U147" s="1032">
        <v>2592</v>
      </c>
      <c r="V147" s="1032">
        <v>1.3089999999999999</v>
      </c>
      <c r="W147" s="1032">
        <v>72</v>
      </c>
      <c r="X147" s="1032">
        <v>3</v>
      </c>
      <c r="Y147" s="1032" t="s">
        <v>75</v>
      </c>
      <c r="Z147" s="1032" t="s">
        <v>75</v>
      </c>
      <c r="AB147" s="1033">
        <v>46058</v>
      </c>
      <c r="AC147" s="1032">
        <v>6</v>
      </c>
      <c r="AD147" s="1032" t="s">
        <v>787</v>
      </c>
      <c r="AF147" s="1032" t="s">
        <v>77</v>
      </c>
      <c r="AG147" s="1032" t="s">
        <v>61</v>
      </c>
      <c r="AH147" s="1032" t="s">
        <v>78</v>
      </c>
      <c r="AI147" s="1033">
        <v>46066</v>
      </c>
      <c r="AJ147" s="1033">
        <v>46065</v>
      </c>
      <c r="AK147" s="1033">
        <v>46065</v>
      </c>
      <c r="AL147" s="1033">
        <v>46139</v>
      </c>
      <c r="AM147" s="1033">
        <v>46146</v>
      </c>
      <c r="AN147" s="1033">
        <v>46144</v>
      </c>
      <c r="AO147" s="1032" t="s">
        <v>402</v>
      </c>
      <c r="AP147" s="1032" t="s">
        <v>771</v>
      </c>
      <c r="AQ147" s="1032" t="s">
        <v>80</v>
      </c>
      <c r="AR147" s="1032" t="s">
        <v>788</v>
      </c>
      <c r="AS147" s="1032" t="s">
        <v>789</v>
      </c>
      <c r="AT147" s="1032" t="s">
        <v>789</v>
      </c>
      <c r="AU147" s="1032">
        <v>79</v>
      </c>
      <c r="AW147" s="1033">
        <v>46144</v>
      </c>
      <c r="AX147" s="1032" t="s">
        <v>84</v>
      </c>
      <c r="AY147" s="1033">
        <v>46160</v>
      </c>
      <c r="AZ147" s="1032">
        <v>8</v>
      </c>
      <c r="BA147" s="1033">
        <v>46152</v>
      </c>
      <c r="BB147" s="1032">
        <v>2026</v>
      </c>
      <c r="BC147" s="1032">
        <v>5</v>
      </c>
      <c r="BD147" s="1032">
        <v>19</v>
      </c>
      <c r="BE147" s="1032">
        <v>36</v>
      </c>
      <c r="BF147" s="1032">
        <v>864</v>
      </c>
      <c r="BG147" s="1032" t="s">
        <v>85</v>
      </c>
      <c r="BH147" s="1032" t="s">
        <v>86</v>
      </c>
    </row>
    <row r="148" spans="1:60">
      <c r="A148" s="1032" t="s">
        <v>790</v>
      </c>
      <c r="B148" s="1032" t="s">
        <v>61</v>
      </c>
      <c r="C148" s="1032" t="s">
        <v>203</v>
      </c>
      <c r="D148" s="1032" t="s">
        <v>63</v>
      </c>
      <c r="E148" s="1032" t="s">
        <v>64</v>
      </c>
      <c r="F148" s="1032" t="s">
        <v>100</v>
      </c>
      <c r="G148" s="1032" t="s">
        <v>402</v>
      </c>
      <c r="H148" s="1032" t="s">
        <v>67</v>
      </c>
      <c r="I148" s="1032" t="s">
        <v>68</v>
      </c>
      <c r="J148" s="1032" t="s">
        <v>483</v>
      </c>
      <c r="M148" s="1032" t="s">
        <v>68</v>
      </c>
      <c r="N148" s="1032">
        <v>46045</v>
      </c>
      <c r="O148" s="1032" t="s">
        <v>70</v>
      </c>
      <c r="P148" s="1032" t="s">
        <v>791</v>
      </c>
      <c r="Q148" s="1032" t="s">
        <v>571</v>
      </c>
      <c r="R148" s="1032" t="s">
        <v>73</v>
      </c>
      <c r="S148" s="1032" t="s">
        <v>120</v>
      </c>
      <c r="T148" s="1032">
        <v>445</v>
      </c>
      <c r="U148" s="1032">
        <v>4680</v>
      </c>
      <c r="V148" s="1032">
        <v>2.0830000000000002</v>
      </c>
      <c r="W148" s="1032">
        <v>130</v>
      </c>
      <c r="X148" s="1032">
        <v>5</v>
      </c>
      <c r="Y148" s="1032" t="s">
        <v>75</v>
      </c>
      <c r="Z148" s="1032" t="s">
        <v>75</v>
      </c>
      <c r="AB148" s="1033">
        <v>46057</v>
      </c>
      <c r="AC148" s="1032">
        <v>6</v>
      </c>
      <c r="AD148" s="1032" t="s">
        <v>792</v>
      </c>
      <c r="AF148" s="1032" t="s">
        <v>77</v>
      </c>
      <c r="AG148" s="1032" t="s">
        <v>61</v>
      </c>
      <c r="AH148" s="1032" t="s">
        <v>105</v>
      </c>
      <c r="AI148" s="1033">
        <v>46066</v>
      </c>
      <c r="AJ148" s="1033">
        <v>46065</v>
      </c>
      <c r="AK148" s="1033">
        <v>46065</v>
      </c>
      <c r="AL148" s="1033">
        <v>46119</v>
      </c>
      <c r="AM148" s="1033">
        <v>46141</v>
      </c>
      <c r="AN148" s="1033">
        <v>46137</v>
      </c>
      <c r="AO148" s="1032" t="s">
        <v>402</v>
      </c>
      <c r="AP148" s="1032" t="s">
        <v>771</v>
      </c>
      <c r="AQ148" s="1032" t="s">
        <v>80</v>
      </c>
      <c r="AR148" s="1032" t="s">
        <v>793</v>
      </c>
      <c r="AS148" s="1032" t="s">
        <v>794</v>
      </c>
      <c r="AT148" s="1032" t="s">
        <v>794</v>
      </c>
      <c r="AU148" s="1032">
        <v>72</v>
      </c>
      <c r="AW148" s="1033">
        <v>46137</v>
      </c>
      <c r="AX148" s="1032" t="s">
        <v>84</v>
      </c>
      <c r="AY148" s="1033">
        <v>46150</v>
      </c>
      <c r="AZ148" s="1032">
        <v>7</v>
      </c>
      <c r="BA148" s="1033">
        <v>46144</v>
      </c>
      <c r="BB148" s="1032">
        <v>2026</v>
      </c>
      <c r="BC148" s="1032">
        <v>5</v>
      </c>
      <c r="BD148" s="1032">
        <v>18</v>
      </c>
      <c r="BE148" s="1032">
        <v>36</v>
      </c>
      <c r="BF148" s="1032">
        <v>936</v>
      </c>
      <c r="BG148" s="1032" t="s">
        <v>85</v>
      </c>
      <c r="BH148" s="1032" t="s">
        <v>109</v>
      </c>
    </row>
    <row r="149" spans="1:60">
      <c r="A149" s="1032" t="s">
        <v>795</v>
      </c>
      <c r="B149" s="1032" t="s">
        <v>61</v>
      </c>
      <c r="C149" s="1032" t="s">
        <v>796</v>
      </c>
      <c r="D149" s="1032" t="s">
        <v>63</v>
      </c>
      <c r="E149" s="1032" t="s">
        <v>64</v>
      </c>
      <c r="F149" s="1032" t="s">
        <v>100</v>
      </c>
      <c r="G149" s="1032" t="s">
        <v>402</v>
      </c>
      <c r="H149" s="1032" t="s">
        <v>67</v>
      </c>
      <c r="I149" s="1032" t="s">
        <v>68</v>
      </c>
      <c r="J149" s="1032" t="s">
        <v>483</v>
      </c>
      <c r="M149" s="1032" t="s">
        <v>68</v>
      </c>
      <c r="N149" s="1032">
        <v>46045</v>
      </c>
      <c r="O149" s="1032" t="s">
        <v>70</v>
      </c>
      <c r="P149" s="1032" t="s">
        <v>570</v>
      </c>
      <c r="Q149" s="1032" t="s">
        <v>571</v>
      </c>
      <c r="R149" s="1032" t="s">
        <v>73</v>
      </c>
      <c r="S149" s="1032" t="s">
        <v>120</v>
      </c>
      <c r="T149" s="1032">
        <v>445</v>
      </c>
      <c r="U149" s="1032">
        <v>3744</v>
      </c>
      <c r="V149" s="1032">
        <v>1.6659999999999999</v>
      </c>
      <c r="W149" s="1032">
        <v>104</v>
      </c>
      <c r="X149" s="1032">
        <v>4</v>
      </c>
      <c r="Y149" s="1032" t="s">
        <v>75</v>
      </c>
      <c r="Z149" s="1032" t="s">
        <v>75</v>
      </c>
      <c r="AB149" s="1033">
        <v>46057</v>
      </c>
      <c r="AC149" s="1032">
        <v>6</v>
      </c>
      <c r="AD149" s="1032" t="s">
        <v>797</v>
      </c>
      <c r="AF149" s="1032" t="s">
        <v>77</v>
      </c>
      <c r="AG149" s="1032" t="s">
        <v>61</v>
      </c>
      <c r="AH149" s="1032" t="s">
        <v>105</v>
      </c>
      <c r="AI149" s="1033">
        <v>46066</v>
      </c>
      <c r="AJ149" s="1033">
        <v>46065</v>
      </c>
      <c r="AK149" s="1033">
        <v>46065</v>
      </c>
      <c r="AL149" s="1033">
        <v>46119</v>
      </c>
      <c r="AM149" s="1033">
        <v>46141</v>
      </c>
      <c r="AN149" s="1033">
        <v>46137</v>
      </c>
      <c r="AO149" s="1032" t="s">
        <v>402</v>
      </c>
      <c r="AP149" s="1032" t="s">
        <v>771</v>
      </c>
      <c r="AQ149" s="1032" t="s">
        <v>80</v>
      </c>
      <c r="AR149" s="1032" t="s">
        <v>793</v>
      </c>
      <c r="AS149" s="1032" t="s">
        <v>794</v>
      </c>
      <c r="AT149" s="1032" t="s">
        <v>794</v>
      </c>
      <c r="AU149" s="1032">
        <v>72</v>
      </c>
      <c r="AW149" s="1033">
        <v>46137</v>
      </c>
      <c r="AX149" s="1032" t="s">
        <v>84</v>
      </c>
      <c r="AY149" s="1033">
        <v>46150</v>
      </c>
      <c r="AZ149" s="1032">
        <v>7</v>
      </c>
      <c r="BA149" s="1033">
        <v>46144</v>
      </c>
      <c r="BB149" s="1032">
        <v>2026</v>
      </c>
      <c r="BC149" s="1032">
        <v>5</v>
      </c>
      <c r="BD149" s="1032">
        <v>18</v>
      </c>
      <c r="BE149" s="1032">
        <v>36</v>
      </c>
      <c r="BF149" s="1032">
        <v>936</v>
      </c>
      <c r="BG149" s="1032" t="s">
        <v>94</v>
      </c>
      <c r="BH149" s="1032" t="s">
        <v>109</v>
      </c>
    </row>
    <row r="150" spans="1:60">
      <c r="A150" s="1032" t="s">
        <v>193</v>
      </c>
      <c r="B150" s="1032" t="s">
        <v>61</v>
      </c>
      <c r="C150" s="1032" t="s">
        <v>203</v>
      </c>
      <c r="D150" s="1032" t="s">
        <v>63</v>
      </c>
      <c r="E150" s="1032" t="s">
        <v>64</v>
      </c>
      <c r="F150" s="1032" t="s">
        <v>100</v>
      </c>
      <c r="G150" s="1032" t="s">
        <v>402</v>
      </c>
      <c r="H150" s="1032" t="s">
        <v>67</v>
      </c>
      <c r="I150" s="1032" t="s">
        <v>68</v>
      </c>
      <c r="J150" s="1032" t="s">
        <v>483</v>
      </c>
      <c r="M150" s="1032" t="s">
        <v>68</v>
      </c>
      <c r="N150" s="1032">
        <v>46045</v>
      </c>
      <c r="O150" s="1032" t="s">
        <v>70</v>
      </c>
      <c r="P150" s="1032" t="s">
        <v>195</v>
      </c>
      <c r="Q150" s="1032" t="s">
        <v>196</v>
      </c>
      <c r="R150" s="1032" t="s">
        <v>73</v>
      </c>
      <c r="S150" s="1032" t="s">
        <v>74</v>
      </c>
      <c r="T150" s="1032">
        <v>450</v>
      </c>
      <c r="U150" s="1032">
        <v>4680</v>
      </c>
      <c r="V150" s="1032">
        <v>2.1059999999999999</v>
      </c>
      <c r="W150" s="1032">
        <v>130</v>
      </c>
      <c r="X150" s="1032">
        <v>5</v>
      </c>
      <c r="Y150" s="1032" t="s">
        <v>75</v>
      </c>
      <c r="Z150" s="1032" t="s">
        <v>75</v>
      </c>
      <c r="AB150" s="1033">
        <v>46057</v>
      </c>
      <c r="AC150" s="1032">
        <v>6</v>
      </c>
      <c r="AD150" s="1032" t="s">
        <v>798</v>
      </c>
      <c r="AF150" s="1032" t="s">
        <v>77</v>
      </c>
      <c r="AG150" s="1032" t="s">
        <v>61</v>
      </c>
      <c r="AH150" s="1032" t="s">
        <v>105</v>
      </c>
      <c r="AI150" s="1033">
        <v>46066</v>
      </c>
      <c r="AJ150" s="1033">
        <v>46065</v>
      </c>
      <c r="AK150" s="1033">
        <v>46065</v>
      </c>
      <c r="AL150" s="1033">
        <v>46119</v>
      </c>
      <c r="AM150" s="1033">
        <v>46141</v>
      </c>
      <c r="AN150" s="1033">
        <v>46137</v>
      </c>
      <c r="AO150" s="1032" t="s">
        <v>402</v>
      </c>
      <c r="AP150" s="1032" t="s">
        <v>771</v>
      </c>
      <c r="AQ150" s="1032" t="s">
        <v>80</v>
      </c>
      <c r="AR150" s="1032" t="s">
        <v>793</v>
      </c>
      <c r="AS150" s="1032" t="s">
        <v>794</v>
      </c>
      <c r="AT150" s="1032" t="s">
        <v>794</v>
      </c>
      <c r="AU150" s="1032">
        <v>72</v>
      </c>
      <c r="AW150" s="1033">
        <v>46137</v>
      </c>
      <c r="AX150" s="1032" t="s">
        <v>84</v>
      </c>
      <c r="AY150" s="1033">
        <v>46150</v>
      </c>
      <c r="AZ150" s="1032">
        <v>7</v>
      </c>
      <c r="BA150" s="1033">
        <v>46144</v>
      </c>
      <c r="BB150" s="1032">
        <v>2026</v>
      </c>
      <c r="BC150" s="1032">
        <v>5</v>
      </c>
      <c r="BD150" s="1032">
        <v>18</v>
      </c>
      <c r="BE150" s="1032">
        <v>36</v>
      </c>
      <c r="BF150" s="1032">
        <v>936</v>
      </c>
      <c r="BG150" s="1032" t="s">
        <v>85</v>
      </c>
      <c r="BH150" s="1032" t="s">
        <v>109</v>
      </c>
    </row>
    <row r="151" spans="1:60">
      <c r="A151" s="1032" t="s">
        <v>799</v>
      </c>
      <c r="B151" s="1032" t="s">
        <v>800</v>
      </c>
      <c r="C151" s="1032" t="s">
        <v>801</v>
      </c>
      <c r="D151" s="1032" t="s">
        <v>63</v>
      </c>
      <c r="E151" s="1032" t="s">
        <v>64</v>
      </c>
      <c r="F151" s="1032" t="s">
        <v>100</v>
      </c>
      <c r="G151" s="1032" t="s">
        <v>402</v>
      </c>
      <c r="H151" s="1032" t="s">
        <v>67</v>
      </c>
      <c r="I151" s="1032" t="s">
        <v>68</v>
      </c>
      <c r="J151" s="1032" t="s">
        <v>419</v>
      </c>
      <c r="M151" s="1032" t="s">
        <v>68</v>
      </c>
      <c r="N151" s="1032">
        <v>46045</v>
      </c>
      <c r="O151" s="1032" t="s">
        <v>70</v>
      </c>
      <c r="P151" s="1032" t="s">
        <v>420</v>
      </c>
      <c r="Q151" s="1032" t="s">
        <v>421</v>
      </c>
      <c r="R151" s="1032" t="s">
        <v>73</v>
      </c>
      <c r="S151" s="1032" t="s">
        <v>120</v>
      </c>
      <c r="T151" s="1032">
        <v>505</v>
      </c>
      <c r="U151" s="1032">
        <v>864</v>
      </c>
      <c r="V151" s="1032">
        <v>0.436</v>
      </c>
      <c r="W151" s="1032">
        <v>24</v>
      </c>
      <c r="X151" s="1032">
        <v>1</v>
      </c>
      <c r="Y151" s="1032" t="s">
        <v>75</v>
      </c>
      <c r="Z151" s="1032" t="s">
        <v>75</v>
      </c>
      <c r="AB151" s="1033">
        <v>46058</v>
      </c>
      <c r="AC151" s="1032">
        <v>6</v>
      </c>
      <c r="AD151" s="1032" t="s">
        <v>802</v>
      </c>
      <c r="AF151" s="1032" t="s">
        <v>77</v>
      </c>
      <c r="AG151" s="1032" t="s">
        <v>61</v>
      </c>
      <c r="AH151" s="1032" t="s">
        <v>105</v>
      </c>
      <c r="AI151" s="1033">
        <v>46066</v>
      </c>
      <c r="AJ151" s="1033">
        <v>46065</v>
      </c>
      <c r="AK151" s="1033">
        <v>46065</v>
      </c>
      <c r="AL151" s="1033">
        <v>46119</v>
      </c>
      <c r="AM151" s="1033">
        <v>46141</v>
      </c>
      <c r="AN151" s="1033">
        <v>46137</v>
      </c>
      <c r="AO151" s="1032" t="s">
        <v>402</v>
      </c>
      <c r="AP151" s="1032" t="s">
        <v>771</v>
      </c>
      <c r="AQ151" s="1032" t="s">
        <v>80</v>
      </c>
      <c r="AR151" s="1032" t="s">
        <v>803</v>
      </c>
      <c r="AS151" s="1032" t="s">
        <v>804</v>
      </c>
      <c r="AT151" s="1032" t="s">
        <v>804</v>
      </c>
      <c r="AU151" s="1032">
        <v>72</v>
      </c>
      <c r="AW151" s="1033">
        <v>46137</v>
      </c>
      <c r="AX151" s="1032" t="s">
        <v>84</v>
      </c>
      <c r="AY151" s="1033">
        <v>46150</v>
      </c>
      <c r="AZ151" s="1032">
        <v>7</v>
      </c>
      <c r="BA151" s="1033">
        <v>46144</v>
      </c>
      <c r="BB151" s="1032">
        <v>2026</v>
      </c>
      <c r="BC151" s="1032">
        <v>5</v>
      </c>
      <c r="BD151" s="1032">
        <v>18</v>
      </c>
      <c r="BE151" s="1032">
        <v>36</v>
      </c>
      <c r="BF151" s="1032">
        <v>864</v>
      </c>
      <c r="BG151" s="1032" t="s">
        <v>85</v>
      </c>
      <c r="BH151" s="1032" t="s">
        <v>109</v>
      </c>
    </row>
    <row r="152" spans="1:60">
      <c r="A152" s="1032" t="s">
        <v>805</v>
      </c>
      <c r="B152" s="1032" t="s">
        <v>61</v>
      </c>
      <c r="C152" s="1032" t="s">
        <v>418</v>
      </c>
      <c r="D152" s="1032" t="s">
        <v>63</v>
      </c>
      <c r="E152" s="1032" t="s">
        <v>64</v>
      </c>
      <c r="F152" s="1032" t="s">
        <v>100</v>
      </c>
      <c r="G152" s="1032" t="s">
        <v>402</v>
      </c>
      <c r="H152" s="1032" t="s">
        <v>67</v>
      </c>
      <c r="I152" s="1032" t="s">
        <v>68</v>
      </c>
      <c r="J152" s="1032" t="s">
        <v>419</v>
      </c>
      <c r="M152" s="1032" t="s">
        <v>68</v>
      </c>
      <c r="N152" s="1032">
        <v>46045</v>
      </c>
      <c r="O152" s="1032" t="s">
        <v>70</v>
      </c>
      <c r="P152" s="1032" t="s">
        <v>420</v>
      </c>
      <c r="Q152" s="1032" t="s">
        <v>421</v>
      </c>
      <c r="R152" s="1032" t="s">
        <v>73</v>
      </c>
      <c r="S152" s="1032" t="s">
        <v>120</v>
      </c>
      <c r="T152" s="1032">
        <v>505</v>
      </c>
      <c r="U152" s="1032">
        <v>3456</v>
      </c>
      <c r="V152" s="1032">
        <v>1.7450000000000001</v>
      </c>
      <c r="W152" s="1032">
        <v>96</v>
      </c>
      <c r="X152" s="1032">
        <v>4</v>
      </c>
      <c r="Y152" s="1032" t="s">
        <v>75</v>
      </c>
      <c r="Z152" s="1032" t="s">
        <v>75</v>
      </c>
      <c r="AB152" s="1033">
        <v>46058</v>
      </c>
      <c r="AC152" s="1032">
        <v>6</v>
      </c>
      <c r="AD152" s="1032" t="s">
        <v>806</v>
      </c>
      <c r="AF152" s="1032" t="s">
        <v>77</v>
      </c>
      <c r="AG152" s="1032" t="s">
        <v>61</v>
      </c>
      <c r="AH152" s="1032" t="s">
        <v>105</v>
      </c>
      <c r="AI152" s="1033">
        <v>46066</v>
      </c>
      <c r="AJ152" s="1033">
        <v>46065</v>
      </c>
      <c r="AK152" s="1033">
        <v>46065</v>
      </c>
      <c r="AL152" s="1033">
        <v>46119</v>
      </c>
      <c r="AM152" s="1033">
        <v>46141</v>
      </c>
      <c r="AN152" s="1033">
        <v>46137</v>
      </c>
      <c r="AO152" s="1032" t="s">
        <v>402</v>
      </c>
      <c r="AP152" s="1032" t="s">
        <v>771</v>
      </c>
      <c r="AQ152" s="1032" t="s">
        <v>80</v>
      </c>
      <c r="AR152" s="1032" t="s">
        <v>803</v>
      </c>
      <c r="AS152" s="1032" t="s">
        <v>804</v>
      </c>
      <c r="AT152" s="1032" t="s">
        <v>804</v>
      </c>
      <c r="AU152" s="1032">
        <v>72</v>
      </c>
      <c r="AW152" s="1033">
        <v>46137</v>
      </c>
      <c r="AX152" s="1032" t="s">
        <v>84</v>
      </c>
      <c r="AY152" s="1033">
        <v>46150</v>
      </c>
      <c r="AZ152" s="1032">
        <v>7</v>
      </c>
      <c r="BA152" s="1033">
        <v>46144</v>
      </c>
      <c r="BB152" s="1032">
        <v>2026</v>
      </c>
      <c r="BC152" s="1032">
        <v>5</v>
      </c>
      <c r="BD152" s="1032">
        <v>18</v>
      </c>
      <c r="BE152" s="1032">
        <v>36</v>
      </c>
      <c r="BF152" s="1032">
        <v>864</v>
      </c>
      <c r="BG152" s="1032" t="s">
        <v>85</v>
      </c>
      <c r="BH152" s="1032" t="s">
        <v>109</v>
      </c>
    </row>
    <row r="153" spans="1:60">
      <c r="A153" s="1032" t="s">
        <v>801</v>
      </c>
      <c r="B153" s="1032" t="s">
        <v>800</v>
      </c>
      <c r="C153" s="1032" t="s">
        <v>203</v>
      </c>
      <c r="D153" s="1032" t="s">
        <v>63</v>
      </c>
      <c r="E153" s="1032" t="s">
        <v>64</v>
      </c>
      <c r="F153" s="1032" t="s">
        <v>100</v>
      </c>
      <c r="G153" s="1032" t="s">
        <v>402</v>
      </c>
      <c r="H153" s="1032" t="s">
        <v>67</v>
      </c>
      <c r="I153" s="1032" t="s">
        <v>68</v>
      </c>
      <c r="J153" s="1032" t="s">
        <v>807</v>
      </c>
      <c r="M153" s="1032" t="s">
        <v>68</v>
      </c>
      <c r="N153" s="1032">
        <v>46045</v>
      </c>
      <c r="O153" s="1032" t="s">
        <v>70</v>
      </c>
      <c r="P153" s="1032" t="s">
        <v>420</v>
      </c>
      <c r="Q153" s="1032" t="s">
        <v>421</v>
      </c>
      <c r="R153" s="1032" t="s">
        <v>73</v>
      </c>
      <c r="S153" s="1032" t="s">
        <v>120</v>
      </c>
      <c r="T153" s="1032">
        <v>505</v>
      </c>
      <c r="U153" s="1032">
        <v>4320</v>
      </c>
      <c r="V153" s="1032">
        <v>2.1819999999999999</v>
      </c>
      <c r="W153" s="1032">
        <v>120</v>
      </c>
      <c r="X153" s="1032">
        <v>5</v>
      </c>
      <c r="Y153" s="1032" t="s">
        <v>75</v>
      </c>
      <c r="Z153" s="1032" t="s">
        <v>75</v>
      </c>
      <c r="AB153" s="1033">
        <v>46060</v>
      </c>
      <c r="AC153" s="1032">
        <v>6</v>
      </c>
      <c r="AD153" s="1032" t="s">
        <v>808</v>
      </c>
      <c r="AF153" s="1032" t="s">
        <v>77</v>
      </c>
      <c r="AG153" s="1032" t="s">
        <v>61</v>
      </c>
      <c r="AH153" s="1032" t="s">
        <v>105</v>
      </c>
      <c r="AI153" s="1033">
        <v>46066</v>
      </c>
      <c r="AJ153" s="1033">
        <v>46065</v>
      </c>
      <c r="AK153" s="1033">
        <v>46065</v>
      </c>
      <c r="AL153" s="1033">
        <v>46119</v>
      </c>
      <c r="AM153" s="1033">
        <v>46141</v>
      </c>
      <c r="AN153" s="1033">
        <v>46137</v>
      </c>
      <c r="AO153" s="1032" t="s">
        <v>402</v>
      </c>
      <c r="AP153" s="1032" t="s">
        <v>771</v>
      </c>
      <c r="AQ153" s="1032" t="s">
        <v>80</v>
      </c>
      <c r="AR153" s="1032" t="s">
        <v>809</v>
      </c>
      <c r="AS153" s="1032" t="s">
        <v>810</v>
      </c>
      <c r="AT153" s="1032" t="s">
        <v>810</v>
      </c>
      <c r="AU153" s="1032">
        <v>72</v>
      </c>
      <c r="AW153" s="1033">
        <v>46137</v>
      </c>
      <c r="AX153" s="1032" t="s">
        <v>84</v>
      </c>
      <c r="AY153" s="1033">
        <v>46150</v>
      </c>
      <c r="AZ153" s="1032">
        <v>7</v>
      </c>
      <c r="BA153" s="1033">
        <v>46144</v>
      </c>
      <c r="BB153" s="1032">
        <v>2026</v>
      </c>
      <c r="BC153" s="1032">
        <v>5</v>
      </c>
      <c r="BD153" s="1032">
        <v>18</v>
      </c>
      <c r="BE153" s="1032">
        <v>36</v>
      </c>
      <c r="BF153" s="1032">
        <v>864</v>
      </c>
      <c r="BG153" s="1032" t="s">
        <v>85</v>
      </c>
      <c r="BH153" s="1032" t="s">
        <v>109</v>
      </c>
    </row>
    <row r="154" spans="1:60">
      <c r="A154" s="1032" t="s">
        <v>811</v>
      </c>
      <c r="B154" s="1032" t="s">
        <v>800</v>
      </c>
      <c r="C154" s="1032" t="s">
        <v>801</v>
      </c>
      <c r="D154" s="1032" t="s">
        <v>63</v>
      </c>
      <c r="E154" s="1032" t="s">
        <v>64</v>
      </c>
      <c r="F154" s="1032" t="s">
        <v>450</v>
      </c>
      <c r="G154" s="1032" t="s">
        <v>402</v>
      </c>
      <c r="H154" s="1032" t="s">
        <v>451</v>
      </c>
      <c r="I154" s="1032" t="s">
        <v>68</v>
      </c>
      <c r="J154" s="1032" t="s">
        <v>812</v>
      </c>
      <c r="K154" s="1032" t="s">
        <v>328</v>
      </c>
      <c r="M154" s="1032" t="s">
        <v>68</v>
      </c>
      <c r="N154" s="1032">
        <v>46045</v>
      </c>
      <c r="O154" s="1032" t="s">
        <v>70</v>
      </c>
      <c r="P154" s="1032" t="s">
        <v>420</v>
      </c>
      <c r="Q154" s="1032" t="s">
        <v>421</v>
      </c>
      <c r="R154" s="1032" t="s">
        <v>73</v>
      </c>
      <c r="S154" s="1032" t="s">
        <v>120</v>
      </c>
      <c r="T154" s="1032">
        <v>505</v>
      </c>
      <c r="U154" s="1032">
        <v>864</v>
      </c>
      <c r="V154" s="1032">
        <v>0.436</v>
      </c>
      <c r="W154" s="1032">
        <v>24</v>
      </c>
      <c r="X154" s="1032">
        <v>1</v>
      </c>
      <c r="Y154" s="1032" t="s">
        <v>75</v>
      </c>
      <c r="Z154" s="1032" t="s">
        <v>75</v>
      </c>
      <c r="AB154" s="1033">
        <v>46061</v>
      </c>
      <c r="AC154" s="1032">
        <v>6</v>
      </c>
      <c r="AD154" s="1032" t="s">
        <v>813</v>
      </c>
      <c r="AF154" s="1032" t="s">
        <v>77</v>
      </c>
      <c r="AG154" s="1032" t="s">
        <v>61</v>
      </c>
      <c r="AH154" s="1032" t="s">
        <v>456</v>
      </c>
      <c r="AI154" s="1033">
        <v>46070</v>
      </c>
      <c r="AJ154" s="1033">
        <v>46072</v>
      </c>
      <c r="AK154" s="1033">
        <v>46072</v>
      </c>
      <c r="AL154" s="1033">
        <v>46131</v>
      </c>
      <c r="AM154" s="1033">
        <v>46138</v>
      </c>
      <c r="AN154" s="1033">
        <v>46138</v>
      </c>
      <c r="AO154" s="1032" t="s">
        <v>402</v>
      </c>
      <c r="AP154" s="1032" t="s">
        <v>814</v>
      </c>
      <c r="AQ154" s="1032" t="s">
        <v>80</v>
      </c>
      <c r="AR154" s="1032" t="s">
        <v>815</v>
      </c>
      <c r="AS154" s="1032" t="s">
        <v>816</v>
      </c>
      <c r="AT154" s="1032" t="s">
        <v>816</v>
      </c>
      <c r="AU154" s="1032">
        <v>66</v>
      </c>
      <c r="AW154" s="1033">
        <v>46138</v>
      </c>
      <c r="AX154" s="1032" t="s">
        <v>84</v>
      </c>
      <c r="AY154" s="1033">
        <v>46153</v>
      </c>
      <c r="AZ154" s="1032">
        <v>7</v>
      </c>
      <c r="BA154" s="1033">
        <v>46145</v>
      </c>
      <c r="BB154" s="1032">
        <v>2026</v>
      </c>
      <c r="BC154" s="1032">
        <v>5</v>
      </c>
      <c r="BD154" s="1032">
        <v>18</v>
      </c>
      <c r="BE154" s="1032">
        <v>36</v>
      </c>
      <c r="BF154" s="1032">
        <v>864</v>
      </c>
      <c r="BG154" s="1032" t="s">
        <v>85</v>
      </c>
      <c r="BH154" s="1032" t="s">
        <v>109</v>
      </c>
    </row>
    <row r="155" spans="1:60">
      <c r="A155" s="1032" t="s">
        <v>817</v>
      </c>
      <c r="B155" s="1032" t="s">
        <v>61</v>
      </c>
      <c r="C155" s="1032" t="s">
        <v>796</v>
      </c>
      <c r="D155" s="1032" t="s">
        <v>63</v>
      </c>
      <c r="E155" s="1032" t="s">
        <v>64</v>
      </c>
      <c r="F155" s="1032" t="s">
        <v>100</v>
      </c>
      <c r="G155" s="1032" t="s">
        <v>402</v>
      </c>
      <c r="H155" s="1032" t="s">
        <v>67</v>
      </c>
      <c r="I155" s="1032" t="s">
        <v>68</v>
      </c>
      <c r="J155" s="1032" t="s">
        <v>483</v>
      </c>
      <c r="M155" s="1032" t="s">
        <v>68</v>
      </c>
      <c r="N155" s="1032">
        <v>46045</v>
      </c>
      <c r="O155" s="1032" t="s">
        <v>70</v>
      </c>
      <c r="P155" s="1032" t="s">
        <v>570</v>
      </c>
      <c r="Q155" s="1032" t="s">
        <v>571</v>
      </c>
      <c r="R155" s="1032" t="s">
        <v>73</v>
      </c>
      <c r="S155" s="1032" t="s">
        <v>120</v>
      </c>
      <c r="T155" s="1032">
        <v>445</v>
      </c>
      <c r="U155" s="1032">
        <v>4680</v>
      </c>
      <c r="V155" s="1032">
        <v>2.0830000000000002</v>
      </c>
      <c r="W155" s="1032">
        <v>130</v>
      </c>
      <c r="X155" s="1032">
        <v>5</v>
      </c>
      <c r="Y155" s="1032" t="s">
        <v>75</v>
      </c>
      <c r="Z155" s="1032" t="s">
        <v>75</v>
      </c>
      <c r="AB155" s="1033">
        <v>46061</v>
      </c>
      <c r="AC155" s="1032">
        <v>6</v>
      </c>
      <c r="AD155" s="1032" t="s">
        <v>818</v>
      </c>
      <c r="AF155" s="1032" t="s">
        <v>77</v>
      </c>
      <c r="AG155" s="1032" t="s">
        <v>61</v>
      </c>
      <c r="AH155" s="1032" t="s">
        <v>105</v>
      </c>
      <c r="AI155" s="1033">
        <v>46066</v>
      </c>
      <c r="AJ155" s="1033">
        <v>46065</v>
      </c>
      <c r="AK155" s="1033">
        <v>46065</v>
      </c>
      <c r="AL155" s="1033">
        <v>46119</v>
      </c>
      <c r="AM155" s="1033">
        <v>46133</v>
      </c>
      <c r="AN155" s="1033">
        <v>46133</v>
      </c>
      <c r="AO155" s="1032" t="s">
        <v>402</v>
      </c>
      <c r="AP155" s="1032" t="s">
        <v>771</v>
      </c>
      <c r="AQ155" s="1032" t="s">
        <v>80</v>
      </c>
      <c r="AR155" s="1032" t="s">
        <v>819</v>
      </c>
      <c r="AS155" s="1032" t="s">
        <v>820</v>
      </c>
      <c r="AT155" s="1032" t="s">
        <v>820</v>
      </c>
      <c r="AU155" s="1032">
        <v>68</v>
      </c>
      <c r="AW155" s="1033">
        <v>46133</v>
      </c>
      <c r="AX155" s="1032" t="s">
        <v>84</v>
      </c>
      <c r="AY155" s="1033">
        <v>46147</v>
      </c>
      <c r="AZ155" s="1032">
        <v>7</v>
      </c>
      <c r="BA155" s="1033">
        <v>46140</v>
      </c>
      <c r="BB155" s="1032">
        <v>2026</v>
      </c>
      <c r="BC155" s="1032">
        <v>4</v>
      </c>
      <c r="BD155" s="1032">
        <v>18</v>
      </c>
      <c r="BE155" s="1032">
        <v>36</v>
      </c>
      <c r="BF155" s="1032">
        <v>936</v>
      </c>
      <c r="BG155" s="1032" t="s">
        <v>94</v>
      </c>
      <c r="BH155" s="1032" t="s">
        <v>109</v>
      </c>
    </row>
    <row r="156" spans="1:60">
      <c r="A156" s="1032" t="s">
        <v>821</v>
      </c>
      <c r="B156" s="1032" t="s">
        <v>111</v>
      </c>
      <c r="C156" s="1032" t="s">
        <v>376</v>
      </c>
      <c r="D156" s="1032" t="s">
        <v>113</v>
      </c>
      <c r="E156" s="1032" t="s">
        <v>64</v>
      </c>
      <c r="F156" s="1032" t="s">
        <v>65</v>
      </c>
      <c r="G156" s="1032" t="s">
        <v>402</v>
      </c>
      <c r="H156" s="1032" t="s">
        <v>67</v>
      </c>
      <c r="I156" s="1032" t="s">
        <v>822</v>
      </c>
      <c r="J156" s="1032" t="s">
        <v>377</v>
      </c>
      <c r="K156" s="1032" t="s">
        <v>328</v>
      </c>
      <c r="M156" s="1032" t="s">
        <v>68</v>
      </c>
      <c r="N156" s="1032" t="s">
        <v>68</v>
      </c>
      <c r="O156" s="1032" t="s">
        <v>70</v>
      </c>
      <c r="P156" s="1032" t="s">
        <v>378</v>
      </c>
      <c r="Q156" s="1032" t="s">
        <v>379</v>
      </c>
      <c r="R156" s="1032" t="s">
        <v>73</v>
      </c>
      <c r="S156" s="1032" t="s">
        <v>120</v>
      </c>
      <c r="T156" s="1032">
        <v>620</v>
      </c>
      <c r="U156" s="1032">
        <v>10800</v>
      </c>
      <c r="V156" s="1032">
        <v>6.6959999999999997</v>
      </c>
      <c r="W156" s="1032">
        <v>300</v>
      </c>
      <c r="X156" s="1032">
        <v>15</v>
      </c>
      <c r="Y156" s="1032" t="s">
        <v>75</v>
      </c>
      <c r="Z156" s="1032" t="s">
        <v>75</v>
      </c>
      <c r="AB156" s="1033">
        <v>46063</v>
      </c>
      <c r="AC156" s="1032">
        <v>7</v>
      </c>
      <c r="AD156" s="1032" t="s">
        <v>823</v>
      </c>
      <c r="AF156" s="1032" t="s">
        <v>122</v>
      </c>
      <c r="AG156" s="1032" t="s">
        <v>123</v>
      </c>
      <c r="AH156" s="1032" t="s">
        <v>356</v>
      </c>
      <c r="AI156" s="1033">
        <v>46068</v>
      </c>
      <c r="AJ156" s="1033">
        <v>46068</v>
      </c>
      <c r="AK156" s="1033">
        <v>46079</v>
      </c>
      <c r="AL156" s="1033">
        <v>46095</v>
      </c>
      <c r="AM156" s="1033">
        <v>46112</v>
      </c>
      <c r="AN156" s="1033">
        <v>46115</v>
      </c>
      <c r="AO156" s="1032" t="s">
        <v>402</v>
      </c>
      <c r="AP156" s="1032" t="s">
        <v>824</v>
      </c>
      <c r="AQ156" s="1032" t="s">
        <v>161</v>
      </c>
      <c r="AR156" s="1032" t="s">
        <v>825</v>
      </c>
      <c r="AS156" s="1032" t="s">
        <v>826</v>
      </c>
      <c r="AT156" s="1032" t="s">
        <v>826</v>
      </c>
      <c r="AU156" s="1032">
        <v>36</v>
      </c>
      <c r="AW156" s="1033">
        <v>46115</v>
      </c>
      <c r="AX156" s="1032" t="s">
        <v>84</v>
      </c>
      <c r="AY156" s="1033">
        <v>46127</v>
      </c>
      <c r="AZ156" s="1032">
        <v>8</v>
      </c>
      <c r="BA156" s="1033">
        <v>46123</v>
      </c>
      <c r="BB156" s="1032">
        <v>2026</v>
      </c>
      <c r="BC156" s="1032">
        <v>4</v>
      </c>
      <c r="BD156" s="1032">
        <v>15</v>
      </c>
      <c r="BE156" s="1032">
        <v>36</v>
      </c>
      <c r="BF156" s="1032">
        <v>720</v>
      </c>
      <c r="BG156" s="1032" t="s">
        <v>128</v>
      </c>
      <c r="BH156" s="1032" t="s">
        <v>109</v>
      </c>
    </row>
    <row r="157" spans="1:60">
      <c r="A157" s="1032" t="s">
        <v>827</v>
      </c>
      <c r="B157" s="1032" t="s">
        <v>111</v>
      </c>
      <c r="C157" s="1032" t="s">
        <v>168</v>
      </c>
      <c r="D157" s="1032" t="s">
        <v>63</v>
      </c>
      <c r="E157" s="1032" t="s">
        <v>64</v>
      </c>
      <c r="F157" s="1032" t="s">
        <v>100</v>
      </c>
      <c r="G157" s="1032" t="s">
        <v>66</v>
      </c>
      <c r="H157" s="1032" t="s">
        <v>67</v>
      </c>
      <c r="I157" s="1032" t="s">
        <v>68</v>
      </c>
      <c r="J157" s="1032" t="s">
        <v>169</v>
      </c>
      <c r="M157" s="1032" t="s">
        <v>68</v>
      </c>
      <c r="N157" s="1032" t="s">
        <v>68</v>
      </c>
      <c r="O157" s="1032" t="s">
        <v>70</v>
      </c>
      <c r="P157" s="1032" t="s">
        <v>171</v>
      </c>
      <c r="Q157" s="1032" t="s">
        <v>172</v>
      </c>
      <c r="R157" s="1032" t="s">
        <v>73</v>
      </c>
      <c r="S157" s="1032" t="s">
        <v>120</v>
      </c>
      <c r="T157" s="1032">
        <v>555</v>
      </c>
      <c r="U157" s="1032">
        <v>1320</v>
      </c>
      <c r="V157" s="1032">
        <v>0.73299999999999998</v>
      </c>
      <c r="W157" s="1032">
        <v>40</v>
      </c>
      <c r="X157" s="1032">
        <v>2</v>
      </c>
      <c r="Y157" s="1032" t="s">
        <v>75</v>
      </c>
      <c r="Z157" s="1032" t="s">
        <v>75</v>
      </c>
      <c r="AB157" s="1033">
        <v>46061</v>
      </c>
      <c r="AC157" s="1032">
        <v>6</v>
      </c>
      <c r="AD157" s="1032" t="s">
        <v>828</v>
      </c>
      <c r="AF157" s="1032" t="s">
        <v>122</v>
      </c>
      <c r="AG157" s="1032" t="s">
        <v>123</v>
      </c>
      <c r="AH157" s="1032" t="s">
        <v>105</v>
      </c>
      <c r="AI157" s="1033">
        <v>46067</v>
      </c>
      <c r="AJ157" s="1033">
        <v>46087</v>
      </c>
      <c r="AK157" s="1033">
        <v>46086</v>
      </c>
      <c r="AL157" s="1033">
        <v>46108</v>
      </c>
      <c r="AM157" s="1033">
        <v>46133</v>
      </c>
      <c r="AN157" s="1033">
        <v>46133</v>
      </c>
      <c r="AO157" s="1032" t="s">
        <v>402</v>
      </c>
      <c r="AP157" s="1032" t="s">
        <v>829</v>
      </c>
      <c r="AQ157" s="1032" t="s">
        <v>80</v>
      </c>
      <c r="AR157" s="1032" t="s">
        <v>830</v>
      </c>
      <c r="AS157" s="1032" t="s">
        <v>831</v>
      </c>
      <c r="AT157" s="1032" t="s">
        <v>831</v>
      </c>
      <c r="AU157" s="1032">
        <v>47</v>
      </c>
      <c r="AW157" s="1033">
        <v>46133</v>
      </c>
      <c r="AX157" s="1032" t="s">
        <v>84</v>
      </c>
      <c r="AY157" s="1033">
        <v>46147</v>
      </c>
      <c r="AZ157" s="1032">
        <v>7</v>
      </c>
      <c r="BA157" s="1033">
        <v>46140</v>
      </c>
      <c r="BB157" s="1032">
        <v>2026</v>
      </c>
      <c r="BC157" s="1032">
        <v>4</v>
      </c>
      <c r="BD157" s="1032">
        <v>18</v>
      </c>
      <c r="BE157" s="1032">
        <v>33</v>
      </c>
      <c r="BF157" s="1032">
        <v>660</v>
      </c>
      <c r="BG157" s="1032" t="s">
        <v>108</v>
      </c>
      <c r="BH157" s="1032" t="s">
        <v>109</v>
      </c>
    </row>
    <row r="158" spans="1:60">
      <c r="A158" s="1032" t="s">
        <v>832</v>
      </c>
      <c r="B158" s="1032" t="s">
        <v>111</v>
      </c>
      <c r="C158" s="1032" t="s">
        <v>376</v>
      </c>
      <c r="D158" s="1032" t="s">
        <v>113</v>
      </c>
      <c r="E158" s="1032" t="s">
        <v>64</v>
      </c>
      <c r="F158" s="1032" t="s">
        <v>65</v>
      </c>
      <c r="G158" s="1032" t="s">
        <v>402</v>
      </c>
      <c r="H158" s="1032" t="s">
        <v>67</v>
      </c>
      <c r="I158" s="1032" t="s">
        <v>68</v>
      </c>
      <c r="J158" s="1032" t="s">
        <v>377</v>
      </c>
      <c r="K158" s="1032" t="s">
        <v>328</v>
      </c>
      <c r="M158" s="1032" t="s">
        <v>68</v>
      </c>
      <c r="N158" s="1032">
        <v>46045</v>
      </c>
      <c r="O158" s="1032" t="s">
        <v>70</v>
      </c>
      <c r="P158" s="1032" t="s">
        <v>378</v>
      </c>
      <c r="Q158" s="1032" t="s">
        <v>379</v>
      </c>
      <c r="R158" s="1032" t="s">
        <v>73</v>
      </c>
      <c r="S158" s="1032" t="s">
        <v>120</v>
      </c>
      <c r="T158" s="1032">
        <v>620</v>
      </c>
      <c r="U158" s="1032">
        <v>5040</v>
      </c>
      <c r="V158" s="1032">
        <v>3.125</v>
      </c>
      <c r="W158" s="1032">
        <v>140</v>
      </c>
      <c r="X158" s="1032">
        <v>7</v>
      </c>
      <c r="Y158" s="1032" t="s">
        <v>75</v>
      </c>
      <c r="Z158" s="1032" t="s">
        <v>75</v>
      </c>
      <c r="AB158" s="1033">
        <v>46066</v>
      </c>
      <c r="AC158" s="1032">
        <v>7</v>
      </c>
      <c r="AD158" s="1032" t="s">
        <v>833</v>
      </c>
      <c r="AF158" s="1032" t="s">
        <v>122</v>
      </c>
      <c r="AG158" s="1032" t="s">
        <v>123</v>
      </c>
      <c r="AH158" s="1032" t="s">
        <v>78</v>
      </c>
      <c r="AI158" s="1033">
        <v>46071</v>
      </c>
      <c r="AJ158" s="1033">
        <v>46075</v>
      </c>
      <c r="AK158" s="1033">
        <v>46075</v>
      </c>
      <c r="AL158" s="1033">
        <v>46119</v>
      </c>
      <c r="AM158" s="1033">
        <v>46125</v>
      </c>
      <c r="AN158" s="1033">
        <v>46125</v>
      </c>
      <c r="AO158" s="1032" t="s">
        <v>402</v>
      </c>
      <c r="AP158" s="1032" t="s">
        <v>834</v>
      </c>
      <c r="AQ158" s="1032" t="s">
        <v>80</v>
      </c>
      <c r="AR158" s="1032" t="s">
        <v>835</v>
      </c>
      <c r="AS158" s="1032" t="s">
        <v>836</v>
      </c>
      <c r="AT158" s="1032" t="s">
        <v>836</v>
      </c>
      <c r="AU158" s="1032">
        <v>50</v>
      </c>
      <c r="AW158" s="1033">
        <v>46125</v>
      </c>
      <c r="AX158" s="1032" t="s">
        <v>84</v>
      </c>
      <c r="AY158" s="1033">
        <v>46133</v>
      </c>
      <c r="AZ158" s="1032">
        <v>8</v>
      </c>
      <c r="BA158" s="1033">
        <v>46133</v>
      </c>
      <c r="BB158" s="1032">
        <v>2026</v>
      </c>
      <c r="BC158" s="1032">
        <v>4</v>
      </c>
      <c r="BD158" s="1032">
        <v>17</v>
      </c>
      <c r="BE158" s="1032">
        <v>36</v>
      </c>
      <c r="BF158" s="1032">
        <v>720</v>
      </c>
      <c r="BG158" s="1032" t="s">
        <v>128</v>
      </c>
      <c r="BH158" s="1032" t="s">
        <v>86</v>
      </c>
    </row>
    <row r="159" spans="1:60">
      <c r="A159" s="1032" t="s">
        <v>837</v>
      </c>
      <c r="B159" s="1032" t="s">
        <v>111</v>
      </c>
      <c r="C159" s="1032" t="s">
        <v>838</v>
      </c>
      <c r="D159" s="1032" t="s">
        <v>63</v>
      </c>
      <c r="E159" s="1032" t="s">
        <v>144</v>
      </c>
      <c r="F159" s="1032" t="s">
        <v>145</v>
      </c>
      <c r="G159" s="1032" t="s">
        <v>402</v>
      </c>
      <c r="H159" s="1032" t="s">
        <v>593</v>
      </c>
      <c r="I159" s="1032" t="s">
        <v>68</v>
      </c>
      <c r="J159" s="1032" t="s">
        <v>594</v>
      </c>
      <c r="K159" s="1032" t="s">
        <v>839</v>
      </c>
      <c r="M159" s="1032" t="s">
        <v>840</v>
      </c>
      <c r="N159" s="1032">
        <v>46045</v>
      </c>
      <c r="O159" s="1032" t="s">
        <v>132</v>
      </c>
      <c r="P159" s="1032" t="s">
        <v>841</v>
      </c>
      <c r="Q159" s="1032" t="s">
        <v>842</v>
      </c>
      <c r="R159" s="1032" t="s">
        <v>73</v>
      </c>
      <c r="S159" s="1032" t="s">
        <v>120</v>
      </c>
      <c r="T159" s="1032">
        <v>515</v>
      </c>
      <c r="U159" s="1032">
        <v>3168</v>
      </c>
      <c r="V159" s="1032">
        <v>1.6319999999999999</v>
      </c>
      <c r="W159" s="1032">
        <v>88</v>
      </c>
      <c r="X159" s="1032">
        <v>4</v>
      </c>
      <c r="Y159" s="1032" t="s">
        <v>75</v>
      </c>
      <c r="Z159" s="1032" t="s">
        <v>75</v>
      </c>
      <c r="AB159" s="1033">
        <v>46060</v>
      </c>
      <c r="AC159" s="1032">
        <v>6</v>
      </c>
      <c r="AD159" s="1032" t="s">
        <v>843</v>
      </c>
      <c r="AF159" s="1032" t="s">
        <v>122</v>
      </c>
      <c r="AG159" s="1032" t="s">
        <v>123</v>
      </c>
      <c r="AH159" s="1032" t="s">
        <v>124</v>
      </c>
      <c r="AI159" s="1033">
        <v>46069</v>
      </c>
      <c r="AJ159" s="1033">
        <v>46072</v>
      </c>
      <c r="AK159" s="1033">
        <v>46072</v>
      </c>
      <c r="AL159" s="1033">
        <v>46121</v>
      </c>
      <c r="AM159" s="1033">
        <v>46123</v>
      </c>
      <c r="AN159" s="1033">
        <v>46127</v>
      </c>
      <c r="AO159" s="1032" t="s">
        <v>402</v>
      </c>
      <c r="AP159" s="1032" t="s">
        <v>844</v>
      </c>
      <c r="AQ159" s="1032" t="s">
        <v>80</v>
      </c>
      <c r="AR159" s="1032" t="s">
        <v>845</v>
      </c>
      <c r="AS159" s="1032" t="s">
        <v>846</v>
      </c>
      <c r="AT159" s="1032" t="s">
        <v>846</v>
      </c>
      <c r="AU159" s="1032">
        <v>55</v>
      </c>
      <c r="AW159" s="1033">
        <v>46127</v>
      </c>
      <c r="AX159" s="1032" t="s">
        <v>84</v>
      </c>
      <c r="AY159" s="1033">
        <v>46135</v>
      </c>
      <c r="AZ159" s="1032" t="s">
        <v>152</v>
      </c>
      <c r="BA159" s="1033">
        <v>46127</v>
      </c>
      <c r="BB159" s="1032">
        <v>2026</v>
      </c>
      <c r="BC159" s="1032">
        <v>4</v>
      </c>
      <c r="BD159" s="1032">
        <v>16</v>
      </c>
      <c r="BE159" s="1032">
        <v>36</v>
      </c>
      <c r="BF159" s="1032">
        <v>792</v>
      </c>
      <c r="BG159" s="1032" t="s">
        <v>108</v>
      </c>
      <c r="BH159" s="1032" t="s">
        <v>86</v>
      </c>
    </row>
    <row r="160" spans="1:60">
      <c r="A160" s="1032" t="s">
        <v>847</v>
      </c>
      <c r="B160" s="1032" t="s">
        <v>77</v>
      </c>
      <c r="C160" s="1032" t="s">
        <v>705</v>
      </c>
      <c r="D160" s="1032" t="s">
        <v>63</v>
      </c>
      <c r="E160" s="1032" t="s">
        <v>64</v>
      </c>
      <c r="F160" s="1032" t="s">
        <v>100</v>
      </c>
      <c r="G160" s="1032" t="s">
        <v>402</v>
      </c>
      <c r="H160" s="1032" t="s">
        <v>67</v>
      </c>
      <c r="I160" s="1032" t="s">
        <v>68</v>
      </c>
      <c r="J160" s="1032" t="s">
        <v>848</v>
      </c>
      <c r="M160" s="1032" t="s">
        <v>68</v>
      </c>
      <c r="N160" s="1032">
        <v>46045</v>
      </c>
      <c r="O160" s="1032" t="s">
        <v>70</v>
      </c>
      <c r="P160" s="1032" t="s">
        <v>706</v>
      </c>
      <c r="Q160" s="1032" t="s">
        <v>707</v>
      </c>
      <c r="R160" s="1032" t="s">
        <v>73</v>
      </c>
      <c r="S160" s="1032" t="s">
        <v>74</v>
      </c>
      <c r="T160" s="1032">
        <v>500</v>
      </c>
      <c r="U160" s="1032">
        <v>72</v>
      </c>
      <c r="V160" s="1032">
        <v>3.5999999999999997E-2</v>
      </c>
      <c r="W160" s="1032">
        <v>2</v>
      </c>
      <c r="X160" s="1032">
        <v>0.1</v>
      </c>
      <c r="Y160" s="1032" t="s">
        <v>75</v>
      </c>
      <c r="Z160" s="1032" t="s">
        <v>75</v>
      </c>
      <c r="AB160" s="1033">
        <v>46062</v>
      </c>
      <c r="AC160" s="1032">
        <v>7</v>
      </c>
      <c r="AD160" s="1032" t="s">
        <v>849</v>
      </c>
      <c r="AF160" s="1032" t="s">
        <v>77</v>
      </c>
      <c r="AG160" s="1032" t="s">
        <v>61</v>
      </c>
      <c r="AH160" s="1032" t="s">
        <v>105</v>
      </c>
      <c r="AI160" s="1033">
        <v>46080</v>
      </c>
      <c r="AJ160" s="1033">
        <v>46081</v>
      </c>
      <c r="AK160" s="1033">
        <v>46081</v>
      </c>
      <c r="AL160" s="1033">
        <v>46139</v>
      </c>
      <c r="AM160" s="1033">
        <v>46141</v>
      </c>
      <c r="AN160" s="1033">
        <v>46137</v>
      </c>
      <c r="AO160" s="1032" t="s">
        <v>402</v>
      </c>
      <c r="AP160" s="1032" t="s">
        <v>850</v>
      </c>
      <c r="AQ160" s="1032" t="s">
        <v>80</v>
      </c>
      <c r="AR160" s="1032" t="s">
        <v>851</v>
      </c>
      <c r="AS160" s="1032" t="s">
        <v>852</v>
      </c>
      <c r="AT160" s="1032" t="s">
        <v>852</v>
      </c>
      <c r="AU160" s="1032">
        <v>56</v>
      </c>
      <c r="AW160" s="1033">
        <v>46137</v>
      </c>
      <c r="AX160" s="1032" t="s">
        <v>84</v>
      </c>
      <c r="AY160" s="1033">
        <v>46150</v>
      </c>
      <c r="AZ160" s="1032">
        <v>7</v>
      </c>
      <c r="BA160" s="1033">
        <v>46144</v>
      </c>
      <c r="BB160" s="1032">
        <v>2026</v>
      </c>
      <c r="BC160" s="1032">
        <v>5</v>
      </c>
      <c r="BD160" s="1032">
        <v>18</v>
      </c>
      <c r="BE160" s="1032">
        <v>36</v>
      </c>
      <c r="BF160" s="1032">
        <v>864</v>
      </c>
      <c r="BG160" s="1032" t="s">
        <v>85</v>
      </c>
      <c r="BH160" s="1032" t="s">
        <v>109</v>
      </c>
    </row>
    <row r="161" spans="1:60">
      <c r="A161" s="1032" t="s">
        <v>688</v>
      </c>
      <c r="B161" s="1032" t="s">
        <v>77</v>
      </c>
      <c r="C161" s="1032" t="s">
        <v>203</v>
      </c>
      <c r="D161" s="1032" t="s">
        <v>63</v>
      </c>
      <c r="E161" s="1032" t="s">
        <v>64</v>
      </c>
      <c r="F161" s="1032" t="s">
        <v>100</v>
      </c>
      <c r="G161" s="1032" t="s">
        <v>402</v>
      </c>
      <c r="H161" s="1032" t="s">
        <v>67</v>
      </c>
      <c r="I161" s="1032" t="s">
        <v>68</v>
      </c>
      <c r="J161" s="1032" t="s">
        <v>853</v>
      </c>
      <c r="M161" s="1032" t="s">
        <v>68</v>
      </c>
      <c r="N161" s="1032">
        <v>46045</v>
      </c>
      <c r="O161" s="1032" t="s">
        <v>70</v>
      </c>
      <c r="P161" s="1032" t="s">
        <v>691</v>
      </c>
      <c r="Q161" s="1032" t="s">
        <v>692</v>
      </c>
      <c r="R161" s="1032" t="s">
        <v>73</v>
      </c>
      <c r="S161" s="1032" t="s">
        <v>74</v>
      </c>
      <c r="T161" s="1032">
        <v>505</v>
      </c>
      <c r="U161" s="1032">
        <v>36</v>
      </c>
      <c r="V161" s="1032">
        <v>1.7999999999999999E-2</v>
      </c>
      <c r="W161" s="1032">
        <v>1</v>
      </c>
      <c r="X161" s="1032">
        <v>0</v>
      </c>
      <c r="Y161" s="1032" t="s">
        <v>75</v>
      </c>
      <c r="Z161" s="1032" t="s">
        <v>75</v>
      </c>
      <c r="AB161" s="1033">
        <v>46062</v>
      </c>
      <c r="AC161" s="1032">
        <v>7</v>
      </c>
      <c r="AD161" s="1032" t="s">
        <v>854</v>
      </c>
      <c r="AF161" s="1032" t="s">
        <v>77</v>
      </c>
      <c r="AG161" s="1032" t="s">
        <v>61</v>
      </c>
      <c r="AH161" s="1032" t="s">
        <v>105</v>
      </c>
      <c r="AI161" s="1033">
        <v>46080</v>
      </c>
      <c r="AJ161" s="1033">
        <v>46081</v>
      </c>
      <c r="AK161" s="1033">
        <v>46081</v>
      </c>
      <c r="AL161" s="1033">
        <v>46139</v>
      </c>
      <c r="AM161" s="1033">
        <v>46141</v>
      </c>
      <c r="AN161" s="1033">
        <v>46137</v>
      </c>
      <c r="AO161" s="1032" t="s">
        <v>402</v>
      </c>
      <c r="AP161" s="1032" t="s">
        <v>850</v>
      </c>
      <c r="AQ161" s="1032" t="s">
        <v>80</v>
      </c>
      <c r="AR161" s="1032" t="s">
        <v>851</v>
      </c>
      <c r="AS161" s="1032" t="s">
        <v>852</v>
      </c>
      <c r="AT161" s="1032" t="s">
        <v>852</v>
      </c>
      <c r="AU161" s="1032">
        <v>56</v>
      </c>
      <c r="AW161" s="1033">
        <v>46137</v>
      </c>
      <c r="AX161" s="1032" t="s">
        <v>84</v>
      </c>
      <c r="AY161" s="1033">
        <v>46150</v>
      </c>
      <c r="AZ161" s="1032">
        <v>7</v>
      </c>
      <c r="BA161" s="1033">
        <v>46144</v>
      </c>
      <c r="BB161" s="1032">
        <v>2026</v>
      </c>
      <c r="BC161" s="1032">
        <v>5</v>
      </c>
      <c r="BD161" s="1032">
        <v>18</v>
      </c>
      <c r="BE161" s="1032">
        <v>36</v>
      </c>
      <c r="BF161" s="1032">
        <v>864</v>
      </c>
      <c r="BG161" s="1032" t="s">
        <v>85</v>
      </c>
      <c r="BH161" s="1032" t="s">
        <v>109</v>
      </c>
    </row>
    <row r="162" spans="1:60">
      <c r="A162" s="1032" t="s">
        <v>855</v>
      </c>
      <c r="B162" s="1032" t="s">
        <v>61</v>
      </c>
      <c r="C162" s="1032" t="s">
        <v>584</v>
      </c>
      <c r="D162" s="1032" t="s">
        <v>63</v>
      </c>
      <c r="E162" s="1032" t="s">
        <v>64</v>
      </c>
      <c r="F162" s="1032" t="s">
        <v>100</v>
      </c>
      <c r="G162" s="1032" t="s">
        <v>402</v>
      </c>
      <c r="H162" s="1032" t="s">
        <v>67</v>
      </c>
      <c r="I162" s="1032" t="s">
        <v>68</v>
      </c>
      <c r="J162" s="1032" t="s">
        <v>856</v>
      </c>
      <c r="M162" s="1032" t="s">
        <v>68</v>
      </c>
      <c r="N162" s="1032">
        <v>46045</v>
      </c>
      <c r="O162" s="1032" t="s">
        <v>70</v>
      </c>
      <c r="P162" s="1032" t="s">
        <v>585</v>
      </c>
      <c r="Q162" s="1032" t="s">
        <v>103</v>
      </c>
      <c r="R162" s="1032" t="s">
        <v>331</v>
      </c>
      <c r="S162" s="1032" t="s">
        <v>120</v>
      </c>
      <c r="T162" s="1032">
        <v>620</v>
      </c>
      <c r="U162" s="1032">
        <v>612</v>
      </c>
      <c r="V162" s="1032">
        <v>0.379</v>
      </c>
      <c r="W162" s="1032">
        <v>17</v>
      </c>
      <c r="X162" s="1032">
        <v>0.9</v>
      </c>
      <c r="Y162" s="1032" t="s">
        <v>75</v>
      </c>
      <c r="Z162" s="1032" t="s">
        <v>75</v>
      </c>
      <c r="AB162" s="1033">
        <v>46062</v>
      </c>
      <c r="AC162" s="1032">
        <v>7</v>
      </c>
      <c r="AD162" s="1032" t="s">
        <v>857</v>
      </c>
      <c r="AF162" s="1032" t="s">
        <v>77</v>
      </c>
      <c r="AG162" s="1032" t="s">
        <v>61</v>
      </c>
      <c r="AH162" s="1032" t="s">
        <v>105</v>
      </c>
      <c r="AI162" s="1033">
        <v>46080</v>
      </c>
      <c r="AJ162" s="1033">
        <v>46081</v>
      </c>
      <c r="AK162" s="1033">
        <v>46081</v>
      </c>
      <c r="AL162" s="1033">
        <v>46139</v>
      </c>
      <c r="AM162" s="1033">
        <v>46141</v>
      </c>
      <c r="AN162" s="1033">
        <v>46137</v>
      </c>
      <c r="AO162" s="1032" t="s">
        <v>402</v>
      </c>
      <c r="AP162" s="1032" t="s">
        <v>850</v>
      </c>
      <c r="AQ162" s="1032" t="s">
        <v>80</v>
      </c>
      <c r="AR162" s="1032" t="s">
        <v>851</v>
      </c>
      <c r="AS162" s="1032" t="s">
        <v>852</v>
      </c>
      <c r="AT162" s="1032" t="s">
        <v>852</v>
      </c>
      <c r="AU162" s="1032">
        <v>56</v>
      </c>
      <c r="AW162" s="1033">
        <v>46137</v>
      </c>
      <c r="AX162" s="1032" t="s">
        <v>84</v>
      </c>
      <c r="AY162" s="1033">
        <v>46150</v>
      </c>
      <c r="AZ162" s="1032">
        <v>7</v>
      </c>
      <c r="BA162" s="1033">
        <v>46144</v>
      </c>
      <c r="BB162" s="1032">
        <v>2026</v>
      </c>
      <c r="BC162" s="1032">
        <v>5</v>
      </c>
      <c r="BD162" s="1032">
        <v>18</v>
      </c>
      <c r="BE162" s="1032">
        <v>36</v>
      </c>
      <c r="BF162" s="1032">
        <v>720</v>
      </c>
      <c r="BG162" s="1032" t="s">
        <v>128</v>
      </c>
      <c r="BH162" s="1032" t="s">
        <v>109</v>
      </c>
    </row>
    <row r="163" spans="1:60">
      <c r="A163" s="1032" t="s">
        <v>858</v>
      </c>
      <c r="B163" s="1032" t="s">
        <v>77</v>
      </c>
      <c r="C163" s="1032" t="s">
        <v>203</v>
      </c>
      <c r="D163" s="1032" t="s">
        <v>63</v>
      </c>
      <c r="E163" s="1032" t="s">
        <v>64</v>
      </c>
      <c r="F163" s="1032" t="s">
        <v>65</v>
      </c>
      <c r="G163" s="1032" t="s">
        <v>402</v>
      </c>
      <c r="H163" s="1032" t="s">
        <v>67</v>
      </c>
      <c r="I163" s="1032" t="s">
        <v>68</v>
      </c>
      <c r="J163" s="1032" t="s">
        <v>859</v>
      </c>
      <c r="M163" s="1032" t="s">
        <v>68</v>
      </c>
      <c r="N163" s="1032" t="s">
        <v>68</v>
      </c>
      <c r="O163" s="1032" t="s">
        <v>70</v>
      </c>
      <c r="P163" s="1032" t="s">
        <v>860</v>
      </c>
      <c r="Q163" s="1032" t="s">
        <v>861</v>
      </c>
      <c r="R163" s="1032" t="s">
        <v>73</v>
      </c>
      <c r="S163" s="1032" t="s">
        <v>74</v>
      </c>
      <c r="T163" s="1032">
        <v>445</v>
      </c>
      <c r="U163" s="1032">
        <v>576</v>
      </c>
      <c r="V163" s="1032">
        <v>0.25600000000000001</v>
      </c>
      <c r="W163" s="1032">
        <v>16</v>
      </c>
      <c r="X163" s="1032">
        <v>0.6</v>
      </c>
      <c r="Y163" s="1032" t="s">
        <v>75</v>
      </c>
      <c r="Z163" s="1032" t="s">
        <v>75</v>
      </c>
      <c r="AB163" s="1033">
        <v>46062</v>
      </c>
      <c r="AC163" s="1032">
        <v>7</v>
      </c>
      <c r="AD163" s="1032" t="s">
        <v>862</v>
      </c>
      <c r="AF163" s="1032" t="s">
        <v>77</v>
      </c>
      <c r="AG163" s="1032" t="s">
        <v>61</v>
      </c>
      <c r="AH163" s="1032" t="s">
        <v>78</v>
      </c>
      <c r="AI163" s="1033">
        <v>46070</v>
      </c>
      <c r="AJ163" s="1033">
        <v>46072</v>
      </c>
      <c r="AK163" s="1033">
        <v>46072</v>
      </c>
      <c r="AL163" s="1033">
        <v>46146</v>
      </c>
      <c r="AM163" s="1033">
        <v>46153</v>
      </c>
      <c r="AN163" s="1033">
        <v>46159</v>
      </c>
      <c r="AO163" s="1032" t="s">
        <v>402</v>
      </c>
      <c r="AP163" s="1032" t="s">
        <v>814</v>
      </c>
      <c r="AQ163" s="1032" t="s">
        <v>80</v>
      </c>
      <c r="AR163" s="1032" t="s">
        <v>863</v>
      </c>
      <c r="AS163" s="1032" t="s">
        <v>864</v>
      </c>
      <c r="AT163" s="1032" t="s">
        <v>864</v>
      </c>
      <c r="AU163" s="1032">
        <v>87</v>
      </c>
      <c r="AW163" s="1033">
        <v>46159</v>
      </c>
      <c r="AX163" s="1032" t="s">
        <v>84</v>
      </c>
      <c r="AY163" s="1033">
        <v>46171</v>
      </c>
      <c r="AZ163" s="1032">
        <v>8</v>
      </c>
      <c r="BA163" s="1033">
        <v>46167</v>
      </c>
      <c r="BB163" s="1032">
        <v>2026</v>
      </c>
      <c r="BC163" s="1032">
        <v>5</v>
      </c>
      <c r="BD163" s="1032">
        <v>22</v>
      </c>
      <c r="BE163" s="1032">
        <v>36</v>
      </c>
      <c r="BF163" s="1032">
        <v>936</v>
      </c>
      <c r="BG163" s="1032" t="s">
        <v>94</v>
      </c>
      <c r="BH163" s="1032" t="s">
        <v>86</v>
      </c>
    </row>
    <row r="164" spans="1:60">
      <c r="A164" s="1032" t="s">
        <v>780</v>
      </c>
      <c r="B164" s="1032" t="s">
        <v>61</v>
      </c>
      <c r="C164" s="1032" t="s">
        <v>203</v>
      </c>
      <c r="D164" s="1032" t="s">
        <v>63</v>
      </c>
      <c r="E164" s="1032" t="s">
        <v>64</v>
      </c>
      <c r="F164" s="1032" t="s">
        <v>65</v>
      </c>
      <c r="G164" s="1032" t="s">
        <v>402</v>
      </c>
      <c r="H164" s="1032" t="s">
        <v>67</v>
      </c>
      <c r="I164" s="1032" t="s">
        <v>68</v>
      </c>
      <c r="J164" s="1032" t="s">
        <v>865</v>
      </c>
      <c r="M164" s="1032" t="s">
        <v>68</v>
      </c>
      <c r="N164" s="1032" t="s">
        <v>68</v>
      </c>
      <c r="O164" s="1032" t="s">
        <v>70</v>
      </c>
      <c r="P164" s="1032" t="s">
        <v>204</v>
      </c>
      <c r="Q164" s="1032" t="s">
        <v>205</v>
      </c>
      <c r="R164" s="1032" t="s">
        <v>73</v>
      </c>
      <c r="S164" s="1032" t="s">
        <v>74</v>
      </c>
      <c r="T164" s="1032">
        <v>455</v>
      </c>
      <c r="U164" s="1032">
        <v>360</v>
      </c>
      <c r="V164" s="1032">
        <v>0.16400000000000001</v>
      </c>
      <c r="W164" s="1032">
        <v>10</v>
      </c>
      <c r="X164" s="1032">
        <v>0.4</v>
      </c>
      <c r="Y164" s="1032" t="s">
        <v>75</v>
      </c>
      <c r="Z164" s="1032" t="s">
        <v>75</v>
      </c>
      <c r="AB164" s="1033">
        <v>46062</v>
      </c>
      <c r="AC164" s="1032">
        <v>7</v>
      </c>
      <c r="AD164" s="1032" t="s">
        <v>866</v>
      </c>
      <c r="AF164" s="1032" t="s">
        <v>77</v>
      </c>
      <c r="AG164" s="1032" t="s">
        <v>61</v>
      </c>
      <c r="AH164" s="1032" t="s">
        <v>78</v>
      </c>
      <c r="AI164" s="1033">
        <v>46070</v>
      </c>
      <c r="AJ164" s="1033">
        <v>46072</v>
      </c>
      <c r="AK164" s="1033">
        <v>46072</v>
      </c>
      <c r="AL164" s="1033">
        <v>46146</v>
      </c>
      <c r="AM164" s="1033">
        <v>46153</v>
      </c>
      <c r="AN164" s="1033">
        <v>46159</v>
      </c>
      <c r="AO164" s="1032" t="s">
        <v>402</v>
      </c>
      <c r="AP164" s="1032" t="s">
        <v>814</v>
      </c>
      <c r="AQ164" s="1032" t="s">
        <v>80</v>
      </c>
      <c r="AR164" s="1032" t="s">
        <v>863</v>
      </c>
      <c r="AS164" s="1032" t="s">
        <v>864</v>
      </c>
      <c r="AT164" s="1032" t="s">
        <v>864</v>
      </c>
      <c r="AU164" s="1032">
        <v>87</v>
      </c>
      <c r="AW164" s="1033">
        <v>46159</v>
      </c>
      <c r="AX164" s="1032" t="s">
        <v>84</v>
      </c>
      <c r="AY164" s="1033">
        <v>46171</v>
      </c>
      <c r="AZ164" s="1032">
        <v>8</v>
      </c>
      <c r="BA164" s="1033">
        <v>46167</v>
      </c>
      <c r="BB164" s="1032">
        <v>2026</v>
      </c>
      <c r="BC164" s="1032">
        <v>5</v>
      </c>
      <c r="BD164" s="1032">
        <v>22</v>
      </c>
      <c r="BE164" s="1032">
        <v>36</v>
      </c>
      <c r="BF164" s="1032">
        <v>936</v>
      </c>
      <c r="BG164" s="1032" t="s">
        <v>94</v>
      </c>
      <c r="BH164" s="1032" t="s">
        <v>86</v>
      </c>
    </row>
    <row r="165" spans="1:60">
      <c r="A165" s="1032" t="s">
        <v>867</v>
      </c>
      <c r="B165" s="1032" t="s">
        <v>61</v>
      </c>
      <c r="C165" s="1032" t="s">
        <v>203</v>
      </c>
      <c r="D165" s="1032" t="s">
        <v>63</v>
      </c>
      <c r="E165" s="1032" t="s">
        <v>144</v>
      </c>
      <c r="F165" s="1032" t="s">
        <v>145</v>
      </c>
      <c r="G165" s="1032" t="s">
        <v>402</v>
      </c>
      <c r="H165" s="1032" t="s">
        <v>868</v>
      </c>
      <c r="I165" s="1032" t="s">
        <v>869</v>
      </c>
      <c r="J165" s="1032" t="s">
        <v>147</v>
      </c>
      <c r="K165" s="1032" t="s">
        <v>870</v>
      </c>
      <c r="M165" s="1032" t="s">
        <v>840</v>
      </c>
      <c r="N165" s="1032">
        <v>46045</v>
      </c>
      <c r="O165" s="1032" t="s">
        <v>70</v>
      </c>
      <c r="P165" s="1032" t="s">
        <v>71</v>
      </c>
      <c r="Q165" s="1032" t="s">
        <v>72</v>
      </c>
      <c r="R165" s="1032" t="s">
        <v>73</v>
      </c>
      <c r="S165" s="1032" t="s">
        <v>74</v>
      </c>
      <c r="T165" s="1032">
        <v>500</v>
      </c>
      <c r="U165" s="1032">
        <v>864</v>
      </c>
      <c r="V165" s="1032">
        <v>0.432</v>
      </c>
      <c r="W165" s="1032">
        <v>24</v>
      </c>
      <c r="X165" s="1032">
        <v>1</v>
      </c>
      <c r="Y165" s="1032" t="s">
        <v>75</v>
      </c>
      <c r="Z165" s="1032" t="s">
        <v>75</v>
      </c>
      <c r="AB165" s="1033">
        <v>46079</v>
      </c>
      <c r="AC165" s="1032">
        <v>9</v>
      </c>
      <c r="AD165" s="1032" t="s">
        <v>871</v>
      </c>
      <c r="AF165" s="1032" t="s">
        <v>77</v>
      </c>
      <c r="AG165" s="1032" t="s">
        <v>61</v>
      </c>
      <c r="AH165" s="1032" t="s">
        <v>78</v>
      </c>
      <c r="AI165" s="1033">
        <v>46084</v>
      </c>
      <c r="AJ165" s="1033">
        <v>46084</v>
      </c>
      <c r="AK165" s="1033">
        <v>46084</v>
      </c>
      <c r="AL165" s="1033">
        <v>46160</v>
      </c>
      <c r="AM165" s="1033">
        <v>46169</v>
      </c>
      <c r="AN165" s="1033">
        <v>46165</v>
      </c>
      <c r="AO165" s="1032" t="s">
        <v>402</v>
      </c>
      <c r="AP165" s="1032" t="s">
        <v>872</v>
      </c>
      <c r="AQ165" s="1032" t="s">
        <v>80</v>
      </c>
      <c r="AR165" s="1032" t="s">
        <v>873</v>
      </c>
      <c r="AS165" s="1032" t="s">
        <v>874</v>
      </c>
      <c r="AT165" s="1032" t="s">
        <v>875</v>
      </c>
      <c r="AU165" s="1032">
        <v>81</v>
      </c>
      <c r="AW165" s="1033">
        <v>46165</v>
      </c>
      <c r="AX165" s="1032" t="s">
        <v>84</v>
      </c>
      <c r="AY165" s="1033">
        <v>46174</v>
      </c>
      <c r="AZ165" s="1032" t="s">
        <v>152</v>
      </c>
      <c r="BA165" s="1033">
        <v>46165</v>
      </c>
      <c r="BB165" s="1032">
        <v>2026</v>
      </c>
      <c r="BC165" s="1032">
        <v>5</v>
      </c>
      <c r="BD165" s="1032">
        <v>21</v>
      </c>
      <c r="BE165" s="1032">
        <v>36</v>
      </c>
      <c r="BF165" s="1032">
        <v>864</v>
      </c>
      <c r="BG165" s="1032" t="s">
        <v>85</v>
      </c>
      <c r="BH165" s="1032" t="s">
        <v>86</v>
      </c>
    </row>
    <row r="166" spans="1:60">
      <c r="A166" s="1032" t="s">
        <v>876</v>
      </c>
      <c r="B166" s="1032" t="s">
        <v>61</v>
      </c>
      <c r="C166" s="1032" t="s">
        <v>203</v>
      </c>
      <c r="D166" s="1032" t="s">
        <v>63</v>
      </c>
      <c r="E166" s="1032" t="s">
        <v>64</v>
      </c>
      <c r="F166" s="1032" t="s">
        <v>65</v>
      </c>
      <c r="G166" s="1032" t="s">
        <v>402</v>
      </c>
      <c r="H166" s="1032" t="s">
        <v>67</v>
      </c>
      <c r="I166" s="1032" t="s">
        <v>869</v>
      </c>
      <c r="J166" s="1032" t="s">
        <v>96</v>
      </c>
      <c r="M166" s="1032" t="s">
        <v>68</v>
      </c>
      <c r="N166" s="1032">
        <v>46045</v>
      </c>
      <c r="O166" s="1032" t="s">
        <v>70</v>
      </c>
      <c r="P166" s="1032" t="s">
        <v>71</v>
      </c>
      <c r="Q166" s="1032" t="s">
        <v>72</v>
      </c>
      <c r="R166" s="1032" t="s">
        <v>73</v>
      </c>
      <c r="S166" s="1032" t="s">
        <v>74</v>
      </c>
      <c r="T166" s="1032">
        <v>500</v>
      </c>
      <c r="U166" s="1032">
        <v>1728</v>
      </c>
      <c r="V166" s="1032">
        <v>0.86399999999999999</v>
      </c>
      <c r="W166" s="1032">
        <v>48</v>
      </c>
      <c r="X166" s="1032">
        <v>2</v>
      </c>
      <c r="Y166" s="1032" t="s">
        <v>75</v>
      </c>
      <c r="Z166" s="1032" t="s">
        <v>75</v>
      </c>
      <c r="AB166" s="1033">
        <v>46079</v>
      </c>
      <c r="AC166" s="1032">
        <v>9</v>
      </c>
      <c r="AD166" s="1032" t="s">
        <v>877</v>
      </c>
      <c r="AF166" s="1032" t="s">
        <v>77</v>
      </c>
      <c r="AG166" s="1032" t="s">
        <v>61</v>
      </c>
      <c r="AH166" s="1032" t="s">
        <v>78</v>
      </c>
      <c r="AI166" s="1033">
        <v>46084</v>
      </c>
      <c r="AJ166" s="1033">
        <v>46084</v>
      </c>
      <c r="AK166" s="1033">
        <v>46084</v>
      </c>
      <c r="AL166" s="1033">
        <v>46160</v>
      </c>
      <c r="AM166" s="1033">
        <v>46169</v>
      </c>
      <c r="AN166" s="1033">
        <v>46165</v>
      </c>
      <c r="AO166" s="1032" t="s">
        <v>402</v>
      </c>
      <c r="AP166" s="1032" t="s">
        <v>872</v>
      </c>
      <c r="AQ166" s="1032" t="s">
        <v>80</v>
      </c>
      <c r="AR166" s="1032" t="s">
        <v>878</v>
      </c>
      <c r="AS166" s="1032" t="s">
        <v>875</v>
      </c>
      <c r="AT166" s="1032" t="s">
        <v>875</v>
      </c>
      <c r="AU166" s="1032">
        <v>81</v>
      </c>
      <c r="AW166" s="1033">
        <v>46165</v>
      </c>
      <c r="AX166" s="1032" t="s">
        <v>84</v>
      </c>
      <c r="AY166" s="1033">
        <v>46177</v>
      </c>
      <c r="AZ166" s="1032">
        <v>8</v>
      </c>
      <c r="BA166" s="1033">
        <v>46173</v>
      </c>
      <c r="BB166" s="1032">
        <v>2026</v>
      </c>
      <c r="BC166" s="1032">
        <v>5</v>
      </c>
      <c r="BD166" s="1032">
        <v>22</v>
      </c>
      <c r="BE166" s="1032">
        <v>36</v>
      </c>
      <c r="BF166" s="1032">
        <v>864</v>
      </c>
      <c r="BG166" s="1032" t="s">
        <v>85</v>
      </c>
      <c r="BH166" s="1032" t="s">
        <v>86</v>
      </c>
    </row>
    <row r="167" spans="1:60">
      <c r="A167" s="1032" t="s">
        <v>62</v>
      </c>
      <c r="B167" s="1032" t="s">
        <v>61</v>
      </c>
      <c r="C167" s="1032" t="s">
        <v>203</v>
      </c>
      <c r="D167" s="1032" t="s">
        <v>63</v>
      </c>
      <c r="E167" s="1032" t="s">
        <v>64</v>
      </c>
      <c r="F167" s="1032" t="s">
        <v>65</v>
      </c>
      <c r="G167" s="1032" t="s">
        <v>402</v>
      </c>
      <c r="H167" s="1032" t="s">
        <v>67</v>
      </c>
      <c r="I167" s="1032" t="s">
        <v>869</v>
      </c>
      <c r="J167" s="1032" t="s">
        <v>96</v>
      </c>
      <c r="M167" s="1032" t="s">
        <v>68</v>
      </c>
      <c r="N167" s="1032">
        <v>46045</v>
      </c>
      <c r="O167" s="1032" t="s">
        <v>70</v>
      </c>
      <c r="P167" s="1032" t="s">
        <v>71</v>
      </c>
      <c r="Q167" s="1032" t="s">
        <v>72</v>
      </c>
      <c r="R167" s="1032" t="s">
        <v>73</v>
      </c>
      <c r="S167" s="1032" t="s">
        <v>74</v>
      </c>
      <c r="T167" s="1032">
        <v>500</v>
      </c>
      <c r="U167" s="1032">
        <v>1728</v>
      </c>
      <c r="V167" s="1032">
        <v>0.86399999999999999</v>
      </c>
      <c r="W167" s="1032">
        <v>48</v>
      </c>
      <c r="X167" s="1032">
        <v>2</v>
      </c>
      <c r="Y167" s="1032" t="s">
        <v>75</v>
      </c>
      <c r="Z167" s="1032" t="s">
        <v>75</v>
      </c>
      <c r="AB167" s="1033">
        <v>46079</v>
      </c>
      <c r="AC167" s="1032">
        <v>9</v>
      </c>
      <c r="AD167" s="1032" t="s">
        <v>879</v>
      </c>
      <c r="AF167" s="1032" t="s">
        <v>77</v>
      </c>
      <c r="AG167" s="1032" t="s">
        <v>61</v>
      </c>
      <c r="AH167" s="1032" t="s">
        <v>78</v>
      </c>
      <c r="AI167" s="1033">
        <v>46084</v>
      </c>
      <c r="AJ167" s="1033">
        <v>46084</v>
      </c>
      <c r="AK167" s="1033">
        <v>46084</v>
      </c>
      <c r="AL167" s="1033">
        <v>46160</v>
      </c>
      <c r="AM167" s="1033">
        <v>46169</v>
      </c>
      <c r="AN167" s="1033">
        <v>46165</v>
      </c>
      <c r="AO167" s="1032" t="s">
        <v>402</v>
      </c>
      <c r="AP167" s="1032" t="s">
        <v>872</v>
      </c>
      <c r="AQ167" s="1032" t="s">
        <v>80</v>
      </c>
      <c r="AR167" s="1032" t="s">
        <v>878</v>
      </c>
      <c r="AS167" s="1032" t="s">
        <v>875</v>
      </c>
      <c r="AT167" s="1032" t="s">
        <v>875</v>
      </c>
      <c r="AU167" s="1032">
        <v>81</v>
      </c>
      <c r="AW167" s="1033">
        <v>46165</v>
      </c>
      <c r="AX167" s="1032" t="s">
        <v>84</v>
      </c>
      <c r="AY167" s="1033">
        <v>46181</v>
      </c>
      <c r="AZ167" s="1032">
        <v>8</v>
      </c>
      <c r="BA167" s="1033">
        <v>46173</v>
      </c>
      <c r="BB167" s="1032">
        <v>2026</v>
      </c>
      <c r="BC167" s="1032">
        <v>5</v>
      </c>
      <c r="BD167" s="1032">
        <v>22</v>
      </c>
      <c r="BE167" s="1032">
        <v>36</v>
      </c>
      <c r="BF167" s="1032">
        <v>864</v>
      </c>
      <c r="BG167" s="1032" t="s">
        <v>85</v>
      </c>
      <c r="BH167" s="1032" t="s">
        <v>86</v>
      </c>
    </row>
    <row r="168" spans="1:60">
      <c r="A168" s="1032" t="s">
        <v>880</v>
      </c>
      <c r="B168" s="1032" t="s">
        <v>61</v>
      </c>
      <c r="C168" s="1032" t="s">
        <v>203</v>
      </c>
      <c r="D168" s="1032" t="s">
        <v>63</v>
      </c>
      <c r="E168" s="1032" t="s">
        <v>144</v>
      </c>
      <c r="F168" s="1032" t="s">
        <v>145</v>
      </c>
      <c r="G168" s="1032" t="s">
        <v>402</v>
      </c>
      <c r="H168" s="1032" t="s">
        <v>881</v>
      </c>
      <c r="I168" s="1032" t="s">
        <v>882</v>
      </c>
      <c r="J168" s="1032" t="s">
        <v>883</v>
      </c>
      <c r="K168" s="1032" t="s">
        <v>884</v>
      </c>
      <c r="M168" s="1032" t="s">
        <v>840</v>
      </c>
      <c r="N168" s="1032">
        <v>46045</v>
      </c>
      <c r="O168" s="1032" t="s">
        <v>70</v>
      </c>
      <c r="P168" s="1032" t="s">
        <v>885</v>
      </c>
      <c r="Q168" s="1032" t="s">
        <v>886</v>
      </c>
      <c r="R168" s="1032" t="s">
        <v>73</v>
      </c>
      <c r="S168" s="1032" t="s">
        <v>120</v>
      </c>
      <c r="T168" s="1032">
        <v>615</v>
      </c>
      <c r="U168" s="1032">
        <v>2880</v>
      </c>
      <c r="V168" s="1032">
        <v>1.7709999999999999</v>
      </c>
      <c r="W168" s="1032">
        <v>80</v>
      </c>
      <c r="X168" s="1032">
        <v>4</v>
      </c>
      <c r="Y168" s="1032" t="s">
        <v>75</v>
      </c>
      <c r="Z168" s="1032" t="s">
        <v>75</v>
      </c>
      <c r="AB168" s="1033">
        <v>46082</v>
      </c>
      <c r="AC168" s="1032">
        <v>9</v>
      </c>
      <c r="AD168" s="1032" t="s">
        <v>887</v>
      </c>
      <c r="AF168" s="1032" t="s">
        <v>77</v>
      </c>
      <c r="AG168" s="1032" t="s">
        <v>61</v>
      </c>
      <c r="AH168" s="1032" t="s">
        <v>888</v>
      </c>
      <c r="AI168" s="1033">
        <v>46088</v>
      </c>
      <c r="AJ168" s="1033">
        <v>46088</v>
      </c>
      <c r="AK168" s="1033">
        <v>46088</v>
      </c>
      <c r="AL168" s="1033">
        <v>46148</v>
      </c>
      <c r="AM168" s="1033">
        <v>46169</v>
      </c>
      <c r="AN168" s="1033">
        <v>46169</v>
      </c>
      <c r="AO168" s="1032" t="s">
        <v>402</v>
      </c>
      <c r="AP168" s="1032" t="s">
        <v>889</v>
      </c>
      <c r="AQ168" s="1032" t="s">
        <v>80</v>
      </c>
      <c r="AR168" s="1032" t="s">
        <v>890</v>
      </c>
      <c r="AS168" s="1032" t="s">
        <v>891</v>
      </c>
      <c r="AT168" s="1032" t="s">
        <v>891</v>
      </c>
      <c r="AU168" s="1032">
        <v>81</v>
      </c>
      <c r="AW168" s="1033">
        <v>46169</v>
      </c>
      <c r="AX168" s="1032" t="s">
        <v>84</v>
      </c>
      <c r="AY168" s="1033">
        <v>46162</v>
      </c>
      <c r="AZ168" s="1032" t="s">
        <v>152</v>
      </c>
      <c r="BA168" s="1033">
        <v>46169</v>
      </c>
      <c r="BB168" s="1032">
        <v>2026</v>
      </c>
      <c r="BC168" s="1032">
        <v>5</v>
      </c>
      <c r="BD168" s="1032">
        <v>22</v>
      </c>
      <c r="BE168" s="1032">
        <v>36</v>
      </c>
      <c r="BF168" s="1032">
        <v>720</v>
      </c>
      <c r="BG168" s="1032" t="s">
        <v>108</v>
      </c>
      <c r="BH168" s="1032" t="s">
        <v>109</v>
      </c>
    </row>
    <row r="169" spans="1:60">
      <c r="A169" s="1032" t="s">
        <v>892</v>
      </c>
      <c r="B169" s="1032" t="s">
        <v>111</v>
      </c>
      <c r="C169" s="1032" t="s">
        <v>376</v>
      </c>
      <c r="D169" s="1032" t="s">
        <v>113</v>
      </c>
      <c r="E169" s="1032" t="s">
        <v>64</v>
      </c>
      <c r="F169" s="1032" t="s">
        <v>65</v>
      </c>
      <c r="G169" s="1032" t="s">
        <v>402</v>
      </c>
      <c r="H169" s="1032" t="s">
        <v>67</v>
      </c>
      <c r="I169" s="1032" t="s">
        <v>822</v>
      </c>
      <c r="J169" s="1032" t="s">
        <v>377</v>
      </c>
      <c r="K169" s="1032" t="s">
        <v>328</v>
      </c>
      <c r="M169" s="1032" t="s">
        <v>68</v>
      </c>
      <c r="N169" s="1032">
        <v>46045</v>
      </c>
      <c r="O169" s="1032" t="s">
        <v>70</v>
      </c>
      <c r="P169" s="1032" t="s">
        <v>378</v>
      </c>
      <c r="Q169" s="1032" t="s">
        <v>379</v>
      </c>
      <c r="R169" s="1032" t="s">
        <v>73</v>
      </c>
      <c r="S169" s="1032" t="s">
        <v>120</v>
      </c>
      <c r="T169" s="1032">
        <v>620</v>
      </c>
      <c r="U169" s="1032">
        <v>8640</v>
      </c>
      <c r="V169" s="1032">
        <v>5.3570000000000002</v>
      </c>
      <c r="W169" s="1032">
        <v>240</v>
      </c>
      <c r="X169" s="1032">
        <v>12</v>
      </c>
      <c r="Y169" s="1032" t="s">
        <v>75</v>
      </c>
      <c r="Z169" s="1032" t="s">
        <v>75</v>
      </c>
      <c r="AB169" s="1033">
        <v>46078</v>
      </c>
      <c r="AC169" s="1032">
        <v>9</v>
      </c>
      <c r="AD169" s="1032" t="s">
        <v>893</v>
      </c>
      <c r="AF169" s="1032" t="s">
        <v>122</v>
      </c>
      <c r="AG169" s="1032" t="s">
        <v>123</v>
      </c>
      <c r="AH169" s="1032" t="s">
        <v>356</v>
      </c>
      <c r="AI169" s="1033">
        <v>46089</v>
      </c>
      <c r="AJ169" s="1033">
        <v>46097</v>
      </c>
      <c r="AK169" s="1033">
        <v>46089</v>
      </c>
      <c r="AL169" s="1033">
        <v>46126</v>
      </c>
      <c r="AM169" s="1033">
        <v>46126</v>
      </c>
      <c r="AN169" s="1033">
        <v>46124</v>
      </c>
      <c r="AO169" s="1032" t="s">
        <v>402</v>
      </c>
      <c r="AP169" s="1032" t="s">
        <v>894</v>
      </c>
      <c r="AQ169" s="1032" t="s">
        <v>161</v>
      </c>
      <c r="AR169" s="1032" t="s">
        <v>895</v>
      </c>
      <c r="AS169" s="1032" t="s">
        <v>896</v>
      </c>
      <c r="AT169" s="1032" t="s">
        <v>896</v>
      </c>
      <c r="AU169" s="1032">
        <v>35</v>
      </c>
      <c r="AW169" s="1033">
        <v>46124</v>
      </c>
      <c r="AX169" s="1032" t="s">
        <v>84</v>
      </c>
      <c r="AY169" s="1033">
        <v>46139</v>
      </c>
      <c r="AZ169" s="1032">
        <v>8</v>
      </c>
      <c r="BA169" s="1033">
        <v>46132</v>
      </c>
      <c r="BB169" s="1032">
        <v>2026</v>
      </c>
      <c r="BC169" s="1032">
        <v>4</v>
      </c>
      <c r="BD169" s="1032">
        <v>17</v>
      </c>
      <c r="BE169" s="1032">
        <v>36</v>
      </c>
      <c r="BF169" s="1032">
        <v>720</v>
      </c>
      <c r="BG169" s="1032" t="s">
        <v>128</v>
      </c>
      <c r="BH169" s="1032" t="s">
        <v>109</v>
      </c>
    </row>
    <row r="170" spans="1:60">
      <c r="A170" s="1032" t="s">
        <v>897</v>
      </c>
      <c r="B170" s="1032" t="s">
        <v>111</v>
      </c>
      <c r="C170" s="1032" t="s">
        <v>376</v>
      </c>
      <c r="D170" s="1032" t="s">
        <v>113</v>
      </c>
      <c r="E170" s="1032" t="s">
        <v>64</v>
      </c>
      <c r="F170" s="1032" t="s">
        <v>65</v>
      </c>
      <c r="G170" s="1032" t="s">
        <v>402</v>
      </c>
      <c r="H170" s="1032" t="s">
        <v>67</v>
      </c>
      <c r="I170" s="1032" t="s">
        <v>822</v>
      </c>
      <c r="J170" s="1032" t="s">
        <v>377</v>
      </c>
      <c r="K170" s="1032" t="s">
        <v>328</v>
      </c>
      <c r="M170" s="1032" t="s">
        <v>68</v>
      </c>
      <c r="N170" s="1032">
        <v>46045</v>
      </c>
      <c r="O170" s="1032" t="s">
        <v>70</v>
      </c>
      <c r="P170" s="1032" t="s">
        <v>378</v>
      </c>
      <c r="Q170" s="1032" t="s">
        <v>379</v>
      </c>
      <c r="R170" s="1032" t="s">
        <v>73</v>
      </c>
      <c r="S170" s="1032" t="s">
        <v>120</v>
      </c>
      <c r="T170" s="1032">
        <v>620</v>
      </c>
      <c r="U170" s="1032">
        <v>648</v>
      </c>
      <c r="V170" s="1032">
        <v>0.40200000000000002</v>
      </c>
      <c r="W170" s="1032">
        <v>18</v>
      </c>
      <c r="X170" s="1032">
        <v>0.9</v>
      </c>
      <c r="Y170" s="1032" t="s">
        <v>75</v>
      </c>
      <c r="Z170" s="1032" t="s">
        <v>75</v>
      </c>
      <c r="AB170" s="1033">
        <v>46078</v>
      </c>
      <c r="AC170" s="1032">
        <v>9</v>
      </c>
      <c r="AD170" s="1032" t="s">
        <v>898</v>
      </c>
      <c r="AF170" s="1032" t="s">
        <v>122</v>
      </c>
      <c r="AG170" s="1032" t="s">
        <v>123</v>
      </c>
      <c r="AH170" s="1032" t="s">
        <v>356</v>
      </c>
      <c r="AI170" s="1033">
        <v>46089</v>
      </c>
      <c r="AJ170" s="1033">
        <v>46088</v>
      </c>
      <c r="AK170" s="1033">
        <v>46089</v>
      </c>
      <c r="AL170" s="1033">
        <v>46126</v>
      </c>
      <c r="AM170" s="1033">
        <v>46126</v>
      </c>
      <c r="AN170" s="1033">
        <v>46124</v>
      </c>
      <c r="AO170" s="1032" t="s">
        <v>402</v>
      </c>
      <c r="AP170" s="1032" t="s">
        <v>899</v>
      </c>
      <c r="AQ170" s="1032" t="s">
        <v>80</v>
      </c>
      <c r="AR170" s="1032" t="s">
        <v>900</v>
      </c>
      <c r="AS170" s="1032" t="s">
        <v>901</v>
      </c>
      <c r="AT170" s="1032" t="s">
        <v>901</v>
      </c>
      <c r="AU170" s="1032">
        <v>35</v>
      </c>
      <c r="AW170" s="1033">
        <v>46124</v>
      </c>
      <c r="AX170" s="1032" t="s">
        <v>84</v>
      </c>
      <c r="AY170" s="1033">
        <v>46133</v>
      </c>
      <c r="AZ170" s="1032">
        <v>8</v>
      </c>
      <c r="BA170" s="1033">
        <v>46132</v>
      </c>
      <c r="BB170" s="1032">
        <v>2026</v>
      </c>
      <c r="BC170" s="1032">
        <v>4</v>
      </c>
      <c r="BD170" s="1032">
        <v>17</v>
      </c>
      <c r="BE170" s="1032">
        <v>36</v>
      </c>
      <c r="BF170" s="1032">
        <v>720</v>
      </c>
      <c r="BG170" s="1032" t="s">
        <v>128</v>
      </c>
      <c r="BH170" s="1032" t="s">
        <v>109</v>
      </c>
    </row>
    <row r="171" spans="1:60">
      <c r="A171" s="1032" t="s">
        <v>902</v>
      </c>
      <c r="B171" s="1032" t="s">
        <v>111</v>
      </c>
      <c r="C171" s="1032" t="s">
        <v>584</v>
      </c>
      <c r="D171" s="1032" t="s">
        <v>63</v>
      </c>
      <c r="E171" s="1032" t="s">
        <v>64</v>
      </c>
      <c r="F171" s="1032" t="s">
        <v>100</v>
      </c>
      <c r="G171" s="1032" t="s">
        <v>402</v>
      </c>
      <c r="H171" s="1032" t="s">
        <v>67</v>
      </c>
      <c r="I171" s="1032" t="s">
        <v>689</v>
      </c>
      <c r="J171" s="1032" t="s">
        <v>903</v>
      </c>
      <c r="M171" s="1032" t="s">
        <v>68</v>
      </c>
      <c r="N171" s="1032">
        <v>46073</v>
      </c>
      <c r="O171" s="1032" t="s">
        <v>70</v>
      </c>
      <c r="P171" s="1032" t="s">
        <v>585</v>
      </c>
      <c r="Q171" s="1032" t="s">
        <v>103</v>
      </c>
      <c r="R171" s="1032" t="s">
        <v>331</v>
      </c>
      <c r="S171" s="1032" t="s">
        <v>120</v>
      </c>
      <c r="T171" s="1032">
        <v>620</v>
      </c>
      <c r="U171" s="1032">
        <v>7200</v>
      </c>
      <c r="V171" s="1032">
        <v>4.4640000000000004</v>
      </c>
      <c r="W171" s="1032">
        <v>200</v>
      </c>
      <c r="X171" s="1032">
        <v>10</v>
      </c>
      <c r="Y171" s="1032" t="s">
        <v>75</v>
      </c>
      <c r="Z171" s="1032" t="s">
        <v>75</v>
      </c>
      <c r="AB171" s="1033">
        <v>46080</v>
      </c>
      <c r="AC171" s="1032">
        <v>9</v>
      </c>
      <c r="AD171" s="1032" t="s">
        <v>904</v>
      </c>
      <c r="AF171" s="1032" t="s">
        <v>122</v>
      </c>
      <c r="AG171" s="1032" t="s">
        <v>123</v>
      </c>
      <c r="AH171" s="1032" t="s">
        <v>105</v>
      </c>
      <c r="AI171" s="1033">
        <v>46091</v>
      </c>
      <c r="AJ171" s="1033">
        <v>46096</v>
      </c>
      <c r="AK171" s="1033">
        <v>46096</v>
      </c>
      <c r="AL171" s="1033">
        <v>46126</v>
      </c>
      <c r="AM171" s="1033">
        <v>46142</v>
      </c>
      <c r="AN171" s="1033">
        <v>46141</v>
      </c>
      <c r="AO171" s="1032" t="s">
        <v>402</v>
      </c>
      <c r="AP171" s="1032" t="s">
        <v>872</v>
      </c>
      <c r="AQ171" s="1032" t="s">
        <v>80</v>
      </c>
      <c r="AR171" s="1032" t="s">
        <v>905</v>
      </c>
      <c r="AS171" s="1032" t="s">
        <v>906</v>
      </c>
      <c r="AT171" s="1032" t="s">
        <v>906</v>
      </c>
      <c r="AU171" s="1032">
        <v>45</v>
      </c>
      <c r="AW171" s="1033">
        <v>46141</v>
      </c>
      <c r="AX171" s="1032" t="s">
        <v>84</v>
      </c>
      <c r="AY171" s="1033">
        <v>46163</v>
      </c>
      <c r="AZ171" s="1032">
        <v>7</v>
      </c>
      <c r="BA171" s="1033">
        <v>46148</v>
      </c>
      <c r="BB171" s="1032">
        <v>2026</v>
      </c>
      <c r="BC171" s="1032">
        <v>5</v>
      </c>
      <c r="BD171" s="1032">
        <v>19</v>
      </c>
      <c r="BE171" s="1032">
        <v>36</v>
      </c>
      <c r="BF171" s="1032">
        <v>720</v>
      </c>
      <c r="BG171" s="1032" t="s">
        <v>128</v>
      </c>
      <c r="BH171" s="1032" t="s">
        <v>109</v>
      </c>
    </row>
    <row r="172" spans="1:60">
      <c r="A172" s="1032" t="s">
        <v>907</v>
      </c>
      <c r="B172" s="1032" t="s">
        <v>111</v>
      </c>
      <c r="C172" s="1032" t="s">
        <v>584</v>
      </c>
      <c r="D172" s="1032" t="s">
        <v>63</v>
      </c>
      <c r="E172" s="1032" t="s">
        <v>64</v>
      </c>
      <c r="F172" s="1032" t="s">
        <v>100</v>
      </c>
      <c r="G172" s="1032" t="s">
        <v>402</v>
      </c>
      <c r="H172" s="1032" t="s">
        <v>67</v>
      </c>
      <c r="I172" s="1032" t="s">
        <v>689</v>
      </c>
      <c r="J172" s="1032" t="s">
        <v>101</v>
      </c>
      <c r="M172" s="1032" t="s">
        <v>68</v>
      </c>
      <c r="N172" s="1032">
        <v>46073</v>
      </c>
      <c r="O172" s="1032" t="s">
        <v>70</v>
      </c>
      <c r="P172" s="1032" t="s">
        <v>585</v>
      </c>
      <c r="Q172" s="1032" t="s">
        <v>103</v>
      </c>
      <c r="R172" s="1032" t="s">
        <v>331</v>
      </c>
      <c r="S172" s="1032" t="s">
        <v>120</v>
      </c>
      <c r="T172" s="1032">
        <v>620</v>
      </c>
      <c r="U172" s="1032">
        <v>5760</v>
      </c>
      <c r="V172" s="1032">
        <v>3.5710000000000002</v>
      </c>
      <c r="W172" s="1032">
        <v>160</v>
      </c>
      <c r="X172" s="1032">
        <v>8</v>
      </c>
      <c r="Y172" s="1032" t="s">
        <v>75</v>
      </c>
      <c r="Z172" s="1032" t="s">
        <v>75</v>
      </c>
      <c r="AB172" s="1033">
        <v>46081</v>
      </c>
      <c r="AC172" s="1032">
        <v>9</v>
      </c>
      <c r="AD172" s="1032" t="s">
        <v>908</v>
      </c>
      <c r="AF172" s="1032" t="s">
        <v>122</v>
      </c>
      <c r="AG172" s="1032" t="s">
        <v>123</v>
      </c>
      <c r="AH172" s="1032" t="s">
        <v>105</v>
      </c>
      <c r="AI172" s="1033">
        <v>46091</v>
      </c>
      <c r="AJ172" s="1033">
        <v>46096</v>
      </c>
      <c r="AK172" s="1033">
        <v>46096</v>
      </c>
      <c r="AL172" s="1033">
        <v>46126</v>
      </c>
      <c r="AM172" s="1033">
        <v>46142</v>
      </c>
      <c r="AN172" s="1033">
        <v>46141</v>
      </c>
      <c r="AO172" s="1032" t="s">
        <v>402</v>
      </c>
      <c r="AP172" s="1032" t="s">
        <v>872</v>
      </c>
      <c r="AQ172" s="1032" t="s">
        <v>80</v>
      </c>
      <c r="AR172" s="1032" t="s">
        <v>909</v>
      </c>
      <c r="AS172" s="1032" t="s">
        <v>910</v>
      </c>
      <c r="AT172" s="1032" t="s">
        <v>910</v>
      </c>
      <c r="AU172" s="1032">
        <v>45</v>
      </c>
      <c r="AW172" s="1033">
        <v>46141</v>
      </c>
      <c r="AX172" s="1032" t="s">
        <v>84</v>
      </c>
      <c r="AY172" s="1033">
        <v>46163</v>
      </c>
      <c r="AZ172" s="1032">
        <v>7</v>
      </c>
      <c r="BA172" s="1033">
        <v>46148</v>
      </c>
      <c r="BB172" s="1032">
        <v>2026</v>
      </c>
      <c r="BC172" s="1032">
        <v>5</v>
      </c>
      <c r="BD172" s="1032">
        <v>19</v>
      </c>
      <c r="BE172" s="1032">
        <v>36</v>
      </c>
      <c r="BF172" s="1032">
        <v>720</v>
      </c>
      <c r="BG172" s="1032" t="s">
        <v>128</v>
      </c>
      <c r="BH172" s="1032" t="s">
        <v>109</v>
      </c>
    </row>
    <row r="173" spans="1:60">
      <c r="A173" s="1032" t="s">
        <v>911</v>
      </c>
      <c r="B173" s="1032" t="s">
        <v>111</v>
      </c>
      <c r="C173" s="1032" t="s">
        <v>584</v>
      </c>
      <c r="D173" s="1032" t="s">
        <v>113</v>
      </c>
      <c r="E173" s="1032" t="s">
        <v>64</v>
      </c>
      <c r="F173" s="1032" t="s">
        <v>100</v>
      </c>
      <c r="G173" s="1032" t="s">
        <v>402</v>
      </c>
      <c r="H173" s="1032" t="s">
        <v>67</v>
      </c>
      <c r="I173" s="1032" t="s">
        <v>689</v>
      </c>
      <c r="J173" s="1032" t="s">
        <v>912</v>
      </c>
      <c r="M173" s="1032" t="s">
        <v>68</v>
      </c>
      <c r="N173" s="1032">
        <v>46073</v>
      </c>
      <c r="O173" s="1032" t="s">
        <v>70</v>
      </c>
      <c r="P173" s="1032" t="s">
        <v>585</v>
      </c>
      <c r="Q173" s="1032" t="s">
        <v>103</v>
      </c>
      <c r="R173" s="1032" t="s">
        <v>331</v>
      </c>
      <c r="S173" s="1032" t="s">
        <v>120</v>
      </c>
      <c r="T173" s="1032">
        <v>620</v>
      </c>
      <c r="U173" s="1032">
        <v>10800</v>
      </c>
      <c r="V173" s="1032">
        <v>6.6959999999999997</v>
      </c>
      <c r="W173" s="1032">
        <v>300</v>
      </c>
      <c r="X173" s="1032">
        <v>15</v>
      </c>
      <c r="Y173" s="1032" t="s">
        <v>75</v>
      </c>
      <c r="Z173" s="1032" t="s">
        <v>75</v>
      </c>
      <c r="AB173" s="1033">
        <v>46086</v>
      </c>
      <c r="AC173" s="1032">
        <v>10</v>
      </c>
      <c r="AD173" s="1032" t="s">
        <v>913</v>
      </c>
      <c r="AF173" s="1032" t="s">
        <v>122</v>
      </c>
      <c r="AG173" s="1032" t="s">
        <v>123</v>
      </c>
      <c r="AH173" s="1032" t="s">
        <v>105</v>
      </c>
      <c r="AI173" s="1033">
        <v>46096</v>
      </c>
      <c r="AJ173" s="1033">
        <v>46096</v>
      </c>
      <c r="AK173" s="1033">
        <v>46096</v>
      </c>
      <c r="AL173" s="1033">
        <v>46133</v>
      </c>
      <c r="AM173" s="1033">
        <v>46142</v>
      </c>
      <c r="AN173" s="1033">
        <v>46141</v>
      </c>
      <c r="AO173" s="1032" t="s">
        <v>402</v>
      </c>
      <c r="AP173" s="1032" t="s">
        <v>889</v>
      </c>
      <c r="AQ173" s="1032" t="s">
        <v>80</v>
      </c>
      <c r="AR173" s="1032" t="s">
        <v>914</v>
      </c>
      <c r="AS173" s="1032" t="s">
        <v>915</v>
      </c>
      <c r="AT173" s="1032" t="s">
        <v>915</v>
      </c>
      <c r="AU173" s="1032">
        <v>45</v>
      </c>
      <c r="AW173" s="1033">
        <v>46141</v>
      </c>
      <c r="AX173" s="1032" t="s">
        <v>84</v>
      </c>
      <c r="AY173" s="1033">
        <v>46163</v>
      </c>
      <c r="AZ173" s="1032">
        <v>7</v>
      </c>
      <c r="BA173" s="1033">
        <v>46148</v>
      </c>
      <c r="BB173" s="1032">
        <v>2026</v>
      </c>
      <c r="BC173" s="1032">
        <v>5</v>
      </c>
      <c r="BD173" s="1032">
        <v>19</v>
      </c>
      <c r="BE173" s="1032">
        <v>36</v>
      </c>
      <c r="BF173" s="1032">
        <v>720</v>
      </c>
      <c r="BG173" s="1032" t="s">
        <v>128</v>
      </c>
      <c r="BH173" s="1032" t="s">
        <v>109</v>
      </c>
    </row>
    <row r="174" spans="1:60">
      <c r="A174" s="1032" t="s">
        <v>916</v>
      </c>
      <c r="B174" s="1032" t="s">
        <v>111</v>
      </c>
      <c r="C174" s="1032" t="s">
        <v>584</v>
      </c>
      <c r="D174" s="1032" t="s">
        <v>63</v>
      </c>
      <c r="E174" s="1032" t="s">
        <v>64</v>
      </c>
      <c r="F174" s="1032" t="s">
        <v>100</v>
      </c>
      <c r="G174" s="1032" t="s">
        <v>402</v>
      </c>
      <c r="H174" s="1032" t="s">
        <v>67</v>
      </c>
      <c r="I174" s="1032" t="s">
        <v>689</v>
      </c>
      <c r="J174" s="1032" t="s">
        <v>917</v>
      </c>
      <c r="M174" s="1032" t="s">
        <v>68</v>
      </c>
      <c r="N174" s="1032">
        <v>46073</v>
      </c>
      <c r="O174" s="1032" t="s">
        <v>70</v>
      </c>
      <c r="P174" s="1032" t="s">
        <v>585</v>
      </c>
      <c r="Q174" s="1032" t="s">
        <v>103</v>
      </c>
      <c r="R174" s="1032" t="s">
        <v>331</v>
      </c>
      <c r="S174" s="1032" t="s">
        <v>120</v>
      </c>
      <c r="T174" s="1032">
        <v>620</v>
      </c>
      <c r="U174" s="1032">
        <v>5760</v>
      </c>
      <c r="V174" s="1032">
        <v>3.5710000000000002</v>
      </c>
      <c r="W174" s="1032">
        <v>160</v>
      </c>
      <c r="X174" s="1032">
        <v>8</v>
      </c>
      <c r="Y174" s="1032" t="s">
        <v>75</v>
      </c>
      <c r="Z174" s="1032" t="s">
        <v>75</v>
      </c>
      <c r="AB174" s="1033">
        <v>46092</v>
      </c>
      <c r="AC174" s="1032">
        <v>11</v>
      </c>
      <c r="AD174" s="1032" t="s">
        <v>918</v>
      </c>
      <c r="AF174" s="1032" t="s">
        <v>122</v>
      </c>
      <c r="AG174" s="1032" t="s">
        <v>123</v>
      </c>
      <c r="AH174" s="1032" t="s">
        <v>105</v>
      </c>
      <c r="AI174" s="1033">
        <v>46096</v>
      </c>
      <c r="AJ174" s="1033">
        <v>46103</v>
      </c>
      <c r="AK174" s="1033">
        <v>46103</v>
      </c>
      <c r="AL174" s="1033">
        <v>46133</v>
      </c>
      <c r="AM174" s="1033">
        <v>46150</v>
      </c>
      <c r="AN174" s="1033">
        <v>46148</v>
      </c>
      <c r="AO174" s="1032" t="s">
        <v>402</v>
      </c>
      <c r="AP174" s="1032" t="s">
        <v>889</v>
      </c>
      <c r="AQ174" s="1032" t="s">
        <v>80</v>
      </c>
      <c r="AR174" s="1032" t="s">
        <v>919</v>
      </c>
      <c r="AS174" s="1032" t="s">
        <v>920</v>
      </c>
      <c r="AT174" s="1032" t="s">
        <v>920</v>
      </c>
      <c r="AU174" s="1032">
        <v>45</v>
      </c>
      <c r="AW174" s="1033">
        <v>46148</v>
      </c>
      <c r="AX174" s="1032" t="s">
        <v>84</v>
      </c>
      <c r="AY174" s="1033">
        <v>46164</v>
      </c>
      <c r="AZ174" s="1032">
        <v>7</v>
      </c>
      <c r="BA174" s="1033">
        <v>46155</v>
      </c>
      <c r="BB174" s="1032">
        <v>2026</v>
      </c>
      <c r="BC174" s="1032">
        <v>5</v>
      </c>
      <c r="BD174" s="1032">
        <v>20</v>
      </c>
      <c r="BE174" s="1032">
        <v>36</v>
      </c>
      <c r="BF174" s="1032">
        <v>720</v>
      </c>
      <c r="BG174" s="1032" t="s">
        <v>128</v>
      </c>
      <c r="BH174" s="1032" t="s">
        <v>109</v>
      </c>
    </row>
    <row r="175" spans="1:60">
      <c r="A175" s="1032" t="s">
        <v>921</v>
      </c>
      <c r="B175" s="1032" t="s">
        <v>61</v>
      </c>
      <c r="C175" s="1032" t="s">
        <v>922</v>
      </c>
      <c r="D175" s="1032" t="s">
        <v>63</v>
      </c>
      <c r="E175" s="1032" t="s">
        <v>64</v>
      </c>
      <c r="F175" s="1032" t="s">
        <v>100</v>
      </c>
      <c r="G175" s="1032" t="s">
        <v>402</v>
      </c>
      <c r="H175" s="1032" t="s">
        <v>67</v>
      </c>
      <c r="I175" s="1032" t="s">
        <v>689</v>
      </c>
      <c r="J175" s="1032" t="s">
        <v>923</v>
      </c>
      <c r="M175" s="1032" t="s">
        <v>68</v>
      </c>
      <c r="N175" s="1032">
        <v>46045</v>
      </c>
      <c r="O175" s="1032" t="s">
        <v>70</v>
      </c>
      <c r="P175" s="1032" t="s">
        <v>885</v>
      </c>
      <c r="Q175" s="1032" t="s">
        <v>886</v>
      </c>
      <c r="R175" s="1032" t="s">
        <v>73</v>
      </c>
      <c r="S175" s="1032" t="s">
        <v>120</v>
      </c>
      <c r="T175" s="1032">
        <v>615</v>
      </c>
      <c r="U175" s="1032">
        <v>720</v>
      </c>
      <c r="V175" s="1032">
        <v>0.443</v>
      </c>
      <c r="W175" s="1032">
        <v>20</v>
      </c>
      <c r="X175" s="1032">
        <v>1</v>
      </c>
      <c r="Y175" s="1032" t="s">
        <v>75</v>
      </c>
      <c r="Z175" s="1032" t="s">
        <v>75</v>
      </c>
      <c r="AB175" s="1033">
        <v>46091</v>
      </c>
      <c r="AC175" s="1032">
        <v>11</v>
      </c>
      <c r="AD175" s="1032" t="s">
        <v>924</v>
      </c>
      <c r="AF175" s="1032" t="s">
        <v>77</v>
      </c>
      <c r="AG175" s="1032" t="s">
        <v>61</v>
      </c>
      <c r="AH175" s="1032" t="s">
        <v>105</v>
      </c>
      <c r="AI175" s="1033">
        <v>46095</v>
      </c>
      <c r="AJ175" s="1033">
        <v>46095</v>
      </c>
      <c r="AK175" s="1033">
        <v>46095</v>
      </c>
      <c r="AL175" s="1033">
        <v>46142</v>
      </c>
      <c r="AM175" s="1033">
        <v>46154</v>
      </c>
      <c r="AN175" s="1033">
        <v>46157</v>
      </c>
      <c r="AP175" s="1032" t="s">
        <v>925</v>
      </c>
      <c r="AQ175" s="1032" t="s">
        <v>80</v>
      </c>
      <c r="AR175" s="1032" t="s">
        <v>926</v>
      </c>
      <c r="AS175" s="1032" t="s">
        <v>927</v>
      </c>
      <c r="AT175" s="1032" t="s">
        <v>927</v>
      </c>
      <c r="AU175" s="1032">
        <v>62</v>
      </c>
      <c r="AW175" s="1033">
        <v>46157</v>
      </c>
      <c r="AX175" s="1032" t="s">
        <v>84</v>
      </c>
      <c r="AY175" s="1033">
        <v>46171</v>
      </c>
      <c r="AZ175" s="1032">
        <v>7</v>
      </c>
      <c r="BA175" s="1033">
        <v>46164</v>
      </c>
      <c r="BB175" s="1032">
        <v>2026</v>
      </c>
      <c r="BC175" s="1032">
        <v>5</v>
      </c>
      <c r="BD175" s="1032">
        <v>21</v>
      </c>
      <c r="BE175" s="1032">
        <v>36</v>
      </c>
      <c r="BF175" s="1032">
        <v>720</v>
      </c>
      <c r="BG175" s="1032" t="s">
        <v>108</v>
      </c>
      <c r="BH175" s="1032" t="s">
        <v>109</v>
      </c>
    </row>
    <row r="176" spans="1:60">
      <c r="A176" s="1032" t="s">
        <v>584</v>
      </c>
      <c r="B176" s="1032" t="s">
        <v>111</v>
      </c>
      <c r="C176" s="1032" t="s">
        <v>203</v>
      </c>
      <c r="D176" s="1032" t="s">
        <v>113</v>
      </c>
      <c r="E176" s="1032" t="s">
        <v>64</v>
      </c>
      <c r="F176" s="1032" t="s">
        <v>65</v>
      </c>
      <c r="G176" s="1032" t="s">
        <v>402</v>
      </c>
      <c r="H176" s="1032" t="s">
        <v>67</v>
      </c>
      <c r="I176" s="1032" t="s">
        <v>689</v>
      </c>
      <c r="J176" s="1032" t="s">
        <v>928</v>
      </c>
      <c r="M176" s="1032" t="s">
        <v>68</v>
      </c>
      <c r="N176" s="1032">
        <v>46073</v>
      </c>
      <c r="O176" s="1032" t="s">
        <v>70</v>
      </c>
      <c r="P176" s="1032" t="s">
        <v>585</v>
      </c>
      <c r="Q176" s="1032" t="s">
        <v>103</v>
      </c>
      <c r="R176" s="1032" t="s">
        <v>331</v>
      </c>
      <c r="S176" s="1032" t="s">
        <v>120</v>
      </c>
      <c r="T176" s="1032">
        <v>620</v>
      </c>
      <c r="U176" s="1032">
        <v>108</v>
      </c>
      <c r="V176" s="1032">
        <v>6.7000000000000004E-2</v>
      </c>
      <c r="W176" s="1032">
        <v>3</v>
      </c>
      <c r="X176" s="1032">
        <v>0.2</v>
      </c>
      <c r="Y176" s="1032" t="s">
        <v>75</v>
      </c>
      <c r="Z176" s="1032" t="s">
        <v>75</v>
      </c>
      <c r="AB176" s="1033">
        <v>46100</v>
      </c>
      <c r="AC176" s="1032">
        <v>12</v>
      </c>
      <c r="AD176" s="1032" t="s">
        <v>929</v>
      </c>
      <c r="AF176" s="1032" t="s">
        <v>122</v>
      </c>
      <c r="AG176" s="1032" t="s">
        <v>123</v>
      </c>
      <c r="AH176" s="1032" t="s">
        <v>78</v>
      </c>
      <c r="AI176" s="1033">
        <v>46105</v>
      </c>
      <c r="AJ176" s="1033">
        <v>46105</v>
      </c>
      <c r="AK176" s="1033">
        <v>46105</v>
      </c>
      <c r="AL176" s="1033">
        <v>46154</v>
      </c>
      <c r="AM176" s="1033">
        <v>46151</v>
      </c>
      <c r="AN176" s="1033">
        <v>46151</v>
      </c>
      <c r="AO176" s="1032" t="s">
        <v>402</v>
      </c>
      <c r="AP176" s="1032" t="s">
        <v>930</v>
      </c>
      <c r="AQ176" s="1032" t="s">
        <v>80</v>
      </c>
      <c r="AR176" s="1032" t="s">
        <v>931</v>
      </c>
      <c r="AS176" s="1032" t="s">
        <v>932</v>
      </c>
      <c r="AT176" s="1032" t="s">
        <v>932</v>
      </c>
      <c r="AU176" s="1032">
        <v>46</v>
      </c>
      <c r="AW176" s="1033">
        <v>46151</v>
      </c>
      <c r="AX176" s="1032" t="s">
        <v>84</v>
      </c>
      <c r="AY176" s="1033">
        <v>46173</v>
      </c>
      <c r="AZ176" s="1032">
        <v>8</v>
      </c>
      <c r="BA176" s="1033">
        <v>46159</v>
      </c>
      <c r="BB176" s="1032">
        <v>2026</v>
      </c>
      <c r="BC176" s="1032">
        <v>5</v>
      </c>
      <c r="BD176" s="1032">
        <v>20</v>
      </c>
      <c r="BE176" s="1032">
        <v>36</v>
      </c>
      <c r="BF176" s="1032">
        <v>720</v>
      </c>
      <c r="BG176" s="1032" t="s">
        <v>128</v>
      </c>
      <c r="BH176" s="1032" t="s">
        <v>86</v>
      </c>
    </row>
    <row r="177" spans="1:60">
      <c r="A177" s="1032" t="s">
        <v>401</v>
      </c>
      <c r="B177" s="1032" t="s">
        <v>111</v>
      </c>
      <c r="C177" s="1032" t="s">
        <v>203</v>
      </c>
      <c r="D177" s="1032" t="s">
        <v>63</v>
      </c>
      <c r="E177" s="1032" t="s">
        <v>64</v>
      </c>
      <c r="F177" s="1032" t="s">
        <v>65</v>
      </c>
      <c r="G177" s="1032" t="s">
        <v>402</v>
      </c>
      <c r="H177" s="1032" t="s">
        <v>67</v>
      </c>
      <c r="I177" s="1032" t="s">
        <v>689</v>
      </c>
      <c r="J177" s="1032" t="s">
        <v>933</v>
      </c>
      <c r="M177" s="1032" t="s">
        <v>68</v>
      </c>
      <c r="N177" s="1032">
        <v>46045</v>
      </c>
      <c r="O177" s="1032" t="s">
        <v>132</v>
      </c>
      <c r="P177" s="1032" t="s">
        <v>405</v>
      </c>
      <c r="Q177" s="1032" t="s">
        <v>406</v>
      </c>
      <c r="R177" s="1032" t="s">
        <v>73</v>
      </c>
      <c r="S177" s="1032" t="s">
        <v>120</v>
      </c>
      <c r="T177" s="1032">
        <v>510</v>
      </c>
      <c r="U177" s="1032">
        <v>252</v>
      </c>
      <c r="V177" s="1032">
        <v>0.129</v>
      </c>
      <c r="W177" s="1032">
        <v>7</v>
      </c>
      <c r="X177" s="1032">
        <v>0.3</v>
      </c>
      <c r="Y177" s="1032" t="s">
        <v>75</v>
      </c>
      <c r="Z177" s="1032" t="s">
        <v>75</v>
      </c>
      <c r="AB177" s="1033">
        <v>46100</v>
      </c>
      <c r="AC177" s="1032">
        <v>12</v>
      </c>
      <c r="AD177" s="1032" t="s">
        <v>934</v>
      </c>
      <c r="AF177" s="1032" t="s">
        <v>122</v>
      </c>
      <c r="AG177" s="1032" t="s">
        <v>123</v>
      </c>
      <c r="AH177" s="1032" t="s">
        <v>78</v>
      </c>
      <c r="AI177" s="1033">
        <v>46105</v>
      </c>
      <c r="AJ177" s="1033">
        <v>46105</v>
      </c>
      <c r="AK177" s="1033">
        <v>46105</v>
      </c>
      <c r="AL177" s="1033">
        <v>46154</v>
      </c>
      <c r="AM177" s="1033">
        <v>46151</v>
      </c>
      <c r="AN177" s="1033">
        <v>46151</v>
      </c>
      <c r="AO177" s="1032" t="s">
        <v>402</v>
      </c>
      <c r="AP177" s="1032" t="s">
        <v>930</v>
      </c>
      <c r="AQ177" s="1032" t="s">
        <v>80</v>
      </c>
      <c r="AR177" s="1032" t="s">
        <v>931</v>
      </c>
      <c r="AS177" s="1032" t="s">
        <v>932</v>
      </c>
      <c r="AT177" s="1032" t="s">
        <v>932</v>
      </c>
      <c r="AU177" s="1032">
        <v>46</v>
      </c>
      <c r="AW177" s="1033">
        <v>46151</v>
      </c>
      <c r="AX177" s="1032" t="s">
        <v>84</v>
      </c>
      <c r="AY177" s="1033">
        <v>46173</v>
      </c>
      <c r="AZ177" s="1032">
        <v>8</v>
      </c>
      <c r="BA177" s="1033">
        <v>46159</v>
      </c>
      <c r="BB177" s="1032">
        <v>2026</v>
      </c>
      <c r="BC177" s="1032">
        <v>5</v>
      </c>
      <c r="BD177" s="1032">
        <v>20</v>
      </c>
      <c r="BE177" s="1032">
        <v>36</v>
      </c>
      <c r="BF177" s="1032">
        <v>792</v>
      </c>
      <c r="BG177" s="1032" t="s">
        <v>108</v>
      </c>
      <c r="BH177" s="1032" t="s">
        <v>86</v>
      </c>
    </row>
    <row r="178" spans="1:60">
      <c r="A178" s="1032" t="s">
        <v>935</v>
      </c>
      <c r="B178" s="1032" t="s">
        <v>61</v>
      </c>
      <c r="C178" s="1032" t="s">
        <v>922</v>
      </c>
      <c r="D178" s="1032" t="s">
        <v>63</v>
      </c>
      <c r="E178" s="1032" t="s">
        <v>64</v>
      </c>
      <c r="F178" s="1032" t="s">
        <v>100</v>
      </c>
      <c r="G178" s="1032" t="s">
        <v>402</v>
      </c>
      <c r="H178" s="1032" t="s">
        <v>67</v>
      </c>
      <c r="I178" s="1032" t="s">
        <v>689</v>
      </c>
      <c r="J178" s="1032" t="s">
        <v>923</v>
      </c>
      <c r="M178" s="1032" t="s">
        <v>68</v>
      </c>
      <c r="N178" s="1032">
        <v>46045</v>
      </c>
      <c r="O178" s="1032" t="s">
        <v>70</v>
      </c>
      <c r="P178" s="1032" t="s">
        <v>885</v>
      </c>
      <c r="Q178" s="1032" t="s">
        <v>886</v>
      </c>
      <c r="R178" s="1032" t="s">
        <v>73</v>
      </c>
      <c r="S178" s="1032" t="s">
        <v>120</v>
      </c>
      <c r="T178" s="1032">
        <v>615</v>
      </c>
      <c r="U178" s="1032">
        <v>720</v>
      </c>
      <c r="V178" s="1032">
        <v>0.443</v>
      </c>
      <c r="W178" s="1032">
        <v>20</v>
      </c>
      <c r="X178" s="1032">
        <v>1</v>
      </c>
      <c r="Y178" s="1032" t="s">
        <v>75</v>
      </c>
      <c r="Z178" s="1032" t="s">
        <v>75</v>
      </c>
      <c r="AB178" s="1033">
        <v>46098</v>
      </c>
      <c r="AC178" s="1032">
        <v>12</v>
      </c>
      <c r="AD178" s="1032" t="s">
        <v>936</v>
      </c>
      <c r="AF178" s="1032" t="s">
        <v>77</v>
      </c>
      <c r="AG178" s="1032" t="s">
        <v>61</v>
      </c>
      <c r="AH178" s="1032" t="s">
        <v>105</v>
      </c>
      <c r="AI178" s="1033">
        <v>46103</v>
      </c>
      <c r="AJ178" s="1033">
        <v>46103</v>
      </c>
      <c r="AK178" s="1033">
        <v>46103</v>
      </c>
      <c r="AL178" s="1033">
        <v>46147</v>
      </c>
      <c r="AM178" s="1033">
        <v>46154</v>
      </c>
      <c r="AN178" s="1033">
        <v>46157</v>
      </c>
      <c r="AO178" s="1032" t="s">
        <v>402</v>
      </c>
      <c r="AP178" s="1032" t="s">
        <v>937</v>
      </c>
      <c r="AQ178" s="1032" t="s">
        <v>80</v>
      </c>
      <c r="AR178" s="1032" t="s">
        <v>938</v>
      </c>
      <c r="AS178" s="1032" t="s">
        <v>939</v>
      </c>
      <c r="AT178" s="1032" t="s">
        <v>939</v>
      </c>
      <c r="AU178" s="1032">
        <v>54</v>
      </c>
      <c r="AW178" s="1033">
        <v>46157</v>
      </c>
      <c r="AX178" s="1032" t="s">
        <v>84</v>
      </c>
      <c r="AY178" s="1033">
        <v>46171</v>
      </c>
      <c r="AZ178" s="1032">
        <v>7</v>
      </c>
      <c r="BA178" s="1033">
        <v>46164</v>
      </c>
      <c r="BB178" s="1032">
        <v>2026</v>
      </c>
      <c r="BC178" s="1032">
        <v>5</v>
      </c>
      <c r="BD178" s="1032">
        <v>21</v>
      </c>
      <c r="BE178" s="1032">
        <v>36</v>
      </c>
      <c r="BF178" s="1032">
        <v>720</v>
      </c>
      <c r="BG178" s="1032" t="s">
        <v>108</v>
      </c>
      <c r="BH178" s="1032" t="s">
        <v>109</v>
      </c>
    </row>
    <row r="179" spans="1:60">
      <c r="A179" s="1032" t="s">
        <v>940</v>
      </c>
      <c r="B179" s="1032" t="s">
        <v>111</v>
      </c>
      <c r="C179" s="1032" t="s">
        <v>203</v>
      </c>
      <c r="D179" s="1032" t="s">
        <v>63</v>
      </c>
      <c r="E179" s="1032" t="s">
        <v>144</v>
      </c>
      <c r="F179" s="1032" t="s">
        <v>145</v>
      </c>
      <c r="G179" s="1032" t="s">
        <v>68</v>
      </c>
      <c r="H179" s="1032" t="s">
        <v>941</v>
      </c>
      <c r="I179" s="1032" t="s">
        <v>689</v>
      </c>
      <c r="J179" s="1032" t="s">
        <v>942</v>
      </c>
      <c r="M179" s="1032" t="s">
        <v>68</v>
      </c>
      <c r="N179" s="1032">
        <v>46045</v>
      </c>
      <c r="O179" s="1032" t="s">
        <v>70</v>
      </c>
      <c r="P179" s="1032" t="s">
        <v>943</v>
      </c>
      <c r="Q179" s="1032" t="s">
        <v>886</v>
      </c>
      <c r="R179" s="1032" t="s">
        <v>73</v>
      </c>
      <c r="S179" s="1032" t="s">
        <v>74</v>
      </c>
      <c r="T179" s="1032">
        <v>615</v>
      </c>
      <c r="U179" s="1032">
        <v>1440</v>
      </c>
      <c r="V179" s="1032">
        <v>0.88600000000000001</v>
      </c>
      <c r="W179" s="1032">
        <v>40</v>
      </c>
      <c r="X179" s="1032">
        <v>2</v>
      </c>
      <c r="Y179" s="1032" t="s">
        <v>75</v>
      </c>
      <c r="Z179" s="1032" t="s">
        <v>75</v>
      </c>
      <c r="AB179" s="1033">
        <v>46112</v>
      </c>
      <c r="AC179" s="1032">
        <v>14</v>
      </c>
      <c r="AD179" s="1032" t="s">
        <v>944</v>
      </c>
      <c r="AE179" s="1032" t="s">
        <v>68</v>
      </c>
      <c r="AF179" s="1032" t="s">
        <v>945</v>
      </c>
      <c r="AG179" s="1032" t="s">
        <v>123</v>
      </c>
      <c r="AH179" s="1032" t="s">
        <v>946</v>
      </c>
      <c r="AI179" s="1033">
        <v>46112</v>
      </c>
      <c r="AJ179" s="1033">
        <v>46113</v>
      </c>
      <c r="AK179" s="1033">
        <v>46115</v>
      </c>
      <c r="AL179" s="1033">
        <v>46118</v>
      </c>
      <c r="AM179" s="1033">
        <v>46126</v>
      </c>
      <c r="AN179" s="1033">
        <v>46127</v>
      </c>
      <c r="AO179" s="1032" t="s">
        <v>402</v>
      </c>
      <c r="AP179" s="1032" t="s">
        <v>947</v>
      </c>
      <c r="AQ179" s="1032" t="s">
        <v>161</v>
      </c>
      <c r="AR179" s="1032" t="s">
        <v>944</v>
      </c>
      <c r="AS179" s="1032" t="s">
        <v>948</v>
      </c>
      <c r="AT179" s="1032" t="s">
        <v>948</v>
      </c>
      <c r="AU179" s="1032">
        <v>12</v>
      </c>
      <c r="AW179" s="1033">
        <v>46127</v>
      </c>
      <c r="AX179" s="1032" t="s">
        <v>152</v>
      </c>
      <c r="AZ179" s="1032" t="s">
        <v>515</v>
      </c>
      <c r="BA179" s="1033">
        <v>46127</v>
      </c>
      <c r="BB179" s="1032">
        <v>2026</v>
      </c>
      <c r="BC179" s="1032">
        <v>4</v>
      </c>
      <c r="BD179" s="1032">
        <v>16</v>
      </c>
      <c r="BE179" s="1032">
        <v>36</v>
      </c>
      <c r="BF179" s="1032">
        <v>720</v>
      </c>
      <c r="BG179" s="1032" t="s">
        <v>108</v>
      </c>
      <c r="BH179" s="1032" t="s">
        <v>68</v>
      </c>
    </row>
    <row r="180" spans="1:60">
      <c r="A180" s="1032" t="s">
        <v>922</v>
      </c>
      <c r="B180" s="1032" t="s">
        <v>61</v>
      </c>
      <c r="C180" s="1032" t="s">
        <v>203</v>
      </c>
      <c r="D180" s="1032" t="s">
        <v>63</v>
      </c>
      <c r="E180" s="1032" t="s">
        <v>144</v>
      </c>
      <c r="F180" s="1032" t="s">
        <v>145</v>
      </c>
      <c r="G180" s="1032" t="s">
        <v>156</v>
      </c>
      <c r="H180" s="1032" t="s">
        <v>941</v>
      </c>
      <c r="I180" s="1032" t="s">
        <v>68</v>
      </c>
      <c r="J180" s="1032" t="s">
        <v>949</v>
      </c>
      <c r="K180" s="1032" t="s">
        <v>950</v>
      </c>
      <c r="M180" s="1032" t="s">
        <v>68</v>
      </c>
      <c r="N180" s="1032">
        <v>46045</v>
      </c>
      <c r="O180" s="1032" t="s">
        <v>70</v>
      </c>
      <c r="P180" s="1032" t="s">
        <v>885</v>
      </c>
      <c r="Q180" s="1032" t="s">
        <v>886</v>
      </c>
      <c r="R180" s="1032" t="s">
        <v>73</v>
      </c>
      <c r="S180" s="1032" t="s">
        <v>120</v>
      </c>
      <c r="T180" s="1032">
        <v>615</v>
      </c>
      <c r="U180" s="1032">
        <v>3600</v>
      </c>
      <c r="V180" s="1032">
        <v>2.214</v>
      </c>
      <c r="W180" s="1032">
        <v>100</v>
      </c>
      <c r="X180" s="1032">
        <v>5</v>
      </c>
      <c r="Y180" s="1032" t="s">
        <v>75</v>
      </c>
      <c r="Z180" s="1032" t="s">
        <v>951</v>
      </c>
      <c r="AA180" s="1032" t="s">
        <v>197</v>
      </c>
      <c r="AB180" s="1033">
        <v>46058</v>
      </c>
      <c r="AC180" s="1032">
        <v>6</v>
      </c>
      <c r="AD180" s="1032" t="s">
        <v>952</v>
      </c>
      <c r="AE180" s="1032" t="s">
        <v>68</v>
      </c>
      <c r="AF180" s="1032" t="s">
        <v>77</v>
      </c>
      <c r="AG180" s="1032" t="s">
        <v>61</v>
      </c>
      <c r="AH180" s="1032" t="s">
        <v>953</v>
      </c>
      <c r="AI180" s="1033">
        <v>46070</v>
      </c>
      <c r="AJ180" s="1033">
        <v>46071</v>
      </c>
      <c r="AK180" s="1033">
        <v>46071</v>
      </c>
      <c r="AL180" s="1033">
        <v>46101</v>
      </c>
      <c r="AM180" s="1033" t="s">
        <v>197</v>
      </c>
      <c r="AN180" s="1033" t="s">
        <v>197</v>
      </c>
      <c r="AO180" s="1032" t="s">
        <v>156</v>
      </c>
      <c r="AP180" s="1032" t="s">
        <v>954</v>
      </c>
      <c r="AQ180" s="1032" t="s">
        <v>161</v>
      </c>
      <c r="AR180" s="1032" t="s">
        <v>952</v>
      </c>
      <c r="AS180" s="1032" t="s">
        <v>955</v>
      </c>
      <c r="AT180" s="1032" t="s">
        <v>956</v>
      </c>
      <c r="AU180" s="1032">
        <v>0</v>
      </c>
      <c r="AV180" s="1032" t="s">
        <v>197</v>
      </c>
      <c r="AW180" s="1033">
        <v>46101</v>
      </c>
      <c r="AX180" s="1032" t="s">
        <v>152</v>
      </c>
      <c r="AY180" s="1033" t="s">
        <v>197</v>
      </c>
      <c r="AZ180" s="1032" t="s">
        <v>515</v>
      </c>
      <c r="BA180" s="1033">
        <v>46101</v>
      </c>
      <c r="BB180" s="1032">
        <v>2026</v>
      </c>
      <c r="BC180" s="1032">
        <v>3</v>
      </c>
      <c r="BD180" s="1032">
        <v>12</v>
      </c>
      <c r="BE180" s="1032">
        <v>36</v>
      </c>
      <c r="BF180" s="1032">
        <v>720</v>
      </c>
      <c r="BG180" s="1032" t="s">
        <v>108</v>
      </c>
      <c r="BH180" s="1032" t="s">
        <v>68</v>
      </c>
    </row>
    <row r="181" spans="1:60">
      <c r="A181" s="1032" t="s">
        <v>957</v>
      </c>
      <c r="B181" s="1032" t="s">
        <v>111</v>
      </c>
      <c r="C181" s="1032" t="s">
        <v>130</v>
      </c>
      <c r="D181" s="1032" t="s">
        <v>63</v>
      </c>
      <c r="E181" s="1032" t="s">
        <v>144</v>
      </c>
      <c r="F181" s="1032" t="s">
        <v>145</v>
      </c>
      <c r="G181" s="1032" t="s">
        <v>156</v>
      </c>
      <c r="H181" s="1032" t="s">
        <v>941</v>
      </c>
      <c r="I181" s="1032" t="s">
        <v>68</v>
      </c>
      <c r="J181" s="1032" t="s">
        <v>949</v>
      </c>
      <c r="K181" s="1032" t="s">
        <v>950</v>
      </c>
      <c r="M181" s="1032" t="s">
        <v>68</v>
      </c>
      <c r="N181" s="1032" t="s">
        <v>68</v>
      </c>
      <c r="O181" s="1032" t="s">
        <v>132</v>
      </c>
      <c r="P181" s="1032" t="s">
        <v>133</v>
      </c>
      <c r="Q181" s="1032" t="s">
        <v>134</v>
      </c>
      <c r="R181" s="1032" t="s">
        <v>73</v>
      </c>
      <c r="S181" s="1032" t="s">
        <v>120</v>
      </c>
      <c r="T181" s="1032">
        <v>720</v>
      </c>
      <c r="U181" s="1032">
        <v>1188</v>
      </c>
      <c r="V181" s="1032">
        <v>0.85499999999999998</v>
      </c>
      <c r="W181" s="1032">
        <v>36</v>
      </c>
      <c r="X181" s="1032">
        <v>2</v>
      </c>
      <c r="Y181" s="1032" t="s">
        <v>75</v>
      </c>
      <c r="Z181" s="1032" t="s">
        <v>75</v>
      </c>
      <c r="AB181" s="1033">
        <v>46063</v>
      </c>
      <c r="AC181" s="1032">
        <v>7</v>
      </c>
      <c r="AD181" s="1032" t="s">
        <v>958</v>
      </c>
      <c r="AE181" s="1032" t="s">
        <v>68</v>
      </c>
      <c r="AF181" s="1032" t="s">
        <v>122</v>
      </c>
      <c r="AG181" s="1032" t="s">
        <v>123</v>
      </c>
      <c r="AH181" s="1032" t="s">
        <v>953</v>
      </c>
      <c r="AI181" s="1033">
        <v>46070</v>
      </c>
      <c r="AJ181" s="1033">
        <v>46084</v>
      </c>
      <c r="AK181" s="1033">
        <v>46084</v>
      </c>
      <c r="AL181" s="1033">
        <v>46093</v>
      </c>
      <c r="AM181" s="1033">
        <v>46114</v>
      </c>
      <c r="AN181" s="1033">
        <v>46114</v>
      </c>
      <c r="AO181" s="1032" t="s">
        <v>156</v>
      </c>
      <c r="AP181" s="1032" t="s">
        <v>959</v>
      </c>
      <c r="AQ181" s="1032" t="s">
        <v>161</v>
      </c>
      <c r="AR181" s="1032" t="s">
        <v>958</v>
      </c>
      <c r="AS181" s="1032" t="s">
        <v>960</v>
      </c>
      <c r="AT181" s="1032" t="s">
        <v>961</v>
      </c>
      <c r="AU181" s="1032">
        <v>30</v>
      </c>
      <c r="AW181" s="1033">
        <v>46114</v>
      </c>
      <c r="AX181" s="1032" t="s">
        <v>152</v>
      </c>
      <c r="AZ181" s="1032" t="s">
        <v>515</v>
      </c>
      <c r="BA181" s="1033">
        <v>46114</v>
      </c>
      <c r="BB181" s="1032">
        <v>2026</v>
      </c>
      <c r="BC181" s="1032">
        <v>4</v>
      </c>
      <c r="BD181" s="1032">
        <v>14</v>
      </c>
      <c r="BE181" s="1032">
        <v>33</v>
      </c>
      <c r="BF181" s="1032">
        <v>594</v>
      </c>
      <c r="BG181" s="1032" t="s">
        <v>108</v>
      </c>
      <c r="BH181" s="1032" t="s">
        <v>68</v>
      </c>
    </row>
    <row r="182" spans="1:60">
      <c r="A182" s="1032" t="s">
        <v>962</v>
      </c>
      <c r="B182" s="1032" t="s">
        <v>61</v>
      </c>
      <c r="C182" s="1032" t="s">
        <v>963</v>
      </c>
      <c r="D182" s="1032" t="s">
        <v>63</v>
      </c>
      <c r="E182" s="1032" t="s">
        <v>144</v>
      </c>
      <c r="F182" s="1032" t="s">
        <v>145</v>
      </c>
      <c r="G182" s="1032" t="s">
        <v>402</v>
      </c>
      <c r="H182" s="1032" t="s">
        <v>526</v>
      </c>
      <c r="I182" s="1032" t="s">
        <v>68</v>
      </c>
      <c r="J182" s="1032" t="s">
        <v>527</v>
      </c>
      <c r="K182" s="1032" t="s">
        <v>964</v>
      </c>
      <c r="M182" s="1032" t="s">
        <v>68</v>
      </c>
      <c r="N182" s="1032" t="s">
        <v>68</v>
      </c>
      <c r="O182" s="1032" t="s">
        <v>70</v>
      </c>
      <c r="P182" s="1032" t="s">
        <v>965</v>
      </c>
      <c r="Q182" s="1032" t="s">
        <v>966</v>
      </c>
      <c r="R182" s="1032" t="s">
        <v>73</v>
      </c>
      <c r="S182" s="1032" t="s">
        <v>967</v>
      </c>
      <c r="T182" s="1032">
        <v>455</v>
      </c>
      <c r="U182" s="1032">
        <v>9360</v>
      </c>
      <c r="V182" s="1032">
        <v>4.2587999999999999</v>
      </c>
      <c r="W182" s="1032">
        <v>260</v>
      </c>
      <c r="X182" s="1032">
        <v>10</v>
      </c>
      <c r="Y182" s="1032" t="s">
        <v>75</v>
      </c>
      <c r="Z182" s="1032" t="s">
        <v>75</v>
      </c>
      <c r="AB182" s="1033">
        <v>46047</v>
      </c>
      <c r="AC182" s="1032">
        <v>4</v>
      </c>
      <c r="AD182" s="1032" t="s">
        <v>968</v>
      </c>
      <c r="AF182" s="1032" t="s">
        <v>77</v>
      </c>
      <c r="AG182" s="1032" t="s">
        <v>61</v>
      </c>
      <c r="AH182" s="1032" t="s">
        <v>532</v>
      </c>
      <c r="AI182" s="1033">
        <v>46053</v>
      </c>
      <c r="AK182" s="1033">
        <v>46057</v>
      </c>
      <c r="AL182" s="1033">
        <v>46120</v>
      </c>
      <c r="AM182" s="1033">
        <v>46127</v>
      </c>
      <c r="AN182" s="1033">
        <v>46127</v>
      </c>
      <c r="AO182" s="1032" t="s">
        <v>402</v>
      </c>
      <c r="AP182" s="1032" t="s">
        <v>969</v>
      </c>
      <c r="AQ182" s="1032" t="s">
        <v>161</v>
      </c>
      <c r="AR182" s="1032" t="s">
        <v>970</v>
      </c>
      <c r="AS182" s="1032" t="s">
        <v>971</v>
      </c>
      <c r="AT182" s="1032" t="s">
        <v>972</v>
      </c>
      <c r="AU182" s="1032">
        <v>70</v>
      </c>
      <c r="AW182" s="1033">
        <v>46127</v>
      </c>
      <c r="AX182" s="1032" t="s">
        <v>973</v>
      </c>
      <c r="AY182" s="1033">
        <v>46133</v>
      </c>
      <c r="AZ182" s="1032">
        <v>0</v>
      </c>
      <c r="BA182" s="1033">
        <v>46127</v>
      </c>
      <c r="BB182" s="1032">
        <v>2026</v>
      </c>
      <c r="BC182" s="1032">
        <v>4</v>
      </c>
      <c r="BD182" s="1032">
        <v>16</v>
      </c>
      <c r="BE182" s="1032">
        <v>36</v>
      </c>
      <c r="BF182" s="1032">
        <v>936</v>
      </c>
      <c r="BG182" s="1032" t="s">
        <v>85</v>
      </c>
      <c r="BH182" s="1032" t="s">
        <v>109</v>
      </c>
    </row>
    <row r="183" spans="1:60">
      <c r="A183" s="1032" t="s">
        <v>974</v>
      </c>
      <c r="B183" s="1032" t="s">
        <v>61</v>
      </c>
      <c r="C183" s="1032" t="s">
        <v>963</v>
      </c>
      <c r="D183" s="1032" t="s">
        <v>63</v>
      </c>
      <c r="E183" s="1032" t="s">
        <v>64</v>
      </c>
      <c r="F183" s="1032" t="s">
        <v>100</v>
      </c>
      <c r="G183" s="1032" t="s">
        <v>66</v>
      </c>
      <c r="H183" s="1032" t="s">
        <v>67</v>
      </c>
      <c r="I183" s="1032" t="s">
        <v>68</v>
      </c>
      <c r="J183" s="1032" t="s">
        <v>419</v>
      </c>
      <c r="M183" s="1032" t="s">
        <v>68</v>
      </c>
      <c r="N183" s="1032" t="s">
        <v>68</v>
      </c>
      <c r="O183" s="1032" t="s">
        <v>70</v>
      </c>
      <c r="P183" s="1032" t="s">
        <v>965</v>
      </c>
      <c r="Q183" s="1032" t="s">
        <v>966</v>
      </c>
      <c r="R183" s="1032" t="s">
        <v>73</v>
      </c>
      <c r="S183" s="1032" t="s">
        <v>967</v>
      </c>
      <c r="T183" s="1032">
        <v>455</v>
      </c>
      <c r="U183" s="1032">
        <v>3744</v>
      </c>
      <c r="V183" s="1032">
        <v>1.7035199999999999</v>
      </c>
      <c r="W183" s="1032">
        <v>104</v>
      </c>
      <c r="X183" s="1032">
        <v>4</v>
      </c>
      <c r="Y183" s="1032" t="s">
        <v>75</v>
      </c>
      <c r="Z183" s="1032" t="s">
        <v>75</v>
      </c>
      <c r="AB183" s="1033">
        <v>46043</v>
      </c>
      <c r="AC183" s="1032">
        <v>4</v>
      </c>
      <c r="AD183" s="1032" t="s">
        <v>975</v>
      </c>
      <c r="AF183" s="1032" t="s">
        <v>77</v>
      </c>
      <c r="AG183" s="1032" t="s">
        <v>61</v>
      </c>
      <c r="AH183" s="1032" t="s">
        <v>105</v>
      </c>
      <c r="AI183" s="1033">
        <v>46054</v>
      </c>
      <c r="AJ183" s="1033">
        <v>46054</v>
      </c>
      <c r="AK183" s="1033">
        <v>46055</v>
      </c>
      <c r="AL183" s="1033">
        <v>46094</v>
      </c>
      <c r="AM183" s="1033">
        <v>46109</v>
      </c>
      <c r="AN183" s="1033">
        <v>46118</v>
      </c>
      <c r="AO183" s="1032" t="s">
        <v>66</v>
      </c>
      <c r="AP183" s="1032" t="s">
        <v>580</v>
      </c>
      <c r="AQ183" s="1032" t="s">
        <v>80</v>
      </c>
      <c r="AR183" s="1032" t="s">
        <v>976</v>
      </c>
      <c r="AS183" s="1032" t="s">
        <v>977</v>
      </c>
      <c r="AT183" s="1032" t="s">
        <v>977</v>
      </c>
      <c r="AU183" s="1032">
        <v>63</v>
      </c>
      <c r="AW183" s="1033">
        <v>46118</v>
      </c>
      <c r="AX183" s="1032" t="s">
        <v>973</v>
      </c>
      <c r="AY183" s="1033">
        <v>46124</v>
      </c>
      <c r="AZ183" s="1032">
        <v>7</v>
      </c>
      <c r="BA183" s="1033">
        <v>46125</v>
      </c>
      <c r="BB183" s="1032">
        <v>2026</v>
      </c>
      <c r="BC183" s="1032">
        <v>4</v>
      </c>
      <c r="BD183" s="1032">
        <v>16</v>
      </c>
      <c r="BE183" s="1032">
        <v>36</v>
      </c>
      <c r="BF183" s="1032">
        <v>936</v>
      </c>
      <c r="BG183" s="1032" t="s">
        <v>85</v>
      </c>
      <c r="BH183" s="1032" t="s">
        <v>109</v>
      </c>
    </row>
    <row r="184" spans="1:60">
      <c r="A184" s="1032" t="s">
        <v>978</v>
      </c>
      <c r="B184" s="1032" t="s">
        <v>61</v>
      </c>
      <c r="C184" s="1032" t="s">
        <v>963</v>
      </c>
      <c r="D184" s="1032" t="s">
        <v>63</v>
      </c>
      <c r="E184" s="1032" t="s">
        <v>64</v>
      </c>
      <c r="F184" s="1032" t="s">
        <v>100</v>
      </c>
      <c r="G184" s="1032" t="s">
        <v>66</v>
      </c>
      <c r="H184" s="1032" t="s">
        <v>67</v>
      </c>
      <c r="I184" s="1032" t="s">
        <v>68</v>
      </c>
      <c r="J184" s="1032" t="s">
        <v>979</v>
      </c>
      <c r="K184" s="1032" t="s">
        <v>980</v>
      </c>
      <c r="M184" s="1032" t="s">
        <v>68</v>
      </c>
      <c r="N184" s="1032" t="s">
        <v>68</v>
      </c>
      <c r="O184" s="1032" t="s">
        <v>70</v>
      </c>
      <c r="P184" s="1032" t="s">
        <v>965</v>
      </c>
      <c r="Q184" s="1032" t="s">
        <v>966</v>
      </c>
      <c r="R184" s="1032" t="s">
        <v>73</v>
      </c>
      <c r="S184" s="1032" t="s">
        <v>967</v>
      </c>
      <c r="T184" s="1032">
        <v>455</v>
      </c>
      <c r="U184" s="1032">
        <v>2808</v>
      </c>
      <c r="V184" s="1032">
        <v>1.2776400000000001</v>
      </c>
      <c r="W184" s="1032">
        <v>78</v>
      </c>
      <c r="X184" s="1032">
        <v>3</v>
      </c>
      <c r="Y184" s="1032" t="s">
        <v>75</v>
      </c>
      <c r="Z184" s="1032" t="s">
        <v>75</v>
      </c>
      <c r="AB184" s="1033">
        <v>46043</v>
      </c>
      <c r="AC184" s="1032">
        <v>4</v>
      </c>
      <c r="AD184" s="1032" t="s">
        <v>981</v>
      </c>
      <c r="AF184" s="1032" t="s">
        <v>77</v>
      </c>
      <c r="AG184" s="1032" t="s">
        <v>61</v>
      </c>
      <c r="AH184" s="1032" t="s">
        <v>105</v>
      </c>
      <c r="AI184" s="1033">
        <v>46054</v>
      </c>
      <c r="AJ184" s="1033">
        <v>46054</v>
      </c>
      <c r="AK184" s="1033">
        <v>46055</v>
      </c>
      <c r="AL184" s="1033">
        <v>46094</v>
      </c>
      <c r="AM184" s="1033">
        <v>46109</v>
      </c>
      <c r="AN184" s="1033">
        <v>46118</v>
      </c>
      <c r="AO184" s="1032" t="s">
        <v>66</v>
      </c>
      <c r="AP184" s="1032" t="s">
        <v>580</v>
      </c>
      <c r="AQ184" s="1032" t="s">
        <v>80</v>
      </c>
      <c r="AR184" s="1032" t="s">
        <v>982</v>
      </c>
      <c r="AS184" s="1032" t="s">
        <v>983</v>
      </c>
      <c r="AT184" s="1032" t="s">
        <v>983</v>
      </c>
      <c r="AU184" s="1032">
        <v>63</v>
      </c>
      <c r="AW184" s="1033">
        <v>46118</v>
      </c>
      <c r="AX184" s="1032" t="s">
        <v>973</v>
      </c>
      <c r="AY184" s="1033">
        <v>46128</v>
      </c>
      <c r="AZ184" s="1032">
        <v>7</v>
      </c>
      <c r="BA184" s="1033">
        <v>46125</v>
      </c>
      <c r="BB184" s="1032">
        <v>2026</v>
      </c>
      <c r="BC184" s="1032">
        <v>4</v>
      </c>
      <c r="BD184" s="1032">
        <v>16</v>
      </c>
      <c r="BE184" s="1032">
        <v>36</v>
      </c>
      <c r="BF184" s="1032">
        <v>936</v>
      </c>
      <c r="BG184" s="1032" t="s">
        <v>85</v>
      </c>
      <c r="BH184" s="1032" t="s">
        <v>109</v>
      </c>
    </row>
    <row r="185" spans="1:60">
      <c r="A185" s="1032" t="s">
        <v>984</v>
      </c>
      <c r="B185" s="1032" t="s">
        <v>61</v>
      </c>
      <c r="C185" s="1032" t="s">
        <v>985</v>
      </c>
      <c r="D185" s="1032" t="s">
        <v>63</v>
      </c>
      <c r="E185" s="1032" t="s">
        <v>64</v>
      </c>
      <c r="F185" s="1032" t="s">
        <v>100</v>
      </c>
      <c r="G185" s="1032" t="s">
        <v>66</v>
      </c>
      <c r="H185" s="1032" t="s">
        <v>67</v>
      </c>
      <c r="I185" s="1032" t="s">
        <v>68</v>
      </c>
      <c r="J185" s="1032" t="s">
        <v>578</v>
      </c>
      <c r="M185" s="1032" t="s">
        <v>68</v>
      </c>
      <c r="N185" s="1032" t="s">
        <v>68</v>
      </c>
      <c r="O185" s="1032" t="s">
        <v>70</v>
      </c>
      <c r="P185" s="1032" t="s">
        <v>195</v>
      </c>
      <c r="Q185" s="1032" t="s">
        <v>196</v>
      </c>
      <c r="R185" s="1032" t="s">
        <v>73</v>
      </c>
      <c r="S185" s="1032" t="s">
        <v>967</v>
      </c>
      <c r="T185" s="1032">
        <v>450</v>
      </c>
      <c r="U185" s="1032">
        <v>1872</v>
      </c>
      <c r="V185" s="1032">
        <v>0.84240000000000004</v>
      </c>
      <c r="W185" s="1032">
        <v>52</v>
      </c>
      <c r="X185" s="1032">
        <v>2</v>
      </c>
      <c r="Y185" s="1032" t="s">
        <v>75</v>
      </c>
      <c r="Z185" s="1032" t="s">
        <v>75</v>
      </c>
      <c r="AA185" s="1032" t="s">
        <v>986</v>
      </c>
      <c r="AB185" s="1033">
        <v>46043</v>
      </c>
      <c r="AC185" s="1032">
        <v>4</v>
      </c>
      <c r="AD185" s="1032" t="s">
        <v>987</v>
      </c>
      <c r="AF185" s="1032" t="s">
        <v>77</v>
      </c>
      <c r="AG185" s="1032" t="s">
        <v>61</v>
      </c>
      <c r="AH185" s="1032" t="s">
        <v>105</v>
      </c>
      <c r="AI185" s="1033">
        <v>46054</v>
      </c>
      <c r="AJ185" s="1033">
        <v>46054</v>
      </c>
      <c r="AK185" s="1033">
        <v>46055</v>
      </c>
      <c r="AL185" s="1033">
        <v>46094</v>
      </c>
      <c r="AM185" s="1033">
        <v>46116</v>
      </c>
      <c r="AN185" s="1033">
        <v>46118</v>
      </c>
      <c r="AO185" s="1032" t="s">
        <v>66</v>
      </c>
      <c r="AP185" s="1032" t="s">
        <v>580</v>
      </c>
      <c r="AQ185" s="1032" t="s">
        <v>80</v>
      </c>
      <c r="AR185" s="1032" t="s">
        <v>988</v>
      </c>
      <c r="AS185" s="1032" t="s">
        <v>989</v>
      </c>
      <c r="AT185" s="1032" t="s">
        <v>989</v>
      </c>
      <c r="AU185" s="1032">
        <v>63</v>
      </c>
      <c r="AW185" s="1033">
        <v>46118</v>
      </c>
      <c r="AX185" s="1032" t="s">
        <v>973</v>
      </c>
      <c r="AY185" s="1033">
        <v>46128</v>
      </c>
      <c r="AZ185" s="1032">
        <v>7</v>
      </c>
      <c r="BA185" s="1033">
        <v>46125</v>
      </c>
      <c r="BB185" s="1032">
        <v>2026</v>
      </c>
      <c r="BC185" s="1032">
        <v>4</v>
      </c>
      <c r="BD185" s="1032">
        <v>16</v>
      </c>
      <c r="BE185" s="1032">
        <v>36</v>
      </c>
      <c r="BF185" s="1032">
        <v>936</v>
      </c>
      <c r="BG185" s="1032" t="s">
        <v>85</v>
      </c>
      <c r="BH185" s="1032" t="s">
        <v>109</v>
      </c>
    </row>
    <row r="186" spans="1:60">
      <c r="A186" s="1032" t="s">
        <v>990</v>
      </c>
      <c r="B186" s="1032" t="s">
        <v>111</v>
      </c>
      <c r="C186" s="1032" t="s">
        <v>991</v>
      </c>
      <c r="D186" s="1032" t="s">
        <v>63</v>
      </c>
      <c r="E186" s="1032" t="s">
        <v>64</v>
      </c>
      <c r="F186" s="1032" t="s">
        <v>100</v>
      </c>
      <c r="G186" s="1032" t="s">
        <v>402</v>
      </c>
      <c r="H186" s="1032" t="s">
        <v>67</v>
      </c>
      <c r="I186" s="1032" t="s">
        <v>68</v>
      </c>
      <c r="J186" s="1032" t="s">
        <v>101</v>
      </c>
      <c r="M186" s="1032" t="s">
        <v>68</v>
      </c>
      <c r="N186" s="1032">
        <v>46048</v>
      </c>
      <c r="O186" s="1032" t="s">
        <v>132</v>
      </c>
      <c r="P186" s="1032" t="s">
        <v>133</v>
      </c>
      <c r="Q186" s="1032" t="s">
        <v>134</v>
      </c>
      <c r="R186" s="1032" t="s">
        <v>73</v>
      </c>
      <c r="S186" s="1032" t="s">
        <v>992</v>
      </c>
      <c r="T186" s="1032">
        <v>720</v>
      </c>
      <c r="U186" s="1032">
        <v>2376</v>
      </c>
      <c r="V186" s="1032">
        <v>1.71072</v>
      </c>
      <c r="W186" s="1032">
        <v>72</v>
      </c>
      <c r="X186" s="1032">
        <v>4</v>
      </c>
      <c r="Y186" s="1032" t="s">
        <v>75</v>
      </c>
      <c r="Z186" s="1032" t="s">
        <v>75</v>
      </c>
      <c r="AB186" s="1033">
        <v>46057</v>
      </c>
      <c r="AC186" s="1032">
        <v>6</v>
      </c>
      <c r="AD186" s="1032" t="s">
        <v>993</v>
      </c>
      <c r="AF186" s="1032" t="s">
        <v>122</v>
      </c>
      <c r="AG186" s="1032" t="s">
        <v>123</v>
      </c>
      <c r="AH186" s="1032" t="s">
        <v>105</v>
      </c>
      <c r="AI186" s="1033">
        <v>46062</v>
      </c>
      <c r="AJ186" s="1033">
        <v>46067</v>
      </c>
      <c r="AK186" s="1033">
        <v>46069</v>
      </c>
      <c r="AL186" s="1033">
        <v>46099</v>
      </c>
      <c r="AM186" s="1033">
        <v>46126</v>
      </c>
      <c r="AN186" s="1033">
        <v>46127</v>
      </c>
      <c r="AO186" s="1032" t="s">
        <v>402</v>
      </c>
      <c r="AP186" s="1032" t="s">
        <v>731</v>
      </c>
      <c r="AQ186" s="1032" t="s">
        <v>80</v>
      </c>
      <c r="AR186" s="1032" t="s">
        <v>732</v>
      </c>
      <c r="AS186" s="1032" t="s">
        <v>733</v>
      </c>
      <c r="AT186" s="1032" t="s">
        <v>733</v>
      </c>
      <c r="AU186" s="1032">
        <v>58</v>
      </c>
      <c r="AW186" s="1033">
        <v>46127</v>
      </c>
      <c r="AX186" s="1032" t="s">
        <v>973</v>
      </c>
      <c r="AY186" s="1033">
        <v>46133</v>
      </c>
      <c r="AZ186" s="1032">
        <v>7</v>
      </c>
      <c r="BA186" s="1033">
        <v>46134</v>
      </c>
      <c r="BB186" s="1032">
        <v>2026</v>
      </c>
      <c r="BC186" s="1032">
        <v>4</v>
      </c>
      <c r="BD186" s="1032">
        <v>17</v>
      </c>
      <c r="BE186" s="1032">
        <v>33</v>
      </c>
      <c r="BF186" s="1032">
        <v>594</v>
      </c>
      <c r="BG186" s="1032" t="s">
        <v>108</v>
      </c>
      <c r="BH186" s="1032" t="s">
        <v>109</v>
      </c>
    </row>
    <row r="187" spans="1:60">
      <c r="A187" s="1032" t="s">
        <v>994</v>
      </c>
      <c r="B187" s="1032" t="s">
        <v>111</v>
      </c>
      <c r="C187" s="1032" t="s">
        <v>991</v>
      </c>
      <c r="D187" s="1032" t="s">
        <v>63</v>
      </c>
      <c r="E187" s="1032" t="s">
        <v>64</v>
      </c>
      <c r="F187" s="1032" t="s">
        <v>100</v>
      </c>
      <c r="G187" s="1032" t="s">
        <v>402</v>
      </c>
      <c r="H187" s="1032" t="s">
        <v>67</v>
      </c>
      <c r="I187" s="1032" t="s">
        <v>68</v>
      </c>
      <c r="J187" s="1032" t="s">
        <v>995</v>
      </c>
      <c r="M187" s="1032" t="s">
        <v>68</v>
      </c>
      <c r="N187" s="1032">
        <v>46048</v>
      </c>
      <c r="O187" s="1032" t="s">
        <v>132</v>
      </c>
      <c r="P187" s="1032" t="s">
        <v>133</v>
      </c>
      <c r="Q187" s="1032" t="s">
        <v>134</v>
      </c>
      <c r="R187" s="1032" t="s">
        <v>73</v>
      </c>
      <c r="S187" s="1032" t="s">
        <v>992</v>
      </c>
      <c r="T187" s="1032">
        <v>720</v>
      </c>
      <c r="U187" s="1032">
        <v>5940</v>
      </c>
      <c r="V187" s="1032">
        <v>4.2767999999999997</v>
      </c>
      <c r="W187" s="1032">
        <v>180</v>
      </c>
      <c r="X187" s="1032">
        <v>10</v>
      </c>
      <c r="Y187" s="1032" t="s">
        <v>75</v>
      </c>
      <c r="Z187" s="1032" t="s">
        <v>75</v>
      </c>
      <c r="AB187" s="1033">
        <v>46055</v>
      </c>
      <c r="AC187" s="1032">
        <v>6</v>
      </c>
      <c r="AD187" s="1032" t="s">
        <v>996</v>
      </c>
      <c r="AF187" s="1032" t="s">
        <v>122</v>
      </c>
      <c r="AG187" s="1032" t="s">
        <v>123</v>
      </c>
      <c r="AH187" s="1032" t="s">
        <v>105</v>
      </c>
      <c r="AI187" s="1033">
        <v>46063</v>
      </c>
      <c r="AJ187" s="1033">
        <v>46069</v>
      </c>
      <c r="AK187" s="1033">
        <v>46069</v>
      </c>
      <c r="AL187" s="1033">
        <v>46102</v>
      </c>
      <c r="AM187" s="1033">
        <v>46126</v>
      </c>
      <c r="AN187" s="1033">
        <v>46127</v>
      </c>
      <c r="AO187" s="1032" t="s">
        <v>402</v>
      </c>
      <c r="AP187" s="1032" t="s">
        <v>997</v>
      </c>
      <c r="AQ187" s="1032" t="s">
        <v>80</v>
      </c>
      <c r="AR187" s="1032" t="s">
        <v>998</v>
      </c>
      <c r="AS187" s="1032" t="s">
        <v>999</v>
      </c>
      <c r="AT187" s="1032" t="s">
        <v>999</v>
      </c>
      <c r="AU187" s="1032">
        <v>58</v>
      </c>
      <c r="AW187" s="1033">
        <v>46127</v>
      </c>
      <c r="AX187" s="1032" t="s">
        <v>973</v>
      </c>
      <c r="AY187" s="1033">
        <v>46133</v>
      </c>
      <c r="AZ187" s="1032">
        <v>7</v>
      </c>
      <c r="BA187" s="1033">
        <v>46134</v>
      </c>
      <c r="BB187" s="1032">
        <v>2026</v>
      </c>
      <c r="BC187" s="1032">
        <v>4</v>
      </c>
      <c r="BD187" s="1032">
        <v>17</v>
      </c>
      <c r="BE187" s="1032">
        <v>33</v>
      </c>
      <c r="BF187" s="1032">
        <v>594</v>
      </c>
      <c r="BG187" s="1032" t="s">
        <v>108</v>
      </c>
      <c r="BH187" s="1032" t="s">
        <v>109</v>
      </c>
    </row>
    <row r="188" spans="1:60">
      <c r="A188" s="1032" t="s">
        <v>1000</v>
      </c>
      <c r="B188" s="1032" t="s">
        <v>111</v>
      </c>
      <c r="C188" s="1032" t="s">
        <v>203</v>
      </c>
      <c r="D188" s="1032" t="s">
        <v>63</v>
      </c>
      <c r="E188" s="1032" t="s">
        <v>64</v>
      </c>
      <c r="F188" s="1032" t="s">
        <v>100</v>
      </c>
      <c r="G188" s="1032" t="s">
        <v>402</v>
      </c>
      <c r="H188" s="1032" t="s">
        <v>67</v>
      </c>
      <c r="I188" s="1032" t="s">
        <v>68</v>
      </c>
      <c r="J188" s="1032" t="s">
        <v>1001</v>
      </c>
      <c r="M188" s="1032" t="s">
        <v>68</v>
      </c>
      <c r="N188" s="1032">
        <v>46045</v>
      </c>
      <c r="O188" s="1032" t="s">
        <v>70</v>
      </c>
      <c r="P188" s="1032" t="s">
        <v>1002</v>
      </c>
      <c r="Q188" s="1032" t="s">
        <v>330</v>
      </c>
      <c r="R188" s="1032" t="s">
        <v>73</v>
      </c>
      <c r="S188" s="1032" t="s">
        <v>992</v>
      </c>
      <c r="T188" s="1032">
        <v>625</v>
      </c>
      <c r="U188" s="1032">
        <v>7920</v>
      </c>
      <c r="V188" s="1032">
        <v>4.95</v>
      </c>
      <c r="W188" s="1032">
        <v>220</v>
      </c>
      <c r="X188" s="1032">
        <v>11</v>
      </c>
      <c r="Y188" s="1032" t="s">
        <v>75</v>
      </c>
      <c r="Z188" s="1032" t="s">
        <v>75</v>
      </c>
      <c r="AB188" s="1033">
        <v>46054</v>
      </c>
      <c r="AC188" s="1032">
        <v>5</v>
      </c>
      <c r="AD188" s="1032" t="s">
        <v>1003</v>
      </c>
      <c r="AF188" s="1032" t="s">
        <v>122</v>
      </c>
      <c r="AG188" s="1032" t="s">
        <v>123</v>
      </c>
      <c r="AH188" s="1032" t="s">
        <v>105</v>
      </c>
      <c r="AI188" s="1033">
        <v>46063</v>
      </c>
      <c r="AJ188" s="1033">
        <v>46066</v>
      </c>
      <c r="AK188" s="1033">
        <v>46065</v>
      </c>
      <c r="AL188" s="1033">
        <v>46098</v>
      </c>
      <c r="AM188" s="1033">
        <v>46109</v>
      </c>
      <c r="AN188" s="1033">
        <v>46109</v>
      </c>
      <c r="AO188" s="1032" t="s">
        <v>402</v>
      </c>
      <c r="AP188" s="1032" t="s">
        <v>694</v>
      </c>
      <c r="AQ188" s="1032" t="s">
        <v>80</v>
      </c>
      <c r="AR188" s="1032" t="s">
        <v>1004</v>
      </c>
      <c r="AS188" s="1032" t="s">
        <v>1005</v>
      </c>
      <c r="AT188" s="1032" t="s">
        <v>1005</v>
      </c>
      <c r="AU188" s="1032">
        <v>44</v>
      </c>
      <c r="AW188" s="1033">
        <v>46109</v>
      </c>
      <c r="AX188" s="1032" t="s">
        <v>973</v>
      </c>
      <c r="AY188" s="1033">
        <v>46124</v>
      </c>
      <c r="AZ188" s="1032">
        <v>7</v>
      </c>
      <c r="BA188" s="1033">
        <v>46116</v>
      </c>
      <c r="BB188" s="1032">
        <v>2026</v>
      </c>
      <c r="BC188" s="1032">
        <v>4</v>
      </c>
      <c r="BD188" s="1032">
        <v>14</v>
      </c>
      <c r="BE188" s="1032">
        <v>36</v>
      </c>
      <c r="BF188" s="1032">
        <v>720</v>
      </c>
      <c r="BG188" s="1032" t="s">
        <v>128</v>
      </c>
      <c r="BH188" s="1032" t="s">
        <v>109</v>
      </c>
    </row>
    <row r="189" spans="1:60">
      <c r="A189" s="1032" t="s">
        <v>1006</v>
      </c>
      <c r="B189" s="1032" t="s">
        <v>111</v>
      </c>
      <c r="C189" s="1032" t="s">
        <v>1007</v>
      </c>
      <c r="D189" s="1032" t="s">
        <v>63</v>
      </c>
      <c r="E189" s="1032" t="s">
        <v>64</v>
      </c>
      <c r="F189" s="1032" t="s">
        <v>65</v>
      </c>
      <c r="G189" s="1032" t="s">
        <v>402</v>
      </c>
      <c r="H189" s="1032" t="s">
        <v>67</v>
      </c>
      <c r="I189" s="1032" t="s">
        <v>68</v>
      </c>
      <c r="J189" s="1032" t="s">
        <v>1008</v>
      </c>
      <c r="M189" s="1032" t="s">
        <v>68</v>
      </c>
      <c r="N189" s="1032">
        <v>46045</v>
      </c>
      <c r="O189" s="1032" t="s">
        <v>70</v>
      </c>
      <c r="P189" s="1032" t="s">
        <v>102</v>
      </c>
      <c r="Q189" s="1032" t="s">
        <v>103</v>
      </c>
      <c r="R189" s="1032" t="s">
        <v>73</v>
      </c>
      <c r="S189" s="1032" t="s">
        <v>967</v>
      </c>
      <c r="T189" s="1032">
        <v>620</v>
      </c>
      <c r="U189" s="1032">
        <v>1440</v>
      </c>
      <c r="V189" s="1032">
        <v>0.89280000000000004</v>
      </c>
      <c r="W189" s="1032">
        <v>40</v>
      </c>
      <c r="X189" s="1032">
        <v>2</v>
      </c>
      <c r="Y189" s="1032" t="s">
        <v>75</v>
      </c>
      <c r="Z189" s="1032" t="s">
        <v>75</v>
      </c>
      <c r="AB189" s="1033">
        <v>46054</v>
      </c>
      <c r="AC189" s="1032">
        <v>5</v>
      </c>
      <c r="AD189" s="1032" t="s">
        <v>1009</v>
      </c>
      <c r="AF189" s="1032" t="s">
        <v>122</v>
      </c>
      <c r="AG189" s="1032" t="s">
        <v>123</v>
      </c>
      <c r="AH189" s="1032" t="s">
        <v>78</v>
      </c>
      <c r="AI189" s="1033">
        <v>46063</v>
      </c>
      <c r="AJ189" s="1033">
        <v>46065</v>
      </c>
      <c r="AK189" s="1033">
        <v>46078</v>
      </c>
      <c r="AL189" s="1033">
        <v>46101</v>
      </c>
      <c r="AM189" s="1033">
        <v>46136</v>
      </c>
      <c r="AN189" s="1033">
        <v>46137</v>
      </c>
      <c r="AO189" s="1032" t="s">
        <v>402</v>
      </c>
      <c r="AP189" s="1032" t="s">
        <v>739</v>
      </c>
      <c r="AQ189" s="1032" t="s">
        <v>80</v>
      </c>
      <c r="AR189" s="1032" t="s">
        <v>740</v>
      </c>
      <c r="AS189" s="1032" t="s">
        <v>741</v>
      </c>
      <c r="AT189" s="1032" t="s">
        <v>741</v>
      </c>
      <c r="AU189" s="1032">
        <v>59</v>
      </c>
      <c r="AW189" s="1033">
        <v>46137</v>
      </c>
      <c r="AX189" s="1032" t="s">
        <v>973</v>
      </c>
      <c r="AY189" s="1033">
        <v>46149</v>
      </c>
      <c r="AZ189" s="1032">
        <v>8</v>
      </c>
      <c r="BA189" s="1033">
        <v>46145</v>
      </c>
      <c r="BB189" s="1032">
        <v>2026</v>
      </c>
      <c r="BC189" s="1032">
        <v>5</v>
      </c>
      <c r="BD189" s="1032">
        <v>18</v>
      </c>
      <c r="BE189" s="1032">
        <v>36</v>
      </c>
      <c r="BF189" s="1032">
        <v>720</v>
      </c>
      <c r="BG189" s="1032" t="s">
        <v>108</v>
      </c>
      <c r="BH189" s="1032" t="s">
        <v>86</v>
      </c>
    </row>
    <row r="190" spans="1:60">
      <c r="A190" s="1032" t="s">
        <v>985</v>
      </c>
      <c r="B190" s="1032" t="s">
        <v>61</v>
      </c>
      <c r="C190" s="1032" t="s">
        <v>203</v>
      </c>
      <c r="D190" s="1032" t="s">
        <v>63</v>
      </c>
      <c r="E190" s="1032" t="s">
        <v>64</v>
      </c>
      <c r="F190" s="1032" t="s">
        <v>100</v>
      </c>
      <c r="G190" s="1032" t="s">
        <v>402</v>
      </c>
      <c r="H190" s="1032" t="s">
        <v>67</v>
      </c>
      <c r="I190" s="1032" t="s">
        <v>68</v>
      </c>
      <c r="J190" s="1032" t="s">
        <v>293</v>
      </c>
      <c r="M190" s="1032" t="s">
        <v>68</v>
      </c>
      <c r="N190" s="1032">
        <v>46055</v>
      </c>
      <c r="O190" s="1032" t="s">
        <v>70</v>
      </c>
      <c r="P190" s="1032" t="s">
        <v>195</v>
      </c>
      <c r="Q190" s="1032" t="s">
        <v>196</v>
      </c>
      <c r="R190" s="1032" t="s">
        <v>73</v>
      </c>
      <c r="S190" s="1032" t="s">
        <v>967</v>
      </c>
      <c r="T190" s="1032">
        <v>450</v>
      </c>
      <c r="U190" s="1032">
        <v>936</v>
      </c>
      <c r="V190" s="1032">
        <v>0.42120000000000002</v>
      </c>
      <c r="W190" s="1032">
        <v>26</v>
      </c>
      <c r="X190" s="1032">
        <v>1</v>
      </c>
      <c r="Y190" s="1032" t="s">
        <v>75</v>
      </c>
      <c r="Z190" s="1032" t="s">
        <v>75</v>
      </c>
      <c r="AB190" s="1033">
        <v>46055</v>
      </c>
      <c r="AC190" s="1032">
        <v>6</v>
      </c>
      <c r="AD190" s="1032" t="s">
        <v>1010</v>
      </c>
      <c r="AF190" s="1032" t="s">
        <v>77</v>
      </c>
      <c r="AG190" s="1032" t="s">
        <v>61</v>
      </c>
      <c r="AH190" s="1032" t="s">
        <v>105</v>
      </c>
      <c r="AI190" s="1033">
        <v>46066</v>
      </c>
      <c r="AJ190" s="1033">
        <v>46065</v>
      </c>
      <c r="AK190" s="1033">
        <v>46065</v>
      </c>
      <c r="AL190" s="1033">
        <v>46119</v>
      </c>
      <c r="AM190" s="1033">
        <v>46141</v>
      </c>
      <c r="AN190" s="1033">
        <v>46137</v>
      </c>
      <c r="AO190" s="1032" t="s">
        <v>402</v>
      </c>
      <c r="AP190" s="1032" t="s">
        <v>771</v>
      </c>
      <c r="AQ190" s="1032" t="s">
        <v>80</v>
      </c>
      <c r="AR190" s="1032" t="s">
        <v>772</v>
      </c>
      <c r="AS190" s="1032" t="s">
        <v>773</v>
      </c>
      <c r="AT190" s="1032" t="s">
        <v>773</v>
      </c>
      <c r="AU190" s="1032">
        <v>72</v>
      </c>
      <c r="AW190" s="1033">
        <v>46137</v>
      </c>
      <c r="AX190" s="1032" t="s">
        <v>973</v>
      </c>
      <c r="AY190" s="1033">
        <v>46149</v>
      </c>
      <c r="AZ190" s="1032">
        <v>7</v>
      </c>
      <c r="BA190" s="1033">
        <v>46144</v>
      </c>
      <c r="BB190" s="1032">
        <v>2026</v>
      </c>
      <c r="BC190" s="1032">
        <v>5</v>
      </c>
      <c r="BD190" s="1032">
        <v>18</v>
      </c>
      <c r="BE190" s="1032">
        <v>36</v>
      </c>
      <c r="BF190" s="1032">
        <v>936</v>
      </c>
      <c r="BG190" s="1032" t="s">
        <v>85</v>
      </c>
      <c r="BH190" s="1032" t="s">
        <v>109</v>
      </c>
    </row>
    <row r="191" spans="1:60">
      <c r="A191" s="1032" t="s">
        <v>1011</v>
      </c>
      <c r="B191" s="1032" t="s">
        <v>61</v>
      </c>
      <c r="C191" s="1032" t="s">
        <v>963</v>
      </c>
      <c r="D191" s="1032" t="s">
        <v>63</v>
      </c>
      <c r="E191" s="1032" t="s">
        <v>64</v>
      </c>
      <c r="F191" s="1032" t="s">
        <v>100</v>
      </c>
      <c r="G191" s="1032" t="s">
        <v>402</v>
      </c>
      <c r="H191" s="1032" t="s">
        <v>67</v>
      </c>
      <c r="I191" s="1032" t="s">
        <v>68</v>
      </c>
      <c r="J191" s="1032" t="s">
        <v>293</v>
      </c>
      <c r="M191" s="1032" t="s">
        <v>68</v>
      </c>
      <c r="N191" s="1032">
        <v>46055</v>
      </c>
      <c r="O191" s="1032" t="s">
        <v>70</v>
      </c>
      <c r="P191" s="1032" t="s">
        <v>965</v>
      </c>
      <c r="Q191" s="1032" t="s">
        <v>966</v>
      </c>
      <c r="R191" s="1032" t="s">
        <v>73</v>
      </c>
      <c r="S191" s="1032" t="s">
        <v>967</v>
      </c>
      <c r="T191" s="1032">
        <v>455</v>
      </c>
      <c r="U191" s="1032">
        <v>936</v>
      </c>
      <c r="V191" s="1032">
        <v>0.42587999999999998</v>
      </c>
      <c r="W191" s="1032">
        <v>26</v>
      </c>
      <c r="X191" s="1032">
        <v>1</v>
      </c>
      <c r="Y191" s="1032" t="s">
        <v>75</v>
      </c>
      <c r="Z191" s="1032" t="s">
        <v>75</v>
      </c>
      <c r="AB191" s="1033">
        <v>46055</v>
      </c>
      <c r="AC191" s="1032">
        <v>6</v>
      </c>
      <c r="AD191" s="1032" t="s">
        <v>1012</v>
      </c>
      <c r="AF191" s="1032" t="s">
        <v>77</v>
      </c>
      <c r="AG191" s="1032" t="s">
        <v>61</v>
      </c>
      <c r="AH191" s="1032" t="s">
        <v>105</v>
      </c>
      <c r="AI191" s="1033">
        <v>46066</v>
      </c>
      <c r="AJ191" s="1033">
        <v>46065</v>
      </c>
      <c r="AK191" s="1033">
        <v>46065</v>
      </c>
      <c r="AL191" s="1033">
        <v>46119</v>
      </c>
      <c r="AM191" s="1033">
        <v>46141</v>
      </c>
      <c r="AN191" s="1033">
        <v>46137</v>
      </c>
      <c r="AO191" s="1032" t="s">
        <v>402</v>
      </c>
      <c r="AP191" s="1032" t="s">
        <v>771</v>
      </c>
      <c r="AQ191" s="1032" t="s">
        <v>80</v>
      </c>
      <c r="AR191" s="1032" t="s">
        <v>772</v>
      </c>
      <c r="AS191" s="1032" t="s">
        <v>773</v>
      </c>
      <c r="AT191" s="1032" t="s">
        <v>773</v>
      </c>
      <c r="AU191" s="1032">
        <v>72</v>
      </c>
      <c r="AW191" s="1033">
        <v>46137</v>
      </c>
      <c r="AX191" s="1032" t="s">
        <v>973</v>
      </c>
      <c r="AY191" s="1033">
        <v>46147</v>
      </c>
      <c r="AZ191" s="1032">
        <v>7</v>
      </c>
      <c r="BA191" s="1033">
        <v>46144</v>
      </c>
      <c r="BB191" s="1032">
        <v>2026</v>
      </c>
      <c r="BC191" s="1032">
        <v>5</v>
      </c>
      <c r="BD191" s="1032">
        <v>18</v>
      </c>
      <c r="BE191" s="1032">
        <v>36</v>
      </c>
      <c r="BF191" s="1032">
        <v>936</v>
      </c>
      <c r="BG191" s="1032" t="s">
        <v>85</v>
      </c>
      <c r="BH191" s="1032" t="s">
        <v>109</v>
      </c>
    </row>
    <row r="192" spans="1:60">
      <c r="A192" s="1032" t="s">
        <v>1013</v>
      </c>
      <c r="B192" s="1032" t="s">
        <v>61</v>
      </c>
      <c r="C192" s="1032" t="s">
        <v>963</v>
      </c>
      <c r="D192" s="1032" t="s">
        <v>63</v>
      </c>
      <c r="E192" s="1032" t="s">
        <v>64</v>
      </c>
      <c r="F192" s="1032" t="s">
        <v>100</v>
      </c>
      <c r="G192" s="1032" t="s">
        <v>402</v>
      </c>
      <c r="H192" s="1032" t="s">
        <v>67</v>
      </c>
      <c r="I192" s="1032" t="s">
        <v>68</v>
      </c>
      <c r="J192" s="1032" t="s">
        <v>419</v>
      </c>
      <c r="M192" s="1032" t="s">
        <v>68</v>
      </c>
      <c r="N192" s="1032">
        <v>46055</v>
      </c>
      <c r="O192" s="1032" t="s">
        <v>70</v>
      </c>
      <c r="P192" s="1032" t="s">
        <v>965</v>
      </c>
      <c r="Q192" s="1032" t="s">
        <v>966</v>
      </c>
      <c r="R192" s="1032" t="s">
        <v>73</v>
      </c>
      <c r="S192" s="1032" t="s">
        <v>967</v>
      </c>
      <c r="T192" s="1032">
        <v>455</v>
      </c>
      <c r="U192" s="1032">
        <v>2808</v>
      </c>
      <c r="V192" s="1032">
        <v>1.2776400000000001</v>
      </c>
      <c r="W192" s="1032">
        <v>78</v>
      </c>
      <c r="X192" s="1032">
        <v>3</v>
      </c>
      <c r="Y192" s="1032" t="s">
        <v>75</v>
      </c>
      <c r="Z192" s="1032" t="s">
        <v>75</v>
      </c>
      <c r="AB192" s="1033">
        <v>46058</v>
      </c>
      <c r="AC192" s="1032">
        <v>6</v>
      </c>
      <c r="AD192" s="1032" t="s">
        <v>1014</v>
      </c>
      <c r="AF192" s="1032" t="s">
        <v>77</v>
      </c>
      <c r="AG192" s="1032" t="s">
        <v>61</v>
      </c>
      <c r="AH192" s="1032" t="s">
        <v>105</v>
      </c>
      <c r="AI192" s="1033">
        <v>46066</v>
      </c>
      <c r="AJ192" s="1033">
        <v>46065</v>
      </c>
      <c r="AK192" s="1033">
        <v>46065</v>
      </c>
      <c r="AL192" s="1033">
        <v>46119</v>
      </c>
      <c r="AM192" s="1033">
        <v>46141</v>
      </c>
      <c r="AN192" s="1033">
        <v>46137</v>
      </c>
      <c r="AO192" s="1032" t="s">
        <v>402</v>
      </c>
      <c r="AP192" s="1032" t="s">
        <v>771</v>
      </c>
      <c r="AQ192" s="1032" t="s">
        <v>80</v>
      </c>
      <c r="AR192" s="1032" t="s">
        <v>803</v>
      </c>
      <c r="AS192" s="1032" t="s">
        <v>804</v>
      </c>
      <c r="AT192" s="1032" t="s">
        <v>804</v>
      </c>
      <c r="AU192" s="1032">
        <v>72</v>
      </c>
      <c r="AW192" s="1033">
        <v>46137</v>
      </c>
      <c r="AX192" s="1032" t="s">
        <v>973</v>
      </c>
      <c r="AY192" s="1033">
        <v>46149</v>
      </c>
      <c r="AZ192" s="1032">
        <v>7</v>
      </c>
      <c r="BA192" s="1033">
        <v>46144</v>
      </c>
      <c r="BB192" s="1032">
        <v>2026</v>
      </c>
      <c r="BC192" s="1032">
        <v>5</v>
      </c>
      <c r="BD192" s="1032">
        <v>18</v>
      </c>
      <c r="BE192" s="1032">
        <v>36</v>
      </c>
      <c r="BF192" s="1032">
        <v>936</v>
      </c>
      <c r="BG192" s="1032" t="s">
        <v>85</v>
      </c>
      <c r="BH192" s="1032" t="s">
        <v>109</v>
      </c>
    </row>
    <row r="193" spans="1:60">
      <c r="A193" s="1032" t="s">
        <v>1015</v>
      </c>
      <c r="B193" s="1032" t="s">
        <v>61</v>
      </c>
      <c r="C193" s="1032" t="s">
        <v>1016</v>
      </c>
      <c r="D193" s="1032" t="s">
        <v>63</v>
      </c>
      <c r="E193" s="1032" t="s">
        <v>64</v>
      </c>
      <c r="F193" s="1032" t="s">
        <v>100</v>
      </c>
      <c r="G193" s="1032" t="s">
        <v>402</v>
      </c>
      <c r="H193" s="1032" t="s">
        <v>67</v>
      </c>
      <c r="I193" s="1032" t="s">
        <v>68</v>
      </c>
      <c r="J193" s="1032" t="s">
        <v>293</v>
      </c>
      <c r="M193" s="1032" t="s">
        <v>68</v>
      </c>
      <c r="N193" s="1032">
        <v>46055</v>
      </c>
      <c r="O193" s="1032" t="s">
        <v>70</v>
      </c>
      <c r="P193" s="1032" t="s">
        <v>195</v>
      </c>
      <c r="Q193" s="1032" t="s">
        <v>196</v>
      </c>
      <c r="R193" s="1032" t="s">
        <v>73</v>
      </c>
      <c r="S193" s="1032" t="s">
        <v>967</v>
      </c>
      <c r="T193" s="1032">
        <v>450</v>
      </c>
      <c r="U193" s="1032">
        <v>1872</v>
      </c>
      <c r="V193" s="1032">
        <v>0.84240000000000004</v>
      </c>
      <c r="W193" s="1032">
        <v>52</v>
      </c>
      <c r="X193" s="1032">
        <v>2</v>
      </c>
      <c r="Y193" s="1032" t="s">
        <v>75</v>
      </c>
      <c r="Z193" s="1032" t="s">
        <v>75</v>
      </c>
      <c r="AB193" s="1033">
        <v>46059</v>
      </c>
      <c r="AC193" s="1032">
        <v>6</v>
      </c>
      <c r="AD193" s="1032" t="s">
        <v>1017</v>
      </c>
      <c r="AF193" s="1032" t="s">
        <v>77</v>
      </c>
      <c r="AG193" s="1032" t="s">
        <v>61</v>
      </c>
      <c r="AH193" s="1032" t="s">
        <v>105</v>
      </c>
      <c r="AI193" s="1033">
        <v>46066</v>
      </c>
      <c r="AJ193" s="1033">
        <v>46065</v>
      </c>
      <c r="AK193" s="1033">
        <v>46065</v>
      </c>
      <c r="AL193" s="1033">
        <v>46119</v>
      </c>
      <c r="AM193" s="1033">
        <v>46141</v>
      </c>
      <c r="AN193" s="1033">
        <v>46137</v>
      </c>
      <c r="AO193" s="1032" t="s">
        <v>402</v>
      </c>
      <c r="AP193" s="1032" t="s">
        <v>771</v>
      </c>
      <c r="AQ193" s="1032" t="s">
        <v>80</v>
      </c>
      <c r="AR193" s="1032" t="s">
        <v>1018</v>
      </c>
      <c r="AS193" s="1032" t="s">
        <v>1019</v>
      </c>
      <c r="AT193" s="1032" t="s">
        <v>1019</v>
      </c>
      <c r="AU193" s="1032">
        <v>72</v>
      </c>
      <c r="AW193" s="1033">
        <v>46137</v>
      </c>
      <c r="AX193" s="1032" t="s">
        <v>973</v>
      </c>
      <c r="AY193" s="1033">
        <v>46149</v>
      </c>
      <c r="AZ193" s="1032">
        <v>7</v>
      </c>
      <c r="BA193" s="1033">
        <v>46144</v>
      </c>
      <c r="BB193" s="1032">
        <v>2026</v>
      </c>
      <c r="BC193" s="1032">
        <v>5</v>
      </c>
      <c r="BD193" s="1032">
        <v>18</v>
      </c>
      <c r="BE193" s="1032">
        <v>36</v>
      </c>
      <c r="BF193" s="1032">
        <v>936</v>
      </c>
      <c r="BG193" s="1032" t="s">
        <v>85</v>
      </c>
      <c r="BH193" s="1032" t="s">
        <v>109</v>
      </c>
    </row>
    <row r="194" spans="1:60">
      <c r="A194" s="1032" t="s">
        <v>1020</v>
      </c>
      <c r="B194" s="1032" t="s">
        <v>61</v>
      </c>
      <c r="C194" s="1032" t="s">
        <v>1021</v>
      </c>
      <c r="D194" s="1032" t="s">
        <v>63</v>
      </c>
      <c r="E194" s="1032" t="s">
        <v>64</v>
      </c>
      <c r="F194" s="1032" t="s">
        <v>100</v>
      </c>
      <c r="G194" s="1032" t="s">
        <v>402</v>
      </c>
      <c r="H194" s="1032" t="s">
        <v>67</v>
      </c>
      <c r="I194" s="1032" t="s">
        <v>68</v>
      </c>
      <c r="J194" s="1032" t="s">
        <v>293</v>
      </c>
      <c r="M194" s="1032" t="s">
        <v>68</v>
      </c>
      <c r="N194" s="1032">
        <v>46055</v>
      </c>
      <c r="O194" s="1032" t="s">
        <v>70</v>
      </c>
      <c r="P194" s="1032" t="s">
        <v>965</v>
      </c>
      <c r="Q194" s="1032" t="s">
        <v>966</v>
      </c>
      <c r="R194" s="1032" t="s">
        <v>73</v>
      </c>
      <c r="S194" s="1032" t="s">
        <v>967</v>
      </c>
      <c r="T194" s="1032">
        <v>455</v>
      </c>
      <c r="U194" s="1032">
        <v>7488</v>
      </c>
      <c r="V194" s="1032">
        <v>3.4070399999999998</v>
      </c>
      <c r="W194" s="1032">
        <v>208</v>
      </c>
      <c r="X194" s="1032">
        <v>8</v>
      </c>
      <c r="Y194" s="1032" t="s">
        <v>75</v>
      </c>
      <c r="Z194" s="1032" t="s">
        <v>75</v>
      </c>
      <c r="AB194" s="1033">
        <v>46059</v>
      </c>
      <c r="AC194" s="1032">
        <v>6</v>
      </c>
      <c r="AD194" s="1032" t="s">
        <v>1022</v>
      </c>
      <c r="AF194" s="1032" t="s">
        <v>77</v>
      </c>
      <c r="AG194" s="1032" t="s">
        <v>61</v>
      </c>
      <c r="AH194" s="1032" t="s">
        <v>105</v>
      </c>
      <c r="AI194" s="1033">
        <v>46066</v>
      </c>
      <c r="AJ194" s="1033">
        <v>46065</v>
      </c>
      <c r="AK194" s="1033">
        <v>46065</v>
      </c>
      <c r="AL194" s="1033">
        <v>46119</v>
      </c>
      <c r="AM194" s="1033">
        <v>46141</v>
      </c>
      <c r="AN194" s="1033">
        <v>46137</v>
      </c>
      <c r="AO194" s="1032" t="s">
        <v>402</v>
      </c>
      <c r="AP194" s="1032" t="s">
        <v>771</v>
      </c>
      <c r="AQ194" s="1032" t="s">
        <v>80</v>
      </c>
      <c r="AR194" s="1032" t="s">
        <v>1018</v>
      </c>
      <c r="AS194" s="1032" t="s">
        <v>1019</v>
      </c>
      <c r="AT194" s="1032" t="s">
        <v>1019</v>
      </c>
      <c r="AU194" s="1032">
        <v>72</v>
      </c>
      <c r="AW194" s="1033">
        <v>46137</v>
      </c>
      <c r="AX194" s="1032" t="s">
        <v>973</v>
      </c>
      <c r="AY194" s="1033">
        <v>46149</v>
      </c>
      <c r="AZ194" s="1032">
        <v>7</v>
      </c>
      <c r="BA194" s="1033">
        <v>46144</v>
      </c>
      <c r="BB194" s="1032">
        <v>2026</v>
      </c>
      <c r="BC194" s="1032">
        <v>5</v>
      </c>
      <c r="BD194" s="1032">
        <v>18</v>
      </c>
      <c r="BE194" s="1032">
        <v>36</v>
      </c>
      <c r="BF194" s="1032">
        <v>936</v>
      </c>
      <c r="BG194" s="1032" t="s">
        <v>85</v>
      </c>
      <c r="BH194" s="1032" t="s">
        <v>109</v>
      </c>
    </row>
    <row r="195" spans="1:60">
      <c r="A195" s="1032" t="s">
        <v>1023</v>
      </c>
      <c r="B195" s="1032" t="s">
        <v>61</v>
      </c>
      <c r="C195" s="1032" t="s">
        <v>1021</v>
      </c>
      <c r="D195" s="1032" t="s">
        <v>63</v>
      </c>
      <c r="E195" s="1032" t="s">
        <v>64</v>
      </c>
      <c r="F195" s="1032" t="s">
        <v>100</v>
      </c>
      <c r="G195" s="1032" t="s">
        <v>402</v>
      </c>
      <c r="H195" s="1032" t="s">
        <v>67</v>
      </c>
      <c r="I195" s="1032" t="s">
        <v>68</v>
      </c>
      <c r="J195" s="1032" t="s">
        <v>1024</v>
      </c>
      <c r="M195" s="1032" t="s">
        <v>68</v>
      </c>
      <c r="N195" s="1032">
        <v>46055</v>
      </c>
      <c r="O195" s="1032" t="s">
        <v>70</v>
      </c>
      <c r="P195" s="1032" t="s">
        <v>965</v>
      </c>
      <c r="Q195" s="1032" t="s">
        <v>966</v>
      </c>
      <c r="R195" s="1032" t="s">
        <v>73</v>
      </c>
      <c r="S195" s="1032" t="s">
        <v>967</v>
      </c>
      <c r="T195" s="1032">
        <v>455</v>
      </c>
      <c r="U195" s="1032">
        <v>3744</v>
      </c>
      <c r="V195" s="1032">
        <v>1.7035199999999999</v>
      </c>
      <c r="W195" s="1032">
        <v>104</v>
      </c>
      <c r="X195" s="1032">
        <v>4</v>
      </c>
      <c r="Y195" s="1032" t="s">
        <v>75</v>
      </c>
      <c r="Z195" s="1032" t="s">
        <v>75</v>
      </c>
      <c r="AB195" s="1033">
        <v>46060</v>
      </c>
      <c r="AC195" s="1032">
        <v>6</v>
      </c>
      <c r="AD195" s="1032" t="s">
        <v>1025</v>
      </c>
      <c r="AF195" s="1032" t="s">
        <v>77</v>
      </c>
      <c r="AG195" s="1032" t="s">
        <v>61</v>
      </c>
      <c r="AH195" s="1032" t="s">
        <v>105</v>
      </c>
      <c r="AI195" s="1033">
        <v>46066</v>
      </c>
      <c r="AJ195" s="1033">
        <v>46065</v>
      </c>
      <c r="AK195" s="1033">
        <v>46065</v>
      </c>
      <c r="AL195" s="1033">
        <v>46119</v>
      </c>
      <c r="AM195" s="1033">
        <v>46141</v>
      </c>
      <c r="AN195" s="1033">
        <v>46137</v>
      </c>
      <c r="AO195" s="1032" t="s">
        <v>402</v>
      </c>
      <c r="AP195" s="1032" t="s">
        <v>771</v>
      </c>
      <c r="AQ195" s="1032" t="s">
        <v>80</v>
      </c>
      <c r="AR195" s="1032" t="s">
        <v>809</v>
      </c>
      <c r="AS195" s="1032" t="s">
        <v>810</v>
      </c>
      <c r="AT195" s="1032" t="s">
        <v>810</v>
      </c>
      <c r="AU195" s="1032">
        <v>72</v>
      </c>
      <c r="AW195" s="1033">
        <v>46137</v>
      </c>
      <c r="AX195" s="1032" t="s">
        <v>973</v>
      </c>
      <c r="AY195" s="1033">
        <v>46149</v>
      </c>
      <c r="AZ195" s="1032">
        <v>7</v>
      </c>
      <c r="BA195" s="1033">
        <v>46144</v>
      </c>
      <c r="BB195" s="1032">
        <v>2026</v>
      </c>
      <c r="BC195" s="1032">
        <v>5</v>
      </c>
      <c r="BD195" s="1032">
        <v>18</v>
      </c>
      <c r="BE195" s="1032">
        <v>36</v>
      </c>
      <c r="BF195" s="1032">
        <v>936</v>
      </c>
      <c r="BG195" s="1032" t="s">
        <v>85</v>
      </c>
      <c r="BH195" s="1032" t="s">
        <v>109</v>
      </c>
    </row>
    <row r="196" spans="1:60">
      <c r="A196" s="1032" t="s">
        <v>1026</v>
      </c>
      <c r="B196" s="1032" t="s">
        <v>61</v>
      </c>
      <c r="C196" s="1032" t="s">
        <v>1021</v>
      </c>
      <c r="D196" s="1032" t="s">
        <v>63</v>
      </c>
      <c r="E196" s="1032" t="s">
        <v>64</v>
      </c>
      <c r="F196" s="1032" t="s">
        <v>100</v>
      </c>
      <c r="G196" s="1032" t="s">
        <v>402</v>
      </c>
      <c r="H196" s="1032" t="s">
        <v>67</v>
      </c>
      <c r="I196" s="1032" t="s">
        <v>68</v>
      </c>
      <c r="J196" s="1032" t="s">
        <v>419</v>
      </c>
      <c r="M196" s="1032" t="s">
        <v>68</v>
      </c>
      <c r="N196" s="1032">
        <v>46055</v>
      </c>
      <c r="O196" s="1032" t="s">
        <v>70</v>
      </c>
      <c r="P196" s="1032" t="s">
        <v>965</v>
      </c>
      <c r="Q196" s="1032" t="s">
        <v>966</v>
      </c>
      <c r="R196" s="1032" t="s">
        <v>73</v>
      </c>
      <c r="S196" s="1032" t="s">
        <v>967</v>
      </c>
      <c r="T196" s="1032">
        <v>455</v>
      </c>
      <c r="U196" s="1032">
        <v>3744</v>
      </c>
      <c r="V196" s="1032">
        <v>1.7035199999999999</v>
      </c>
      <c r="W196" s="1032">
        <v>104</v>
      </c>
      <c r="X196" s="1032">
        <v>4</v>
      </c>
      <c r="Y196" s="1032" t="s">
        <v>75</v>
      </c>
      <c r="Z196" s="1032" t="s">
        <v>75</v>
      </c>
      <c r="AB196" s="1033">
        <v>46060</v>
      </c>
      <c r="AC196" s="1032">
        <v>6</v>
      </c>
      <c r="AD196" s="1032" t="s">
        <v>1027</v>
      </c>
      <c r="AF196" s="1032" t="s">
        <v>77</v>
      </c>
      <c r="AG196" s="1032" t="s">
        <v>61</v>
      </c>
      <c r="AH196" s="1032" t="s">
        <v>105</v>
      </c>
      <c r="AI196" s="1033">
        <v>46066</v>
      </c>
      <c r="AJ196" s="1033">
        <v>46065</v>
      </c>
      <c r="AK196" s="1033">
        <v>46065</v>
      </c>
      <c r="AL196" s="1033">
        <v>46119</v>
      </c>
      <c r="AM196" s="1033">
        <v>46141</v>
      </c>
      <c r="AN196" s="1033">
        <v>46137</v>
      </c>
      <c r="AO196" s="1032" t="s">
        <v>402</v>
      </c>
      <c r="AP196" s="1032" t="s">
        <v>771</v>
      </c>
      <c r="AQ196" s="1032" t="s">
        <v>80</v>
      </c>
      <c r="AR196" s="1032" t="s">
        <v>809</v>
      </c>
      <c r="AS196" s="1032" t="s">
        <v>810</v>
      </c>
      <c r="AT196" s="1032" t="s">
        <v>810</v>
      </c>
      <c r="AU196" s="1032">
        <v>72</v>
      </c>
      <c r="AW196" s="1033">
        <v>46137</v>
      </c>
      <c r="AX196" s="1032" t="s">
        <v>973</v>
      </c>
      <c r="AY196" s="1033">
        <v>46149</v>
      </c>
      <c r="AZ196" s="1032">
        <v>7</v>
      </c>
      <c r="BA196" s="1033">
        <v>46144</v>
      </c>
      <c r="BB196" s="1032">
        <v>2026</v>
      </c>
      <c r="BC196" s="1032">
        <v>5</v>
      </c>
      <c r="BD196" s="1032">
        <v>18</v>
      </c>
      <c r="BE196" s="1032">
        <v>36</v>
      </c>
      <c r="BF196" s="1032">
        <v>936</v>
      </c>
      <c r="BG196" s="1032" t="s">
        <v>85</v>
      </c>
      <c r="BH196" s="1032" t="s">
        <v>109</v>
      </c>
    </row>
    <row r="197" spans="1:60">
      <c r="A197" s="1032" t="s">
        <v>1028</v>
      </c>
      <c r="B197" s="1032" t="s">
        <v>111</v>
      </c>
      <c r="C197" s="1032" t="s">
        <v>203</v>
      </c>
      <c r="D197" s="1032" t="s">
        <v>63</v>
      </c>
      <c r="E197" s="1032" t="s">
        <v>144</v>
      </c>
      <c r="F197" s="1032" t="s">
        <v>145</v>
      </c>
      <c r="G197" s="1032" t="s">
        <v>402</v>
      </c>
      <c r="H197" s="1032" t="s">
        <v>1029</v>
      </c>
      <c r="I197" s="1032" t="s">
        <v>882</v>
      </c>
      <c r="J197" s="1032" t="s">
        <v>1030</v>
      </c>
      <c r="K197" s="1032" t="s">
        <v>1031</v>
      </c>
      <c r="M197" s="1032" t="s">
        <v>840</v>
      </c>
      <c r="N197" s="1032">
        <v>46045</v>
      </c>
      <c r="O197" s="1032" t="s">
        <v>1032</v>
      </c>
      <c r="P197" s="1032" t="s">
        <v>1033</v>
      </c>
      <c r="Q197" s="1032" t="s">
        <v>886</v>
      </c>
      <c r="R197" s="1032" t="s">
        <v>73</v>
      </c>
      <c r="S197" s="1032" t="s">
        <v>992</v>
      </c>
      <c r="T197" s="1032">
        <v>615</v>
      </c>
      <c r="U197" s="1032">
        <v>468</v>
      </c>
      <c r="V197" s="1032">
        <v>0.28782000000000002</v>
      </c>
      <c r="W197" s="1032">
        <v>13</v>
      </c>
      <c r="X197" s="1032">
        <v>0.65</v>
      </c>
      <c r="Y197" s="1032" t="s">
        <v>75</v>
      </c>
      <c r="Z197" s="1032" t="s">
        <v>75</v>
      </c>
      <c r="AB197" s="1033">
        <v>46060</v>
      </c>
      <c r="AC197" s="1032">
        <v>6</v>
      </c>
      <c r="AD197" s="1032" t="s">
        <v>1034</v>
      </c>
      <c r="AF197" s="1032" t="s">
        <v>122</v>
      </c>
      <c r="AG197" s="1032" t="s">
        <v>123</v>
      </c>
      <c r="AH197" s="1032" t="s">
        <v>888</v>
      </c>
      <c r="AI197" s="1033">
        <v>46070</v>
      </c>
      <c r="AJ197" s="1033">
        <v>46071</v>
      </c>
      <c r="AK197" s="1033">
        <v>46071</v>
      </c>
      <c r="AL197" s="1033">
        <v>46120</v>
      </c>
      <c r="AM197" s="1033">
        <v>46126</v>
      </c>
      <c r="AN197" s="1033">
        <v>46125</v>
      </c>
      <c r="AO197" s="1032" t="s">
        <v>402</v>
      </c>
      <c r="AP197" s="1032" t="s">
        <v>1035</v>
      </c>
      <c r="AQ197" s="1032" t="s">
        <v>80</v>
      </c>
      <c r="AR197" s="1032" t="s">
        <v>1036</v>
      </c>
      <c r="AS197" s="1032" t="s">
        <v>1037</v>
      </c>
      <c r="AT197" s="1032" t="s">
        <v>1037</v>
      </c>
      <c r="AU197" s="1032">
        <v>54</v>
      </c>
      <c r="AW197" s="1033">
        <v>46125</v>
      </c>
      <c r="AX197" s="1032" t="s">
        <v>973</v>
      </c>
      <c r="AY197" s="1033">
        <v>46133</v>
      </c>
      <c r="AZ197" s="1032">
        <v>0</v>
      </c>
      <c r="BA197" s="1033">
        <v>46125</v>
      </c>
      <c r="BB197" s="1032">
        <v>2026</v>
      </c>
      <c r="BC197" s="1032">
        <v>4</v>
      </c>
      <c r="BD197" s="1032">
        <v>16</v>
      </c>
      <c r="BE197" s="1032">
        <v>36</v>
      </c>
      <c r="BF197" s="1032">
        <v>720</v>
      </c>
      <c r="BG197" s="1032" t="s">
        <v>108</v>
      </c>
      <c r="BH197" s="1032" t="s">
        <v>109</v>
      </c>
    </row>
    <row r="198" spans="1:60">
      <c r="A198" s="1032" t="s">
        <v>1038</v>
      </c>
      <c r="B198" s="1032" t="s">
        <v>111</v>
      </c>
      <c r="C198" s="1032" t="s">
        <v>203</v>
      </c>
      <c r="D198" s="1032" t="s">
        <v>63</v>
      </c>
      <c r="E198" s="1032" t="s">
        <v>144</v>
      </c>
      <c r="F198" s="1032" t="s">
        <v>145</v>
      </c>
      <c r="G198" s="1032" t="s">
        <v>402</v>
      </c>
      <c r="H198" s="1032" t="s">
        <v>1029</v>
      </c>
      <c r="I198" s="1032" t="s">
        <v>882</v>
      </c>
      <c r="J198" s="1032" t="s">
        <v>1030</v>
      </c>
      <c r="K198" s="1032" t="s">
        <v>1031</v>
      </c>
      <c r="M198" s="1032" t="s">
        <v>840</v>
      </c>
      <c r="N198" s="1032">
        <v>46045</v>
      </c>
      <c r="O198" s="1032" t="s">
        <v>1032</v>
      </c>
      <c r="P198" s="1032" t="s">
        <v>943</v>
      </c>
      <c r="Q198" s="1032" t="s">
        <v>886</v>
      </c>
      <c r="R198" s="1032" t="s">
        <v>73</v>
      </c>
      <c r="S198" s="1032" t="s">
        <v>967</v>
      </c>
      <c r="T198" s="1032">
        <v>615</v>
      </c>
      <c r="U198" s="1032">
        <v>684</v>
      </c>
      <c r="V198" s="1032">
        <v>0.42065999999999998</v>
      </c>
      <c r="W198" s="1032">
        <v>19</v>
      </c>
      <c r="X198" s="1032">
        <v>0.95</v>
      </c>
      <c r="Y198" s="1032" t="s">
        <v>75</v>
      </c>
      <c r="Z198" s="1032" t="s">
        <v>75</v>
      </c>
      <c r="AB198" s="1033">
        <v>46060</v>
      </c>
      <c r="AC198" s="1032">
        <v>6</v>
      </c>
      <c r="AD198" s="1032" t="s">
        <v>1039</v>
      </c>
      <c r="AF198" s="1032" t="s">
        <v>122</v>
      </c>
      <c r="AG198" s="1032" t="s">
        <v>123</v>
      </c>
      <c r="AH198" s="1032" t="s">
        <v>888</v>
      </c>
      <c r="AI198" s="1033">
        <v>46070</v>
      </c>
      <c r="AJ198" s="1033">
        <v>46071</v>
      </c>
      <c r="AK198" s="1033">
        <v>46071</v>
      </c>
      <c r="AL198" s="1033">
        <v>46120</v>
      </c>
      <c r="AM198" s="1033">
        <v>46126</v>
      </c>
      <c r="AN198" s="1033">
        <v>46125</v>
      </c>
      <c r="AO198" s="1032" t="s">
        <v>402</v>
      </c>
      <c r="AP198" s="1032" t="s">
        <v>1035</v>
      </c>
      <c r="AQ198" s="1032" t="s">
        <v>80</v>
      </c>
      <c r="AR198" s="1032" t="s">
        <v>1036</v>
      </c>
      <c r="AS198" s="1032" t="s">
        <v>1037</v>
      </c>
      <c r="AT198" s="1032" t="s">
        <v>1037</v>
      </c>
      <c r="AU198" s="1032">
        <v>54</v>
      </c>
      <c r="AW198" s="1033">
        <v>46125</v>
      </c>
      <c r="AX198" s="1032" t="s">
        <v>973</v>
      </c>
      <c r="AY198" s="1033">
        <v>46133</v>
      </c>
      <c r="AZ198" s="1032">
        <v>0</v>
      </c>
      <c r="BA198" s="1033">
        <v>46125</v>
      </c>
      <c r="BB198" s="1032">
        <v>2026</v>
      </c>
      <c r="BC198" s="1032">
        <v>4</v>
      </c>
      <c r="BD198" s="1032">
        <v>16</v>
      </c>
      <c r="BE198" s="1032">
        <v>36</v>
      </c>
      <c r="BF198" s="1032">
        <v>720</v>
      </c>
      <c r="BG198" s="1032" t="s">
        <v>108</v>
      </c>
      <c r="BH198" s="1032" t="s">
        <v>109</v>
      </c>
    </row>
    <row r="199" spans="1:60">
      <c r="A199" s="1032" t="s">
        <v>1040</v>
      </c>
      <c r="B199" s="1032" t="s">
        <v>111</v>
      </c>
      <c r="C199" s="1032" t="s">
        <v>203</v>
      </c>
      <c r="D199" s="1032" t="s">
        <v>63</v>
      </c>
      <c r="E199" s="1032" t="s">
        <v>144</v>
      </c>
      <c r="F199" s="1032" t="s">
        <v>145</v>
      </c>
      <c r="G199" s="1032" t="s">
        <v>402</v>
      </c>
      <c r="H199" s="1032" t="s">
        <v>1029</v>
      </c>
      <c r="I199" s="1032" t="s">
        <v>882</v>
      </c>
      <c r="J199" s="1032" t="s">
        <v>1030</v>
      </c>
      <c r="K199" s="1032" t="s">
        <v>1031</v>
      </c>
      <c r="M199" s="1032" t="s">
        <v>840</v>
      </c>
      <c r="N199" s="1032">
        <v>46045</v>
      </c>
      <c r="O199" s="1032" t="s">
        <v>1032</v>
      </c>
      <c r="P199" s="1032" t="s">
        <v>102</v>
      </c>
      <c r="Q199" s="1032" t="s">
        <v>103</v>
      </c>
      <c r="R199" s="1032" t="s">
        <v>73</v>
      </c>
      <c r="S199" s="1032" t="s">
        <v>967</v>
      </c>
      <c r="T199" s="1032">
        <v>620</v>
      </c>
      <c r="U199" s="1032">
        <v>1584</v>
      </c>
      <c r="V199" s="1032">
        <v>0.98207999999999995</v>
      </c>
      <c r="W199" s="1032">
        <v>44</v>
      </c>
      <c r="X199" s="1032">
        <v>2.2000000000000002</v>
      </c>
      <c r="Y199" s="1032" t="s">
        <v>75</v>
      </c>
      <c r="Z199" s="1032" t="s">
        <v>75</v>
      </c>
      <c r="AB199" s="1033">
        <v>46060</v>
      </c>
      <c r="AC199" s="1032">
        <v>6</v>
      </c>
      <c r="AD199" s="1032" t="s">
        <v>1041</v>
      </c>
      <c r="AF199" s="1032" t="s">
        <v>122</v>
      </c>
      <c r="AG199" s="1032" t="s">
        <v>123</v>
      </c>
      <c r="AH199" s="1032" t="s">
        <v>888</v>
      </c>
      <c r="AI199" s="1033">
        <v>46070</v>
      </c>
      <c r="AJ199" s="1033">
        <v>46071</v>
      </c>
      <c r="AK199" s="1033">
        <v>46071</v>
      </c>
      <c r="AL199" s="1033">
        <v>46120</v>
      </c>
      <c r="AM199" s="1033">
        <v>46126</v>
      </c>
      <c r="AN199" s="1033">
        <v>46125</v>
      </c>
      <c r="AO199" s="1032" t="s">
        <v>402</v>
      </c>
      <c r="AP199" s="1032" t="s">
        <v>1035</v>
      </c>
      <c r="AQ199" s="1032" t="s">
        <v>80</v>
      </c>
      <c r="AR199" s="1032" t="s">
        <v>1036</v>
      </c>
      <c r="AS199" s="1032" t="s">
        <v>1037</v>
      </c>
      <c r="AT199" s="1032" t="s">
        <v>1037</v>
      </c>
      <c r="AU199" s="1032">
        <v>54</v>
      </c>
      <c r="AW199" s="1033">
        <v>46125</v>
      </c>
      <c r="AX199" s="1032" t="s">
        <v>973</v>
      </c>
      <c r="AY199" s="1033">
        <v>46133</v>
      </c>
      <c r="AZ199" s="1032">
        <v>0</v>
      </c>
      <c r="BA199" s="1033">
        <v>46125</v>
      </c>
      <c r="BB199" s="1032">
        <v>2026</v>
      </c>
      <c r="BC199" s="1032">
        <v>4</v>
      </c>
      <c r="BD199" s="1032">
        <v>16</v>
      </c>
      <c r="BE199" s="1032">
        <v>36</v>
      </c>
      <c r="BF199" s="1032">
        <v>720</v>
      </c>
      <c r="BG199" s="1032" t="s">
        <v>108</v>
      </c>
      <c r="BH199" s="1032" t="s">
        <v>109</v>
      </c>
    </row>
    <row r="200" spans="1:60">
      <c r="A200" s="1032" t="s">
        <v>1042</v>
      </c>
      <c r="B200" s="1032" t="s">
        <v>111</v>
      </c>
      <c r="C200" s="1032" t="s">
        <v>203</v>
      </c>
      <c r="D200" s="1032" t="s">
        <v>63</v>
      </c>
      <c r="E200" s="1032" t="s">
        <v>144</v>
      </c>
      <c r="F200" s="1032" t="s">
        <v>145</v>
      </c>
      <c r="G200" s="1032" t="s">
        <v>402</v>
      </c>
      <c r="H200" s="1032" t="s">
        <v>1029</v>
      </c>
      <c r="I200" s="1032" t="s">
        <v>882</v>
      </c>
      <c r="J200" s="1032" t="s">
        <v>1030</v>
      </c>
      <c r="K200" s="1032" t="s">
        <v>1031</v>
      </c>
      <c r="M200" s="1032" t="s">
        <v>840</v>
      </c>
      <c r="N200" s="1032">
        <v>46045</v>
      </c>
      <c r="O200" s="1032" t="s">
        <v>1032</v>
      </c>
      <c r="P200" s="1032" t="s">
        <v>1043</v>
      </c>
      <c r="Q200" s="1032" t="s">
        <v>330</v>
      </c>
      <c r="R200" s="1032" t="s">
        <v>73</v>
      </c>
      <c r="S200" s="1032" t="s">
        <v>967</v>
      </c>
      <c r="T200" s="1032">
        <v>625</v>
      </c>
      <c r="U200" s="1032">
        <v>144</v>
      </c>
      <c r="V200" s="1032">
        <v>0.09</v>
      </c>
      <c r="W200" s="1032">
        <v>4</v>
      </c>
      <c r="X200" s="1032">
        <v>0.2</v>
      </c>
      <c r="Y200" s="1032" t="s">
        <v>75</v>
      </c>
      <c r="Z200" s="1032" t="s">
        <v>75</v>
      </c>
      <c r="AB200" s="1033">
        <v>46060</v>
      </c>
      <c r="AC200" s="1032">
        <v>6</v>
      </c>
      <c r="AD200" s="1032" t="s">
        <v>1044</v>
      </c>
      <c r="AF200" s="1032" t="s">
        <v>122</v>
      </c>
      <c r="AG200" s="1032" t="s">
        <v>123</v>
      </c>
      <c r="AH200" s="1032" t="s">
        <v>888</v>
      </c>
      <c r="AI200" s="1033">
        <v>46070</v>
      </c>
      <c r="AJ200" s="1033">
        <v>46071</v>
      </c>
      <c r="AK200" s="1033">
        <v>46071</v>
      </c>
      <c r="AL200" s="1033">
        <v>46120</v>
      </c>
      <c r="AM200" s="1033">
        <v>46126</v>
      </c>
      <c r="AN200" s="1033">
        <v>46125</v>
      </c>
      <c r="AO200" s="1032" t="s">
        <v>402</v>
      </c>
      <c r="AP200" s="1032" t="s">
        <v>1035</v>
      </c>
      <c r="AQ200" s="1032" t="s">
        <v>80</v>
      </c>
      <c r="AR200" s="1032" t="s">
        <v>1036</v>
      </c>
      <c r="AS200" s="1032" t="s">
        <v>1037</v>
      </c>
      <c r="AT200" s="1032" t="s">
        <v>1037</v>
      </c>
      <c r="AU200" s="1032">
        <v>54</v>
      </c>
      <c r="AW200" s="1033">
        <v>46125</v>
      </c>
      <c r="AX200" s="1032" t="s">
        <v>973</v>
      </c>
      <c r="AY200" s="1033">
        <v>46133</v>
      </c>
      <c r="AZ200" s="1032">
        <v>0</v>
      </c>
      <c r="BA200" s="1033">
        <v>46125</v>
      </c>
      <c r="BB200" s="1032">
        <v>2026</v>
      </c>
      <c r="BC200" s="1032">
        <v>4</v>
      </c>
      <c r="BD200" s="1032">
        <v>16</v>
      </c>
      <c r="BE200" s="1032">
        <v>36</v>
      </c>
      <c r="BF200" s="1032">
        <v>720</v>
      </c>
      <c r="BG200" s="1032" t="s">
        <v>108</v>
      </c>
      <c r="BH200" s="1032" t="s">
        <v>109</v>
      </c>
    </row>
    <row r="201" spans="1:60">
      <c r="A201" s="1032" t="s">
        <v>1045</v>
      </c>
      <c r="B201" s="1032" t="s">
        <v>111</v>
      </c>
      <c r="C201" s="1032" t="s">
        <v>1046</v>
      </c>
      <c r="D201" s="1032" t="s">
        <v>63</v>
      </c>
      <c r="E201" s="1032" t="s">
        <v>64</v>
      </c>
      <c r="F201" s="1032" t="s">
        <v>100</v>
      </c>
      <c r="G201" s="1032" t="s">
        <v>402</v>
      </c>
      <c r="H201" s="1032" t="s">
        <v>67</v>
      </c>
      <c r="I201" s="1032" t="s">
        <v>689</v>
      </c>
      <c r="J201" s="1032" t="s">
        <v>1047</v>
      </c>
      <c r="M201" s="1032" t="s">
        <v>68</v>
      </c>
      <c r="N201" s="1032">
        <v>46062</v>
      </c>
      <c r="O201" s="1032" t="s">
        <v>70</v>
      </c>
      <c r="P201" s="1032" t="s">
        <v>1002</v>
      </c>
      <c r="Q201" s="1032" t="s">
        <v>330</v>
      </c>
      <c r="R201" s="1032" t="s">
        <v>73</v>
      </c>
      <c r="S201" s="1032" t="s">
        <v>992</v>
      </c>
      <c r="T201" s="1032">
        <v>625</v>
      </c>
      <c r="U201" s="1032">
        <v>5040</v>
      </c>
      <c r="V201" s="1032">
        <v>3.15</v>
      </c>
      <c r="W201" s="1032">
        <v>140</v>
      </c>
      <c r="X201" s="1032">
        <v>7</v>
      </c>
      <c r="Y201" s="1032" t="s">
        <v>75</v>
      </c>
      <c r="Z201" s="1032" t="s">
        <v>75</v>
      </c>
      <c r="AB201" s="1033">
        <v>46064</v>
      </c>
      <c r="AC201" s="1032">
        <v>7</v>
      </c>
      <c r="AD201" s="1032" t="s">
        <v>1048</v>
      </c>
      <c r="AF201" s="1032" t="s">
        <v>122</v>
      </c>
      <c r="AG201" s="1032" t="s">
        <v>123</v>
      </c>
      <c r="AH201" s="1032" t="s">
        <v>105</v>
      </c>
      <c r="AI201" s="1033">
        <v>46070</v>
      </c>
      <c r="AJ201" s="1033">
        <v>46069</v>
      </c>
      <c r="AK201" s="1033">
        <v>46069</v>
      </c>
      <c r="AL201" s="1033">
        <v>46109</v>
      </c>
      <c r="AM201" s="1033">
        <v>46126</v>
      </c>
      <c r="AN201" s="1033">
        <v>46127</v>
      </c>
      <c r="AO201" s="1032" t="s">
        <v>402</v>
      </c>
      <c r="AP201" s="1032" t="s">
        <v>1049</v>
      </c>
      <c r="AQ201" s="1032" t="s">
        <v>80</v>
      </c>
      <c r="AR201" s="1032" t="s">
        <v>1050</v>
      </c>
      <c r="AS201" s="1032" t="s">
        <v>1051</v>
      </c>
      <c r="AT201" s="1032" t="s">
        <v>1051</v>
      </c>
      <c r="AU201" s="1032">
        <v>58</v>
      </c>
      <c r="AW201" s="1033">
        <v>46127</v>
      </c>
      <c r="AX201" s="1032" t="s">
        <v>973</v>
      </c>
      <c r="AY201" s="1033">
        <v>46133</v>
      </c>
      <c r="AZ201" s="1032">
        <v>7</v>
      </c>
      <c r="BA201" s="1033">
        <v>46134</v>
      </c>
      <c r="BB201" s="1032">
        <v>2026</v>
      </c>
      <c r="BC201" s="1032">
        <v>4</v>
      </c>
      <c r="BD201" s="1032">
        <v>17</v>
      </c>
      <c r="BE201" s="1032">
        <v>36</v>
      </c>
      <c r="BF201" s="1032">
        <v>720</v>
      </c>
      <c r="BG201" s="1032" t="s">
        <v>128</v>
      </c>
      <c r="BH201" s="1032" t="s">
        <v>109</v>
      </c>
    </row>
    <row r="202" spans="1:60">
      <c r="A202" s="1032" t="s">
        <v>1052</v>
      </c>
      <c r="B202" s="1032" t="s">
        <v>111</v>
      </c>
      <c r="C202" s="1032" t="s">
        <v>1046</v>
      </c>
      <c r="D202" s="1032" t="s">
        <v>63</v>
      </c>
      <c r="E202" s="1032" t="s">
        <v>64</v>
      </c>
      <c r="F202" s="1032" t="s">
        <v>100</v>
      </c>
      <c r="G202" s="1032" t="s">
        <v>402</v>
      </c>
      <c r="H202" s="1032" t="s">
        <v>67</v>
      </c>
      <c r="I202" s="1032" t="s">
        <v>689</v>
      </c>
      <c r="J202" s="1032" t="s">
        <v>1047</v>
      </c>
      <c r="M202" s="1032" t="s">
        <v>68</v>
      </c>
      <c r="N202" s="1032">
        <v>46062</v>
      </c>
      <c r="O202" s="1032" t="s">
        <v>70</v>
      </c>
      <c r="P202" s="1032" t="s">
        <v>1002</v>
      </c>
      <c r="Q202" s="1032" t="s">
        <v>330</v>
      </c>
      <c r="R202" s="1032" t="s">
        <v>73</v>
      </c>
      <c r="S202" s="1032" t="s">
        <v>992</v>
      </c>
      <c r="T202" s="1032">
        <v>625</v>
      </c>
      <c r="U202" s="1032">
        <v>3600</v>
      </c>
      <c r="V202" s="1032">
        <v>2.25</v>
      </c>
      <c r="W202" s="1032">
        <v>100</v>
      </c>
      <c r="X202" s="1032">
        <v>5</v>
      </c>
      <c r="Y202" s="1032" t="s">
        <v>75</v>
      </c>
      <c r="Z202" s="1032" t="s">
        <v>75</v>
      </c>
      <c r="AB202" s="1033">
        <v>46065</v>
      </c>
      <c r="AC202" s="1032">
        <v>7</v>
      </c>
      <c r="AD202" s="1032" t="s">
        <v>1053</v>
      </c>
      <c r="AF202" s="1032" t="s">
        <v>122</v>
      </c>
      <c r="AG202" s="1032" t="s">
        <v>123</v>
      </c>
      <c r="AH202" s="1032" t="s">
        <v>105</v>
      </c>
      <c r="AI202" s="1033">
        <v>46070</v>
      </c>
      <c r="AJ202" s="1033">
        <v>46087</v>
      </c>
      <c r="AK202" s="1033">
        <v>46086</v>
      </c>
      <c r="AL202" s="1033">
        <v>46109</v>
      </c>
      <c r="AM202" s="1033">
        <v>46133</v>
      </c>
      <c r="AN202" s="1033">
        <v>46133</v>
      </c>
      <c r="AO202" s="1032" t="s">
        <v>402</v>
      </c>
      <c r="AP202" s="1032" t="s">
        <v>1049</v>
      </c>
      <c r="AQ202" s="1032" t="s">
        <v>80</v>
      </c>
      <c r="AR202" s="1032" t="s">
        <v>1054</v>
      </c>
      <c r="AS202" s="1032" t="s">
        <v>1055</v>
      </c>
      <c r="AT202" s="1032" t="s">
        <v>1055</v>
      </c>
      <c r="AU202" s="1032">
        <v>47</v>
      </c>
      <c r="AW202" s="1033">
        <v>46133</v>
      </c>
      <c r="AX202" s="1032" t="s">
        <v>973</v>
      </c>
      <c r="AY202" s="1033">
        <v>46146</v>
      </c>
      <c r="AZ202" s="1032">
        <v>7</v>
      </c>
      <c r="BA202" s="1033">
        <v>46140</v>
      </c>
      <c r="BB202" s="1032">
        <v>2026</v>
      </c>
      <c r="BC202" s="1032">
        <v>4</v>
      </c>
      <c r="BD202" s="1032">
        <v>18</v>
      </c>
      <c r="BE202" s="1032">
        <v>36</v>
      </c>
      <c r="BF202" s="1032">
        <v>720</v>
      </c>
      <c r="BG202" s="1032" t="s">
        <v>128</v>
      </c>
      <c r="BH202" s="1032" t="s">
        <v>109</v>
      </c>
    </row>
    <row r="203" spans="1:60">
      <c r="A203" s="1032" t="s">
        <v>1056</v>
      </c>
      <c r="B203" s="1032" t="s">
        <v>111</v>
      </c>
      <c r="C203" s="1032" t="s">
        <v>1007</v>
      </c>
      <c r="D203" s="1032" t="s">
        <v>63</v>
      </c>
      <c r="E203" s="1032" t="s">
        <v>64</v>
      </c>
      <c r="F203" s="1032" t="s">
        <v>100</v>
      </c>
      <c r="G203" s="1032" t="s">
        <v>402</v>
      </c>
      <c r="H203" s="1032" t="s">
        <v>67</v>
      </c>
      <c r="I203" s="1032" t="s">
        <v>68</v>
      </c>
      <c r="J203" s="1032" t="s">
        <v>101</v>
      </c>
      <c r="M203" s="1032" t="s">
        <v>68</v>
      </c>
      <c r="N203" s="1032">
        <v>46045</v>
      </c>
      <c r="O203" s="1032" t="s">
        <v>70</v>
      </c>
      <c r="P203" s="1032" t="s">
        <v>102</v>
      </c>
      <c r="Q203" s="1032" t="s">
        <v>103</v>
      </c>
      <c r="R203" s="1032" t="s">
        <v>73</v>
      </c>
      <c r="S203" s="1032" t="s">
        <v>967</v>
      </c>
      <c r="T203" s="1032">
        <v>620</v>
      </c>
      <c r="U203" s="1032">
        <v>5040</v>
      </c>
      <c r="V203" s="1032">
        <v>3.1248</v>
      </c>
      <c r="W203" s="1032">
        <v>140</v>
      </c>
      <c r="X203" s="1032">
        <v>7</v>
      </c>
      <c r="Y203" s="1032" t="s">
        <v>75</v>
      </c>
      <c r="Z203" s="1032" t="s">
        <v>75</v>
      </c>
      <c r="AB203" s="1033">
        <v>46061</v>
      </c>
      <c r="AC203" s="1032">
        <v>6</v>
      </c>
      <c r="AD203" s="1032" t="s">
        <v>1057</v>
      </c>
      <c r="AF203" s="1032" t="s">
        <v>122</v>
      </c>
      <c r="AG203" s="1032" t="s">
        <v>123</v>
      </c>
      <c r="AH203" s="1032" t="s">
        <v>105</v>
      </c>
      <c r="AI203" s="1033">
        <v>46067</v>
      </c>
      <c r="AJ203" s="1033">
        <v>46087</v>
      </c>
      <c r="AK203" s="1033">
        <v>46086</v>
      </c>
      <c r="AL203" s="1033">
        <v>46108</v>
      </c>
      <c r="AM203" s="1033">
        <v>46133</v>
      </c>
      <c r="AN203" s="1033">
        <v>46133</v>
      </c>
      <c r="AO203" s="1032" t="s">
        <v>402</v>
      </c>
      <c r="AP203" s="1032" t="s">
        <v>829</v>
      </c>
      <c r="AQ203" s="1032" t="s">
        <v>80</v>
      </c>
      <c r="AR203" s="1032" t="s">
        <v>830</v>
      </c>
      <c r="AS203" s="1032" t="s">
        <v>831</v>
      </c>
      <c r="AT203" s="1032" t="s">
        <v>831</v>
      </c>
      <c r="AU203" s="1032">
        <v>47</v>
      </c>
      <c r="AW203" s="1033">
        <v>46133</v>
      </c>
      <c r="AX203" s="1032" t="s">
        <v>973</v>
      </c>
      <c r="AY203" s="1033">
        <v>46146</v>
      </c>
      <c r="AZ203" s="1032">
        <v>7</v>
      </c>
      <c r="BA203" s="1033">
        <v>46140</v>
      </c>
      <c r="BB203" s="1032">
        <v>2026</v>
      </c>
      <c r="BC203" s="1032">
        <v>4</v>
      </c>
      <c r="BD203" s="1032">
        <v>18</v>
      </c>
      <c r="BE203" s="1032">
        <v>36</v>
      </c>
      <c r="BF203" s="1032">
        <v>720</v>
      </c>
      <c r="BG203" s="1032" t="s">
        <v>108</v>
      </c>
      <c r="BH203" s="1032" t="s">
        <v>109</v>
      </c>
    </row>
    <row r="204" spans="1:60">
      <c r="A204" s="1032" t="s">
        <v>1058</v>
      </c>
      <c r="B204" s="1032" t="s">
        <v>111</v>
      </c>
      <c r="C204" s="1032" t="s">
        <v>991</v>
      </c>
      <c r="D204" s="1032" t="s">
        <v>63</v>
      </c>
      <c r="E204" s="1032" t="s">
        <v>64</v>
      </c>
      <c r="F204" s="1032" t="s">
        <v>100</v>
      </c>
      <c r="G204" s="1032" t="s">
        <v>402</v>
      </c>
      <c r="H204" s="1032" t="s">
        <v>67</v>
      </c>
      <c r="I204" s="1032" t="s">
        <v>68</v>
      </c>
      <c r="J204" s="1032" t="s">
        <v>101</v>
      </c>
      <c r="M204" s="1032" t="s">
        <v>68</v>
      </c>
      <c r="N204" s="1032">
        <v>46048</v>
      </c>
      <c r="O204" s="1032" t="s">
        <v>132</v>
      </c>
      <c r="P204" s="1032" t="s">
        <v>133</v>
      </c>
      <c r="Q204" s="1032" t="s">
        <v>134</v>
      </c>
      <c r="R204" s="1032" t="s">
        <v>73</v>
      </c>
      <c r="S204" s="1032" t="s">
        <v>992</v>
      </c>
      <c r="T204" s="1032">
        <v>720</v>
      </c>
      <c r="U204" s="1032">
        <v>594</v>
      </c>
      <c r="V204" s="1032">
        <v>0.42768</v>
      </c>
      <c r="W204" s="1032">
        <v>18</v>
      </c>
      <c r="X204" s="1032">
        <v>1</v>
      </c>
      <c r="Y204" s="1032" t="s">
        <v>75</v>
      </c>
      <c r="Z204" s="1032" t="s">
        <v>75</v>
      </c>
      <c r="AB204" s="1033">
        <v>46061</v>
      </c>
      <c r="AC204" s="1032">
        <v>6</v>
      </c>
      <c r="AD204" s="1032" t="s">
        <v>1059</v>
      </c>
      <c r="AF204" s="1032" t="s">
        <v>122</v>
      </c>
      <c r="AG204" s="1032" t="s">
        <v>123</v>
      </c>
      <c r="AH204" s="1032" t="s">
        <v>105</v>
      </c>
      <c r="AI204" s="1033">
        <v>46067</v>
      </c>
      <c r="AJ204" s="1033">
        <v>46087</v>
      </c>
      <c r="AK204" s="1033">
        <v>46086</v>
      </c>
      <c r="AL204" s="1033">
        <v>46108</v>
      </c>
      <c r="AM204" s="1033">
        <v>46133</v>
      </c>
      <c r="AN204" s="1033">
        <v>46133</v>
      </c>
      <c r="AO204" s="1032" t="s">
        <v>402</v>
      </c>
      <c r="AP204" s="1032" t="s">
        <v>829</v>
      </c>
      <c r="AQ204" s="1032" t="s">
        <v>80</v>
      </c>
      <c r="AR204" s="1032" t="s">
        <v>830</v>
      </c>
      <c r="AS204" s="1032" t="s">
        <v>831</v>
      </c>
      <c r="AT204" s="1032" t="s">
        <v>831</v>
      </c>
      <c r="AU204" s="1032">
        <v>47</v>
      </c>
      <c r="AW204" s="1033">
        <v>46133</v>
      </c>
      <c r="AX204" s="1032" t="s">
        <v>973</v>
      </c>
      <c r="AY204" s="1033">
        <v>46146</v>
      </c>
      <c r="AZ204" s="1032">
        <v>7</v>
      </c>
      <c r="BA204" s="1033">
        <v>46140</v>
      </c>
      <c r="BB204" s="1032">
        <v>2026</v>
      </c>
      <c r="BC204" s="1032">
        <v>4</v>
      </c>
      <c r="BD204" s="1032">
        <v>18</v>
      </c>
      <c r="BE204" s="1032">
        <v>33</v>
      </c>
      <c r="BF204" s="1032">
        <v>594</v>
      </c>
      <c r="BG204" s="1032" t="s">
        <v>108</v>
      </c>
      <c r="BH204" s="1032" t="s">
        <v>109</v>
      </c>
    </row>
    <row r="205" spans="1:60">
      <c r="A205" s="1032" t="s">
        <v>1060</v>
      </c>
      <c r="B205" s="1032" t="s">
        <v>111</v>
      </c>
      <c r="C205" s="1032" t="s">
        <v>1061</v>
      </c>
      <c r="D205" s="1032" t="s">
        <v>63</v>
      </c>
      <c r="E205" s="1032" t="s">
        <v>64</v>
      </c>
      <c r="F205" s="1032" t="s">
        <v>100</v>
      </c>
      <c r="G205" s="1032" t="s">
        <v>402</v>
      </c>
      <c r="H205" s="1032" t="s">
        <v>67</v>
      </c>
      <c r="I205" s="1032" t="s">
        <v>869</v>
      </c>
      <c r="J205" s="1032" t="s">
        <v>101</v>
      </c>
      <c r="M205" s="1032" t="s">
        <v>68</v>
      </c>
      <c r="N205" s="1032">
        <v>46069</v>
      </c>
      <c r="O205" s="1032" t="s">
        <v>132</v>
      </c>
      <c r="P205" s="1032" t="s">
        <v>1062</v>
      </c>
      <c r="Q205" s="1032" t="s">
        <v>1063</v>
      </c>
      <c r="R205" s="1032" t="s">
        <v>73</v>
      </c>
      <c r="S205" s="1032" t="s">
        <v>967</v>
      </c>
      <c r="T205" s="1032">
        <v>470</v>
      </c>
      <c r="U205" s="1032">
        <v>3456</v>
      </c>
      <c r="V205" s="1032">
        <v>1.62432</v>
      </c>
      <c r="W205" s="1032">
        <v>96</v>
      </c>
      <c r="X205" s="1032">
        <v>4</v>
      </c>
      <c r="Y205" s="1032" t="s">
        <v>75</v>
      </c>
      <c r="Z205" s="1032" t="s">
        <v>75</v>
      </c>
      <c r="AB205" s="1033">
        <v>46064</v>
      </c>
      <c r="AC205" s="1032">
        <v>7</v>
      </c>
      <c r="AD205" s="1032" t="s">
        <v>1064</v>
      </c>
      <c r="AF205" s="1032" t="s">
        <v>122</v>
      </c>
      <c r="AG205" s="1032" t="s">
        <v>123</v>
      </c>
      <c r="AH205" s="1032" t="s">
        <v>105</v>
      </c>
      <c r="AI205" s="1033">
        <v>46071</v>
      </c>
      <c r="AJ205" s="1033">
        <v>46075</v>
      </c>
      <c r="AK205" s="1033">
        <v>46075</v>
      </c>
      <c r="AL205" s="1033">
        <v>46106</v>
      </c>
      <c r="AM205" s="1033">
        <v>46114</v>
      </c>
      <c r="AN205" s="1033">
        <v>46116</v>
      </c>
      <c r="AO205" s="1032" t="s">
        <v>402</v>
      </c>
      <c r="AP205" s="1032" t="s">
        <v>1065</v>
      </c>
      <c r="AQ205" s="1032" t="s">
        <v>80</v>
      </c>
      <c r="AR205" s="1032" t="s">
        <v>1066</v>
      </c>
      <c r="AS205" s="1032" t="s">
        <v>1067</v>
      </c>
      <c r="AT205" s="1032" t="s">
        <v>1067</v>
      </c>
      <c r="AU205" s="1032">
        <v>41</v>
      </c>
      <c r="AW205" s="1033">
        <v>46116</v>
      </c>
      <c r="AX205" s="1032" t="s">
        <v>973</v>
      </c>
      <c r="AY205" s="1033">
        <v>46125</v>
      </c>
      <c r="AZ205" s="1032">
        <v>7</v>
      </c>
      <c r="BA205" s="1033">
        <v>46123</v>
      </c>
      <c r="BB205" s="1032">
        <v>2026</v>
      </c>
      <c r="BC205" s="1032">
        <v>4</v>
      </c>
      <c r="BD205" s="1032">
        <v>15</v>
      </c>
      <c r="BE205" s="1032">
        <v>36</v>
      </c>
      <c r="BF205" s="1032">
        <v>864</v>
      </c>
      <c r="BG205" s="1032" t="s">
        <v>108</v>
      </c>
      <c r="BH205" s="1032" t="s">
        <v>109</v>
      </c>
    </row>
    <row r="206" spans="1:60">
      <c r="A206" s="1032" t="s">
        <v>1068</v>
      </c>
      <c r="B206" s="1032" t="s">
        <v>111</v>
      </c>
      <c r="C206" s="1032" t="s">
        <v>1061</v>
      </c>
      <c r="D206" s="1032" t="s">
        <v>63</v>
      </c>
      <c r="E206" s="1032" t="s">
        <v>64</v>
      </c>
      <c r="F206" s="1032" t="s">
        <v>450</v>
      </c>
      <c r="G206" s="1032" t="s">
        <v>402</v>
      </c>
      <c r="H206" s="1032" t="s">
        <v>451</v>
      </c>
      <c r="I206" s="1032" t="s">
        <v>689</v>
      </c>
      <c r="J206" s="1032" t="s">
        <v>812</v>
      </c>
      <c r="M206" s="1032" t="s">
        <v>68</v>
      </c>
      <c r="N206" s="1032">
        <v>46069</v>
      </c>
      <c r="O206" s="1032" t="s">
        <v>132</v>
      </c>
      <c r="P206" s="1032" t="s">
        <v>1062</v>
      </c>
      <c r="Q206" s="1032" t="s">
        <v>1063</v>
      </c>
      <c r="R206" s="1032" t="s">
        <v>73</v>
      </c>
      <c r="S206" s="1032" t="s">
        <v>967</v>
      </c>
      <c r="T206" s="1032">
        <v>470</v>
      </c>
      <c r="U206" s="1032">
        <v>864</v>
      </c>
      <c r="V206" s="1032">
        <v>0.40608</v>
      </c>
      <c r="W206" s="1032">
        <v>24</v>
      </c>
      <c r="X206" s="1032">
        <v>1</v>
      </c>
      <c r="Y206" s="1032" t="s">
        <v>75</v>
      </c>
      <c r="Z206" s="1032" t="s">
        <v>75</v>
      </c>
      <c r="AB206" s="1033">
        <v>46064</v>
      </c>
      <c r="AC206" s="1032">
        <v>7</v>
      </c>
      <c r="AD206" s="1032" t="s">
        <v>1069</v>
      </c>
      <c r="AF206" s="1032" t="s">
        <v>122</v>
      </c>
      <c r="AG206" s="1032" t="s">
        <v>123</v>
      </c>
      <c r="AH206" s="1032" t="s">
        <v>456</v>
      </c>
      <c r="AI206" s="1033">
        <v>46070</v>
      </c>
      <c r="AJ206" s="1033">
        <v>46079</v>
      </c>
      <c r="AK206" s="1033">
        <v>46079</v>
      </c>
      <c r="AL206" s="1033">
        <v>46110</v>
      </c>
      <c r="AM206" s="1033">
        <v>46124</v>
      </c>
      <c r="AN206" s="1033">
        <v>46124</v>
      </c>
      <c r="AO206" s="1032" t="s">
        <v>402</v>
      </c>
      <c r="AP206" s="1032" t="s">
        <v>1035</v>
      </c>
      <c r="AQ206" s="1032" t="s">
        <v>80</v>
      </c>
      <c r="AR206" s="1032" t="s">
        <v>1070</v>
      </c>
      <c r="AS206" s="1032" t="s">
        <v>1071</v>
      </c>
      <c r="AT206" s="1032" t="s">
        <v>1071</v>
      </c>
      <c r="AU206" s="1032">
        <v>45</v>
      </c>
      <c r="AW206" s="1033">
        <v>46124</v>
      </c>
      <c r="AX206" s="1032" t="s">
        <v>973</v>
      </c>
      <c r="AY206" s="1033">
        <v>46131</v>
      </c>
      <c r="AZ206" s="1032">
        <v>7</v>
      </c>
      <c r="BA206" s="1033">
        <v>46131</v>
      </c>
      <c r="BB206" s="1032">
        <v>2026</v>
      </c>
      <c r="BC206" s="1032">
        <v>4</v>
      </c>
      <c r="BD206" s="1032">
        <v>16</v>
      </c>
      <c r="BE206" s="1032">
        <v>36</v>
      </c>
      <c r="BF206" s="1032">
        <v>864</v>
      </c>
      <c r="BG206" s="1032" t="s">
        <v>108</v>
      </c>
      <c r="BH206" s="1032" t="s">
        <v>109</v>
      </c>
    </row>
    <row r="207" spans="1:60">
      <c r="A207" s="1032" t="s">
        <v>1072</v>
      </c>
      <c r="B207" s="1032" t="s">
        <v>61</v>
      </c>
      <c r="C207" s="1032" t="s">
        <v>203</v>
      </c>
      <c r="D207" s="1032" t="s">
        <v>63</v>
      </c>
      <c r="E207" s="1032" t="s">
        <v>144</v>
      </c>
      <c r="F207" s="1032" t="s">
        <v>145</v>
      </c>
      <c r="G207" s="1032" t="s">
        <v>402</v>
      </c>
      <c r="H207" s="1032" t="s">
        <v>1029</v>
      </c>
      <c r="I207" s="1032" t="s">
        <v>68</v>
      </c>
      <c r="J207" s="1032" t="s">
        <v>1030</v>
      </c>
      <c r="K207" s="1032" t="s">
        <v>1031</v>
      </c>
      <c r="M207" s="1032" t="s">
        <v>840</v>
      </c>
      <c r="N207" s="1032">
        <v>46045</v>
      </c>
      <c r="O207" s="1032" t="s">
        <v>1032</v>
      </c>
      <c r="P207" s="1032" t="s">
        <v>885</v>
      </c>
      <c r="Q207" s="1032" t="s">
        <v>886</v>
      </c>
      <c r="R207" s="1032" t="s">
        <v>73</v>
      </c>
      <c r="S207" s="1032" t="s">
        <v>992</v>
      </c>
      <c r="T207" s="1032">
        <v>615</v>
      </c>
      <c r="U207" s="1032">
        <v>144</v>
      </c>
      <c r="V207" s="1032">
        <v>8.856E-2</v>
      </c>
      <c r="W207" s="1032">
        <v>4</v>
      </c>
      <c r="X207" s="1032">
        <v>0.2</v>
      </c>
      <c r="Y207" s="1032" t="s">
        <v>75</v>
      </c>
      <c r="Z207" s="1032" t="s">
        <v>75</v>
      </c>
      <c r="AB207" s="1033">
        <v>46062</v>
      </c>
      <c r="AC207" s="1032">
        <v>7</v>
      </c>
      <c r="AD207" s="1032" t="s">
        <v>1073</v>
      </c>
      <c r="AF207" s="1032" t="s">
        <v>77</v>
      </c>
      <c r="AG207" s="1032" t="s">
        <v>61</v>
      </c>
      <c r="AH207" s="1032" t="s">
        <v>888</v>
      </c>
      <c r="AI207" s="1033">
        <v>46080</v>
      </c>
      <c r="AJ207" s="1033">
        <v>46081</v>
      </c>
      <c r="AK207" s="1033">
        <v>46081</v>
      </c>
      <c r="AL207" s="1033">
        <v>46141</v>
      </c>
      <c r="AM207" s="1033">
        <v>46148</v>
      </c>
      <c r="AN207" s="1033">
        <v>46147</v>
      </c>
      <c r="AO207" s="1032" t="s">
        <v>402</v>
      </c>
      <c r="AP207" s="1032" t="s">
        <v>850</v>
      </c>
      <c r="AQ207" s="1032" t="s">
        <v>80</v>
      </c>
      <c r="AR207" s="1032" t="s">
        <v>1074</v>
      </c>
      <c r="AS207" s="1032" t="s">
        <v>1075</v>
      </c>
      <c r="AT207" s="1032" t="s">
        <v>1075</v>
      </c>
      <c r="AU207" s="1032">
        <v>66</v>
      </c>
      <c r="AW207" s="1033">
        <v>46147</v>
      </c>
      <c r="AX207" s="1032" t="s">
        <v>973</v>
      </c>
      <c r="AY207" s="1033">
        <v>46154</v>
      </c>
      <c r="AZ207" s="1032">
        <v>0</v>
      </c>
      <c r="BA207" s="1033">
        <v>46147</v>
      </c>
      <c r="BB207" s="1032">
        <v>2026</v>
      </c>
      <c r="BC207" s="1032">
        <v>5</v>
      </c>
      <c r="BD207" s="1032">
        <v>19</v>
      </c>
      <c r="BE207" s="1032">
        <v>36</v>
      </c>
      <c r="BF207" s="1032">
        <v>720</v>
      </c>
      <c r="BG207" s="1032" t="s">
        <v>108</v>
      </c>
      <c r="BH207" s="1032" t="s">
        <v>109</v>
      </c>
    </row>
    <row r="208" spans="1:60">
      <c r="A208" s="1032" t="s">
        <v>1076</v>
      </c>
      <c r="B208" s="1032" t="s">
        <v>61</v>
      </c>
      <c r="C208" s="1032" t="s">
        <v>203</v>
      </c>
      <c r="D208" s="1032" t="s">
        <v>63</v>
      </c>
      <c r="E208" s="1032" t="s">
        <v>144</v>
      </c>
      <c r="F208" s="1032" t="s">
        <v>145</v>
      </c>
      <c r="G208" s="1032" t="s">
        <v>402</v>
      </c>
      <c r="H208" s="1032" t="s">
        <v>1029</v>
      </c>
      <c r="I208" s="1032" t="s">
        <v>68</v>
      </c>
      <c r="J208" s="1032" t="s">
        <v>1030</v>
      </c>
      <c r="K208" s="1032" t="s">
        <v>1031</v>
      </c>
      <c r="M208" s="1032" t="s">
        <v>840</v>
      </c>
      <c r="N208" s="1032">
        <v>46045</v>
      </c>
      <c r="O208" s="1032" t="s">
        <v>1032</v>
      </c>
      <c r="P208" s="1032" t="s">
        <v>1077</v>
      </c>
      <c r="Q208" s="1032" t="s">
        <v>103</v>
      </c>
      <c r="R208" s="1032" t="s">
        <v>73</v>
      </c>
      <c r="S208" s="1032" t="s">
        <v>992</v>
      </c>
      <c r="T208" s="1032">
        <v>620</v>
      </c>
      <c r="U208" s="1032">
        <v>2736</v>
      </c>
      <c r="V208" s="1032">
        <v>1.6963200000000001</v>
      </c>
      <c r="W208" s="1032">
        <v>76</v>
      </c>
      <c r="X208" s="1032">
        <v>3.8</v>
      </c>
      <c r="Y208" s="1032" t="s">
        <v>75</v>
      </c>
      <c r="Z208" s="1032" t="s">
        <v>75</v>
      </c>
      <c r="AB208" s="1033">
        <v>46062</v>
      </c>
      <c r="AC208" s="1032">
        <v>7</v>
      </c>
      <c r="AD208" s="1032" t="s">
        <v>1078</v>
      </c>
      <c r="AF208" s="1032" t="s">
        <v>77</v>
      </c>
      <c r="AG208" s="1032" t="s">
        <v>61</v>
      </c>
      <c r="AH208" s="1032" t="s">
        <v>888</v>
      </c>
      <c r="AI208" s="1033">
        <v>46080</v>
      </c>
      <c r="AJ208" s="1033">
        <v>46081</v>
      </c>
      <c r="AK208" s="1033">
        <v>46081</v>
      </c>
      <c r="AL208" s="1033">
        <v>46141</v>
      </c>
      <c r="AM208" s="1033">
        <v>46148</v>
      </c>
      <c r="AN208" s="1033">
        <v>46147</v>
      </c>
      <c r="AO208" s="1032" t="s">
        <v>402</v>
      </c>
      <c r="AP208" s="1032" t="s">
        <v>850</v>
      </c>
      <c r="AQ208" s="1032" t="s">
        <v>80</v>
      </c>
      <c r="AR208" s="1032" t="s">
        <v>1074</v>
      </c>
      <c r="AS208" s="1032" t="s">
        <v>1075</v>
      </c>
      <c r="AT208" s="1032" t="s">
        <v>1075</v>
      </c>
      <c r="AU208" s="1032">
        <v>66</v>
      </c>
      <c r="AW208" s="1033">
        <v>46147</v>
      </c>
      <c r="AX208" s="1032" t="s">
        <v>973</v>
      </c>
      <c r="AY208" s="1033">
        <v>46154</v>
      </c>
      <c r="AZ208" s="1032">
        <v>0</v>
      </c>
      <c r="BA208" s="1033">
        <v>46147</v>
      </c>
      <c r="BB208" s="1032">
        <v>2026</v>
      </c>
      <c r="BC208" s="1032">
        <v>5</v>
      </c>
      <c r="BD208" s="1032">
        <v>19</v>
      </c>
      <c r="BE208" s="1032">
        <v>36</v>
      </c>
      <c r="BF208" s="1032">
        <v>720</v>
      </c>
      <c r="BG208" s="1032" t="s">
        <v>108</v>
      </c>
      <c r="BH208" s="1032" t="s">
        <v>109</v>
      </c>
    </row>
    <row r="209" spans="1:60">
      <c r="A209" s="1032" t="s">
        <v>1079</v>
      </c>
      <c r="B209" s="1032" t="s">
        <v>61</v>
      </c>
      <c r="C209" s="1032" t="s">
        <v>1021</v>
      </c>
      <c r="D209" s="1032" t="s">
        <v>63</v>
      </c>
      <c r="E209" s="1032" t="s">
        <v>144</v>
      </c>
      <c r="F209" s="1032" t="s">
        <v>145</v>
      </c>
      <c r="G209" s="1032" t="s">
        <v>402</v>
      </c>
      <c r="H209" s="1032" t="s">
        <v>1080</v>
      </c>
      <c r="I209" s="1032" t="s">
        <v>882</v>
      </c>
      <c r="J209" s="1032" t="s">
        <v>1081</v>
      </c>
      <c r="K209" s="1032" t="s">
        <v>1082</v>
      </c>
      <c r="M209" s="1032" t="s">
        <v>840</v>
      </c>
      <c r="N209" s="1032">
        <v>46055</v>
      </c>
      <c r="O209" s="1032" t="s">
        <v>70</v>
      </c>
      <c r="P209" s="1032" t="s">
        <v>965</v>
      </c>
      <c r="Q209" s="1032" t="s">
        <v>966</v>
      </c>
      <c r="R209" s="1032" t="s">
        <v>73</v>
      </c>
      <c r="S209" s="1032" t="s">
        <v>967</v>
      </c>
      <c r="T209" s="1032">
        <v>455</v>
      </c>
      <c r="U209" s="1032">
        <v>1872</v>
      </c>
      <c r="V209" s="1032">
        <v>0.85175999999999996</v>
      </c>
      <c r="W209" s="1032">
        <v>52</v>
      </c>
      <c r="X209" s="1032">
        <v>2</v>
      </c>
      <c r="Y209" s="1032" t="s">
        <v>75</v>
      </c>
      <c r="Z209" s="1032" t="s">
        <v>75</v>
      </c>
      <c r="AB209" s="1033">
        <v>46061</v>
      </c>
      <c r="AC209" s="1032">
        <v>6</v>
      </c>
      <c r="AD209" s="1032" t="s">
        <v>1083</v>
      </c>
      <c r="AF209" s="1032" t="s">
        <v>77</v>
      </c>
      <c r="AG209" s="1032" t="s">
        <v>61</v>
      </c>
      <c r="AH209" s="1032" t="s">
        <v>1084</v>
      </c>
      <c r="AI209" s="1033">
        <v>46070</v>
      </c>
      <c r="AJ209" s="1033">
        <v>46071</v>
      </c>
      <c r="AK209" s="1033">
        <v>46071</v>
      </c>
      <c r="AL209" s="1033">
        <v>46131</v>
      </c>
      <c r="AM209" s="1033">
        <v>46138</v>
      </c>
      <c r="AN209" s="1033">
        <v>46139</v>
      </c>
      <c r="AO209" s="1032" t="s">
        <v>402</v>
      </c>
      <c r="AP209" s="1032" t="s">
        <v>1085</v>
      </c>
      <c r="AQ209" s="1032" t="s">
        <v>161</v>
      </c>
      <c r="AR209" s="1032" t="s">
        <v>1086</v>
      </c>
      <c r="AS209" s="1032" t="s">
        <v>1087</v>
      </c>
      <c r="AT209" s="1032" t="s">
        <v>1087</v>
      </c>
      <c r="AU209" s="1032">
        <v>68</v>
      </c>
      <c r="AW209" s="1033">
        <v>46139</v>
      </c>
      <c r="AX209" s="1032" t="s">
        <v>973</v>
      </c>
      <c r="AY209" s="1033">
        <v>46152</v>
      </c>
      <c r="AZ209" s="1032">
        <v>0</v>
      </c>
      <c r="BA209" s="1033">
        <v>46139</v>
      </c>
      <c r="BB209" s="1032">
        <v>2026</v>
      </c>
      <c r="BC209" s="1032">
        <v>4</v>
      </c>
      <c r="BD209" s="1032">
        <v>18</v>
      </c>
      <c r="BE209" s="1032">
        <v>36</v>
      </c>
      <c r="BF209" s="1032">
        <v>936</v>
      </c>
      <c r="BG209" s="1032" t="s">
        <v>85</v>
      </c>
      <c r="BH209" s="1032" t="s">
        <v>109</v>
      </c>
    </row>
    <row r="210" spans="1:60">
      <c r="A210" s="1032" t="s">
        <v>1088</v>
      </c>
      <c r="B210" s="1032" t="s">
        <v>61</v>
      </c>
      <c r="C210" s="1032" t="s">
        <v>1021</v>
      </c>
      <c r="D210" s="1032" t="s">
        <v>63</v>
      </c>
      <c r="E210" s="1032" t="s">
        <v>144</v>
      </c>
      <c r="F210" s="1032" t="s">
        <v>145</v>
      </c>
      <c r="G210" s="1032" t="s">
        <v>402</v>
      </c>
      <c r="H210" s="1032" t="s">
        <v>1080</v>
      </c>
      <c r="I210" s="1032" t="s">
        <v>882</v>
      </c>
      <c r="J210" s="1032" t="s">
        <v>1081</v>
      </c>
      <c r="K210" s="1032" t="s">
        <v>1082</v>
      </c>
      <c r="M210" s="1032" t="s">
        <v>840</v>
      </c>
      <c r="N210" s="1032">
        <v>46055</v>
      </c>
      <c r="O210" s="1032" t="s">
        <v>70</v>
      </c>
      <c r="P210" s="1032" t="s">
        <v>965</v>
      </c>
      <c r="Q210" s="1032" t="s">
        <v>966</v>
      </c>
      <c r="R210" s="1032" t="s">
        <v>73</v>
      </c>
      <c r="S210" s="1032" t="s">
        <v>967</v>
      </c>
      <c r="T210" s="1032">
        <v>455</v>
      </c>
      <c r="U210" s="1032">
        <v>1872</v>
      </c>
      <c r="V210" s="1032">
        <v>0.85175999999999996</v>
      </c>
      <c r="W210" s="1032">
        <v>52</v>
      </c>
      <c r="X210" s="1032">
        <v>2</v>
      </c>
      <c r="Y210" s="1032" t="s">
        <v>75</v>
      </c>
      <c r="Z210" s="1032" t="s">
        <v>75</v>
      </c>
      <c r="AB210" s="1033">
        <v>46061</v>
      </c>
      <c r="AC210" s="1032">
        <v>6</v>
      </c>
      <c r="AD210" s="1032" t="s">
        <v>1089</v>
      </c>
      <c r="AF210" s="1032" t="s">
        <v>77</v>
      </c>
      <c r="AG210" s="1032" t="s">
        <v>61</v>
      </c>
      <c r="AH210" s="1032" t="s">
        <v>1084</v>
      </c>
      <c r="AI210" s="1033">
        <v>46070</v>
      </c>
      <c r="AJ210" s="1033">
        <v>46071</v>
      </c>
      <c r="AK210" s="1033">
        <v>46071</v>
      </c>
      <c r="AL210" s="1033">
        <v>46131</v>
      </c>
      <c r="AM210" s="1033">
        <v>46138</v>
      </c>
      <c r="AN210" s="1033">
        <v>46139</v>
      </c>
      <c r="AO210" s="1032" t="s">
        <v>402</v>
      </c>
      <c r="AP210" s="1032" t="s">
        <v>1085</v>
      </c>
      <c r="AQ210" s="1032" t="s">
        <v>161</v>
      </c>
      <c r="AR210" s="1032" t="s">
        <v>1086</v>
      </c>
      <c r="AS210" s="1032" t="s">
        <v>1087</v>
      </c>
      <c r="AT210" s="1032" t="s">
        <v>1087</v>
      </c>
      <c r="AU210" s="1032">
        <v>68</v>
      </c>
      <c r="AW210" s="1033">
        <v>46139</v>
      </c>
      <c r="AX210" s="1032" t="s">
        <v>973</v>
      </c>
      <c r="AY210" s="1033">
        <v>46152</v>
      </c>
      <c r="AZ210" s="1032">
        <v>0</v>
      </c>
      <c r="BA210" s="1033">
        <v>46139</v>
      </c>
      <c r="BB210" s="1032">
        <v>2026</v>
      </c>
      <c r="BC210" s="1032">
        <v>4</v>
      </c>
      <c r="BD210" s="1032">
        <v>18</v>
      </c>
      <c r="BE210" s="1032">
        <v>36</v>
      </c>
      <c r="BF210" s="1032">
        <v>936</v>
      </c>
      <c r="BG210" s="1032" t="s">
        <v>85</v>
      </c>
      <c r="BH210" s="1032" t="s">
        <v>109</v>
      </c>
    </row>
    <row r="211" spans="1:60">
      <c r="A211" s="1032" t="s">
        <v>1090</v>
      </c>
      <c r="B211" s="1032" t="s">
        <v>111</v>
      </c>
      <c r="C211" s="1032" t="s">
        <v>1091</v>
      </c>
      <c r="D211" s="1032" t="s">
        <v>63</v>
      </c>
      <c r="E211" s="1032" t="s">
        <v>64</v>
      </c>
      <c r="F211" s="1032" t="s">
        <v>100</v>
      </c>
      <c r="G211" s="1032" t="s">
        <v>402</v>
      </c>
      <c r="H211" s="1032" t="s">
        <v>67</v>
      </c>
      <c r="I211" s="1032" t="s">
        <v>822</v>
      </c>
      <c r="J211" s="1032" t="s">
        <v>293</v>
      </c>
      <c r="M211" s="1032" t="s">
        <v>68</v>
      </c>
      <c r="N211" s="1032">
        <v>46069</v>
      </c>
      <c r="O211" s="1032" t="s">
        <v>132</v>
      </c>
      <c r="P211" s="1032" t="s">
        <v>189</v>
      </c>
      <c r="Q211" s="1032" t="s">
        <v>190</v>
      </c>
      <c r="R211" s="1032" t="s">
        <v>73</v>
      </c>
      <c r="S211" s="1032" t="s">
        <v>967</v>
      </c>
      <c r="T211" s="1032">
        <v>465</v>
      </c>
      <c r="U211" s="1032">
        <v>4320</v>
      </c>
      <c r="V211" s="1032">
        <v>2.0087999999999999</v>
      </c>
      <c r="W211" s="1032">
        <v>120</v>
      </c>
      <c r="X211" s="1032">
        <v>5</v>
      </c>
      <c r="Y211" s="1032" t="s">
        <v>75</v>
      </c>
      <c r="Z211" s="1032" t="s">
        <v>75</v>
      </c>
      <c r="AB211" s="1033">
        <v>46073</v>
      </c>
      <c r="AC211" s="1032">
        <v>8</v>
      </c>
      <c r="AD211" s="1032" t="s">
        <v>1092</v>
      </c>
      <c r="AF211" s="1032" t="s">
        <v>122</v>
      </c>
      <c r="AG211" s="1032" t="s">
        <v>123</v>
      </c>
      <c r="AH211" s="1032" t="s">
        <v>105</v>
      </c>
      <c r="AI211" s="1033">
        <v>46076</v>
      </c>
      <c r="AJ211" s="1033">
        <v>46076</v>
      </c>
      <c r="AK211" s="1033">
        <v>46076</v>
      </c>
      <c r="AL211" s="1033">
        <v>46113</v>
      </c>
      <c r="AM211" s="1033">
        <v>46122</v>
      </c>
      <c r="AN211" s="1033">
        <v>46122</v>
      </c>
      <c r="AO211" s="1032" t="s">
        <v>402</v>
      </c>
      <c r="AQ211" s="1032" t="s">
        <v>80</v>
      </c>
      <c r="AR211" s="1032" t="s">
        <v>1093</v>
      </c>
      <c r="AS211" s="1032" t="s">
        <v>1094</v>
      </c>
      <c r="AT211" s="1032" t="s">
        <v>1094</v>
      </c>
      <c r="AU211" s="1032">
        <v>46</v>
      </c>
      <c r="AW211" s="1033">
        <v>46122</v>
      </c>
      <c r="AX211" s="1032" t="s">
        <v>973</v>
      </c>
      <c r="AY211" s="1033">
        <v>46131</v>
      </c>
      <c r="AZ211" s="1032">
        <v>7</v>
      </c>
      <c r="BA211" s="1033">
        <v>46129</v>
      </c>
      <c r="BB211" s="1032">
        <v>2026</v>
      </c>
      <c r="BC211" s="1032">
        <v>4</v>
      </c>
      <c r="BD211" s="1032">
        <v>16</v>
      </c>
      <c r="BE211" s="1032">
        <v>36</v>
      </c>
      <c r="BF211" s="1032">
        <v>864</v>
      </c>
      <c r="BG211" s="1032" t="s">
        <v>108</v>
      </c>
      <c r="BH211" s="1032" t="s">
        <v>109</v>
      </c>
    </row>
    <row r="212" spans="1:60">
      <c r="A212" s="1032" t="s">
        <v>1095</v>
      </c>
      <c r="B212" s="1032" t="s">
        <v>111</v>
      </c>
      <c r="C212" s="1032" t="s">
        <v>1061</v>
      </c>
      <c r="D212" s="1032" t="s">
        <v>63</v>
      </c>
      <c r="E212" s="1032" t="s">
        <v>64</v>
      </c>
      <c r="F212" s="1032" t="s">
        <v>100</v>
      </c>
      <c r="G212" s="1032" t="s">
        <v>402</v>
      </c>
      <c r="H212" s="1032" t="s">
        <v>67</v>
      </c>
      <c r="I212" s="1032" t="s">
        <v>822</v>
      </c>
      <c r="J212" s="1032" t="s">
        <v>1096</v>
      </c>
      <c r="M212" s="1032" t="s">
        <v>68</v>
      </c>
      <c r="N212" s="1032">
        <v>46069</v>
      </c>
      <c r="O212" s="1032" t="s">
        <v>132</v>
      </c>
      <c r="P212" s="1032" t="s">
        <v>1062</v>
      </c>
      <c r="Q212" s="1032" t="s">
        <v>1063</v>
      </c>
      <c r="R212" s="1032" t="s">
        <v>73</v>
      </c>
      <c r="S212" s="1032" t="s">
        <v>967</v>
      </c>
      <c r="T212" s="1032">
        <v>470</v>
      </c>
      <c r="U212" s="1032">
        <v>4320</v>
      </c>
      <c r="V212" s="1032">
        <v>2.0304000000000002</v>
      </c>
      <c r="W212" s="1032">
        <v>120</v>
      </c>
      <c r="X212" s="1032">
        <v>5</v>
      </c>
      <c r="Y212" s="1032" t="s">
        <v>75</v>
      </c>
      <c r="Z212" s="1032" t="s">
        <v>75</v>
      </c>
      <c r="AB212" s="1033">
        <v>46073</v>
      </c>
      <c r="AC212" s="1032">
        <v>8</v>
      </c>
      <c r="AD212" s="1032" t="s">
        <v>1097</v>
      </c>
      <c r="AF212" s="1032" t="s">
        <v>122</v>
      </c>
      <c r="AG212" s="1032" t="s">
        <v>123</v>
      </c>
      <c r="AH212" s="1032" t="s">
        <v>105</v>
      </c>
      <c r="AI212" s="1033">
        <v>46076</v>
      </c>
      <c r="AJ212" s="1033">
        <v>46076</v>
      </c>
      <c r="AK212" s="1033">
        <v>46076</v>
      </c>
      <c r="AL212" s="1033">
        <v>46113</v>
      </c>
      <c r="AM212" s="1033">
        <v>46122</v>
      </c>
      <c r="AN212" s="1033">
        <v>46122</v>
      </c>
      <c r="AO212" s="1032" t="s">
        <v>402</v>
      </c>
      <c r="AQ212" s="1032" t="s">
        <v>80</v>
      </c>
      <c r="AR212" s="1032" t="s">
        <v>1093</v>
      </c>
      <c r="AS212" s="1032" t="s">
        <v>1094</v>
      </c>
      <c r="AT212" s="1032" t="s">
        <v>1094</v>
      </c>
      <c r="AU212" s="1032">
        <v>46</v>
      </c>
      <c r="AW212" s="1033">
        <v>46122</v>
      </c>
      <c r="AX212" s="1032" t="s">
        <v>973</v>
      </c>
      <c r="AY212" s="1033">
        <v>46131</v>
      </c>
      <c r="AZ212" s="1032">
        <v>7</v>
      </c>
      <c r="BA212" s="1033">
        <v>46129</v>
      </c>
      <c r="BB212" s="1032">
        <v>2026</v>
      </c>
      <c r="BC212" s="1032">
        <v>4</v>
      </c>
      <c r="BD212" s="1032">
        <v>16</v>
      </c>
      <c r="BE212" s="1032">
        <v>36</v>
      </c>
      <c r="BF212" s="1032">
        <v>864</v>
      </c>
      <c r="BG212" s="1032" t="s">
        <v>108</v>
      </c>
      <c r="BH212" s="1032" t="s">
        <v>109</v>
      </c>
    </row>
    <row r="213" spans="1:60">
      <c r="A213" s="1032" t="s">
        <v>1098</v>
      </c>
      <c r="B213" s="1032" t="s">
        <v>111</v>
      </c>
      <c r="C213" s="1032" t="s">
        <v>1061</v>
      </c>
      <c r="D213" s="1032" t="s">
        <v>63</v>
      </c>
      <c r="E213" s="1032" t="s">
        <v>64</v>
      </c>
      <c r="F213" s="1032" t="s">
        <v>100</v>
      </c>
      <c r="G213" s="1032" t="s">
        <v>402</v>
      </c>
      <c r="H213" s="1032" t="s">
        <v>67</v>
      </c>
      <c r="I213" s="1032" t="s">
        <v>869</v>
      </c>
      <c r="J213" s="1032" t="s">
        <v>101</v>
      </c>
      <c r="M213" s="1032" t="s">
        <v>68</v>
      </c>
      <c r="N213" s="1032">
        <v>46069</v>
      </c>
      <c r="O213" s="1032" t="s">
        <v>132</v>
      </c>
      <c r="P213" s="1032" t="s">
        <v>1062</v>
      </c>
      <c r="Q213" s="1032" t="s">
        <v>1063</v>
      </c>
      <c r="R213" s="1032" t="s">
        <v>73</v>
      </c>
      <c r="S213" s="1032" t="s">
        <v>967</v>
      </c>
      <c r="T213" s="1032">
        <v>470</v>
      </c>
      <c r="U213" s="1032">
        <v>3456</v>
      </c>
      <c r="V213" s="1032">
        <v>1.62432</v>
      </c>
      <c r="W213" s="1032">
        <v>96</v>
      </c>
      <c r="X213" s="1032">
        <v>4</v>
      </c>
      <c r="Y213" s="1032" t="s">
        <v>75</v>
      </c>
      <c r="Z213" s="1032" t="s">
        <v>75</v>
      </c>
      <c r="AB213" s="1033">
        <v>46066</v>
      </c>
      <c r="AC213" s="1032">
        <v>7</v>
      </c>
      <c r="AD213" s="1032" t="s">
        <v>1099</v>
      </c>
      <c r="AF213" s="1032" t="s">
        <v>122</v>
      </c>
      <c r="AG213" s="1032" t="s">
        <v>123</v>
      </c>
      <c r="AH213" s="1032" t="s">
        <v>105</v>
      </c>
      <c r="AI213" s="1033">
        <v>46076</v>
      </c>
      <c r="AJ213" s="1033">
        <v>46076</v>
      </c>
      <c r="AK213" s="1033">
        <v>46076</v>
      </c>
      <c r="AL213" s="1033">
        <v>46113</v>
      </c>
      <c r="AM213" s="1033">
        <v>46122</v>
      </c>
      <c r="AN213" s="1033">
        <v>46122</v>
      </c>
      <c r="AO213" s="1032" t="s">
        <v>402</v>
      </c>
      <c r="AQ213" s="1032" t="s">
        <v>80</v>
      </c>
      <c r="AR213" s="1032" t="s">
        <v>1100</v>
      </c>
      <c r="AS213" s="1032" t="s">
        <v>1101</v>
      </c>
      <c r="AT213" s="1032" t="s">
        <v>1101</v>
      </c>
      <c r="AU213" s="1032">
        <v>46</v>
      </c>
      <c r="AW213" s="1033">
        <v>46122</v>
      </c>
      <c r="AX213" s="1032" t="s">
        <v>973</v>
      </c>
      <c r="AY213" s="1033">
        <v>46131</v>
      </c>
      <c r="AZ213" s="1032">
        <v>7</v>
      </c>
      <c r="BA213" s="1033">
        <v>46129</v>
      </c>
      <c r="BB213" s="1032">
        <v>2026</v>
      </c>
      <c r="BC213" s="1032">
        <v>4</v>
      </c>
      <c r="BD213" s="1032">
        <v>16</v>
      </c>
      <c r="BE213" s="1032">
        <v>36</v>
      </c>
      <c r="BF213" s="1032">
        <v>864</v>
      </c>
      <c r="BG213" s="1032" t="s">
        <v>108</v>
      </c>
      <c r="BH213" s="1032" t="s">
        <v>109</v>
      </c>
    </row>
    <row r="214" spans="1:60">
      <c r="A214" s="1032" t="s">
        <v>1102</v>
      </c>
      <c r="B214" s="1032" t="s">
        <v>111</v>
      </c>
      <c r="C214" s="1032" t="s">
        <v>203</v>
      </c>
      <c r="D214" s="1032" t="s">
        <v>63</v>
      </c>
      <c r="E214" s="1032" t="s">
        <v>64</v>
      </c>
      <c r="F214" s="1032" t="s">
        <v>100</v>
      </c>
      <c r="G214" s="1032" t="s">
        <v>402</v>
      </c>
      <c r="H214" s="1032" t="s">
        <v>67</v>
      </c>
      <c r="I214" s="1032" t="s">
        <v>882</v>
      </c>
      <c r="J214" s="1032" t="s">
        <v>1103</v>
      </c>
      <c r="M214" s="1032" t="s">
        <v>68</v>
      </c>
      <c r="N214" s="1032">
        <v>46045</v>
      </c>
      <c r="O214" s="1032" t="s">
        <v>713</v>
      </c>
      <c r="P214" s="1032" t="s">
        <v>1104</v>
      </c>
      <c r="Q214" s="1032" t="s">
        <v>1105</v>
      </c>
      <c r="R214" s="1032" t="s">
        <v>73</v>
      </c>
      <c r="S214" s="1032" t="s">
        <v>992</v>
      </c>
      <c r="T214" s="1032">
        <v>455</v>
      </c>
      <c r="U214" s="1032">
        <v>288</v>
      </c>
      <c r="V214" s="1032">
        <v>0.13103999999999999</v>
      </c>
      <c r="W214" s="1032">
        <v>8</v>
      </c>
      <c r="X214" s="1032">
        <v>0.33333333333333331</v>
      </c>
      <c r="Y214" s="1032" t="s">
        <v>75</v>
      </c>
      <c r="Z214" s="1032" t="s">
        <v>75</v>
      </c>
      <c r="AB214" s="1033">
        <v>46066</v>
      </c>
      <c r="AC214" s="1032">
        <v>7</v>
      </c>
      <c r="AD214" s="1032" t="s">
        <v>1106</v>
      </c>
      <c r="AF214" s="1032" t="s">
        <v>122</v>
      </c>
      <c r="AG214" s="1032" t="s">
        <v>123</v>
      </c>
      <c r="AH214" s="1032" t="s">
        <v>105</v>
      </c>
      <c r="AI214" s="1033">
        <v>46076</v>
      </c>
      <c r="AJ214" s="1033">
        <v>46076</v>
      </c>
      <c r="AK214" s="1033">
        <v>46076</v>
      </c>
      <c r="AL214" s="1033">
        <v>46113</v>
      </c>
      <c r="AM214" s="1033">
        <v>46122</v>
      </c>
      <c r="AN214" s="1033">
        <v>46122</v>
      </c>
      <c r="AO214" s="1032" t="s">
        <v>402</v>
      </c>
      <c r="AQ214" s="1032" t="s">
        <v>80</v>
      </c>
      <c r="AR214" s="1032" t="s">
        <v>1100</v>
      </c>
      <c r="AS214" s="1032" t="s">
        <v>1101</v>
      </c>
      <c r="AT214" s="1032" t="s">
        <v>1101</v>
      </c>
      <c r="AU214" s="1032">
        <v>46</v>
      </c>
      <c r="AW214" s="1033">
        <v>46122</v>
      </c>
      <c r="AX214" s="1032" t="s">
        <v>973</v>
      </c>
      <c r="AY214" s="1033">
        <v>46131</v>
      </c>
      <c r="AZ214" s="1032">
        <v>7</v>
      </c>
      <c r="BA214" s="1033">
        <v>46129</v>
      </c>
      <c r="BB214" s="1032">
        <v>2026</v>
      </c>
      <c r="BC214" s="1032">
        <v>4</v>
      </c>
      <c r="BD214" s="1032">
        <v>16</v>
      </c>
      <c r="BE214" s="1032">
        <v>36</v>
      </c>
      <c r="BF214" s="1032">
        <v>864</v>
      </c>
      <c r="BG214" s="1032" t="s">
        <v>108</v>
      </c>
      <c r="BH214" s="1032" t="s">
        <v>109</v>
      </c>
    </row>
    <row r="215" spans="1:60">
      <c r="A215" s="1032" t="s">
        <v>1107</v>
      </c>
      <c r="B215" s="1032" t="s">
        <v>111</v>
      </c>
      <c r="C215" s="1032" t="s">
        <v>203</v>
      </c>
      <c r="D215" s="1032" t="s">
        <v>63</v>
      </c>
      <c r="E215" s="1032" t="s">
        <v>64</v>
      </c>
      <c r="F215" s="1032" t="s">
        <v>100</v>
      </c>
      <c r="G215" s="1032" t="s">
        <v>402</v>
      </c>
      <c r="H215" s="1032" t="s">
        <v>67</v>
      </c>
      <c r="I215" s="1032" t="s">
        <v>882</v>
      </c>
      <c r="J215" s="1032" t="s">
        <v>1108</v>
      </c>
      <c r="M215" s="1032" t="s">
        <v>68</v>
      </c>
      <c r="N215" s="1032">
        <v>46045</v>
      </c>
      <c r="O215" s="1032" t="s">
        <v>713</v>
      </c>
      <c r="P215" s="1032" t="s">
        <v>1109</v>
      </c>
      <c r="Q215" s="1032" t="s">
        <v>454</v>
      </c>
      <c r="R215" s="1032" t="s">
        <v>73</v>
      </c>
      <c r="S215" s="1032" t="s">
        <v>992</v>
      </c>
      <c r="T215" s="1032">
        <v>460</v>
      </c>
      <c r="U215" s="1032">
        <v>576</v>
      </c>
      <c r="V215" s="1032">
        <v>0.26495999999999997</v>
      </c>
      <c r="W215" s="1032">
        <v>16</v>
      </c>
      <c r="X215" s="1032">
        <v>0.66666666666666663</v>
      </c>
      <c r="Y215" s="1032" t="s">
        <v>75</v>
      </c>
      <c r="Z215" s="1032" t="s">
        <v>75</v>
      </c>
      <c r="AB215" s="1033">
        <v>46066</v>
      </c>
      <c r="AC215" s="1032">
        <v>7</v>
      </c>
      <c r="AD215" s="1032" t="s">
        <v>1110</v>
      </c>
      <c r="AF215" s="1032" t="s">
        <v>122</v>
      </c>
      <c r="AG215" s="1032" t="s">
        <v>123</v>
      </c>
      <c r="AH215" s="1032" t="s">
        <v>105</v>
      </c>
      <c r="AI215" s="1033">
        <v>46076</v>
      </c>
      <c r="AJ215" s="1033">
        <v>46076</v>
      </c>
      <c r="AK215" s="1033">
        <v>46076</v>
      </c>
      <c r="AL215" s="1033">
        <v>46113</v>
      </c>
      <c r="AM215" s="1033">
        <v>46122</v>
      </c>
      <c r="AN215" s="1033">
        <v>46122</v>
      </c>
      <c r="AO215" s="1032" t="s">
        <v>402</v>
      </c>
      <c r="AQ215" s="1032" t="s">
        <v>80</v>
      </c>
      <c r="AR215" s="1032" t="s">
        <v>1100</v>
      </c>
      <c r="AS215" s="1032" t="s">
        <v>1101</v>
      </c>
      <c r="AT215" s="1032" t="s">
        <v>1101</v>
      </c>
      <c r="AU215" s="1032">
        <v>46</v>
      </c>
      <c r="AW215" s="1033">
        <v>46122</v>
      </c>
      <c r="AX215" s="1032" t="s">
        <v>973</v>
      </c>
      <c r="AY215" s="1033">
        <v>46131</v>
      </c>
      <c r="AZ215" s="1032">
        <v>7</v>
      </c>
      <c r="BA215" s="1033">
        <v>46129</v>
      </c>
      <c r="BB215" s="1032">
        <v>2026</v>
      </c>
      <c r="BC215" s="1032">
        <v>4</v>
      </c>
      <c r="BD215" s="1032">
        <v>16</v>
      </c>
      <c r="BE215" s="1032">
        <v>36</v>
      </c>
      <c r="BF215" s="1032">
        <v>864</v>
      </c>
      <c r="BG215" s="1032" t="s">
        <v>108</v>
      </c>
      <c r="BH215" s="1032" t="s">
        <v>109</v>
      </c>
    </row>
    <row r="216" spans="1:60">
      <c r="A216" s="1032" t="s">
        <v>1111</v>
      </c>
      <c r="B216" s="1032" t="s">
        <v>111</v>
      </c>
      <c r="C216" s="1032" t="s">
        <v>1091</v>
      </c>
      <c r="D216" s="1032" t="s">
        <v>63</v>
      </c>
      <c r="E216" s="1032" t="s">
        <v>64</v>
      </c>
      <c r="F216" s="1032" t="s">
        <v>450</v>
      </c>
      <c r="G216" s="1032" t="s">
        <v>402</v>
      </c>
      <c r="H216" s="1032" t="s">
        <v>451</v>
      </c>
      <c r="I216" s="1032" t="s">
        <v>822</v>
      </c>
      <c r="J216" s="1032" t="s">
        <v>1112</v>
      </c>
      <c r="K216" s="1032" t="s">
        <v>1113</v>
      </c>
      <c r="M216" s="1032" t="s">
        <v>68</v>
      </c>
      <c r="N216" s="1032">
        <v>46055</v>
      </c>
      <c r="O216" s="1032" t="s">
        <v>132</v>
      </c>
      <c r="P216" s="1032" t="s">
        <v>189</v>
      </c>
      <c r="Q216" s="1032" t="s">
        <v>190</v>
      </c>
      <c r="R216" s="1032" t="s">
        <v>73</v>
      </c>
      <c r="S216" s="1032" t="s">
        <v>967</v>
      </c>
      <c r="T216" s="1032">
        <v>465</v>
      </c>
      <c r="U216" s="1032">
        <v>1728</v>
      </c>
      <c r="V216" s="1032">
        <v>0.80352000000000001</v>
      </c>
      <c r="W216" s="1032">
        <v>48</v>
      </c>
      <c r="X216" s="1032">
        <v>2</v>
      </c>
      <c r="Y216" s="1032" t="s">
        <v>75</v>
      </c>
      <c r="Z216" s="1032" t="s">
        <v>75</v>
      </c>
      <c r="AB216" s="1033">
        <v>46073</v>
      </c>
      <c r="AC216" s="1032">
        <v>8</v>
      </c>
      <c r="AD216" s="1032" t="s">
        <v>1114</v>
      </c>
      <c r="AF216" s="1032" t="s">
        <v>122</v>
      </c>
      <c r="AG216" s="1032" t="s">
        <v>123</v>
      </c>
      <c r="AH216" s="1032" t="s">
        <v>456</v>
      </c>
      <c r="AI216" s="1033">
        <v>46076</v>
      </c>
      <c r="AJ216" s="1033">
        <v>46079</v>
      </c>
      <c r="AK216" s="1033">
        <v>46079</v>
      </c>
      <c r="AL216" s="1033">
        <v>46117</v>
      </c>
      <c r="AM216" s="1033">
        <v>46124</v>
      </c>
      <c r="AN216" s="1033">
        <v>46124</v>
      </c>
      <c r="AO216" s="1032" t="s">
        <v>402</v>
      </c>
      <c r="AQ216" s="1032" t="s">
        <v>80</v>
      </c>
      <c r="AR216" s="1032" t="s">
        <v>1115</v>
      </c>
      <c r="AS216" s="1032" t="s">
        <v>1116</v>
      </c>
      <c r="AT216" s="1032" t="s">
        <v>1116</v>
      </c>
      <c r="AU216" s="1032">
        <v>45</v>
      </c>
      <c r="AW216" s="1033">
        <v>46124</v>
      </c>
      <c r="AX216" s="1032" t="s">
        <v>973</v>
      </c>
      <c r="AY216" s="1033">
        <v>46131</v>
      </c>
      <c r="AZ216" s="1032">
        <v>7</v>
      </c>
      <c r="BA216" s="1033">
        <v>46131</v>
      </c>
      <c r="BB216" s="1032">
        <v>2026</v>
      </c>
      <c r="BC216" s="1032">
        <v>4</v>
      </c>
      <c r="BD216" s="1032">
        <v>16</v>
      </c>
      <c r="BE216" s="1032">
        <v>36</v>
      </c>
      <c r="BF216" s="1032">
        <v>864</v>
      </c>
      <c r="BG216" s="1032" t="s">
        <v>108</v>
      </c>
      <c r="BH216" s="1032" t="s">
        <v>109</v>
      </c>
    </row>
    <row r="217" spans="1:60">
      <c r="A217" s="1032" t="s">
        <v>1117</v>
      </c>
      <c r="B217" s="1032" t="s">
        <v>111</v>
      </c>
      <c r="C217" s="1032" t="s">
        <v>1061</v>
      </c>
      <c r="D217" s="1032" t="s">
        <v>63</v>
      </c>
      <c r="E217" s="1032" t="s">
        <v>64</v>
      </c>
      <c r="F217" s="1032" t="s">
        <v>450</v>
      </c>
      <c r="G217" s="1032" t="s">
        <v>402</v>
      </c>
      <c r="H217" s="1032" t="s">
        <v>451</v>
      </c>
      <c r="I217" s="1032" t="s">
        <v>822</v>
      </c>
      <c r="J217" s="1032" t="s">
        <v>1112</v>
      </c>
      <c r="K217" s="1032" t="s">
        <v>1113</v>
      </c>
      <c r="M217" s="1032" t="s">
        <v>68</v>
      </c>
      <c r="N217" s="1032">
        <v>46069</v>
      </c>
      <c r="O217" s="1032" t="s">
        <v>132</v>
      </c>
      <c r="P217" s="1032" t="s">
        <v>1062</v>
      </c>
      <c r="Q217" s="1032" t="s">
        <v>1063</v>
      </c>
      <c r="R217" s="1032" t="s">
        <v>73</v>
      </c>
      <c r="S217" s="1032" t="s">
        <v>967</v>
      </c>
      <c r="T217" s="1032">
        <v>470</v>
      </c>
      <c r="U217" s="1032">
        <v>2592</v>
      </c>
      <c r="V217" s="1032">
        <v>1.21824</v>
      </c>
      <c r="W217" s="1032">
        <v>72</v>
      </c>
      <c r="X217" s="1032">
        <v>3</v>
      </c>
      <c r="Y217" s="1032" t="s">
        <v>75</v>
      </c>
      <c r="Z217" s="1032" t="s">
        <v>75</v>
      </c>
      <c r="AB217" s="1033">
        <v>46073</v>
      </c>
      <c r="AC217" s="1032">
        <v>8</v>
      </c>
      <c r="AD217" s="1032" t="s">
        <v>1118</v>
      </c>
      <c r="AF217" s="1032" t="s">
        <v>122</v>
      </c>
      <c r="AG217" s="1032" t="s">
        <v>123</v>
      </c>
      <c r="AH217" s="1032" t="s">
        <v>456</v>
      </c>
      <c r="AI217" s="1033">
        <v>46076</v>
      </c>
      <c r="AJ217" s="1033">
        <v>46079</v>
      </c>
      <c r="AK217" s="1033">
        <v>46079</v>
      </c>
      <c r="AL217" s="1033">
        <v>46117</v>
      </c>
      <c r="AM217" s="1033">
        <v>46124</v>
      </c>
      <c r="AN217" s="1033">
        <v>46124</v>
      </c>
      <c r="AO217" s="1032" t="s">
        <v>402</v>
      </c>
      <c r="AQ217" s="1032" t="s">
        <v>80</v>
      </c>
      <c r="AR217" s="1032" t="s">
        <v>1115</v>
      </c>
      <c r="AS217" s="1032" t="s">
        <v>1116</v>
      </c>
      <c r="AT217" s="1032" t="s">
        <v>1116</v>
      </c>
      <c r="AU217" s="1032">
        <v>45</v>
      </c>
      <c r="AW217" s="1033">
        <v>46124</v>
      </c>
      <c r="AX217" s="1032" t="s">
        <v>973</v>
      </c>
      <c r="AY217" s="1033">
        <v>46138</v>
      </c>
      <c r="AZ217" s="1032">
        <v>7</v>
      </c>
      <c r="BA217" s="1033">
        <v>46131</v>
      </c>
      <c r="BB217" s="1032">
        <v>2026</v>
      </c>
      <c r="BC217" s="1032">
        <v>4</v>
      </c>
      <c r="BD217" s="1032">
        <v>16</v>
      </c>
      <c r="BE217" s="1032">
        <v>36</v>
      </c>
      <c r="BF217" s="1032">
        <v>864</v>
      </c>
      <c r="BG217" s="1032" t="s">
        <v>108</v>
      </c>
      <c r="BH217" s="1032" t="s">
        <v>109</v>
      </c>
    </row>
    <row r="218" spans="1:60">
      <c r="A218" s="1032" t="s">
        <v>1119</v>
      </c>
      <c r="B218" s="1032" t="s">
        <v>111</v>
      </c>
      <c r="C218" s="1032" t="s">
        <v>1061</v>
      </c>
      <c r="D218" s="1032" t="s">
        <v>63</v>
      </c>
      <c r="E218" s="1032" t="s">
        <v>64</v>
      </c>
      <c r="F218" s="1032" t="s">
        <v>65</v>
      </c>
      <c r="G218" s="1032" t="s">
        <v>402</v>
      </c>
      <c r="H218" s="1032" t="s">
        <v>67</v>
      </c>
      <c r="I218" s="1032" t="s">
        <v>869</v>
      </c>
      <c r="J218" s="1032" t="s">
        <v>1008</v>
      </c>
      <c r="M218" s="1032" t="s">
        <v>68</v>
      </c>
      <c r="N218" s="1032">
        <v>46055</v>
      </c>
      <c r="O218" s="1032" t="s">
        <v>132</v>
      </c>
      <c r="P218" s="1032" t="s">
        <v>1062</v>
      </c>
      <c r="Q218" s="1032" t="s">
        <v>1063</v>
      </c>
      <c r="R218" s="1032" t="s">
        <v>73</v>
      </c>
      <c r="S218" s="1032" t="s">
        <v>967</v>
      </c>
      <c r="T218" s="1032">
        <v>470</v>
      </c>
      <c r="U218" s="1032">
        <v>6048</v>
      </c>
      <c r="V218" s="1032">
        <v>2.8425600000000002</v>
      </c>
      <c r="W218" s="1032">
        <v>168</v>
      </c>
      <c r="X218" s="1032">
        <v>7</v>
      </c>
      <c r="Y218" s="1032" t="s">
        <v>75</v>
      </c>
      <c r="Z218" s="1032" t="s">
        <v>75</v>
      </c>
      <c r="AB218" s="1033">
        <v>46072</v>
      </c>
      <c r="AC218" s="1032">
        <v>8</v>
      </c>
      <c r="AD218" s="1032" t="s">
        <v>1120</v>
      </c>
      <c r="AF218" s="1032" t="s">
        <v>122</v>
      </c>
      <c r="AG218" s="1032" t="s">
        <v>123</v>
      </c>
      <c r="AH218" s="1032" t="s">
        <v>78</v>
      </c>
      <c r="AI218" s="1033">
        <v>46076</v>
      </c>
      <c r="AJ218" s="1033">
        <v>46078</v>
      </c>
      <c r="AK218" s="1033">
        <v>46078</v>
      </c>
      <c r="AL218" s="1033">
        <v>46125</v>
      </c>
      <c r="AM218" s="1033">
        <v>46136</v>
      </c>
      <c r="AN218" s="1033">
        <v>46137</v>
      </c>
      <c r="AO218" s="1032" t="s">
        <v>402</v>
      </c>
      <c r="AQ218" s="1032" t="s">
        <v>80</v>
      </c>
      <c r="AR218" s="1032" t="s">
        <v>1121</v>
      </c>
      <c r="AS218" s="1032" t="s">
        <v>1122</v>
      </c>
      <c r="AT218" s="1032" t="s">
        <v>1122</v>
      </c>
      <c r="AU218" s="1032">
        <v>59</v>
      </c>
      <c r="AW218" s="1033">
        <v>46137</v>
      </c>
      <c r="AX218" s="1032" t="s">
        <v>973</v>
      </c>
      <c r="AY218" s="1033">
        <v>46149</v>
      </c>
      <c r="AZ218" s="1032">
        <v>8</v>
      </c>
      <c r="BA218" s="1033">
        <v>46145</v>
      </c>
      <c r="BB218" s="1032">
        <v>2026</v>
      </c>
      <c r="BC218" s="1032">
        <v>5</v>
      </c>
      <c r="BD218" s="1032">
        <v>18</v>
      </c>
      <c r="BE218" s="1032">
        <v>36</v>
      </c>
      <c r="BF218" s="1032">
        <v>864</v>
      </c>
      <c r="BG218" s="1032" t="s">
        <v>108</v>
      </c>
      <c r="BH218" s="1032" t="s">
        <v>86</v>
      </c>
    </row>
    <row r="219" spans="1:60">
      <c r="A219" s="1032" t="s">
        <v>1123</v>
      </c>
      <c r="B219" s="1032" t="s">
        <v>111</v>
      </c>
      <c r="C219" s="1032" t="s">
        <v>1007</v>
      </c>
      <c r="D219" s="1032" t="s">
        <v>63</v>
      </c>
      <c r="E219" s="1032" t="s">
        <v>144</v>
      </c>
      <c r="F219" s="1032" t="s">
        <v>145</v>
      </c>
      <c r="G219" s="1032" t="s">
        <v>402</v>
      </c>
      <c r="H219" s="1032" t="s">
        <v>593</v>
      </c>
      <c r="I219" s="1032" t="s">
        <v>882</v>
      </c>
      <c r="J219" s="1032" t="s">
        <v>594</v>
      </c>
      <c r="K219" s="1032" t="s">
        <v>1124</v>
      </c>
      <c r="M219" s="1032" t="s">
        <v>840</v>
      </c>
      <c r="N219" s="1032">
        <v>46045</v>
      </c>
      <c r="O219" s="1032" t="s">
        <v>70</v>
      </c>
      <c r="P219" s="1032" t="s">
        <v>102</v>
      </c>
      <c r="Q219" s="1032" t="s">
        <v>103</v>
      </c>
      <c r="R219" s="1032" t="s">
        <v>73</v>
      </c>
      <c r="S219" s="1032" t="s">
        <v>967</v>
      </c>
      <c r="T219" s="1032">
        <v>620</v>
      </c>
      <c r="U219" s="1032">
        <v>1440</v>
      </c>
      <c r="V219" s="1032">
        <v>0.89280000000000004</v>
      </c>
      <c r="W219" s="1032">
        <v>40</v>
      </c>
      <c r="X219" s="1032">
        <v>2</v>
      </c>
      <c r="Y219" s="1032" t="s">
        <v>75</v>
      </c>
      <c r="Z219" s="1032" t="s">
        <v>75</v>
      </c>
      <c r="AB219" s="1033">
        <v>46066</v>
      </c>
      <c r="AC219" s="1032">
        <v>7</v>
      </c>
      <c r="AD219" s="1032" t="s">
        <v>1125</v>
      </c>
      <c r="AF219" s="1032" t="s">
        <v>122</v>
      </c>
      <c r="AG219" s="1032" t="s">
        <v>123</v>
      </c>
      <c r="AH219" s="1032" t="s">
        <v>124</v>
      </c>
      <c r="AI219" s="1033">
        <v>46076</v>
      </c>
      <c r="AJ219" s="1033">
        <v>46078</v>
      </c>
      <c r="AK219" s="1033">
        <v>46078</v>
      </c>
      <c r="AL219" s="1033">
        <v>46128</v>
      </c>
      <c r="AM219" s="1033">
        <v>46134</v>
      </c>
      <c r="AN219" s="1033">
        <v>46134</v>
      </c>
      <c r="AO219" s="1032" t="s">
        <v>402</v>
      </c>
      <c r="AP219" s="1032" t="s">
        <v>1126</v>
      </c>
      <c r="AQ219" s="1032" t="s">
        <v>80</v>
      </c>
      <c r="AR219" s="1032" t="s">
        <v>1127</v>
      </c>
      <c r="AS219" s="1032" t="s">
        <v>1128</v>
      </c>
      <c r="AT219" s="1032" t="s">
        <v>1128</v>
      </c>
      <c r="AU219" s="1032">
        <v>56</v>
      </c>
      <c r="AW219" s="1033">
        <v>46134</v>
      </c>
      <c r="AX219" s="1032" t="s">
        <v>973</v>
      </c>
      <c r="AY219" s="1033">
        <v>46141</v>
      </c>
      <c r="AZ219" s="1032">
        <v>0</v>
      </c>
      <c r="BA219" s="1033">
        <v>46134</v>
      </c>
      <c r="BB219" s="1032">
        <v>2026</v>
      </c>
      <c r="BC219" s="1032">
        <v>4</v>
      </c>
      <c r="BD219" s="1032">
        <v>17</v>
      </c>
      <c r="BE219" s="1032">
        <v>36</v>
      </c>
      <c r="BF219" s="1032">
        <v>720</v>
      </c>
      <c r="BG219" s="1032" t="s">
        <v>108</v>
      </c>
      <c r="BH219" s="1032" t="s">
        <v>86</v>
      </c>
    </row>
    <row r="220" spans="1:60">
      <c r="A220" s="1032" t="s">
        <v>1129</v>
      </c>
      <c r="B220" s="1032" t="s">
        <v>111</v>
      </c>
      <c r="C220" s="1032" t="s">
        <v>991</v>
      </c>
      <c r="D220" s="1032" t="s">
        <v>63</v>
      </c>
      <c r="E220" s="1032" t="s">
        <v>144</v>
      </c>
      <c r="F220" s="1032" t="s">
        <v>145</v>
      </c>
      <c r="G220" s="1032" t="s">
        <v>402</v>
      </c>
      <c r="H220" s="1032" t="s">
        <v>593</v>
      </c>
      <c r="I220" s="1032" t="s">
        <v>882</v>
      </c>
      <c r="J220" s="1032" t="s">
        <v>594</v>
      </c>
      <c r="K220" s="1032" t="s">
        <v>1124</v>
      </c>
      <c r="M220" s="1032" t="s">
        <v>840</v>
      </c>
      <c r="N220" s="1032">
        <v>46048</v>
      </c>
      <c r="O220" s="1032" t="s">
        <v>132</v>
      </c>
      <c r="P220" s="1032" t="s">
        <v>133</v>
      </c>
      <c r="Q220" s="1032" t="s">
        <v>134</v>
      </c>
      <c r="R220" s="1032" t="s">
        <v>73</v>
      </c>
      <c r="S220" s="1032" t="s">
        <v>992</v>
      </c>
      <c r="T220" s="1032">
        <v>720</v>
      </c>
      <c r="U220" s="1032">
        <v>2970</v>
      </c>
      <c r="V220" s="1032">
        <v>2.1383999999999999</v>
      </c>
      <c r="W220" s="1032">
        <v>90</v>
      </c>
      <c r="X220" s="1032">
        <v>5</v>
      </c>
      <c r="Y220" s="1032" t="s">
        <v>75</v>
      </c>
      <c r="Z220" s="1032" t="s">
        <v>75</v>
      </c>
      <c r="AB220" s="1033">
        <v>46066</v>
      </c>
      <c r="AC220" s="1032">
        <v>7</v>
      </c>
      <c r="AD220" s="1032" t="s">
        <v>1130</v>
      </c>
      <c r="AF220" s="1032" t="s">
        <v>122</v>
      </c>
      <c r="AG220" s="1032" t="s">
        <v>123</v>
      </c>
      <c r="AH220" s="1032" t="s">
        <v>124</v>
      </c>
      <c r="AI220" s="1033">
        <v>46076</v>
      </c>
      <c r="AJ220" s="1033">
        <v>46078</v>
      </c>
      <c r="AK220" s="1033">
        <v>46078</v>
      </c>
      <c r="AL220" s="1033">
        <v>46128</v>
      </c>
      <c r="AM220" s="1033">
        <v>46134</v>
      </c>
      <c r="AN220" s="1033">
        <v>46134</v>
      </c>
      <c r="AO220" s="1032" t="s">
        <v>402</v>
      </c>
      <c r="AP220" s="1032" t="s">
        <v>1126</v>
      </c>
      <c r="AQ220" s="1032" t="s">
        <v>80</v>
      </c>
      <c r="AR220" s="1032" t="s">
        <v>1127</v>
      </c>
      <c r="AS220" s="1032" t="s">
        <v>1128</v>
      </c>
      <c r="AT220" s="1032" t="s">
        <v>1128</v>
      </c>
      <c r="AU220" s="1032">
        <v>56</v>
      </c>
      <c r="AW220" s="1033">
        <v>46134</v>
      </c>
      <c r="AX220" s="1032" t="s">
        <v>973</v>
      </c>
      <c r="AY220" s="1033">
        <v>46141</v>
      </c>
      <c r="AZ220" s="1032">
        <v>0</v>
      </c>
      <c r="BA220" s="1033">
        <v>46134</v>
      </c>
      <c r="BB220" s="1032">
        <v>2026</v>
      </c>
      <c r="BC220" s="1032">
        <v>4</v>
      </c>
      <c r="BD220" s="1032">
        <v>17</v>
      </c>
      <c r="BE220" s="1032">
        <v>33</v>
      </c>
      <c r="BF220" s="1032">
        <v>594</v>
      </c>
      <c r="BG220" s="1032" t="s">
        <v>108</v>
      </c>
      <c r="BH220" s="1032" t="s">
        <v>86</v>
      </c>
    </row>
    <row r="221" spans="1:60">
      <c r="A221" s="1032" t="s">
        <v>1131</v>
      </c>
      <c r="B221" s="1032" t="s">
        <v>61</v>
      </c>
      <c r="C221" s="1032" t="s">
        <v>1016</v>
      </c>
      <c r="D221" s="1032" t="s">
        <v>63</v>
      </c>
      <c r="E221" s="1032" t="s">
        <v>64</v>
      </c>
      <c r="F221" s="1032" t="s">
        <v>100</v>
      </c>
      <c r="G221" s="1032" t="s">
        <v>402</v>
      </c>
      <c r="H221" s="1032" t="s">
        <v>67</v>
      </c>
      <c r="I221" s="1032" t="s">
        <v>689</v>
      </c>
      <c r="J221" s="1032" t="s">
        <v>1132</v>
      </c>
      <c r="M221" s="1032" t="s">
        <v>840</v>
      </c>
      <c r="N221" s="1032">
        <v>46055</v>
      </c>
      <c r="O221" s="1032" t="s">
        <v>70</v>
      </c>
      <c r="P221" s="1032" t="s">
        <v>195</v>
      </c>
      <c r="Q221" s="1032" t="s">
        <v>196</v>
      </c>
      <c r="R221" s="1032" t="s">
        <v>73</v>
      </c>
      <c r="S221" s="1032" t="s">
        <v>967</v>
      </c>
      <c r="T221" s="1032">
        <v>450</v>
      </c>
      <c r="U221" s="1032">
        <v>4680</v>
      </c>
      <c r="V221" s="1032">
        <v>2.1059999999999999</v>
      </c>
      <c r="W221" s="1032">
        <v>130</v>
      </c>
      <c r="X221" s="1032">
        <v>5</v>
      </c>
      <c r="Y221" s="1032" t="s">
        <v>75</v>
      </c>
      <c r="Z221" s="1032" t="s">
        <v>75</v>
      </c>
      <c r="AB221" s="1033">
        <v>46077</v>
      </c>
      <c r="AC221" s="1032">
        <v>9</v>
      </c>
      <c r="AD221" s="1032" t="s">
        <v>1133</v>
      </c>
      <c r="AF221" s="1032" t="s">
        <v>77</v>
      </c>
      <c r="AG221" s="1032" t="s">
        <v>61</v>
      </c>
      <c r="AH221" s="1032" t="s">
        <v>105</v>
      </c>
      <c r="AI221" s="1033">
        <v>46084</v>
      </c>
      <c r="AJ221" s="1033">
        <v>46084</v>
      </c>
      <c r="AK221" s="1033">
        <v>46085</v>
      </c>
      <c r="AL221" s="1033">
        <v>46126</v>
      </c>
      <c r="AM221" s="1033">
        <v>46142</v>
      </c>
      <c r="AN221" s="1033">
        <v>46142</v>
      </c>
      <c r="AO221" s="1032" t="s">
        <v>402</v>
      </c>
      <c r="AP221" s="1032" t="s">
        <v>872</v>
      </c>
      <c r="AQ221" s="1032" t="s">
        <v>80</v>
      </c>
      <c r="AR221" s="1032" t="s">
        <v>1134</v>
      </c>
      <c r="AS221" s="1032" t="s">
        <v>1135</v>
      </c>
      <c r="AT221" s="1032" t="s">
        <v>1135</v>
      </c>
      <c r="AU221" s="1032">
        <v>57</v>
      </c>
      <c r="AW221" s="1033">
        <v>46142</v>
      </c>
      <c r="AX221" s="1032" t="s">
        <v>973</v>
      </c>
      <c r="AY221" s="1033">
        <v>46162</v>
      </c>
      <c r="AZ221" s="1032">
        <v>7</v>
      </c>
      <c r="BA221" s="1033">
        <v>46149</v>
      </c>
      <c r="BB221" s="1032">
        <v>2026</v>
      </c>
      <c r="BC221" s="1032">
        <v>5</v>
      </c>
      <c r="BD221" s="1032">
        <v>19</v>
      </c>
      <c r="BE221" s="1032">
        <v>36</v>
      </c>
      <c r="BF221" s="1032">
        <v>936</v>
      </c>
      <c r="BG221" s="1032" t="s">
        <v>85</v>
      </c>
      <c r="BH221" s="1032" t="s">
        <v>109</v>
      </c>
    </row>
    <row r="222" spans="1:60">
      <c r="A222" s="1032" t="s">
        <v>1136</v>
      </c>
      <c r="B222" s="1032" t="s">
        <v>61</v>
      </c>
      <c r="C222" s="1032" t="s">
        <v>1021</v>
      </c>
      <c r="D222" s="1032" t="s">
        <v>63</v>
      </c>
      <c r="E222" s="1032" t="s">
        <v>144</v>
      </c>
      <c r="F222" s="1032" t="s">
        <v>145</v>
      </c>
      <c r="G222" s="1032" t="s">
        <v>402</v>
      </c>
      <c r="H222" s="1032" t="s">
        <v>1137</v>
      </c>
      <c r="I222" s="1032" t="s">
        <v>689</v>
      </c>
      <c r="J222" s="1032" t="s">
        <v>1138</v>
      </c>
      <c r="K222" s="1032" t="s">
        <v>1139</v>
      </c>
      <c r="M222" s="1032" t="s">
        <v>840</v>
      </c>
      <c r="N222" s="1032">
        <v>46055</v>
      </c>
      <c r="O222" s="1032" t="s">
        <v>70</v>
      </c>
      <c r="P222" s="1032" t="s">
        <v>965</v>
      </c>
      <c r="Q222" s="1032" t="s">
        <v>966</v>
      </c>
      <c r="R222" s="1032" t="s">
        <v>73</v>
      </c>
      <c r="S222" s="1032" t="s">
        <v>967</v>
      </c>
      <c r="T222" s="1032">
        <v>455</v>
      </c>
      <c r="U222" s="1032">
        <v>3744</v>
      </c>
      <c r="V222" s="1032">
        <v>1.7035199999999999</v>
      </c>
      <c r="W222" s="1032">
        <v>104</v>
      </c>
      <c r="X222" s="1032">
        <v>4</v>
      </c>
      <c r="Y222" s="1032" t="s">
        <v>75</v>
      </c>
      <c r="Z222" s="1032" t="s">
        <v>75</v>
      </c>
      <c r="AB222" s="1033">
        <v>46077</v>
      </c>
      <c r="AC222" s="1032">
        <v>9</v>
      </c>
      <c r="AD222" s="1032" t="s">
        <v>1140</v>
      </c>
      <c r="AF222" s="1032" t="s">
        <v>77</v>
      </c>
      <c r="AG222" s="1032" t="s">
        <v>61</v>
      </c>
      <c r="AH222" s="1032" t="s">
        <v>105</v>
      </c>
      <c r="AI222" s="1033">
        <v>46084</v>
      </c>
      <c r="AJ222" s="1033">
        <v>46084</v>
      </c>
      <c r="AK222" s="1033">
        <v>46084</v>
      </c>
      <c r="AL222" s="1033">
        <v>46126</v>
      </c>
      <c r="AM222" s="1033">
        <v>46142</v>
      </c>
      <c r="AN222" s="1033">
        <v>46141</v>
      </c>
      <c r="AO222" s="1032" t="s">
        <v>402</v>
      </c>
      <c r="AP222" s="1032" t="s">
        <v>872</v>
      </c>
      <c r="AQ222" s="1032" t="s">
        <v>80</v>
      </c>
      <c r="AR222" s="1032" t="s">
        <v>1141</v>
      </c>
      <c r="AS222" s="1032" t="s">
        <v>1142</v>
      </c>
      <c r="AT222" s="1032" t="s">
        <v>1135</v>
      </c>
      <c r="AU222" s="1032">
        <v>57</v>
      </c>
      <c r="AW222" s="1033">
        <v>46141</v>
      </c>
      <c r="AX222" s="1032" t="s">
        <v>973</v>
      </c>
      <c r="AY222" s="1033">
        <v>46139</v>
      </c>
      <c r="AZ222" s="1032">
        <v>0</v>
      </c>
      <c r="BA222" s="1033">
        <v>46141</v>
      </c>
      <c r="BB222" s="1032">
        <v>2026</v>
      </c>
      <c r="BC222" s="1032">
        <v>4</v>
      </c>
      <c r="BD222" s="1032">
        <v>18</v>
      </c>
      <c r="BE222" s="1032">
        <v>36</v>
      </c>
      <c r="BF222" s="1032">
        <v>936</v>
      </c>
      <c r="BG222" s="1032" t="s">
        <v>85</v>
      </c>
      <c r="BH222" s="1032" t="s">
        <v>109</v>
      </c>
    </row>
    <row r="223" spans="1:60">
      <c r="A223" s="1032" t="s">
        <v>1143</v>
      </c>
      <c r="B223" s="1032" t="s">
        <v>61</v>
      </c>
      <c r="C223" s="1032" t="s">
        <v>1016</v>
      </c>
      <c r="D223" s="1032" t="s">
        <v>63</v>
      </c>
      <c r="E223" s="1032" t="s">
        <v>64</v>
      </c>
      <c r="F223" s="1032" t="s">
        <v>100</v>
      </c>
      <c r="G223" s="1032" t="s">
        <v>402</v>
      </c>
      <c r="H223" s="1032" t="s">
        <v>67</v>
      </c>
      <c r="I223" s="1032" t="s">
        <v>689</v>
      </c>
      <c r="J223" s="1032" t="s">
        <v>1144</v>
      </c>
      <c r="M223" s="1032" t="s">
        <v>68</v>
      </c>
      <c r="N223" s="1032">
        <v>46069</v>
      </c>
      <c r="O223" s="1032" t="s">
        <v>70</v>
      </c>
      <c r="P223" s="1032" t="s">
        <v>195</v>
      </c>
      <c r="Q223" s="1032" t="s">
        <v>196</v>
      </c>
      <c r="R223" s="1032" t="s">
        <v>73</v>
      </c>
      <c r="S223" s="1032" t="s">
        <v>967</v>
      </c>
      <c r="T223" s="1032">
        <v>450</v>
      </c>
      <c r="U223" s="1032">
        <v>1872</v>
      </c>
      <c r="V223" s="1032">
        <v>0.84240000000000004</v>
      </c>
      <c r="W223" s="1032">
        <v>52</v>
      </c>
      <c r="X223" s="1032">
        <v>2</v>
      </c>
      <c r="Y223" s="1032" t="s">
        <v>75</v>
      </c>
      <c r="Z223" s="1032" t="s">
        <v>75</v>
      </c>
      <c r="AB223" s="1033">
        <v>46080</v>
      </c>
      <c r="AC223" s="1032">
        <v>9</v>
      </c>
      <c r="AD223" s="1032" t="s">
        <v>1145</v>
      </c>
      <c r="AF223" s="1032" t="s">
        <v>77</v>
      </c>
      <c r="AG223" s="1032" t="s">
        <v>61</v>
      </c>
      <c r="AH223" s="1032" t="s">
        <v>105</v>
      </c>
      <c r="AI223" s="1033">
        <v>46084</v>
      </c>
      <c r="AJ223" s="1033">
        <v>46084</v>
      </c>
      <c r="AK223" s="1033">
        <v>46084</v>
      </c>
      <c r="AL223" s="1033">
        <v>46126</v>
      </c>
      <c r="AM223" s="1033">
        <v>46142</v>
      </c>
      <c r="AN223" s="1033">
        <v>46141</v>
      </c>
      <c r="AO223" s="1032" t="s">
        <v>146</v>
      </c>
      <c r="AP223" s="1032" t="s">
        <v>872</v>
      </c>
      <c r="AQ223" s="1032" t="s">
        <v>80</v>
      </c>
      <c r="AR223" s="1032" t="s">
        <v>1146</v>
      </c>
      <c r="AS223" s="1032" t="s">
        <v>1147</v>
      </c>
      <c r="AT223" s="1032" t="s">
        <v>1147</v>
      </c>
      <c r="AU223" s="1032">
        <v>57</v>
      </c>
      <c r="AW223" s="1033">
        <v>46141</v>
      </c>
      <c r="AX223" s="1032" t="s">
        <v>973</v>
      </c>
      <c r="AY223" s="1033">
        <v>46162</v>
      </c>
      <c r="AZ223" s="1032">
        <v>7</v>
      </c>
      <c r="BA223" s="1033">
        <v>46148</v>
      </c>
      <c r="BB223" s="1032">
        <v>2026</v>
      </c>
      <c r="BC223" s="1032">
        <v>5</v>
      </c>
      <c r="BD223" s="1032">
        <v>19</v>
      </c>
      <c r="BE223" s="1032">
        <v>36</v>
      </c>
      <c r="BF223" s="1032">
        <v>936</v>
      </c>
      <c r="BG223" s="1032" t="s">
        <v>85</v>
      </c>
      <c r="BH223" s="1032" t="s">
        <v>109</v>
      </c>
    </row>
    <row r="224" spans="1:60">
      <c r="A224" s="1032" t="s">
        <v>1148</v>
      </c>
      <c r="B224" s="1032" t="s">
        <v>61</v>
      </c>
      <c r="C224" s="1032" t="s">
        <v>1149</v>
      </c>
      <c r="D224" s="1032" t="s">
        <v>63</v>
      </c>
      <c r="E224" s="1032" t="s">
        <v>64</v>
      </c>
      <c r="F224" s="1032" t="s">
        <v>100</v>
      </c>
      <c r="G224" s="1032" t="s">
        <v>402</v>
      </c>
      <c r="H224" s="1032" t="s">
        <v>67</v>
      </c>
      <c r="I224" s="1032" t="s">
        <v>689</v>
      </c>
      <c r="J224" s="1032" t="s">
        <v>1150</v>
      </c>
      <c r="M224" s="1032" t="s">
        <v>68</v>
      </c>
      <c r="N224" s="1032">
        <v>46048</v>
      </c>
      <c r="O224" s="1032" t="s">
        <v>70</v>
      </c>
      <c r="P224" s="1032" t="s">
        <v>1151</v>
      </c>
      <c r="Q224" s="1032" t="s">
        <v>421</v>
      </c>
      <c r="R224" s="1032" t="s">
        <v>73</v>
      </c>
      <c r="S224" s="1032" t="s">
        <v>967</v>
      </c>
      <c r="T224" s="1032">
        <v>505</v>
      </c>
      <c r="U224" s="1032">
        <v>2592</v>
      </c>
      <c r="V224" s="1032">
        <v>1.3089599999999999</v>
      </c>
      <c r="W224" s="1032">
        <v>72</v>
      </c>
      <c r="X224" s="1032">
        <v>3</v>
      </c>
      <c r="Y224" s="1032" t="s">
        <v>75</v>
      </c>
      <c r="Z224" s="1032" t="s">
        <v>75</v>
      </c>
      <c r="AB224" s="1033">
        <v>46078</v>
      </c>
      <c r="AC224" s="1032">
        <v>9</v>
      </c>
      <c r="AD224" s="1032" t="s">
        <v>1152</v>
      </c>
      <c r="AF224" s="1032" t="s">
        <v>77</v>
      </c>
      <c r="AG224" s="1032" t="s">
        <v>61</v>
      </c>
      <c r="AH224" s="1032" t="s">
        <v>105</v>
      </c>
      <c r="AI224" s="1033">
        <v>46084</v>
      </c>
      <c r="AJ224" s="1033">
        <v>46084</v>
      </c>
      <c r="AK224" s="1033">
        <v>46084</v>
      </c>
      <c r="AL224" s="1033">
        <v>46126</v>
      </c>
      <c r="AM224" s="1033">
        <v>46142</v>
      </c>
      <c r="AN224" s="1033">
        <v>46141</v>
      </c>
      <c r="AO224" s="1032" t="s">
        <v>402</v>
      </c>
      <c r="AP224" s="1032" t="s">
        <v>872</v>
      </c>
      <c r="AQ224" s="1032" t="s">
        <v>80</v>
      </c>
      <c r="AR224" s="1032" t="s">
        <v>1153</v>
      </c>
      <c r="AS224" s="1032" t="s">
        <v>1154</v>
      </c>
      <c r="AT224" s="1032" t="s">
        <v>1154</v>
      </c>
      <c r="AU224" s="1032">
        <v>57</v>
      </c>
      <c r="AW224" s="1033">
        <v>46141</v>
      </c>
      <c r="AX224" s="1032" t="s">
        <v>973</v>
      </c>
      <c r="AY224" s="1033">
        <v>46152</v>
      </c>
      <c r="AZ224" s="1032">
        <v>7</v>
      </c>
      <c r="BA224" s="1033">
        <v>46148</v>
      </c>
      <c r="BB224" s="1032">
        <v>2026</v>
      </c>
      <c r="BC224" s="1032">
        <v>5</v>
      </c>
      <c r="BD224" s="1032">
        <v>19</v>
      </c>
      <c r="BE224" s="1032">
        <v>36</v>
      </c>
      <c r="BF224" s="1032">
        <v>864</v>
      </c>
      <c r="BG224" s="1032" t="s">
        <v>85</v>
      </c>
      <c r="BH224" s="1032" t="s">
        <v>109</v>
      </c>
    </row>
    <row r="225" spans="1:60">
      <c r="A225" s="1032" t="s">
        <v>1155</v>
      </c>
      <c r="B225" s="1032" t="s">
        <v>61</v>
      </c>
      <c r="C225" s="1032" t="s">
        <v>1149</v>
      </c>
      <c r="D225" s="1032" t="s">
        <v>63</v>
      </c>
      <c r="E225" s="1032" t="s">
        <v>144</v>
      </c>
      <c r="F225" s="1032" t="s">
        <v>145</v>
      </c>
      <c r="G225" s="1032" t="s">
        <v>146</v>
      </c>
      <c r="H225" s="1032" t="s">
        <v>1156</v>
      </c>
      <c r="I225" s="1032" t="s">
        <v>689</v>
      </c>
      <c r="J225" s="1032" t="s">
        <v>1157</v>
      </c>
      <c r="K225" s="1032" t="s">
        <v>1158</v>
      </c>
      <c r="M225" s="1032" t="s">
        <v>840</v>
      </c>
      <c r="N225" s="1032">
        <v>46048</v>
      </c>
      <c r="O225" s="1032" t="s">
        <v>70</v>
      </c>
      <c r="P225" s="1032" t="s">
        <v>1151</v>
      </c>
      <c r="Q225" s="1032" t="s">
        <v>421</v>
      </c>
      <c r="R225" s="1032" t="s">
        <v>73</v>
      </c>
      <c r="S225" s="1032" t="s">
        <v>967</v>
      </c>
      <c r="T225" s="1032">
        <v>505</v>
      </c>
      <c r="U225" s="1032">
        <v>1728</v>
      </c>
      <c r="V225" s="1032">
        <v>0.87263999999999997</v>
      </c>
      <c r="W225" s="1032">
        <v>48</v>
      </c>
      <c r="X225" s="1032">
        <v>2</v>
      </c>
      <c r="Y225" s="1032" t="s">
        <v>75</v>
      </c>
      <c r="Z225" s="1032" t="s">
        <v>75</v>
      </c>
      <c r="AB225" s="1033">
        <v>46078</v>
      </c>
      <c r="AC225" s="1032">
        <v>9</v>
      </c>
      <c r="AD225" s="1032" t="s">
        <v>1159</v>
      </c>
      <c r="AF225" s="1032" t="s">
        <v>77</v>
      </c>
      <c r="AG225" s="1032" t="s">
        <v>61</v>
      </c>
      <c r="AH225" s="1032" t="s">
        <v>105</v>
      </c>
      <c r="AI225" s="1033">
        <v>46084</v>
      </c>
      <c r="AJ225" s="1033">
        <v>46084</v>
      </c>
      <c r="AK225" s="1033">
        <v>46084</v>
      </c>
      <c r="AL225" s="1033">
        <v>46126</v>
      </c>
      <c r="AM225" s="1033">
        <v>46142</v>
      </c>
      <c r="AN225" s="1033">
        <v>46141</v>
      </c>
      <c r="AO225" s="1032" t="s">
        <v>146</v>
      </c>
      <c r="AP225" s="1032" t="s">
        <v>872</v>
      </c>
      <c r="AQ225" s="1032" t="s">
        <v>80</v>
      </c>
      <c r="AR225" s="1032" t="s">
        <v>1153</v>
      </c>
      <c r="AS225" s="1032" t="s">
        <v>1160</v>
      </c>
      <c r="AT225" s="1032" t="s">
        <v>1154</v>
      </c>
      <c r="AU225" s="1032">
        <v>57</v>
      </c>
      <c r="AW225" s="1033">
        <v>46141</v>
      </c>
      <c r="AX225" s="1032" t="s">
        <v>973</v>
      </c>
      <c r="AY225" s="1033">
        <v>46152</v>
      </c>
      <c r="AZ225" s="1032">
        <v>0</v>
      </c>
      <c r="BA225" s="1033">
        <v>46141</v>
      </c>
      <c r="BB225" s="1032">
        <v>2026</v>
      </c>
      <c r="BC225" s="1032">
        <v>4</v>
      </c>
      <c r="BD225" s="1032">
        <v>18</v>
      </c>
      <c r="BE225" s="1032">
        <v>36</v>
      </c>
      <c r="BF225" s="1032">
        <v>864</v>
      </c>
      <c r="BG225" s="1032" t="s">
        <v>85</v>
      </c>
      <c r="BH225" s="1032" t="s">
        <v>109</v>
      </c>
    </row>
    <row r="226" spans="1:60">
      <c r="A226" s="1032" t="s">
        <v>1161</v>
      </c>
      <c r="B226" s="1032" t="s">
        <v>61</v>
      </c>
      <c r="C226" s="1032" t="s">
        <v>1162</v>
      </c>
      <c r="D226" s="1032" t="s">
        <v>113</v>
      </c>
      <c r="E226" s="1032" t="s">
        <v>64</v>
      </c>
      <c r="F226" s="1032" t="s">
        <v>65</v>
      </c>
      <c r="G226" s="1032" t="s">
        <v>402</v>
      </c>
      <c r="H226" s="1032" t="s">
        <v>67</v>
      </c>
      <c r="I226" s="1032" t="s">
        <v>689</v>
      </c>
      <c r="J226" s="1032" t="s">
        <v>1163</v>
      </c>
      <c r="M226" s="1032" t="s">
        <v>68</v>
      </c>
      <c r="N226" s="1032">
        <v>46045</v>
      </c>
      <c r="O226" s="1032" t="s">
        <v>713</v>
      </c>
      <c r="P226" s="1032" t="s">
        <v>1164</v>
      </c>
      <c r="Q226" s="1032" t="s">
        <v>1165</v>
      </c>
      <c r="R226" s="1032" t="s">
        <v>73</v>
      </c>
      <c r="S226" s="1032" t="s">
        <v>1166</v>
      </c>
      <c r="T226" s="1032">
        <v>620</v>
      </c>
      <c r="U226" s="1032">
        <v>144</v>
      </c>
      <c r="V226" s="1032">
        <v>8.9279999999999998E-2</v>
      </c>
      <c r="W226" s="1032">
        <v>4</v>
      </c>
      <c r="X226" s="1032">
        <v>0.25</v>
      </c>
      <c r="Y226" s="1032" t="s">
        <v>75</v>
      </c>
      <c r="Z226" s="1032" t="s">
        <v>75</v>
      </c>
      <c r="AB226" s="1033">
        <v>46079</v>
      </c>
      <c r="AC226" s="1032">
        <v>9</v>
      </c>
      <c r="AD226" s="1032" t="s">
        <v>1167</v>
      </c>
      <c r="AF226" s="1032" t="s">
        <v>77</v>
      </c>
      <c r="AG226" s="1032" t="s">
        <v>61</v>
      </c>
      <c r="AH226" s="1032" t="s">
        <v>356</v>
      </c>
      <c r="AI226" s="1033">
        <v>46083</v>
      </c>
      <c r="AJ226" s="1033">
        <v>46084</v>
      </c>
      <c r="AK226" s="1033">
        <v>46084</v>
      </c>
      <c r="AL226" s="1033">
        <v>46133</v>
      </c>
      <c r="AM226" s="1033">
        <v>46139</v>
      </c>
      <c r="AN226" s="1033">
        <v>46140</v>
      </c>
      <c r="AO226" s="1032" t="s">
        <v>402</v>
      </c>
      <c r="AP226" s="1032" t="s">
        <v>1168</v>
      </c>
      <c r="AQ226" s="1032" t="s">
        <v>161</v>
      </c>
      <c r="AR226" s="1032" t="s">
        <v>1169</v>
      </c>
      <c r="AS226" s="1032" t="s">
        <v>1170</v>
      </c>
      <c r="AT226" s="1032" t="s">
        <v>1170</v>
      </c>
      <c r="AU226" s="1032">
        <v>56</v>
      </c>
      <c r="AW226" s="1033">
        <v>46140</v>
      </c>
      <c r="AX226" s="1032" t="s">
        <v>973</v>
      </c>
      <c r="AY226" s="1033">
        <v>46152</v>
      </c>
      <c r="AZ226" s="1032">
        <v>8</v>
      </c>
      <c r="BA226" s="1033">
        <v>46148</v>
      </c>
      <c r="BB226" s="1032">
        <v>2026</v>
      </c>
      <c r="BC226" s="1032">
        <v>5</v>
      </c>
      <c r="BD226" s="1032">
        <v>19</v>
      </c>
      <c r="BE226" s="1032">
        <v>36</v>
      </c>
      <c r="BF226" s="1032">
        <v>576</v>
      </c>
      <c r="BG226" s="1032" t="s">
        <v>108</v>
      </c>
      <c r="BH226" s="1032" t="s">
        <v>109</v>
      </c>
    </row>
    <row r="227" spans="1:60">
      <c r="A227" s="1032" t="s">
        <v>1171</v>
      </c>
      <c r="B227" s="1032" t="s">
        <v>61</v>
      </c>
      <c r="C227" s="1032" t="s">
        <v>203</v>
      </c>
      <c r="D227" s="1032" t="s">
        <v>113</v>
      </c>
      <c r="E227" s="1032" t="s">
        <v>64</v>
      </c>
      <c r="F227" s="1032" t="s">
        <v>65</v>
      </c>
      <c r="G227" s="1032" t="s">
        <v>402</v>
      </c>
      <c r="H227" s="1032" t="s">
        <v>67</v>
      </c>
      <c r="I227" s="1032" t="s">
        <v>689</v>
      </c>
      <c r="J227" s="1032" t="s">
        <v>1172</v>
      </c>
      <c r="M227" s="1032" t="s">
        <v>68</v>
      </c>
      <c r="N227" s="1032">
        <v>46045</v>
      </c>
      <c r="O227" s="1032" t="s">
        <v>713</v>
      </c>
      <c r="P227" s="1032" t="s">
        <v>714</v>
      </c>
      <c r="Q227" s="1032" t="s">
        <v>1173</v>
      </c>
      <c r="R227" s="1032" t="s">
        <v>73</v>
      </c>
      <c r="S227" s="1032" t="s">
        <v>1166</v>
      </c>
      <c r="T227" s="1032">
        <v>625</v>
      </c>
      <c r="U227" s="1032">
        <v>288</v>
      </c>
      <c r="V227" s="1032">
        <v>0.18</v>
      </c>
      <c r="W227" s="1032">
        <v>8</v>
      </c>
      <c r="X227" s="1032">
        <v>0.5</v>
      </c>
      <c r="Y227" s="1032" t="s">
        <v>75</v>
      </c>
      <c r="Z227" s="1032" t="s">
        <v>75</v>
      </c>
      <c r="AB227" s="1033">
        <v>46079</v>
      </c>
      <c r="AC227" s="1032">
        <v>9</v>
      </c>
      <c r="AD227" s="1032" t="s">
        <v>1174</v>
      </c>
      <c r="AF227" s="1032" t="s">
        <v>77</v>
      </c>
      <c r="AG227" s="1032" t="s">
        <v>61</v>
      </c>
      <c r="AH227" s="1032" t="s">
        <v>356</v>
      </c>
      <c r="AI227" s="1033">
        <v>46083</v>
      </c>
      <c r="AJ227" s="1033">
        <v>46084</v>
      </c>
      <c r="AK227" s="1033">
        <v>46084</v>
      </c>
      <c r="AL227" s="1033">
        <v>46133</v>
      </c>
      <c r="AM227" s="1033">
        <v>46139</v>
      </c>
      <c r="AN227" s="1033">
        <v>46140</v>
      </c>
      <c r="AO227" s="1032" t="s">
        <v>402</v>
      </c>
      <c r="AP227" s="1032" t="s">
        <v>1168</v>
      </c>
      <c r="AQ227" s="1032" t="s">
        <v>161</v>
      </c>
      <c r="AR227" s="1032" t="s">
        <v>1169</v>
      </c>
      <c r="AS227" s="1032" t="s">
        <v>1170</v>
      </c>
      <c r="AT227" s="1032" t="s">
        <v>1170</v>
      </c>
      <c r="AU227" s="1032">
        <v>56</v>
      </c>
      <c r="AW227" s="1033">
        <v>46140</v>
      </c>
      <c r="AX227" s="1032" t="s">
        <v>973</v>
      </c>
      <c r="AY227" s="1033">
        <v>46152</v>
      </c>
      <c r="AZ227" s="1032">
        <v>8</v>
      </c>
      <c r="BA227" s="1033">
        <v>46148</v>
      </c>
      <c r="BB227" s="1032">
        <v>2026</v>
      </c>
      <c r="BC227" s="1032">
        <v>5</v>
      </c>
      <c r="BD227" s="1032">
        <v>19</v>
      </c>
      <c r="BE227" s="1032">
        <v>36</v>
      </c>
      <c r="BF227" s="1032">
        <v>576</v>
      </c>
      <c r="BG227" s="1032" t="s">
        <v>108</v>
      </c>
      <c r="BH227" s="1032" t="s">
        <v>109</v>
      </c>
    </row>
    <row r="228" spans="1:60">
      <c r="A228" s="1032" t="s">
        <v>1175</v>
      </c>
      <c r="B228" s="1032" t="s">
        <v>61</v>
      </c>
      <c r="C228" s="1032" t="s">
        <v>1176</v>
      </c>
      <c r="D228" s="1032" t="s">
        <v>113</v>
      </c>
      <c r="E228" s="1032" t="s">
        <v>64</v>
      </c>
      <c r="F228" s="1032" t="s">
        <v>65</v>
      </c>
      <c r="G228" s="1032" t="s">
        <v>402</v>
      </c>
      <c r="H228" s="1032" t="s">
        <v>67</v>
      </c>
      <c r="I228" s="1032" t="s">
        <v>822</v>
      </c>
      <c r="J228" s="1032" t="s">
        <v>1177</v>
      </c>
      <c r="M228" s="1032" t="s">
        <v>68</v>
      </c>
      <c r="N228" s="1032">
        <v>46045</v>
      </c>
      <c r="O228" s="1032" t="s">
        <v>713</v>
      </c>
      <c r="P228" s="1032" t="s">
        <v>714</v>
      </c>
      <c r="Q228" s="1032" t="s">
        <v>1173</v>
      </c>
      <c r="R228" s="1032" t="s">
        <v>73</v>
      </c>
      <c r="S228" s="1032" t="s">
        <v>1166</v>
      </c>
      <c r="T228" s="1032">
        <v>625</v>
      </c>
      <c r="U228" s="1032">
        <v>3600</v>
      </c>
      <c r="V228" s="1032">
        <v>2.25</v>
      </c>
      <c r="W228" s="1032">
        <v>100</v>
      </c>
      <c r="X228" s="1032">
        <v>6.25</v>
      </c>
      <c r="Y228" s="1032" t="s">
        <v>75</v>
      </c>
      <c r="Z228" s="1032" t="s">
        <v>75</v>
      </c>
      <c r="AB228" s="1033">
        <v>46079</v>
      </c>
      <c r="AC228" s="1032">
        <v>9</v>
      </c>
      <c r="AD228" s="1032" t="s">
        <v>1178</v>
      </c>
      <c r="AF228" s="1032" t="s">
        <v>77</v>
      </c>
      <c r="AG228" s="1032" t="s">
        <v>61</v>
      </c>
      <c r="AH228" s="1032" t="s">
        <v>356</v>
      </c>
      <c r="AI228" s="1033">
        <v>46083</v>
      </c>
      <c r="AJ228" s="1033">
        <v>46084</v>
      </c>
      <c r="AK228" s="1033">
        <v>46084</v>
      </c>
      <c r="AL228" s="1033">
        <v>46133</v>
      </c>
      <c r="AM228" s="1033">
        <v>46139</v>
      </c>
      <c r="AN228" s="1033">
        <v>46140</v>
      </c>
      <c r="AO228" s="1032" t="s">
        <v>402</v>
      </c>
      <c r="AP228" s="1032" t="s">
        <v>1168</v>
      </c>
      <c r="AQ228" s="1032" t="s">
        <v>161</v>
      </c>
      <c r="AR228" s="1032" t="s">
        <v>1169</v>
      </c>
      <c r="AS228" s="1032" t="s">
        <v>1170</v>
      </c>
      <c r="AT228" s="1032" t="s">
        <v>1170</v>
      </c>
      <c r="AU228" s="1032">
        <v>56</v>
      </c>
      <c r="AW228" s="1033">
        <v>46140</v>
      </c>
      <c r="AX228" s="1032" t="s">
        <v>973</v>
      </c>
      <c r="AY228" s="1033">
        <v>46152</v>
      </c>
      <c r="AZ228" s="1032">
        <v>8</v>
      </c>
      <c r="BA228" s="1033">
        <v>46148</v>
      </c>
      <c r="BB228" s="1032">
        <v>2026</v>
      </c>
      <c r="BC228" s="1032">
        <v>5</v>
      </c>
      <c r="BD228" s="1032">
        <v>19</v>
      </c>
      <c r="BE228" s="1032">
        <v>36</v>
      </c>
      <c r="BF228" s="1032">
        <v>576</v>
      </c>
      <c r="BG228" s="1032" t="s">
        <v>108</v>
      </c>
      <c r="BH228" s="1032" t="s">
        <v>109</v>
      </c>
    </row>
    <row r="229" spans="1:60">
      <c r="A229" s="1032" t="s">
        <v>1176</v>
      </c>
      <c r="B229" s="1032" t="s">
        <v>61</v>
      </c>
      <c r="C229" s="1032" t="s">
        <v>203</v>
      </c>
      <c r="D229" s="1032" t="s">
        <v>113</v>
      </c>
      <c r="E229" s="1032" t="s">
        <v>64</v>
      </c>
      <c r="F229" s="1032" t="s">
        <v>65</v>
      </c>
      <c r="G229" s="1032" t="s">
        <v>402</v>
      </c>
      <c r="H229" s="1032" t="s">
        <v>67</v>
      </c>
      <c r="I229" s="1032" t="s">
        <v>822</v>
      </c>
      <c r="J229" s="1032" t="s">
        <v>1177</v>
      </c>
      <c r="M229" s="1032" t="s">
        <v>68</v>
      </c>
      <c r="N229" s="1032">
        <v>46045</v>
      </c>
      <c r="O229" s="1032" t="s">
        <v>713</v>
      </c>
      <c r="P229" s="1032" t="s">
        <v>714</v>
      </c>
      <c r="Q229" s="1032" t="s">
        <v>1173</v>
      </c>
      <c r="R229" s="1032" t="s">
        <v>73</v>
      </c>
      <c r="S229" s="1032" t="s">
        <v>1166</v>
      </c>
      <c r="T229" s="1032">
        <v>625</v>
      </c>
      <c r="U229" s="1032">
        <v>4032</v>
      </c>
      <c r="V229" s="1032">
        <v>2.52</v>
      </c>
      <c r="W229" s="1032">
        <v>112</v>
      </c>
      <c r="X229" s="1032">
        <v>7</v>
      </c>
      <c r="Y229" s="1032" t="s">
        <v>75</v>
      </c>
      <c r="Z229" s="1032" t="s">
        <v>75</v>
      </c>
      <c r="AB229" s="1033">
        <v>46078</v>
      </c>
      <c r="AC229" s="1032">
        <v>9</v>
      </c>
      <c r="AD229" s="1032" t="s">
        <v>1179</v>
      </c>
      <c r="AF229" s="1032" t="s">
        <v>77</v>
      </c>
      <c r="AG229" s="1032" t="s">
        <v>61</v>
      </c>
      <c r="AH229" s="1032" t="s">
        <v>356</v>
      </c>
      <c r="AI229" s="1033">
        <v>46083</v>
      </c>
      <c r="AJ229" s="1033">
        <v>46084</v>
      </c>
      <c r="AK229" s="1033">
        <v>46084</v>
      </c>
      <c r="AL229" s="1033">
        <v>46133</v>
      </c>
      <c r="AM229" s="1033">
        <v>46139</v>
      </c>
      <c r="AN229" s="1033">
        <v>46140</v>
      </c>
      <c r="AO229" s="1032" t="s">
        <v>402</v>
      </c>
      <c r="AP229" s="1032" t="s">
        <v>1168</v>
      </c>
      <c r="AQ229" s="1032" t="s">
        <v>161</v>
      </c>
      <c r="AR229" s="1032" t="s">
        <v>1180</v>
      </c>
      <c r="AS229" s="1032" t="s">
        <v>1181</v>
      </c>
      <c r="AT229" s="1032" t="s">
        <v>1181</v>
      </c>
      <c r="AU229" s="1032">
        <v>56</v>
      </c>
      <c r="AW229" s="1033">
        <v>46140</v>
      </c>
      <c r="AX229" s="1032" t="s">
        <v>973</v>
      </c>
      <c r="AY229" s="1033">
        <v>46152</v>
      </c>
      <c r="AZ229" s="1032">
        <v>8</v>
      </c>
      <c r="BA229" s="1033">
        <v>46148</v>
      </c>
      <c r="BB229" s="1032">
        <v>2026</v>
      </c>
      <c r="BC229" s="1032">
        <v>5</v>
      </c>
      <c r="BD229" s="1032">
        <v>19</v>
      </c>
      <c r="BE229" s="1032">
        <v>36</v>
      </c>
      <c r="BF229" s="1032">
        <v>576</v>
      </c>
      <c r="BG229" s="1032" t="s">
        <v>108</v>
      </c>
      <c r="BH229" s="1032" t="s">
        <v>109</v>
      </c>
    </row>
    <row r="230" spans="1:60">
      <c r="A230" s="1032" t="s">
        <v>1182</v>
      </c>
      <c r="B230" s="1032" t="s">
        <v>111</v>
      </c>
      <c r="C230" s="1032" t="s">
        <v>1183</v>
      </c>
      <c r="D230" s="1032" t="s">
        <v>113</v>
      </c>
      <c r="E230" s="1032" t="s">
        <v>64</v>
      </c>
      <c r="F230" s="1032" t="s">
        <v>65</v>
      </c>
      <c r="G230" s="1032" t="s">
        <v>402</v>
      </c>
      <c r="H230" s="1032" t="s">
        <v>67</v>
      </c>
      <c r="I230" s="1032" t="s">
        <v>822</v>
      </c>
      <c r="J230" s="1032" t="s">
        <v>1184</v>
      </c>
      <c r="K230" s="1032" t="s">
        <v>328</v>
      </c>
      <c r="M230" s="1032" t="s">
        <v>68</v>
      </c>
      <c r="N230" s="1032">
        <v>46045</v>
      </c>
      <c r="O230" s="1032" t="s">
        <v>713</v>
      </c>
      <c r="P230" s="1032" t="s">
        <v>1185</v>
      </c>
      <c r="Q230" s="1032" t="s">
        <v>1186</v>
      </c>
      <c r="R230" s="1032" t="s">
        <v>73</v>
      </c>
      <c r="S230" s="1032" t="s">
        <v>1187</v>
      </c>
      <c r="T230" s="1032">
        <v>615</v>
      </c>
      <c r="U230" s="1032">
        <v>1440</v>
      </c>
      <c r="V230" s="1032">
        <v>0.88560000000000005</v>
      </c>
      <c r="W230" s="1032">
        <v>40</v>
      </c>
      <c r="X230" s="1032">
        <v>2</v>
      </c>
      <c r="Y230" s="1032" t="s">
        <v>75</v>
      </c>
      <c r="Z230" s="1032" t="s">
        <v>75</v>
      </c>
      <c r="AB230" s="1033">
        <v>46076</v>
      </c>
      <c r="AC230" s="1032">
        <v>9</v>
      </c>
      <c r="AD230" s="1032" t="s">
        <v>1188</v>
      </c>
      <c r="AF230" s="1032" t="s">
        <v>122</v>
      </c>
      <c r="AG230" s="1032" t="s">
        <v>123</v>
      </c>
      <c r="AH230" s="1032" t="s">
        <v>356</v>
      </c>
      <c r="AI230" s="1033">
        <v>46079</v>
      </c>
      <c r="AJ230" s="1033">
        <v>46079</v>
      </c>
      <c r="AK230" s="1033">
        <v>46079</v>
      </c>
      <c r="AL230" s="1033">
        <v>46132</v>
      </c>
      <c r="AM230" s="1033">
        <v>46135</v>
      </c>
      <c r="AN230" s="1033">
        <v>46135</v>
      </c>
      <c r="AO230" s="1032" t="s">
        <v>402</v>
      </c>
      <c r="AP230" s="1032" t="s">
        <v>1189</v>
      </c>
      <c r="AQ230" s="1032" t="s">
        <v>80</v>
      </c>
      <c r="AR230" s="1032" t="s">
        <v>1190</v>
      </c>
      <c r="AS230" s="1032" t="s">
        <v>1191</v>
      </c>
      <c r="AT230" s="1032" t="s">
        <v>1191</v>
      </c>
      <c r="AU230" s="1032">
        <v>56</v>
      </c>
      <c r="AW230" s="1033">
        <v>46135</v>
      </c>
      <c r="AX230" s="1032" t="s">
        <v>973</v>
      </c>
      <c r="AY230" s="1033">
        <v>46148</v>
      </c>
      <c r="AZ230" s="1032">
        <v>8</v>
      </c>
      <c r="BA230" s="1033">
        <v>46143</v>
      </c>
      <c r="BB230" s="1032">
        <v>2026</v>
      </c>
      <c r="BC230" s="1032">
        <v>5</v>
      </c>
      <c r="BD230" s="1032">
        <v>18</v>
      </c>
      <c r="BE230" s="1032">
        <v>36</v>
      </c>
      <c r="BF230" s="1032">
        <v>720</v>
      </c>
      <c r="BG230" s="1032" t="s">
        <v>108</v>
      </c>
      <c r="BH230" s="1032" t="s">
        <v>109</v>
      </c>
    </row>
    <row r="231" spans="1:60">
      <c r="A231" s="1032" t="s">
        <v>1192</v>
      </c>
      <c r="B231" s="1032" t="s">
        <v>111</v>
      </c>
      <c r="C231" s="1032" t="s">
        <v>1091</v>
      </c>
      <c r="D231" s="1032" t="s">
        <v>63</v>
      </c>
      <c r="E231" s="1032" t="s">
        <v>64</v>
      </c>
      <c r="F231" s="1032" t="s">
        <v>100</v>
      </c>
      <c r="G231" s="1032" t="s">
        <v>402</v>
      </c>
      <c r="H231" s="1032" t="s">
        <v>67</v>
      </c>
      <c r="I231" s="1032" t="s">
        <v>689</v>
      </c>
      <c r="J231" s="1032" t="s">
        <v>293</v>
      </c>
      <c r="M231" s="1032" t="s">
        <v>68</v>
      </c>
      <c r="N231" s="1032">
        <v>46069</v>
      </c>
      <c r="O231" s="1032" t="s">
        <v>132</v>
      </c>
      <c r="P231" s="1032" t="s">
        <v>189</v>
      </c>
      <c r="Q231" s="1032" t="s">
        <v>190</v>
      </c>
      <c r="R231" s="1032" t="s">
        <v>73</v>
      </c>
      <c r="S231" s="1032" t="s">
        <v>967</v>
      </c>
      <c r="T231" s="1032">
        <v>465</v>
      </c>
      <c r="U231" s="1032">
        <v>4320</v>
      </c>
      <c r="V231" s="1032">
        <v>2.0087999999999999</v>
      </c>
      <c r="W231" s="1032">
        <v>120</v>
      </c>
      <c r="X231" s="1032">
        <v>5</v>
      </c>
      <c r="Y231" s="1032" t="s">
        <v>75</v>
      </c>
      <c r="Z231" s="1032" t="s">
        <v>75</v>
      </c>
      <c r="AB231" s="1033">
        <v>46077</v>
      </c>
      <c r="AC231" s="1032">
        <v>9</v>
      </c>
      <c r="AD231" s="1032" t="s">
        <v>1193</v>
      </c>
      <c r="AF231" s="1032" t="s">
        <v>122</v>
      </c>
      <c r="AG231" s="1032" t="s">
        <v>123</v>
      </c>
      <c r="AH231" s="1032" t="s">
        <v>105</v>
      </c>
      <c r="AI231" s="1033">
        <v>46088</v>
      </c>
      <c r="AJ231" s="1033">
        <v>46086</v>
      </c>
      <c r="AK231" s="1033">
        <v>46090</v>
      </c>
      <c r="AL231" s="1033">
        <v>46122</v>
      </c>
      <c r="AM231" s="1033">
        <v>46141</v>
      </c>
      <c r="AN231" s="1033">
        <v>46137</v>
      </c>
      <c r="AO231" s="1032" t="s">
        <v>402</v>
      </c>
      <c r="AP231" s="1032" t="s">
        <v>850</v>
      </c>
      <c r="AQ231" s="1032" t="s">
        <v>80</v>
      </c>
      <c r="AR231" s="1032" t="s">
        <v>1194</v>
      </c>
      <c r="AS231" s="1032" t="s">
        <v>1195</v>
      </c>
      <c r="AT231" s="1032" t="s">
        <v>1195</v>
      </c>
      <c r="AU231" s="1032">
        <v>47</v>
      </c>
      <c r="AW231" s="1033">
        <v>46137</v>
      </c>
      <c r="AX231" s="1032" t="s">
        <v>973</v>
      </c>
      <c r="AY231" s="1033">
        <v>46149</v>
      </c>
      <c r="AZ231" s="1032">
        <v>7</v>
      </c>
      <c r="BA231" s="1033">
        <v>46144</v>
      </c>
      <c r="BB231" s="1032">
        <v>2026</v>
      </c>
      <c r="BC231" s="1032">
        <v>5</v>
      </c>
      <c r="BD231" s="1032">
        <v>18</v>
      </c>
      <c r="BE231" s="1032">
        <v>36</v>
      </c>
      <c r="BF231" s="1032">
        <v>864</v>
      </c>
      <c r="BG231" s="1032" t="s">
        <v>108</v>
      </c>
      <c r="BH231" s="1032" t="s">
        <v>109</v>
      </c>
    </row>
    <row r="232" spans="1:60">
      <c r="A232" s="1032" t="s">
        <v>1196</v>
      </c>
      <c r="B232" s="1032" t="s">
        <v>111</v>
      </c>
      <c r="C232" s="1032" t="s">
        <v>1091</v>
      </c>
      <c r="D232" s="1032" t="s">
        <v>63</v>
      </c>
      <c r="E232" s="1032" t="s">
        <v>64</v>
      </c>
      <c r="F232" s="1032" t="s">
        <v>100</v>
      </c>
      <c r="G232" s="1032" t="s">
        <v>402</v>
      </c>
      <c r="H232" s="1032" t="s">
        <v>67</v>
      </c>
      <c r="I232" s="1032" t="s">
        <v>689</v>
      </c>
      <c r="J232" s="1032" t="s">
        <v>1197</v>
      </c>
      <c r="M232" s="1032" t="s">
        <v>68</v>
      </c>
      <c r="N232" s="1032">
        <v>46055</v>
      </c>
      <c r="O232" s="1032" t="s">
        <v>132</v>
      </c>
      <c r="P232" s="1032" t="s">
        <v>189</v>
      </c>
      <c r="Q232" s="1032" t="s">
        <v>190</v>
      </c>
      <c r="R232" s="1032" t="s">
        <v>73</v>
      </c>
      <c r="S232" s="1032" t="s">
        <v>967</v>
      </c>
      <c r="T232" s="1032">
        <v>465</v>
      </c>
      <c r="U232" s="1032">
        <v>5184</v>
      </c>
      <c r="V232" s="1032">
        <v>2.4105599999999998</v>
      </c>
      <c r="W232" s="1032">
        <v>144</v>
      </c>
      <c r="X232" s="1032">
        <v>6</v>
      </c>
      <c r="Y232" s="1032" t="s">
        <v>75</v>
      </c>
      <c r="Z232" s="1032" t="s">
        <v>75</v>
      </c>
      <c r="AB232" s="1033">
        <v>46079</v>
      </c>
      <c r="AC232" s="1032">
        <v>9</v>
      </c>
      <c r="AD232" s="1032" t="s">
        <v>1198</v>
      </c>
      <c r="AF232" s="1032" t="s">
        <v>122</v>
      </c>
      <c r="AG232" s="1032" t="s">
        <v>123</v>
      </c>
      <c r="AH232" s="1032" t="s">
        <v>105</v>
      </c>
      <c r="AI232" s="1033">
        <v>46088</v>
      </c>
      <c r="AJ232" s="1033">
        <v>46086</v>
      </c>
      <c r="AK232" s="1033">
        <v>46090</v>
      </c>
      <c r="AL232" s="1033">
        <v>46122</v>
      </c>
      <c r="AM232" s="1033">
        <v>46141</v>
      </c>
      <c r="AN232" s="1033">
        <v>46137</v>
      </c>
      <c r="AO232" s="1032" t="s">
        <v>402</v>
      </c>
      <c r="AP232" s="1032" t="s">
        <v>1199</v>
      </c>
      <c r="AQ232" s="1032" t="s">
        <v>80</v>
      </c>
      <c r="AR232" s="1032" t="s">
        <v>1194</v>
      </c>
      <c r="AS232" s="1032" t="s">
        <v>1195</v>
      </c>
      <c r="AT232" s="1032" t="s">
        <v>1195</v>
      </c>
      <c r="AU232" s="1032">
        <v>47</v>
      </c>
      <c r="AW232" s="1033">
        <v>46137</v>
      </c>
      <c r="AX232" s="1032" t="s">
        <v>973</v>
      </c>
      <c r="AY232" s="1033">
        <v>46149</v>
      </c>
      <c r="AZ232" s="1032">
        <v>7</v>
      </c>
      <c r="BA232" s="1033">
        <v>46144</v>
      </c>
      <c r="BB232" s="1032">
        <v>2026</v>
      </c>
      <c r="BC232" s="1032">
        <v>5</v>
      </c>
      <c r="BD232" s="1032">
        <v>18</v>
      </c>
      <c r="BE232" s="1032">
        <v>36</v>
      </c>
      <c r="BF232" s="1032">
        <v>864</v>
      </c>
      <c r="BG232" s="1032" t="s">
        <v>108</v>
      </c>
      <c r="BH232" s="1032" t="s">
        <v>109</v>
      </c>
    </row>
    <row r="233" spans="1:60">
      <c r="A233" s="1032" t="s">
        <v>1200</v>
      </c>
      <c r="B233" s="1032" t="s">
        <v>111</v>
      </c>
      <c r="C233" s="1032" t="s">
        <v>1061</v>
      </c>
      <c r="D233" s="1032" t="s">
        <v>63</v>
      </c>
      <c r="E233" s="1032" t="s">
        <v>64</v>
      </c>
      <c r="F233" s="1032" t="s">
        <v>100</v>
      </c>
      <c r="G233" s="1032" t="s">
        <v>402</v>
      </c>
      <c r="H233" s="1032" t="s">
        <v>67</v>
      </c>
      <c r="I233" s="1032" t="s">
        <v>689</v>
      </c>
      <c r="J233" s="1032" t="s">
        <v>101</v>
      </c>
      <c r="M233" s="1032" t="s">
        <v>68</v>
      </c>
      <c r="N233" s="1032" t="s">
        <v>68</v>
      </c>
      <c r="O233" s="1032" t="s">
        <v>132</v>
      </c>
      <c r="P233" s="1032" t="s">
        <v>1062</v>
      </c>
      <c r="Q233" s="1032" t="s">
        <v>1063</v>
      </c>
      <c r="R233" s="1032" t="s">
        <v>73</v>
      </c>
      <c r="S233" s="1032" t="s">
        <v>967</v>
      </c>
      <c r="T233" s="1032">
        <v>470</v>
      </c>
      <c r="U233" s="1032">
        <v>864</v>
      </c>
      <c r="V233" s="1032">
        <v>0.40608</v>
      </c>
      <c r="W233" s="1032">
        <v>24</v>
      </c>
      <c r="X233" s="1032">
        <v>1</v>
      </c>
      <c r="Y233" s="1032" t="s">
        <v>75</v>
      </c>
      <c r="Z233" s="1032" t="s">
        <v>75</v>
      </c>
      <c r="AB233" s="1033">
        <v>46079</v>
      </c>
      <c r="AC233" s="1032">
        <v>9</v>
      </c>
      <c r="AD233" s="1032" t="s">
        <v>1201</v>
      </c>
      <c r="AF233" s="1032" t="s">
        <v>122</v>
      </c>
      <c r="AG233" s="1032" t="s">
        <v>123</v>
      </c>
      <c r="AH233" s="1032" t="s">
        <v>105</v>
      </c>
      <c r="AI233" s="1033">
        <v>46088</v>
      </c>
      <c r="AJ233" s="1033">
        <v>46086</v>
      </c>
      <c r="AK233" s="1033">
        <v>46090</v>
      </c>
      <c r="AL233" s="1033">
        <v>46122</v>
      </c>
      <c r="AM233" s="1033">
        <v>46141</v>
      </c>
      <c r="AN233" s="1033">
        <v>46137</v>
      </c>
      <c r="AO233" s="1032" t="s">
        <v>402</v>
      </c>
      <c r="AP233" s="1032" t="s">
        <v>1199</v>
      </c>
      <c r="AQ233" s="1032" t="s">
        <v>80</v>
      </c>
      <c r="AR233" s="1032" t="s">
        <v>1194</v>
      </c>
      <c r="AS233" s="1032" t="s">
        <v>1195</v>
      </c>
      <c r="AT233" s="1032" t="s">
        <v>1195</v>
      </c>
      <c r="AU233" s="1032">
        <v>47</v>
      </c>
      <c r="AW233" s="1033">
        <v>46137</v>
      </c>
      <c r="AX233" s="1032" t="s">
        <v>973</v>
      </c>
      <c r="AY233" s="1033">
        <v>46149</v>
      </c>
      <c r="AZ233" s="1032">
        <v>7</v>
      </c>
      <c r="BA233" s="1033">
        <v>46144</v>
      </c>
      <c r="BB233" s="1032">
        <v>2026</v>
      </c>
      <c r="BC233" s="1032">
        <v>5</v>
      </c>
      <c r="BD233" s="1032">
        <v>18</v>
      </c>
      <c r="BE233" s="1032">
        <v>36</v>
      </c>
      <c r="BF233" s="1032">
        <v>864</v>
      </c>
      <c r="BG233" s="1032" t="s">
        <v>108</v>
      </c>
      <c r="BH233" s="1032" t="s">
        <v>109</v>
      </c>
    </row>
    <row r="234" spans="1:60">
      <c r="A234" s="1032" t="s">
        <v>1202</v>
      </c>
      <c r="B234" s="1032" t="s">
        <v>111</v>
      </c>
      <c r="C234" s="1032" t="s">
        <v>1091</v>
      </c>
      <c r="D234" s="1032" t="s">
        <v>63</v>
      </c>
      <c r="E234" s="1032" t="s">
        <v>64</v>
      </c>
      <c r="F234" s="1032" t="s">
        <v>450</v>
      </c>
      <c r="G234" s="1032" t="s">
        <v>402</v>
      </c>
      <c r="H234" s="1032" t="s">
        <v>451</v>
      </c>
      <c r="I234" s="1032" t="s">
        <v>689</v>
      </c>
      <c r="J234" s="1032" t="s">
        <v>1203</v>
      </c>
      <c r="M234" s="1032" t="s">
        <v>68</v>
      </c>
      <c r="N234" s="1032">
        <v>46069</v>
      </c>
      <c r="O234" s="1032" t="s">
        <v>132</v>
      </c>
      <c r="P234" s="1032" t="s">
        <v>189</v>
      </c>
      <c r="Q234" s="1032" t="s">
        <v>190</v>
      </c>
      <c r="R234" s="1032" t="s">
        <v>73</v>
      </c>
      <c r="S234" s="1032" t="s">
        <v>967</v>
      </c>
      <c r="T234" s="1032">
        <v>465</v>
      </c>
      <c r="U234" s="1032">
        <v>864</v>
      </c>
      <c r="V234" s="1032">
        <v>0.40176000000000001</v>
      </c>
      <c r="W234" s="1032">
        <v>24</v>
      </c>
      <c r="X234" s="1032">
        <v>1</v>
      </c>
      <c r="Y234" s="1032" t="s">
        <v>75</v>
      </c>
      <c r="Z234" s="1032" t="s">
        <v>75</v>
      </c>
      <c r="AB234" s="1033">
        <v>46077</v>
      </c>
      <c r="AC234" s="1032">
        <v>9</v>
      </c>
      <c r="AD234" s="1032" t="s">
        <v>1204</v>
      </c>
      <c r="AF234" s="1032" t="s">
        <v>122</v>
      </c>
      <c r="AG234" s="1032" t="s">
        <v>123</v>
      </c>
      <c r="AH234" s="1032" t="s">
        <v>456</v>
      </c>
      <c r="AI234" s="1033">
        <v>46083</v>
      </c>
      <c r="AJ234" s="1033">
        <v>46082</v>
      </c>
      <c r="AK234" s="1033">
        <v>46082</v>
      </c>
      <c r="AL234" s="1033">
        <v>46124</v>
      </c>
      <c r="AM234" s="1033">
        <v>46131</v>
      </c>
      <c r="AN234" s="1033">
        <v>46131</v>
      </c>
      <c r="AO234" s="1032" t="s">
        <v>402</v>
      </c>
      <c r="AP234" s="1032" t="s">
        <v>1205</v>
      </c>
      <c r="AQ234" s="1032" t="s">
        <v>80</v>
      </c>
      <c r="AR234" s="1032" t="s">
        <v>1206</v>
      </c>
      <c r="AS234" s="1032" t="s">
        <v>1207</v>
      </c>
      <c r="AT234" s="1032" t="s">
        <v>1207</v>
      </c>
      <c r="AU234" s="1032">
        <v>49</v>
      </c>
      <c r="AW234" s="1033">
        <v>46131</v>
      </c>
      <c r="AX234" s="1032" t="s">
        <v>973</v>
      </c>
      <c r="AY234" s="1033">
        <v>46145</v>
      </c>
      <c r="AZ234" s="1032">
        <v>7</v>
      </c>
      <c r="BA234" s="1033">
        <v>46138</v>
      </c>
      <c r="BB234" s="1032">
        <v>2026</v>
      </c>
      <c r="BC234" s="1032">
        <v>4</v>
      </c>
      <c r="BD234" s="1032">
        <v>17</v>
      </c>
      <c r="BE234" s="1032">
        <v>36</v>
      </c>
      <c r="BF234" s="1032">
        <v>864</v>
      </c>
      <c r="BG234" s="1032" t="s">
        <v>108</v>
      </c>
      <c r="BH234" s="1032" t="s">
        <v>109</v>
      </c>
    </row>
    <row r="235" spans="1:60">
      <c r="A235" s="1032" t="s">
        <v>1208</v>
      </c>
      <c r="B235" s="1032" t="s">
        <v>111</v>
      </c>
      <c r="C235" s="1032" t="s">
        <v>1183</v>
      </c>
      <c r="D235" s="1032" t="s">
        <v>113</v>
      </c>
      <c r="E235" s="1032" t="s">
        <v>64</v>
      </c>
      <c r="F235" s="1032" t="s">
        <v>65</v>
      </c>
      <c r="G235" s="1032" t="s">
        <v>402</v>
      </c>
      <c r="H235" s="1032" t="s">
        <v>67</v>
      </c>
      <c r="I235" s="1032" t="s">
        <v>822</v>
      </c>
      <c r="J235" s="1032" t="s">
        <v>1184</v>
      </c>
      <c r="K235" s="1032" t="s">
        <v>328</v>
      </c>
      <c r="M235" s="1032" t="s">
        <v>68</v>
      </c>
      <c r="N235" s="1032">
        <v>46045</v>
      </c>
      <c r="O235" s="1032" t="s">
        <v>713</v>
      </c>
      <c r="P235" s="1032" t="s">
        <v>1185</v>
      </c>
      <c r="Q235" s="1032" t="s">
        <v>1186</v>
      </c>
      <c r="R235" s="1032" t="s">
        <v>73</v>
      </c>
      <c r="S235" s="1032" t="s">
        <v>1187</v>
      </c>
      <c r="T235" s="1032">
        <v>615</v>
      </c>
      <c r="U235" s="1032">
        <v>720</v>
      </c>
      <c r="V235" s="1032">
        <v>0.44280000000000003</v>
      </c>
      <c r="W235" s="1032">
        <v>20</v>
      </c>
      <c r="X235" s="1032">
        <v>1</v>
      </c>
      <c r="Y235" s="1032" t="s">
        <v>75</v>
      </c>
      <c r="Z235" s="1032" t="s">
        <v>75</v>
      </c>
      <c r="AB235" s="1033">
        <v>46078</v>
      </c>
      <c r="AC235" s="1032">
        <v>9</v>
      </c>
      <c r="AD235" s="1032" t="s">
        <v>1209</v>
      </c>
      <c r="AF235" s="1032" t="s">
        <v>122</v>
      </c>
      <c r="AG235" s="1032" t="s">
        <v>123</v>
      </c>
      <c r="AH235" s="1032" t="s">
        <v>356</v>
      </c>
      <c r="AI235" s="1033">
        <v>46089</v>
      </c>
      <c r="AJ235" s="1033">
        <v>46088</v>
      </c>
      <c r="AK235" s="1033">
        <v>46089</v>
      </c>
      <c r="AL235" s="1033">
        <v>46126</v>
      </c>
      <c r="AM235" s="1033">
        <v>46126</v>
      </c>
      <c r="AN235" s="1033">
        <v>46124</v>
      </c>
      <c r="AO235" s="1032" t="s">
        <v>402</v>
      </c>
      <c r="AP235" s="1032" t="s">
        <v>899</v>
      </c>
      <c r="AQ235" s="1032" t="s">
        <v>80</v>
      </c>
      <c r="AR235" s="1032" t="s">
        <v>900</v>
      </c>
      <c r="AS235" s="1032" t="s">
        <v>901</v>
      </c>
      <c r="AT235" s="1032" t="s">
        <v>901</v>
      </c>
      <c r="AU235" s="1032">
        <v>35</v>
      </c>
      <c r="AW235" s="1033">
        <v>46124</v>
      </c>
      <c r="AX235" s="1032" t="s">
        <v>973</v>
      </c>
      <c r="AY235" s="1033">
        <v>46132</v>
      </c>
      <c r="AZ235" s="1032">
        <v>8</v>
      </c>
      <c r="BA235" s="1033">
        <v>46132</v>
      </c>
      <c r="BB235" s="1032">
        <v>2026</v>
      </c>
      <c r="BC235" s="1032">
        <v>4</v>
      </c>
      <c r="BD235" s="1032">
        <v>17</v>
      </c>
      <c r="BE235" s="1032">
        <v>36</v>
      </c>
      <c r="BF235" s="1032">
        <v>720</v>
      </c>
      <c r="BG235" s="1032" t="s">
        <v>108</v>
      </c>
      <c r="BH235" s="1032" t="s">
        <v>109</v>
      </c>
    </row>
    <row r="236" spans="1:60">
      <c r="A236" s="1032" t="s">
        <v>1210</v>
      </c>
      <c r="B236" s="1032" t="s">
        <v>111</v>
      </c>
      <c r="C236" s="1032" t="s">
        <v>991</v>
      </c>
      <c r="D236" s="1032" t="s">
        <v>63</v>
      </c>
      <c r="E236" s="1032" t="s">
        <v>64</v>
      </c>
      <c r="F236" s="1032" t="s">
        <v>100</v>
      </c>
      <c r="G236" s="1032" t="s">
        <v>402</v>
      </c>
      <c r="H236" s="1032" t="s">
        <v>67</v>
      </c>
      <c r="I236" s="1032" t="s">
        <v>689</v>
      </c>
      <c r="J236" s="1032" t="s">
        <v>101</v>
      </c>
      <c r="M236" s="1032" t="s">
        <v>68</v>
      </c>
      <c r="N236" s="1032">
        <v>46048</v>
      </c>
      <c r="O236" s="1032" t="s">
        <v>132</v>
      </c>
      <c r="P236" s="1032" t="s">
        <v>133</v>
      </c>
      <c r="Q236" s="1032" t="s">
        <v>134</v>
      </c>
      <c r="R236" s="1032" t="s">
        <v>73</v>
      </c>
      <c r="S236" s="1032" t="s">
        <v>992</v>
      </c>
      <c r="T236" s="1032">
        <v>720</v>
      </c>
      <c r="U236" s="1032">
        <v>2970</v>
      </c>
      <c r="V236" s="1032">
        <v>2.1383999999999999</v>
      </c>
      <c r="W236" s="1032">
        <v>90</v>
      </c>
      <c r="X236" s="1032">
        <v>5</v>
      </c>
      <c r="Y236" s="1032" t="s">
        <v>75</v>
      </c>
      <c r="Z236" s="1032" t="s">
        <v>75</v>
      </c>
      <c r="AB236" s="1033">
        <v>46082</v>
      </c>
      <c r="AC236" s="1032">
        <v>9</v>
      </c>
      <c r="AD236" s="1032" t="s">
        <v>1211</v>
      </c>
      <c r="AF236" s="1032" t="s">
        <v>122</v>
      </c>
      <c r="AG236" s="1032" t="s">
        <v>123</v>
      </c>
      <c r="AH236" s="1032" t="s">
        <v>105</v>
      </c>
      <c r="AI236" s="1033">
        <v>46091</v>
      </c>
      <c r="AJ236" s="1033">
        <v>46096</v>
      </c>
      <c r="AK236" s="1033">
        <v>46097</v>
      </c>
      <c r="AL236" s="1033">
        <v>46127</v>
      </c>
      <c r="AM236" s="1033">
        <v>46137</v>
      </c>
      <c r="AN236" s="1033">
        <v>46137</v>
      </c>
      <c r="AO236" s="1032" t="s">
        <v>402</v>
      </c>
      <c r="AP236" s="1032" t="s">
        <v>1212</v>
      </c>
      <c r="AQ236" s="1032" t="s">
        <v>80</v>
      </c>
      <c r="AR236" s="1032" t="s">
        <v>1213</v>
      </c>
      <c r="AS236" s="1032" t="s">
        <v>1214</v>
      </c>
      <c r="AT236" s="1032" t="s">
        <v>1214</v>
      </c>
      <c r="AU236" s="1032">
        <v>40</v>
      </c>
      <c r="AW236" s="1033">
        <v>46137</v>
      </c>
      <c r="AX236" s="1032" t="s">
        <v>973</v>
      </c>
      <c r="AY236" s="1033">
        <v>46149</v>
      </c>
      <c r="AZ236" s="1032">
        <v>7</v>
      </c>
      <c r="BA236" s="1033">
        <v>46144</v>
      </c>
      <c r="BB236" s="1032">
        <v>2026</v>
      </c>
      <c r="BC236" s="1032">
        <v>5</v>
      </c>
      <c r="BD236" s="1032">
        <v>18</v>
      </c>
      <c r="BE236" s="1032">
        <v>33</v>
      </c>
      <c r="BF236" s="1032">
        <v>594</v>
      </c>
      <c r="BG236" s="1032" t="s">
        <v>108</v>
      </c>
      <c r="BH236" s="1032" t="s">
        <v>109</v>
      </c>
    </row>
    <row r="237" spans="1:60">
      <c r="A237" s="1032" t="s">
        <v>1215</v>
      </c>
      <c r="B237" s="1032" t="s">
        <v>111</v>
      </c>
      <c r="C237" s="1032" t="s">
        <v>1061</v>
      </c>
      <c r="D237" s="1032" t="s">
        <v>63</v>
      </c>
      <c r="E237" s="1032" t="s">
        <v>64</v>
      </c>
      <c r="F237" s="1032" t="s">
        <v>100</v>
      </c>
      <c r="G237" s="1032" t="s">
        <v>402</v>
      </c>
      <c r="H237" s="1032" t="s">
        <v>67</v>
      </c>
      <c r="I237" s="1032" t="s">
        <v>689</v>
      </c>
      <c r="J237" s="1032" t="s">
        <v>101</v>
      </c>
      <c r="M237" s="1032" t="s">
        <v>68</v>
      </c>
      <c r="N237" s="1032">
        <v>46076</v>
      </c>
      <c r="O237" s="1032" t="s">
        <v>132</v>
      </c>
      <c r="P237" s="1032" t="s">
        <v>1062</v>
      </c>
      <c r="Q237" s="1032" t="s">
        <v>1063</v>
      </c>
      <c r="R237" s="1032" t="s">
        <v>73</v>
      </c>
      <c r="S237" s="1032" t="s">
        <v>967</v>
      </c>
      <c r="T237" s="1032">
        <v>470</v>
      </c>
      <c r="U237" s="1032">
        <v>3456</v>
      </c>
      <c r="V237" s="1032">
        <v>1.62432</v>
      </c>
      <c r="W237" s="1032">
        <v>96</v>
      </c>
      <c r="X237" s="1032">
        <v>4</v>
      </c>
      <c r="Y237" s="1032" t="s">
        <v>75</v>
      </c>
      <c r="Z237" s="1032" t="s">
        <v>75</v>
      </c>
      <c r="AB237" s="1033">
        <v>46082</v>
      </c>
      <c r="AC237" s="1032">
        <v>9</v>
      </c>
      <c r="AD237" s="1032" t="s">
        <v>1216</v>
      </c>
      <c r="AF237" s="1032" t="s">
        <v>122</v>
      </c>
      <c r="AG237" s="1032" t="s">
        <v>123</v>
      </c>
      <c r="AH237" s="1032" t="s">
        <v>105</v>
      </c>
      <c r="AI237" s="1033">
        <v>46091</v>
      </c>
      <c r="AJ237" s="1033">
        <v>46096</v>
      </c>
      <c r="AK237" s="1033">
        <v>46096</v>
      </c>
      <c r="AL237" s="1033">
        <v>46126</v>
      </c>
      <c r="AM237" s="1033">
        <v>46142</v>
      </c>
      <c r="AN237" s="1033">
        <v>46141</v>
      </c>
      <c r="AO237" s="1032" t="s">
        <v>402</v>
      </c>
      <c r="AP237" s="1032" t="s">
        <v>872</v>
      </c>
      <c r="AQ237" s="1032" t="s">
        <v>80</v>
      </c>
      <c r="AR237" s="1032" t="s">
        <v>909</v>
      </c>
      <c r="AS237" s="1032" t="s">
        <v>910</v>
      </c>
      <c r="AT237" s="1032" t="s">
        <v>910</v>
      </c>
      <c r="AU237" s="1032">
        <v>45</v>
      </c>
      <c r="AW237" s="1033">
        <v>46141</v>
      </c>
      <c r="AX237" s="1032" t="s">
        <v>973</v>
      </c>
      <c r="AY237" s="1033">
        <v>46162</v>
      </c>
      <c r="AZ237" s="1032">
        <v>7</v>
      </c>
      <c r="BA237" s="1033">
        <v>46148</v>
      </c>
      <c r="BB237" s="1032">
        <v>2026</v>
      </c>
      <c r="BC237" s="1032">
        <v>5</v>
      </c>
      <c r="BD237" s="1032">
        <v>19</v>
      </c>
      <c r="BE237" s="1032">
        <v>36</v>
      </c>
      <c r="BF237" s="1032">
        <v>864</v>
      </c>
      <c r="BG237" s="1032" t="s">
        <v>108</v>
      </c>
      <c r="BH237" s="1032" t="s">
        <v>109</v>
      </c>
    </row>
    <row r="238" spans="1:60">
      <c r="A238" s="1032" t="s">
        <v>1217</v>
      </c>
      <c r="B238" s="1032" t="s">
        <v>111</v>
      </c>
      <c r="C238" s="1032" t="s">
        <v>991</v>
      </c>
      <c r="D238" s="1032" t="s">
        <v>63</v>
      </c>
      <c r="E238" s="1032" t="s">
        <v>64</v>
      </c>
      <c r="F238" s="1032" t="s">
        <v>100</v>
      </c>
      <c r="G238" s="1032" t="s">
        <v>402</v>
      </c>
      <c r="H238" s="1032" t="s">
        <v>67</v>
      </c>
      <c r="I238" s="1032" t="s">
        <v>689</v>
      </c>
      <c r="J238" s="1032" t="s">
        <v>101</v>
      </c>
      <c r="M238" s="1032" t="s">
        <v>68</v>
      </c>
      <c r="N238" s="1032">
        <v>46048</v>
      </c>
      <c r="O238" s="1032" t="s">
        <v>132</v>
      </c>
      <c r="P238" s="1032" t="s">
        <v>133</v>
      </c>
      <c r="Q238" s="1032" t="s">
        <v>134</v>
      </c>
      <c r="R238" s="1032" t="s">
        <v>73</v>
      </c>
      <c r="S238" s="1032" t="s">
        <v>992</v>
      </c>
      <c r="T238" s="1032">
        <v>720</v>
      </c>
      <c r="U238" s="1032">
        <v>1188</v>
      </c>
      <c r="V238" s="1032">
        <v>0.85536000000000001</v>
      </c>
      <c r="W238" s="1032">
        <v>36</v>
      </c>
      <c r="X238" s="1032">
        <v>2</v>
      </c>
      <c r="Y238" s="1032" t="s">
        <v>75</v>
      </c>
      <c r="Z238" s="1032" t="s">
        <v>75</v>
      </c>
      <c r="AB238" s="1033">
        <v>46082</v>
      </c>
      <c r="AC238" s="1032">
        <v>9</v>
      </c>
      <c r="AD238" s="1032" t="s">
        <v>1218</v>
      </c>
      <c r="AF238" s="1032" t="s">
        <v>122</v>
      </c>
      <c r="AG238" s="1032" t="s">
        <v>123</v>
      </c>
      <c r="AH238" s="1032" t="s">
        <v>105</v>
      </c>
      <c r="AI238" s="1033">
        <v>46091</v>
      </c>
      <c r="AJ238" s="1033">
        <v>46096</v>
      </c>
      <c r="AK238" s="1033">
        <v>46096</v>
      </c>
      <c r="AL238" s="1033">
        <v>46126</v>
      </c>
      <c r="AM238" s="1033">
        <v>46142</v>
      </c>
      <c r="AN238" s="1033">
        <v>46141</v>
      </c>
      <c r="AO238" s="1032" t="s">
        <v>402</v>
      </c>
      <c r="AP238" s="1032" t="s">
        <v>872</v>
      </c>
      <c r="AQ238" s="1032" t="s">
        <v>80</v>
      </c>
      <c r="AR238" s="1032" t="s">
        <v>909</v>
      </c>
      <c r="AS238" s="1032" t="s">
        <v>910</v>
      </c>
      <c r="AT238" s="1032" t="s">
        <v>910</v>
      </c>
      <c r="AU238" s="1032">
        <v>45</v>
      </c>
      <c r="AW238" s="1033">
        <v>46141</v>
      </c>
      <c r="AX238" s="1032" t="s">
        <v>973</v>
      </c>
      <c r="AY238" s="1033">
        <v>46162</v>
      </c>
      <c r="AZ238" s="1032">
        <v>7</v>
      </c>
      <c r="BA238" s="1033">
        <v>46148</v>
      </c>
      <c r="BB238" s="1032">
        <v>2026</v>
      </c>
      <c r="BC238" s="1032">
        <v>5</v>
      </c>
      <c r="BD238" s="1032">
        <v>19</v>
      </c>
      <c r="BE238" s="1032">
        <v>33</v>
      </c>
      <c r="BF238" s="1032">
        <v>594</v>
      </c>
      <c r="BG238" s="1032" t="s">
        <v>108</v>
      </c>
      <c r="BH238" s="1032" t="s">
        <v>109</v>
      </c>
    </row>
    <row r="239" spans="1:60">
      <c r="A239" s="1032" t="s">
        <v>1219</v>
      </c>
      <c r="B239" s="1032" t="s">
        <v>111</v>
      </c>
      <c r="C239" s="1032" t="s">
        <v>203</v>
      </c>
      <c r="D239" s="1032" t="s">
        <v>63</v>
      </c>
      <c r="E239" s="1032" t="s">
        <v>64</v>
      </c>
      <c r="F239" s="1032" t="s">
        <v>65</v>
      </c>
      <c r="G239" s="1032" t="s">
        <v>402</v>
      </c>
      <c r="H239" s="1032" t="s">
        <v>67</v>
      </c>
      <c r="I239" s="1032" t="s">
        <v>882</v>
      </c>
      <c r="J239" s="1032" t="s">
        <v>1220</v>
      </c>
      <c r="M239" s="1032" t="s">
        <v>68</v>
      </c>
      <c r="N239" s="1032">
        <v>46045</v>
      </c>
      <c r="O239" s="1032" t="s">
        <v>713</v>
      </c>
      <c r="P239" s="1032" t="s">
        <v>1221</v>
      </c>
      <c r="Q239" s="1032" t="s">
        <v>1222</v>
      </c>
      <c r="R239" s="1032" t="s">
        <v>73</v>
      </c>
      <c r="S239" s="1032" t="s">
        <v>1187</v>
      </c>
      <c r="T239" s="1032">
        <v>545</v>
      </c>
      <c r="U239" s="1032">
        <v>3498</v>
      </c>
      <c r="V239" s="1032">
        <v>1.9064099999999999</v>
      </c>
      <c r="W239" s="1032">
        <v>106</v>
      </c>
      <c r="X239" s="1032">
        <v>5.3</v>
      </c>
      <c r="Y239" s="1032" t="s">
        <v>75</v>
      </c>
      <c r="Z239" s="1032" t="s">
        <v>75</v>
      </c>
      <c r="AB239" s="1033">
        <v>46082</v>
      </c>
      <c r="AC239" s="1032">
        <v>9</v>
      </c>
      <c r="AD239" s="1032" t="s">
        <v>1223</v>
      </c>
      <c r="AF239" s="1032" t="s">
        <v>122</v>
      </c>
      <c r="AG239" s="1032" t="s">
        <v>123</v>
      </c>
      <c r="AH239" s="1032" t="s">
        <v>78</v>
      </c>
      <c r="AI239" s="1033">
        <v>46092</v>
      </c>
      <c r="AJ239" s="1033">
        <v>46092</v>
      </c>
      <c r="AK239" s="1033">
        <v>46094</v>
      </c>
      <c r="AL239" s="1033">
        <v>46143</v>
      </c>
      <c r="AM239" s="1033">
        <v>46144</v>
      </c>
      <c r="AN239" s="1033">
        <v>46144</v>
      </c>
      <c r="AO239" s="1032" t="s">
        <v>402</v>
      </c>
      <c r="AP239" s="1032" t="s">
        <v>1224</v>
      </c>
      <c r="AQ239" s="1032" t="s">
        <v>80</v>
      </c>
      <c r="AR239" s="1032" t="s">
        <v>1225</v>
      </c>
      <c r="AS239" s="1032" t="s">
        <v>1226</v>
      </c>
      <c r="AT239" s="1032" t="s">
        <v>1226</v>
      </c>
      <c r="AU239" s="1032">
        <v>50</v>
      </c>
      <c r="AW239" s="1033">
        <v>46144</v>
      </c>
      <c r="AX239" s="1032" t="s">
        <v>973</v>
      </c>
      <c r="AY239" s="1033">
        <v>46159</v>
      </c>
      <c r="AZ239" s="1032">
        <v>8</v>
      </c>
      <c r="BA239" s="1033">
        <v>46152</v>
      </c>
      <c r="BB239" s="1032">
        <v>2026</v>
      </c>
      <c r="BC239" s="1032">
        <v>5</v>
      </c>
      <c r="BD239" s="1032">
        <v>19</v>
      </c>
      <c r="BE239" s="1032">
        <v>33</v>
      </c>
      <c r="BF239" s="1032">
        <v>660</v>
      </c>
      <c r="BG239" s="1032" t="s">
        <v>108</v>
      </c>
      <c r="BH239" s="1032" t="s">
        <v>86</v>
      </c>
    </row>
    <row r="240" spans="1:60">
      <c r="A240" s="1032" t="s">
        <v>1227</v>
      </c>
      <c r="B240" s="1032" t="s">
        <v>111</v>
      </c>
      <c r="C240" s="1032" t="s">
        <v>203</v>
      </c>
      <c r="D240" s="1032" t="s">
        <v>63</v>
      </c>
      <c r="E240" s="1032" t="s">
        <v>64</v>
      </c>
      <c r="F240" s="1032" t="s">
        <v>65</v>
      </c>
      <c r="G240" s="1032" t="s">
        <v>402</v>
      </c>
      <c r="H240" s="1032" t="s">
        <v>67</v>
      </c>
      <c r="I240" s="1032" t="s">
        <v>882</v>
      </c>
      <c r="J240" s="1032" t="s">
        <v>1228</v>
      </c>
      <c r="M240" s="1032" t="s">
        <v>68</v>
      </c>
      <c r="N240" s="1032">
        <v>46045</v>
      </c>
      <c r="O240" s="1032" t="s">
        <v>713</v>
      </c>
      <c r="P240" s="1032" t="s">
        <v>462</v>
      </c>
      <c r="Q240" s="1032" t="s">
        <v>1229</v>
      </c>
      <c r="R240" s="1032" t="s">
        <v>73</v>
      </c>
      <c r="S240" s="1032" t="s">
        <v>1187</v>
      </c>
      <c r="T240" s="1032">
        <v>550</v>
      </c>
      <c r="U240" s="1032">
        <v>462</v>
      </c>
      <c r="V240" s="1032">
        <v>0.25409999999999999</v>
      </c>
      <c r="W240" s="1032">
        <v>14</v>
      </c>
      <c r="X240" s="1032">
        <v>0.7</v>
      </c>
      <c r="Y240" s="1032" t="s">
        <v>75</v>
      </c>
      <c r="Z240" s="1032" t="s">
        <v>75</v>
      </c>
      <c r="AB240" s="1033">
        <v>46082</v>
      </c>
      <c r="AC240" s="1032">
        <v>9</v>
      </c>
      <c r="AD240" s="1032" t="s">
        <v>1230</v>
      </c>
      <c r="AF240" s="1032" t="s">
        <v>122</v>
      </c>
      <c r="AG240" s="1032" t="s">
        <v>123</v>
      </c>
      <c r="AH240" s="1032" t="s">
        <v>78</v>
      </c>
      <c r="AI240" s="1033">
        <v>46092</v>
      </c>
      <c r="AJ240" s="1033">
        <v>46092</v>
      </c>
      <c r="AK240" s="1033">
        <v>46094</v>
      </c>
      <c r="AL240" s="1033">
        <v>46143</v>
      </c>
      <c r="AM240" s="1033">
        <v>46144</v>
      </c>
      <c r="AN240" s="1033">
        <v>46144</v>
      </c>
      <c r="AO240" s="1032" t="s">
        <v>402</v>
      </c>
      <c r="AP240" s="1032" t="s">
        <v>1224</v>
      </c>
      <c r="AQ240" s="1032" t="s">
        <v>80</v>
      </c>
      <c r="AR240" s="1032" t="s">
        <v>1225</v>
      </c>
      <c r="AS240" s="1032" t="s">
        <v>1226</v>
      </c>
      <c r="AT240" s="1032" t="s">
        <v>1226</v>
      </c>
      <c r="AU240" s="1032">
        <v>50</v>
      </c>
      <c r="AW240" s="1033">
        <v>46144</v>
      </c>
      <c r="AX240" s="1032" t="s">
        <v>973</v>
      </c>
      <c r="AY240" s="1033">
        <v>46159</v>
      </c>
      <c r="AZ240" s="1032">
        <v>8</v>
      </c>
      <c r="BA240" s="1033">
        <v>46152</v>
      </c>
      <c r="BB240" s="1032">
        <v>2026</v>
      </c>
      <c r="BC240" s="1032">
        <v>5</v>
      </c>
      <c r="BD240" s="1032">
        <v>19</v>
      </c>
      <c r="BE240" s="1032">
        <v>33</v>
      </c>
      <c r="BF240" s="1032">
        <v>660</v>
      </c>
      <c r="BG240" s="1032" t="s">
        <v>108</v>
      </c>
      <c r="BH240" s="1032" t="s">
        <v>86</v>
      </c>
    </row>
    <row r="241" spans="1:60">
      <c r="A241" s="1032" t="s">
        <v>1231</v>
      </c>
      <c r="B241" s="1032" t="s">
        <v>61</v>
      </c>
      <c r="C241" s="1032" t="s">
        <v>203</v>
      </c>
      <c r="D241" s="1032" t="s">
        <v>63</v>
      </c>
      <c r="E241" s="1032" t="s">
        <v>144</v>
      </c>
      <c r="F241" s="1032" t="s">
        <v>145</v>
      </c>
      <c r="G241" s="1032" t="s">
        <v>402</v>
      </c>
      <c r="H241" s="1032" t="s">
        <v>538</v>
      </c>
      <c r="I241" s="1032" t="s">
        <v>882</v>
      </c>
      <c r="J241" s="1032" t="s">
        <v>1232</v>
      </c>
      <c r="K241" s="1032" t="s">
        <v>1233</v>
      </c>
      <c r="M241" s="1032" t="s">
        <v>840</v>
      </c>
      <c r="N241" s="1032">
        <v>46045</v>
      </c>
      <c r="O241" s="1032" t="s">
        <v>1032</v>
      </c>
      <c r="P241" s="1032" t="s">
        <v>1234</v>
      </c>
      <c r="Q241" s="1032" t="s">
        <v>1235</v>
      </c>
      <c r="R241" s="1032" t="s">
        <v>73</v>
      </c>
      <c r="S241" s="1032" t="s">
        <v>992</v>
      </c>
      <c r="T241" s="1032">
        <v>440</v>
      </c>
      <c r="U241" s="1032">
        <v>4392</v>
      </c>
      <c r="V241" s="1032">
        <v>1.93248</v>
      </c>
      <c r="W241" s="1032">
        <v>122</v>
      </c>
      <c r="X241" s="1032">
        <v>4.6923076923076925</v>
      </c>
      <c r="Y241" s="1032" t="s">
        <v>75</v>
      </c>
      <c r="Z241" s="1032" t="s">
        <v>75</v>
      </c>
      <c r="AB241" s="1033">
        <v>46081</v>
      </c>
      <c r="AC241" s="1032">
        <v>9</v>
      </c>
      <c r="AD241" s="1032" t="s">
        <v>1236</v>
      </c>
      <c r="AF241" s="1032" t="s">
        <v>77</v>
      </c>
      <c r="AG241" s="1032" t="s">
        <v>61</v>
      </c>
      <c r="AH241" s="1032" t="s">
        <v>541</v>
      </c>
      <c r="AI241" s="1033">
        <v>46088</v>
      </c>
      <c r="AJ241" s="1033">
        <v>46091</v>
      </c>
      <c r="AK241" s="1033">
        <v>46090</v>
      </c>
      <c r="AL241" s="1033">
        <v>46154</v>
      </c>
      <c r="AM241" s="1033">
        <v>46168</v>
      </c>
      <c r="AN241" s="1033">
        <v>46164</v>
      </c>
      <c r="AO241" s="1032" t="s">
        <v>402</v>
      </c>
      <c r="AP241" s="1032" t="s">
        <v>1237</v>
      </c>
      <c r="AQ241" s="1032" t="s">
        <v>161</v>
      </c>
      <c r="AR241" s="1032" t="s">
        <v>1238</v>
      </c>
      <c r="AS241" s="1032" t="s">
        <v>1239</v>
      </c>
      <c r="AT241" s="1032" t="s">
        <v>1239</v>
      </c>
      <c r="AU241" s="1032">
        <v>74</v>
      </c>
      <c r="AW241" s="1033">
        <v>46164</v>
      </c>
      <c r="AX241" s="1032" t="s">
        <v>973</v>
      </c>
      <c r="AY241" s="1033">
        <v>46167</v>
      </c>
      <c r="AZ241" s="1032">
        <v>0</v>
      </c>
      <c r="BA241" s="1033">
        <v>46164</v>
      </c>
      <c r="BB241" s="1032">
        <v>2026</v>
      </c>
      <c r="BC241" s="1032">
        <v>5</v>
      </c>
      <c r="BD241" s="1032">
        <v>21</v>
      </c>
      <c r="BE241" s="1032">
        <v>36</v>
      </c>
      <c r="BF241" s="1032">
        <v>936</v>
      </c>
      <c r="BG241" s="1032" t="s">
        <v>85</v>
      </c>
      <c r="BH241" s="1032" t="s">
        <v>109</v>
      </c>
    </row>
    <row r="242" spans="1:60">
      <c r="A242" s="1032" t="s">
        <v>1240</v>
      </c>
      <c r="B242" s="1032" t="s">
        <v>61</v>
      </c>
      <c r="C242" s="1032" t="s">
        <v>203</v>
      </c>
      <c r="D242" s="1032" t="s">
        <v>63</v>
      </c>
      <c r="E242" s="1032" t="s">
        <v>144</v>
      </c>
      <c r="F242" s="1032" t="s">
        <v>145</v>
      </c>
      <c r="G242" s="1032" t="s">
        <v>402</v>
      </c>
      <c r="H242" s="1032" t="s">
        <v>538</v>
      </c>
      <c r="I242" s="1032" t="s">
        <v>882</v>
      </c>
      <c r="J242" s="1032" t="s">
        <v>1232</v>
      </c>
      <c r="K242" s="1032" t="s">
        <v>1233</v>
      </c>
      <c r="M242" s="1032" t="s">
        <v>840</v>
      </c>
      <c r="N242" s="1032">
        <v>46045</v>
      </c>
      <c r="O242" s="1032" t="s">
        <v>1032</v>
      </c>
      <c r="P242" s="1032" t="s">
        <v>570</v>
      </c>
      <c r="Q242" s="1032" t="s">
        <v>571</v>
      </c>
      <c r="R242" s="1032" t="s">
        <v>73</v>
      </c>
      <c r="S242" s="1032" t="s">
        <v>992</v>
      </c>
      <c r="T242" s="1032">
        <v>445</v>
      </c>
      <c r="U242" s="1032">
        <v>8352</v>
      </c>
      <c r="V242" s="1032">
        <v>3.7166399999999999</v>
      </c>
      <c r="W242" s="1032">
        <v>232</v>
      </c>
      <c r="X242" s="1032">
        <v>8.9230769230769234</v>
      </c>
      <c r="Y242" s="1032" t="s">
        <v>75</v>
      </c>
      <c r="Z242" s="1032" t="s">
        <v>75</v>
      </c>
      <c r="AB242" s="1033">
        <v>46081</v>
      </c>
      <c r="AC242" s="1032">
        <v>9</v>
      </c>
      <c r="AD242" s="1032" t="s">
        <v>1241</v>
      </c>
      <c r="AF242" s="1032" t="s">
        <v>77</v>
      </c>
      <c r="AG242" s="1032" t="s">
        <v>61</v>
      </c>
      <c r="AH242" s="1032" t="s">
        <v>541</v>
      </c>
      <c r="AI242" s="1033">
        <v>46088</v>
      </c>
      <c r="AJ242" s="1033">
        <v>46091</v>
      </c>
      <c r="AK242" s="1033">
        <v>46090</v>
      </c>
      <c r="AL242" s="1033">
        <v>46154</v>
      </c>
      <c r="AM242" s="1033">
        <v>46168</v>
      </c>
      <c r="AN242" s="1033">
        <v>46164</v>
      </c>
      <c r="AO242" s="1032" t="s">
        <v>402</v>
      </c>
      <c r="AP242" s="1032" t="s">
        <v>1237</v>
      </c>
      <c r="AQ242" s="1032" t="s">
        <v>161</v>
      </c>
      <c r="AR242" s="1032" t="s">
        <v>1238</v>
      </c>
      <c r="AS242" s="1032" t="s">
        <v>1239</v>
      </c>
      <c r="AT242" s="1032" t="s">
        <v>1239</v>
      </c>
      <c r="AU242" s="1032">
        <v>74</v>
      </c>
      <c r="AW242" s="1033">
        <v>46164</v>
      </c>
      <c r="AX242" s="1032" t="s">
        <v>973</v>
      </c>
      <c r="AY242" s="1033">
        <v>46167</v>
      </c>
      <c r="AZ242" s="1032">
        <v>0</v>
      </c>
      <c r="BA242" s="1033">
        <v>46164</v>
      </c>
      <c r="BB242" s="1032">
        <v>2026</v>
      </c>
      <c r="BC242" s="1032">
        <v>5</v>
      </c>
      <c r="BD242" s="1032">
        <v>21</v>
      </c>
      <c r="BE242" s="1032">
        <v>36</v>
      </c>
      <c r="BF242" s="1032">
        <v>936</v>
      </c>
      <c r="BG242" s="1032" t="s">
        <v>94</v>
      </c>
      <c r="BH242" s="1032" t="s">
        <v>109</v>
      </c>
    </row>
    <row r="243" spans="1:60">
      <c r="A243" s="1032" t="s">
        <v>1242</v>
      </c>
      <c r="B243" s="1032" t="s">
        <v>61</v>
      </c>
      <c r="C243" s="1032" t="s">
        <v>203</v>
      </c>
      <c r="D243" s="1032" t="s">
        <v>63</v>
      </c>
      <c r="E243" s="1032" t="s">
        <v>144</v>
      </c>
      <c r="F243" s="1032" t="s">
        <v>145</v>
      </c>
      <c r="G243" s="1032" t="s">
        <v>402</v>
      </c>
      <c r="H243" s="1032" t="s">
        <v>538</v>
      </c>
      <c r="I243" s="1032" t="s">
        <v>822</v>
      </c>
      <c r="J243" s="1032" t="s">
        <v>1232</v>
      </c>
      <c r="K243" s="1032" t="s">
        <v>1233</v>
      </c>
      <c r="M243" s="1032" t="s">
        <v>840</v>
      </c>
      <c r="N243" s="1032">
        <v>46046</v>
      </c>
      <c r="O243" s="1032" t="s">
        <v>1032</v>
      </c>
      <c r="P243" s="1032" t="s">
        <v>791</v>
      </c>
      <c r="Q243" s="1032" t="s">
        <v>571</v>
      </c>
      <c r="R243" s="1032" t="s">
        <v>73</v>
      </c>
      <c r="S243" s="1032" t="s">
        <v>992</v>
      </c>
      <c r="T243" s="1032">
        <v>445</v>
      </c>
      <c r="U243" s="1032">
        <v>720</v>
      </c>
      <c r="V243" s="1032">
        <v>0.32040000000000002</v>
      </c>
      <c r="W243" s="1032">
        <v>20</v>
      </c>
      <c r="X243" s="1032">
        <v>0.76923076923076927</v>
      </c>
      <c r="Y243" s="1032" t="s">
        <v>75</v>
      </c>
      <c r="Z243" s="1032" t="s">
        <v>75</v>
      </c>
      <c r="AB243" s="1033">
        <v>46081</v>
      </c>
      <c r="AC243" s="1032">
        <v>9</v>
      </c>
      <c r="AD243" s="1032" t="s">
        <v>1243</v>
      </c>
      <c r="AF243" s="1032" t="s">
        <v>77</v>
      </c>
      <c r="AG243" s="1032" t="s">
        <v>61</v>
      </c>
      <c r="AH243" s="1032" t="s">
        <v>541</v>
      </c>
      <c r="AI243" s="1033">
        <v>46088</v>
      </c>
      <c r="AJ243" s="1033">
        <v>46091</v>
      </c>
      <c r="AK243" s="1033">
        <v>46090</v>
      </c>
      <c r="AL243" s="1033">
        <v>46154</v>
      </c>
      <c r="AM243" s="1033">
        <v>46168</v>
      </c>
      <c r="AN243" s="1033">
        <v>46164</v>
      </c>
      <c r="AO243" s="1032" t="s">
        <v>402</v>
      </c>
      <c r="AP243" s="1032" t="s">
        <v>1237</v>
      </c>
      <c r="AQ243" s="1032" t="s">
        <v>161</v>
      </c>
      <c r="AR243" s="1032" t="s">
        <v>1238</v>
      </c>
      <c r="AS243" s="1032" t="s">
        <v>1239</v>
      </c>
      <c r="AT243" s="1032" t="s">
        <v>1239</v>
      </c>
      <c r="AU243" s="1032">
        <v>74</v>
      </c>
      <c r="AW243" s="1033">
        <v>46164</v>
      </c>
      <c r="AX243" s="1032" t="s">
        <v>973</v>
      </c>
      <c r="AY243" s="1033">
        <v>46167</v>
      </c>
      <c r="AZ243" s="1032">
        <v>0</v>
      </c>
      <c r="BA243" s="1033">
        <v>46164</v>
      </c>
      <c r="BB243" s="1032">
        <v>2026</v>
      </c>
      <c r="BC243" s="1032">
        <v>5</v>
      </c>
      <c r="BD243" s="1032">
        <v>21</v>
      </c>
      <c r="BE243" s="1032">
        <v>36</v>
      </c>
      <c r="BF243" s="1032">
        <v>936</v>
      </c>
      <c r="BG243" s="1032" t="s">
        <v>85</v>
      </c>
      <c r="BH243" s="1032" t="s">
        <v>109</v>
      </c>
    </row>
    <row r="244" spans="1:60">
      <c r="A244" s="1032" t="s">
        <v>1244</v>
      </c>
      <c r="B244" s="1032" t="s">
        <v>61</v>
      </c>
      <c r="C244" s="1032" t="s">
        <v>203</v>
      </c>
      <c r="D244" s="1032" t="s">
        <v>63</v>
      </c>
      <c r="E244" s="1032" t="s">
        <v>144</v>
      </c>
      <c r="F244" s="1032" t="s">
        <v>145</v>
      </c>
      <c r="G244" s="1032" t="s">
        <v>402</v>
      </c>
      <c r="H244" s="1032" t="s">
        <v>538</v>
      </c>
      <c r="I244" s="1032" t="s">
        <v>882</v>
      </c>
      <c r="J244" s="1032" t="s">
        <v>1232</v>
      </c>
      <c r="K244" s="1032" t="s">
        <v>1233</v>
      </c>
      <c r="M244" s="1032" t="s">
        <v>840</v>
      </c>
      <c r="N244" s="1032">
        <v>46045</v>
      </c>
      <c r="O244" s="1032" t="s">
        <v>1032</v>
      </c>
      <c r="P244" s="1032" t="s">
        <v>560</v>
      </c>
      <c r="Q244" s="1032" t="s">
        <v>196</v>
      </c>
      <c r="R244" s="1032" t="s">
        <v>73</v>
      </c>
      <c r="S244" s="1032" t="s">
        <v>992</v>
      </c>
      <c r="T244" s="1032">
        <v>450</v>
      </c>
      <c r="U244" s="1032">
        <v>1044</v>
      </c>
      <c r="V244" s="1032">
        <v>0.4698</v>
      </c>
      <c r="W244" s="1032">
        <v>29</v>
      </c>
      <c r="X244" s="1032">
        <v>1.1153846153846154</v>
      </c>
      <c r="Y244" s="1032" t="s">
        <v>75</v>
      </c>
      <c r="Z244" s="1032" t="s">
        <v>75</v>
      </c>
      <c r="AB244" s="1033">
        <v>46081</v>
      </c>
      <c r="AC244" s="1032">
        <v>9</v>
      </c>
      <c r="AD244" s="1032" t="s">
        <v>1245</v>
      </c>
      <c r="AF244" s="1032" t="s">
        <v>77</v>
      </c>
      <c r="AG244" s="1032" t="s">
        <v>61</v>
      </c>
      <c r="AH244" s="1032" t="s">
        <v>541</v>
      </c>
      <c r="AI244" s="1033">
        <v>46088</v>
      </c>
      <c r="AJ244" s="1033">
        <v>46091</v>
      </c>
      <c r="AK244" s="1033">
        <v>46090</v>
      </c>
      <c r="AL244" s="1033">
        <v>46154</v>
      </c>
      <c r="AM244" s="1033">
        <v>46168</v>
      </c>
      <c r="AN244" s="1033">
        <v>46164</v>
      </c>
      <c r="AO244" s="1032" t="s">
        <v>402</v>
      </c>
      <c r="AP244" s="1032" t="s">
        <v>1237</v>
      </c>
      <c r="AQ244" s="1032" t="s">
        <v>161</v>
      </c>
      <c r="AR244" s="1032" t="s">
        <v>1238</v>
      </c>
      <c r="AS244" s="1032" t="s">
        <v>1239</v>
      </c>
      <c r="AT244" s="1032" t="s">
        <v>1239</v>
      </c>
      <c r="AU244" s="1032">
        <v>74</v>
      </c>
      <c r="AW244" s="1033">
        <v>46164</v>
      </c>
      <c r="AX244" s="1032" t="s">
        <v>973</v>
      </c>
      <c r="AY244" s="1033">
        <v>46167</v>
      </c>
      <c r="AZ244" s="1032">
        <v>0</v>
      </c>
      <c r="BA244" s="1033">
        <v>46164</v>
      </c>
      <c r="BB244" s="1032">
        <v>2026</v>
      </c>
      <c r="BC244" s="1032">
        <v>5</v>
      </c>
      <c r="BD244" s="1032">
        <v>21</v>
      </c>
      <c r="BE244" s="1032">
        <v>36</v>
      </c>
      <c r="BF244" s="1032">
        <v>936</v>
      </c>
      <c r="BG244" s="1032" t="s">
        <v>94</v>
      </c>
      <c r="BH244" s="1032" t="s">
        <v>109</v>
      </c>
    </row>
    <row r="245" spans="1:60">
      <c r="A245" s="1032" t="s">
        <v>1246</v>
      </c>
      <c r="B245" s="1032" t="s">
        <v>61</v>
      </c>
      <c r="C245" s="1032" t="s">
        <v>203</v>
      </c>
      <c r="D245" s="1032" t="s">
        <v>63</v>
      </c>
      <c r="E245" s="1032" t="s">
        <v>144</v>
      </c>
      <c r="F245" s="1032" t="s">
        <v>145</v>
      </c>
      <c r="G245" s="1032" t="s">
        <v>402</v>
      </c>
      <c r="H245" s="1032" t="s">
        <v>538</v>
      </c>
      <c r="I245" s="1032" t="s">
        <v>882</v>
      </c>
      <c r="J245" s="1032" t="s">
        <v>1232</v>
      </c>
      <c r="K245" s="1032" t="s">
        <v>1233</v>
      </c>
      <c r="M245" s="1032" t="s">
        <v>840</v>
      </c>
      <c r="N245" s="1032" t="s">
        <v>68</v>
      </c>
      <c r="O245" s="1032" t="s">
        <v>1032</v>
      </c>
      <c r="P245" s="1032" t="s">
        <v>1247</v>
      </c>
      <c r="Q245" s="1032" t="s">
        <v>196</v>
      </c>
      <c r="R245" s="1032" t="s">
        <v>73</v>
      </c>
      <c r="S245" s="1032" t="s">
        <v>992</v>
      </c>
      <c r="T245" s="1032">
        <v>450</v>
      </c>
      <c r="U245" s="1032">
        <v>360</v>
      </c>
      <c r="V245" s="1032">
        <v>0.16200000000000001</v>
      </c>
      <c r="W245" s="1032">
        <v>10</v>
      </c>
      <c r="X245" s="1032">
        <v>0.38461538461538464</v>
      </c>
      <c r="Y245" s="1032" t="s">
        <v>75</v>
      </c>
      <c r="Z245" s="1032" t="s">
        <v>75</v>
      </c>
      <c r="AB245" s="1033">
        <v>46081</v>
      </c>
      <c r="AC245" s="1032">
        <v>9</v>
      </c>
      <c r="AD245" s="1032" t="s">
        <v>1248</v>
      </c>
      <c r="AF245" s="1032" t="s">
        <v>77</v>
      </c>
      <c r="AG245" s="1032" t="s">
        <v>61</v>
      </c>
      <c r="AH245" s="1032" t="s">
        <v>541</v>
      </c>
      <c r="AI245" s="1033">
        <v>46088</v>
      </c>
      <c r="AJ245" s="1033">
        <v>46091</v>
      </c>
      <c r="AK245" s="1033">
        <v>46090</v>
      </c>
      <c r="AL245" s="1033">
        <v>46154</v>
      </c>
      <c r="AM245" s="1033">
        <v>46168</v>
      </c>
      <c r="AN245" s="1033">
        <v>46164</v>
      </c>
      <c r="AO245" s="1032" t="s">
        <v>402</v>
      </c>
      <c r="AP245" s="1032" t="s">
        <v>1237</v>
      </c>
      <c r="AQ245" s="1032" t="s">
        <v>161</v>
      </c>
      <c r="AR245" s="1032" t="s">
        <v>1238</v>
      </c>
      <c r="AS245" s="1032" t="s">
        <v>1239</v>
      </c>
      <c r="AT245" s="1032" t="s">
        <v>1239</v>
      </c>
      <c r="AU245" s="1032">
        <v>74</v>
      </c>
      <c r="AW245" s="1033">
        <v>46164</v>
      </c>
      <c r="AX245" s="1032" t="s">
        <v>973</v>
      </c>
      <c r="AY245" s="1033">
        <v>46167</v>
      </c>
      <c r="AZ245" s="1032">
        <v>0</v>
      </c>
      <c r="BA245" s="1033">
        <v>46164</v>
      </c>
      <c r="BB245" s="1032">
        <v>2026</v>
      </c>
      <c r="BC245" s="1032">
        <v>5</v>
      </c>
      <c r="BD245" s="1032">
        <v>21</v>
      </c>
      <c r="BE245" s="1032">
        <v>36</v>
      </c>
      <c r="BF245" s="1032">
        <v>936</v>
      </c>
      <c r="BG245" s="1032" t="s">
        <v>85</v>
      </c>
      <c r="BH245" s="1032" t="s">
        <v>109</v>
      </c>
    </row>
    <row r="246" spans="1:60">
      <c r="A246" s="1032" t="s">
        <v>1249</v>
      </c>
      <c r="B246" s="1032" t="s">
        <v>61</v>
      </c>
      <c r="C246" s="1032" t="s">
        <v>203</v>
      </c>
      <c r="D246" s="1032" t="s">
        <v>63</v>
      </c>
      <c r="E246" s="1032" t="s">
        <v>144</v>
      </c>
      <c r="F246" s="1032" t="s">
        <v>145</v>
      </c>
      <c r="G246" s="1032" t="s">
        <v>402</v>
      </c>
      <c r="H246" s="1032" t="s">
        <v>538</v>
      </c>
      <c r="I246" s="1032" t="s">
        <v>882</v>
      </c>
      <c r="J246" s="1032" t="s">
        <v>1232</v>
      </c>
      <c r="K246" s="1032" t="s">
        <v>1233</v>
      </c>
      <c r="M246" s="1032" t="s">
        <v>840</v>
      </c>
      <c r="N246" s="1032">
        <v>46045</v>
      </c>
      <c r="O246" s="1032" t="s">
        <v>1032</v>
      </c>
      <c r="P246" s="1032" t="s">
        <v>1250</v>
      </c>
      <c r="Q246" s="1032" t="s">
        <v>1251</v>
      </c>
      <c r="R246" s="1032" t="s">
        <v>73</v>
      </c>
      <c r="S246" s="1032" t="s">
        <v>992</v>
      </c>
      <c r="T246" s="1032">
        <v>440</v>
      </c>
      <c r="U246" s="1032">
        <v>108</v>
      </c>
      <c r="V246" s="1032">
        <v>4.752E-2</v>
      </c>
      <c r="W246" s="1032">
        <v>3</v>
      </c>
      <c r="X246" s="1032">
        <v>0.11538461538461539</v>
      </c>
      <c r="Y246" s="1032" t="s">
        <v>75</v>
      </c>
      <c r="Z246" s="1032" t="s">
        <v>75</v>
      </c>
      <c r="AB246" s="1033">
        <v>46081</v>
      </c>
      <c r="AC246" s="1032">
        <v>9</v>
      </c>
      <c r="AD246" s="1032" t="s">
        <v>1252</v>
      </c>
      <c r="AF246" s="1032" t="s">
        <v>77</v>
      </c>
      <c r="AG246" s="1032" t="s">
        <v>61</v>
      </c>
      <c r="AH246" s="1032" t="s">
        <v>541</v>
      </c>
      <c r="AI246" s="1033">
        <v>46088</v>
      </c>
      <c r="AJ246" s="1033">
        <v>46091</v>
      </c>
      <c r="AK246" s="1033">
        <v>46090</v>
      </c>
      <c r="AL246" s="1033">
        <v>46154</v>
      </c>
      <c r="AM246" s="1033">
        <v>46168</v>
      </c>
      <c r="AN246" s="1033">
        <v>46164</v>
      </c>
      <c r="AO246" s="1032" t="s">
        <v>402</v>
      </c>
      <c r="AP246" s="1032" t="s">
        <v>1237</v>
      </c>
      <c r="AQ246" s="1032" t="s">
        <v>161</v>
      </c>
      <c r="AR246" s="1032" t="s">
        <v>1238</v>
      </c>
      <c r="AS246" s="1032" t="s">
        <v>1239</v>
      </c>
      <c r="AT246" s="1032" t="s">
        <v>1239</v>
      </c>
      <c r="AU246" s="1032">
        <v>74</v>
      </c>
      <c r="AW246" s="1033">
        <v>46164</v>
      </c>
      <c r="AX246" s="1032" t="s">
        <v>973</v>
      </c>
      <c r="AY246" s="1033">
        <v>46167</v>
      </c>
      <c r="AZ246" s="1032">
        <v>0</v>
      </c>
      <c r="BA246" s="1033">
        <v>46164</v>
      </c>
      <c r="BB246" s="1032">
        <v>2026</v>
      </c>
      <c r="BC246" s="1032">
        <v>5</v>
      </c>
      <c r="BD246" s="1032">
        <v>21</v>
      </c>
      <c r="BE246" s="1032">
        <v>36</v>
      </c>
      <c r="BF246" s="1032">
        <v>936</v>
      </c>
      <c r="BG246" s="1032" t="s">
        <v>85</v>
      </c>
      <c r="BH246" s="1032" t="s">
        <v>109</v>
      </c>
    </row>
    <row r="247" spans="1:60">
      <c r="A247" s="1032" t="s">
        <v>1253</v>
      </c>
      <c r="B247" s="1032" t="s">
        <v>61</v>
      </c>
      <c r="C247" s="1032" t="s">
        <v>203</v>
      </c>
      <c r="D247" s="1032" t="s">
        <v>63</v>
      </c>
      <c r="E247" s="1032" t="s">
        <v>144</v>
      </c>
      <c r="F247" s="1032" t="s">
        <v>145</v>
      </c>
      <c r="G247" s="1032" t="s">
        <v>402</v>
      </c>
      <c r="H247" s="1032" t="s">
        <v>538</v>
      </c>
      <c r="I247" s="1032" t="s">
        <v>882</v>
      </c>
      <c r="J247" s="1032" t="s">
        <v>1254</v>
      </c>
      <c r="K247" s="1032" t="s">
        <v>1233</v>
      </c>
      <c r="M247" s="1032" t="s">
        <v>840</v>
      </c>
      <c r="N247" s="1032">
        <v>46045</v>
      </c>
      <c r="O247" s="1032" t="s">
        <v>1032</v>
      </c>
      <c r="P247" s="1032" t="s">
        <v>1255</v>
      </c>
      <c r="Q247" s="1032" t="s">
        <v>72</v>
      </c>
      <c r="R247" s="1032" t="s">
        <v>73</v>
      </c>
      <c r="S247" s="1032" t="s">
        <v>992</v>
      </c>
      <c r="T247" s="1032">
        <v>500</v>
      </c>
      <c r="U247" s="1032">
        <v>180</v>
      </c>
      <c r="V247" s="1032">
        <v>0.09</v>
      </c>
      <c r="W247" s="1032">
        <v>5</v>
      </c>
      <c r="X247" s="1032">
        <v>0.20833333333333334</v>
      </c>
      <c r="Y247" s="1032" t="s">
        <v>75</v>
      </c>
      <c r="Z247" s="1032" t="s">
        <v>75</v>
      </c>
      <c r="AB247" s="1033">
        <v>46081</v>
      </c>
      <c r="AC247" s="1032">
        <v>9</v>
      </c>
      <c r="AD247" s="1032" t="s">
        <v>1256</v>
      </c>
      <c r="AF247" s="1032" t="s">
        <v>77</v>
      </c>
      <c r="AG247" s="1032" t="s">
        <v>61</v>
      </c>
      <c r="AH247" s="1032" t="s">
        <v>541</v>
      </c>
      <c r="AI247" s="1033">
        <v>46088</v>
      </c>
      <c r="AJ247" s="1033">
        <v>46091</v>
      </c>
      <c r="AK247" s="1033">
        <v>46090</v>
      </c>
      <c r="AL247" s="1033">
        <v>46154</v>
      </c>
      <c r="AM247" s="1033">
        <v>46168</v>
      </c>
      <c r="AN247" s="1033">
        <v>46164</v>
      </c>
      <c r="AO247" s="1032" t="s">
        <v>402</v>
      </c>
      <c r="AP247" s="1032" t="s">
        <v>1237</v>
      </c>
      <c r="AQ247" s="1032" t="s">
        <v>161</v>
      </c>
      <c r="AR247" s="1032" t="s">
        <v>1238</v>
      </c>
      <c r="AS247" s="1032" t="s">
        <v>1239</v>
      </c>
      <c r="AT247" s="1032" t="s">
        <v>1239</v>
      </c>
      <c r="AU247" s="1032">
        <v>74</v>
      </c>
      <c r="AW247" s="1033">
        <v>46164</v>
      </c>
      <c r="AX247" s="1032" t="s">
        <v>973</v>
      </c>
      <c r="AY247" s="1033">
        <v>46167</v>
      </c>
      <c r="AZ247" s="1032">
        <v>0</v>
      </c>
      <c r="BA247" s="1033">
        <v>46164</v>
      </c>
      <c r="BB247" s="1032">
        <v>2026</v>
      </c>
      <c r="BC247" s="1032">
        <v>5</v>
      </c>
      <c r="BD247" s="1032">
        <v>21</v>
      </c>
      <c r="BE247" s="1032">
        <v>36</v>
      </c>
      <c r="BF247" s="1032">
        <v>864</v>
      </c>
      <c r="BG247" s="1032" t="s">
        <v>85</v>
      </c>
      <c r="BH247" s="1032" t="s">
        <v>109</v>
      </c>
    </row>
    <row r="248" spans="1:60">
      <c r="A248" s="1032" t="s">
        <v>1257</v>
      </c>
      <c r="B248" s="1032" t="s">
        <v>61</v>
      </c>
      <c r="C248" s="1032" t="s">
        <v>203</v>
      </c>
      <c r="D248" s="1032" t="s">
        <v>63</v>
      </c>
      <c r="E248" s="1032" t="s">
        <v>144</v>
      </c>
      <c r="F248" s="1032" t="s">
        <v>145</v>
      </c>
      <c r="G248" s="1032" t="s">
        <v>402</v>
      </c>
      <c r="H248" s="1032" t="s">
        <v>538</v>
      </c>
      <c r="I248" s="1032" t="s">
        <v>882</v>
      </c>
      <c r="J248" s="1032" t="s">
        <v>1258</v>
      </c>
      <c r="K248" s="1032" t="s">
        <v>1233</v>
      </c>
      <c r="M248" s="1032" t="s">
        <v>840</v>
      </c>
      <c r="N248" s="1032">
        <v>46045</v>
      </c>
      <c r="O248" s="1032" t="s">
        <v>1032</v>
      </c>
      <c r="P248" s="1032" t="s">
        <v>1259</v>
      </c>
      <c r="Q248" s="1032" t="s">
        <v>421</v>
      </c>
      <c r="R248" s="1032" t="s">
        <v>73</v>
      </c>
      <c r="S248" s="1032" t="s">
        <v>992</v>
      </c>
      <c r="T248" s="1032">
        <v>505</v>
      </c>
      <c r="U248" s="1032">
        <v>684</v>
      </c>
      <c r="V248" s="1032">
        <v>0.34542</v>
      </c>
      <c r="W248" s="1032">
        <v>19</v>
      </c>
      <c r="X248" s="1032">
        <v>0.79166666666666663</v>
      </c>
      <c r="Y248" s="1032" t="s">
        <v>75</v>
      </c>
      <c r="Z248" s="1032" t="s">
        <v>75</v>
      </c>
      <c r="AB248" s="1033">
        <v>46081</v>
      </c>
      <c r="AC248" s="1032">
        <v>9</v>
      </c>
      <c r="AD248" s="1032" t="s">
        <v>1260</v>
      </c>
      <c r="AF248" s="1032" t="s">
        <v>77</v>
      </c>
      <c r="AG248" s="1032" t="s">
        <v>61</v>
      </c>
      <c r="AH248" s="1032" t="s">
        <v>541</v>
      </c>
      <c r="AI248" s="1033">
        <v>46088</v>
      </c>
      <c r="AJ248" s="1033">
        <v>46091</v>
      </c>
      <c r="AK248" s="1033">
        <v>46090</v>
      </c>
      <c r="AL248" s="1033">
        <v>46154</v>
      </c>
      <c r="AM248" s="1033">
        <v>46168</v>
      </c>
      <c r="AN248" s="1033">
        <v>46164</v>
      </c>
      <c r="AO248" s="1032" t="s">
        <v>402</v>
      </c>
      <c r="AP248" s="1032" t="s">
        <v>1237</v>
      </c>
      <c r="AQ248" s="1032" t="s">
        <v>161</v>
      </c>
      <c r="AR248" s="1032" t="s">
        <v>1238</v>
      </c>
      <c r="AS248" s="1032" t="s">
        <v>1239</v>
      </c>
      <c r="AT248" s="1032" t="s">
        <v>1239</v>
      </c>
      <c r="AU248" s="1032">
        <v>74</v>
      </c>
      <c r="AW248" s="1033">
        <v>46164</v>
      </c>
      <c r="AX248" s="1032" t="s">
        <v>973</v>
      </c>
      <c r="AY248" s="1033">
        <v>46167</v>
      </c>
      <c r="AZ248" s="1032">
        <v>0</v>
      </c>
      <c r="BA248" s="1033">
        <v>46164</v>
      </c>
      <c r="BB248" s="1032">
        <v>2026</v>
      </c>
      <c r="BC248" s="1032">
        <v>5</v>
      </c>
      <c r="BD248" s="1032">
        <v>21</v>
      </c>
      <c r="BE248" s="1032">
        <v>36</v>
      </c>
      <c r="BF248" s="1032">
        <v>864</v>
      </c>
      <c r="BG248" s="1032" t="s">
        <v>85</v>
      </c>
      <c r="BH248" s="1032" t="s">
        <v>109</v>
      </c>
    </row>
    <row r="249" spans="1:60">
      <c r="A249" s="1032" t="s">
        <v>1261</v>
      </c>
      <c r="B249" s="1032" t="s">
        <v>61</v>
      </c>
      <c r="C249" s="1032" t="s">
        <v>1016</v>
      </c>
      <c r="D249" s="1032" t="s">
        <v>63</v>
      </c>
      <c r="E249" s="1032" t="s">
        <v>144</v>
      </c>
      <c r="F249" s="1032" t="s">
        <v>145</v>
      </c>
      <c r="G249" s="1032" t="s">
        <v>402</v>
      </c>
      <c r="H249" s="1032" t="s">
        <v>1262</v>
      </c>
      <c r="I249" s="1032" t="s">
        <v>689</v>
      </c>
      <c r="J249" s="1032" t="s">
        <v>1263</v>
      </c>
      <c r="K249" s="1032" t="s">
        <v>1264</v>
      </c>
      <c r="M249" s="1032" t="s">
        <v>840</v>
      </c>
      <c r="N249" s="1032">
        <v>46076</v>
      </c>
      <c r="O249" s="1032" t="s">
        <v>70</v>
      </c>
      <c r="P249" s="1032" t="s">
        <v>195</v>
      </c>
      <c r="Q249" s="1032" t="s">
        <v>196</v>
      </c>
      <c r="R249" s="1032" t="s">
        <v>73</v>
      </c>
      <c r="S249" s="1032" t="s">
        <v>967</v>
      </c>
      <c r="T249" s="1032">
        <v>450</v>
      </c>
      <c r="U249" s="1032">
        <v>936</v>
      </c>
      <c r="V249" s="1032">
        <v>0.42120000000000002</v>
      </c>
      <c r="W249" s="1032">
        <v>26</v>
      </c>
      <c r="X249" s="1032">
        <v>1</v>
      </c>
      <c r="Y249" s="1032" t="s">
        <v>75</v>
      </c>
      <c r="Z249" s="1032" t="s">
        <v>75</v>
      </c>
      <c r="AB249" s="1033">
        <v>46084</v>
      </c>
      <c r="AC249" s="1032">
        <v>10</v>
      </c>
      <c r="AD249" s="1032" t="s">
        <v>1265</v>
      </c>
      <c r="AF249" s="1032" t="s">
        <v>77</v>
      </c>
      <c r="AG249" s="1032" t="s">
        <v>61</v>
      </c>
      <c r="AH249" s="1032" t="s">
        <v>105</v>
      </c>
      <c r="AI249" s="1033">
        <v>46088</v>
      </c>
      <c r="AJ249" s="1033">
        <v>46088</v>
      </c>
      <c r="AK249" s="1033">
        <v>46088</v>
      </c>
      <c r="AL249" s="1033">
        <v>46133</v>
      </c>
      <c r="AM249" s="1033">
        <v>46142</v>
      </c>
      <c r="AN249" s="1033">
        <v>46141</v>
      </c>
      <c r="AO249" s="1032" t="s">
        <v>402</v>
      </c>
      <c r="AP249" s="1032" t="s">
        <v>889</v>
      </c>
      <c r="AQ249" s="1032" t="s">
        <v>80</v>
      </c>
      <c r="AR249" s="1032" t="s">
        <v>1266</v>
      </c>
      <c r="AS249" s="1032" t="s">
        <v>1267</v>
      </c>
      <c r="AT249" s="1032" t="s">
        <v>1267</v>
      </c>
      <c r="AU249" s="1032">
        <v>53</v>
      </c>
      <c r="AW249" s="1033">
        <v>46141</v>
      </c>
      <c r="AX249" s="1032" t="s">
        <v>973</v>
      </c>
      <c r="AY249" s="1033">
        <v>46145</v>
      </c>
      <c r="AZ249" s="1032">
        <v>0</v>
      </c>
      <c r="BA249" s="1033">
        <v>46141</v>
      </c>
      <c r="BB249" s="1032">
        <v>2026</v>
      </c>
      <c r="BC249" s="1032">
        <v>4</v>
      </c>
      <c r="BD249" s="1032">
        <v>18</v>
      </c>
      <c r="BE249" s="1032">
        <v>36</v>
      </c>
      <c r="BF249" s="1032">
        <v>936</v>
      </c>
      <c r="BG249" s="1032" t="s">
        <v>85</v>
      </c>
      <c r="BH249" s="1032" t="s">
        <v>109</v>
      </c>
    </row>
    <row r="250" spans="1:60">
      <c r="A250" s="1032" t="s">
        <v>1268</v>
      </c>
      <c r="B250" s="1032" t="s">
        <v>61</v>
      </c>
      <c r="C250" s="1032" t="s">
        <v>1016</v>
      </c>
      <c r="D250" s="1032" t="s">
        <v>63</v>
      </c>
      <c r="E250" s="1032" t="s">
        <v>144</v>
      </c>
      <c r="F250" s="1032" t="s">
        <v>145</v>
      </c>
      <c r="G250" s="1032" t="s">
        <v>402</v>
      </c>
      <c r="H250" s="1032" t="s">
        <v>1269</v>
      </c>
      <c r="I250" s="1032" t="s">
        <v>689</v>
      </c>
      <c r="J250" s="1032" t="s">
        <v>1270</v>
      </c>
      <c r="K250" s="1032" t="s">
        <v>1271</v>
      </c>
      <c r="M250" s="1032" t="s">
        <v>840</v>
      </c>
      <c r="N250" s="1032">
        <v>46076</v>
      </c>
      <c r="O250" s="1032" t="s">
        <v>70</v>
      </c>
      <c r="P250" s="1032" t="s">
        <v>195</v>
      </c>
      <c r="Q250" s="1032" t="s">
        <v>196</v>
      </c>
      <c r="R250" s="1032" t="s">
        <v>73</v>
      </c>
      <c r="S250" s="1032" t="s">
        <v>967</v>
      </c>
      <c r="T250" s="1032">
        <v>450</v>
      </c>
      <c r="U250" s="1032">
        <v>1872</v>
      </c>
      <c r="V250" s="1032">
        <v>0.84240000000000004</v>
      </c>
      <c r="W250" s="1032">
        <v>52</v>
      </c>
      <c r="X250" s="1032">
        <v>2</v>
      </c>
      <c r="Y250" s="1032" t="s">
        <v>75</v>
      </c>
      <c r="Z250" s="1032" t="s">
        <v>75</v>
      </c>
      <c r="AB250" s="1033">
        <v>46084</v>
      </c>
      <c r="AC250" s="1032">
        <v>10</v>
      </c>
      <c r="AD250" s="1032" t="s">
        <v>1272</v>
      </c>
      <c r="AF250" s="1032" t="s">
        <v>77</v>
      </c>
      <c r="AG250" s="1032" t="s">
        <v>61</v>
      </c>
      <c r="AH250" s="1032" t="s">
        <v>105</v>
      </c>
      <c r="AI250" s="1033">
        <v>46088</v>
      </c>
      <c r="AJ250" s="1033">
        <v>46088</v>
      </c>
      <c r="AK250" s="1033">
        <v>46088</v>
      </c>
      <c r="AL250" s="1033">
        <v>46133</v>
      </c>
      <c r="AM250" s="1033">
        <v>46142</v>
      </c>
      <c r="AN250" s="1033">
        <v>46141</v>
      </c>
      <c r="AO250" s="1032" t="s">
        <v>402</v>
      </c>
      <c r="AP250" s="1032" t="s">
        <v>889</v>
      </c>
      <c r="AQ250" s="1032" t="s">
        <v>80</v>
      </c>
      <c r="AR250" s="1032" t="s">
        <v>1266</v>
      </c>
      <c r="AS250" s="1032" t="s">
        <v>1273</v>
      </c>
      <c r="AT250" s="1032" t="s">
        <v>1267</v>
      </c>
      <c r="AU250" s="1032">
        <v>53</v>
      </c>
      <c r="AW250" s="1033">
        <v>46141</v>
      </c>
      <c r="AX250" s="1032" t="s">
        <v>973</v>
      </c>
      <c r="AY250" s="1033">
        <v>46145</v>
      </c>
      <c r="AZ250" s="1032">
        <v>0</v>
      </c>
      <c r="BA250" s="1033">
        <v>46141</v>
      </c>
      <c r="BB250" s="1032">
        <v>2026</v>
      </c>
      <c r="BC250" s="1032">
        <v>4</v>
      </c>
      <c r="BD250" s="1032">
        <v>18</v>
      </c>
      <c r="BE250" s="1032">
        <v>36</v>
      </c>
      <c r="BF250" s="1032">
        <v>936</v>
      </c>
      <c r="BG250" s="1032" t="s">
        <v>85</v>
      </c>
      <c r="BH250" s="1032" t="s">
        <v>109</v>
      </c>
    </row>
    <row r="251" spans="1:60">
      <c r="A251" s="1032" t="s">
        <v>1274</v>
      </c>
      <c r="B251" s="1032" t="s">
        <v>61</v>
      </c>
      <c r="C251" s="1032" t="s">
        <v>1016</v>
      </c>
      <c r="D251" s="1032" t="s">
        <v>63</v>
      </c>
      <c r="E251" s="1032" t="s">
        <v>144</v>
      </c>
      <c r="F251" s="1032" t="s">
        <v>145</v>
      </c>
      <c r="G251" s="1032" t="s">
        <v>402</v>
      </c>
      <c r="H251" s="1032" t="s">
        <v>1275</v>
      </c>
      <c r="I251" s="1032" t="s">
        <v>689</v>
      </c>
      <c r="J251" s="1032" t="s">
        <v>1270</v>
      </c>
      <c r="K251" s="1032" t="s">
        <v>1276</v>
      </c>
      <c r="M251" s="1032" t="s">
        <v>840</v>
      </c>
      <c r="N251" s="1032">
        <v>46076</v>
      </c>
      <c r="O251" s="1032" t="s">
        <v>70</v>
      </c>
      <c r="P251" s="1032" t="s">
        <v>195</v>
      </c>
      <c r="Q251" s="1032" t="s">
        <v>196</v>
      </c>
      <c r="R251" s="1032" t="s">
        <v>73</v>
      </c>
      <c r="S251" s="1032" t="s">
        <v>967</v>
      </c>
      <c r="T251" s="1032">
        <v>450</v>
      </c>
      <c r="U251" s="1032">
        <v>936</v>
      </c>
      <c r="V251" s="1032">
        <v>0.42120000000000002</v>
      </c>
      <c r="W251" s="1032">
        <v>26</v>
      </c>
      <c r="X251" s="1032">
        <v>1</v>
      </c>
      <c r="Y251" s="1032" t="s">
        <v>75</v>
      </c>
      <c r="Z251" s="1032" t="s">
        <v>75</v>
      </c>
      <c r="AB251" s="1033">
        <v>46084</v>
      </c>
      <c r="AC251" s="1032">
        <v>10</v>
      </c>
      <c r="AD251" s="1032" t="s">
        <v>1277</v>
      </c>
      <c r="AF251" s="1032" t="s">
        <v>77</v>
      </c>
      <c r="AG251" s="1032" t="s">
        <v>61</v>
      </c>
      <c r="AH251" s="1032" t="s">
        <v>105</v>
      </c>
      <c r="AI251" s="1033">
        <v>46088</v>
      </c>
      <c r="AJ251" s="1033">
        <v>46088</v>
      </c>
      <c r="AK251" s="1033">
        <v>46088</v>
      </c>
      <c r="AL251" s="1033">
        <v>46133</v>
      </c>
      <c r="AM251" s="1033">
        <v>46142</v>
      </c>
      <c r="AN251" s="1033">
        <v>46141</v>
      </c>
      <c r="AO251" s="1032" t="s">
        <v>402</v>
      </c>
      <c r="AP251" s="1032" t="s">
        <v>889</v>
      </c>
      <c r="AQ251" s="1032" t="s">
        <v>80</v>
      </c>
      <c r="AR251" s="1032" t="s">
        <v>1266</v>
      </c>
      <c r="AS251" s="1032" t="s">
        <v>1278</v>
      </c>
      <c r="AT251" s="1032" t="s">
        <v>1267</v>
      </c>
      <c r="AU251" s="1032">
        <v>53</v>
      </c>
      <c r="AW251" s="1033">
        <v>46141</v>
      </c>
      <c r="AX251" s="1032" t="s">
        <v>973</v>
      </c>
      <c r="AY251" s="1033">
        <v>46145</v>
      </c>
      <c r="AZ251" s="1032">
        <v>0</v>
      </c>
      <c r="BA251" s="1033">
        <v>46141</v>
      </c>
      <c r="BB251" s="1032">
        <v>2026</v>
      </c>
      <c r="BC251" s="1032">
        <v>4</v>
      </c>
      <c r="BD251" s="1032">
        <v>18</v>
      </c>
      <c r="BE251" s="1032">
        <v>36</v>
      </c>
      <c r="BF251" s="1032">
        <v>936</v>
      </c>
      <c r="BG251" s="1032" t="s">
        <v>85</v>
      </c>
      <c r="BH251" s="1032" t="s">
        <v>109</v>
      </c>
    </row>
    <row r="252" spans="1:60">
      <c r="A252" s="1032" t="s">
        <v>1279</v>
      </c>
      <c r="B252" s="1032" t="s">
        <v>61</v>
      </c>
      <c r="C252" s="1032" t="s">
        <v>1016</v>
      </c>
      <c r="D252" s="1032" t="s">
        <v>63</v>
      </c>
      <c r="E252" s="1032" t="s">
        <v>144</v>
      </c>
      <c r="F252" s="1032" t="s">
        <v>145</v>
      </c>
      <c r="G252" s="1032" t="s">
        <v>402</v>
      </c>
      <c r="H252" s="1032" t="s">
        <v>1280</v>
      </c>
      <c r="I252" s="1032" t="s">
        <v>689</v>
      </c>
      <c r="J252" s="1032" t="s">
        <v>1270</v>
      </c>
      <c r="K252" s="1032" t="s">
        <v>1281</v>
      </c>
      <c r="M252" s="1032" t="s">
        <v>840</v>
      </c>
      <c r="N252" s="1032">
        <v>46076</v>
      </c>
      <c r="O252" s="1032" t="s">
        <v>70</v>
      </c>
      <c r="P252" s="1032" t="s">
        <v>195</v>
      </c>
      <c r="Q252" s="1032" t="s">
        <v>196</v>
      </c>
      <c r="R252" s="1032" t="s">
        <v>73</v>
      </c>
      <c r="S252" s="1032" t="s">
        <v>967</v>
      </c>
      <c r="T252" s="1032">
        <v>450</v>
      </c>
      <c r="U252" s="1032">
        <v>1872</v>
      </c>
      <c r="V252" s="1032">
        <v>0.84240000000000004</v>
      </c>
      <c r="W252" s="1032">
        <v>52</v>
      </c>
      <c r="X252" s="1032">
        <v>2</v>
      </c>
      <c r="Y252" s="1032" t="s">
        <v>75</v>
      </c>
      <c r="Z252" s="1032" t="s">
        <v>75</v>
      </c>
      <c r="AB252" s="1033">
        <v>46084</v>
      </c>
      <c r="AC252" s="1032">
        <v>10</v>
      </c>
      <c r="AD252" s="1032" t="s">
        <v>1282</v>
      </c>
      <c r="AF252" s="1032" t="s">
        <v>77</v>
      </c>
      <c r="AG252" s="1032" t="s">
        <v>61</v>
      </c>
      <c r="AH252" s="1032" t="s">
        <v>105</v>
      </c>
      <c r="AI252" s="1033">
        <v>46088</v>
      </c>
      <c r="AJ252" s="1033">
        <v>46088</v>
      </c>
      <c r="AK252" s="1033">
        <v>46088</v>
      </c>
      <c r="AL252" s="1033">
        <v>46133</v>
      </c>
      <c r="AM252" s="1033">
        <v>46142</v>
      </c>
      <c r="AN252" s="1033">
        <v>46141</v>
      </c>
      <c r="AO252" s="1032" t="s">
        <v>402</v>
      </c>
      <c r="AP252" s="1032" t="s">
        <v>889</v>
      </c>
      <c r="AQ252" s="1032" t="s">
        <v>80</v>
      </c>
      <c r="AR252" s="1032" t="s">
        <v>1266</v>
      </c>
      <c r="AS252" s="1032" t="s">
        <v>1283</v>
      </c>
      <c r="AT252" s="1032" t="s">
        <v>1267</v>
      </c>
      <c r="AU252" s="1032">
        <v>53</v>
      </c>
      <c r="AW252" s="1033">
        <v>46141</v>
      </c>
      <c r="AX252" s="1032" t="s">
        <v>973</v>
      </c>
      <c r="AY252" s="1033">
        <v>46145</v>
      </c>
      <c r="AZ252" s="1032">
        <v>0</v>
      </c>
      <c r="BA252" s="1033">
        <v>46141</v>
      </c>
      <c r="BB252" s="1032">
        <v>2026</v>
      </c>
      <c r="BC252" s="1032">
        <v>4</v>
      </c>
      <c r="BD252" s="1032">
        <v>18</v>
      </c>
      <c r="BE252" s="1032">
        <v>36</v>
      </c>
      <c r="BF252" s="1032">
        <v>936</v>
      </c>
      <c r="BG252" s="1032" t="s">
        <v>85</v>
      </c>
      <c r="BH252" s="1032" t="s">
        <v>109</v>
      </c>
    </row>
    <row r="253" spans="1:60">
      <c r="A253" s="1032" t="s">
        <v>1284</v>
      </c>
      <c r="B253" s="1032" t="s">
        <v>61</v>
      </c>
      <c r="C253" s="1032" t="s">
        <v>1016</v>
      </c>
      <c r="D253" s="1032" t="s">
        <v>63</v>
      </c>
      <c r="E253" s="1032" t="s">
        <v>144</v>
      </c>
      <c r="F253" s="1032" t="s">
        <v>145</v>
      </c>
      <c r="G253" s="1032" t="s">
        <v>402</v>
      </c>
      <c r="H253" s="1032" t="s">
        <v>1275</v>
      </c>
      <c r="I253" s="1032" t="s">
        <v>689</v>
      </c>
      <c r="J253" s="1032" t="s">
        <v>1270</v>
      </c>
      <c r="K253" s="1032" t="s">
        <v>1276</v>
      </c>
      <c r="M253" s="1032" t="s">
        <v>840</v>
      </c>
      <c r="N253" s="1032">
        <v>46076</v>
      </c>
      <c r="O253" s="1032" t="s">
        <v>70</v>
      </c>
      <c r="P253" s="1032" t="s">
        <v>195</v>
      </c>
      <c r="Q253" s="1032" t="s">
        <v>196</v>
      </c>
      <c r="R253" s="1032" t="s">
        <v>73</v>
      </c>
      <c r="S253" s="1032" t="s">
        <v>967</v>
      </c>
      <c r="T253" s="1032">
        <v>450</v>
      </c>
      <c r="U253" s="1032">
        <v>3744</v>
      </c>
      <c r="V253" s="1032">
        <v>1.6848000000000001</v>
      </c>
      <c r="W253" s="1032">
        <v>104</v>
      </c>
      <c r="X253" s="1032">
        <v>4</v>
      </c>
      <c r="Y253" s="1032" t="s">
        <v>75</v>
      </c>
      <c r="Z253" s="1032" t="s">
        <v>75</v>
      </c>
      <c r="AB253" s="1033">
        <v>46084</v>
      </c>
      <c r="AC253" s="1032">
        <v>10</v>
      </c>
      <c r="AD253" s="1032" t="s">
        <v>1277</v>
      </c>
      <c r="AF253" s="1032" t="s">
        <v>77</v>
      </c>
      <c r="AG253" s="1032" t="s">
        <v>61</v>
      </c>
      <c r="AH253" s="1032" t="s">
        <v>105</v>
      </c>
      <c r="AI253" s="1033">
        <v>46088</v>
      </c>
      <c r="AJ253" s="1033">
        <v>46088</v>
      </c>
      <c r="AK253" s="1033">
        <v>46088</v>
      </c>
      <c r="AL253" s="1033">
        <v>46133</v>
      </c>
      <c r="AM253" s="1033">
        <v>46142</v>
      </c>
      <c r="AN253" s="1033">
        <v>46141</v>
      </c>
      <c r="AO253" s="1032" t="s">
        <v>402</v>
      </c>
      <c r="AP253" s="1032" t="s">
        <v>889</v>
      </c>
      <c r="AQ253" s="1032" t="s">
        <v>80</v>
      </c>
      <c r="AR253" s="1032" t="s">
        <v>1266</v>
      </c>
      <c r="AS253" s="1032" t="s">
        <v>1278</v>
      </c>
      <c r="AT253" s="1032" t="s">
        <v>1278</v>
      </c>
      <c r="AU253" s="1032">
        <v>53</v>
      </c>
      <c r="AW253" s="1033">
        <v>46141</v>
      </c>
      <c r="AX253" s="1032" t="s">
        <v>973</v>
      </c>
      <c r="AY253" s="1033">
        <v>46145</v>
      </c>
      <c r="AZ253" s="1032">
        <v>0</v>
      </c>
      <c r="BA253" s="1033">
        <v>46141</v>
      </c>
      <c r="BB253" s="1032">
        <v>2026</v>
      </c>
      <c r="BC253" s="1032">
        <v>4</v>
      </c>
      <c r="BD253" s="1032">
        <v>18</v>
      </c>
      <c r="BE253" s="1032">
        <v>36</v>
      </c>
      <c r="BF253" s="1032">
        <v>936</v>
      </c>
      <c r="BG253" s="1032" t="s">
        <v>85</v>
      </c>
      <c r="BH253" s="1032" t="s">
        <v>109</v>
      </c>
    </row>
    <row r="254" spans="1:60">
      <c r="A254" s="1032" t="s">
        <v>1285</v>
      </c>
      <c r="B254" s="1032" t="s">
        <v>61</v>
      </c>
      <c r="C254" s="1032" t="s">
        <v>1286</v>
      </c>
      <c r="D254" s="1032" t="s">
        <v>63</v>
      </c>
      <c r="E254" s="1032" t="s">
        <v>64</v>
      </c>
      <c r="F254" s="1032" t="s">
        <v>450</v>
      </c>
      <c r="G254" s="1032" t="s">
        <v>402</v>
      </c>
      <c r="H254" s="1032" t="s">
        <v>451</v>
      </c>
      <c r="I254" s="1032" t="s">
        <v>689</v>
      </c>
      <c r="J254" s="1032" t="s">
        <v>1287</v>
      </c>
      <c r="M254" s="1032" t="s">
        <v>68</v>
      </c>
      <c r="N254" s="1032">
        <v>46048</v>
      </c>
      <c r="O254" s="1032" t="s">
        <v>70</v>
      </c>
      <c r="P254" s="1032" t="s">
        <v>1151</v>
      </c>
      <c r="Q254" s="1032" t="s">
        <v>421</v>
      </c>
      <c r="R254" s="1032" t="s">
        <v>73</v>
      </c>
      <c r="S254" s="1032" t="s">
        <v>967</v>
      </c>
      <c r="T254" s="1032">
        <v>505</v>
      </c>
      <c r="U254" s="1032">
        <v>864</v>
      </c>
      <c r="V254" s="1032">
        <v>0.43631999999999999</v>
      </c>
      <c r="W254" s="1032">
        <v>24</v>
      </c>
      <c r="X254" s="1032">
        <v>1</v>
      </c>
      <c r="Y254" s="1032" t="s">
        <v>75</v>
      </c>
      <c r="Z254" s="1032" t="s">
        <v>75</v>
      </c>
      <c r="AB254" s="1033">
        <v>46082</v>
      </c>
      <c r="AC254" s="1032">
        <v>9</v>
      </c>
      <c r="AD254" s="1032" t="s">
        <v>1288</v>
      </c>
      <c r="AF254" s="1032" t="s">
        <v>77</v>
      </c>
      <c r="AG254" s="1032" t="s">
        <v>61</v>
      </c>
      <c r="AH254" s="1032" t="s">
        <v>456</v>
      </c>
      <c r="AI254" s="1033">
        <v>46088</v>
      </c>
      <c r="AJ254" s="1033">
        <v>46088</v>
      </c>
      <c r="AK254" s="1033">
        <v>46088</v>
      </c>
      <c r="AL254" s="1033">
        <v>46138</v>
      </c>
      <c r="AM254" s="1033">
        <v>46160</v>
      </c>
      <c r="AN254" s="1033">
        <v>46160</v>
      </c>
      <c r="AO254" s="1032" t="s">
        <v>402</v>
      </c>
      <c r="AP254" s="1032" t="s">
        <v>889</v>
      </c>
      <c r="AQ254" s="1032" t="s">
        <v>80</v>
      </c>
      <c r="AR254" s="1032" t="s">
        <v>1289</v>
      </c>
      <c r="AS254" s="1032" t="s">
        <v>1290</v>
      </c>
      <c r="AT254" s="1032" t="s">
        <v>1290</v>
      </c>
      <c r="AU254" s="1032">
        <v>72</v>
      </c>
      <c r="AW254" s="1033">
        <v>46160</v>
      </c>
      <c r="AX254" s="1032" t="s">
        <v>973</v>
      </c>
      <c r="AY254" s="1033">
        <v>46173</v>
      </c>
      <c r="AZ254" s="1032">
        <v>7</v>
      </c>
      <c r="BA254" s="1033">
        <v>46167</v>
      </c>
      <c r="BB254" s="1032">
        <v>2026</v>
      </c>
      <c r="BC254" s="1032">
        <v>5</v>
      </c>
      <c r="BD254" s="1032">
        <v>22</v>
      </c>
      <c r="BE254" s="1032">
        <v>36</v>
      </c>
      <c r="BF254" s="1032">
        <v>864</v>
      </c>
      <c r="BG254" s="1032" t="s">
        <v>85</v>
      </c>
      <c r="BH254" s="1032" t="s">
        <v>109</v>
      </c>
    </row>
    <row r="255" spans="1:60">
      <c r="A255" s="1032" t="s">
        <v>1291</v>
      </c>
      <c r="B255" s="1032" t="s">
        <v>61</v>
      </c>
      <c r="C255" s="1032" t="s">
        <v>1286</v>
      </c>
      <c r="D255" s="1032" t="s">
        <v>63</v>
      </c>
      <c r="E255" s="1032" t="s">
        <v>64</v>
      </c>
      <c r="F255" s="1032" t="s">
        <v>450</v>
      </c>
      <c r="G255" s="1032" t="s">
        <v>402</v>
      </c>
      <c r="H255" s="1032" t="s">
        <v>451</v>
      </c>
      <c r="I255" s="1032" t="s">
        <v>689</v>
      </c>
      <c r="J255" s="1032" t="s">
        <v>1292</v>
      </c>
      <c r="M255" s="1032" t="s">
        <v>68</v>
      </c>
      <c r="N255" s="1032">
        <v>46048</v>
      </c>
      <c r="O255" s="1032" t="s">
        <v>70</v>
      </c>
      <c r="P255" s="1032" t="s">
        <v>1151</v>
      </c>
      <c r="Q255" s="1032" t="s">
        <v>421</v>
      </c>
      <c r="R255" s="1032" t="s">
        <v>73</v>
      </c>
      <c r="S255" s="1032" t="s">
        <v>967</v>
      </c>
      <c r="T255" s="1032">
        <v>505</v>
      </c>
      <c r="U255" s="1032">
        <v>1728</v>
      </c>
      <c r="V255" s="1032">
        <v>0.87263999999999997</v>
      </c>
      <c r="W255" s="1032">
        <v>48</v>
      </c>
      <c r="X255" s="1032">
        <v>2</v>
      </c>
      <c r="Y255" s="1032" t="s">
        <v>75</v>
      </c>
      <c r="Z255" s="1032" t="s">
        <v>75</v>
      </c>
      <c r="AB255" s="1033">
        <v>46082</v>
      </c>
      <c r="AC255" s="1032">
        <v>9</v>
      </c>
      <c r="AD255" s="1032" t="s">
        <v>1293</v>
      </c>
      <c r="AF255" s="1032" t="s">
        <v>77</v>
      </c>
      <c r="AG255" s="1032" t="s">
        <v>61</v>
      </c>
      <c r="AH255" s="1032" t="s">
        <v>456</v>
      </c>
      <c r="AI255" s="1033">
        <v>46088</v>
      </c>
      <c r="AJ255" s="1033">
        <v>46088</v>
      </c>
      <c r="AK255" s="1033">
        <v>46088</v>
      </c>
      <c r="AL255" s="1033">
        <v>46138</v>
      </c>
      <c r="AM255" s="1033">
        <v>46160</v>
      </c>
      <c r="AN255" s="1033">
        <v>46160</v>
      </c>
      <c r="AO255" s="1032" t="s">
        <v>402</v>
      </c>
      <c r="AP255" s="1032" t="s">
        <v>889</v>
      </c>
      <c r="AQ255" s="1032" t="s">
        <v>80</v>
      </c>
      <c r="AR255" s="1032" t="s">
        <v>1289</v>
      </c>
      <c r="AS255" s="1032" t="s">
        <v>1290</v>
      </c>
      <c r="AT255" s="1032" t="s">
        <v>1290</v>
      </c>
      <c r="AU255" s="1032">
        <v>72</v>
      </c>
      <c r="AW255" s="1033">
        <v>46160</v>
      </c>
      <c r="AX255" s="1032" t="s">
        <v>973</v>
      </c>
      <c r="AY255" s="1033">
        <v>46173</v>
      </c>
      <c r="AZ255" s="1032">
        <v>7</v>
      </c>
      <c r="BA255" s="1033">
        <v>46167</v>
      </c>
      <c r="BB255" s="1032">
        <v>2026</v>
      </c>
      <c r="BC255" s="1032">
        <v>5</v>
      </c>
      <c r="BD255" s="1032">
        <v>22</v>
      </c>
      <c r="BE255" s="1032">
        <v>36</v>
      </c>
      <c r="BF255" s="1032">
        <v>864</v>
      </c>
      <c r="BG255" s="1032" t="s">
        <v>85</v>
      </c>
      <c r="BH255" s="1032" t="s">
        <v>109</v>
      </c>
    </row>
    <row r="256" spans="1:60">
      <c r="A256" s="1032" t="s">
        <v>1294</v>
      </c>
      <c r="B256" s="1032" t="s">
        <v>61</v>
      </c>
      <c r="C256" s="1032" t="s">
        <v>1149</v>
      </c>
      <c r="D256" s="1032" t="s">
        <v>63</v>
      </c>
      <c r="E256" s="1032" t="s">
        <v>64</v>
      </c>
      <c r="F256" s="1032" t="s">
        <v>450</v>
      </c>
      <c r="G256" s="1032" t="s">
        <v>402</v>
      </c>
      <c r="H256" s="1032" t="s">
        <v>451</v>
      </c>
      <c r="I256" s="1032" t="s">
        <v>689</v>
      </c>
      <c r="J256" s="1032" t="s">
        <v>1287</v>
      </c>
      <c r="M256" s="1032" t="s">
        <v>68</v>
      </c>
      <c r="N256" s="1032">
        <v>46048</v>
      </c>
      <c r="O256" s="1032" t="s">
        <v>70</v>
      </c>
      <c r="P256" s="1032" t="s">
        <v>1151</v>
      </c>
      <c r="Q256" s="1032" t="s">
        <v>421</v>
      </c>
      <c r="R256" s="1032" t="s">
        <v>73</v>
      </c>
      <c r="S256" s="1032" t="s">
        <v>967</v>
      </c>
      <c r="T256" s="1032">
        <v>505</v>
      </c>
      <c r="U256" s="1032">
        <v>1728</v>
      </c>
      <c r="V256" s="1032">
        <v>0.87263999999999997</v>
      </c>
      <c r="W256" s="1032">
        <v>48</v>
      </c>
      <c r="X256" s="1032">
        <v>2</v>
      </c>
      <c r="Y256" s="1032" t="s">
        <v>75</v>
      </c>
      <c r="Z256" s="1032" t="s">
        <v>75</v>
      </c>
      <c r="AB256" s="1033">
        <v>46082</v>
      </c>
      <c r="AC256" s="1032">
        <v>9</v>
      </c>
      <c r="AD256" s="1032" t="s">
        <v>1295</v>
      </c>
      <c r="AF256" s="1032" t="s">
        <v>77</v>
      </c>
      <c r="AG256" s="1032" t="s">
        <v>61</v>
      </c>
      <c r="AH256" s="1032" t="s">
        <v>456</v>
      </c>
      <c r="AI256" s="1033">
        <v>46088</v>
      </c>
      <c r="AJ256" s="1033">
        <v>46088</v>
      </c>
      <c r="AK256" s="1033">
        <v>46088</v>
      </c>
      <c r="AL256" s="1033">
        <v>46138</v>
      </c>
      <c r="AM256" s="1033">
        <v>46160</v>
      </c>
      <c r="AN256" s="1033">
        <v>46160</v>
      </c>
      <c r="AO256" s="1032" t="s">
        <v>402</v>
      </c>
      <c r="AP256" s="1032" t="s">
        <v>1296</v>
      </c>
      <c r="AQ256" s="1032" t="s">
        <v>80</v>
      </c>
      <c r="AR256" s="1032" t="s">
        <v>1289</v>
      </c>
      <c r="AS256" s="1032" t="s">
        <v>1290</v>
      </c>
      <c r="AT256" s="1032" t="s">
        <v>1290</v>
      </c>
      <c r="AU256" s="1032">
        <v>72</v>
      </c>
      <c r="AW256" s="1033">
        <v>46160</v>
      </c>
      <c r="AX256" s="1032" t="s">
        <v>973</v>
      </c>
      <c r="AY256" s="1033">
        <v>46173</v>
      </c>
      <c r="AZ256" s="1032">
        <v>7</v>
      </c>
      <c r="BA256" s="1033">
        <v>46167</v>
      </c>
      <c r="BB256" s="1032">
        <v>2026</v>
      </c>
      <c r="BC256" s="1032">
        <v>5</v>
      </c>
      <c r="BD256" s="1032">
        <v>22</v>
      </c>
      <c r="BE256" s="1032">
        <v>36</v>
      </c>
      <c r="BF256" s="1032">
        <v>864</v>
      </c>
      <c r="BG256" s="1032" t="s">
        <v>85</v>
      </c>
      <c r="BH256" s="1032" t="s">
        <v>109</v>
      </c>
    </row>
    <row r="257" spans="1:60">
      <c r="A257" s="1032" t="s">
        <v>1297</v>
      </c>
      <c r="B257" s="1032" t="s">
        <v>111</v>
      </c>
      <c r="C257" s="1032" t="s">
        <v>203</v>
      </c>
      <c r="D257" s="1032" t="s">
        <v>63</v>
      </c>
      <c r="E257" s="1032" t="s">
        <v>144</v>
      </c>
      <c r="F257" s="1032" t="s">
        <v>145</v>
      </c>
      <c r="G257" s="1032" t="s">
        <v>402</v>
      </c>
      <c r="H257" s="1032" t="s">
        <v>1029</v>
      </c>
      <c r="I257" s="1032" t="s">
        <v>689</v>
      </c>
      <c r="J257" s="1032" t="s">
        <v>1030</v>
      </c>
      <c r="K257" s="1032" t="s">
        <v>1298</v>
      </c>
      <c r="M257" s="1032" t="s">
        <v>840</v>
      </c>
      <c r="N257" s="1032">
        <v>46045</v>
      </c>
      <c r="O257" s="1032" t="s">
        <v>713</v>
      </c>
      <c r="P257" s="1032" t="s">
        <v>1299</v>
      </c>
      <c r="Q257" s="1032" t="s">
        <v>1300</v>
      </c>
      <c r="R257" s="1032" t="s">
        <v>73</v>
      </c>
      <c r="S257" s="1032" t="s">
        <v>967</v>
      </c>
      <c r="T257" s="1032">
        <v>720</v>
      </c>
      <c r="U257" s="1032">
        <v>1782</v>
      </c>
      <c r="V257" s="1032">
        <v>1.28304</v>
      </c>
      <c r="W257" s="1032">
        <v>54</v>
      </c>
      <c r="X257" s="1032">
        <v>3</v>
      </c>
      <c r="Y257" s="1032" t="s">
        <v>75</v>
      </c>
      <c r="Z257" s="1032" t="s">
        <v>75</v>
      </c>
      <c r="AB257" s="1033">
        <v>46084</v>
      </c>
      <c r="AC257" s="1032">
        <v>10</v>
      </c>
      <c r="AD257" s="1032" t="s">
        <v>1301</v>
      </c>
      <c r="AF257" s="1032" t="s">
        <v>122</v>
      </c>
      <c r="AG257" s="1032" t="s">
        <v>123</v>
      </c>
      <c r="AH257" s="1032" t="s">
        <v>888</v>
      </c>
      <c r="AI257" s="1033">
        <v>46091</v>
      </c>
      <c r="AJ257" s="1033">
        <v>46090</v>
      </c>
      <c r="AK257" s="1033">
        <v>46090</v>
      </c>
      <c r="AL257" s="1033">
        <v>46141</v>
      </c>
      <c r="AM257" s="1033">
        <v>46140</v>
      </c>
      <c r="AN257" s="1033">
        <v>46140</v>
      </c>
      <c r="AO257" s="1032" t="s">
        <v>402</v>
      </c>
      <c r="AP257" s="1032" t="s">
        <v>1302</v>
      </c>
      <c r="AQ257" s="1032" t="s">
        <v>80</v>
      </c>
      <c r="AR257" s="1032" t="s">
        <v>1303</v>
      </c>
      <c r="AS257" s="1032" t="s">
        <v>1304</v>
      </c>
      <c r="AT257" s="1032" t="s">
        <v>1304</v>
      </c>
      <c r="AU257" s="1032">
        <v>50</v>
      </c>
      <c r="AW257" s="1033">
        <v>46140</v>
      </c>
      <c r="AX257" s="1032" t="s">
        <v>973</v>
      </c>
      <c r="AY257" s="1033">
        <v>46154</v>
      </c>
      <c r="AZ257" s="1032">
        <v>0</v>
      </c>
      <c r="BA257" s="1033">
        <v>46140</v>
      </c>
      <c r="BB257" s="1032">
        <v>2026</v>
      </c>
      <c r="BC257" s="1032">
        <v>4</v>
      </c>
      <c r="BD257" s="1032">
        <v>18</v>
      </c>
      <c r="BE257" s="1032">
        <v>33</v>
      </c>
      <c r="BF257" s="1032">
        <v>594</v>
      </c>
      <c r="BG257" s="1032" t="s">
        <v>108</v>
      </c>
      <c r="BH257" s="1032" t="s">
        <v>109</v>
      </c>
    </row>
    <row r="258" spans="1:60">
      <c r="A258" s="1032" t="s">
        <v>1305</v>
      </c>
      <c r="B258" s="1032" t="s">
        <v>111</v>
      </c>
      <c r="C258" s="1032" t="s">
        <v>1046</v>
      </c>
      <c r="D258" s="1032" t="s">
        <v>63</v>
      </c>
      <c r="E258" s="1032" t="s">
        <v>64</v>
      </c>
      <c r="F258" s="1032" t="s">
        <v>100</v>
      </c>
      <c r="G258" s="1032" t="s">
        <v>402</v>
      </c>
      <c r="H258" s="1032" t="s">
        <v>67</v>
      </c>
      <c r="I258" s="1032" t="s">
        <v>822</v>
      </c>
      <c r="J258" s="1032" t="s">
        <v>1047</v>
      </c>
      <c r="M258" s="1032" t="s">
        <v>68</v>
      </c>
      <c r="N258" s="1032">
        <v>46069</v>
      </c>
      <c r="O258" s="1032" t="s">
        <v>70</v>
      </c>
      <c r="P258" s="1032" t="s">
        <v>1002</v>
      </c>
      <c r="Q258" s="1032" t="s">
        <v>330</v>
      </c>
      <c r="R258" s="1032" t="s">
        <v>73</v>
      </c>
      <c r="S258" s="1032" t="s">
        <v>992</v>
      </c>
      <c r="T258" s="1032">
        <v>625</v>
      </c>
      <c r="U258" s="1032">
        <v>7920</v>
      </c>
      <c r="V258" s="1032">
        <v>4.95</v>
      </c>
      <c r="W258" s="1032">
        <v>220</v>
      </c>
      <c r="X258" s="1032">
        <v>11</v>
      </c>
      <c r="Y258" s="1032" t="s">
        <v>75</v>
      </c>
      <c r="Z258" s="1032" t="s">
        <v>75</v>
      </c>
      <c r="AB258" s="1033">
        <v>46083</v>
      </c>
      <c r="AC258" s="1032">
        <v>10</v>
      </c>
      <c r="AD258" s="1032" t="s">
        <v>1306</v>
      </c>
      <c r="AF258" s="1032" t="s">
        <v>122</v>
      </c>
      <c r="AG258" s="1032" t="s">
        <v>123</v>
      </c>
      <c r="AH258" s="1032" t="s">
        <v>105</v>
      </c>
      <c r="AI258" s="1033">
        <v>46091</v>
      </c>
      <c r="AJ258" s="1033">
        <v>46096</v>
      </c>
      <c r="AK258" s="1033">
        <v>46096</v>
      </c>
      <c r="AL258" s="1033">
        <v>46126</v>
      </c>
      <c r="AM258" s="1033">
        <v>46142</v>
      </c>
      <c r="AN258" s="1033">
        <v>46141</v>
      </c>
      <c r="AO258" s="1032" t="s">
        <v>402</v>
      </c>
      <c r="AP258" s="1032" t="s">
        <v>872</v>
      </c>
      <c r="AQ258" s="1032" t="s">
        <v>80</v>
      </c>
      <c r="AR258" s="1032" t="s">
        <v>1307</v>
      </c>
      <c r="AS258" s="1032" t="s">
        <v>1308</v>
      </c>
      <c r="AT258" s="1032" t="s">
        <v>1308</v>
      </c>
      <c r="AU258" s="1032">
        <v>45</v>
      </c>
      <c r="AW258" s="1033">
        <v>46141</v>
      </c>
      <c r="AX258" s="1032" t="s">
        <v>973</v>
      </c>
      <c r="AY258" s="1033">
        <v>46162</v>
      </c>
      <c r="AZ258" s="1032">
        <v>7</v>
      </c>
      <c r="BA258" s="1033">
        <v>46148</v>
      </c>
      <c r="BB258" s="1032">
        <v>2026</v>
      </c>
      <c r="BC258" s="1032">
        <v>5</v>
      </c>
      <c r="BD258" s="1032">
        <v>19</v>
      </c>
      <c r="BE258" s="1032">
        <v>36</v>
      </c>
      <c r="BF258" s="1032">
        <v>720</v>
      </c>
      <c r="BG258" s="1032" t="s">
        <v>128</v>
      </c>
      <c r="BH258" s="1032" t="s">
        <v>109</v>
      </c>
    </row>
    <row r="259" spans="1:60">
      <c r="A259" s="1032" t="s">
        <v>1309</v>
      </c>
      <c r="B259" s="1032" t="s">
        <v>111</v>
      </c>
      <c r="C259" s="1032" t="s">
        <v>1310</v>
      </c>
      <c r="D259" s="1032" t="s">
        <v>63</v>
      </c>
      <c r="E259" s="1032" t="s">
        <v>64</v>
      </c>
      <c r="F259" s="1032" t="s">
        <v>100</v>
      </c>
      <c r="G259" s="1032" t="s">
        <v>402</v>
      </c>
      <c r="H259" s="1032" t="s">
        <v>67</v>
      </c>
      <c r="I259" s="1032" t="s">
        <v>689</v>
      </c>
      <c r="J259" s="1032" t="s">
        <v>483</v>
      </c>
      <c r="M259" s="1032" t="s">
        <v>68</v>
      </c>
      <c r="N259" s="1032">
        <v>46083</v>
      </c>
      <c r="O259" s="1032" t="s">
        <v>473</v>
      </c>
      <c r="P259" s="1032" t="s">
        <v>529</v>
      </c>
      <c r="Q259" s="1032" t="s">
        <v>1311</v>
      </c>
      <c r="R259" s="1032" t="s">
        <v>73</v>
      </c>
      <c r="S259" s="1032" t="s">
        <v>967</v>
      </c>
      <c r="T259" s="1032">
        <v>455</v>
      </c>
      <c r="U259" s="1032">
        <v>3456</v>
      </c>
      <c r="V259" s="1032">
        <v>1.5724800000000001</v>
      </c>
      <c r="W259" s="1032">
        <v>96</v>
      </c>
      <c r="X259" s="1032">
        <v>4</v>
      </c>
      <c r="Y259" s="1032" t="s">
        <v>75</v>
      </c>
      <c r="Z259" s="1032" t="s">
        <v>75</v>
      </c>
      <c r="AB259" s="1033">
        <v>46085</v>
      </c>
      <c r="AC259" s="1032">
        <v>10</v>
      </c>
      <c r="AD259" s="1032" t="s">
        <v>1312</v>
      </c>
      <c r="AF259" s="1032" t="s">
        <v>122</v>
      </c>
      <c r="AG259" s="1032" t="s">
        <v>123</v>
      </c>
      <c r="AH259" s="1032" t="s">
        <v>105</v>
      </c>
      <c r="AI259" s="1033">
        <v>46091</v>
      </c>
      <c r="AJ259" s="1033">
        <v>46090</v>
      </c>
      <c r="AK259" s="1033">
        <v>46090</v>
      </c>
      <c r="AL259" s="1033">
        <v>46122</v>
      </c>
      <c r="AM259" s="1033">
        <v>46141</v>
      </c>
      <c r="AN259" s="1033">
        <v>46137</v>
      </c>
      <c r="AO259" s="1032" t="s">
        <v>402</v>
      </c>
      <c r="AP259" s="1032" t="s">
        <v>872</v>
      </c>
      <c r="AQ259" s="1032" t="s">
        <v>80</v>
      </c>
      <c r="AR259" s="1032" t="s">
        <v>1313</v>
      </c>
      <c r="AS259" s="1032" t="s">
        <v>1314</v>
      </c>
      <c r="AT259" s="1032" t="s">
        <v>1314</v>
      </c>
      <c r="AU259" s="1032">
        <v>47</v>
      </c>
      <c r="AW259" s="1033">
        <v>46137</v>
      </c>
      <c r="AX259" s="1032" t="s">
        <v>973</v>
      </c>
      <c r="AY259" s="1033">
        <v>46149</v>
      </c>
      <c r="AZ259" s="1032">
        <v>7</v>
      </c>
      <c r="BA259" s="1033">
        <v>46144</v>
      </c>
      <c r="BB259" s="1032">
        <v>2026</v>
      </c>
      <c r="BC259" s="1032">
        <v>5</v>
      </c>
      <c r="BD259" s="1032">
        <v>18</v>
      </c>
      <c r="BE259" s="1032">
        <v>36</v>
      </c>
      <c r="BF259" s="1032">
        <v>864</v>
      </c>
      <c r="BG259" s="1032" t="s">
        <v>85</v>
      </c>
      <c r="BH259" s="1032" t="s">
        <v>109</v>
      </c>
    </row>
    <row r="260" spans="1:60">
      <c r="A260" s="1032" t="s">
        <v>1315</v>
      </c>
      <c r="B260" s="1032" t="s">
        <v>111</v>
      </c>
      <c r="C260" s="1032" t="s">
        <v>1091</v>
      </c>
      <c r="D260" s="1032" t="s">
        <v>63</v>
      </c>
      <c r="E260" s="1032" t="s">
        <v>64</v>
      </c>
      <c r="F260" s="1032" t="s">
        <v>100</v>
      </c>
      <c r="G260" s="1032" t="s">
        <v>402</v>
      </c>
      <c r="H260" s="1032" t="s">
        <v>67</v>
      </c>
      <c r="I260" s="1032" t="s">
        <v>689</v>
      </c>
      <c r="J260" s="1032" t="s">
        <v>101</v>
      </c>
      <c r="M260" s="1032" t="s">
        <v>68</v>
      </c>
      <c r="N260" s="1032">
        <v>46069</v>
      </c>
      <c r="O260" s="1032" t="s">
        <v>132</v>
      </c>
      <c r="P260" s="1032" t="s">
        <v>189</v>
      </c>
      <c r="Q260" s="1032" t="s">
        <v>190</v>
      </c>
      <c r="R260" s="1032" t="s">
        <v>73</v>
      </c>
      <c r="S260" s="1032" t="s">
        <v>967</v>
      </c>
      <c r="T260" s="1032">
        <v>465</v>
      </c>
      <c r="U260" s="1032">
        <v>3456</v>
      </c>
      <c r="V260" s="1032">
        <v>1.60704</v>
      </c>
      <c r="W260" s="1032">
        <v>96</v>
      </c>
      <c r="X260" s="1032">
        <v>4</v>
      </c>
      <c r="Y260" s="1032" t="s">
        <v>75</v>
      </c>
      <c r="Z260" s="1032" t="s">
        <v>75</v>
      </c>
      <c r="AB260" s="1033">
        <v>46085</v>
      </c>
      <c r="AC260" s="1032">
        <v>10</v>
      </c>
      <c r="AD260" s="1032" t="s">
        <v>1316</v>
      </c>
      <c r="AF260" s="1032" t="s">
        <v>122</v>
      </c>
      <c r="AG260" s="1032" t="s">
        <v>123</v>
      </c>
      <c r="AH260" s="1032" t="s">
        <v>105</v>
      </c>
      <c r="AI260" s="1033">
        <v>46091</v>
      </c>
      <c r="AJ260" s="1033">
        <v>46090</v>
      </c>
      <c r="AK260" s="1033">
        <v>46090</v>
      </c>
      <c r="AL260" s="1033">
        <v>46122</v>
      </c>
      <c r="AM260" s="1033">
        <v>46141</v>
      </c>
      <c r="AN260" s="1033">
        <v>46137</v>
      </c>
      <c r="AO260" s="1032" t="s">
        <v>402</v>
      </c>
      <c r="AP260" s="1032" t="s">
        <v>872</v>
      </c>
      <c r="AQ260" s="1032" t="s">
        <v>80</v>
      </c>
      <c r="AR260" s="1032" t="s">
        <v>1313</v>
      </c>
      <c r="AS260" s="1032" t="s">
        <v>1314</v>
      </c>
      <c r="AT260" s="1032" t="s">
        <v>1314</v>
      </c>
      <c r="AU260" s="1032">
        <v>47</v>
      </c>
      <c r="AW260" s="1033">
        <v>46137</v>
      </c>
      <c r="AX260" s="1032" t="s">
        <v>973</v>
      </c>
      <c r="AY260" s="1033">
        <v>46149</v>
      </c>
      <c r="AZ260" s="1032">
        <v>7</v>
      </c>
      <c r="BA260" s="1033">
        <v>46144</v>
      </c>
      <c r="BB260" s="1032">
        <v>2026</v>
      </c>
      <c r="BC260" s="1032">
        <v>5</v>
      </c>
      <c r="BD260" s="1032">
        <v>18</v>
      </c>
      <c r="BE260" s="1032">
        <v>36</v>
      </c>
      <c r="BF260" s="1032">
        <v>864</v>
      </c>
      <c r="BG260" s="1032" t="s">
        <v>108</v>
      </c>
      <c r="BH260" s="1032" t="s">
        <v>109</v>
      </c>
    </row>
    <row r="261" spans="1:60">
      <c r="A261" s="1032" t="s">
        <v>1317</v>
      </c>
      <c r="B261" s="1032" t="s">
        <v>111</v>
      </c>
      <c r="C261" s="1032" t="s">
        <v>1318</v>
      </c>
      <c r="D261" s="1032" t="s">
        <v>63</v>
      </c>
      <c r="E261" s="1032" t="s">
        <v>64</v>
      </c>
      <c r="F261" s="1032" t="s">
        <v>100</v>
      </c>
      <c r="G261" s="1032" t="s">
        <v>402</v>
      </c>
      <c r="H261" s="1032" t="s">
        <v>67</v>
      </c>
      <c r="I261" s="1032" t="s">
        <v>689</v>
      </c>
      <c r="J261" s="1032" t="s">
        <v>483</v>
      </c>
      <c r="M261" s="1032" t="s">
        <v>68</v>
      </c>
      <c r="N261" s="1032" t="s">
        <v>68</v>
      </c>
      <c r="O261" s="1032" t="s">
        <v>473</v>
      </c>
      <c r="P261" s="1032" t="s">
        <v>474</v>
      </c>
      <c r="Q261" s="1032" t="s">
        <v>1319</v>
      </c>
      <c r="R261" s="1032" t="s">
        <v>73</v>
      </c>
      <c r="S261" s="1032" t="s">
        <v>967</v>
      </c>
      <c r="T261" s="1032">
        <v>460</v>
      </c>
      <c r="U261" s="1032">
        <v>1728</v>
      </c>
      <c r="V261" s="1032">
        <v>0.79488000000000003</v>
      </c>
      <c r="W261" s="1032">
        <v>48</v>
      </c>
      <c r="X261" s="1032">
        <v>2</v>
      </c>
      <c r="Y261" s="1032" t="s">
        <v>75</v>
      </c>
      <c r="Z261" s="1032" t="s">
        <v>75</v>
      </c>
      <c r="AB261" s="1033">
        <v>46085</v>
      </c>
      <c r="AC261" s="1032">
        <v>10</v>
      </c>
      <c r="AD261" s="1032" t="s">
        <v>1320</v>
      </c>
      <c r="AF261" s="1032" t="s">
        <v>122</v>
      </c>
      <c r="AG261" s="1032" t="s">
        <v>123</v>
      </c>
      <c r="AH261" s="1032" t="s">
        <v>105</v>
      </c>
      <c r="AI261" s="1033">
        <v>46091</v>
      </c>
      <c r="AJ261" s="1033">
        <v>46090</v>
      </c>
      <c r="AK261" s="1033">
        <v>46090</v>
      </c>
      <c r="AL261" s="1033">
        <v>46122</v>
      </c>
      <c r="AM261" s="1033">
        <v>46141</v>
      </c>
      <c r="AN261" s="1033">
        <v>46137</v>
      </c>
      <c r="AO261" s="1032" t="s">
        <v>402</v>
      </c>
      <c r="AP261" s="1032" t="s">
        <v>872</v>
      </c>
      <c r="AQ261" s="1032" t="s">
        <v>80</v>
      </c>
      <c r="AR261" s="1032" t="s">
        <v>1313</v>
      </c>
      <c r="AS261" s="1032" t="s">
        <v>1314</v>
      </c>
      <c r="AT261" s="1032" t="s">
        <v>1314</v>
      </c>
      <c r="AU261" s="1032">
        <v>47</v>
      </c>
      <c r="AW261" s="1033">
        <v>46137</v>
      </c>
      <c r="AX261" s="1032" t="s">
        <v>973</v>
      </c>
      <c r="AY261" s="1033">
        <v>46149</v>
      </c>
      <c r="AZ261" s="1032">
        <v>7</v>
      </c>
      <c r="BA261" s="1033">
        <v>46144</v>
      </c>
      <c r="BB261" s="1032">
        <v>2026</v>
      </c>
      <c r="BC261" s="1032">
        <v>5</v>
      </c>
      <c r="BD261" s="1032">
        <v>18</v>
      </c>
      <c r="BE261" s="1032">
        <v>36</v>
      </c>
      <c r="BF261" s="1032">
        <v>864</v>
      </c>
      <c r="BG261" s="1032" t="s">
        <v>85</v>
      </c>
      <c r="BH261" s="1032" t="s">
        <v>109</v>
      </c>
    </row>
    <row r="262" spans="1:60">
      <c r="A262" s="1032" t="s">
        <v>1321</v>
      </c>
      <c r="B262" s="1032" t="s">
        <v>111</v>
      </c>
      <c r="C262" s="1032" t="s">
        <v>1061</v>
      </c>
      <c r="D262" s="1032" t="s">
        <v>63</v>
      </c>
      <c r="E262" s="1032" t="s">
        <v>64</v>
      </c>
      <c r="F262" s="1032" t="s">
        <v>100</v>
      </c>
      <c r="G262" s="1032" t="s">
        <v>402</v>
      </c>
      <c r="H262" s="1032" t="s">
        <v>67</v>
      </c>
      <c r="I262" s="1032" t="s">
        <v>869</v>
      </c>
      <c r="J262" s="1032" t="s">
        <v>101</v>
      </c>
      <c r="M262" s="1032" t="s">
        <v>68</v>
      </c>
      <c r="N262" s="1032">
        <v>46076</v>
      </c>
      <c r="O262" s="1032" t="s">
        <v>132</v>
      </c>
      <c r="P262" s="1032" t="s">
        <v>1062</v>
      </c>
      <c r="Q262" s="1032" t="s">
        <v>1063</v>
      </c>
      <c r="R262" s="1032" t="s">
        <v>73</v>
      </c>
      <c r="S262" s="1032" t="s">
        <v>967</v>
      </c>
      <c r="T262" s="1032">
        <v>470</v>
      </c>
      <c r="U262" s="1032">
        <v>1728</v>
      </c>
      <c r="V262" s="1032">
        <v>0.81215999999999999</v>
      </c>
      <c r="W262" s="1032">
        <v>48</v>
      </c>
      <c r="X262" s="1032">
        <v>2</v>
      </c>
      <c r="Y262" s="1032" t="s">
        <v>75</v>
      </c>
      <c r="Z262" s="1032" t="s">
        <v>75</v>
      </c>
      <c r="AB262" s="1033">
        <v>46083</v>
      </c>
      <c r="AC262" s="1032">
        <v>10</v>
      </c>
      <c r="AD262" s="1032" t="s">
        <v>1322</v>
      </c>
      <c r="AF262" s="1032" t="s">
        <v>122</v>
      </c>
      <c r="AG262" s="1032" t="s">
        <v>123</v>
      </c>
      <c r="AH262" s="1032" t="s">
        <v>105</v>
      </c>
      <c r="AI262" s="1033">
        <v>46091</v>
      </c>
      <c r="AJ262" s="1033">
        <v>46090</v>
      </c>
      <c r="AK262" s="1033">
        <v>46090</v>
      </c>
      <c r="AL262" s="1033">
        <v>46122</v>
      </c>
      <c r="AM262" s="1033">
        <v>46141</v>
      </c>
      <c r="AN262" s="1033">
        <v>46137</v>
      </c>
      <c r="AO262" s="1032" t="s">
        <v>402</v>
      </c>
      <c r="AP262" s="1032" t="s">
        <v>872</v>
      </c>
      <c r="AQ262" s="1032" t="s">
        <v>80</v>
      </c>
      <c r="AR262" s="1032" t="s">
        <v>1323</v>
      </c>
      <c r="AS262" s="1032" t="s">
        <v>1324</v>
      </c>
      <c r="AT262" s="1032" t="s">
        <v>1324</v>
      </c>
      <c r="AU262" s="1032">
        <v>47</v>
      </c>
      <c r="AW262" s="1033">
        <v>46137</v>
      </c>
      <c r="AX262" s="1032" t="s">
        <v>973</v>
      </c>
      <c r="AY262" s="1033">
        <v>46149</v>
      </c>
      <c r="AZ262" s="1032">
        <v>7</v>
      </c>
      <c r="BA262" s="1033">
        <v>46144</v>
      </c>
      <c r="BB262" s="1032">
        <v>2026</v>
      </c>
      <c r="BC262" s="1032">
        <v>5</v>
      </c>
      <c r="BD262" s="1032">
        <v>18</v>
      </c>
      <c r="BE262" s="1032">
        <v>36</v>
      </c>
      <c r="BF262" s="1032">
        <v>864</v>
      </c>
      <c r="BG262" s="1032" t="s">
        <v>108</v>
      </c>
      <c r="BH262" s="1032" t="s">
        <v>109</v>
      </c>
    </row>
    <row r="263" spans="1:60">
      <c r="A263" s="1032" t="s">
        <v>1325</v>
      </c>
      <c r="B263" s="1032" t="s">
        <v>111</v>
      </c>
      <c r="C263" s="1032" t="s">
        <v>1326</v>
      </c>
      <c r="D263" s="1032" t="s">
        <v>113</v>
      </c>
      <c r="E263" s="1032" t="s">
        <v>64</v>
      </c>
      <c r="F263" s="1032" t="s">
        <v>65</v>
      </c>
      <c r="G263" s="1032" t="s">
        <v>402</v>
      </c>
      <c r="H263" s="1032" t="s">
        <v>67</v>
      </c>
      <c r="I263" s="1032" t="s">
        <v>822</v>
      </c>
      <c r="J263" s="1032" t="s">
        <v>1327</v>
      </c>
      <c r="M263" s="1032" t="s">
        <v>68</v>
      </c>
      <c r="N263" s="1032" t="s">
        <v>68</v>
      </c>
      <c r="O263" s="1032" t="s">
        <v>70</v>
      </c>
      <c r="P263" s="1032" t="s">
        <v>218</v>
      </c>
      <c r="Q263" s="1032" t="s">
        <v>219</v>
      </c>
      <c r="R263" s="1032" t="s">
        <v>73</v>
      </c>
      <c r="S263" s="1032" t="s">
        <v>992</v>
      </c>
      <c r="T263" s="1032">
        <v>625</v>
      </c>
      <c r="U263" s="1032">
        <v>1440</v>
      </c>
      <c r="V263" s="1032">
        <v>0.9</v>
      </c>
      <c r="W263" s="1032">
        <v>40</v>
      </c>
      <c r="X263" s="1032">
        <v>2</v>
      </c>
      <c r="Y263" s="1032" t="s">
        <v>75</v>
      </c>
      <c r="Z263" s="1032" t="s">
        <v>75</v>
      </c>
      <c r="AB263" s="1033">
        <v>46084</v>
      </c>
      <c r="AC263" s="1032">
        <v>10</v>
      </c>
      <c r="AD263" s="1032" t="s">
        <v>1328</v>
      </c>
      <c r="AF263" s="1032" t="s">
        <v>122</v>
      </c>
      <c r="AG263" s="1032" t="s">
        <v>123</v>
      </c>
      <c r="AH263" s="1032" t="s">
        <v>78</v>
      </c>
      <c r="AI263" s="1033">
        <v>46094</v>
      </c>
      <c r="AJ263" s="1033">
        <v>46096</v>
      </c>
      <c r="AK263" s="1033">
        <v>46097</v>
      </c>
      <c r="AL263" s="1033">
        <v>46140</v>
      </c>
      <c r="AM263" s="1033">
        <v>46145</v>
      </c>
      <c r="AN263" s="1033">
        <v>46148</v>
      </c>
      <c r="AO263" s="1032" t="s">
        <v>402</v>
      </c>
      <c r="AP263" s="1032" t="s">
        <v>1329</v>
      </c>
      <c r="AQ263" s="1032" t="s">
        <v>80</v>
      </c>
      <c r="AR263" s="1032" t="s">
        <v>1330</v>
      </c>
      <c r="AS263" s="1032" t="s">
        <v>1331</v>
      </c>
      <c r="AT263" s="1032" t="s">
        <v>1331</v>
      </c>
      <c r="AU263" s="1032">
        <v>51</v>
      </c>
      <c r="AW263" s="1033">
        <v>46148</v>
      </c>
      <c r="AX263" s="1032" t="s">
        <v>973</v>
      </c>
      <c r="AY263" s="1033">
        <v>46159</v>
      </c>
      <c r="AZ263" s="1032">
        <v>8</v>
      </c>
      <c r="BA263" s="1033">
        <v>46156</v>
      </c>
      <c r="BB263" s="1032">
        <v>2026</v>
      </c>
      <c r="BC263" s="1032">
        <v>5</v>
      </c>
      <c r="BD263" s="1032">
        <v>20</v>
      </c>
      <c r="BE263" s="1032">
        <v>36</v>
      </c>
      <c r="BF263" s="1032">
        <v>720</v>
      </c>
      <c r="BG263" s="1032" t="s">
        <v>128</v>
      </c>
      <c r="BH263" s="1032" t="s">
        <v>86</v>
      </c>
    </row>
    <row r="264" spans="1:60">
      <c r="A264" s="1032" t="s">
        <v>1332</v>
      </c>
      <c r="B264" s="1032" t="s">
        <v>111</v>
      </c>
      <c r="C264" s="1032" t="s">
        <v>1333</v>
      </c>
      <c r="D264" s="1032" t="s">
        <v>113</v>
      </c>
      <c r="E264" s="1032" t="s">
        <v>64</v>
      </c>
      <c r="F264" s="1032" t="s">
        <v>65</v>
      </c>
      <c r="G264" s="1032" t="s">
        <v>402</v>
      </c>
      <c r="H264" s="1032" t="s">
        <v>67</v>
      </c>
      <c r="I264" s="1032" t="s">
        <v>822</v>
      </c>
      <c r="J264" s="1032" t="s">
        <v>1327</v>
      </c>
      <c r="M264" s="1032" t="s">
        <v>68</v>
      </c>
      <c r="N264" s="1032" t="s">
        <v>68</v>
      </c>
      <c r="O264" s="1032" t="s">
        <v>70</v>
      </c>
      <c r="P264" s="1032" t="s">
        <v>1334</v>
      </c>
      <c r="Q264" s="1032" t="s">
        <v>1335</v>
      </c>
      <c r="R264" s="1032" t="s">
        <v>73</v>
      </c>
      <c r="S264" s="1032" t="s">
        <v>992</v>
      </c>
      <c r="T264" s="1032">
        <v>630</v>
      </c>
      <c r="U264" s="1032">
        <v>3600</v>
      </c>
      <c r="V264" s="1032">
        <v>2.2679999999999998</v>
      </c>
      <c r="W264" s="1032">
        <v>100</v>
      </c>
      <c r="X264" s="1032">
        <v>5</v>
      </c>
      <c r="Y264" s="1032" t="s">
        <v>75</v>
      </c>
      <c r="Z264" s="1032" t="s">
        <v>75</v>
      </c>
      <c r="AB264" s="1033">
        <v>46084</v>
      </c>
      <c r="AC264" s="1032">
        <v>10</v>
      </c>
      <c r="AD264" s="1032" t="s">
        <v>1336</v>
      </c>
      <c r="AF264" s="1032" t="s">
        <v>122</v>
      </c>
      <c r="AG264" s="1032" t="s">
        <v>123</v>
      </c>
      <c r="AH264" s="1032" t="s">
        <v>78</v>
      </c>
      <c r="AI264" s="1033">
        <v>46094</v>
      </c>
      <c r="AJ264" s="1033">
        <v>46096</v>
      </c>
      <c r="AK264" s="1033">
        <v>46097</v>
      </c>
      <c r="AL264" s="1033">
        <v>46140</v>
      </c>
      <c r="AM264" s="1033">
        <v>46145</v>
      </c>
      <c r="AN264" s="1033">
        <v>46148</v>
      </c>
      <c r="AO264" s="1032" t="s">
        <v>402</v>
      </c>
      <c r="AP264" s="1032" t="s">
        <v>1329</v>
      </c>
      <c r="AQ264" s="1032" t="s">
        <v>80</v>
      </c>
      <c r="AR264" s="1032" t="s">
        <v>1330</v>
      </c>
      <c r="AS264" s="1032" t="s">
        <v>1331</v>
      </c>
      <c r="AT264" s="1032" t="s">
        <v>1331</v>
      </c>
      <c r="AU264" s="1032">
        <v>51</v>
      </c>
      <c r="AW264" s="1033">
        <v>46148</v>
      </c>
      <c r="AX264" s="1032" t="s">
        <v>973</v>
      </c>
      <c r="AY264" s="1033">
        <v>46159</v>
      </c>
      <c r="AZ264" s="1032">
        <v>8</v>
      </c>
      <c r="BA264" s="1033">
        <v>46156</v>
      </c>
      <c r="BB264" s="1032">
        <v>2026</v>
      </c>
      <c r="BC264" s="1032">
        <v>5</v>
      </c>
      <c r="BD264" s="1032">
        <v>20</v>
      </c>
      <c r="BE264" s="1032">
        <v>36</v>
      </c>
      <c r="BF264" s="1032">
        <v>720</v>
      </c>
      <c r="BG264" s="1032" t="s">
        <v>94</v>
      </c>
      <c r="BH264" s="1032" t="s">
        <v>86</v>
      </c>
    </row>
    <row r="265" spans="1:60">
      <c r="A265" s="1032" t="s">
        <v>1337</v>
      </c>
      <c r="B265" s="1032" t="s">
        <v>111</v>
      </c>
      <c r="C265" s="1032" t="s">
        <v>1333</v>
      </c>
      <c r="D265" s="1032" t="s">
        <v>113</v>
      </c>
      <c r="E265" s="1032" t="s">
        <v>64</v>
      </c>
      <c r="F265" s="1032" t="s">
        <v>65</v>
      </c>
      <c r="G265" s="1032" t="s">
        <v>402</v>
      </c>
      <c r="H265" s="1032" t="s">
        <v>67</v>
      </c>
      <c r="I265" s="1032" t="s">
        <v>822</v>
      </c>
      <c r="J265" s="1032" t="s">
        <v>1327</v>
      </c>
      <c r="M265" s="1032" t="s">
        <v>68</v>
      </c>
      <c r="N265" s="1032" t="s">
        <v>68</v>
      </c>
      <c r="O265" s="1032" t="s">
        <v>70</v>
      </c>
      <c r="P265" s="1032" t="s">
        <v>1334</v>
      </c>
      <c r="Q265" s="1032" t="s">
        <v>1335</v>
      </c>
      <c r="R265" s="1032" t="s">
        <v>73</v>
      </c>
      <c r="S265" s="1032" t="s">
        <v>992</v>
      </c>
      <c r="T265" s="1032">
        <v>630</v>
      </c>
      <c r="U265" s="1032">
        <v>5760</v>
      </c>
      <c r="V265" s="1032">
        <v>3.6288</v>
      </c>
      <c r="W265" s="1032">
        <v>160</v>
      </c>
      <c r="X265" s="1032">
        <v>8</v>
      </c>
      <c r="Y265" s="1032" t="s">
        <v>75</v>
      </c>
      <c r="Z265" s="1032" t="s">
        <v>75</v>
      </c>
      <c r="AB265" s="1033">
        <v>46084</v>
      </c>
      <c r="AC265" s="1032">
        <v>10</v>
      </c>
      <c r="AD265" s="1032" t="s">
        <v>1338</v>
      </c>
      <c r="AF265" s="1032" t="s">
        <v>122</v>
      </c>
      <c r="AG265" s="1032" t="s">
        <v>123</v>
      </c>
      <c r="AH265" s="1032" t="s">
        <v>78</v>
      </c>
      <c r="AI265" s="1033">
        <v>46092</v>
      </c>
      <c r="AJ265" s="1033">
        <v>46094</v>
      </c>
      <c r="AK265" s="1033">
        <v>46094</v>
      </c>
      <c r="AL265" s="1033">
        <v>46143</v>
      </c>
      <c r="AM265" s="1033">
        <v>46144</v>
      </c>
      <c r="AN265" s="1033">
        <v>46144</v>
      </c>
      <c r="AO265" s="1032" t="s">
        <v>402</v>
      </c>
      <c r="AP265" s="1032" t="s">
        <v>1224</v>
      </c>
      <c r="AQ265" s="1032" t="s">
        <v>80</v>
      </c>
      <c r="AR265" s="1032" t="s">
        <v>1339</v>
      </c>
      <c r="AS265" s="1032" t="s">
        <v>1340</v>
      </c>
      <c r="AT265" s="1032" t="s">
        <v>1340</v>
      </c>
      <c r="AU265" s="1032">
        <v>50</v>
      </c>
      <c r="AW265" s="1033">
        <v>46144</v>
      </c>
      <c r="AX265" s="1032" t="s">
        <v>973</v>
      </c>
      <c r="AY265" s="1033">
        <v>46159</v>
      </c>
      <c r="AZ265" s="1032">
        <v>8</v>
      </c>
      <c r="BA265" s="1033">
        <v>46152</v>
      </c>
      <c r="BB265" s="1032">
        <v>2026</v>
      </c>
      <c r="BC265" s="1032">
        <v>5</v>
      </c>
      <c r="BD265" s="1032">
        <v>19</v>
      </c>
      <c r="BE265" s="1032">
        <v>36</v>
      </c>
      <c r="BF265" s="1032">
        <v>720</v>
      </c>
      <c r="BG265" s="1032" t="s">
        <v>94</v>
      </c>
      <c r="BH265" s="1032" t="s">
        <v>86</v>
      </c>
    </row>
    <row r="266" spans="1:60">
      <c r="A266" s="1032" t="s">
        <v>1341</v>
      </c>
      <c r="B266" s="1032" t="s">
        <v>111</v>
      </c>
      <c r="C266" s="1032" t="s">
        <v>1318</v>
      </c>
      <c r="D266" s="1032" t="s">
        <v>63</v>
      </c>
      <c r="E266" s="1032" t="s">
        <v>64</v>
      </c>
      <c r="F266" s="1032" t="s">
        <v>310</v>
      </c>
      <c r="G266" s="1032" t="s">
        <v>402</v>
      </c>
      <c r="H266" s="1032" t="s">
        <v>311</v>
      </c>
      <c r="I266" s="1032" t="s">
        <v>689</v>
      </c>
      <c r="J266" s="1032" t="s">
        <v>1342</v>
      </c>
      <c r="M266" s="1032" t="s">
        <v>68</v>
      </c>
      <c r="N266" s="1032">
        <v>46083</v>
      </c>
      <c r="O266" s="1032" t="s">
        <v>473</v>
      </c>
      <c r="P266" s="1032" t="s">
        <v>474</v>
      </c>
      <c r="Q266" s="1032" t="s">
        <v>1319</v>
      </c>
      <c r="R266" s="1032" t="s">
        <v>73</v>
      </c>
      <c r="S266" s="1032" t="s">
        <v>967</v>
      </c>
      <c r="T266" s="1032">
        <v>460</v>
      </c>
      <c r="U266" s="1032">
        <v>3456</v>
      </c>
      <c r="V266" s="1032">
        <v>1.5897600000000001</v>
      </c>
      <c r="W266" s="1032">
        <v>96</v>
      </c>
      <c r="X266" s="1032">
        <v>4</v>
      </c>
      <c r="Y266" s="1032" t="s">
        <v>75</v>
      </c>
      <c r="Z266" s="1032" t="s">
        <v>75</v>
      </c>
      <c r="AB266" s="1033">
        <v>46083</v>
      </c>
      <c r="AC266" s="1032">
        <v>10</v>
      </c>
      <c r="AD266" s="1032" t="s">
        <v>1343</v>
      </c>
      <c r="AF266" s="1032" t="s">
        <v>122</v>
      </c>
      <c r="AG266" s="1032" t="s">
        <v>123</v>
      </c>
      <c r="AH266" s="1032" t="s">
        <v>314</v>
      </c>
      <c r="AI266" s="1033">
        <v>46092</v>
      </c>
      <c r="AJ266" s="1033">
        <v>46094</v>
      </c>
      <c r="AK266" s="1033">
        <v>46094</v>
      </c>
      <c r="AL266" s="1033">
        <v>46138</v>
      </c>
      <c r="AM266" s="1033">
        <v>46148</v>
      </c>
      <c r="AN266" s="1033">
        <v>46148</v>
      </c>
      <c r="AO266" s="1032" t="s">
        <v>402</v>
      </c>
      <c r="AP266" s="1032" t="s">
        <v>1224</v>
      </c>
      <c r="AQ266" s="1032" t="s">
        <v>80</v>
      </c>
      <c r="AR266" s="1032" t="s">
        <v>1344</v>
      </c>
      <c r="AS266" s="1032" t="s">
        <v>1345</v>
      </c>
      <c r="AT266" s="1032" t="s">
        <v>1345</v>
      </c>
      <c r="AU266" s="1032">
        <v>54</v>
      </c>
      <c r="AW266" s="1033">
        <v>46148</v>
      </c>
      <c r="AX266" s="1032" t="s">
        <v>973</v>
      </c>
      <c r="AY266" s="1033">
        <v>46161</v>
      </c>
      <c r="AZ266" s="1032">
        <v>13</v>
      </c>
      <c r="BA266" s="1033">
        <v>46161</v>
      </c>
      <c r="BB266" s="1032">
        <v>2026</v>
      </c>
      <c r="BC266" s="1032">
        <v>5</v>
      </c>
      <c r="BD266" s="1032">
        <v>21</v>
      </c>
      <c r="BE266" s="1032">
        <v>36</v>
      </c>
      <c r="BF266" s="1032">
        <v>864</v>
      </c>
      <c r="BG266" s="1032" t="s">
        <v>85</v>
      </c>
      <c r="BH266" s="1032" t="s">
        <v>86</v>
      </c>
    </row>
    <row r="267" spans="1:60">
      <c r="A267" s="1032" t="s">
        <v>1346</v>
      </c>
      <c r="B267" s="1032" t="s">
        <v>111</v>
      </c>
      <c r="C267" s="1032" t="s">
        <v>203</v>
      </c>
      <c r="D267" s="1032" t="s">
        <v>63</v>
      </c>
      <c r="E267" s="1032" t="s">
        <v>144</v>
      </c>
      <c r="F267" s="1032" t="s">
        <v>145</v>
      </c>
      <c r="G267" s="1032" t="s">
        <v>402</v>
      </c>
      <c r="H267" s="1032" t="s">
        <v>538</v>
      </c>
      <c r="I267" s="1032" t="s">
        <v>882</v>
      </c>
      <c r="J267" s="1032" t="s">
        <v>1232</v>
      </c>
      <c r="K267" s="1032" t="s">
        <v>1233</v>
      </c>
      <c r="M267" s="1032" t="s">
        <v>840</v>
      </c>
      <c r="N267" s="1032">
        <v>46045</v>
      </c>
      <c r="O267" s="1032" t="s">
        <v>1032</v>
      </c>
      <c r="P267" s="1032" t="s">
        <v>1347</v>
      </c>
      <c r="Q267" s="1032" t="s">
        <v>1348</v>
      </c>
      <c r="R267" s="1032" t="s">
        <v>73</v>
      </c>
      <c r="S267" s="1032" t="s">
        <v>992</v>
      </c>
      <c r="T267" s="1032">
        <v>710</v>
      </c>
      <c r="U267" s="1032">
        <v>132</v>
      </c>
      <c r="V267" s="1032">
        <v>9.3719999999999998E-2</v>
      </c>
      <c r="W267" s="1032">
        <v>4</v>
      </c>
      <c r="X267" s="1032">
        <v>0.22222222222222221</v>
      </c>
      <c r="Y267" s="1032" t="s">
        <v>75</v>
      </c>
      <c r="Z267" s="1032" t="s">
        <v>75</v>
      </c>
      <c r="AB267" s="1033">
        <v>46086</v>
      </c>
      <c r="AC267" s="1032">
        <v>10</v>
      </c>
      <c r="AD267" s="1032" t="s">
        <v>1349</v>
      </c>
      <c r="AF267" s="1032" t="s">
        <v>122</v>
      </c>
      <c r="AG267" s="1032" t="s">
        <v>123</v>
      </c>
      <c r="AH267" s="1032" t="s">
        <v>541</v>
      </c>
      <c r="AI267" s="1033">
        <v>46091</v>
      </c>
      <c r="AJ267" s="1033">
        <v>46091</v>
      </c>
      <c r="AK267" s="1033">
        <v>46091</v>
      </c>
      <c r="AL267" s="1033">
        <v>46154</v>
      </c>
      <c r="AM267" s="1033">
        <v>46161</v>
      </c>
      <c r="AN267" s="1033">
        <v>46162</v>
      </c>
      <c r="AO267" s="1032" t="s">
        <v>402</v>
      </c>
      <c r="AP267" s="1032" t="s">
        <v>1350</v>
      </c>
      <c r="AQ267" s="1032" t="s">
        <v>161</v>
      </c>
      <c r="AR267" s="1032" t="s">
        <v>1351</v>
      </c>
      <c r="AS267" s="1032" t="s">
        <v>1352</v>
      </c>
      <c r="AT267" s="1032" t="s">
        <v>1353</v>
      </c>
      <c r="AU267" s="1032">
        <v>71</v>
      </c>
      <c r="AW267" s="1033">
        <v>46162</v>
      </c>
      <c r="AX267" s="1032" t="s">
        <v>973</v>
      </c>
      <c r="AY267" s="1033">
        <v>46167</v>
      </c>
      <c r="AZ267" s="1032">
        <v>0</v>
      </c>
      <c r="BA267" s="1033">
        <v>46162</v>
      </c>
      <c r="BB267" s="1032">
        <v>2026</v>
      </c>
      <c r="BC267" s="1032">
        <v>5</v>
      </c>
      <c r="BD267" s="1032">
        <v>21</v>
      </c>
      <c r="BE267" s="1032">
        <v>33</v>
      </c>
      <c r="BF267" s="1032">
        <v>594</v>
      </c>
      <c r="BG267" s="1032" t="s">
        <v>128</v>
      </c>
      <c r="BH267" s="1032" t="s">
        <v>109</v>
      </c>
    </row>
    <row r="268" spans="1:60">
      <c r="A268" s="1032" t="s">
        <v>1354</v>
      </c>
      <c r="B268" s="1032" t="s">
        <v>111</v>
      </c>
      <c r="C268" s="1032" t="s">
        <v>203</v>
      </c>
      <c r="D268" s="1032" t="s">
        <v>63</v>
      </c>
      <c r="E268" s="1032" t="s">
        <v>144</v>
      </c>
      <c r="F268" s="1032" t="s">
        <v>145</v>
      </c>
      <c r="G268" s="1032" t="s">
        <v>402</v>
      </c>
      <c r="H268" s="1032" t="s">
        <v>538</v>
      </c>
      <c r="I268" s="1032" t="s">
        <v>882</v>
      </c>
      <c r="J268" s="1032" t="s">
        <v>1232</v>
      </c>
      <c r="K268" s="1032" t="s">
        <v>1233</v>
      </c>
      <c r="M268" s="1032" t="s">
        <v>840</v>
      </c>
      <c r="N268" s="1032">
        <v>46045</v>
      </c>
      <c r="O268" s="1032" t="s">
        <v>1032</v>
      </c>
      <c r="P268" s="1032" t="s">
        <v>1355</v>
      </c>
      <c r="Q268" s="1032" t="s">
        <v>1356</v>
      </c>
      <c r="R268" s="1032" t="s">
        <v>73</v>
      </c>
      <c r="S268" s="1032" t="s">
        <v>992</v>
      </c>
      <c r="T268" s="1032">
        <v>715</v>
      </c>
      <c r="U268" s="1032">
        <v>462</v>
      </c>
      <c r="V268" s="1032">
        <v>0.33033000000000001</v>
      </c>
      <c r="W268" s="1032">
        <v>14</v>
      </c>
      <c r="X268" s="1032">
        <v>0.77777777777777779</v>
      </c>
      <c r="Y268" s="1032" t="s">
        <v>75</v>
      </c>
      <c r="Z268" s="1032" t="s">
        <v>75</v>
      </c>
      <c r="AB268" s="1033">
        <v>46086</v>
      </c>
      <c r="AC268" s="1032">
        <v>10</v>
      </c>
      <c r="AD268" s="1032" t="s">
        <v>1357</v>
      </c>
      <c r="AF268" s="1032" t="s">
        <v>122</v>
      </c>
      <c r="AG268" s="1032" t="s">
        <v>123</v>
      </c>
      <c r="AH268" s="1032" t="s">
        <v>541</v>
      </c>
      <c r="AI268" s="1033">
        <v>46091</v>
      </c>
      <c r="AJ268" s="1033">
        <v>46091</v>
      </c>
      <c r="AK268" s="1033">
        <v>46091</v>
      </c>
      <c r="AL268" s="1033">
        <v>46154</v>
      </c>
      <c r="AM268" s="1033">
        <v>46161</v>
      </c>
      <c r="AN268" s="1033">
        <v>46162</v>
      </c>
      <c r="AO268" s="1032" t="s">
        <v>402</v>
      </c>
      <c r="AP268" s="1032" t="s">
        <v>1350</v>
      </c>
      <c r="AQ268" s="1032" t="s">
        <v>161</v>
      </c>
      <c r="AR268" s="1032" t="s">
        <v>1351</v>
      </c>
      <c r="AS268" s="1032" t="s">
        <v>1352</v>
      </c>
      <c r="AT268" s="1032" t="s">
        <v>1353</v>
      </c>
      <c r="AU268" s="1032">
        <v>71</v>
      </c>
      <c r="AW268" s="1033">
        <v>46162</v>
      </c>
      <c r="AX268" s="1032" t="s">
        <v>973</v>
      </c>
      <c r="AY268" s="1033">
        <v>46167</v>
      </c>
      <c r="AZ268" s="1032">
        <v>0</v>
      </c>
      <c r="BA268" s="1033">
        <v>46162</v>
      </c>
      <c r="BB268" s="1032">
        <v>2026</v>
      </c>
      <c r="BC268" s="1032">
        <v>5</v>
      </c>
      <c r="BD268" s="1032">
        <v>21</v>
      </c>
      <c r="BE268" s="1032">
        <v>33</v>
      </c>
      <c r="BF268" s="1032">
        <v>594</v>
      </c>
      <c r="BG268" s="1032" t="s">
        <v>128</v>
      </c>
      <c r="BH268" s="1032" t="s">
        <v>109</v>
      </c>
    </row>
    <row r="269" spans="1:60">
      <c r="A269" s="1032" t="s">
        <v>1358</v>
      </c>
      <c r="B269" s="1032" t="s">
        <v>61</v>
      </c>
      <c r="C269" s="1032" t="s">
        <v>1016</v>
      </c>
      <c r="D269" s="1032" t="s">
        <v>63</v>
      </c>
      <c r="E269" s="1032" t="s">
        <v>64</v>
      </c>
      <c r="F269" s="1032" t="s">
        <v>100</v>
      </c>
      <c r="G269" s="1032" t="s">
        <v>402</v>
      </c>
      <c r="H269" s="1032" t="s">
        <v>67</v>
      </c>
      <c r="I269" s="1032" t="s">
        <v>689</v>
      </c>
      <c r="J269" s="1032" t="s">
        <v>1132</v>
      </c>
      <c r="M269" s="1032" t="s">
        <v>840</v>
      </c>
      <c r="N269" s="1032">
        <v>46069</v>
      </c>
      <c r="O269" s="1032" t="s">
        <v>70</v>
      </c>
      <c r="P269" s="1032" t="s">
        <v>195</v>
      </c>
      <c r="Q269" s="1032" t="s">
        <v>196</v>
      </c>
      <c r="R269" s="1032" t="s">
        <v>73</v>
      </c>
      <c r="S269" s="1032" t="s">
        <v>967</v>
      </c>
      <c r="T269" s="1032">
        <v>450</v>
      </c>
      <c r="U269" s="1032">
        <v>4680</v>
      </c>
      <c r="V269" s="1032">
        <v>2.1059999999999999</v>
      </c>
      <c r="W269" s="1032">
        <v>130</v>
      </c>
      <c r="X269" s="1032">
        <v>5</v>
      </c>
      <c r="Y269" s="1032" t="s">
        <v>75</v>
      </c>
      <c r="Z269" s="1032" t="s">
        <v>75</v>
      </c>
      <c r="AB269" s="1033">
        <v>46084</v>
      </c>
      <c r="AC269" s="1032">
        <v>10</v>
      </c>
      <c r="AD269" s="1032" t="s">
        <v>1359</v>
      </c>
      <c r="AF269" s="1032" t="s">
        <v>77</v>
      </c>
      <c r="AG269" s="1032" t="s">
        <v>61</v>
      </c>
      <c r="AH269" s="1032" t="s">
        <v>105</v>
      </c>
      <c r="AI269" s="1033">
        <v>46088</v>
      </c>
      <c r="AJ269" s="1033">
        <v>46088</v>
      </c>
      <c r="AK269" s="1033">
        <v>46088</v>
      </c>
      <c r="AL269" s="1033">
        <v>46141</v>
      </c>
      <c r="AM269" s="1033">
        <v>46142</v>
      </c>
      <c r="AN269" s="1033">
        <v>46141</v>
      </c>
      <c r="AO269" s="1032" t="s">
        <v>402</v>
      </c>
      <c r="AP269" s="1032" t="s">
        <v>889</v>
      </c>
      <c r="AQ269" s="1032" t="s">
        <v>80</v>
      </c>
      <c r="AR269" s="1032" t="s">
        <v>1360</v>
      </c>
      <c r="AS269" s="1032" t="s">
        <v>1361</v>
      </c>
      <c r="AT269" s="1032" t="s">
        <v>1361</v>
      </c>
      <c r="AU269" s="1032">
        <v>53</v>
      </c>
      <c r="AW269" s="1033">
        <v>46141</v>
      </c>
      <c r="AX269" s="1032" t="s">
        <v>973</v>
      </c>
      <c r="AY269" s="1033">
        <v>46162</v>
      </c>
      <c r="AZ269" s="1032">
        <v>7</v>
      </c>
      <c r="BA269" s="1033">
        <v>46148</v>
      </c>
      <c r="BB269" s="1032">
        <v>2026</v>
      </c>
      <c r="BC269" s="1032">
        <v>5</v>
      </c>
      <c r="BD269" s="1032">
        <v>19</v>
      </c>
      <c r="BE269" s="1032">
        <v>36</v>
      </c>
      <c r="BF269" s="1032">
        <v>936</v>
      </c>
      <c r="BG269" s="1032" t="s">
        <v>85</v>
      </c>
      <c r="BH269" s="1032" t="s">
        <v>109</v>
      </c>
    </row>
    <row r="270" spans="1:60">
      <c r="A270" s="1032" t="s">
        <v>1362</v>
      </c>
      <c r="B270" s="1032" t="s">
        <v>61</v>
      </c>
      <c r="C270" s="1032" t="s">
        <v>1016</v>
      </c>
      <c r="D270" s="1032" t="s">
        <v>63</v>
      </c>
      <c r="E270" s="1032" t="s">
        <v>64</v>
      </c>
      <c r="F270" s="1032" t="s">
        <v>100</v>
      </c>
      <c r="G270" s="1032" t="s">
        <v>402</v>
      </c>
      <c r="H270" s="1032" t="s">
        <v>67</v>
      </c>
      <c r="I270" s="1032" t="s">
        <v>689</v>
      </c>
      <c r="J270" s="1032" t="s">
        <v>1363</v>
      </c>
      <c r="M270" s="1032" t="s">
        <v>68</v>
      </c>
      <c r="N270" s="1032">
        <v>46069</v>
      </c>
      <c r="O270" s="1032" t="s">
        <v>70</v>
      </c>
      <c r="P270" s="1032" t="s">
        <v>195</v>
      </c>
      <c r="Q270" s="1032" t="s">
        <v>196</v>
      </c>
      <c r="R270" s="1032" t="s">
        <v>73</v>
      </c>
      <c r="S270" s="1032" t="s">
        <v>967</v>
      </c>
      <c r="T270" s="1032">
        <v>450</v>
      </c>
      <c r="U270" s="1032">
        <v>1872</v>
      </c>
      <c r="V270" s="1032">
        <v>0.84240000000000004</v>
      </c>
      <c r="W270" s="1032">
        <v>52</v>
      </c>
      <c r="X270" s="1032">
        <v>2</v>
      </c>
      <c r="Y270" s="1032" t="s">
        <v>75</v>
      </c>
      <c r="Z270" s="1032" t="s">
        <v>75</v>
      </c>
      <c r="AB270" s="1033">
        <v>46083</v>
      </c>
      <c r="AC270" s="1032">
        <v>10</v>
      </c>
      <c r="AD270" s="1032" t="s">
        <v>1364</v>
      </c>
      <c r="AF270" s="1032" t="s">
        <v>77</v>
      </c>
      <c r="AG270" s="1032" t="s">
        <v>61</v>
      </c>
      <c r="AH270" s="1032" t="s">
        <v>105</v>
      </c>
      <c r="AI270" s="1033">
        <v>46088</v>
      </c>
      <c r="AJ270" s="1033">
        <v>46088</v>
      </c>
      <c r="AK270" s="1033">
        <v>46088</v>
      </c>
      <c r="AL270" s="1033">
        <v>46133</v>
      </c>
      <c r="AM270" s="1033">
        <v>46142</v>
      </c>
      <c r="AN270" s="1033">
        <v>46141</v>
      </c>
      <c r="AO270" s="1032" t="s">
        <v>402</v>
      </c>
      <c r="AP270" s="1032" t="s">
        <v>889</v>
      </c>
      <c r="AQ270" s="1032" t="s">
        <v>80</v>
      </c>
      <c r="AR270" s="1032" t="s">
        <v>1365</v>
      </c>
      <c r="AS270" s="1032" t="s">
        <v>1366</v>
      </c>
      <c r="AT270" s="1032" t="s">
        <v>1366</v>
      </c>
      <c r="AU270" s="1032">
        <v>53</v>
      </c>
      <c r="AW270" s="1033">
        <v>46141</v>
      </c>
      <c r="AX270" s="1032" t="s">
        <v>973</v>
      </c>
      <c r="AY270" s="1033">
        <v>46162</v>
      </c>
      <c r="AZ270" s="1032">
        <v>7</v>
      </c>
      <c r="BA270" s="1033">
        <v>46148</v>
      </c>
      <c r="BB270" s="1032">
        <v>2026</v>
      </c>
      <c r="BC270" s="1032">
        <v>5</v>
      </c>
      <c r="BD270" s="1032">
        <v>19</v>
      </c>
      <c r="BE270" s="1032">
        <v>36</v>
      </c>
      <c r="BF270" s="1032">
        <v>936</v>
      </c>
      <c r="BG270" s="1032" t="s">
        <v>85</v>
      </c>
      <c r="BH270" s="1032" t="s">
        <v>109</v>
      </c>
    </row>
    <row r="271" spans="1:60">
      <c r="A271" s="1032" t="s">
        <v>1367</v>
      </c>
      <c r="B271" s="1032" t="s">
        <v>61</v>
      </c>
      <c r="C271" s="1032" t="s">
        <v>1016</v>
      </c>
      <c r="D271" s="1032" t="s">
        <v>63</v>
      </c>
      <c r="E271" s="1032" t="s">
        <v>64</v>
      </c>
      <c r="F271" s="1032" t="s">
        <v>100</v>
      </c>
      <c r="G271" s="1032" t="s">
        <v>402</v>
      </c>
      <c r="H271" s="1032" t="s">
        <v>67</v>
      </c>
      <c r="I271" s="1032" t="s">
        <v>689</v>
      </c>
      <c r="J271" s="1032" t="s">
        <v>1368</v>
      </c>
      <c r="M271" s="1032" t="s">
        <v>68</v>
      </c>
      <c r="N271" s="1032">
        <v>46069</v>
      </c>
      <c r="O271" s="1032" t="s">
        <v>70</v>
      </c>
      <c r="P271" s="1032" t="s">
        <v>195</v>
      </c>
      <c r="Q271" s="1032" t="s">
        <v>196</v>
      </c>
      <c r="R271" s="1032" t="s">
        <v>73</v>
      </c>
      <c r="S271" s="1032" t="s">
        <v>967</v>
      </c>
      <c r="T271" s="1032">
        <v>450</v>
      </c>
      <c r="U271" s="1032">
        <v>1872</v>
      </c>
      <c r="V271" s="1032">
        <v>0.84240000000000004</v>
      </c>
      <c r="W271" s="1032">
        <v>52</v>
      </c>
      <c r="X271" s="1032">
        <v>2</v>
      </c>
      <c r="Y271" s="1032" t="s">
        <v>75</v>
      </c>
      <c r="Z271" s="1032" t="s">
        <v>75</v>
      </c>
      <c r="AB271" s="1033">
        <v>46083</v>
      </c>
      <c r="AC271" s="1032">
        <v>10</v>
      </c>
      <c r="AD271" s="1032" t="s">
        <v>1369</v>
      </c>
      <c r="AF271" s="1032" t="s">
        <v>77</v>
      </c>
      <c r="AG271" s="1032" t="s">
        <v>61</v>
      </c>
      <c r="AH271" s="1032" t="s">
        <v>105</v>
      </c>
      <c r="AI271" s="1033">
        <v>46088</v>
      </c>
      <c r="AJ271" s="1033">
        <v>46088</v>
      </c>
      <c r="AK271" s="1033">
        <v>46088</v>
      </c>
      <c r="AL271" s="1033">
        <v>46133</v>
      </c>
      <c r="AM271" s="1033">
        <v>46142</v>
      </c>
      <c r="AN271" s="1033">
        <v>46141</v>
      </c>
      <c r="AO271" s="1032" t="s">
        <v>402</v>
      </c>
      <c r="AP271" s="1032" t="s">
        <v>889</v>
      </c>
      <c r="AQ271" s="1032" t="s">
        <v>80</v>
      </c>
      <c r="AR271" s="1032" t="s">
        <v>1365</v>
      </c>
      <c r="AS271" s="1032" t="s">
        <v>1366</v>
      </c>
      <c r="AT271" s="1032" t="s">
        <v>1366</v>
      </c>
      <c r="AU271" s="1032">
        <v>53</v>
      </c>
      <c r="AW271" s="1033">
        <v>46141</v>
      </c>
      <c r="AX271" s="1032" t="s">
        <v>973</v>
      </c>
      <c r="AY271" s="1033">
        <v>46162</v>
      </c>
      <c r="AZ271" s="1032">
        <v>7</v>
      </c>
      <c r="BA271" s="1033">
        <v>46148</v>
      </c>
      <c r="BB271" s="1032">
        <v>2026</v>
      </c>
      <c r="BC271" s="1032">
        <v>5</v>
      </c>
      <c r="BD271" s="1032">
        <v>19</v>
      </c>
      <c r="BE271" s="1032">
        <v>36</v>
      </c>
      <c r="BF271" s="1032">
        <v>936</v>
      </c>
      <c r="BG271" s="1032" t="s">
        <v>85</v>
      </c>
      <c r="BH271" s="1032" t="s">
        <v>109</v>
      </c>
    </row>
    <row r="272" spans="1:60">
      <c r="A272" s="1032" t="s">
        <v>1370</v>
      </c>
      <c r="B272" s="1032" t="s">
        <v>61</v>
      </c>
      <c r="C272" s="1032" t="s">
        <v>1016</v>
      </c>
      <c r="D272" s="1032" t="s">
        <v>63</v>
      </c>
      <c r="E272" s="1032" t="s">
        <v>64</v>
      </c>
      <c r="F272" s="1032" t="s">
        <v>100</v>
      </c>
      <c r="G272" s="1032" t="s">
        <v>402</v>
      </c>
      <c r="H272" s="1032" t="s">
        <v>67</v>
      </c>
      <c r="I272" s="1032" t="s">
        <v>689</v>
      </c>
      <c r="J272" s="1032" t="s">
        <v>1371</v>
      </c>
      <c r="M272" s="1032" t="s">
        <v>68</v>
      </c>
      <c r="N272" s="1032">
        <v>46069</v>
      </c>
      <c r="O272" s="1032" t="s">
        <v>70</v>
      </c>
      <c r="P272" s="1032" t="s">
        <v>195</v>
      </c>
      <c r="Q272" s="1032" t="s">
        <v>196</v>
      </c>
      <c r="R272" s="1032" t="s">
        <v>73</v>
      </c>
      <c r="S272" s="1032" t="s">
        <v>967</v>
      </c>
      <c r="T272" s="1032">
        <v>450</v>
      </c>
      <c r="U272" s="1032">
        <v>936</v>
      </c>
      <c r="V272" s="1032">
        <v>0.42120000000000002</v>
      </c>
      <c r="W272" s="1032">
        <v>26</v>
      </c>
      <c r="X272" s="1032">
        <v>1</v>
      </c>
      <c r="Y272" s="1032" t="s">
        <v>75</v>
      </c>
      <c r="Z272" s="1032" t="s">
        <v>75</v>
      </c>
      <c r="AB272" s="1033">
        <v>46083</v>
      </c>
      <c r="AC272" s="1032">
        <v>10</v>
      </c>
      <c r="AD272" s="1032" t="s">
        <v>1372</v>
      </c>
      <c r="AF272" s="1032" t="s">
        <v>77</v>
      </c>
      <c r="AG272" s="1032" t="s">
        <v>61</v>
      </c>
      <c r="AH272" s="1032" t="s">
        <v>105</v>
      </c>
      <c r="AI272" s="1033">
        <v>46088</v>
      </c>
      <c r="AJ272" s="1033">
        <v>46088</v>
      </c>
      <c r="AK272" s="1033">
        <v>46088</v>
      </c>
      <c r="AL272" s="1033">
        <v>46133</v>
      </c>
      <c r="AM272" s="1033">
        <v>46142</v>
      </c>
      <c r="AN272" s="1033">
        <v>46141</v>
      </c>
      <c r="AO272" s="1032" t="s">
        <v>402</v>
      </c>
      <c r="AP272" s="1032" t="s">
        <v>889</v>
      </c>
      <c r="AQ272" s="1032" t="s">
        <v>80</v>
      </c>
      <c r="AR272" s="1032" t="s">
        <v>1365</v>
      </c>
      <c r="AS272" s="1032" t="s">
        <v>1366</v>
      </c>
      <c r="AT272" s="1032" t="s">
        <v>1366</v>
      </c>
      <c r="AU272" s="1032">
        <v>53</v>
      </c>
      <c r="AW272" s="1033">
        <v>46141</v>
      </c>
      <c r="AX272" s="1032" t="s">
        <v>973</v>
      </c>
      <c r="AY272" s="1033">
        <v>46162</v>
      </c>
      <c r="AZ272" s="1032">
        <v>7</v>
      </c>
      <c r="BA272" s="1033">
        <v>46148</v>
      </c>
      <c r="BB272" s="1032">
        <v>2026</v>
      </c>
      <c r="BC272" s="1032">
        <v>5</v>
      </c>
      <c r="BD272" s="1032">
        <v>19</v>
      </c>
      <c r="BE272" s="1032">
        <v>36</v>
      </c>
      <c r="BF272" s="1032">
        <v>936</v>
      </c>
      <c r="BG272" s="1032" t="s">
        <v>85</v>
      </c>
      <c r="BH272" s="1032" t="s">
        <v>109</v>
      </c>
    </row>
    <row r="273" spans="1:60">
      <c r="A273" s="1032" t="s">
        <v>1373</v>
      </c>
      <c r="B273" s="1032" t="s">
        <v>61</v>
      </c>
      <c r="C273" s="1032" t="s">
        <v>1149</v>
      </c>
      <c r="D273" s="1032" t="s">
        <v>63</v>
      </c>
      <c r="E273" s="1032" t="s">
        <v>64</v>
      </c>
      <c r="F273" s="1032" t="s">
        <v>100</v>
      </c>
      <c r="G273" s="1032" t="s">
        <v>402</v>
      </c>
      <c r="H273" s="1032" t="s">
        <v>67</v>
      </c>
      <c r="I273" s="1032" t="s">
        <v>689</v>
      </c>
      <c r="J273" s="1032" t="s">
        <v>101</v>
      </c>
      <c r="M273" s="1032" t="s">
        <v>68</v>
      </c>
      <c r="N273" s="1032">
        <v>46048</v>
      </c>
      <c r="O273" s="1032" t="s">
        <v>70</v>
      </c>
      <c r="P273" s="1032" t="s">
        <v>1151</v>
      </c>
      <c r="Q273" s="1032" t="s">
        <v>421</v>
      </c>
      <c r="R273" s="1032" t="s">
        <v>73</v>
      </c>
      <c r="S273" s="1032" t="s">
        <v>967</v>
      </c>
      <c r="T273" s="1032">
        <v>505</v>
      </c>
      <c r="U273" s="1032">
        <v>2592</v>
      </c>
      <c r="V273" s="1032">
        <v>1.3089599999999999</v>
      </c>
      <c r="W273" s="1032">
        <v>72</v>
      </c>
      <c r="X273" s="1032">
        <v>3</v>
      </c>
      <c r="Y273" s="1032" t="s">
        <v>75</v>
      </c>
      <c r="Z273" s="1032" t="s">
        <v>75</v>
      </c>
      <c r="AB273" s="1033">
        <v>46083</v>
      </c>
      <c r="AC273" s="1032">
        <v>10</v>
      </c>
      <c r="AD273" s="1032" t="s">
        <v>1374</v>
      </c>
      <c r="AF273" s="1032" t="s">
        <v>77</v>
      </c>
      <c r="AG273" s="1032" t="s">
        <v>61</v>
      </c>
      <c r="AH273" s="1032" t="s">
        <v>105</v>
      </c>
      <c r="AI273" s="1033">
        <v>46088</v>
      </c>
      <c r="AJ273" s="1033">
        <v>46088</v>
      </c>
      <c r="AK273" s="1033">
        <v>46088</v>
      </c>
      <c r="AL273" s="1033">
        <v>46133</v>
      </c>
      <c r="AM273" s="1033">
        <v>46142</v>
      </c>
      <c r="AN273" s="1033">
        <v>46141</v>
      </c>
      <c r="AO273" s="1032" t="s">
        <v>402</v>
      </c>
      <c r="AP273" s="1032" t="s">
        <v>889</v>
      </c>
      <c r="AQ273" s="1032" t="s">
        <v>80</v>
      </c>
      <c r="AR273" s="1032" t="s">
        <v>1365</v>
      </c>
      <c r="AS273" s="1032" t="s">
        <v>1366</v>
      </c>
      <c r="AT273" s="1032" t="s">
        <v>1366</v>
      </c>
      <c r="AU273" s="1032">
        <v>53</v>
      </c>
      <c r="AW273" s="1033">
        <v>46141</v>
      </c>
      <c r="AX273" s="1032" t="s">
        <v>973</v>
      </c>
      <c r="AY273" s="1033">
        <v>46162</v>
      </c>
      <c r="AZ273" s="1032">
        <v>7</v>
      </c>
      <c r="BA273" s="1033">
        <v>46148</v>
      </c>
      <c r="BB273" s="1032">
        <v>2026</v>
      </c>
      <c r="BC273" s="1032">
        <v>5</v>
      </c>
      <c r="BD273" s="1032">
        <v>19</v>
      </c>
      <c r="BE273" s="1032">
        <v>36</v>
      </c>
      <c r="BF273" s="1032">
        <v>864</v>
      </c>
      <c r="BG273" s="1032" t="s">
        <v>85</v>
      </c>
      <c r="BH273" s="1032" t="s">
        <v>109</v>
      </c>
    </row>
    <row r="274" spans="1:60">
      <c r="A274" s="1032" t="s">
        <v>1375</v>
      </c>
      <c r="B274" s="1032" t="s">
        <v>61</v>
      </c>
      <c r="C274" s="1032" t="s">
        <v>1149</v>
      </c>
      <c r="D274" s="1032" t="s">
        <v>63</v>
      </c>
      <c r="E274" s="1032" t="s">
        <v>64</v>
      </c>
      <c r="F274" s="1032" t="s">
        <v>100</v>
      </c>
      <c r="G274" s="1032" t="s">
        <v>402</v>
      </c>
      <c r="H274" s="1032" t="s">
        <v>67</v>
      </c>
      <c r="I274" s="1032" t="s">
        <v>689</v>
      </c>
      <c r="J274" s="1032" t="s">
        <v>1376</v>
      </c>
      <c r="M274" s="1032" t="s">
        <v>68</v>
      </c>
      <c r="N274" s="1032">
        <v>46048</v>
      </c>
      <c r="O274" s="1032" t="s">
        <v>70</v>
      </c>
      <c r="P274" s="1032" t="s">
        <v>1151</v>
      </c>
      <c r="Q274" s="1032" t="s">
        <v>421</v>
      </c>
      <c r="R274" s="1032" t="s">
        <v>73</v>
      </c>
      <c r="S274" s="1032" t="s">
        <v>967</v>
      </c>
      <c r="T274" s="1032">
        <v>505</v>
      </c>
      <c r="U274" s="1032">
        <v>6912</v>
      </c>
      <c r="V274" s="1032">
        <v>3.4905599999999999</v>
      </c>
      <c r="W274" s="1032">
        <v>192</v>
      </c>
      <c r="X274" s="1032">
        <v>8</v>
      </c>
      <c r="Y274" s="1032" t="s">
        <v>75</v>
      </c>
      <c r="Z274" s="1032" t="s">
        <v>75</v>
      </c>
      <c r="AB274" s="1033">
        <v>46083</v>
      </c>
      <c r="AC274" s="1032">
        <v>10</v>
      </c>
      <c r="AD274" s="1032" t="s">
        <v>1377</v>
      </c>
      <c r="AF274" s="1032" t="s">
        <v>77</v>
      </c>
      <c r="AG274" s="1032" t="s">
        <v>61</v>
      </c>
      <c r="AH274" s="1032" t="s">
        <v>105</v>
      </c>
      <c r="AI274" s="1033">
        <v>46088</v>
      </c>
      <c r="AJ274" s="1033">
        <v>46088</v>
      </c>
      <c r="AK274" s="1033">
        <v>46088</v>
      </c>
      <c r="AL274" s="1033">
        <v>46133</v>
      </c>
      <c r="AM274" s="1033">
        <v>46142</v>
      </c>
      <c r="AN274" s="1033">
        <v>46141</v>
      </c>
      <c r="AO274" s="1032" t="s">
        <v>402</v>
      </c>
      <c r="AP274" s="1032" t="s">
        <v>889</v>
      </c>
      <c r="AQ274" s="1032" t="s">
        <v>80</v>
      </c>
      <c r="AR274" s="1032" t="s">
        <v>1378</v>
      </c>
      <c r="AS274" s="1032" t="s">
        <v>1379</v>
      </c>
      <c r="AT274" s="1032" t="s">
        <v>1379</v>
      </c>
      <c r="AU274" s="1032">
        <v>53</v>
      </c>
      <c r="AW274" s="1033">
        <v>46141</v>
      </c>
      <c r="AX274" s="1032" t="s">
        <v>973</v>
      </c>
      <c r="AY274" s="1033">
        <v>46162</v>
      </c>
      <c r="AZ274" s="1032">
        <v>7</v>
      </c>
      <c r="BA274" s="1033">
        <v>46148</v>
      </c>
      <c r="BB274" s="1032">
        <v>2026</v>
      </c>
      <c r="BC274" s="1032">
        <v>5</v>
      </c>
      <c r="BD274" s="1032">
        <v>19</v>
      </c>
      <c r="BE274" s="1032">
        <v>36</v>
      </c>
      <c r="BF274" s="1032">
        <v>864</v>
      </c>
      <c r="BG274" s="1032" t="s">
        <v>85</v>
      </c>
      <c r="BH274" s="1032" t="s">
        <v>109</v>
      </c>
    </row>
    <row r="275" spans="1:60">
      <c r="A275" s="1032" t="s">
        <v>1380</v>
      </c>
      <c r="B275" s="1032" t="s">
        <v>61</v>
      </c>
      <c r="C275" s="1032" t="s">
        <v>1016</v>
      </c>
      <c r="D275" s="1032" t="s">
        <v>63</v>
      </c>
      <c r="E275" s="1032" t="s">
        <v>144</v>
      </c>
      <c r="F275" s="1032" t="s">
        <v>145</v>
      </c>
      <c r="G275" s="1032" t="s">
        <v>402</v>
      </c>
      <c r="H275" s="1032" t="s">
        <v>1381</v>
      </c>
      <c r="I275" s="1032" t="s">
        <v>689</v>
      </c>
      <c r="J275" s="1032" t="s">
        <v>1270</v>
      </c>
      <c r="K275" s="1032" t="s">
        <v>1382</v>
      </c>
      <c r="M275" s="1032" t="s">
        <v>840</v>
      </c>
      <c r="N275" s="1032">
        <v>46076</v>
      </c>
      <c r="O275" s="1032" t="s">
        <v>70</v>
      </c>
      <c r="P275" s="1032" t="s">
        <v>195</v>
      </c>
      <c r="Q275" s="1032" t="s">
        <v>196</v>
      </c>
      <c r="R275" s="1032" t="s">
        <v>73</v>
      </c>
      <c r="S275" s="1032" t="s">
        <v>967</v>
      </c>
      <c r="T275" s="1032">
        <v>450</v>
      </c>
      <c r="U275" s="1032">
        <v>1872</v>
      </c>
      <c r="V275" s="1032">
        <v>0.84240000000000004</v>
      </c>
      <c r="W275" s="1032">
        <v>52</v>
      </c>
      <c r="X275" s="1032">
        <v>2</v>
      </c>
      <c r="Y275" s="1032" t="s">
        <v>75</v>
      </c>
      <c r="Z275" s="1032" t="s">
        <v>75</v>
      </c>
      <c r="AB275" s="1033">
        <v>46082</v>
      </c>
      <c r="AC275" s="1032">
        <v>9</v>
      </c>
      <c r="AD275" s="1032" t="s">
        <v>1383</v>
      </c>
      <c r="AF275" s="1032" t="s">
        <v>77</v>
      </c>
      <c r="AG275" s="1032" t="s">
        <v>61</v>
      </c>
      <c r="AH275" s="1032" t="s">
        <v>105</v>
      </c>
      <c r="AI275" s="1033">
        <v>46088</v>
      </c>
      <c r="AJ275" s="1033">
        <v>46088</v>
      </c>
      <c r="AK275" s="1033">
        <v>46088</v>
      </c>
      <c r="AL275" s="1033">
        <v>46133</v>
      </c>
      <c r="AM275" s="1033">
        <v>46142</v>
      </c>
      <c r="AN275" s="1033">
        <v>46141</v>
      </c>
      <c r="AO275" s="1032" t="s">
        <v>402</v>
      </c>
      <c r="AP275" s="1032" t="s">
        <v>889</v>
      </c>
      <c r="AQ275" s="1032" t="s">
        <v>80</v>
      </c>
      <c r="AR275" s="1032" t="s">
        <v>1384</v>
      </c>
      <c r="AS275" s="1032" t="s">
        <v>1385</v>
      </c>
      <c r="AT275" s="1032" t="s">
        <v>1386</v>
      </c>
      <c r="AU275" s="1032">
        <v>53</v>
      </c>
      <c r="AW275" s="1033">
        <v>46141</v>
      </c>
      <c r="AX275" s="1032" t="s">
        <v>973</v>
      </c>
      <c r="AY275" s="1033">
        <v>46145</v>
      </c>
      <c r="AZ275" s="1032">
        <v>0</v>
      </c>
      <c r="BA275" s="1033">
        <v>46141</v>
      </c>
      <c r="BB275" s="1032">
        <v>2026</v>
      </c>
      <c r="BC275" s="1032">
        <v>4</v>
      </c>
      <c r="BD275" s="1032">
        <v>18</v>
      </c>
      <c r="BE275" s="1032">
        <v>36</v>
      </c>
      <c r="BF275" s="1032">
        <v>936</v>
      </c>
      <c r="BG275" s="1032" t="s">
        <v>85</v>
      </c>
      <c r="BH275" s="1032" t="s">
        <v>109</v>
      </c>
    </row>
    <row r="276" spans="1:60">
      <c r="A276" s="1032" t="s">
        <v>1387</v>
      </c>
      <c r="B276" s="1032" t="s">
        <v>61</v>
      </c>
      <c r="C276" s="1032" t="s">
        <v>1016</v>
      </c>
      <c r="D276" s="1032" t="s">
        <v>63</v>
      </c>
      <c r="E276" s="1032" t="s">
        <v>64</v>
      </c>
      <c r="F276" s="1032" t="s">
        <v>100</v>
      </c>
      <c r="G276" s="1032" t="s">
        <v>402</v>
      </c>
      <c r="H276" s="1032" t="s">
        <v>67</v>
      </c>
      <c r="I276" s="1032" t="s">
        <v>689</v>
      </c>
      <c r="J276" s="1032" t="s">
        <v>1263</v>
      </c>
      <c r="K276" s="1032" t="s">
        <v>1264</v>
      </c>
      <c r="M276" s="1032" t="s">
        <v>840</v>
      </c>
      <c r="N276" s="1032">
        <v>46076</v>
      </c>
      <c r="O276" s="1032" t="s">
        <v>70</v>
      </c>
      <c r="P276" s="1032" t="s">
        <v>195</v>
      </c>
      <c r="Q276" s="1032" t="s">
        <v>196</v>
      </c>
      <c r="R276" s="1032" t="s">
        <v>73</v>
      </c>
      <c r="S276" s="1032" t="s">
        <v>967</v>
      </c>
      <c r="T276" s="1032">
        <v>450</v>
      </c>
      <c r="U276" s="1032">
        <v>2808</v>
      </c>
      <c r="V276" s="1032">
        <v>1.2636000000000001</v>
      </c>
      <c r="W276" s="1032">
        <v>78</v>
      </c>
      <c r="X276" s="1032">
        <v>3</v>
      </c>
      <c r="Y276" s="1032" t="s">
        <v>75</v>
      </c>
      <c r="Z276" s="1032" t="s">
        <v>75</v>
      </c>
      <c r="AB276" s="1033">
        <v>46082</v>
      </c>
      <c r="AC276" s="1032">
        <v>9</v>
      </c>
      <c r="AD276" s="1032" t="s">
        <v>1388</v>
      </c>
      <c r="AF276" s="1032" t="s">
        <v>77</v>
      </c>
      <c r="AG276" s="1032" t="s">
        <v>61</v>
      </c>
      <c r="AH276" s="1032" t="s">
        <v>105</v>
      </c>
      <c r="AI276" s="1033">
        <v>46088</v>
      </c>
      <c r="AJ276" s="1033">
        <v>46088</v>
      </c>
      <c r="AK276" s="1033">
        <v>46088</v>
      </c>
      <c r="AL276" s="1033">
        <v>46133</v>
      </c>
      <c r="AM276" s="1033">
        <v>46142</v>
      </c>
      <c r="AN276" s="1033">
        <v>46141</v>
      </c>
      <c r="AO276" s="1032" t="s">
        <v>402</v>
      </c>
      <c r="AP276" s="1032" t="s">
        <v>889</v>
      </c>
      <c r="AQ276" s="1032" t="s">
        <v>80</v>
      </c>
      <c r="AR276" s="1032" t="s">
        <v>1384</v>
      </c>
      <c r="AS276" s="1032" t="s">
        <v>1386</v>
      </c>
      <c r="AT276" s="1032" t="s">
        <v>1386</v>
      </c>
      <c r="AU276" s="1032">
        <v>53</v>
      </c>
      <c r="AW276" s="1033">
        <v>46141</v>
      </c>
      <c r="AX276" s="1032" t="s">
        <v>973</v>
      </c>
      <c r="AY276" s="1033">
        <v>46153</v>
      </c>
      <c r="AZ276" s="1032">
        <v>7</v>
      </c>
      <c r="BA276" s="1033">
        <v>46148</v>
      </c>
      <c r="BB276" s="1032">
        <v>2026</v>
      </c>
      <c r="BC276" s="1032">
        <v>5</v>
      </c>
      <c r="BD276" s="1032">
        <v>19</v>
      </c>
      <c r="BE276" s="1032">
        <v>36</v>
      </c>
      <c r="BF276" s="1032">
        <v>936</v>
      </c>
      <c r="BG276" s="1032" t="s">
        <v>85</v>
      </c>
      <c r="BH276" s="1032" t="s">
        <v>109</v>
      </c>
    </row>
    <row r="277" spans="1:60">
      <c r="A277" s="1032" t="s">
        <v>1389</v>
      </c>
      <c r="B277" s="1032" t="s">
        <v>61</v>
      </c>
      <c r="C277" s="1032" t="s">
        <v>1016</v>
      </c>
      <c r="D277" s="1032" t="s">
        <v>63</v>
      </c>
      <c r="E277" s="1032" t="s">
        <v>144</v>
      </c>
      <c r="F277" s="1032" t="s">
        <v>145</v>
      </c>
      <c r="G277" s="1032" t="s">
        <v>402</v>
      </c>
      <c r="H277" s="1032" t="s">
        <v>1381</v>
      </c>
      <c r="I277" s="1032" t="s">
        <v>689</v>
      </c>
      <c r="J277" s="1032" t="s">
        <v>1270</v>
      </c>
      <c r="K277" s="1032" t="s">
        <v>1382</v>
      </c>
      <c r="M277" s="1032" t="s">
        <v>840</v>
      </c>
      <c r="N277" s="1032">
        <v>46076</v>
      </c>
      <c r="O277" s="1032" t="s">
        <v>70</v>
      </c>
      <c r="P277" s="1032" t="s">
        <v>195</v>
      </c>
      <c r="Q277" s="1032" t="s">
        <v>196</v>
      </c>
      <c r="R277" s="1032" t="s">
        <v>73</v>
      </c>
      <c r="S277" s="1032" t="s">
        <v>967</v>
      </c>
      <c r="T277" s="1032">
        <v>450</v>
      </c>
      <c r="U277" s="1032">
        <v>4680</v>
      </c>
      <c r="V277" s="1032">
        <v>2.1059999999999999</v>
      </c>
      <c r="W277" s="1032">
        <v>130</v>
      </c>
      <c r="X277" s="1032">
        <v>5</v>
      </c>
      <c r="Y277" s="1032" t="s">
        <v>75</v>
      </c>
      <c r="Z277" s="1032" t="s">
        <v>75</v>
      </c>
      <c r="AB277" s="1033">
        <v>46082</v>
      </c>
      <c r="AC277" s="1032">
        <v>9</v>
      </c>
      <c r="AD277" s="1032" t="s">
        <v>1383</v>
      </c>
      <c r="AF277" s="1032" t="s">
        <v>77</v>
      </c>
      <c r="AG277" s="1032" t="s">
        <v>61</v>
      </c>
      <c r="AH277" s="1032" t="s">
        <v>105</v>
      </c>
      <c r="AI277" s="1033">
        <v>46088</v>
      </c>
      <c r="AJ277" s="1033">
        <v>46088</v>
      </c>
      <c r="AK277" s="1033">
        <v>46088</v>
      </c>
      <c r="AL277" s="1033">
        <v>46133</v>
      </c>
      <c r="AM277" s="1033">
        <v>46142</v>
      </c>
      <c r="AN277" s="1033">
        <v>46141</v>
      </c>
      <c r="AO277" s="1032" t="s">
        <v>402</v>
      </c>
      <c r="AP277" s="1032" t="s">
        <v>889</v>
      </c>
      <c r="AQ277" s="1032" t="s">
        <v>80</v>
      </c>
      <c r="AR277" s="1032" t="s">
        <v>1384</v>
      </c>
      <c r="AS277" s="1032" t="s">
        <v>1385</v>
      </c>
      <c r="AT277" s="1032" t="s">
        <v>1385</v>
      </c>
      <c r="AU277" s="1032">
        <v>53</v>
      </c>
      <c r="AW277" s="1033">
        <v>46141</v>
      </c>
      <c r="AX277" s="1032" t="s">
        <v>973</v>
      </c>
      <c r="AY277" s="1033">
        <v>46145</v>
      </c>
      <c r="AZ277" s="1032">
        <v>0</v>
      </c>
      <c r="BA277" s="1033">
        <v>46141</v>
      </c>
      <c r="BB277" s="1032">
        <v>2026</v>
      </c>
      <c r="BC277" s="1032">
        <v>4</v>
      </c>
      <c r="BD277" s="1032">
        <v>18</v>
      </c>
      <c r="BE277" s="1032">
        <v>36</v>
      </c>
      <c r="BF277" s="1032">
        <v>936</v>
      </c>
      <c r="BG277" s="1032" t="s">
        <v>85</v>
      </c>
      <c r="BH277" s="1032" t="s">
        <v>109</v>
      </c>
    </row>
    <row r="278" spans="1:60">
      <c r="A278" s="1032" t="s">
        <v>1390</v>
      </c>
      <c r="B278" s="1032" t="s">
        <v>61</v>
      </c>
      <c r="C278" s="1032" t="s">
        <v>1176</v>
      </c>
      <c r="D278" s="1032" t="s">
        <v>113</v>
      </c>
      <c r="E278" s="1032" t="s">
        <v>64</v>
      </c>
      <c r="F278" s="1032" t="s">
        <v>65</v>
      </c>
      <c r="G278" s="1032" t="s">
        <v>402</v>
      </c>
      <c r="H278" s="1032" t="s">
        <v>67</v>
      </c>
      <c r="I278" s="1032" t="s">
        <v>822</v>
      </c>
      <c r="J278" s="1032" t="s">
        <v>1177</v>
      </c>
      <c r="M278" s="1032" t="s">
        <v>68</v>
      </c>
      <c r="N278" s="1032">
        <v>46045</v>
      </c>
      <c r="O278" s="1032" t="s">
        <v>713</v>
      </c>
      <c r="P278" s="1032" t="s">
        <v>714</v>
      </c>
      <c r="Q278" s="1032" t="s">
        <v>1173</v>
      </c>
      <c r="R278" s="1032" t="s">
        <v>73</v>
      </c>
      <c r="S278" s="1032" t="s">
        <v>1166</v>
      </c>
      <c r="T278" s="1032">
        <v>625</v>
      </c>
      <c r="U278" s="1032">
        <v>7488</v>
      </c>
      <c r="V278" s="1032">
        <v>4.68</v>
      </c>
      <c r="W278" s="1032">
        <v>208</v>
      </c>
      <c r="X278" s="1032">
        <v>13</v>
      </c>
      <c r="Y278" s="1032" t="s">
        <v>75</v>
      </c>
      <c r="Z278" s="1032" t="s">
        <v>75</v>
      </c>
      <c r="AB278" s="1033">
        <v>46086</v>
      </c>
      <c r="AC278" s="1032">
        <v>10</v>
      </c>
      <c r="AD278" s="1032" t="s">
        <v>1391</v>
      </c>
      <c r="AF278" s="1032" t="s">
        <v>77</v>
      </c>
      <c r="AG278" s="1032" t="s">
        <v>61</v>
      </c>
      <c r="AH278" s="1032" t="s">
        <v>356</v>
      </c>
      <c r="AI278" s="1033">
        <v>46091</v>
      </c>
      <c r="AJ278" s="1033">
        <v>46091</v>
      </c>
      <c r="AK278" s="1033">
        <v>46091</v>
      </c>
      <c r="AL278" s="1033">
        <v>46140</v>
      </c>
      <c r="AM278" s="1033">
        <v>46140</v>
      </c>
      <c r="AN278" s="1033">
        <v>46140</v>
      </c>
      <c r="AO278" s="1032" t="s">
        <v>402</v>
      </c>
      <c r="AP278" s="1032" t="s">
        <v>1392</v>
      </c>
      <c r="AQ278" s="1032" t="s">
        <v>161</v>
      </c>
      <c r="AR278" s="1032" t="s">
        <v>1393</v>
      </c>
      <c r="AS278" s="1032">
        <v>273285388</v>
      </c>
      <c r="AT278" s="1032">
        <v>273285388</v>
      </c>
      <c r="AU278" s="1032">
        <v>49</v>
      </c>
      <c r="AW278" s="1033">
        <v>46140</v>
      </c>
      <c r="AX278" s="1032" t="s">
        <v>973</v>
      </c>
      <c r="AY278" s="1033">
        <v>46152</v>
      </c>
      <c r="AZ278" s="1032">
        <v>8</v>
      </c>
      <c r="BA278" s="1033">
        <v>46148</v>
      </c>
      <c r="BB278" s="1032">
        <v>2026</v>
      </c>
      <c r="BC278" s="1032">
        <v>5</v>
      </c>
      <c r="BD278" s="1032">
        <v>19</v>
      </c>
      <c r="BE278" s="1032">
        <v>36</v>
      </c>
      <c r="BF278" s="1032">
        <v>576</v>
      </c>
      <c r="BG278" s="1032" t="s">
        <v>108</v>
      </c>
      <c r="BH278" s="1032" t="s">
        <v>109</v>
      </c>
    </row>
    <row r="279" spans="1:60">
      <c r="A279" s="1032" t="s">
        <v>1394</v>
      </c>
      <c r="B279" s="1032" t="s">
        <v>61</v>
      </c>
      <c r="C279" s="1032" t="s">
        <v>1149</v>
      </c>
      <c r="D279" s="1032" t="s">
        <v>63</v>
      </c>
      <c r="E279" s="1032" t="s">
        <v>64</v>
      </c>
      <c r="F279" s="1032" t="s">
        <v>65</v>
      </c>
      <c r="G279" s="1032" t="s">
        <v>402</v>
      </c>
      <c r="H279" s="1032" t="s">
        <v>67</v>
      </c>
      <c r="I279" s="1032" t="s">
        <v>1395</v>
      </c>
      <c r="J279" s="1032" t="s">
        <v>96</v>
      </c>
      <c r="M279" s="1032" t="s">
        <v>68</v>
      </c>
      <c r="N279" s="1032">
        <v>46048</v>
      </c>
      <c r="O279" s="1032" t="s">
        <v>70</v>
      </c>
      <c r="P279" s="1032" t="s">
        <v>1151</v>
      </c>
      <c r="Q279" s="1032" t="s">
        <v>421</v>
      </c>
      <c r="R279" s="1032" t="s">
        <v>73</v>
      </c>
      <c r="S279" s="1032" t="s">
        <v>967</v>
      </c>
      <c r="T279" s="1032">
        <v>505</v>
      </c>
      <c r="U279" s="1032">
        <v>4320</v>
      </c>
      <c r="V279" s="1032">
        <v>2.1816</v>
      </c>
      <c r="W279" s="1032">
        <v>120</v>
      </c>
      <c r="X279" s="1032">
        <v>5</v>
      </c>
      <c r="Y279" s="1032" t="s">
        <v>951</v>
      </c>
      <c r="Z279" s="1032" t="s">
        <v>75</v>
      </c>
      <c r="AB279" s="1033">
        <v>46083</v>
      </c>
      <c r="AC279" s="1032">
        <v>10</v>
      </c>
      <c r="AD279" s="1032" t="s">
        <v>1396</v>
      </c>
      <c r="AF279" s="1032" t="s">
        <v>77</v>
      </c>
      <c r="AG279" s="1032" t="s">
        <v>61</v>
      </c>
      <c r="AH279" s="1032" t="s">
        <v>78</v>
      </c>
      <c r="AI279" s="1033">
        <v>46088</v>
      </c>
      <c r="AJ279" s="1033">
        <v>46088</v>
      </c>
      <c r="AK279" s="1033">
        <v>46088</v>
      </c>
      <c r="AL279" s="1033">
        <v>46153</v>
      </c>
      <c r="AM279" s="1033">
        <v>46184</v>
      </c>
      <c r="AN279" s="1033">
        <v>46184</v>
      </c>
      <c r="AO279" s="1032" t="s">
        <v>402</v>
      </c>
      <c r="AP279" s="1032" t="s">
        <v>889</v>
      </c>
      <c r="AQ279" s="1032" t="s">
        <v>80</v>
      </c>
      <c r="AR279" s="1032" t="s">
        <v>1397</v>
      </c>
      <c r="AS279" s="1032" t="s">
        <v>1398</v>
      </c>
      <c r="AT279" s="1032" t="s">
        <v>1398</v>
      </c>
      <c r="AU279" s="1032">
        <v>96</v>
      </c>
      <c r="AW279" s="1033">
        <v>46184</v>
      </c>
      <c r="AX279" s="1032" t="s">
        <v>973</v>
      </c>
      <c r="AY279" s="1033">
        <v>46198</v>
      </c>
      <c r="AZ279" s="1032">
        <v>8</v>
      </c>
      <c r="BA279" s="1033">
        <v>46192</v>
      </c>
      <c r="BB279" s="1032">
        <v>2026</v>
      </c>
      <c r="BC279" s="1032">
        <v>6</v>
      </c>
      <c r="BD279" s="1032">
        <v>25</v>
      </c>
      <c r="BE279" s="1032">
        <v>36</v>
      </c>
      <c r="BF279" s="1032">
        <v>864</v>
      </c>
      <c r="BG279" s="1032" t="s">
        <v>85</v>
      </c>
      <c r="BH279" s="1032" t="s">
        <v>86</v>
      </c>
    </row>
    <row r="280" spans="1:60">
      <c r="A280" s="1032" t="s">
        <v>1399</v>
      </c>
      <c r="B280" s="1032" t="s">
        <v>111</v>
      </c>
      <c r="C280" s="1032" t="s">
        <v>1400</v>
      </c>
      <c r="D280" s="1032" t="s">
        <v>113</v>
      </c>
      <c r="E280" s="1032" t="s">
        <v>144</v>
      </c>
      <c r="F280" s="1032" t="s">
        <v>145</v>
      </c>
      <c r="G280" s="1032" t="s">
        <v>156</v>
      </c>
      <c r="H280" s="1032" t="s">
        <v>68</v>
      </c>
      <c r="I280" s="1032" t="s">
        <v>68</v>
      </c>
      <c r="J280" s="1032" t="s">
        <v>1401</v>
      </c>
      <c r="K280" s="1032" t="s">
        <v>1402</v>
      </c>
      <c r="M280" s="1032" t="s">
        <v>68</v>
      </c>
      <c r="N280" s="1032">
        <v>46076</v>
      </c>
      <c r="O280" s="1032" t="s">
        <v>70</v>
      </c>
      <c r="P280" s="1032" t="s">
        <v>329</v>
      </c>
      <c r="Q280" s="1032" t="s">
        <v>330</v>
      </c>
      <c r="R280" s="1032" t="s">
        <v>331</v>
      </c>
      <c r="S280" s="1032" t="s">
        <v>992</v>
      </c>
      <c r="T280" s="1032">
        <v>625</v>
      </c>
      <c r="U280" s="1032">
        <v>12240</v>
      </c>
      <c r="V280" s="1032">
        <v>7.65</v>
      </c>
      <c r="W280" s="1032">
        <v>340</v>
      </c>
      <c r="X280" s="1032">
        <v>17</v>
      </c>
      <c r="Y280" s="1032" t="s">
        <v>75</v>
      </c>
      <c r="Z280" s="1032" t="s">
        <v>75</v>
      </c>
      <c r="AB280" s="1033">
        <v>46089</v>
      </c>
      <c r="AC280" s="1032">
        <v>10</v>
      </c>
      <c r="AD280" s="1032" t="s">
        <v>1403</v>
      </c>
      <c r="AF280" s="1032" t="s">
        <v>122</v>
      </c>
      <c r="AG280" s="1032" t="s">
        <v>123</v>
      </c>
      <c r="AH280" s="1032" t="s">
        <v>1404</v>
      </c>
      <c r="AI280" s="1033">
        <v>46092</v>
      </c>
      <c r="AJ280" s="1033">
        <v>46098</v>
      </c>
      <c r="AK280" s="1033">
        <v>46098</v>
      </c>
      <c r="AL280" s="1033">
        <v>46146</v>
      </c>
      <c r="AM280" s="1033">
        <v>46160</v>
      </c>
      <c r="AN280" s="1033">
        <v>46158</v>
      </c>
      <c r="AO280" s="1032" t="s">
        <v>156</v>
      </c>
      <c r="AP280" s="1032" t="s">
        <v>1405</v>
      </c>
      <c r="AQ280" s="1032" t="s">
        <v>161</v>
      </c>
      <c r="AR280" s="1032" t="s">
        <v>1406</v>
      </c>
      <c r="AS280" s="1032" t="s">
        <v>1407</v>
      </c>
      <c r="AT280" s="1032" t="s">
        <v>1408</v>
      </c>
      <c r="AU280" s="1032">
        <v>60</v>
      </c>
      <c r="AW280" s="1033">
        <v>46158</v>
      </c>
      <c r="AX280" s="1032" t="s">
        <v>973</v>
      </c>
      <c r="AY280" s="1033">
        <v>46159</v>
      </c>
      <c r="AZ280" s="1032">
        <v>0</v>
      </c>
      <c r="BA280" s="1033">
        <v>46158</v>
      </c>
      <c r="BB280" s="1032">
        <v>2026</v>
      </c>
      <c r="BC280" s="1032">
        <v>5</v>
      </c>
      <c r="BD280" s="1032">
        <v>20</v>
      </c>
      <c r="BE280" s="1032">
        <v>36</v>
      </c>
      <c r="BF280" s="1032">
        <v>720</v>
      </c>
      <c r="BG280" s="1032" t="s">
        <v>128</v>
      </c>
      <c r="BH280" s="1032" t="s">
        <v>68</v>
      </c>
    </row>
    <row r="281" spans="1:60">
      <c r="A281" s="1032" t="s">
        <v>1409</v>
      </c>
      <c r="B281" s="1032" t="s">
        <v>111</v>
      </c>
      <c r="C281" s="1032" t="s">
        <v>1410</v>
      </c>
      <c r="D281" s="1032" t="s">
        <v>113</v>
      </c>
      <c r="E281" s="1032" t="s">
        <v>144</v>
      </c>
      <c r="F281" s="1032" t="s">
        <v>145</v>
      </c>
      <c r="G281" s="1032" t="s">
        <v>156</v>
      </c>
      <c r="H281" s="1032" t="s">
        <v>68</v>
      </c>
      <c r="I281" s="1032" t="s">
        <v>68</v>
      </c>
      <c r="J281" s="1032" t="s">
        <v>1401</v>
      </c>
      <c r="K281" s="1032" t="s">
        <v>1402</v>
      </c>
      <c r="M281" s="1032" t="s">
        <v>68</v>
      </c>
      <c r="N281" s="1032">
        <v>46076</v>
      </c>
      <c r="O281" s="1032" t="s">
        <v>70</v>
      </c>
      <c r="P281" s="1032" t="s">
        <v>585</v>
      </c>
      <c r="Q281" s="1032" t="s">
        <v>103</v>
      </c>
      <c r="R281" s="1032" t="s">
        <v>331</v>
      </c>
      <c r="S281" s="1032" t="s">
        <v>992</v>
      </c>
      <c r="T281" s="1032">
        <v>620</v>
      </c>
      <c r="U281" s="1032">
        <v>12240</v>
      </c>
      <c r="V281" s="1032">
        <v>7.5888</v>
      </c>
      <c r="W281" s="1032">
        <v>340</v>
      </c>
      <c r="X281" s="1032">
        <v>17</v>
      </c>
      <c r="Y281" s="1032" t="s">
        <v>75</v>
      </c>
      <c r="Z281" s="1032" t="s">
        <v>75</v>
      </c>
      <c r="AB281" s="1033">
        <v>46087</v>
      </c>
      <c r="AC281" s="1032">
        <v>10</v>
      </c>
      <c r="AD281" s="1032" t="s">
        <v>1411</v>
      </c>
      <c r="AF281" s="1032" t="s">
        <v>122</v>
      </c>
      <c r="AG281" s="1032" t="s">
        <v>123</v>
      </c>
      <c r="AH281" s="1032" t="s">
        <v>1404</v>
      </c>
      <c r="AI281" s="1033">
        <v>46092</v>
      </c>
      <c r="AJ281" s="1033">
        <v>46098</v>
      </c>
      <c r="AK281" s="1033">
        <v>46098</v>
      </c>
      <c r="AL281" s="1033">
        <v>46146</v>
      </c>
      <c r="AM281" s="1033">
        <v>46160</v>
      </c>
      <c r="AN281" s="1033">
        <v>46160</v>
      </c>
      <c r="AO281" s="1032" t="s">
        <v>156</v>
      </c>
      <c r="AP281" s="1032" t="s">
        <v>1405</v>
      </c>
      <c r="AQ281" s="1032" t="s">
        <v>161</v>
      </c>
      <c r="AR281" s="1032" t="s">
        <v>1412</v>
      </c>
      <c r="AS281" s="1032" t="s">
        <v>1413</v>
      </c>
      <c r="AT281" s="1032" t="s">
        <v>1414</v>
      </c>
      <c r="AU281" s="1032">
        <v>62</v>
      </c>
      <c r="AW281" s="1033">
        <v>46160</v>
      </c>
      <c r="AX281" s="1032" t="s">
        <v>973</v>
      </c>
      <c r="AY281" s="1033">
        <v>46159</v>
      </c>
      <c r="AZ281" s="1032">
        <v>0</v>
      </c>
      <c r="BA281" s="1033">
        <v>46160</v>
      </c>
      <c r="BB281" s="1032">
        <v>2026</v>
      </c>
      <c r="BC281" s="1032">
        <v>5</v>
      </c>
      <c r="BD281" s="1032">
        <v>21</v>
      </c>
      <c r="BE281" s="1032">
        <v>36</v>
      </c>
      <c r="BF281" s="1032">
        <v>720</v>
      </c>
      <c r="BG281" s="1032" t="s">
        <v>128</v>
      </c>
      <c r="BH281" s="1032" t="s">
        <v>68</v>
      </c>
    </row>
    <row r="282" spans="1:60">
      <c r="A282" s="1032" t="s">
        <v>1415</v>
      </c>
      <c r="B282" s="1032" t="s">
        <v>111</v>
      </c>
      <c r="C282" s="1032" t="s">
        <v>1400</v>
      </c>
      <c r="D282" s="1032" t="s">
        <v>113</v>
      </c>
      <c r="E282" s="1032" t="s">
        <v>144</v>
      </c>
      <c r="F282" s="1032" t="s">
        <v>145</v>
      </c>
      <c r="G282" s="1032" t="s">
        <v>156</v>
      </c>
      <c r="H282" s="1032" t="s">
        <v>68</v>
      </c>
      <c r="I282" s="1032" t="s">
        <v>68</v>
      </c>
      <c r="J282" s="1032" t="s">
        <v>1401</v>
      </c>
      <c r="K282" s="1032" t="s">
        <v>1402</v>
      </c>
      <c r="M282" s="1032" t="s">
        <v>68</v>
      </c>
      <c r="N282" s="1032">
        <v>46076</v>
      </c>
      <c r="O282" s="1032" t="s">
        <v>70</v>
      </c>
      <c r="P282" s="1032" t="s">
        <v>329</v>
      </c>
      <c r="Q282" s="1032" t="s">
        <v>330</v>
      </c>
      <c r="R282" s="1032" t="s">
        <v>331</v>
      </c>
      <c r="S282" s="1032" t="s">
        <v>992</v>
      </c>
      <c r="T282" s="1032">
        <v>625</v>
      </c>
      <c r="U282" s="1032">
        <v>12240</v>
      </c>
      <c r="V282" s="1032">
        <v>7.65</v>
      </c>
      <c r="W282" s="1032">
        <v>340</v>
      </c>
      <c r="X282" s="1032">
        <v>17</v>
      </c>
      <c r="Y282" s="1032" t="s">
        <v>75</v>
      </c>
      <c r="Z282" s="1032" t="s">
        <v>75</v>
      </c>
      <c r="AB282" s="1033">
        <v>46094</v>
      </c>
      <c r="AC282" s="1032">
        <v>11</v>
      </c>
      <c r="AD282" s="1032" t="s">
        <v>1416</v>
      </c>
      <c r="AF282" s="1032" t="s">
        <v>122</v>
      </c>
      <c r="AG282" s="1032" t="s">
        <v>123</v>
      </c>
      <c r="AH282" s="1032" t="s">
        <v>1404</v>
      </c>
      <c r="AI282" s="1033">
        <v>46099</v>
      </c>
      <c r="AJ282" s="1033">
        <v>46101</v>
      </c>
      <c r="AK282" s="1033">
        <v>46105</v>
      </c>
      <c r="AL282" s="1033">
        <v>46154</v>
      </c>
      <c r="AM282" s="1033">
        <v>46172</v>
      </c>
      <c r="AN282" s="1033">
        <v>46172</v>
      </c>
      <c r="AO282" s="1032" t="s">
        <v>156</v>
      </c>
      <c r="AP282" s="1032" t="s">
        <v>1417</v>
      </c>
      <c r="AQ282" s="1032" t="s">
        <v>161</v>
      </c>
      <c r="AR282" s="1032" t="s">
        <v>1418</v>
      </c>
      <c r="AS282" s="1032" t="s">
        <v>1419</v>
      </c>
      <c r="AT282" s="1032" t="s">
        <v>1420</v>
      </c>
      <c r="AU282" s="1032">
        <v>67</v>
      </c>
      <c r="AW282" s="1033">
        <v>46172</v>
      </c>
      <c r="AX282" s="1032" t="s">
        <v>973</v>
      </c>
      <c r="AY282" s="1033">
        <v>46167</v>
      </c>
      <c r="AZ282" s="1032">
        <v>0</v>
      </c>
      <c r="BA282" s="1033">
        <v>46172</v>
      </c>
      <c r="BB282" s="1032">
        <v>2026</v>
      </c>
      <c r="BC282" s="1032">
        <v>5</v>
      </c>
      <c r="BD282" s="1032">
        <v>22</v>
      </c>
      <c r="BE282" s="1032">
        <v>36</v>
      </c>
      <c r="BF282" s="1032">
        <v>720</v>
      </c>
      <c r="BG282" s="1032" t="s">
        <v>128</v>
      </c>
      <c r="BH282" s="1032" t="s">
        <v>68</v>
      </c>
    </row>
    <row r="283" spans="1:60">
      <c r="A283" s="1032" t="s">
        <v>1421</v>
      </c>
      <c r="B283" s="1032" t="s">
        <v>111</v>
      </c>
      <c r="C283" s="1032" t="s">
        <v>1410</v>
      </c>
      <c r="D283" s="1032" t="s">
        <v>113</v>
      </c>
      <c r="E283" s="1032" t="s">
        <v>144</v>
      </c>
      <c r="F283" s="1032" t="s">
        <v>145</v>
      </c>
      <c r="G283" s="1032" t="s">
        <v>156</v>
      </c>
      <c r="H283" s="1032" t="s">
        <v>68</v>
      </c>
      <c r="I283" s="1032" t="s">
        <v>68</v>
      </c>
      <c r="J283" s="1032" t="s">
        <v>1401</v>
      </c>
      <c r="K283" s="1032" t="s">
        <v>1402</v>
      </c>
      <c r="M283" s="1032" t="s">
        <v>68</v>
      </c>
      <c r="N283" s="1032">
        <v>46076</v>
      </c>
      <c r="O283" s="1032" t="s">
        <v>70</v>
      </c>
      <c r="P283" s="1032" t="s">
        <v>585</v>
      </c>
      <c r="Q283" s="1032" t="s">
        <v>103</v>
      </c>
      <c r="R283" s="1032" t="s">
        <v>331</v>
      </c>
      <c r="S283" s="1032" t="s">
        <v>992</v>
      </c>
      <c r="T283" s="1032">
        <v>620</v>
      </c>
      <c r="U283" s="1032">
        <v>12240</v>
      </c>
      <c r="V283" s="1032">
        <v>7.5888</v>
      </c>
      <c r="W283" s="1032">
        <v>340</v>
      </c>
      <c r="X283" s="1032">
        <v>17</v>
      </c>
      <c r="Y283" s="1032" t="s">
        <v>75</v>
      </c>
      <c r="Z283" s="1032" t="s">
        <v>75</v>
      </c>
      <c r="AB283" s="1033">
        <v>46095</v>
      </c>
      <c r="AC283" s="1032">
        <v>11</v>
      </c>
      <c r="AD283" s="1032" t="s">
        <v>1422</v>
      </c>
      <c r="AF283" s="1032" t="s">
        <v>122</v>
      </c>
      <c r="AG283" s="1032" t="s">
        <v>123</v>
      </c>
      <c r="AH283" s="1032" t="s">
        <v>1404</v>
      </c>
      <c r="AI283" s="1033">
        <v>46099</v>
      </c>
      <c r="AJ283" s="1033">
        <v>46101</v>
      </c>
      <c r="AK283" s="1033">
        <v>46105</v>
      </c>
      <c r="AL283" s="1033">
        <v>46154</v>
      </c>
      <c r="AM283" s="1033">
        <v>46172</v>
      </c>
      <c r="AN283" s="1033">
        <v>46172</v>
      </c>
      <c r="AO283" s="1032" t="s">
        <v>156</v>
      </c>
      <c r="AP283" s="1032" t="s">
        <v>1417</v>
      </c>
      <c r="AQ283" s="1032" t="s">
        <v>161</v>
      </c>
      <c r="AR283" s="1032" t="s">
        <v>1423</v>
      </c>
      <c r="AS283" s="1032" t="s">
        <v>1424</v>
      </c>
      <c r="AT283" s="1032" t="s">
        <v>1425</v>
      </c>
      <c r="AU283" s="1032">
        <v>67</v>
      </c>
      <c r="AW283" s="1033">
        <v>46172</v>
      </c>
      <c r="AX283" s="1032" t="s">
        <v>973</v>
      </c>
      <c r="AY283" s="1033">
        <v>46167</v>
      </c>
      <c r="AZ283" s="1032">
        <v>0</v>
      </c>
      <c r="BA283" s="1033">
        <v>46172</v>
      </c>
      <c r="BB283" s="1032">
        <v>2026</v>
      </c>
      <c r="BC283" s="1032">
        <v>5</v>
      </c>
      <c r="BD283" s="1032">
        <v>22</v>
      </c>
      <c r="BE283" s="1032">
        <v>36</v>
      </c>
      <c r="BF283" s="1032">
        <v>720</v>
      </c>
      <c r="BG283" s="1032" t="s">
        <v>128</v>
      </c>
      <c r="BH283" s="1032" t="s">
        <v>68</v>
      </c>
    </row>
    <row r="284" spans="1:60">
      <c r="A284" s="1032" t="s">
        <v>1426</v>
      </c>
      <c r="B284" s="1032" t="s">
        <v>111</v>
      </c>
      <c r="C284" s="1032" t="s">
        <v>1427</v>
      </c>
      <c r="D284" s="1032" t="s">
        <v>113</v>
      </c>
      <c r="E284" s="1032" t="s">
        <v>64</v>
      </c>
      <c r="F284" s="1032" t="s">
        <v>65</v>
      </c>
      <c r="G284" s="1032" t="s">
        <v>402</v>
      </c>
      <c r="H284" s="1032" t="s">
        <v>67</v>
      </c>
      <c r="I284" s="1032" t="s">
        <v>822</v>
      </c>
      <c r="J284" s="1032" t="s">
        <v>1428</v>
      </c>
      <c r="K284" s="1032" t="s">
        <v>328</v>
      </c>
      <c r="M284" s="1032" t="s">
        <v>68</v>
      </c>
      <c r="N284" s="1032">
        <v>46045</v>
      </c>
      <c r="O284" s="1032" t="s">
        <v>713</v>
      </c>
      <c r="P284" s="1032" t="s">
        <v>1429</v>
      </c>
      <c r="Q284" s="1032" t="s">
        <v>1430</v>
      </c>
      <c r="R284" s="1032" t="s">
        <v>73</v>
      </c>
      <c r="S284" s="1032" t="s">
        <v>1187</v>
      </c>
      <c r="T284" s="1032">
        <v>620</v>
      </c>
      <c r="U284" s="1032">
        <v>4248</v>
      </c>
      <c r="V284" s="1032">
        <v>2.6337600000000001</v>
      </c>
      <c r="W284" s="1032">
        <v>118</v>
      </c>
      <c r="X284" s="1032">
        <v>5.9</v>
      </c>
      <c r="Y284" s="1032" t="s">
        <v>75</v>
      </c>
      <c r="Z284" s="1032" t="s">
        <v>75</v>
      </c>
      <c r="AB284" s="1033">
        <v>46087</v>
      </c>
      <c r="AC284" s="1032">
        <v>10</v>
      </c>
      <c r="AD284" s="1032" t="s">
        <v>1431</v>
      </c>
      <c r="AF284" s="1032" t="s">
        <v>122</v>
      </c>
      <c r="AG284" s="1032" t="s">
        <v>123</v>
      </c>
      <c r="AH284" s="1032" t="s">
        <v>356</v>
      </c>
      <c r="AI284" s="1033">
        <v>46096</v>
      </c>
      <c r="AJ284" s="1033">
        <v>46103</v>
      </c>
      <c r="AK284" s="1033">
        <v>46101</v>
      </c>
      <c r="AL284" s="1033">
        <v>46133</v>
      </c>
      <c r="AM284" s="1033">
        <v>46139</v>
      </c>
      <c r="AN284" s="1033">
        <v>46141</v>
      </c>
      <c r="AO284" s="1032" t="s">
        <v>402</v>
      </c>
      <c r="AP284" s="1032" t="s">
        <v>1432</v>
      </c>
      <c r="AQ284" s="1032" t="s">
        <v>161</v>
      </c>
      <c r="AR284" s="1032" t="s">
        <v>1433</v>
      </c>
      <c r="AS284" s="1032" t="s">
        <v>1434</v>
      </c>
      <c r="AT284" s="1032" t="s">
        <v>1434</v>
      </c>
      <c r="AU284" s="1032">
        <v>40</v>
      </c>
      <c r="AW284" s="1033">
        <v>46141</v>
      </c>
      <c r="AX284" s="1032" t="s">
        <v>973</v>
      </c>
      <c r="AY284" s="1033">
        <v>46152</v>
      </c>
      <c r="AZ284" s="1032">
        <v>8</v>
      </c>
      <c r="BA284" s="1033">
        <v>46149</v>
      </c>
      <c r="BB284" s="1032">
        <v>2026</v>
      </c>
      <c r="BC284" s="1032">
        <v>5</v>
      </c>
      <c r="BD284" s="1032">
        <v>19</v>
      </c>
      <c r="BE284" s="1032">
        <v>36</v>
      </c>
      <c r="BF284" s="1032">
        <v>720</v>
      </c>
      <c r="BG284" s="1032" t="s">
        <v>108</v>
      </c>
      <c r="BH284" s="1032" t="s">
        <v>109</v>
      </c>
    </row>
    <row r="285" spans="1:60">
      <c r="A285" s="1032" t="s">
        <v>1435</v>
      </c>
      <c r="B285" s="1032" t="s">
        <v>111</v>
      </c>
      <c r="C285" s="1032" t="s">
        <v>1427</v>
      </c>
      <c r="D285" s="1032" t="s">
        <v>113</v>
      </c>
      <c r="E285" s="1032" t="s">
        <v>64</v>
      </c>
      <c r="F285" s="1032" t="s">
        <v>65</v>
      </c>
      <c r="G285" s="1032" t="s">
        <v>402</v>
      </c>
      <c r="H285" s="1032" t="s">
        <v>67</v>
      </c>
      <c r="I285" s="1032" t="s">
        <v>822</v>
      </c>
      <c r="J285" s="1032" t="s">
        <v>1428</v>
      </c>
      <c r="K285" s="1032" t="s">
        <v>328</v>
      </c>
      <c r="M285" s="1032" t="s">
        <v>68</v>
      </c>
      <c r="N285" s="1032">
        <v>46045</v>
      </c>
      <c r="O285" s="1032" t="s">
        <v>713</v>
      </c>
      <c r="P285" s="1032" t="s">
        <v>1429</v>
      </c>
      <c r="Q285" s="1032" t="s">
        <v>1430</v>
      </c>
      <c r="R285" s="1032" t="s">
        <v>73</v>
      </c>
      <c r="S285" s="1032" t="s">
        <v>1187</v>
      </c>
      <c r="T285" s="1032">
        <v>620</v>
      </c>
      <c r="U285" s="1032">
        <v>3960</v>
      </c>
      <c r="V285" s="1032">
        <v>2.4552</v>
      </c>
      <c r="W285" s="1032">
        <v>110</v>
      </c>
      <c r="X285" s="1032">
        <v>5.5</v>
      </c>
      <c r="Y285" s="1032" t="s">
        <v>75</v>
      </c>
      <c r="Z285" s="1032" t="s">
        <v>75</v>
      </c>
      <c r="AB285" s="1033">
        <v>46087</v>
      </c>
      <c r="AC285" s="1032">
        <v>10</v>
      </c>
      <c r="AD285" s="1032" t="s">
        <v>1436</v>
      </c>
      <c r="AF285" s="1032" t="s">
        <v>122</v>
      </c>
      <c r="AG285" s="1032" t="s">
        <v>123</v>
      </c>
      <c r="AH285" s="1032" t="s">
        <v>356</v>
      </c>
      <c r="AI285" s="1033">
        <v>46096</v>
      </c>
      <c r="AJ285" s="1033">
        <v>46103</v>
      </c>
      <c r="AK285" s="1033">
        <v>46101</v>
      </c>
      <c r="AL285" s="1033">
        <v>46133</v>
      </c>
      <c r="AM285" s="1033">
        <v>46139</v>
      </c>
      <c r="AN285" s="1033">
        <v>46141</v>
      </c>
      <c r="AO285" s="1032" t="s">
        <v>402</v>
      </c>
      <c r="AP285" s="1032" t="s">
        <v>1432</v>
      </c>
      <c r="AQ285" s="1032" t="s">
        <v>161</v>
      </c>
      <c r="AR285" s="1032" t="s">
        <v>1433</v>
      </c>
      <c r="AS285" s="1032" t="s">
        <v>1434</v>
      </c>
      <c r="AT285" s="1032" t="s">
        <v>1434</v>
      </c>
      <c r="AU285" s="1032">
        <v>40</v>
      </c>
      <c r="AW285" s="1033">
        <v>46141</v>
      </c>
      <c r="AX285" s="1032" t="s">
        <v>973</v>
      </c>
      <c r="AY285" s="1033">
        <v>46152</v>
      </c>
      <c r="AZ285" s="1032">
        <v>8</v>
      </c>
      <c r="BA285" s="1033">
        <v>46149</v>
      </c>
      <c r="BB285" s="1032">
        <v>2026</v>
      </c>
      <c r="BC285" s="1032">
        <v>5</v>
      </c>
      <c r="BD285" s="1032">
        <v>19</v>
      </c>
      <c r="BE285" s="1032">
        <v>36</v>
      </c>
      <c r="BF285" s="1032">
        <v>720</v>
      </c>
      <c r="BG285" s="1032" t="s">
        <v>108</v>
      </c>
      <c r="BH285" s="1032" t="s">
        <v>109</v>
      </c>
    </row>
    <row r="286" spans="1:60">
      <c r="A286" s="1032" t="s">
        <v>1437</v>
      </c>
      <c r="B286" s="1032" t="s">
        <v>111</v>
      </c>
      <c r="C286" s="1032" t="s">
        <v>1183</v>
      </c>
      <c r="D286" s="1032" t="s">
        <v>113</v>
      </c>
      <c r="E286" s="1032" t="s">
        <v>64</v>
      </c>
      <c r="F286" s="1032" t="s">
        <v>65</v>
      </c>
      <c r="G286" s="1032" t="s">
        <v>402</v>
      </c>
      <c r="H286" s="1032" t="s">
        <v>67</v>
      </c>
      <c r="I286" s="1032" t="s">
        <v>822</v>
      </c>
      <c r="J286" s="1032" t="s">
        <v>1184</v>
      </c>
      <c r="K286" s="1032" t="s">
        <v>328</v>
      </c>
      <c r="M286" s="1032" t="s">
        <v>68</v>
      </c>
      <c r="N286" s="1032">
        <v>46045</v>
      </c>
      <c r="O286" s="1032" t="s">
        <v>713</v>
      </c>
      <c r="P286" s="1032" t="s">
        <v>1185</v>
      </c>
      <c r="Q286" s="1032" t="s">
        <v>1186</v>
      </c>
      <c r="R286" s="1032" t="s">
        <v>73</v>
      </c>
      <c r="S286" s="1032" t="s">
        <v>1187</v>
      </c>
      <c r="T286" s="1032">
        <v>615</v>
      </c>
      <c r="U286" s="1032">
        <v>3240</v>
      </c>
      <c r="V286" s="1032">
        <v>1.9925999999999999</v>
      </c>
      <c r="W286" s="1032">
        <v>90</v>
      </c>
      <c r="X286" s="1032">
        <v>4.5</v>
      </c>
      <c r="Y286" s="1032" t="s">
        <v>75</v>
      </c>
      <c r="Z286" s="1032" t="s">
        <v>75</v>
      </c>
      <c r="AB286" s="1033">
        <v>46087</v>
      </c>
      <c r="AC286" s="1032">
        <v>10</v>
      </c>
      <c r="AD286" s="1032" t="s">
        <v>1438</v>
      </c>
      <c r="AF286" s="1032" t="s">
        <v>122</v>
      </c>
      <c r="AG286" s="1032" t="s">
        <v>123</v>
      </c>
      <c r="AH286" s="1032" t="s">
        <v>356</v>
      </c>
      <c r="AI286" s="1033">
        <v>46096</v>
      </c>
      <c r="AJ286" s="1033">
        <v>46103</v>
      </c>
      <c r="AK286" s="1033">
        <v>46101</v>
      </c>
      <c r="AL286" s="1033">
        <v>46133</v>
      </c>
      <c r="AM286" s="1033">
        <v>46139</v>
      </c>
      <c r="AN286" s="1033">
        <v>46141</v>
      </c>
      <c r="AO286" s="1032" t="s">
        <v>402</v>
      </c>
      <c r="AP286" s="1032" t="s">
        <v>1432</v>
      </c>
      <c r="AQ286" s="1032" t="s">
        <v>161</v>
      </c>
      <c r="AR286" s="1032" t="s">
        <v>1433</v>
      </c>
      <c r="AS286" s="1032" t="s">
        <v>1434</v>
      </c>
      <c r="AT286" s="1032" t="s">
        <v>1434</v>
      </c>
      <c r="AU286" s="1032">
        <v>40</v>
      </c>
      <c r="AW286" s="1033">
        <v>46141</v>
      </c>
      <c r="AX286" s="1032" t="s">
        <v>973</v>
      </c>
      <c r="AY286" s="1033">
        <v>46152</v>
      </c>
      <c r="AZ286" s="1032">
        <v>8</v>
      </c>
      <c r="BA286" s="1033">
        <v>46149</v>
      </c>
      <c r="BB286" s="1032">
        <v>2026</v>
      </c>
      <c r="BC286" s="1032">
        <v>5</v>
      </c>
      <c r="BD286" s="1032">
        <v>19</v>
      </c>
      <c r="BE286" s="1032">
        <v>36</v>
      </c>
      <c r="BF286" s="1032">
        <v>720</v>
      </c>
      <c r="BG286" s="1032" t="s">
        <v>108</v>
      </c>
      <c r="BH286" s="1032" t="s">
        <v>109</v>
      </c>
    </row>
    <row r="287" spans="1:60">
      <c r="A287" s="1032" t="s">
        <v>1439</v>
      </c>
      <c r="B287" s="1032" t="s">
        <v>111</v>
      </c>
      <c r="C287" s="1032" t="s">
        <v>203</v>
      </c>
      <c r="D287" s="1032" t="s">
        <v>113</v>
      </c>
      <c r="E287" s="1032" t="s">
        <v>64</v>
      </c>
      <c r="F287" s="1032" t="s">
        <v>100</v>
      </c>
      <c r="G287" s="1032" t="s">
        <v>402</v>
      </c>
      <c r="H287" s="1032" t="s">
        <v>67</v>
      </c>
      <c r="I287" s="1032" t="s">
        <v>689</v>
      </c>
      <c r="J287" s="1032" t="s">
        <v>1440</v>
      </c>
      <c r="M287" s="1032" t="s">
        <v>68</v>
      </c>
      <c r="N287" s="1032">
        <v>46045</v>
      </c>
      <c r="O287" s="1032" t="s">
        <v>713</v>
      </c>
      <c r="P287" s="1032" t="s">
        <v>1185</v>
      </c>
      <c r="Q287" s="1032" t="s">
        <v>1186</v>
      </c>
      <c r="R287" s="1032" t="s">
        <v>73</v>
      </c>
      <c r="S287" s="1032" t="s">
        <v>1187</v>
      </c>
      <c r="T287" s="1032">
        <v>615</v>
      </c>
      <c r="U287" s="1032">
        <v>3852</v>
      </c>
      <c r="V287" s="1032">
        <v>2.3689800000000001</v>
      </c>
      <c r="W287" s="1032">
        <v>107</v>
      </c>
      <c r="X287" s="1032">
        <v>5.35</v>
      </c>
      <c r="Y287" s="1032" t="s">
        <v>75</v>
      </c>
      <c r="Z287" s="1032" t="s">
        <v>75</v>
      </c>
      <c r="AB287" s="1033">
        <v>46085</v>
      </c>
      <c r="AC287" s="1032">
        <v>10</v>
      </c>
      <c r="AD287" s="1032" t="s">
        <v>1441</v>
      </c>
      <c r="AF287" s="1032" t="s">
        <v>122</v>
      </c>
      <c r="AG287" s="1032" t="s">
        <v>123</v>
      </c>
      <c r="AH287" s="1032" t="s">
        <v>105</v>
      </c>
      <c r="AI287" s="1033">
        <v>46096</v>
      </c>
      <c r="AJ287" s="1033">
        <v>46103</v>
      </c>
      <c r="AK287" s="1033">
        <v>46103</v>
      </c>
      <c r="AL287" s="1033">
        <v>46133</v>
      </c>
      <c r="AM287" s="1033">
        <v>46150</v>
      </c>
      <c r="AN287" s="1033">
        <v>46148</v>
      </c>
      <c r="AO287" s="1032" t="s">
        <v>402</v>
      </c>
      <c r="AP287" s="1032" t="s">
        <v>889</v>
      </c>
      <c r="AQ287" s="1032" t="s">
        <v>80</v>
      </c>
      <c r="AR287" s="1032" t="s">
        <v>1442</v>
      </c>
      <c r="AS287" s="1032" t="s">
        <v>1443</v>
      </c>
      <c r="AT287" s="1032" t="s">
        <v>1443</v>
      </c>
      <c r="AU287" s="1032">
        <v>45</v>
      </c>
      <c r="AW287" s="1033">
        <v>46148</v>
      </c>
      <c r="AX287" s="1032" t="s">
        <v>973</v>
      </c>
      <c r="AY287" s="1033">
        <v>46163</v>
      </c>
      <c r="AZ287" s="1032">
        <v>7</v>
      </c>
      <c r="BA287" s="1033">
        <v>46155</v>
      </c>
      <c r="BB287" s="1032">
        <v>2026</v>
      </c>
      <c r="BC287" s="1032">
        <v>5</v>
      </c>
      <c r="BD287" s="1032">
        <v>20</v>
      </c>
      <c r="BE287" s="1032">
        <v>36</v>
      </c>
      <c r="BF287" s="1032">
        <v>720</v>
      </c>
      <c r="BG287" s="1032" t="s">
        <v>108</v>
      </c>
      <c r="BH287" s="1032" t="s">
        <v>109</v>
      </c>
    </row>
    <row r="288" spans="1:60">
      <c r="A288" s="1032" t="s">
        <v>1444</v>
      </c>
      <c r="B288" s="1032" t="s">
        <v>111</v>
      </c>
      <c r="C288" s="1032" t="s">
        <v>1445</v>
      </c>
      <c r="D288" s="1032" t="s">
        <v>113</v>
      </c>
      <c r="E288" s="1032" t="s">
        <v>64</v>
      </c>
      <c r="F288" s="1032" t="s">
        <v>100</v>
      </c>
      <c r="G288" s="1032" t="s">
        <v>402</v>
      </c>
      <c r="H288" s="1032" t="s">
        <v>67</v>
      </c>
      <c r="I288" s="1032" t="s">
        <v>689</v>
      </c>
      <c r="J288" s="1032" t="s">
        <v>1446</v>
      </c>
      <c r="M288" s="1032" t="s">
        <v>68</v>
      </c>
      <c r="N288" s="1032">
        <v>46045</v>
      </c>
      <c r="O288" s="1032" t="s">
        <v>713</v>
      </c>
      <c r="P288" s="1032" t="s">
        <v>1429</v>
      </c>
      <c r="Q288" s="1032" t="s">
        <v>1430</v>
      </c>
      <c r="R288" s="1032" t="s">
        <v>73</v>
      </c>
      <c r="S288" s="1032" t="s">
        <v>1187</v>
      </c>
      <c r="T288" s="1032">
        <v>620</v>
      </c>
      <c r="U288" s="1032">
        <v>3348</v>
      </c>
      <c r="V288" s="1032">
        <v>2.0757599999999998</v>
      </c>
      <c r="W288" s="1032">
        <v>93</v>
      </c>
      <c r="X288" s="1032">
        <v>4.6500000000000004</v>
      </c>
      <c r="Y288" s="1032" t="s">
        <v>75</v>
      </c>
      <c r="Z288" s="1032" t="s">
        <v>75</v>
      </c>
      <c r="AB288" s="1033">
        <v>46085</v>
      </c>
      <c r="AC288" s="1032">
        <v>10</v>
      </c>
      <c r="AD288" s="1032" t="s">
        <v>1447</v>
      </c>
      <c r="AF288" s="1032" t="s">
        <v>122</v>
      </c>
      <c r="AG288" s="1032" t="s">
        <v>123</v>
      </c>
      <c r="AH288" s="1032" t="s">
        <v>105</v>
      </c>
      <c r="AI288" s="1033">
        <v>46096</v>
      </c>
      <c r="AJ288" s="1033">
        <v>46103</v>
      </c>
      <c r="AK288" s="1033">
        <v>46103</v>
      </c>
      <c r="AL288" s="1033">
        <v>46133</v>
      </c>
      <c r="AM288" s="1033">
        <v>46150</v>
      </c>
      <c r="AN288" s="1033">
        <v>46148</v>
      </c>
      <c r="AO288" s="1032" t="s">
        <v>402</v>
      </c>
      <c r="AP288" s="1032" t="s">
        <v>889</v>
      </c>
      <c r="AQ288" s="1032" t="s">
        <v>80</v>
      </c>
      <c r="AR288" s="1032" t="s">
        <v>1442</v>
      </c>
      <c r="AS288" s="1032" t="s">
        <v>1443</v>
      </c>
      <c r="AT288" s="1032" t="s">
        <v>1443</v>
      </c>
      <c r="AU288" s="1032">
        <v>45</v>
      </c>
      <c r="AW288" s="1033">
        <v>46148</v>
      </c>
      <c r="AX288" s="1032" t="s">
        <v>973</v>
      </c>
      <c r="AY288" s="1033">
        <v>46163</v>
      </c>
      <c r="AZ288" s="1032">
        <v>7</v>
      </c>
      <c r="BA288" s="1033">
        <v>46155</v>
      </c>
      <c r="BB288" s="1032">
        <v>2026</v>
      </c>
      <c r="BC288" s="1032">
        <v>5</v>
      </c>
      <c r="BD288" s="1032">
        <v>20</v>
      </c>
      <c r="BE288" s="1032">
        <v>36</v>
      </c>
      <c r="BF288" s="1032">
        <v>720</v>
      </c>
      <c r="BG288" s="1032" t="s">
        <v>108</v>
      </c>
      <c r="BH288" s="1032" t="s">
        <v>109</v>
      </c>
    </row>
    <row r="289" spans="1:60">
      <c r="A289" s="1032" t="s">
        <v>1448</v>
      </c>
      <c r="B289" s="1032" t="s">
        <v>111</v>
      </c>
      <c r="C289" s="1032" t="s">
        <v>1061</v>
      </c>
      <c r="D289" s="1032" t="s">
        <v>63</v>
      </c>
      <c r="E289" s="1032" t="s">
        <v>144</v>
      </c>
      <c r="F289" s="1032" t="s">
        <v>145</v>
      </c>
      <c r="G289" s="1032" t="s">
        <v>402</v>
      </c>
      <c r="H289" s="1032" t="s">
        <v>1449</v>
      </c>
      <c r="I289" s="1032" t="s">
        <v>689</v>
      </c>
      <c r="J289" s="1032" t="s">
        <v>1450</v>
      </c>
      <c r="K289" s="1032" t="s">
        <v>1451</v>
      </c>
      <c r="L289" s="1032">
        <v>6</v>
      </c>
      <c r="M289" s="1032" t="s">
        <v>840</v>
      </c>
      <c r="N289" s="1032">
        <v>46076</v>
      </c>
      <c r="O289" s="1032" t="s">
        <v>132</v>
      </c>
      <c r="P289" s="1032" t="s">
        <v>1062</v>
      </c>
      <c r="Q289" s="1032" t="s">
        <v>1063</v>
      </c>
      <c r="R289" s="1032" t="s">
        <v>73</v>
      </c>
      <c r="S289" s="1032" t="s">
        <v>967</v>
      </c>
      <c r="T289" s="1032">
        <v>470</v>
      </c>
      <c r="U289" s="1032">
        <v>2592</v>
      </c>
      <c r="V289" s="1032">
        <v>1.21824</v>
      </c>
      <c r="W289" s="1032">
        <v>72</v>
      </c>
      <c r="X289" s="1032">
        <v>3</v>
      </c>
      <c r="Y289" s="1032" t="s">
        <v>75</v>
      </c>
      <c r="Z289" s="1032" t="s">
        <v>75</v>
      </c>
      <c r="AB289" s="1033">
        <v>46086</v>
      </c>
      <c r="AC289" s="1032">
        <v>10</v>
      </c>
      <c r="AD289" s="1032" t="s">
        <v>1452</v>
      </c>
      <c r="AF289" s="1032" t="s">
        <v>122</v>
      </c>
      <c r="AG289" s="1032" t="s">
        <v>123</v>
      </c>
      <c r="AH289" s="1032" t="s">
        <v>105</v>
      </c>
      <c r="AI289" s="1033">
        <v>46096</v>
      </c>
      <c r="AJ289" s="1033">
        <v>46103</v>
      </c>
      <c r="AK289" s="1033">
        <v>46103</v>
      </c>
      <c r="AL289" s="1033">
        <v>46133</v>
      </c>
      <c r="AM289" s="1033">
        <v>46150</v>
      </c>
      <c r="AN289" s="1033">
        <v>46148</v>
      </c>
      <c r="AO289" s="1032" t="s">
        <v>402</v>
      </c>
      <c r="AP289" s="1032" t="s">
        <v>889</v>
      </c>
      <c r="AQ289" s="1032" t="s">
        <v>80</v>
      </c>
      <c r="AR289" s="1032" t="s">
        <v>1453</v>
      </c>
      <c r="AS289" s="1032" t="s">
        <v>1454</v>
      </c>
      <c r="AT289" s="1032" t="s">
        <v>1443</v>
      </c>
      <c r="AU289" s="1032">
        <v>45</v>
      </c>
      <c r="AW289" s="1033">
        <v>46148</v>
      </c>
      <c r="AX289" s="1032" t="s">
        <v>973</v>
      </c>
      <c r="AY289" s="1033">
        <v>46138</v>
      </c>
      <c r="AZ289" s="1032">
        <v>0</v>
      </c>
      <c r="BA289" s="1033">
        <v>46148</v>
      </c>
      <c r="BB289" s="1032">
        <v>2026</v>
      </c>
      <c r="BC289" s="1032">
        <v>5</v>
      </c>
      <c r="BD289" s="1032">
        <v>19</v>
      </c>
      <c r="BE289" s="1032">
        <v>36</v>
      </c>
      <c r="BF289" s="1032">
        <v>864</v>
      </c>
      <c r="BG289" s="1032" t="s">
        <v>108</v>
      </c>
      <c r="BH289" s="1032" t="s">
        <v>109</v>
      </c>
    </row>
    <row r="290" spans="1:60">
      <c r="A290" s="1032" t="s">
        <v>1455</v>
      </c>
      <c r="B290" s="1032" t="s">
        <v>111</v>
      </c>
      <c r="C290" s="1032" t="s">
        <v>1061</v>
      </c>
      <c r="D290" s="1032" t="s">
        <v>63</v>
      </c>
      <c r="E290" s="1032" t="s">
        <v>144</v>
      </c>
      <c r="F290" s="1032" t="s">
        <v>145</v>
      </c>
      <c r="G290" s="1032" t="s">
        <v>402</v>
      </c>
      <c r="H290" s="1032" t="s">
        <v>1449</v>
      </c>
      <c r="I290" s="1032" t="s">
        <v>689</v>
      </c>
      <c r="J290" s="1032" t="s">
        <v>1450</v>
      </c>
      <c r="K290" s="1032" t="s">
        <v>1451</v>
      </c>
      <c r="L290" s="1032">
        <v>7</v>
      </c>
      <c r="M290" s="1032" t="s">
        <v>840</v>
      </c>
      <c r="N290" s="1032">
        <v>46076</v>
      </c>
      <c r="O290" s="1032" t="s">
        <v>132</v>
      </c>
      <c r="P290" s="1032" t="s">
        <v>1062</v>
      </c>
      <c r="Q290" s="1032" t="s">
        <v>1063</v>
      </c>
      <c r="R290" s="1032" t="s">
        <v>73</v>
      </c>
      <c r="S290" s="1032" t="s">
        <v>967</v>
      </c>
      <c r="T290" s="1032">
        <v>470</v>
      </c>
      <c r="U290" s="1032">
        <v>1728</v>
      </c>
      <c r="V290" s="1032">
        <v>0.81215999999999999</v>
      </c>
      <c r="W290" s="1032">
        <v>48</v>
      </c>
      <c r="X290" s="1032">
        <v>2</v>
      </c>
      <c r="Y290" s="1032" t="s">
        <v>75</v>
      </c>
      <c r="Z290" s="1032" t="s">
        <v>75</v>
      </c>
      <c r="AA290" s="1032" t="s">
        <v>1456</v>
      </c>
      <c r="AB290" s="1033">
        <v>46086</v>
      </c>
      <c r="AC290" s="1032">
        <v>10</v>
      </c>
      <c r="AD290" s="1032" t="s">
        <v>1457</v>
      </c>
      <c r="AF290" s="1032" t="s">
        <v>122</v>
      </c>
      <c r="AG290" s="1032" t="s">
        <v>123</v>
      </c>
      <c r="AH290" s="1032" t="s">
        <v>105</v>
      </c>
      <c r="AI290" s="1033">
        <v>46096</v>
      </c>
      <c r="AJ290" s="1033">
        <v>46103</v>
      </c>
      <c r="AK290" s="1033">
        <v>46103</v>
      </c>
      <c r="AL290" s="1033">
        <v>46133</v>
      </c>
      <c r="AM290" s="1033">
        <v>46150</v>
      </c>
      <c r="AN290" s="1033">
        <v>46148</v>
      </c>
      <c r="AO290" s="1032" t="s">
        <v>402</v>
      </c>
      <c r="AP290" s="1032" t="s">
        <v>889</v>
      </c>
      <c r="AQ290" s="1032" t="s">
        <v>80</v>
      </c>
      <c r="AR290" s="1032" t="s">
        <v>1453</v>
      </c>
      <c r="AS290" s="1032" t="s">
        <v>1454</v>
      </c>
      <c r="AT290" s="1032" t="s">
        <v>1443</v>
      </c>
      <c r="AU290" s="1032">
        <v>45</v>
      </c>
      <c r="AW290" s="1033">
        <v>46148</v>
      </c>
      <c r="AX290" s="1032" t="s">
        <v>973</v>
      </c>
      <c r="AY290" s="1033">
        <v>46163</v>
      </c>
      <c r="AZ290" s="1032">
        <v>0</v>
      </c>
      <c r="BA290" s="1033">
        <v>46148</v>
      </c>
      <c r="BB290" s="1032">
        <v>2026</v>
      </c>
      <c r="BC290" s="1032">
        <v>5</v>
      </c>
      <c r="BD290" s="1032">
        <v>19</v>
      </c>
      <c r="BE290" s="1032">
        <v>36</v>
      </c>
      <c r="BF290" s="1032">
        <v>864</v>
      </c>
      <c r="BG290" s="1032" t="s">
        <v>108</v>
      </c>
      <c r="BH290" s="1032" t="s">
        <v>109</v>
      </c>
    </row>
    <row r="291" spans="1:60">
      <c r="A291" s="1032" t="s">
        <v>1458</v>
      </c>
      <c r="B291" s="1032" t="s">
        <v>111</v>
      </c>
      <c r="C291" s="1032" t="s">
        <v>1459</v>
      </c>
      <c r="D291" s="1032" t="s">
        <v>63</v>
      </c>
      <c r="E291" s="1032" t="s">
        <v>64</v>
      </c>
      <c r="F291" s="1032" t="s">
        <v>100</v>
      </c>
      <c r="G291" s="1032" t="s">
        <v>402</v>
      </c>
      <c r="H291" s="1032" t="s">
        <v>67</v>
      </c>
      <c r="I291" s="1032" t="s">
        <v>689</v>
      </c>
      <c r="J291" s="1032" t="s">
        <v>1460</v>
      </c>
      <c r="M291" s="1032" t="s">
        <v>68</v>
      </c>
      <c r="N291" s="1032">
        <v>46097</v>
      </c>
      <c r="O291" s="1032" t="s">
        <v>70</v>
      </c>
      <c r="P291" s="1032" t="s">
        <v>1461</v>
      </c>
      <c r="Q291" s="1032" t="s">
        <v>103</v>
      </c>
      <c r="R291" s="1032" t="s">
        <v>73</v>
      </c>
      <c r="S291" s="1032" t="s">
        <v>992</v>
      </c>
      <c r="T291" s="1032">
        <v>620</v>
      </c>
      <c r="U291" s="1032">
        <v>7920</v>
      </c>
      <c r="V291" s="1032">
        <v>4.9104000000000001</v>
      </c>
      <c r="W291" s="1032">
        <v>220</v>
      </c>
      <c r="X291" s="1032">
        <v>11</v>
      </c>
      <c r="Y291" s="1032" t="s">
        <v>75</v>
      </c>
      <c r="Z291" s="1032" t="s">
        <v>75</v>
      </c>
      <c r="AA291" s="1032" t="s">
        <v>1456</v>
      </c>
      <c r="AB291" s="1033">
        <v>46090</v>
      </c>
      <c r="AC291" s="1032">
        <v>11</v>
      </c>
      <c r="AD291" s="1032" t="s">
        <v>1462</v>
      </c>
      <c r="AF291" s="1032" t="s">
        <v>122</v>
      </c>
      <c r="AG291" s="1032" t="s">
        <v>123</v>
      </c>
      <c r="AH291" s="1032" t="s">
        <v>105</v>
      </c>
      <c r="AI291" s="1033">
        <v>46096</v>
      </c>
      <c r="AJ291" s="1033">
        <v>46103</v>
      </c>
      <c r="AK291" s="1033">
        <v>46103</v>
      </c>
      <c r="AL291" s="1033">
        <v>46133</v>
      </c>
      <c r="AM291" s="1033">
        <v>46150</v>
      </c>
      <c r="AN291" s="1033">
        <v>46148</v>
      </c>
      <c r="AO291" s="1032" t="s">
        <v>402</v>
      </c>
      <c r="AP291" s="1032" t="s">
        <v>889</v>
      </c>
      <c r="AQ291" s="1032" t="s">
        <v>80</v>
      </c>
      <c r="AR291" s="1032" t="s">
        <v>1463</v>
      </c>
      <c r="AS291" s="1032" t="s">
        <v>1464</v>
      </c>
      <c r="AT291" s="1032" t="s">
        <v>1464</v>
      </c>
      <c r="AU291" s="1032">
        <v>45</v>
      </c>
      <c r="AW291" s="1033">
        <v>46148</v>
      </c>
      <c r="AX291" s="1032" t="s">
        <v>973</v>
      </c>
      <c r="AY291" s="1033">
        <v>46163</v>
      </c>
      <c r="AZ291" s="1032">
        <v>7</v>
      </c>
      <c r="BA291" s="1033">
        <v>46155</v>
      </c>
      <c r="BB291" s="1032">
        <v>2026</v>
      </c>
      <c r="BC291" s="1032">
        <v>5</v>
      </c>
      <c r="BD291" s="1032">
        <v>20</v>
      </c>
      <c r="BE291" s="1032">
        <v>36</v>
      </c>
      <c r="BF291" s="1032">
        <v>720</v>
      </c>
      <c r="BG291" s="1032" t="s">
        <v>128</v>
      </c>
      <c r="BH291" s="1032" t="s">
        <v>109</v>
      </c>
    </row>
    <row r="292" spans="1:60">
      <c r="A292" s="1032" t="s">
        <v>1465</v>
      </c>
      <c r="B292" s="1032" t="s">
        <v>111</v>
      </c>
      <c r="C292" s="1032" t="s">
        <v>1061</v>
      </c>
      <c r="D292" s="1032" t="s">
        <v>63</v>
      </c>
      <c r="E292" s="1032" t="s">
        <v>64</v>
      </c>
      <c r="F292" s="1032" t="s">
        <v>100</v>
      </c>
      <c r="G292" s="1032" t="s">
        <v>402</v>
      </c>
      <c r="H292" s="1032" t="s">
        <v>67</v>
      </c>
      <c r="I292" s="1032" t="s">
        <v>689</v>
      </c>
      <c r="J292" s="1032" t="s">
        <v>101</v>
      </c>
      <c r="M292" s="1032" t="s">
        <v>68</v>
      </c>
      <c r="N292" s="1032">
        <v>46076</v>
      </c>
      <c r="O292" s="1032" t="s">
        <v>132</v>
      </c>
      <c r="P292" s="1032" t="s">
        <v>1062</v>
      </c>
      <c r="Q292" s="1032" t="s">
        <v>1063</v>
      </c>
      <c r="R292" s="1032" t="s">
        <v>73</v>
      </c>
      <c r="S292" s="1032" t="s">
        <v>967</v>
      </c>
      <c r="T292" s="1032">
        <v>470</v>
      </c>
      <c r="U292" s="1032">
        <v>3456</v>
      </c>
      <c r="V292" s="1032">
        <v>1.62432</v>
      </c>
      <c r="W292" s="1032">
        <v>96</v>
      </c>
      <c r="X292" s="1032">
        <v>4</v>
      </c>
      <c r="Y292" s="1032" t="s">
        <v>75</v>
      </c>
      <c r="Z292" s="1032" t="s">
        <v>75</v>
      </c>
      <c r="AB292" s="1033">
        <v>46091</v>
      </c>
      <c r="AC292" s="1032">
        <v>11</v>
      </c>
      <c r="AD292" s="1032" t="s">
        <v>1466</v>
      </c>
      <c r="AF292" s="1032" t="s">
        <v>122</v>
      </c>
      <c r="AG292" s="1032" t="s">
        <v>123</v>
      </c>
      <c r="AH292" s="1032" t="s">
        <v>105</v>
      </c>
      <c r="AI292" s="1033">
        <v>46096</v>
      </c>
      <c r="AJ292" s="1033">
        <v>46103</v>
      </c>
      <c r="AK292" s="1033">
        <v>46103</v>
      </c>
      <c r="AL292" s="1033">
        <v>46133</v>
      </c>
      <c r="AM292" s="1033">
        <v>46150</v>
      </c>
      <c r="AN292" s="1033">
        <v>46148</v>
      </c>
      <c r="AO292" s="1032" t="s">
        <v>402</v>
      </c>
      <c r="AP292" s="1032" t="s">
        <v>889</v>
      </c>
      <c r="AQ292" s="1032" t="s">
        <v>80</v>
      </c>
      <c r="AR292" s="1032" t="s">
        <v>1463</v>
      </c>
      <c r="AS292" s="1032" t="s">
        <v>1464</v>
      </c>
      <c r="AT292" s="1032" t="s">
        <v>1464</v>
      </c>
      <c r="AU292" s="1032">
        <v>45</v>
      </c>
      <c r="AW292" s="1033">
        <v>46148</v>
      </c>
      <c r="AX292" s="1032" t="s">
        <v>973</v>
      </c>
      <c r="AY292" s="1033">
        <v>46163</v>
      </c>
      <c r="AZ292" s="1032">
        <v>7</v>
      </c>
      <c r="BA292" s="1033">
        <v>46155</v>
      </c>
      <c r="BB292" s="1032">
        <v>2026</v>
      </c>
      <c r="BC292" s="1032">
        <v>5</v>
      </c>
      <c r="BD292" s="1032">
        <v>20</v>
      </c>
      <c r="BE292" s="1032">
        <v>36</v>
      </c>
      <c r="BF292" s="1032">
        <v>864</v>
      </c>
      <c r="BG292" s="1032" t="s">
        <v>108</v>
      </c>
      <c r="BH292" s="1032" t="s">
        <v>109</v>
      </c>
    </row>
    <row r="293" spans="1:60">
      <c r="A293" s="1032" t="s">
        <v>1467</v>
      </c>
      <c r="B293" s="1032" t="s">
        <v>111</v>
      </c>
      <c r="C293" s="1032" t="s">
        <v>1459</v>
      </c>
      <c r="D293" s="1032" t="s">
        <v>63</v>
      </c>
      <c r="E293" s="1032" t="s">
        <v>64</v>
      </c>
      <c r="F293" s="1032" t="s">
        <v>100</v>
      </c>
      <c r="G293" s="1032" t="s">
        <v>402</v>
      </c>
      <c r="H293" s="1032" t="s">
        <v>67</v>
      </c>
      <c r="I293" s="1032" t="s">
        <v>689</v>
      </c>
      <c r="J293" s="1032" t="s">
        <v>101</v>
      </c>
      <c r="M293" s="1032" t="s">
        <v>68</v>
      </c>
      <c r="N293" s="1032">
        <v>46097</v>
      </c>
      <c r="O293" s="1032" t="s">
        <v>70</v>
      </c>
      <c r="P293" s="1032" t="s">
        <v>1461</v>
      </c>
      <c r="Q293" s="1032" t="s">
        <v>103</v>
      </c>
      <c r="R293" s="1032" t="s">
        <v>73</v>
      </c>
      <c r="S293" s="1032" t="s">
        <v>992</v>
      </c>
      <c r="T293" s="1032">
        <v>620</v>
      </c>
      <c r="U293" s="1032">
        <v>2160</v>
      </c>
      <c r="V293" s="1032">
        <v>1.3391999999999999</v>
      </c>
      <c r="W293" s="1032">
        <v>60</v>
      </c>
      <c r="X293" s="1032">
        <v>3</v>
      </c>
      <c r="Y293" s="1032" t="s">
        <v>75</v>
      </c>
      <c r="Z293" s="1032" t="s">
        <v>75</v>
      </c>
      <c r="AA293" s="1032" t="s">
        <v>1456</v>
      </c>
      <c r="AB293" s="1033">
        <v>46092</v>
      </c>
      <c r="AC293" s="1032">
        <v>11</v>
      </c>
      <c r="AD293" s="1032" t="s">
        <v>1468</v>
      </c>
      <c r="AF293" s="1032" t="s">
        <v>122</v>
      </c>
      <c r="AG293" s="1032" t="s">
        <v>123</v>
      </c>
      <c r="AH293" s="1032" t="s">
        <v>105</v>
      </c>
      <c r="AI293" s="1033">
        <v>46096</v>
      </c>
      <c r="AJ293" s="1033">
        <v>46103</v>
      </c>
      <c r="AK293" s="1033">
        <v>46103</v>
      </c>
      <c r="AL293" s="1033">
        <v>46133</v>
      </c>
      <c r="AM293" s="1033">
        <v>46150</v>
      </c>
      <c r="AN293" s="1033">
        <v>46148</v>
      </c>
      <c r="AO293" s="1032" t="s">
        <v>402</v>
      </c>
      <c r="AP293" s="1032" t="s">
        <v>889</v>
      </c>
      <c r="AQ293" s="1032" t="s">
        <v>80</v>
      </c>
      <c r="AR293" s="1032" t="s">
        <v>919</v>
      </c>
      <c r="AS293" s="1032" t="s">
        <v>920</v>
      </c>
      <c r="AT293" s="1032" t="s">
        <v>920</v>
      </c>
      <c r="AU293" s="1032">
        <v>45</v>
      </c>
      <c r="AW293" s="1033">
        <v>46148</v>
      </c>
      <c r="AX293" s="1032" t="s">
        <v>973</v>
      </c>
      <c r="AY293" s="1033">
        <v>46163</v>
      </c>
      <c r="AZ293" s="1032">
        <v>7</v>
      </c>
      <c r="BA293" s="1033">
        <v>46155</v>
      </c>
      <c r="BB293" s="1032">
        <v>2026</v>
      </c>
      <c r="BC293" s="1032">
        <v>5</v>
      </c>
      <c r="BD293" s="1032">
        <v>20</v>
      </c>
      <c r="BE293" s="1032">
        <v>36</v>
      </c>
      <c r="BF293" s="1032">
        <v>720</v>
      </c>
      <c r="BG293" s="1032" t="s">
        <v>128</v>
      </c>
      <c r="BH293" s="1032" t="s">
        <v>109</v>
      </c>
    </row>
    <row r="294" spans="1:60">
      <c r="A294" s="1032" t="s">
        <v>1469</v>
      </c>
      <c r="B294" s="1032" t="s">
        <v>111</v>
      </c>
      <c r="C294" s="1032" t="s">
        <v>1459</v>
      </c>
      <c r="D294" s="1032" t="s">
        <v>63</v>
      </c>
      <c r="E294" s="1032" t="s">
        <v>64</v>
      </c>
      <c r="F294" s="1032" t="s">
        <v>100</v>
      </c>
      <c r="G294" s="1032" t="s">
        <v>402</v>
      </c>
      <c r="H294" s="1032" t="s">
        <v>67</v>
      </c>
      <c r="I294" s="1032" t="s">
        <v>689</v>
      </c>
      <c r="J294" s="1032" t="s">
        <v>917</v>
      </c>
      <c r="M294" s="1032" t="s">
        <v>68</v>
      </c>
      <c r="N294" s="1032">
        <v>46097</v>
      </c>
      <c r="O294" s="1032" t="s">
        <v>70</v>
      </c>
      <c r="P294" s="1032" t="s">
        <v>1461</v>
      </c>
      <c r="Q294" s="1032" t="s">
        <v>103</v>
      </c>
      <c r="R294" s="1032" t="s">
        <v>73</v>
      </c>
      <c r="S294" s="1032" t="s">
        <v>992</v>
      </c>
      <c r="T294" s="1032">
        <v>620</v>
      </c>
      <c r="U294" s="1032">
        <v>2880</v>
      </c>
      <c r="V294" s="1032">
        <v>1.7856000000000001</v>
      </c>
      <c r="W294" s="1032">
        <v>80</v>
      </c>
      <c r="X294" s="1032">
        <v>4</v>
      </c>
      <c r="Y294" s="1032" t="s">
        <v>75</v>
      </c>
      <c r="Z294" s="1032" t="s">
        <v>75</v>
      </c>
      <c r="AA294" s="1032" t="s">
        <v>1456</v>
      </c>
      <c r="AB294" s="1033">
        <v>46092</v>
      </c>
      <c r="AC294" s="1032">
        <v>11</v>
      </c>
      <c r="AD294" s="1032" t="s">
        <v>1470</v>
      </c>
      <c r="AF294" s="1032" t="s">
        <v>122</v>
      </c>
      <c r="AG294" s="1032" t="s">
        <v>123</v>
      </c>
      <c r="AH294" s="1032" t="s">
        <v>105</v>
      </c>
      <c r="AI294" s="1033">
        <v>46096</v>
      </c>
      <c r="AJ294" s="1033">
        <v>46103</v>
      </c>
      <c r="AK294" s="1033">
        <v>46103</v>
      </c>
      <c r="AL294" s="1033">
        <v>46133</v>
      </c>
      <c r="AM294" s="1033">
        <v>46150</v>
      </c>
      <c r="AN294" s="1033">
        <v>46148</v>
      </c>
      <c r="AO294" s="1032" t="s">
        <v>402</v>
      </c>
      <c r="AP294" s="1032" t="s">
        <v>889</v>
      </c>
      <c r="AQ294" s="1032" t="s">
        <v>80</v>
      </c>
      <c r="AR294" s="1032" t="s">
        <v>919</v>
      </c>
      <c r="AS294" s="1032" t="s">
        <v>920</v>
      </c>
      <c r="AT294" s="1032" t="s">
        <v>920</v>
      </c>
      <c r="AU294" s="1032">
        <v>45</v>
      </c>
      <c r="AW294" s="1033">
        <v>46148</v>
      </c>
      <c r="AX294" s="1032" t="s">
        <v>973</v>
      </c>
      <c r="AY294" s="1033">
        <v>46163</v>
      </c>
      <c r="AZ294" s="1032">
        <v>7</v>
      </c>
      <c r="BA294" s="1033">
        <v>46155</v>
      </c>
      <c r="BB294" s="1032">
        <v>2026</v>
      </c>
      <c r="BC294" s="1032">
        <v>5</v>
      </c>
      <c r="BD294" s="1032">
        <v>20</v>
      </c>
      <c r="BE294" s="1032">
        <v>36</v>
      </c>
      <c r="BF294" s="1032">
        <v>720</v>
      </c>
      <c r="BG294" s="1032" t="s">
        <v>128</v>
      </c>
      <c r="BH294" s="1032" t="s">
        <v>109</v>
      </c>
    </row>
    <row r="295" spans="1:60">
      <c r="A295" s="1032" t="s">
        <v>1471</v>
      </c>
      <c r="B295" s="1032" t="s">
        <v>111</v>
      </c>
      <c r="C295" s="1032" t="s">
        <v>1046</v>
      </c>
      <c r="D295" s="1032" t="s">
        <v>63</v>
      </c>
      <c r="E295" s="1032" t="s">
        <v>64</v>
      </c>
      <c r="F295" s="1032" t="s">
        <v>100</v>
      </c>
      <c r="G295" s="1032" t="s">
        <v>402</v>
      </c>
      <c r="H295" s="1032" t="s">
        <v>67</v>
      </c>
      <c r="I295" s="1032" t="s">
        <v>822</v>
      </c>
      <c r="J295" s="1032" t="s">
        <v>1047</v>
      </c>
      <c r="M295" s="1032" t="s">
        <v>68</v>
      </c>
      <c r="N295" s="1032">
        <v>46069</v>
      </c>
      <c r="O295" s="1032" t="s">
        <v>70</v>
      </c>
      <c r="P295" s="1032" t="s">
        <v>1002</v>
      </c>
      <c r="Q295" s="1032" t="s">
        <v>330</v>
      </c>
      <c r="R295" s="1032" t="s">
        <v>73</v>
      </c>
      <c r="S295" s="1032" t="s">
        <v>992</v>
      </c>
      <c r="T295" s="1032">
        <v>625</v>
      </c>
      <c r="U295" s="1032">
        <v>7200</v>
      </c>
      <c r="V295" s="1032">
        <v>4.5</v>
      </c>
      <c r="W295" s="1032">
        <v>200</v>
      </c>
      <c r="X295" s="1032">
        <v>10</v>
      </c>
      <c r="Y295" s="1032" t="s">
        <v>75</v>
      </c>
      <c r="Z295" s="1032" t="s">
        <v>75</v>
      </c>
      <c r="AA295" s="1032" t="s">
        <v>1472</v>
      </c>
      <c r="AB295" s="1033">
        <v>46090</v>
      </c>
      <c r="AC295" s="1032">
        <v>11</v>
      </c>
      <c r="AD295" s="1032" t="s">
        <v>1473</v>
      </c>
      <c r="AF295" s="1032" t="s">
        <v>122</v>
      </c>
      <c r="AG295" s="1032" t="s">
        <v>123</v>
      </c>
      <c r="AH295" s="1032" t="s">
        <v>105</v>
      </c>
      <c r="AI295" s="1033">
        <v>46096</v>
      </c>
      <c r="AJ295" s="1033">
        <v>46103</v>
      </c>
      <c r="AK295" s="1033">
        <v>46103</v>
      </c>
      <c r="AL295" s="1033">
        <v>46133</v>
      </c>
      <c r="AM295" s="1033">
        <v>46150</v>
      </c>
      <c r="AN295" s="1033">
        <v>46148</v>
      </c>
      <c r="AO295" s="1032" t="s">
        <v>402</v>
      </c>
      <c r="AP295" s="1032" t="s">
        <v>889</v>
      </c>
      <c r="AQ295" s="1032" t="s">
        <v>80</v>
      </c>
      <c r="AR295" s="1032" t="s">
        <v>1474</v>
      </c>
      <c r="AS295" s="1032" t="s">
        <v>1475</v>
      </c>
      <c r="AT295" s="1032" t="s">
        <v>1475</v>
      </c>
      <c r="AU295" s="1032">
        <v>45</v>
      </c>
      <c r="AW295" s="1033">
        <v>46148</v>
      </c>
      <c r="AX295" s="1032" t="s">
        <v>973</v>
      </c>
      <c r="AY295" s="1033">
        <v>46163</v>
      </c>
      <c r="AZ295" s="1032">
        <v>7</v>
      </c>
      <c r="BA295" s="1033">
        <v>46155</v>
      </c>
      <c r="BB295" s="1032">
        <v>2026</v>
      </c>
      <c r="BC295" s="1032">
        <v>5</v>
      </c>
      <c r="BD295" s="1032">
        <v>20</v>
      </c>
      <c r="BE295" s="1032">
        <v>36</v>
      </c>
      <c r="BF295" s="1032">
        <v>720</v>
      </c>
      <c r="BG295" s="1032" t="s">
        <v>128</v>
      </c>
      <c r="BH295" s="1032" t="s">
        <v>109</v>
      </c>
    </row>
    <row r="296" spans="1:60">
      <c r="A296" s="1032" t="s">
        <v>1476</v>
      </c>
      <c r="B296" s="1032" t="s">
        <v>111</v>
      </c>
      <c r="C296" s="1032" t="s">
        <v>1318</v>
      </c>
      <c r="D296" s="1032" t="s">
        <v>63</v>
      </c>
      <c r="E296" s="1032" t="s">
        <v>64</v>
      </c>
      <c r="F296" s="1032" t="s">
        <v>100</v>
      </c>
      <c r="G296" s="1032" t="s">
        <v>402</v>
      </c>
      <c r="H296" s="1032" t="s">
        <v>67</v>
      </c>
      <c r="I296" s="1032" t="s">
        <v>689</v>
      </c>
      <c r="J296" s="1032" t="s">
        <v>483</v>
      </c>
      <c r="M296" s="1032" t="s">
        <v>68</v>
      </c>
      <c r="N296" s="1032">
        <v>46083</v>
      </c>
      <c r="O296" s="1032" t="s">
        <v>473</v>
      </c>
      <c r="P296" s="1032" t="s">
        <v>474</v>
      </c>
      <c r="Q296" s="1032" t="s">
        <v>1319</v>
      </c>
      <c r="R296" s="1032" t="s">
        <v>73</v>
      </c>
      <c r="S296" s="1032" t="s">
        <v>967</v>
      </c>
      <c r="T296" s="1032">
        <v>460</v>
      </c>
      <c r="U296" s="1032">
        <v>8640</v>
      </c>
      <c r="V296" s="1032">
        <v>3.9744000000000002</v>
      </c>
      <c r="W296" s="1032">
        <v>240</v>
      </c>
      <c r="X296" s="1032">
        <v>10</v>
      </c>
      <c r="Y296" s="1032" t="s">
        <v>75</v>
      </c>
      <c r="Z296" s="1032" t="s">
        <v>75</v>
      </c>
      <c r="AA296" s="1032" t="s">
        <v>1477</v>
      </c>
      <c r="AB296" s="1033">
        <v>46092</v>
      </c>
      <c r="AC296" s="1032">
        <v>11</v>
      </c>
      <c r="AD296" s="1032" t="s">
        <v>1478</v>
      </c>
      <c r="AF296" s="1032" t="s">
        <v>122</v>
      </c>
      <c r="AG296" s="1032" t="s">
        <v>123</v>
      </c>
      <c r="AH296" s="1032" t="s">
        <v>105</v>
      </c>
      <c r="AI296" s="1033">
        <v>46096</v>
      </c>
      <c r="AJ296" s="1033">
        <v>46103</v>
      </c>
      <c r="AK296" s="1033">
        <v>46103</v>
      </c>
      <c r="AL296" s="1033">
        <v>46133</v>
      </c>
      <c r="AM296" s="1033">
        <v>46150</v>
      </c>
      <c r="AN296" s="1033">
        <v>46148</v>
      </c>
      <c r="AO296" s="1032" t="s">
        <v>402</v>
      </c>
      <c r="AP296" s="1032" t="s">
        <v>889</v>
      </c>
      <c r="AQ296" s="1032" t="s">
        <v>80</v>
      </c>
      <c r="AR296" s="1032" t="s">
        <v>1479</v>
      </c>
      <c r="AS296" s="1032" t="s">
        <v>1480</v>
      </c>
      <c r="AT296" s="1032" t="s">
        <v>1480</v>
      </c>
      <c r="AU296" s="1032">
        <v>45</v>
      </c>
      <c r="AW296" s="1033">
        <v>46148</v>
      </c>
      <c r="AX296" s="1032" t="s">
        <v>973</v>
      </c>
      <c r="AY296" s="1033">
        <v>46163</v>
      </c>
      <c r="AZ296" s="1032">
        <v>7</v>
      </c>
      <c r="BA296" s="1033">
        <v>46155</v>
      </c>
      <c r="BB296" s="1032">
        <v>2026</v>
      </c>
      <c r="BC296" s="1032">
        <v>5</v>
      </c>
      <c r="BD296" s="1032">
        <v>20</v>
      </c>
      <c r="BE296" s="1032">
        <v>36</v>
      </c>
      <c r="BF296" s="1032">
        <v>864</v>
      </c>
      <c r="BG296" s="1032" t="s">
        <v>85</v>
      </c>
      <c r="BH296" s="1032" t="s">
        <v>109</v>
      </c>
    </row>
    <row r="297" spans="1:60">
      <c r="A297" s="1032" t="s">
        <v>1481</v>
      </c>
      <c r="B297" s="1032" t="s">
        <v>111</v>
      </c>
      <c r="C297" s="1032" t="s">
        <v>1482</v>
      </c>
      <c r="D297" s="1032" t="s">
        <v>63</v>
      </c>
      <c r="E297" s="1032" t="s">
        <v>64</v>
      </c>
      <c r="F297" s="1032" t="s">
        <v>100</v>
      </c>
      <c r="G297" s="1032" t="s">
        <v>402</v>
      </c>
      <c r="H297" s="1032" t="s">
        <v>67</v>
      </c>
      <c r="I297" s="1032" t="s">
        <v>689</v>
      </c>
      <c r="J297" s="1032" t="s">
        <v>101</v>
      </c>
      <c r="M297" s="1032" t="s">
        <v>68</v>
      </c>
      <c r="N297" s="1032">
        <v>46093</v>
      </c>
      <c r="O297" s="1032" t="s">
        <v>70</v>
      </c>
      <c r="P297" s="1032" t="s">
        <v>1483</v>
      </c>
      <c r="Q297" s="1032" t="s">
        <v>1484</v>
      </c>
      <c r="R297" s="1032" t="s">
        <v>73</v>
      </c>
      <c r="S297" s="1032" t="s">
        <v>992</v>
      </c>
      <c r="T297" s="1032">
        <v>725</v>
      </c>
      <c r="U297" s="1032">
        <v>8910</v>
      </c>
      <c r="V297" s="1032">
        <v>6.4597499999999997</v>
      </c>
      <c r="W297" s="1032">
        <v>270</v>
      </c>
      <c r="X297" s="1032">
        <v>15</v>
      </c>
      <c r="Y297" s="1032" t="s">
        <v>75</v>
      </c>
      <c r="Z297" s="1032" t="s">
        <v>75</v>
      </c>
      <c r="AA297" s="1032" t="s">
        <v>1456</v>
      </c>
      <c r="AB297" s="1033">
        <v>46094</v>
      </c>
      <c r="AC297" s="1032">
        <v>11</v>
      </c>
      <c r="AD297" s="1032" t="s">
        <v>1485</v>
      </c>
      <c r="AF297" s="1032" t="s">
        <v>122</v>
      </c>
      <c r="AG297" s="1032" t="s">
        <v>123</v>
      </c>
      <c r="AH297" s="1032" t="s">
        <v>105</v>
      </c>
      <c r="AI297" s="1033">
        <v>46097</v>
      </c>
      <c r="AJ297" s="1033">
        <v>46112</v>
      </c>
      <c r="AK297" s="1033">
        <v>46112</v>
      </c>
      <c r="AL297" s="1033">
        <v>46134</v>
      </c>
      <c r="AM297" s="1033">
        <v>46154</v>
      </c>
      <c r="AN297" s="1033">
        <v>46157</v>
      </c>
      <c r="AO297" s="1032" t="s">
        <v>402</v>
      </c>
      <c r="AP297" s="1032" t="s">
        <v>1486</v>
      </c>
      <c r="AQ297" s="1032" t="s">
        <v>80</v>
      </c>
      <c r="AR297" s="1032" t="s">
        <v>1487</v>
      </c>
      <c r="AS297" s="1032" t="s">
        <v>1488</v>
      </c>
      <c r="AT297" s="1032" t="s">
        <v>1488</v>
      </c>
      <c r="AU297" s="1032">
        <v>45</v>
      </c>
      <c r="AW297" s="1033">
        <v>46157</v>
      </c>
      <c r="AX297" s="1032" t="s">
        <v>973</v>
      </c>
      <c r="AY297" s="1033">
        <v>46168</v>
      </c>
      <c r="AZ297" s="1032">
        <v>7</v>
      </c>
      <c r="BA297" s="1033">
        <v>46164</v>
      </c>
      <c r="BB297" s="1032">
        <v>2026</v>
      </c>
      <c r="BC297" s="1032">
        <v>5</v>
      </c>
      <c r="BD297" s="1032">
        <v>21</v>
      </c>
      <c r="BE297" s="1032">
        <v>33</v>
      </c>
      <c r="BF297" s="1032">
        <v>594</v>
      </c>
      <c r="BG297" s="1032" t="s">
        <v>128</v>
      </c>
      <c r="BH297" s="1032" t="s">
        <v>109</v>
      </c>
    </row>
    <row r="298" spans="1:60">
      <c r="A298" s="1032" t="s">
        <v>1489</v>
      </c>
      <c r="B298" s="1032" t="s">
        <v>111</v>
      </c>
      <c r="C298" s="1032" t="s">
        <v>1310</v>
      </c>
      <c r="D298" s="1032" t="s">
        <v>63</v>
      </c>
      <c r="E298" s="1032" t="s">
        <v>64</v>
      </c>
      <c r="F298" s="1032" t="s">
        <v>100</v>
      </c>
      <c r="G298" s="1032" t="s">
        <v>402</v>
      </c>
      <c r="H298" s="1032" t="s">
        <v>67</v>
      </c>
      <c r="I298" s="1032" t="s">
        <v>689</v>
      </c>
      <c r="J298" s="1032" t="s">
        <v>1490</v>
      </c>
      <c r="M298" s="1032" t="s">
        <v>68</v>
      </c>
      <c r="N298" s="1032">
        <v>46083</v>
      </c>
      <c r="O298" s="1032" t="s">
        <v>473</v>
      </c>
      <c r="P298" s="1032" t="s">
        <v>529</v>
      </c>
      <c r="Q298" s="1032" t="s">
        <v>1311</v>
      </c>
      <c r="R298" s="1032" t="s">
        <v>73</v>
      </c>
      <c r="S298" s="1032" t="s">
        <v>967</v>
      </c>
      <c r="T298" s="1032">
        <v>455</v>
      </c>
      <c r="U298" s="1032">
        <v>4320</v>
      </c>
      <c r="V298" s="1032">
        <v>1.9656</v>
      </c>
      <c r="W298" s="1032">
        <v>120</v>
      </c>
      <c r="X298" s="1032">
        <v>5</v>
      </c>
      <c r="Y298" s="1032" t="s">
        <v>75</v>
      </c>
      <c r="Z298" s="1032" t="s">
        <v>75</v>
      </c>
      <c r="AA298" s="1032" t="s">
        <v>1491</v>
      </c>
      <c r="AB298" s="1033">
        <v>46093</v>
      </c>
      <c r="AC298" s="1032">
        <v>11</v>
      </c>
      <c r="AD298" s="1032" t="s">
        <v>1492</v>
      </c>
      <c r="AF298" s="1032" t="s">
        <v>122</v>
      </c>
      <c r="AG298" s="1032" t="s">
        <v>123</v>
      </c>
      <c r="AH298" s="1032" t="s">
        <v>105</v>
      </c>
      <c r="AI298" s="1033">
        <v>46097</v>
      </c>
      <c r="AJ298" s="1033">
        <v>46100</v>
      </c>
      <c r="AK298" s="1033">
        <v>46102</v>
      </c>
      <c r="AL298" s="1033">
        <v>46134</v>
      </c>
      <c r="AM298" s="1033">
        <v>46143</v>
      </c>
      <c r="AN298" s="1033">
        <v>46144</v>
      </c>
      <c r="AO298" s="1032" t="s">
        <v>402</v>
      </c>
      <c r="AP298" s="1032" t="s">
        <v>1486</v>
      </c>
      <c r="AQ298" s="1032" t="s">
        <v>80</v>
      </c>
      <c r="AR298" s="1032" t="s">
        <v>1493</v>
      </c>
      <c r="AS298" s="1032" t="s">
        <v>1494</v>
      </c>
      <c r="AT298" s="1032" t="s">
        <v>1494</v>
      </c>
      <c r="AU298" s="1032">
        <v>42</v>
      </c>
      <c r="AW298" s="1033">
        <v>46144</v>
      </c>
      <c r="AX298" s="1032" t="s">
        <v>973</v>
      </c>
      <c r="AY298" s="1033">
        <v>46155</v>
      </c>
      <c r="AZ298" s="1032">
        <v>7</v>
      </c>
      <c r="BA298" s="1033">
        <v>46151</v>
      </c>
      <c r="BB298" s="1032">
        <v>2026</v>
      </c>
      <c r="BC298" s="1032">
        <v>5</v>
      </c>
      <c r="BD298" s="1032">
        <v>19</v>
      </c>
      <c r="BE298" s="1032">
        <v>36</v>
      </c>
      <c r="BF298" s="1032">
        <v>864</v>
      </c>
      <c r="BG298" s="1032" t="s">
        <v>85</v>
      </c>
      <c r="BH298" s="1032" t="s">
        <v>109</v>
      </c>
    </row>
    <row r="299" spans="1:60">
      <c r="A299" s="1032" t="s">
        <v>1495</v>
      </c>
      <c r="B299" s="1032" t="s">
        <v>111</v>
      </c>
      <c r="C299" s="1032" t="s">
        <v>1046</v>
      </c>
      <c r="D299" s="1032" t="s">
        <v>63</v>
      </c>
      <c r="E299" s="1032" t="s">
        <v>64</v>
      </c>
      <c r="F299" s="1032" t="s">
        <v>100</v>
      </c>
      <c r="G299" s="1032" t="s">
        <v>402</v>
      </c>
      <c r="H299" s="1032" t="s">
        <v>67</v>
      </c>
      <c r="I299" s="1032" t="s">
        <v>822</v>
      </c>
      <c r="J299" s="1032" t="s">
        <v>1047</v>
      </c>
      <c r="M299" s="1032" t="s">
        <v>68</v>
      </c>
      <c r="N299" s="1032">
        <v>46069</v>
      </c>
      <c r="O299" s="1032" t="s">
        <v>70</v>
      </c>
      <c r="P299" s="1032" t="s">
        <v>1002</v>
      </c>
      <c r="Q299" s="1032" t="s">
        <v>330</v>
      </c>
      <c r="R299" s="1032" t="s">
        <v>73</v>
      </c>
      <c r="S299" s="1032" t="s">
        <v>992</v>
      </c>
      <c r="T299" s="1032">
        <v>625</v>
      </c>
      <c r="U299" s="1032">
        <v>720</v>
      </c>
      <c r="V299" s="1032">
        <v>0.45</v>
      </c>
      <c r="W299" s="1032">
        <v>20</v>
      </c>
      <c r="X299" s="1032">
        <v>1</v>
      </c>
      <c r="Y299" s="1032" t="s">
        <v>75</v>
      </c>
      <c r="Z299" s="1032" t="s">
        <v>75</v>
      </c>
      <c r="AA299" s="1032" t="s">
        <v>1472</v>
      </c>
      <c r="AB299" s="1033">
        <v>46093</v>
      </c>
      <c r="AC299" s="1032">
        <v>11</v>
      </c>
      <c r="AD299" s="1032" t="s">
        <v>1496</v>
      </c>
      <c r="AF299" s="1032" t="s">
        <v>122</v>
      </c>
      <c r="AG299" s="1032" t="s">
        <v>123</v>
      </c>
      <c r="AH299" s="1032" t="s">
        <v>105</v>
      </c>
      <c r="AI299" s="1033">
        <v>46096</v>
      </c>
      <c r="AJ299" s="1033">
        <v>46100</v>
      </c>
      <c r="AK299" s="1033">
        <v>46103</v>
      </c>
      <c r="AL299" s="1033">
        <v>46133</v>
      </c>
      <c r="AM299" s="1033">
        <v>46151</v>
      </c>
      <c r="AN299" s="1033">
        <v>46153</v>
      </c>
      <c r="AO299" s="1032" t="s">
        <v>402</v>
      </c>
      <c r="AP299" s="1032" t="s">
        <v>1486</v>
      </c>
      <c r="AQ299" s="1032" t="s">
        <v>80</v>
      </c>
      <c r="AR299" s="1032" t="s">
        <v>1497</v>
      </c>
      <c r="AS299" s="1032" t="s">
        <v>1498</v>
      </c>
      <c r="AT299" s="1032" t="s">
        <v>1498</v>
      </c>
      <c r="AU299" s="1032">
        <v>50</v>
      </c>
      <c r="AW299" s="1033">
        <v>46153</v>
      </c>
      <c r="AX299" s="1032" t="s">
        <v>973</v>
      </c>
      <c r="AY299" s="1033">
        <v>46159</v>
      </c>
      <c r="AZ299" s="1032">
        <v>7</v>
      </c>
      <c r="BA299" s="1033">
        <v>46160</v>
      </c>
      <c r="BB299" s="1032">
        <v>2026</v>
      </c>
      <c r="BC299" s="1032">
        <v>5</v>
      </c>
      <c r="BD299" s="1032">
        <v>21</v>
      </c>
      <c r="BE299" s="1032">
        <v>36</v>
      </c>
      <c r="BF299" s="1032">
        <v>720</v>
      </c>
      <c r="BG299" s="1032" t="s">
        <v>128</v>
      </c>
      <c r="BH299" s="1032" t="s">
        <v>109</v>
      </c>
    </row>
    <row r="300" spans="1:60">
      <c r="A300" s="1032" t="s">
        <v>1499</v>
      </c>
      <c r="B300" s="1032" t="s">
        <v>111</v>
      </c>
      <c r="C300" s="1032" t="s">
        <v>1318</v>
      </c>
      <c r="D300" s="1032" t="s">
        <v>63</v>
      </c>
      <c r="E300" s="1032" t="s">
        <v>64</v>
      </c>
      <c r="F300" s="1032" t="s">
        <v>100</v>
      </c>
      <c r="G300" s="1032" t="s">
        <v>402</v>
      </c>
      <c r="H300" s="1032" t="s">
        <v>67</v>
      </c>
      <c r="I300" s="1032" t="s">
        <v>689</v>
      </c>
      <c r="J300" s="1032" t="s">
        <v>483</v>
      </c>
      <c r="M300" s="1032" t="s">
        <v>68</v>
      </c>
      <c r="N300" s="1032">
        <v>46083</v>
      </c>
      <c r="O300" s="1032" t="s">
        <v>473</v>
      </c>
      <c r="P300" s="1032" t="s">
        <v>474</v>
      </c>
      <c r="Q300" s="1032" t="s">
        <v>1319</v>
      </c>
      <c r="R300" s="1032" t="s">
        <v>73</v>
      </c>
      <c r="S300" s="1032" t="s">
        <v>967</v>
      </c>
      <c r="T300" s="1032">
        <v>460</v>
      </c>
      <c r="U300" s="1032">
        <v>864</v>
      </c>
      <c r="V300" s="1032">
        <v>0.39744000000000002</v>
      </c>
      <c r="W300" s="1032">
        <v>24</v>
      </c>
      <c r="X300" s="1032">
        <v>1</v>
      </c>
      <c r="Y300" s="1032" t="s">
        <v>75</v>
      </c>
      <c r="Z300" s="1032" t="s">
        <v>75</v>
      </c>
      <c r="AA300" s="1032" t="s">
        <v>1500</v>
      </c>
      <c r="AB300" s="1033">
        <v>46093</v>
      </c>
      <c r="AC300" s="1032">
        <v>11</v>
      </c>
      <c r="AD300" s="1032" t="s">
        <v>1501</v>
      </c>
      <c r="AF300" s="1032" t="s">
        <v>122</v>
      </c>
      <c r="AG300" s="1032" t="s">
        <v>123</v>
      </c>
      <c r="AH300" s="1032" t="s">
        <v>105</v>
      </c>
      <c r="AI300" s="1033">
        <v>46097</v>
      </c>
      <c r="AJ300" s="1033">
        <v>46100</v>
      </c>
      <c r="AK300" s="1033">
        <v>46103</v>
      </c>
      <c r="AL300" s="1033">
        <v>46134</v>
      </c>
      <c r="AM300" s="1033">
        <v>46151</v>
      </c>
      <c r="AN300" s="1033">
        <v>46153</v>
      </c>
      <c r="AO300" s="1032" t="s">
        <v>402</v>
      </c>
      <c r="AP300" s="1032" t="s">
        <v>1486</v>
      </c>
      <c r="AQ300" s="1032" t="s">
        <v>80</v>
      </c>
      <c r="AR300" s="1032" t="s">
        <v>1497</v>
      </c>
      <c r="AS300" s="1032" t="s">
        <v>1498</v>
      </c>
      <c r="AT300" s="1032" t="s">
        <v>1498</v>
      </c>
      <c r="AU300" s="1032">
        <v>50</v>
      </c>
      <c r="AW300" s="1033">
        <v>46153</v>
      </c>
      <c r="AX300" s="1032" t="s">
        <v>973</v>
      </c>
      <c r="AY300" s="1033">
        <v>46159</v>
      </c>
      <c r="AZ300" s="1032">
        <v>7</v>
      </c>
      <c r="BA300" s="1033">
        <v>46160</v>
      </c>
      <c r="BB300" s="1032">
        <v>2026</v>
      </c>
      <c r="BC300" s="1032">
        <v>5</v>
      </c>
      <c r="BD300" s="1032">
        <v>21</v>
      </c>
      <c r="BE300" s="1032">
        <v>36</v>
      </c>
      <c r="BF300" s="1032">
        <v>864</v>
      </c>
      <c r="BG300" s="1032" t="s">
        <v>85</v>
      </c>
      <c r="BH300" s="1032" t="s">
        <v>109</v>
      </c>
    </row>
    <row r="301" spans="1:60">
      <c r="A301" s="1032" t="s">
        <v>1482</v>
      </c>
      <c r="B301" s="1032" t="s">
        <v>111</v>
      </c>
      <c r="C301" s="1032" t="s">
        <v>203</v>
      </c>
      <c r="D301" s="1032" t="s">
        <v>63</v>
      </c>
      <c r="E301" s="1032" t="s">
        <v>64</v>
      </c>
      <c r="F301" s="1032" t="s">
        <v>100</v>
      </c>
      <c r="G301" s="1032" t="s">
        <v>402</v>
      </c>
      <c r="H301" s="1032" t="s">
        <v>67</v>
      </c>
      <c r="I301" s="1032" t="s">
        <v>689</v>
      </c>
      <c r="J301" s="1032" t="s">
        <v>101</v>
      </c>
      <c r="M301" s="1032" t="s">
        <v>68</v>
      </c>
      <c r="N301" s="1032">
        <v>46093</v>
      </c>
      <c r="O301" s="1032" t="s">
        <v>70</v>
      </c>
      <c r="P301" s="1032" t="s">
        <v>1483</v>
      </c>
      <c r="Q301" s="1032" t="s">
        <v>1484</v>
      </c>
      <c r="R301" s="1032" t="s">
        <v>73</v>
      </c>
      <c r="S301" s="1032" t="s">
        <v>992</v>
      </c>
      <c r="T301" s="1032">
        <v>725</v>
      </c>
      <c r="U301" s="1032">
        <v>594</v>
      </c>
      <c r="V301" s="1032">
        <v>0.43064999999999998</v>
      </c>
      <c r="W301" s="1032">
        <v>18</v>
      </c>
      <c r="X301" s="1032">
        <v>1</v>
      </c>
      <c r="Y301" s="1032" t="s">
        <v>75</v>
      </c>
      <c r="Z301" s="1032" t="s">
        <v>75</v>
      </c>
      <c r="AA301" s="1032" t="s">
        <v>1456</v>
      </c>
      <c r="AB301" s="1033">
        <v>46093</v>
      </c>
      <c r="AC301" s="1032">
        <v>11</v>
      </c>
      <c r="AD301" s="1032" t="s">
        <v>1502</v>
      </c>
      <c r="AF301" s="1032" t="s">
        <v>122</v>
      </c>
      <c r="AG301" s="1032" t="s">
        <v>123</v>
      </c>
      <c r="AH301" s="1032" t="s">
        <v>105</v>
      </c>
      <c r="AI301" s="1033">
        <v>46097</v>
      </c>
      <c r="AJ301" s="1033">
        <v>46100</v>
      </c>
      <c r="AK301" s="1033">
        <v>46103</v>
      </c>
      <c r="AL301" s="1033">
        <v>46134</v>
      </c>
      <c r="AM301" s="1033">
        <v>46151</v>
      </c>
      <c r="AN301" s="1033">
        <v>46153</v>
      </c>
      <c r="AO301" s="1032" t="s">
        <v>402</v>
      </c>
      <c r="AP301" s="1032" t="s">
        <v>1486</v>
      </c>
      <c r="AQ301" s="1032" t="s">
        <v>80</v>
      </c>
      <c r="AR301" s="1032" t="s">
        <v>1497</v>
      </c>
      <c r="AS301" s="1032" t="s">
        <v>1498</v>
      </c>
      <c r="AT301" s="1032" t="s">
        <v>1498</v>
      </c>
      <c r="AU301" s="1032">
        <v>50</v>
      </c>
      <c r="AW301" s="1033">
        <v>46153</v>
      </c>
      <c r="AX301" s="1032" t="s">
        <v>973</v>
      </c>
      <c r="AY301" s="1033">
        <v>46159</v>
      </c>
      <c r="AZ301" s="1032">
        <v>7</v>
      </c>
      <c r="BA301" s="1033">
        <v>46160</v>
      </c>
      <c r="BB301" s="1032">
        <v>2026</v>
      </c>
      <c r="BC301" s="1032">
        <v>5</v>
      </c>
      <c r="BD301" s="1032">
        <v>21</v>
      </c>
      <c r="BE301" s="1032">
        <v>33</v>
      </c>
      <c r="BF301" s="1032">
        <v>594</v>
      </c>
      <c r="BG301" s="1032" t="s">
        <v>128</v>
      </c>
      <c r="BH301" s="1032" t="s">
        <v>109</v>
      </c>
    </row>
    <row r="302" spans="1:60">
      <c r="A302" s="1032" t="s">
        <v>1503</v>
      </c>
      <c r="B302" s="1032" t="s">
        <v>111</v>
      </c>
      <c r="C302" s="1032" t="s">
        <v>1310</v>
      </c>
      <c r="D302" s="1032" t="s">
        <v>63</v>
      </c>
      <c r="E302" s="1032" t="s">
        <v>64</v>
      </c>
      <c r="F302" s="1032" t="s">
        <v>100</v>
      </c>
      <c r="G302" s="1032" t="s">
        <v>402</v>
      </c>
      <c r="H302" s="1032" t="s">
        <v>67</v>
      </c>
      <c r="I302" s="1032" t="s">
        <v>689</v>
      </c>
      <c r="J302" s="1032" t="s">
        <v>483</v>
      </c>
      <c r="M302" s="1032" t="s">
        <v>68</v>
      </c>
      <c r="N302" s="1032">
        <v>46083</v>
      </c>
      <c r="O302" s="1032" t="s">
        <v>473</v>
      </c>
      <c r="P302" s="1032" t="s">
        <v>529</v>
      </c>
      <c r="Q302" s="1032" t="s">
        <v>1311</v>
      </c>
      <c r="R302" s="1032" t="s">
        <v>73</v>
      </c>
      <c r="S302" s="1032" t="s">
        <v>967</v>
      </c>
      <c r="T302" s="1032">
        <v>455</v>
      </c>
      <c r="U302" s="1032">
        <v>6912</v>
      </c>
      <c r="V302" s="1032">
        <v>3.1449600000000002</v>
      </c>
      <c r="W302" s="1032">
        <v>192</v>
      </c>
      <c r="X302" s="1032">
        <v>8</v>
      </c>
      <c r="Y302" s="1032" t="s">
        <v>75</v>
      </c>
      <c r="Z302" s="1032" t="s">
        <v>75</v>
      </c>
      <c r="AA302" s="1032" t="s">
        <v>1504</v>
      </c>
      <c r="AB302" s="1033">
        <v>46093</v>
      </c>
      <c r="AC302" s="1032">
        <v>11</v>
      </c>
      <c r="AD302" s="1032" t="s">
        <v>1505</v>
      </c>
      <c r="AF302" s="1032" t="s">
        <v>122</v>
      </c>
      <c r="AG302" s="1032" t="s">
        <v>123</v>
      </c>
      <c r="AH302" s="1032" t="s">
        <v>105</v>
      </c>
      <c r="AI302" s="1033">
        <v>46097</v>
      </c>
      <c r="AJ302" s="1033">
        <v>46100</v>
      </c>
      <c r="AK302" s="1033">
        <v>46103</v>
      </c>
      <c r="AL302" s="1033">
        <v>46134</v>
      </c>
      <c r="AM302" s="1033">
        <v>46151</v>
      </c>
      <c r="AN302" s="1033">
        <v>46153</v>
      </c>
      <c r="AO302" s="1032" t="s">
        <v>402</v>
      </c>
      <c r="AP302" s="1032" t="s">
        <v>1486</v>
      </c>
      <c r="AQ302" s="1032" t="s">
        <v>80</v>
      </c>
      <c r="AR302" s="1032" t="s">
        <v>1497</v>
      </c>
      <c r="AS302" s="1032" t="s">
        <v>1498</v>
      </c>
      <c r="AT302" s="1032" t="s">
        <v>1498</v>
      </c>
      <c r="AU302" s="1032">
        <v>50</v>
      </c>
      <c r="AW302" s="1033">
        <v>46153</v>
      </c>
      <c r="AX302" s="1032" t="s">
        <v>973</v>
      </c>
      <c r="AY302" s="1033">
        <v>46159</v>
      </c>
      <c r="AZ302" s="1032">
        <v>7</v>
      </c>
      <c r="BA302" s="1033">
        <v>46160</v>
      </c>
      <c r="BB302" s="1032">
        <v>2026</v>
      </c>
      <c r="BC302" s="1032">
        <v>5</v>
      </c>
      <c r="BD302" s="1032">
        <v>21</v>
      </c>
      <c r="BE302" s="1032">
        <v>36</v>
      </c>
      <c r="BF302" s="1032">
        <v>864</v>
      </c>
      <c r="BG302" s="1032" t="s">
        <v>85</v>
      </c>
      <c r="BH302" s="1032" t="s">
        <v>109</v>
      </c>
    </row>
    <row r="303" spans="1:60">
      <c r="A303" s="1032" t="s">
        <v>1506</v>
      </c>
      <c r="B303" s="1032" t="s">
        <v>111</v>
      </c>
      <c r="C303" s="1032" t="s">
        <v>1326</v>
      </c>
      <c r="D303" s="1032" t="s">
        <v>113</v>
      </c>
      <c r="E303" s="1032" t="s">
        <v>64</v>
      </c>
      <c r="F303" s="1032" t="s">
        <v>65</v>
      </c>
      <c r="G303" s="1032" t="s">
        <v>402</v>
      </c>
      <c r="H303" s="1032" t="s">
        <v>67</v>
      </c>
      <c r="I303" s="1032" t="s">
        <v>822</v>
      </c>
      <c r="J303" s="1032" t="s">
        <v>1327</v>
      </c>
      <c r="M303" s="1032" t="s">
        <v>68</v>
      </c>
      <c r="N303" s="1032" t="s">
        <v>68</v>
      </c>
      <c r="O303" s="1032" t="s">
        <v>70</v>
      </c>
      <c r="P303" s="1032" t="s">
        <v>218</v>
      </c>
      <c r="Q303" s="1032" t="s">
        <v>219</v>
      </c>
      <c r="R303" s="1032" t="s">
        <v>73</v>
      </c>
      <c r="S303" s="1032" t="s">
        <v>992</v>
      </c>
      <c r="T303" s="1032">
        <v>625</v>
      </c>
      <c r="U303" s="1032">
        <v>6480</v>
      </c>
      <c r="V303" s="1032">
        <v>4.05</v>
      </c>
      <c r="W303" s="1032">
        <v>180</v>
      </c>
      <c r="X303" s="1032">
        <v>9</v>
      </c>
      <c r="Y303" s="1032" t="s">
        <v>75</v>
      </c>
      <c r="Z303" s="1032" t="s">
        <v>75</v>
      </c>
      <c r="AB303" s="1033">
        <v>46091</v>
      </c>
      <c r="AC303" s="1032">
        <v>11</v>
      </c>
      <c r="AD303" s="1032" t="s">
        <v>1507</v>
      </c>
      <c r="AF303" s="1032" t="s">
        <v>122</v>
      </c>
      <c r="AG303" s="1032" t="s">
        <v>123</v>
      </c>
      <c r="AH303" s="1032" t="s">
        <v>78</v>
      </c>
      <c r="AI303" s="1033">
        <v>46096</v>
      </c>
      <c r="AJ303" s="1033">
        <v>46095</v>
      </c>
      <c r="AK303" s="1033">
        <v>46095</v>
      </c>
      <c r="AL303" s="1033">
        <v>46146</v>
      </c>
      <c r="AM303" s="1033">
        <v>46153</v>
      </c>
      <c r="AN303" s="1033">
        <v>46159</v>
      </c>
      <c r="AO303" s="1032" t="s">
        <v>402</v>
      </c>
      <c r="AP303" s="1032" t="s">
        <v>1508</v>
      </c>
      <c r="AQ303" s="1032" t="s">
        <v>80</v>
      </c>
      <c r="AR303" s="1032" t="s">
        <v>1509</v>
      </c>
      <c r="AS303" s="1032" t="s">
        <v>1510</v>
      </c>
      <c r="AT303" s="1032" t="s">
        <v>1510</v>
      </c>
      <c r="AU303" s="1032">
        <v>64</v>
      </c>
      <c r="AW303" s="1033">
        <v>46159</v>
      </c>
      <c r="AX303" s="1032" t="s">
        <v>973</v>
      </c>
      <c r="AY303" s="1033">
        <v>46170</v>
      </c>
      <c r="AZ303" s="1032">
        <v>8</v>
      </c>
      <c r="BA303" s="1033">
        <v>46167</v>
      </c>
      <c r="BB303" s="1032">
        <v>2026</v>
      </c>
      <c r="BC303" s="1032">
        <v>5</v>
      </c>
      <c r="BD303" s="1032">
        <v>22</v>
      </c>
      <c r="BE303" s="1032">
        <v>36</v>
      </c>
      <c r="BF303" s="1032">
        <v>720</v>
      </c>
      <c r="BG303" s="1032" t="s">
        <v>128</v>
      </c>
      <c r="BH303" s="1032" t="s">
        <v>86</v>
      </c>
    </row>
    <row r="304" spans="1:60">
      <c r="A304" s="1032" t="s">
        <v>1511</v>
      </c>
      <c r="B304" s="1032" t="s">
        <v>111</v>
      </c>
      <c r="C304" s="1032" t="s">
        <v>1333</v>
      </c>
      <c r="D304" s="1032" t="s">
        <v>113</v>
      </c>
      <c r="E304" s="1032" t="s">
        <v>64</v>
      </c>
      <c r="F304" s="1032" t="s">
        <v>65</v>
      </c>
      <c r="G304" s="1032" t="s">
        <v>402</v>
      </c>
      <c r="H304" s="1032" t="s">
        <v>67</v>
      </c>
      <c r="I304" s="1032" t="s">
        <v>822</v>
      </c>
      <c r="J304" s="1032" t="s">
        <v>1327</v>
      </c>
      <c r="M304" s="1032" t="s">
        <v>68</v>
      </c>
      <c r="N304" s="1032" t="s">
        <v>68</v>
      </c>
      <c r="O304" s="1032" t="s">
        <v>70</v>
      </c>
      <c r="P304" s="1032" t="s">
        <v>1334</v>
      </c>
      <c r="Q304" s="1032" t="s">
        <v>1335</v>
      </c>
      <c r="R304" s="1032" t="s">
        <v>73</v>
      </c>
      <c r="S304" s="1032" t="s">
        <v>992</v>
      </c>
      <c r="T304" s="1032">
        <v>630</v>
      </c>
      <c r="U304" s="1032">
        <v>4320</v>
      </c>
      <c r="V304" s="1032">
        <v>2.7216</v>
      </c>
      <c r="W304" s="1032">
        <v>120</v>
      </c>
      <c r="X304" s="1032">
        <v>6</v>
      </c>
      <c r="Y304" s="1032" t="s">
        <v>75</v>
      </c>
      <c r="Z304" s="1032" t="s">
        <v>75</v>
      </c>
      <c r="AB304" s="1033">
        <v>46091</v>
      </c>
      <c r="AC304" s="1032">
        <v>11</v>
      </c>
      <c r="AD304" s="1032" t="s">
        <v>1512</v>
      </c>
      <c r="AF304" s="1032" t="s">
        <v>122</v>
      </c>
      <c r="AG304" s="1032" t="s">
        <v>123</v>
      </c>
      <c r="AH304" s="1032" t="s">
        <v>78</v>
      </c>
      <c r="AI304" s="1033">
        <v>46096</v>
      </c>
      <c r="AJ304" s="1033">
        <v>46095</v>
      </c>
      <c r="AK304" s="1033">
        <v>46095</v>
      </c>
      <c r="AL304" s="1033">
        <v>46146</v>
      </c>
      <c r="AM304" s="1033">
        <v>46153</v>
      </c>
      <c r="AN304" s="1033">
        <v>46159</v>
      </c>
      <c r="AO304" s="1032" t="s">
        <v>402</v>
      </c>
      <c r="AP304" s="1032" t="s">
        <v>1508</v>
      </c>
      <c r="AQ304" s="1032" t="s">
        <v>80</v>
      </c>
      <c r="AR304" s="1032" t="s">
        <v>1509</v>
      </c>
      <c r="AS304" s="1032" t="s">
        <v>1510</v>
      </c>
      <c r="AT304" s="1032" t="s">
        <v>1510</v>
      </c>
      <c r="AU304" s="1032">
        <v>64</v>
      </c>
      <c r="AW304" s="1033">
        <v>46159</v>
      </c>
      <c r="AX304" s="1032" t="s">
        <v>973</v>
      </c>
      <c r="AY304" s="1033">
        <v>46170</v>
      </c>
      <c r="AZ304" s="1032">
        <v>8</v>
      </c>
      <c r="BA304" s="1033">
        <v>46167</v>
      </c>
      <c r="BB304" s="1032">
        <v>2026</v>
      </c>
      <c r="BC304" s="1032">
        <v>5</v>
      </c>
      <c r="BD304" s="1032">
        <v>22</v>
      </c>
      <c r="BE304" s="1032">
        <v>36</v>
      </c>
      <c r="BF304" s="1032">
        <v>720</v>
      </c>
      <c r="BG304" s="1032" t="s">
        <v>94</v>
      </c>
      <c r="BH304" s="1032" t="s">
        <v>86</v>
      </c>
    </row>
    <row r="305" spans="1:60">
      <c r="A305" s="1032" t="s">
        <v>1513</v>
      </c>
      <c r="B305" s="1032" t="s">
        <v>111</v>
      </c>
      <c r="C305" s="1032" t="s">
        <v>1318</v>
      </c>
      <c r="D305" s="1032" t="s">
        <v>63</v>
      </c>
      <c r="E305" s="1032" t="s">
        <v>64</v>
      </c>
      <c r="F305" s="1032" t="s">
        <v>114</v>
      </c>
      <c r="G305" s="1032" t="s">
        <v>402</v>
      </c>
      <c r="H305" s="1032" t="s">
        <v>115</v>
      </c>
      <c r="I305" s="1032" t="s">
        <v>689</v>
      </c>
      <c r="J305" s="1032" t="s">
        <v>646</v>
      </c>
      <c r="M305" s="1032" t="s">
        <v>68</v>
      </c>
      <c r="N305" s="1032">
        <v>46083</v>
      </c>
      <c r="O305" s="1032" t="s">
        <v>473</v>
      </c>
      <c r="P305" s="1032" t="s">
        <v>474</v>
      </c>
      <c r="Q305" s="1032" t="s">
        <v>1319</v>
      </c>
      <c r="R305" s="1032" t="s">
        <v>73</v>
      </c>
      <c r="S305" s="1032" t="s">
        <v>967</v>
      </c>
      <c r="T305" s="1032">
        <v>460</v>
      </c>
      <c r="U305" s="1032">
        <v>1728</v>
      </c>
      <c r="V305" s="1032">
        <v>0.79488000000000003</v>
      </c>
      <c r="W305" s="1032">
        <v>48</v>
      </c>
      <c r="X305" s="1032">
        <v>2</v>
      </c>
      <c r="Y305" s="1032" t="s">
        <v>75</v>
      </c>
      <c r="Z305" s="1032" t="s">
        <v>75</v>
      </c>
      <c r="AA305" s="1032" t="s">
        <v>1514</v>
      </c>
      <c r="AB305" s="1033">
        <v>46088</v>
      </c>
      <c r="AC305" s="1032">
        <v>10</v>
      </c>
      <c r="AD305" s="1032" t="s">
        <v>1515</v>
      </c>
      <c r="AF305" s="1032" t="s">
        <v>122</v>
      </c>
      <c r="AG305" s="1032" t="s">
        <v>123</v>
      </c>
      <c r="AH305" s="1032" t="s">
        <v>124</v>
      </c>
      <c r="AI305" s="1033">
        <v>46096</v>
      </c>
      <c r="AJ305" s="1033">
        <v>46095</v>
      </c>
      <c r="AK305" s="1033">
        <v>46095</v>
      </c>
      <c r="AL305" s="1033">
        <v>46149</v>
      </c>
      <c r="AM305" s="1033">
        <v>46162</v>
      </c>
      <c r="AN305" s="1033">
        <v>46162</v>
      </c>
      <c r="AO305" s="1032" t="s">
        <v>402</v>
      </c>
      <c r="AP305" s="1032" t="s">
        <v>1508</v>
      </c>
      <c r="AQ305" s="1032" t="s">
        <v>80</v>
      </c>
      <c r="AR305" s="1032" t="s">
        <v>1516</v>
      </c>
      <c r="AS305" s="1032" t="s">
        <v>1517</v>
      </c>
      <c r="AT305" s="1032" t="s">
        <v>1517</v>
      </c>
      <c r="AU305" s="1032">
        <v>67</v>
      </c>
      <c r="AW305" s="1033">
        <v>46162</v>
      </c>
      <c r="AX305" s="1032" t="s">
        <v>973</v>
      </c>
      <c r="AY305" s="1033">
        <v>46175</v>
      </c>
      <c r="AZ305" s="1032">
        <v>9</v>
      </c>
      <c r="BA305" s="1033">
        <v>46171</v>
      </c>
      <c r="BB305" s="1032">
        <v>2026</v>
      </c>
      <c r="BC305" s="1032">
        <v>5</v>
      </c>
      <c r="BD305" s="1032">
        <v>22</v>
      </c>
      <c r="BE305" s="1032">
        <v>36</v>
      </c>
      <c r="BF305" s="1032">
        <v>864</v>
      </c>
      <c r="BG305" s="1032" t="s">
        <v>85</v>
      </c>
      <c r="BH305" s="1032" t="s">
        <v>86</v>
      </c>
    </row>
    <row r="306" spans="1:60">
      <c r="A306" s="1032" t="s">
        <v>1518</v>
      </c>
      <c r="B306" s="1032" t="s">
        <v>1519</v>
      </c>
      <c r="C306" s="1032" t="s">
        <v>1520</v>
      </c>
      <c r="D306" s="1032" t="s">
        <v>63</v>
      </c>
      <c r="E306" s="1032" t="s">
        <v>64</v>
      </c>
      <c r="F306" s="1032" t="s">
        <v>100</v>
      </c>
      <c r="G306" s="1032" t="s">
        <v>402</v>
      </c>
      <c r="H306" s="1032" t="s">
        <v>67</v>
      </c>
      <c r="I306" s="1032" t="s">
        <v>689</v>
      </c>
      <c r="J306" s="1032" t="s">
        <v>483</v>
      </c>
      <c r="M306" s="1032" t="s">
        <v>68</v>
      </c>
      <c r="N306" s="1032">
        <v>46090</v>
      </c>
      <c r="O306" s="1032" t="s">
        <v>284</v>
      </c>
      <c r="P306" s="1032" t="s">
        <v>1521</v>
      </c>
      <c r="Q306" s="1032" t="s">
        <v>1522</v>
      </c>
      <c r="R306" s="1032" t="s">
        <v>73</v>
      </c>
      <c r="S306" s="1032" t="s">
        <v>967</v>
      </c>
      <c r="T306" s="1032">
        <v>490</v>
      </c>
      <c r="U306" s="1032">
        <v>3456</v>
      </c>
      <c r="V306" s="1032">
        <v>1.6934400000000001</v>
      </c>
      <c r="W306" s="1032">
        <v>96</v>
      </c>
      <c r="X306" s="1032">
        <v>4</v>
      </c>
      <c r="Y306" s="1032" t="s">
        <v>75</v>
      </c>
      <c r="Z306" s="1032" t="s">
        <v>75</v>
      </c>
      <c r="AA306" s="1032" t="s">
        <v>1523</v>
      </c>
      <c r="AB306" s="1033">
        <v>46091</v>
      </c>
      <c r="AC306" s="1032">
        <v>11</v>
      </c>
      <c r="AD306" s="1032" t="s">
        <v>1524</v>
      </c>
      <c r="AF306" s="1032" t="s">
        <v>1525</v>
      </c>
      <c r="AG306" s="1032" t="s">
        <v>123</v>
      </c>
      <c r="AH306" s="1032" t="s">
        <v>105</v>
      </c>
      <c r="AI306" s="1033">
        <v>46100</v>
      </c>
      <c r="AJ306" s="1033">
        <v>46100</v>
      </c>
      <c r="AK306" s="1033">
        <v>46101</v>
      </c>
      <c r="AL306" s="1033">
        <v>46143</v>
      </c>
      <c r="AM306" s="1033">
        <v>46148</v>
      </c>
      <c r="AN306" s="1033">
        <v>46161</v>
      </c>
      <c r="AO306" s="1032" t="s">
        <v>402</v>
      </c>
      <c r="AP306" s="1032" t="s">
        <v>1526</v>
      </c>
      <c r="AQ306" s="1032" t="s">
        <v>161</v>
      </c>
      <c r="AR306" s="1032" t="s">
        <v>1527</v>
      </c>
      <c r="AS306" s="1032" t="s">
        <v>1528</v>
      </c>
      <c r="AT306" s="1032" t="s">
        <v>1529</v>
      </c>
      <c r="AU306" s="1032">
        <v>60</v>
      </c>
      <c r="AW306" s="1033">
        <v>46161</v>
      </c>
      <c r="AX306" s="1032" t="s">
        <v>973</v>
      </c>
      <c r="AY306" s="1033">
        <v>46175</v>
      </c>
      <c r="AZ306" s="1032">
        <v>7</v>
      </c>
      <c r="BA306" s="1033">
        <v>46168</v>
      </c>
      <c r="BB306" s="1032">
        <v>2026</v>
      </c>
      <c r="BC306" s="1032">
        <v>5</v>
      </c>
      <c r="BD306" s="1032">
        <v>22</v>
      </c>
      <c r="BE306" s="1032">
        <v>36</v>
      </c>
      <c r="BF306" s="1032">
        <v>864</v>
      </c>
      <c r="BG306" s="1032" t="s">
        <v>85</v>
      </c>
      <c r="BH306" s="1032" t="s">
        <v>109</v>
      </c>
    </row>
    <row r="307" spans="1:60">
      <c r="A307" s="1032" t="s">
        <v>1530</v>
      </c>
      <c r="B307" s="1032" t="s">
        <v>1519</v>
      </c>
      <c r="C307" s="1032" t="s">
        <v>1531</v>
      </c>
      <c r="D307" s="1032" t="s">
        <v>63</v>
      </c>
      <c r="E307" s="1032" t="s">
        <v>64</v>
      </c>
      <c r="F307" s="1032" t="s">
        <v>100</v>
      </c>
      <c r="G307" s="1032" t="s">
        <v>402</v>
      </c>
      <c r="H307" s="1032" t="s">
        <v>67</v>
      </c>
      <c r="I307" s="1032" t="s">
        <v>689</v>
      </c>
      <c r="J307" s="1032" t="s">
        <v>483</v>
      </c>
      <c r="M307" s="1032" t="s">
        <v>68</v>
      </c>
      <c r="N307" s="1032">
        <v>46090</v>
      </c>
      <c r="O307" s="1032" t="s">
        <v>284</v>
      </c>
      <c r="P307" s="1032" t="s">
        <v>1532</v>
      </c>
      <c r="Q307" s="1032" t="s">
        <v>1533</v>
      </c>
      <c r="R307" s="1032" t="s">
        <v>73</v>
      </c>
      <c r="S307" s="1032" t="s">
        <v>967</v>
      </c>
      <c r="T307" s="1032">
        <v>495</v>
      </c>
      <c r="U307" s="1032">
        <v>864</v>
      </c>
      <c r="V307" s="1032">
        <v>0.42768</v>
      </c>
      <c r="W307" s="1032">
        <v>24</v>
      </c>
      <c r="X307" s="1032">
        <v>1</v>
      </c>
      <c r="Y307" s="1032" t="s">
        <v>75</v>
      </c>
      <c r="Z307" s="1032" t="s">
        <v>75</v>
      </c>
      <c r="AA307" s="1032" t="s">
        <v>1534</v>
      </c>
      <c r="AB307" s="1033">
        <v>46091</v>
      </c>
      <c r="AC307" s="1032">
        <v>11</v>
      </c>
      <c r="AD307" s="1032" t="s">
        <v>1535</v>
      </c>
      <c r="AF307" s="1032" t="s">
        <v>1525</v>
      </c>
      <c r="AG307" s="1032" t="s">
        <v>123</v>
      </c>
      <c r="AH307" s="1032" t="s">
        <v>105</v>
      </c>
      <c r="AI307" s="1033">
        <v>46100</v>
      </c>
      <c r="AJ307" s="1033">
        <v>46100</v>
      </c>
      <c r="AK307" s="1033">
        <v>46101</v>
      </c>
      <c r="AL307" s="1033">
        <v>46143</v>
      </c>
      <c r="AM307" s="1033">
        <v>46148</v>
      </c>
      <c r="AN307" s="1033">
        <v>46161</v>
      </c>
      <c r="AO307" s="1032" t="s">
        <v>402</v>
      </c>
      <c r="AP307" s="1032" t="s">
        <v>1526</v>
      </c>
      <c r="AQ307" s="1032" t="s">
        <v>161</v>
      </c>
      <c r="AR307" s="1032" t="s">
        <v>1527</v>
      </c>
      <c r="AS307" s="1032" t="s">
        <v>1528</v>
      </c>
      <c r="AT307" s="1032" t="s">
        <v>1529</v>
      </c>
      <c r="AU307" s="1032">
        <v>60</v>
      </c>
      <c r="AW307" s="1033">
        <v>46161</v>
      </c>
      <c r="AX307" s="1032" t="s">
        <v>973</v>
      </c>
      <c r="AY307" s="1033">
        <v>46174</v>
      </c>
      <c r="AZ307" s="1032">
        <v>7</v>
      </c>
      <c r="BA307" s="1033">
        <v>46168</v>
      </c>
      <c r="BB307" s="1032">
        <v>2026</v>
      </c>
      <c r="BC307" s="1032">
        <v>5</v>
      </c>
      <c r="BD307" s="1032">
        <v>22</v>
      </c>
      <c r="BE307" s="1032">
        <v>36</v>
      </c>
      <c r="BF307" s="1032">
        <v>864</v>
      </c>
      <c r="BG307" s="1032" t="s">
        <v>85</v>
      </c>
      <c r="BH307" s="1032" t="s">
        <v>109</v>
      </c>
    </row>
    <row r="308" spans="1:60">
      <c r="A308" s="1032" t="s">
        <v>1536</v>
      </c>
      <c r="B308" s="1032" t="s">
        <v>1519</v>
      </c>
      <c r="C308" s="1032" t="s">
        <v>1531</v>
      </c>
      <c r="D308" s="1032" t="s">
        <v>63</v>
      </c>
      <c r="E308" s="1032" t="s">
        <v>144</v>
      </c>
      <c r="F308" s="1032" t="s">
        <v>145</v>
      </c>
      <c r="G308" s="1032" t="s">
        <v>402</v>
      </c>
      <c r="H308" s="1032" t="s">
        <v>538</v>
      </c>
      <c r="I308" s="1032" t="s">
        <v>689</v>
      </c>
      <c r="J308" s="1032" t="s">
        <v>1537</v>
      </c>
      <c r="K308" s="1032" t="s">
        <v>1538</v>
      </c>
      <c r="M308" s="1032" t="s">
        <v>840</v>
      </c>
      <c r="N308" s="1032">
        <v>46090</v>
      </c>
      <c r="O308" s="1032" t="s">
        <v>284</v>
      </c>
      <c r="P308" s="1032" t="s">
        <v>1532</v>
      </c>
      <c r="Q308" s="1032" t="s">
        <v>1533</v>
      </c>
      <c r="R308" s="1032" t="s">
        <v>73</v>
      </c>
      <c r="S308" s="1032" t="s">
        <v>967</v>
      </c>
      <c r="T308" s="1032">
        <v>495</v>
      </c>
      <c r="U308" s="1032">
        <v>864</v>
      </c>
      <c r="V308" s="1032">
        <v>0.42768</v>
      </c>
      <c r="W308" s="1032">
        <v>24</v>
      </c>
      <c r="X308" s="1032">
        <v>1</v>
      </c>
      <c r="Y308" s="1032" t="s">
        <v>75</v>
      </c>
      <c r="Z308" s="1032" t="s">
        <v>75</v>
      </c>
      <c r="AA308" s="1032" t="s">
        <v>1534</v>
      </c>
      <c r="AB308" s="1033">
        <v>46093</v>
      </c>
      <c r="AC308" s="1032">
        <v>11</v>
      </c>
      <c r="AD308" s="1032" t="s">
        <v>1539</v>
      </c>
      <c r="AF308" s="1032" t="s">
        <v>1525</v>
      </c>
      <c r="AG308" s="1032" t="s">
        <v>123</v>
      </c>
      <c r="AH308" s="1032" t="s">
        <v>541</v>
      </c>
      <c r="AI308" s="1033">
        <v>46101</v>
      </c>
      <c r="AJ308" s="1033">
        <v>46100</v>
      </c>
      <c r="AK308" s="1033">
        <v>46100</v>
      </c>
      <c r="AL308" s="1033">
        <v>46161</v>
      </c>
      <c r="AM308" s="1033">
        <v>46171</v>
      </c>
      <c r="AN308" s="1033">
        <v>46172</v>
      </c>
      <c r="AO308" s="1032" t="s">
        <v>402</v>
      </c>
      <c r="AP308" s="1032" t="s">
        <v>1540</v>
      </c>
      <c r="AQ308" s="1032" t="s">
        <v>161</v>
      </c>
      <c r="AR308" s="1032" t="s">
        <v>1541</v>
      </c>
      <c r="AS308" s="1032" t="s">
        <v>1542</v>
      </c>
      <c r="AT308" s="1032" t="s">
        <v>1542</v>
      </c>
      <c r="AU308" s="1032">
        <v>72</v>
      </c>
      <c r="AW308" s="1033">
        <v>46172</v>
      </c>
      <c r="AX308" s="1032" t="s">
        <v>973</v>
      </c>
      <c r="AY308" s="1033">
        <v>46177</v>
      </c>
      <c r="AZ308" s="1032">
        <v>0</v>
      </c>
      <c r="BA308" s="1033">
        <v>46172</v>
      </c>
      <c r="BB308" s="1032">
        <v>2026</v>
      </c>
      <c r="BC308" s="1032">
        <v>5</v>
      </c>
      <c r="BD308" s="1032">
        <v>22</v>
      </c>
      <c r="BE308" s="1032">
        <v>36</v>
      </c>
      <c r="BF308" s="1032">
        <v>864</v>
      </c>
      <c r="BG308" s="1032" t="s">
        <v>85</v>
      </c>
      <c r="BH308" s="1032" t="s">
        <v>109</v>
      </c>
    </row>
    <row r="309" spans="1:60">
      <c r="A309" s="1032" t="s">
        <v>1543</v>
      </c>
      <c r="B309" s="1032" t="s">
        <v>1519</v>
      </c>
      <c r="C309" s="1032" t="s">
        <v>1520</v>
      </c>
      <c r="D309" s="1032" t="s">
        <v>63</v>
      </c>
      <c r="E309" s="1032" t="s">
        <v>144</v>
      </c>
      <c r="F309" s="1032" t="s">
        <v>145</v>
      </c>
      <c r="G309" s="1032" t="s">
        <v>402</v>
      </c>
      <c r="H309" s="1032" t="s">
        <v>538</v>
      </c>
      <c r="I309" s="1032" t="s">
        <v>689</v>
      </c>
      <c r="J309" s="1032" t="s">
        <v>1537</v>
      </c>
      <c r="K309" s="1032" t="s">
        <v>1538</v>
      </c>
      <c r="M309" s="1032" t="s">
        <v>840</v>
      </c>
      <c r="N309" s="1032">
        <v>46090</v>
      </c>
      <c r="O309" s="1032" t="s">
        <v>284</v>
      </c>
      <c r="P309" s="1032" t="s">
        <v>1521</v>
      </c>
      <c r="Q309" s="1032" t="s">
        <v>1522</v>
      </c>
      <c r="R309" s="1032" t="s">
        <v>73</v>
      </c>
      <c r="S309" s="1032" t="s">
        <v>967</v>
      </c>
      <c r="T309" s="1032">
        <v>490</v>
      </c>
      <c r="U309" s="1032">
        <v>1728</v>
      </c>
      <c r="V309" s="1032">
        <v>0.84672000000000003</v>
      </c>
      <c r="W309" s="1032">
        <v>48</v>
      </c>
      <c r="X309" s="1032">
        <v>2</v>
      </c>
      <c r="Y309" s="1032" t="s">
        <v>75</v>
      </c>
      <c r="Z309" s="1032" t="s">
        <v>75</v>
      </c>
      <c r="AA309" s="1032" t="s">
        <v>1544</v>
      </c>
      <c r="AB309" s="1033">
        <v>46093</v>
      </c>
      <c r="AC309" s="1032">
        <v>11</v>
      </c>
      <c r="AD309" s="1032" t="s">
        <v>1545</v>
      </c>
      <c r="AF309" s="1032" t="s">
        <v>1525</v>
      </c>
      <c r="AG309" s="1032" t="s">
        <v>123</v>
      </c>
      <c r="AH309" s="1032" t="s">
        <v>541</v>
      </c>
      <c r="AI309" s="1033">
        <v>46101</v>
      </c>
      <c r="AJ309" s="1033">
        <v>46100</v>
      </c>
      <c r="AK309" s="1033">
        <v>46100</v>
      </c>
      <c r="AL309" s="1033">
        <v>46161</v>
      </c>
      <c r="AM309" s="1033">
        <v>46171</v>
      </c>
      <c r="AN309" s="1033">
        <v>46172</v>
      </c>
      <c r="AO309" s="1032" t="s">
        <v>402</v>
      </c>
      <c r="AP309" s="1032" t="s">
        <v>1540</v>
      </c>
      <c r="AQ309" s="1032" t="s">
        <v>161</v>
      </c>
      <c r="AR309" s="1032" t="s">
        <v>1541</v>
      </c>
      <c r="AS309" s="1032" t="s">
        <v>1546</v>
      </c>
      <c r="AT309" s="1032" t="s">
        <v>1542</v>
      </c>
      <c r="AU309" s="1032">
        <v>72</v>
      </c>
      <c r="AW309" s="1033">
        <v>46172</v>
      </c>
      <c r="AX309" s="1032" t="s">
        <v>973</v>
      </c>
      <c r="AY309" s="1033">
        <v>46177</v>
      </c>
      <c r="AZ309" s="1032">
        <v>0</v>
      </c>
      <c r="BA309" s="1033">
        <v>46172</v>
      </c>
      <c r="BB309" s="1032">
        <v>2026</v>
      </c>
      <c r="BC309" s="1032">
        <v>5</v>
      </c>
      <c r="BD309" s="1032">
        <v>22</v>
      </c>
      <c r="BE309" s="1032">
        <v>36</v>
      </c>
      <c r="BF309" s="1032">
        <v>864</v>
      </c>
      <c r="BG309" s="1032" t="s">
        <v>85</v>
      </c>
      <c r="BH309" s="1032" t="s">
        <v>109</v>
      </c>
    </row>
    <row r="310" spans="1:60">
      <c r="A310" s="1032" t="s">
        <v>1547</v>
      </c>
      <c r="B310" s="1032" t="s">
        <v>111</v>
      </c>
      <c r="C310" s="1032" t="s">
        <v>1318</v>
      </c>
      <c r="D310" s="1032" t="s">
        <v>63</v>
      </c>
      <c r="E310" s="1032" t="s">
        <v>144</v>
      </c>
      <c r="F310" s="1032" t="s">
        <v>145</v>
      </c>
      <c r="G310" s="1032" t="s">
        <v>402</v>
      </c>
      <c r="H310" s="1032" t="s">
        <v>538</v>
      </c>
      <c r="I310" s="1032" t="s">
        <v>689</v>
      </c>
      <c r="J310" s="1032" t="s">
        <v>1537</v>
      </c>
      <c r="K310" s="1032" t="s">
        <v>1538</v>
      </c>
      <c r="M310" s="1032" t="s">
        <v>840</v>
      </c>
      <c r="N310" s="1032">
        <v>46083</v>
      </c>
      <c r="O310" s="1032" t="s">
        <v>473</v>
      </c>
      <c r="P310" s="1032" t="s">
        <v>474</v>
      </c>
      <c r="Q310" s="1032" t="s">
        <v>1319</v>
      </c>
      <c r="R310" s="1032" t="s">
        <v>73</v>
      </c>
      <c r="S310" s="1032" t="s">
        <v>967</v>
      </c>
      <c r="T310" s="1032">
        <v>460</v>
      </c>
      <c r="U310" s="1032">
        <v>8640</v>
      </c>
      <c r="V310" s="1032">
        <v>3.9744000000000002</v>
      </c>
      <c r="W310" s="1032">
        <v>240</v>
      </c>
      <c r="X310" s="1032">
        <v>10</v>
      </c>
      <c r="Y310" s="1032" t="s">
        <v>75</v>
      </c>
      <c r="Z310" s="1032" t="s">
        <v>75</v>
      </c>
      <c r="AA310" s="1032" t="s">
        <v>1548</v>
      </c>
      <c r="AB310" s="1033">
        <v>46093</v>
      </c>
      <c r="AC310" s="1032">
        <v>11</v>
      </c>
      <c r="AD310" s="1032" t="s">
        <v>1549</v>
      </c>
      <c r="AF310" s="1032" t="s">
        <v>122</v>
      </c>
      <c r="AG310" s="1032" t="s">
        <v>123</v>
      </c>
      <c r="AH310" s="1032" t="s">
        <v>541</v>
      </c>
      <c r="AI310" s="1033">
        <v>46103</v>
      </c>
      <c r="AJ310" s="1033">
        <v>46102</v>
      </c>
      <c r="AK310" s="1033">
        <v>46102</v>
      </c>
      <c r="AL310" s="1033">
        <v>46161</v>
      </c>
      <c r="AM310" s="1033">
        <v>46163</v>
      </c>
      <c r="AN310" s="1033">
        <v>46163</v>
      </c>
      <c r="AO310" s="1032" t="s">
        <v>402</v>
      </c>
      <c r="AP310" s="1032" t="s">
        <v>1550</v>
      </c>
      <c r="AQ310" s="1032" t="s">
        <v>161</v>
      </c>
      <c r="AR310" s="1032" t="s">
        <v>1551</v>
      </c>
      <c r="AS310" s="1032" t="s">
        <v>1552</v>
      </c>
      <c r="AT310" s="1032" t="s">
        <v>1553</v>
      </c>
      <c r="AU310" s="1032">
        <v>61</v>
      </c>
      <c r="AW310" s="1033">
        <v>46163</v>
      </c>
      <c r="AX310" s="1032" t="s">
        <v>973</v>
      </c>
      <c r="AY310" s="1033">
        <v>46177</v>
      </c>
      <c r="AZ310" s="1032">
        <v>0</v>
      </c>
      <c r="BA310" s="1033">
        <v>46163</v>
      </c>
      <c r="BB310" s="1032">
        <v>2026</v>
      </c>
      <c r="BC310" s="1032">
        <v>5</v>
      </c>
      <c r="BD310" s="1032">
        <v>21</v>
      </c>
      <c r="BE310" s="1032">
        <v>36</v>
      </c>
      <c r="BF310" s="1032">
        <v>864</v>
      </c>
      <c r="BG310" s="1032" t="s">
        <v>85</v>
      </c>
      <c r="BH310" s="1032" t="s">
        <v>109</v>
      </c>
    </row>
    <row r="311" spans="1:60">
      <c r="A311" s="1032" t="s">
        <v>1554</v>
      </c>
      <c r="B311" s="1032" t="s">
        <v>1519</v>
      </c>
      <c r="C311" s="1032" t="s">
        <v>1531</v>
      </c>
      <c r="D311" s="1032" t="s">
        <v>63</v>
      </c>
      <c r="E311" s="1032" t="s">
        <v>64</v>
      </c>
      <c r="F311" s="1032" t="s">
        <v>310</v>
      </c>
      <c r="G311" s="1032" t="s">
        <v>402</v>
      </c>
      <c r="H311" s="1032" t="s">
        <v>311</v>
      </c>
      <c r="I311" s="1032" t="s">
        <v>689</v>
      </c>
      <c r="J311" s="1032" t="s">
        <v>1342</v>
      </c>
      <c r="M311" s="1032" t="s">
        <v>68</v>
      </c>
      <c r="N311" s="1032">
        <v>46090</v>
      </c>
      <c r="O311" s="1032" t="s">
        <v>284</v>
      </c>
      <c r="P311" s="1032" t="s">
        <v>1532</v>
      </c>
      <c r="Q311" s="1032" t="s">
        <v>1533</v>
      </c>
      <c r="R311" s="1032" t="s">
        <v>73</v>
      </c>
      <c r="S311" s="1032" t="s">
        <v>967</v>
      </c>
      <c r="T311" s="1032">
        <v>495</v>
      </c>
      <c r="U311" s="1032">
        <v>5184</v>
      </c>
      <c r="V311" s="1032">
        <v>2.5660799999999999</v>
      </c>
      <c r="W311" s="1032">
        <v>144</v>
      </c>
      <c r="X311" s="1032">
        <v>6</v>
      </c>
      <c r="Y311" s="1032" t="s">
        <v>75</v>
      </c>
      <c r="Z311" s="1032" t="s">
        <v>75</v>
      </c>
      <c r="AB311" s="1033">
        <v>46091</v>
      </c>
      <c r="AC311" s="1032">
        <v>11</v>
      </c>
      <c r="AD311" s="1032" t="s">
        <v>1555</v>
      </c>
      <c r="AF311" s="1032" t="s">
        <v>122</v>
      </c>
      <c r="AG311" s="1032" t="s">
        <v>123</v>
      </c>
      <c r="AH311" s="1032" t="s">
        <v>314</v>
      </c>
      <c r="AI311" s="1033">
        <v>46096</v>
      </c>
      <c r="AJ311" s="1033">
        <v>46095</v>
      </c>
      <c r="AK311" s="1033">
        <v>46095</v>
      </c>
      <c r="AL311" s="1033">
        <v>46141</v>
      </c>
      <c r="AM311" s="1033">
        <v>46155</v>
      </c>
      <c r="AN311" s="1033">
        <v>46155</v>
      </c>
      <c r="AO311" s="1032" t="s">
        <v>402</v>
      </c>
      <c r="AP311" s="1032" t="s">
        <v>1508</v>
      </c>
      <c r="AQ311" s="1032" t="s">
        <v>80</v>
      </c>
      <c r="AR311" s="1032" t="s">
        <v>1556</v>
      </c>
      <c r="AS311" s="1032" t="s">
        <v>1557</v>
      </c>
      <c r="AT311" s="1032" t="s">
        <v>1557</v>
      </c>
      <c r="AU311" s="1032">
        <v>60</v>
      </c>
      <c r="AW311" s="1033">
        <v>46155</v>
      </c>
      <c r="AX311" s="1032" t="s">
        <v>973</v>
      </c>
      <c r="AY311" s="1033">
        <v>46168</v>
      </c>
      <c r="AZ311" s="1032">
        <v>13</v>
      </c>
      <c r="BA311" s="1033">
        <v>46168</v>
      </c>
      <c r="BB311" s="1032">
        <v>2026</v>
      </c>
      <c r="BC311" s="1032">
        <v>5</v>
      </c>
      <c r="BD311" s="1032">
        <v>22</v>
      </c>
      <c r="BE311" s="1032">
        <v>36</v>
      </c>
      <c r="BF311" s="1032">
        <v>864</v>
      </c>
      <c r="BG311" s="1032" t="s">
        <v>85</v>
      </c>
      <c r="BH311" s="1032" t="s">
        <v>86</v>
      </c>
    </row>
    <row r="312" spans="1:60">
      <c r="A312" s="1032" t="s">
        <v>1558</v>
      </c>
      <c r="B312" s="1032" t="s">
        <v>1519</v>
      </c>
      <c r="C312" s="1032" t="s">
        <v>1520</v>
      </c>
      <c r="D312" s="1032" t="s">
        <v>63</v>
      </c>
      <c r="E312" s="1032" t="s">
        <v>64</v>
      </c>
      <c r="F312" s="1032" t="s">
        <v>310</v>
      </c>
      <c r="G312" s="1032" t="s">
        <v>402</v>
      </c>
      <c r="H312" s="1032" t="s">
        <v>311</v>
      </c>
      <c r="I312" s="1032" t="s">
        <v>689</v>
      </c>
      <c r="J312" s="1032" t="s">
        <v>1559</v>
      </c>
      <c r="M312" s="1032" t="s">
        <v>68</v>
      </c>
      <c r="N312" s="1032">
        <v>46090</v>
      </c>
      <c r="O312" s="1032" t="s">
        <v>284</v>
      </c>
      <c r="P312" s="1032" t="s">
        <v>1521</v>
      </c>
      <c r="Q312" s="1032" t="s">
        <v>1522</v>
      </c>
      <c r="R312" s="1032" t="s">
        <v>73</v>
      </c>
      <c r="S312" s="1032" t="s">
        <v>967</v>
      </c>
      <c r="T312" s="1032">
        <v>490</v>
      </c>
      <c r="U312" s="1032">
        <v>2592</v>
      </c>
      <c r="V312" s="1032">
        <v>1.2700800000000001</v>
      </c>
      <c r="W312" s="1032">
        <v>72</v>
      </c>
      <c r="X312" s="1032">
        <v>3</v>
      </c>
      <c r="Y312" s="1032" t="s">
        <v>75</v>
      </c>
      <c r="Z312" s="1032" t="s">
        <v>75</v>
      </c>
      <c r="AB312" s="1033">
        <v>46093</v>
      </c>
      <c r="AC312" s="1032">
        <v>11</v>
      </c>
      <c r="AD312" s="1032" t="s">
        <v>1560</v>
      </c>
      <c r="AF312" s="1032" t="s">
        <v>122</v>
      </c>
      <c r="AG312" s="1032" t="s">
        <v>123</v>
      </c>
      <c r="AH312" s="1032" t="s">
        <v>1561</v>
      </c>
      <c r="AI312" s="1033">
        <v>46099</v>
      </c>
      <c r="AJ312" s="1033">
        <v>46099</v>
      </c>
      <c r="AK312" s="1033">
        <v>46100</v>
      </c>
      <c r="AL312" s="1033">
        <v>46157</v>
      </c>
      <c r="AM312" s="1033">
        <v>46159</v>
      </c>
      <c r="AN312" s="1033">
        <v>46158</v>
      </c>
      <c r="AO312" s="1032" t="s">
        <v>402</v>
      </c>
      <c r="AP312" s="1032" t="s">
        <v>1562</v>
      </c>
      <c r="AQ312" s="1032" t="s">
        <v>80</v>
      </c>
      <c r="AR312" s="1032" t="s">
        <v>1563</v>
      </c>
      <c r="AS312" s="1032" t="s">
        <v>1564</v>
      </c>
      <c r="AT312" s="1032" t="s">
        <v>1564</v>
      </c>
      <c r="AU312" s="1032">
        <v>58</v>
      </c>
      <c r="AW312" s="1033">
        <v>46158</v>
      </c>
      <c r="AX312" s="1032" t="s">
        <v>973</v>
      </c>
      <c r="AY312" s="1033">
        <v>46170</v>
      </c>
      <c r="AZ312" s="1032">
        <v>13</v>
      </c>
      <c r="BA312" s="1033">
        <v>46171</v>
      </c>
      <c r="BB312" s="1032">
        <v>2026</v>
      </c>
      <c r="BC312" s="1032">
        <v>5</v>
      </c>
      <c r="BD312" s="1032">
        <v>22</v>
      </c>
      <c r="BE312" s="1032">
        <v>36</v>
      </c>
      <c r="BF312" s="1032">
        <v>864</v>
      </c>
      <c r="BG312" s="1032" t="s">
        <v>85</v>
      </c>
      <c r="BH312" s="1032" t="s">
        <v>86</v>
      </c>
    </row>
    <row r="313" spans="1:60">
      <c r="A313" s="1032" t="s">
        <v>1565</v>
      </c>
      <c r="B313" s="1032" t="s">
        <v>1566</v>
      </c>
      <c r="C313" s="1032" t="s">
        <v>1567</v>
      </c>
      <c r="D313" s="1032" t="s">
        <v>63</v>
      </c>
      <c r="E313" s="1032" t="s">
        <v>64</v>
      </c>
      <c r="F313" s="1032" t="s">
        <v>100</v>
      </c>
      <c r="G313" s="1032" t="s">
        <v>402</v>
      </c>
      <c r="H313" s="1032" t="s">
        <v>67</v>
      </c>
      <c r="I313" s="1032" t="s">
        <v>689</v>
      </c>
      <c r="J313" s="1032" t="s">
        <v>1568</v>
      </c>
      <c r="M313" s="1032" t="s">
        <v>68</v>
      </c>
      <c r="N313" s="1032">
        <v>46090</v>
      </c>
      <c r="O313" s="1032" t="s">
        <v>284</v>
      </c>
      <c r="P313" s="1032" t="s">
        <v>1569</v>
      </c>
      <c r="Q313" s="1032" t="s">
        <v>1570</v>
      </c>
      <c r="R313" s="1032" t="s">
        <v>73</v>
      </c>
      <c r="S313" s="1032" t="s">
        <v>992</v>
      </c>
      <c r="T313" s="1032">
        <v>650</v>
      </c>
      <c r="U313" s="1032">
        <v>4320</v>
      </c>
      <c r="V313" s="1032">
        <v>2.8079999999999998</v>
      </c>
      <c r="W313" s="1032">
        <v>120</v>
      </c>
      <c r="X313" s="1032">
        <v>6</v>
      </c>
      <c r="Y313" s="1032" t="s">
        <v>75</v>
      </c>
      <c r="Z313" s="1032" t="s">
        <v>75</v>
      </c>
      <c r="AA313" s="1032" t="s">
        <v>1571</v>
      </c>
      <c r="AB313" s="1033">
        <v>46093</v>
      </c>
      <c r="AC313" s="1032">
        <v>11</v>
      </c>
      <c r="AD313" s="1032" t="s">
        <v>1572</v>
      </c>
      <c r="AF313" s="1032" t="s">
        <v>1525</v>
      </c>
      <c r="AG313" s="1032" t="s">
        <v>123</v>
      </c>
      <c r="AH313" s="1032" t="s">
        <v>105</v>
      </c>
      <c r="AI313" s="1033">
        <v>46100</v>
      </c>
      <c r="AJ313" s="1033">
        <v>46100</v>
      </c>
      <c r="AK313" s="1033">
        <v>46101</v>
      </c>
      <c r="AL313" s="1033">
        <v>46144</v>
      </c>
      <c r="AM313" s="1033">
        <v>46159</v>
      </c>
      <c r="AN313" s="1033">
        <v>46159</v>
      </c>
      <c r="AO313" s="1032" t="s">
        <v>402</v>
      </c>
      <c r="AP313" s="1032" t="s">
        <v>1526</v>
      </c>
      <c r="AQ313" s="1032" t="s">
        <v>161</v>
      </c>
      <c r="AR313" s="1032" t="s">
        <v>1573</v>
      </c>
      <c r="AS313" s="1032" t="s">
        <v>1574</v>
      </c>
      <c r="AT313" s="1032" t="s">
        <v>1575</v>
      </c>
      <c r="AU313" s="1032">
        <v>58</v>
      </c>
      <c r="AW313" s="1033">
        <v>46159</v>
      </c>
      <c r="AX313" s="1032" t="s">
        <v>973</v>
      </c>
      <c r="AY313" s="1033">
        <v>46175</v>
      </c>
      <c r="AZ313" s="1032">
        <v>7</v>
      </c>
      <c r="BA313" s="1033">
        <v>46166</v>
      </c>
      <c r="BB313" s="1032">
        <v>2026</v>
      </c>
      <c r="BC313" s="1032">
        <v>5</v>
      </c>
      <c r="BD313" s="1032">
        <v>21</v>
      </c>
      <c r="BE313" s="1032">
        <v>36</v>
      </c>
      <c r="BF313" s="1032">
        <v>720</v>
      </c>
      <c r="BG313" s="1032" t="s">
        <v>108</v>
      </c>
      <c r="BH313" s="1032" t="s">
        <v>109</v>
      </c>
    </row>
    <row r="314" spans="1:60">
      <c r="A314" s="1032" t="s">
        <v>1576</v>
      </c>
      <c r="B314" s="1032" t="s">
        <v>1566</v>
      </c>
      <c r="C314" s="1032" t="s">
        <v>1567</v>
      </c>
      <c r="D314" s="1032" t="s">
        <v>63</v>
      </c>
      <c r="E314" s="1032" t="s">
        <v>64</v>
      </c>
      <c r="F314" s="1032" t="s">
        <v>100</v>
      </c>
      <c r="G314" s="1032" t="s">
        <v>402</v>
      </c>
      <c r="H314" s="1032" t="s">
        <v>67</v>
      </c>
      <c r="I314" s="1032" t="s">
        <v>689</v>
      </c>
      <c r="J314" s="1032" t="s">
        <v>1568</v>
      </c>
      <c r="M314" s="1032" t="s">
        <v>68</v>
      </c>
      <c r="N314" s="1032">
        <v>46097</v>
      </c>
      <c r="O314" s="1032" t="s">
        <v>284</v>
      </c>
      <c r="P314" s="1032" t="s">
        <v>1569</v>
      </c>
      <c r="Q314" s="1032" t="s">
        <v>1570</v>
      </c>
      <c r="R314" s="1032" t="s">
        <v>73</v>
      </c>
      <c r="S314" s="1032" t="s">
        <v>992</v>
      </c>
      <c r="T314" s="1032">
        <v>650</v>
      </c>
      <c r="U314" s="1032">
        <v>5760</v>
      </c>
      <c r="V314" s="1032">
        <v>3.7440000000000002</v>
      </c>
      <c r="W314" s="1032">
        <v>160</v>
      </c>
      <c r="X314" s="1032">
        <v>8</v>
      </c>
      <c r="Y314" s="1032" t="s">
        <v>75</v>
      </c>
      <c r="Z314" s="1032" t="s">
        <v>75</v>
      </c>
      <c r="AA314" s="1032" t="s">
        <v>1577</v>
      </c>
      <c r="AB314" s="1033">
        <v>46095</v>
      </c>
      <c r="AC314" s="1032">
        <v>11</v>
      </c>
      <c r="AD314" s="1032" t="s">
        <v>1578</v>
      </c>
      <c r="AF314" s="1032" t="s">
        <v>1525</v>
      </c>
      <c r="AG314" s="1032" t="s">
        <v>123</v>
      </c>
      <c r="AH314" s="1032" t="s">
        <v>105</v>
      </c>
      <c r="AI314" s="1033">
        <v>46100</v>
      </c>
      <c r="AJ314" s="1033">
        <v>46100</v>
      </c>
      <c r="AK314" s="1033">
        <v>46101</v>
      </c>
      <c r="AL314" s="1033">
        <v>46144</v>
      </c>
      <c r="AM314" s="1033">
        <v>46159</v>
      </c>
      <c r="AN314" s="1033">
        <v>46159</v>
      </c>
      <c r="AO314" s="1032" t="s">
        <v>402</v>
      </c>
      <c r="AP314" s="1032" t="s">
        <v>1526</v>
      </c>
      <c r="AQ314" s="1032" t="s">
        <v>161</v>
      </c>
      <c r="AR314" s="1032" t="s">
        <v>1579</v>
      </c>
      <c r="AS314" s="1032" t="s">
        <v>1580</v>
      </c>
      <c r="AT314" s="1032" t="s">
        <v>1581</v>
      </c>
      <c r="AU314" s="1032">
        <v>58</v>
      </c>
      <c r="AW314" s="1033">
        <v>46159</v>
      </c>
      <c r="AX314" s="1032" t="s">
        <v>973</v>
      </c>
      <c r="AY314" s="1033">
        <v>46175</v>
      </c>
      <c r="AZ314" s="1032">
        <v>7</v>
      </c>
      <c r="BA314" s="1033">
        <v>46166</v>
      </c>
      <c r="BB314" s="1032">
        <v>2026</v>
      </c>
      <c r="BC314" s="1032">
        <v>5</v>
      </c>
      <c r="BD314" s="1032">
        <v>21</v>
      </c>
      <c r="BE314" s="1032">
        <v>36</v>
      </c>
      <c r="BF314" s="1032">
        <v>720</v>
      </c>
      <c r="BG314" s="1032" t="s">
        <v>108</v>
      </c>
      <c r="BH314" s="1032" t="s">
        <v>109</v>
      </c>
    </row>
    <row r="315" spans="1:60">
      <c r="A315" s="1032" t="s">
        <v>1582</v>
      </c>
      <c r="B315" s="1032" t="s">
        <v>1566</v>
      </c>
      <c r="C315" s="1032" t="s">
        <v>1583</v>
      </c>
      <c r="D315" s="1032" t="s">
        <v>63</v>
      </c>
      <c r="E315" s="1032" t="s">
        <v>64</v>
      </c>
      <c r="F315" s="1032" t="s">
        <v>100</v>
      </c>
      <c r="G315" s="1032" t="s">
        <v>402</v>
      </c>
      <c r="H315" s="1032" t="s">
        <v>67</v>
      </c>
      <c r="I315" s="1032" t="s">
        <v>689</v>
      </c>
      <c r="J315" s="1032" t="s">
        <v>1568</v>
      </c>
      <c r="M315" s="1032" t="s">
        <v>68</v>
      </c>
      <c r="N315" s="1032">
        <v>46097</v>
      </c>
      <c r="O315" s="1032" t="s">
        <v>284</v>
      </c>
      <c r="P315" s="1032" t="s">
        <v>1584</v>
      </c>
      <c r="Q315" s="1032" t="s">
        <v>1585</v>
      </c>
      <c r="R315" s="1032" t="s">
        <v>73</v>
      </c>
      <c r="S315" s="1032" t="s">
        <v>992</v>
      </c>
      <c r="T315" s="1032">
        <v>645</v>
      </c>
      <c r="U315" s="1032">
        <v>1440</v>
      </c>
      <c r="V315" s="1032">
        <v>0.92879999999999996</v>
      </c>
      <c r="W315" s="1032">
        <v>40</v>
      </c>
      <c r="X315" s="1032">
        <v>2</v>
      </c>
      <c r="Y315" s="1032" t="s">
        <v>75</v>
      </c>
      <c r="Z315" s="1032" t="s">
        <v>75</v>
      </c>
      <c r="AA315" s="1032" t="s">
        <v>1577</v>
      </c>
      <c r="AB315" s="1033">
        <v>46095</v>
      </c>
      <c r="AC315" s="1032">
        <v>11</v>
      </c>
      <c r="AD315" s="1032" t="s">
        <v>1586</v>
      </c>
      <c r="AF315" s="1032" t="s">
        <v>1525</v>
      </c>
      <c r="AG315" s="1032" t="s">
        <v>123</v>
      </c>
      <c r="AH315" s="1032" t="s">
        <v>105</v>
      </c>
      <c r="AI315" s="1033">
        <v>46100</v>
      </c>
      <c r="AJ315" s="1033">
        <v>46100</v>
      </c>
      <c r="AK315" s="1033">
        <v>46101</v>
      </c>
      <c r="AL315" s="1033">
        <v>46144</v>
      </c>
      <c r="AM315" s="1033">
        <v>46159</v>
      </c>
      <c r="AN315" s="1033">
        <v>46159</v>
      </c>
      <c r="AO315" s="1032" t="s">
        <v>402</v>
      </c>
      <c r="AP315" s="1032" t="s">
        <v>1526</v>
      </c>
      <c r="AQ315" s="1032" t="s">
        <v>161</v>
      </c>
      <c r="AR315" s="1032" t="s">
        <v>1579</v>
      </c>
      <c r="AS315" s="1032" t="s">
        <v>1580</v>
      </c>
      <c r="AT315" s="1032" t="s">
        <v>1581</v>
      </c>
      <c r="AU315" s="1032">
        <v>58</v>
      </c>
      <c r="AW315" s="1033">
        <v>46159</v>
      </c>
      <c r="AX315" s="1032" t="s">
        <v>973</v>
      </c>
      <c r="AY315" s="1033">
        <v>46175</v>
      </c>
      <c r="AZ315" s="1032">
        <v>7</v>
      </c>
      <c r="BA315" s="1033">
        <v>46166</v>
      </c>
      <c r="BB315" s="1032">
        <v>2026</v>
      </c>
      <c r="BC315" s="1032">
        <v>5</v>
      </c>
      <c r="BD315" s="1032">
        <v>21</v>
      </c>
      <c r="BE315" s="1032">
        <v>36</v>
      </c>
      <c r="BF315" s="1032">
        <v>720</v>
      </c>
      <c r="BG315" s="1032" t="s">
        <v>108</v>
      </c>
      <c r="BH315" s="1032" t="s">
        <v>109</v>
      </c>
    </row>
    <row r="316" spans="1:60">
      <c r="A316" s="1032" t="s">
        <v>1587</v>
      </c>
      <c r="B316" s="1032" t="s">
        <v>111</v>
      </c>
      <c r="C316" s="1032" t="s">
        <v>991</v>
      </c>
      <c r="D316" s="1032" t="s">
        <v>63</v>
      </c>
      <c r="E316" s="1032" t="s">
        <v>64</v>
      </c>
      <c r="F316" s="1032" t="s">
        <v>100</v>
      </c>
      <c r="G316" s="1032" t="s">
        <v>402</v>
      </c>
      <c r="H316" s="1032" t="s">
        <v>67</v>
      </c>
      <c r="I316" s="1032" t="s">
        <v>68</v>
      </c>
      <c r="J316" s="1032" t="s">
        <v>1588</v>
      </c>
      <c r="M316" s="1032" t="s">
        <v>68</v>
      </c>
      <c r="N316" s="1032">
        <v>46048</v>
      </c>
      <c r="O316" s="1032" t="s">
        <v>132</v>
      </c>
      <c r="P316" s="1032" t="s">
        <v>133</v>
      </c>
      <c r="Q316" s="1032" t="s">
        <v>134</v>
      </c>
      <c r="R316" s="1032" t="s">
        <v>73</v>
      </c>
      <c r="S316" s="1032" t="s">
        <v>992</v>
      </c>
      <c r="T316" s="1032">
        <v>720</v>
      </c>
      <c r="U316" s="1032">
        <v>1188</v>
      </c>
      <c r="V316" s="1032">
        <v>0.85536000000000001</v>
      </c>
      <c r="W316" s="1032">
        <v>36</v>
      </c>
      <c r="X316" s="1032">
        <v>2</v>
      </c>
      <c r="Y316" s="1032" t="s">
        <v>75</v>
      </c>
      <c r="Z316" s="1032" t="s">
        <v>75</v>
      </c>
      <c r="AB316" s="1033">
        <v>46095</v>
      </c>
      <c r="AC316" s="1032">
        <v>11</v>
      </c>
      <c r="AD316" s="1032" t="s">
        <v>1589</v>
      </c>
      <c r="AF316" s="1032" t="s">
        <v>122</v>
      </c>
      <c r="AG316" s="1032" t="s">
        <v>123</v>
      </c>
      <c r="AH316" s="1032" t="s">
        <v>105</v>
      </c>
      <c r="AI316" s="1033">
        <v>46099</v>
      </c>
      <c r="AJ316" s="1033">
        <v>46098</v>
      </c>
      <c r="AK316" s="1033">
        <v>46100</v>
      </c>
      <c r="AL316" s="1033">
        <v>46149</v>
      </c>
      <c r="AM316" s="1033">
        <v>46149</v>
      </c>
      <c r="AN316" s="1033">
        <v>46149</v>
      </c>
      <c r="AO316" s="1032" t="s">
        <v>402</v>
      </c>
      <c r="AP316" s="1032" t="s">
        <v>1590</v>
      </c>
      <c r="AQ316" s="1032" t="s">
        <v>161</v>
      </c>
      <c r="AR316" s="1032" t="s">
        <v>1591</v>
      </c>
      <c r="AS316" s="1032">
        <v>267391376</v>
      </c>
      <c r="AT316" s="1032">
        <v>267391376</v>
      </c>
      <c r="AU316" s="1032">
        <v>49</v>
      </c>
      <c r="AW316" s="1033">
        <v>46149</v>
      </c>
      <c r="AX316" s="1032" t="s">
        <v>973</v>
      </c>
      <c r="AY316" s="1033">
        <v>46162</v>
      </c>
      <c r="AZ316" s="1032">
        <v>7</v>
      </c>
      <c r="BA316" s="1033">
        <v>46156</v>
      </c>
      <c r="BB316" s="1032">
        <v>2026</v>
      </c>
      <c r="BC316" s="1032">
        <v>5</v>
      </c>
      <c r="BD316" s="1032">
        <v>20</v>
      </c>
      <c r="BE316" s="1032">
        <v>33</v>
      </c>
      <c r="BF316" s="1032">
        <v>594</v>
      </c>
      <c r="BG316" s="1032" t="s">
        <v>108</v>
      </c>
      <c r="BH316" s="1032" t="s">
        <v>109</v>
      </c>
    </row>
    <row r="317" spans="1:60">
      <c r="A317" s="1032" t="s">
        <v>1592</v>
      </c>
      <c r="B317" s="1032" t="s">
        <v>61</v>
      </c>
      <c r="C317" s="1032" t="s">
        <v>1593</v>
      </c>
      <c r="D317" s="1032" t="s">
        <v>63</v>
      </c>
      <c r="E317" s="1032" t="s">
        <v>64</v>
      </c>
      <c r="F317" s="1032" t="s">
        <v>65</v>
      </c>
      <c r="G317" s="1032" t="s">
        <v>402</v>
      </c>
      <c r="H317" s="1032" t="s">
        <v>67</v>
      </c>
      <c r="I317" s="1032" t="s">
        <v>689</v>
      </c>
      <c r="J317" s="1032" t="s">
        <v>1568</v>
      </c>
      <c r="M317" s="1032" t="s">
        <v>68</v>
      </c>
      <c r="N317" s="1032">
        <v>46083</v>
      </c>
      <c r="O317" s="1032" t="s">
        <v>70</v>
      </c>
      <c r="P317" s="1032" t="s">
        <v>71</v>
      </c>
      <c r="Q317" s="1032" t="s">
        <v>72</v>
      </c>
      <c r="R317" s="1032" t="s">
        <v>73</v>
      </c>
      <c r="S317" s="1032" t="s">
        <v>967</v>
      </c>
      <c r="T317" s="1032">
        <v>500</v>
      </c>
      <c r="U317" s="1032">
        <v>6912</v>
      </c>
      <c r="V317" s="1032">
        <v>3.456</v>
      </c>
      <c r="W317" s="1032">
        <v>192</v>
      </c>
      <c r="X317" s="1032">
        <v>8</v>
      </c>
      <c r="Y317" s="1032" t="s">
        <v>75</v>
      </c>
      <c r="Z317" s="1032" t="s">
        <v>75</v>
      </c>
      <c r="AA317" s="1032" t="s">
        <v>1594</v>
      </c>
      <c r="AB317" s="1033">
        <v>46092</v>
      </c>
      <c r="AC317" s="1032">
        <v>11</v>
      </c>
      <c r="AD317" s="1032" t="s">
        <v>1595</v>
      </c>
      <c r="AF317" s="1032" t="s">
        <v>77</v>
      </c>
      <c r="AG317" s="1032" t="s">
        <v>61</v>
      </c>
      <c r="AH317" s="1032" t="s">
        <v>356</v>
      </c>
      <c r="AI317" s="1033">
        <v>46098</v>
      </c>
      <c r="AJ317" s="1033">
        <v>46098</v>
      </c>
      <c r="AK317" s="1033">
        <v>46098</v>
      </c>
      <c r="AL317" s="1033">
        <v>46147</v>
      </c>
      <c r="AM317" s="1033">
        <v>46144</v>
      </c>
      <c r="AN317" s="1033">
        <v>46144</v>
      </c>
      <c r="AO317" s="1032" t="s">
        <v>402</v>
      </c>
      <c r="AP317" s="1032" t="s">
        <v>1596</v>
      </c>
      <c r="AQ317" s="1032" t="s">
        <v>161</v>
      </c>
      <c r="AR317" s="1032" t="s">
        <v>986</v>
      </c>
      <c r="AS317" s="1032" t="s">
        <v>1597</v>
      </c>
      <c r="AT317" s="1032">
        <v>267064335</v>
      </c>
      <c r="AU317" s="1032">
        <v>46</v>
      </c>
      <c r="AW317" s="1033">
        <v>46144</v>
      </c>
      <c r="AX317" s="1032" t="s">
        <v>973</v>
      </c>
      <c r="AY317" s="1033">
        <v>46157</v>
      </c>
      <c r="AZ317" s="1032">
        <v>8</v>
      </c>
      <c r="BA317" s="1033">
        <v>46152</v>
      </c>
      <c r="BB317" s="1032">
        <v>2026</v>
      </c>
      <c r="BC317" s="1032">
        <v>5</v>
      </c>
      <c r="BD317" s="1032">
        <v>19</v>
      </c>
      <c r="BE317" s="1032">
        <v>36</v>
      </c>
      <c r="BF317" s="1032">
        <v>864</v>
      </c>
      <c r="BG317" s="1032" t="s">
        <v>85</v>
      </c>
      <c r="BH317" s="1032" t="s">
        <v>109</v>
      </c>
    </row>
    <row r="318" spans="1:60">
      <c r="A318" s="1032" t="s">
        <v>1598</v>
      </c>
      <c r="B318" s="1032" t="s">
        <v>61</v>
      </c>
      <c r="C318" s="1032" t="s">
        <v>1593</v>
      </c>
      <c r="D318" s="1032" t="s">
        <v>63</v>
      </c>
      <c r="E318" s="1032" t="s">
        <v>144</v>
      </c>
      <c r="F318" s="1032" t="s">
        <v>145</v>
      </c>
      <c r="G318" s="1032" t="s">
        <v>402</v>
      </c>
      <c r="H318" s="1032" t="s">
        <v>868</v>
      </c>
      <c r="I318" s="1032" t="s">
        <v>689</v>
      </c>
      <c r="J318" s="1032" t="s">
        <v>147</v>
      </c>
      <c r="K318" s="1032" t="s">
        <v>870</v>
      </c>
      <c r="M318" s="1032" t="s">
        <v>840</v>
      </c>
      <c r="N318" s="1032">
        <v>46090</v>
      </c>
      <c r="O318" s="1032" t="s">
        <v>70</v>
      </c>
      <c r="P318" s="1032" t="s">
        <v>71</v>
      </c>
      <c r="Q318" s="1032" t="s">
        <v>72</v>
      </c>
      <c r="R318" s="1032" t="s">
        <v>73</v>
      </c>
      <c r="S318" s="1032" t="s">
        <v>967</v>
      </c>
      <c r="T318" s="1032">
        <v>500</v>
      </c>
      <c r="U318" s="1032">
        <v>1728</v>
      </c>
      <c r="V318" s="1032">
        <v>0.86399999999999999</v>
      </c>
      <c r="W318" s="1032">
        <v>48</v>
      </c>
      <c r="X318" s="1032">
        <v>2</v>
      </c>
      <c r="Y318" s="1032" t="s">
        <v>75</v>
      </c>
      <c r="Z318" s="1032" t="s">
        <v>75</v>
      </c>
      <c r="AA318" s="1032" t="s">
        <v>1599</v>
      </c>
      <c r="AB318" s="1033">
        <v>46092</v>
      </c>
      <c r="AC318" s="1032">
        <v>11</v>
      </c>
      <c r="AD318" s="1032" t="s">
        <v>1600</v>
      </c>
      <c r="AF318" s="1032" t="s">
        <v>77</v>
      </c>
      <c r="AG318" s="1032" t="s">
        <v>61</v>
      </c>
      <c r="AH318" s="1032" t="s">
        <v>356</v>
      </c>
      <c r="AI318" s="1033">
        <v>46098</v>
      </c>
      <c r="AJ318" s="1033">
        <v>46098</v>
      </c>
      <c r="AK318" s="1033">
        <v>46098</v>
      </c>
      <c r="AL318" s="1033">
        <v>46147</v>
      </c>
      <c r="AM318" s="1033">
        <v>46144</v>
      </c>
      <c r="AN318" s="1033">
        <v>46144</v>
      </c>
      <c r="AO318" s="1032" t="s">
        <v>402</v>
      </c>
      <c r="AP318" s="1032" t="s">
        <v>1596</v>
      </c>
      <c r="AQ318" s="1032" t="s">
        <v>161</v>
      </c>
      <c r="AR318" s="1032" t="s">
        <v>1601</v>
      </c>
      <c r="AS318" s="1032" t="s">
        <v>1602</v>
      </c>
      <c r="AT318" s="1032">
        <v>267064412</v>
      </c>
      <c r="AU318" s="1032">
        <v>46</v>
      </c>
      <c r="AW318" s="1033">
        <v>46144</v>
      </c>
      <c r="AX318" s="1032" t="s">
        <v>973</v>
      </c>
      <c r="AY318" s="1033">
        <v>46160</v>
      </c>
      <c r="AZ318" s="1032">
        <v>0</v>
      </c>
      <c r="BA318" s="1033">
        <v>46144</v>
      </c>
      <c r="BB318" s="1032">
        <v>2026</v>
      </c>
      <c r="BC318" s="1032">
        <v>5</v>
      </c>
      <c r="BD318" s="1032">
        <v>18</v>
      </c>
      <c r="BE318" s="1032">
        <v>36</v>
      </c>
      <c r="BF318" s="1032">
        <v>864</v>
      </c>
      <c r="BG318" s="1032" t="s">
        <v>85</v>
      </c>
      <c r="BH318" s="1032" t="s">
        <v>109</v>
      </c>
    </row>
    <row r="319" spans="1:60">
      <c r="A319" s="1032" t="s">
        <v>1603</v>
      </c>
      <c r="B319" s="1032" t="s">
        <v>61</v>
      </c>
      <c r="C319" s="1032" t="s">
        <v>1593</v>
      </c>
      <c r="D319" s="1032" t="s">
        <v>63</v>
      </c>
      <c r="E319" s="1032" t="s">
        <v>64</v>
      </c>
      <c r="F319" s="1032" t="s">
        <v>65</v>
      </c>
      <c r="G319" s="1032" t="s">
        <v>402</v>
      </c>
      <c r="H319" s="1032" t="s">
        <v>67</v>
      </c>
      <c r="I319" s="1032" t="s">
        <v>689</v>
      </c>
      <c r="J319" s="1032" t="s">
        <v>1604</v>
      </c>
      <c r="M319" s="1032" t="s">
        <v>68</v>
      </c>
      <c r="N319" s="1032">
        <v>46090</v>
      </c>
      <c r="O319" s="1032" t="s">
        <v>70</v>
      </c>
      <c r="P319" s="1032" t="s">
        <v>71</v>
      </c>
      <c r="Q319" s="1032" t="s">
        <v>72</v>
      </c>
      <c r="R319" s="1032" t="s">
        <v>73</v>
      </c>
      <c r="S319" s="1032" t="s">
        <v>967</v>
      </c>
      <c r="T319" s="1032">
        <v>500</v>
      </c>
      <c r="U319" s="1032">
        <v>1728</v>
      </c>
      <c r="V319" s="1032">
        <v>0.86399999999999999</v>
      </c>
      <c r="W319" s="1032">
        <v>48</v>
      </c>
      <c r="X319" s="1032">
        <v>2</v>
      </c>
      <c r="Y319" s="1032" t="s">
        <v>75</v>
      </c>
      <c r="Z319" s="1032" t="s">
        <v>75</v>
      </c>
      <c r="AA319" s="1032" t="s">
        <v>1599</v>
      </c>
      <c r="AB319" s="1033">
        <v>46092</v>
      </c>
      <c r="AC319" s="1032">
        <v>11</v>
      </c>
      <c r="AD319" s="1032" t="s">
        <v>1605</v>
      </c>
      <c r="AF319" s="1032" t="s">
        <v>77</v>
      </c>
      <c r="AG319" s="1032" t="s">
        <v>61</v>
      </c>
      <c r="AH319" s="1032" t="s">
        <v>356</v>
      </c>
      <c r="AI319" s="1033">
        <v>46098</v>
      </c>
      <c r="AJ319" s="1033">
        <v>46098</v>
      </c>
      <c r="AK319" s="1033">
        <v>46098</v>
      </c>
      <c r="AL319" s="1033">
        <v>46147</v>
      </c>
      <c r="AM319" s="1033">
        <v>46144</v>
      </c>
      <c r="AN319" s="1033">
        <v>46144</v>
      </c>
      <c r="AO319" s="1032" t="s">
        <v>402</v>
      </c>
      <c r="AP319" s="1032" t="s">
        <v>1596</v>
      </c>
      <c r="AQ319" s="1032" t="s">
        <v>161</v>
      </c>
      <c r="AR319" s="1032" t="s">
        <v>1601</v>
      </c>
      <c r="AS319" s="1032" t="s">
        <v>1606</v>
      </c>
      <c r="AT319" s="1032">
        <v>267064412</v>
      </c>
      <c r="AU319" s="1032">
        <v>46</v>
      </c>
      <c r="AW319" s="1033">
        <v>46144</v>
      </c>
      <c r="AX319" s="1032" t="s">
        <v>973</v>
      </c>
      <c r="AY319" s="1033">
        <v>46159</v>
      </c>
      <c r="AZ319" s="1032">
        <v>8</v>
      </c>
      <c r="BA319" s="1033">
        <v>46152</v>
      </c>
      <c r="BB319" s="1032">
        <v>2026</v>
      </c>
      <c r="BC319" s="1032">
        <v>5</v>
      </c>
      <c r="BD319" s="1032">
        <v>19</v>
      </c>
      <c r="BE319" s="1032">
        <v>36</v>
      </c>
      <c r="BF319" s="1032">
        <v>864</v>
      </c>
      <c r="BG319" s="1032" t="s">
        <v>85</v>
      </c>
      <c r="BH319" s="1032" t="s">
        <v>109</v>
      </c>
    </row>
    <row r="320" spans="1:60">
      <c r="A320" s="1032" t="s">
        <v>1607</v>
      </c>
      <c r="B320" s="1032" t="s">
        <v>61</v>
      </c>
      <c r="C320" s="1032" t="s">
        <v>1593</v>
      </c>
      <c r="D320" s="1032" t="s">
        <v>63</v>
      </c>
      <c r="E320" s="1032" t="s">
        <v>64</v>
      </c>
      <c r="F320" s="1032" t="s">
        <v>65</v>
      </c>
      <c r="G320" s="1032" t="s">
        <v>402</v>
      </c>
      <c r="H320" s="1032" t="s">
        <v>67</v>
      </c>
      <c r="I320" s="1032" t="s">
        <v>689</v>
      </c>
      <c r="J320" s="1032" t="s">
        <v>690</v>
      </c>
      <c r="M320" s="1032" t="s">
        <v>68</v>
      </c>
      <c r="N320" s="1032">
        <v>46083</v>
      </c>
      <c r="O320" s="1032" t="s">
        <v>70</v>
      </c>
      <c r="P320" s="1032" t="s">
        <v>71</v>
      </c>
      <c r="Q320" s="1032" t="s">
        <v>72</v>
      </c>
      <c r="R320" s="1032" t="s">
        <v>73</v>
      </c>
      <c r="S320" s="1032" t="s">
        <v>967</v>
      </c>
      <c r="T320" s="1032">
        <v>500</v>
      </c>
      <c r="U320" s="1032">
        <v>5184</v>
      </c>
      <c r="V320" s="1032">
        <v>2.5920000000000001</v>
      </c>
      <c r="W320" s="1032">
        <v>144</v>
      </c>
      <c r="X320" s="1032">
        <v>6</v>
      </c>
      <c r="Y320" s="1032" t="s">
        <v>75</v>
      </c>
      <c r="Z320" s="1032" t="s">
        <v>75</v>
      </c>
      <c r="AA320" s="1032" t="s">
        <v>1608</v>
      </c>
      <c r="AB320" s="1033">
        <v>46092</v>
      </c>
      <c r="AC320" s="1032">
        <v>11</v>
      </c>
      <c r="AD320" s="1032" t="s">
        <v>1609</v>
      </c>
      <c r="AF320" s="1032" t="s">
        <v>77</v>
      </c>
      <c r="AG320" s="1032" t="s">
        <v>61</v>
      </c>
      <c r="AH320" s="1032" t="s">
        <v>356</v>
      </c>
      <c r="AI320" s="1033">
        <v>46098</v>
      </c>
      <c r="AJ320" s="1033">
        <v>46098</v>
      </c>
      <c r="AK320" s="1033">
        <v>46098</v>
      </c>
      <c r="AL320" s="1033">
        <v>46147</v>
      </c>
      <c r="AM320" s="1033">
        <v>46144</v>
      </c>
      <c r="AN320" s="1033">
        <v>46144</v>
      </c>
      <c r="AO320" s="1032" t="s">
        <v>402</v>
      </c>
      <c r="AP320" s="1032" t="s">
        <v>1596</v>
      </c>
      <c r="AQ320" s="1032" t="s">
        <v>161</v>
      </c>
      <c r="AR320" s="1032" t="s">
        <v>1601</v>
      </c>
      <c r="AS320" s="1032" t="s">
        <v>1606</v>
      </c>
      <c r="AT320" s="1032">
        <v>267064412</v>
      </c>
      <c r="AU320" s="1032">
        <v>46</v>
      </c>
      <c r="AW320" s="1033">
        <v>46144</v>
      </c>
      <c r="AX320" s="1032" t="s">
        <v>973</v>
      </c>
      <c r="AY320" s="1033">
        <v>46157</v>
      </c>
      <c r="AZ320" s="1032">
        <v>8</v>
      </c>
      <c r="BA320" s="1033">
        <v>46152</v>
      </c>
      <c r="BB320" s="1032">
        <v>2026</v>
      </c>
      <c r="BC320" s="1032">
        <v>5</v>
      </c>
      <c r="BD320" s="1032">
        <v>19</v>
      </c>
      <c r="BE320" s="1032">
        <v>36</v>
      </c>
      <c r="BF320" s="1032">
        <v>864</v>
      </c>
      <c r="BG320" s="1032" t="s">
        <v>85</v>
      </c>
      <c r="BH320" s="1032" t="s">
        <v>109</v>
      </c>
    </row>
    <row r="321" spans="1:60">
      <c r="A321" s="1032" t="s">
        <v>1610</v>
      </c>
      <c r="B321" s="1032" t="s">
        <v>61</v>
      </c>
      <c r="C321" s="1032" t="s">
        <v>1286</v>
      </c>
      <c r="D321" s="1032" t="s">
        <v>63</v>
      </c>
      <c r="E321" s="1032" t="s">
        <v>64</v>
      </c>
      <c r="F321" s="1032" t="s">
        <v>100</v>
      </c>
      <c r="G321" s="1032" t="s">
        <v>402</v>
      </c>
      <c r="H321" s="1032" t="s">
        <v>67</v>
      </c>
      <c r="I321" s="1032" t="s">
        <v>689</v>
      </c>
      <c r="J321" s="1032" t="s">
        <v>101</v>
      </c>
      <c r="M321" s="1032" t="s">
        <v>68</v>
      </c>
      <c r="N321" s="1032">
        <v>46104</v>
      </c>
      <c r="O321" s="1032" t="s">
        <v>70</v>
      </c>
      <c r="P321" s="1032" t="s">
        <v>1151</v>
      </c>
      <c r="Q321" s="1032" t="s">
        <v>421</v>
      </c>
      <c r="R321" s="1032" t="s">
        <v>73</v>
      </c>
      <c r="S321" s="1032" t="s">
        <v>967</v>
      </c>
      <c r="T321" s="1032">
        <v>505</v>
      </c>
      <c r="U321" s="1032">
        <v>2592</v>
      </c>
      <c r="V321" s="1032">
        <v>1.3089599999999999</v>
      </c>
      <c r="W321" s="1032">
        <v>72</v>
      </c>
      <c r="X321" s="1032">
        <v>3</v>
      </c>
      <c r="Y321" s="1032" t="s">
        <v>75</v>
      </c>
      <c r="Z321" s="1032" t="s">
        <v>75</v>
      </c>
      <c r="AA321" s="1032" t="s">
        <v>1456</v>
      </c>
      <c r="AB321" s="1033">
        <v>46091</v>
      </c>
      <c r="AC321" s="1032">
        <v>11</v>
      </c>
      <c r="AD321" s="1032" t="s">
        <v>1611</v>
      </c>
      <c r="AF321" s="1032" t="s">
        <v>77</v>
      </c>
      <c r="AG321" s="1032" t="s">
        <v>61</v>
      </c>
      <c r="AH321" s="1032" t="s">
        <v>105</v>
      </c>
      <c r="AI321" s="1033">
        <v>46095</v>
      </c>
      <c r="AJ321" s="1033">
        <v>46095</v>
      </c>
      <c r="AK321" s="1033">
        <v>46095</v>
      </c>
      <c r="AL321" s="1033">
        <v>46142</v>
      </c>
      <c r="AM321" s="1033">
        <v>46150</v>
      </c>
      <c r="AN321" s="1033">
        <v>46148</v>
      </c>
      <c r="AO321" s="1032" t="s">
        <v>402</v>
      </c>
      <c r="AP321" s="1032" t="s">
        <v>925</v>
      </c>
      <c r="AQ321" s="1032" t="s">
        <v>80</v>
      </c>
      <c r="AR321" s="1032" t="s">
        <v>1612</v>
      </c>
      <c r="AS321" s="1032" t="s">
        <v>1613</v>
      </c>
      <c r="AT321" s="1032" t="s">
        <v>1613</v>
      </c>
      <c r="AU321" s="1032">
        <v>53</v>
      </c>
      <c r="AW321" s="1033">
        <v>46148</v>
      </c>
      <c r="AX321" s="1032" t="s">
        <v>973</v>
      </c>
      <c r="AY321" s="1033">
        <v>46163</v>
      </c>
      <c r="AZ321" s="1032">
        <v>7</v>
      </c>
      <c r="BA321" s="1033">
        <v>46155</v>
      </c>
      <c r="BB321" s="1032">
        <v>2026</v>
      </c>
      <c r="BC321" s="1032">
        <v>5</v>
      </c>
      <c r="BD321" s="1032">
        <v>20</v>
      </c>
      <c r="BE321" s="1032">
        <v>36</v>
      </c>
      <c r="BF321" s="1032">
        <v>864</v>
      </c>
      <c r="BG321" s="1032" t="s">
        <v>85</v>
      </c>
      <c r="BH321" s="1032" t="s">
        <v>109</v>
      </c>
    </row>
    <row r="322" spans="1:60">
      <c r="A322" s="1032" t="s">
        <v>1614</v>
      </c>
      <c r="B322" s="1032" t="s">
        <v>61</v>
      </c>
      <c r="C322" s="1032" t="s">
        <v>1016</v>
      </c>
      <c r="D322" s="1032" t="s">
        <v>63</v>
      </c>
      <c r="E322" s="1032" t="s">
        <v>144</v>
      </c>
      <c r="F322" s="1032" t="s">
        <v>145</v>
      </c>
      <c r="G322" s="1032" t="s">
        <v>402</v>
      </c>
      <c r="H322" s="1032" t="s">
        <v>538</v>
      </c>
      <c r="I322" s="1032" t="s">
        <v>689</v>
      </c>
      <c r="J322" s="1032" t="s">
        <v>1615</v>
      </c>
      <c r="K322" s="1032" t="s">
        <v>1538</v>
      </c>
      <c r="M322" s="1032" t="s">
        <v>840</v>
      </c>
      <c r="N322" s="1032">
        <v>46076</v>
      </c>
      <c r="O322" s="1032" t="s">
        <v>70</v>
      </c>
      <c r="P322" s="1032" t="s">
        <v>195</v>
      </c>
      <c r="Q322" s="1032" t="s">
        <v>196</v>
      </c>
      <c r="R322" s="1032" t="s">
        <v>73</v>
      </c>
      <c r="S322" s="1032" t="s">
        <v>967</v>
      </c>
      <c r="T322" s="1032">
        <v>450</v>
      </c>
      <c r="U322" s="1032">
        <v>8424</v>
      </c>
      <c r="V322" s="1032">
        <v>3.7907999999999999</v>
      </c>
      <c r="W322" s="1032">
        <v>234</v>
      </c>
      <c r="X322" s="1032">
        <v>9</v>
      </c>
      <c r="Y322" s="1032" t="s">
        <v>75</v>
      </c>
      <c r="Z322" s="1032" t="s">
        <v>75</v>
      </c>
      <c r="AA322" s="1032" t="s">
        <v>1456</v>
      </c>
      <c r="AB322" s="1033">
        <v>46093</v>
      </c>
      <c r="AC322" s="1032">
        <v>11</v>
      </c>
      <c r="AD322" s="1032" t="s">
        <v>1616</v>
      </c>
      <c r="AF322" s="1032" t="s">
        <v>77</v>
      </c>
      <c r="AG322" s="1032" t="s">
        <v>61</v>
      </c>
      <c r="AH322" s="1032" t="s">
        <v>1617</v>
      </c>
      <c r="AI322" s="1033">
        <v>46098</v>
      </c>
      <c r="AJ322" s="1033">
        <v>46098</v>
      </c>
      <c r="AK322" s="1033">
        <v>46097</v>
      </c>
      <c r="AL322" s="1033">
        <v>46168</v>
      </c>
      <c r="AM322" s="1033">
        <v>46157</v>
      </c>
      <c r="AN322" s="1033">
        <v>46158</v>
      </c>
      <c r="AO322" s="1032" t="s">
        <v>402</v>
      </c>
      <c r="AP322" s="1032" t="s">
        <v>1618</v>
      </c>
      <c r="AQ322" s="1032" t="s">
        <v>161</v>
      </c>
      <c r="AR322" s="1032" t="s">
        <v>1619</v>
      </c>
      <c r="AS322" s="1032" t="s">
        <v>1620</v>
      </c>
      <c r="AT322" s="1032" t="s">
        <v>1620</v>
      </c>
      <c r="AU322" s="1032">
        <v>61</v>
      </c>
      <c r="AW322" s="1033">
        <v>46158</v>
      </c>
      <c r="AX322" s="1032" t="s">
        <v>973</v>
      </c>
      <c r="AY322" s="1033">
        <v>46181</v>
      </c>
      <c r="AZ322" s="1032">
        <v>0</v>
      </c>
      <c r="BA322" s="1033">
        <v>46158</v>
      </c>
      <c r="BB322" s="1032">
        <v>2026</v>
      </c>
      <c r="BC322" s="1032">
        <v>5</v>
      </c>
      <c r="BD322" s="1032">
        <v>20</v>
      </c>
      <c r="BE322" s="1032">
        <v>36</v>
      </c>
      <c r="BF322" s="1032">
        <v>936</v>
      </c>
      <c r="BG322" s="1032" t="s">
        <v>85</v>
      </c>
      <c r="BH322" s="1032" t="e">
        <v>#N/A</v>
      </c>
    </row>
    <row r="323" spans="1:60">
      <c r="A323" s="1032" t="s">
        <v>1621</v>
      </c>
      <c r="B323" s="1032" t="s">
        <v>61</v>
      </c>
      <c r="C323" s="1032" t="s">
        <v>1286</v>
      </c>
      <c r="D323" s="1032" t="s">
        <v>63</v>
      </c>
      <c r="E323" s="1032" t="s">
        <v>64</v>
      </c>
      <c r="F323" s="1032" t="s">
        <v>100</v>
      </c>
      <c r="G323" s="1032" t="s">
        <v>402</v>
      </c>
      <c r="H323" s="1032" t="s">
        <v>67</v>
      </c>
      <c r="I323" s="1032" t="s">
        <v>689</v>
      </c>
      <c r="J323" s="1032" t="s">
        <v>1622</v>
      </c>
      <c r="M323" s="1032" t="s">
        <v>68</v>
      </c>
      <c r="N323" s="1032">
        <v>46090</v>
      </c>
      <c r="O323" s="1032" t="s">
        <v>70</v>
      </c>
      <c r="P323" s="1032" t="s">
        <v>1151</v>
      </c>
      <c r="Q323" s="1032" t="s">
        <v>421</v>
      </c>
      <c r="R323" s="1032" t="s">
        <v>73</v>
      </c>
      <c r="S323" s="1032" t="s">
        <v>967</v>
      </c>
      <c r="T323" s="1032">
        <v>505</v>
      </c>
      <c r="U323" s="1032">
        <v>8640</v>
      </c>
      <c r="V323" s="1032">
        <v>4.3632</v>
      </c>
      <c r="W323" s="1032">
        <v>240</v>
      </c>
      <c r="X323" s="1032">
        <v>10</v>
      </c>
      <c r="Y323" s="1032" t="s">
        <v>75</v>
      </c>
      <c r="Z323" s="1032" t="s">
        <v>75</v>
      </c>
      <c r="AB323" s="1033">
        <v>46091</v>
      </c>
      <c r="AC323" s="1032">
        <v>11</v>
      </c>
      <c r="AD323" s="1032" t="s">
        <v>1623</v>
      </c>
      <c r="AF323" s="1032" t="s">
        <v>77</v>
      </c>
      <c r="AG323" s="1032" t="s">
        <v>61</v>
      </c>
      <c r="AH323" s="1032" t="s">
        <v>105</v>
      </c>
      <c r="AI323" s="1033">
        <v>46095</v>
      </c>
      <c r="AJ323" s="1033">
        <v>46095</v>
      </c>
      <c r="AK323" s="1033">
        <v>46095</v>
      </c>
      <c r="AL323" s="1033">
        <v>46142</v>
      </c>
      <c r="AM323" s="1033">
        <v>46150</v>
      </c>
      <c r="AN323" s="1033">
        <v>46148</v>
      </c>
      <c r="AO323" s="1032" t="s">
        <v>402</v>
      </c>
      <c r="AP323" s="1032" t="s">
        <v>925</v>
      </c>
      <c r="AQ323" s="1032" t="s">
        <v>80</v>
      </c>
      <c r="AR323" s="1032" t="s">
        <v>1624</v>
      </c>
      <c r="AS323" s="1032" t="s">
        <v>1625</v>
      </c>
      <c r="AT323" s="1032" t="s">
        <v>1625</v>
      </c>
      <c r="AU323" s="1032">
        <v>53</v>
      </c>
      <c r="AW323" s="1033">
        <v>46148</v>
      </c>
      <c r="AX323" s="1032" t="s">
        <v>973</v>
      </c>
      <c r="AY323" s="1033">
        <v>46163</v>
      </c>
      <c r="AZ323" s="1032">
        <v>7</v>
      </c>
      <c r="BA323" s="1033">
        <v>46155</v>
      </c>
      <c r="BB323" s="1032">
        <v>2026</v>
      </c>
      <c r="BC323" s="1032">
        <v>5</v>
      </c>
      <c r="BD323" s="1032">
        <v>20</v>
      </c>
      <c r="BE323" s="1032">
        <v>36</v>
      </c>
      <c r="BF323" s="1032">
        <v>864</v>
      </c>
      <c r="BG323" s="1032" t="s">
        <v>85</v>
      </c>
      <c r="BH323" s="1032" t="s">
        <v>109</v>
      </c>
    </row>
    <row r="324" spans="1:60">
      <c r="A324" s="1032" t="s">
        <v>1626</v>
      </c>
      <c r="B324" s="1032" t="s">
        <v>61</v>
      </c>
      <c r="C324" s="1032" t="s">
        <v>203</v>
      </c>
      <c r="D324" s="1032" t="s">
        <v>113</v>
      </c>
      <c r="E324" s="1032" t="s">
        <v>64</v>
      </c>
      <c r="F324" s="1032" t="s">
        <v>100</v>
      </c>
      <c r="G324" s="1032" t="s">
        <v>402</v>
      </c>
      <c r="H324" s="1032" t="s">
        <v>67</v>
      </c>
      <c r="I324" s="1032" t="s">
        <v>689</v>
      </c>
      <c r="J324" s="1032" t="s">
        <v>1627</v>
      </c>
      <c r="M324" s="1032" t="s">
        <v>68</v>
      </c>
      <c r="N324" s="1032">
        <v>46045</v>
      </c>
      <c r="O324" s="1032" t="s">
        <v>713</v>
      </c>
      <c r="P324" s="1032" t="s">
        <v>1628</v>
      </c>
      <c r="Q324" s="1032" t="s">
        <v>1629</v>
      </c>
      <c r="R324" s="1032" t="s">
        <v>73</v>
      </c>
      <c r="S324" s="1032" t="s">
        <v>1166</v>
      </c>
      <c r="T324" s="1032">
        <v>630</v>
      </c>
      <c r="U324" s="1032">
        <v>108</v>
      </c>
      <c r="V324" s="1032">
        <v>6.8040000000000003E-2</v>
      </c>
      <c r="W324" s="1032">
        <v>3</v>
      </c>
      <c r="X324" s="1032">
        <v>0.1875</v>
      </c>
      <c r="Y324" s="1032" t="s">
        <v>75</v>
      </c>
      <c r="Z324" s="1032" t="s">
        <v>75</v>
      </c>
      <c r="AB324" s="1033">
        <v>46090</v>
      </c>
      <c r="AC324" s="1032">
        <v>11</v>
      </c>
      <c r="AD324" s="1032" t="s">
        <v>1630</v>
      </c>
      <c r="AF324" s="1032" t="s">
        <v>77</v>
      </c>
      <c r="AG324" s="1032" t="s">
        <v>61</v>
      </c>
      <c r="AH324" s="1032" t="s">
        <v>105</v>
      </c>
      <c r="AI324" s="1033">
        <v>46096</v>
      </c>
      <c r="AJ324" s="1033">
        <v>46103</v>
      </c>
      <c r="AK324" s="1033">
        <v>46103</v>
      </c>
      <c r="AL324" s="1033">
        <v>46139</v>
      </c>
      <c r="AM324" s="1033">
        <v>46147</v>
      </c>
      <c r="AN324" s="1033">
        <v>46147</v>
      </c>
      <c r="AO324" s="1032" t="s">
        <v>402</v>
      </c>
      <c r="AP324" s="1032" t="s">
        <v>1631</v>
      </c>
      <c r="AQ324" s="1032" t="s">
        <v>161</v>
      </c>
      <c r="AR324" s="1032" t="s">
        <v>1632</v>
      </c>
      <c r="AS324" s="1032" t="s">
        <v>1633</v>
      </c>
      <c r="AT324" s="1032">
        <v>267006396</v>
      </c>
      <c r="AU324" s="1032">
        <v>44</v>
      </c>
      <c r="AW324" s="1033">
        <v>46147</v>
      </c>
      <c r="AX324" s="1032" t="s">
        <v>973</v>
      </c>
      <c r="AY324" s="1033">
        <v>46153</v>
      </c>
      <c r="AZ324" s="1032">
        <v>7</v>
      </c>
      <c r="BA324" s="1033">
        <v>46154</v>
      </c>
      <c r="BB324" s="1032">
        <v>2026</v>
      </c>
      <c r="BC324" s="1032">
        <v>5</v>
      </c>
      <c r="BD324" s="1032">
        <v>20</v>
      </c>
      <c r="BE324" s="1032">
        <v>36</v>
      </c>
      <c r="BF324" s="1032">
        <v>576</v>
      </c>
      <c r="BG324" s="1032" t="s">
        <v>108</v>
      </c>
      <c r="BH324" s="1032" t="s">
        <v>109</v>
      </c>
    </row>
    <row r="325" spans="1:60">
      <c r="A325" s="1032" t="s">
        <v>1634</v>
      </c>
      <c r="B325" s="1032" t="s">
        <v>61</v>
      </c>
      <c r="C325" s="1032" t="s">
        <v>1162</v>
      </c>
      <c r="D325" s="1032" t="s">
        <v>113</v>
      </c>
      <c r="E325" s="1032" t="s">
        <v>64</v>
      </c>
      <c r="F325" s="1032" t="s">
        <v>100</v>
      </c>
      <c r="G325" s="1032" t="s">
        <v>402</v>
      </c>
      <c r="H325" s="1032" t="s">
        <v>67</v>
      </c>
      <c r="I325" s="1032" t="s">
        <v>689</v>
      </c>
      <c r="J325" s="1032" t="s">
        <v>1635</v>
      </c>
      <c r="M325" s="1032" t="s">
        <v>68</v>
      </c>
      <c r="N325" s="1032">
        <v>46045</v>
      </c>
      <c r="O325" s="1032" t="s">
        <v>713</v>
      </c>
      <c r="P325" s="1032" t="s">
        <v>1164</v>
      </c>
      <c r="Q325" s="1032" t="s">
        <v>1165</v>
      </c>
      <c r="R325" s="1032" t="s">
        <v>73</v>
      </c>
      <c r="S325" s="1032" t="s">
        <v>1166</v>
      </c>
      <c r="T325" s="1032">
        <v>620</v>
      </c>
      <c r="U325" s="1032">
        <v>4500</v>
      </c>
      <c r="V325" s="1032">
        <v>2.79</v>
      </c>
      <c r="W325" s="1032">
        <v>125</v>
      </c>
      <c r="X325" s="1032">
        <v>7.8125</v>
      </c>
      <c r="Y325" s="1032" t="s">
        <v>75</v>
      </c>
      <c r="Z325" s="1032" t="s">
        <v>75</v>
      </c>
      <c r="AB325" s="1033">
        <v>46090</v>
      </c>
      <c r="AC325" s="1032">
        <v>11</v>
      </c>
      <c r="AD325" s="1032" t="s">
        <v>1636</v>
      </c>
      <c r="AF325" s="1032" t="s">
        <v>77</v>
      </c>
      <c r="AG325" s="1032" t="s">
        <v>61</v>
      </c>
      <c r="AH325" s="1032" t="s">
        <v>105</v>
      </c>
      <c r="AI325" s="1033">
        <v>46096</v>
      </c>
      <c r="AJ325" s="1033">
        <v>46103</v>
      </c>
      <c r="AK325" s="1033">
        <v>46103</v>
      </c>
      <c r="AL325" s="1033">
        <v>46139</v>
      </c>
      <c r="AM325" s="1033">
        <v>46147</v>
      </c>
      <c r="AN325" s="1033">
        <v>46147</v>
      </c>
      <c r="AO325" s="1032" t="s">
        <v>402</v>
      </c>
      <c r="AP325" s="1032" t="s">
        <v>1631</v>
      </c>
      <c r="AQ325" s="1032" t="s">
        <v>161</v>
      </c>
      <c r="AR325" s="1032" t="s">
        <v>1632</v>
      </c>
      <c r="AS325" s="1032" t="s">
        <v>1633</v>
      </c>
      <c r="AT325" s="1032">
        <v>267006396</v>
      </c>
      <c r="AU325" s="1032">
        <v>44</v>
      </c>
      <c r="AW325" s="1033">
        <v>46147</v>
      </c>
      <c r="AX325" s="1032" t="s">
        <v>973</v>
      </c>
      <c r="AY325" s="1033">
        <v>46153</v>
      </c>
      <c r="AZ325" s="1032">
        <v>7</v>
      </c>
      <c r="BA325" s="1033">
        <v>46154</v>
      </c>
      <c r="BB325" s="1032">
        <v>2026</v>
      </c>
      <c r="BC325" s="1032">
        <v>5</v>
      </c>
      <c r="BD325" s="1032">
        <v>20</v>
      </c>
      <c r="BE325" s="1032">
        <v>36</v>
      </c>
      <c r="BF325" s="1032">
        <v>576</v>
      </c>
      <c r="BG325" s="1032" t="s">
        <v>108</v>
      </c>
      <c r="BH325" s="1032" t="s">
        <v>109</v>
      </c>
    </row>
    <row r="326" spans="1:60">
      <c r="A326" s="1032" t="s">
        <v>1637</v>
      </c>
      <c r="B326" s="1032" t="s">
        <v>61</v>
      </c>
      <c r="C326" s="1032" t="s">
        <v>1162</v>
      </c>
      <c r="D326" s="1032" t="s">
        <v>113</v>
      </c>
      <c r="E326" s="1032" t="s">
        <v>64</v>
      </c>
      <c r="F326" s="1032" t="s">
        <v>100</v>
      </c>
      <c r="G326" s="1032" t="s">
        <v>402</v>
      </c>
      <c r="H326" s="1032" t="s">
        <v>67</v>
      </c>
      <c r="I326" s="1032" t="s">
        <v>689</v>
      </c>
      <c r="J326" s="1032" t="s">
        <v>1635</v>
      </c>
      <c r="M326" s="1032" t="s">
        <v>68</v>
      </c>
      <c r="N326" s="1032">
        <v>46045</v>
      </c>
      <c r="O326" s="1032" t="s">
        <v>713</v>
      </c>
      <c r="P326" s="1032" t="s">
        <v>1164</v>
      </c>
      <c r="Q326" s="1032" t="s">
        <v>1165</v>
      </c>
      <c r="R326" s="1032" t="s">
        <v>73</v>
      </c>
      <c r="S326" s="1032" t="s">
        <v>1166</v>
      </c>
      <c r="T326" s="1032">
        <v>620</v>
      </c>
      <c r="U326" s="1032">
        <v>4608</v>
      </c>
      <c r="V326" s="1032">
        <v>2.8569599999999999</v>
      </c>
      <c r="W326" s="1032">
        <v>128</v>
      </c>
      <c r="X326" s="1032">
        <v>8</v>
      </c>
      <c r="Y326" s="1032" t="s">
        <v>75</v>
      </c>
      <c r="Z326" s="1032" t="s">
        <v>75</v>
      </c>
      <c r="AB326" s="1033">
        <v>46090</v>
      </c>
      <c r="AC326" s="1032">
        <v>11</v>
      </c>
      <c r="AD326" s="1032" t="s">
        <v>1638</v>
      </c>
      <c r="AF326" s="1032" t="s">
        <v>77</v>
      </c>
      <c r="AG326" s="1032" t="s">
        <v>61</v>
      </c>
      <c r="AH326" s="1032" t="s">
        <v>105</v>
      </c>
      <c r="AI326" s="1033">
        <v>46096</v>
      </c>
      <c r="AJ326" s="1033">
        <v>46103</v>
      </c>
      <c r="AK326" s="1033">
        <v>46103</v>
      </c>
      <c r="AL326" s="1033">
        <v>46139</v>
      </c>
      <c r="AM326" s="1033">
        <v>46147</v>
      </c>
      <c r="AN326" s="1033">
        <v>46147</v>
      </c>
      <c r="AO326" s="1032" t="s">
        <v>402</v>
      </c>
      <c r="AP326" s="1032" t="s">
        <v>1631</v>
      </c>
      <c r="AQ326" s="1032" t="s">
        <v>161</v>
      </c>
      <c r="AR326" s="1032" t="s">
        <v>1632</v>
      </c>
      <c r="AS326" s="1032" t="s">
        <v>1633</v>
      </c>
      <c r="AT326" s="1032">
        <v>267006396</v>
      </c>
      <c r="AU326" s="1032">
        <v>44</v>
      </c>
      <c r="AW326" s="1033">
        <v>46147</v>
      </c>
      <c r="AX326" s="1032" t="s">
        <v>973</v>
      </c>
      <c r="AY326" s="1033">
        <v>46153</v>
      </c>
      <c r="AZ326" s="1032">
        <v>7</v>
      </c>
      <c r="BA326" s="1033">
        <v>46154</v>
      </c>
      <c r="BB326" s="1032">
        <v>2026</v>
      </c>
      <c r="BC326" s="1032">
        <v>5</v>
      </c>
      <c r="BD326" s="1032">
        <v>20</v>
      </c>
      <c r="BE326" s="1032">
        <v>36</v>
      </c>
      <c r="BF326" s="1032">
        <v>576</v>
      </c>
      <c r="BG326" s="1032" t="s">
        <v>108</v>
      </c>
      <c r="BH326" s="1032" t="s">
        <v>109</v>
      </c>
    </row>
    <row r="327" spans="1:60">
      <c r="A327" s="1032" t="s">
        <v>1639</v>
      </c>
      <c r="B327" s="1032" t="s">
        <v>61</v>
      </c>
      <c r="C327" s="1032" t="s">
        <v>1286</v>
      </c>
      <c r="D327" s="1032" t="s">
        <v>63</v>
      </c>
      <c r="E327" s="1032" t="s">
        <v>64</v>
      </c>
      <c r="F327" s="1032" t="s">
        <v>100</v>
      </c>
      <c r="G327" s="1032" t="s">
        <v>402</v>
      </c>
      <c r="H327" s="1032" t="s">
        <v>67</v>
      </c>
      <c r="I327" s="1032" t="s">
        <v>689</v>
      </c>
      <c r="J327" s="1032" t="s">
        <v>101</v>
      </c>
      <c r="M327" s="1032" t="s">
        <v>68</v>
      </c>
      <c r="N327" s="1032">
        <v>46097</v>
      </c>
      <c r="O327" s="1032" t="s">
        <v>70</v>
      </c>
      <c r="P327" s="1032" t="s">
        <v>1151</v>
      </c>
      <c r="Q327" s="1032" t="s">
        <v>421</v>
      </c>
      <c r="R327" s="1032" t="s">
        <v>73</v>
      </c>
      <c r="S327" s="1032" t="s">
        <v>967</v>
      </c>
      <c r="T327" s="1032">
        <v>505</v>
      </c>
      <c r="U327" s="1032">
        <v>9504</v>
      </c>
      <c r="V327" s="1032">
        <v>4.7995200000000002</v>
      </c>
      <c r="W327" s="1032">
        <v>264</v>
      </c>
      <c r="X327" s="1032">
        <v>11</v>
      </c>
      <c r="Y327" s="1032" t="s">
        <v>75</v>
      </c>
      <c r="Z327" s="1032" t="s">
        <v>75</v>
      </c>
      <c r="AA327" s="1032" t="s">
        <v>1456</v>
      </c>
      <c r="AB327" s="1033">
        <v>46091</v>
      </c>
      <c r="AC327" s="1032">
        <v>11</v>
      </c>
      <c r="AD327" s="1032" t="s">
        <v>1640</v>
      </c>
      <c r="AF327" s="1032" t="s">
        <v>77</v>
      </c>
      <c r="AG327" s="1032" t="s">
        <v>61</v>
      </c>
      <c r="AH327" s="1032" t="s">
        <v>105</v>
      </c>
      <c r="AI327" s="1033">
        <v>46095</v>
      </c>
      <c r="AJ327" s="1033">
        <v>46095</v>
      </c>
      <c r="AK327" s="1033">
        <v>46095</v>
      </c>
      <c r="AL327" s="1033">
        <v>46142</v>
      </c>
      <c r="AM327" s="1033">
        <v>46154</v>
      </c>
      <c r="AN327" s="1033">
        <v>46157</v>
      </c>
      <c r="AO327" s="1032" t="s">
        <v>402</v>
      </c>
      <c r="AP327" s="1032" t="s">
        <v>925</v>
      </c>
      <c r="AQ327" s="1032" t="s">
        <v>80</v>
      </c>
      <c r="AR327" s="1032" t="s">
        <v>926</v>
      </c>
      <c r="AS327" s="1032" t="s">
        <v>927</v>
      </c>
      <c r="AT327" s="1032" t="s">
        <v>927</v>
      </c>
      <c r="AU327" s="1032">
        <v>62</v>
      </c>
      <c r="AW327" s="1033">
        <v>46157</v>
      </c>
      <c r="AX327" s="1032" t="s">
        <v>973</v>
      </c>
      <c r="AY327" s="1033">
        <v>46170</v>
      </c>
      <c r="AZ327" s="1032">
        <v>7</v>
      </c>
      <c r="BA327" s="1033">
        <v>46164</v>
      </c>
      <c r="BB327" s="1032">
        <v>2026</v>
      </c>
      <c r="BC327" s="1032">
        <v>5</v>
      </c>
      <c r="BD327" s="1032">
        <v>21</v>
      </c>
      <c r="BE327" s="1032">
        <v>36</v>
      </c>
      <c r="BF327" s="1032">
        <v>864</v>
      </c>
      <c r="BG327" s="1032" t="s">
        <v>85</v>
      </c>
      <c r="BH327" s="1032" t="s">
        <v>109</v>
      </c>
    </row>
    <row r="328" spans="1:60">
      <c r="A328" s="1032" t="s">
        <v>1641</v>
      </c>
      <c r="B328" s="1032" t="s">
        <v>111</v>
      </c>
      <c r="C328" s="1032" t="s">
        <v>1061</v>
      </c>
      <c r="D328" s="1032" t="s">
        <v>63</v>
      </c>
      <c r="E328" s="1032" t="s">
        <v>64</v>
      </c>
      <c r="F328" s="1032" t="s">
        <v>450</v>
      </c>
      <c r="G328" s="1032" t="s">
        <v>402</v>
      </c>
      <c r="H328" s="1032" t="s">
        <v>451</v>
      </c>
      <c r="I328" s="1032" t="s">
        <v>689</v>
      </c>
      <c r="J328" s="1032" t="s">
        <v>1112</v>
      </c>
      <c r="K328" s="1032" t="s">
        <v>1113</v>
      </c>
      <c r="M328" s="1032" t="s">
        <v>68</v>
      </c>
      <c r="N328" s="1032">
        <v>46076</v>
      </c>
      <c r="O328" s="1032" t="s">
        <v>132</v>
      </c>
      <c r="P328" s="1032" t="s">
        <v>1062</v>
      </c>
      <c r="Q328" s="1032" t="s">
        <v>1063</v>
      </c>
      <c r="R328" s="1032" t="s">
        <v>73</v>
      </c>
      <c r="S328" s="1032" t="s">
        <v>967</v>
      </c>
      <c r="T328" s="1032">
        <v>470</v>
      </c>
      <c r="U328" s="1032">
        <v>3456</v>
      </c>
      <c r="V328" s="1032">
        <v>1.62432</v>
      </c>
      <c r="W328" s="1032">
        <v>96</v>
      </c>
      <c r="X328" s="1032">
        <v>4</v>
      </c>
      <c r="Y328" s="1032" t="s">
        <v>75</v>
      </c>
      <c r="Z328" s="1032" t="s">
        <v>75</v>
      </c>
      <c r="AB328" s="1033">
        <v>46097</v>
      </c>
      <c r="AC328" s="1032">
        <v>12</v>
      </c>
      <c r="AD328" s="1032" t="s">
        <v>1642</v>
      </c>
      <c r="AF328" s="1032" t="s">
        <v>1643</v>
      </c>
      <c r="AG328" s="1032" t="s">
        <v>123</v>
      </c>
      <c r="AH328" s="1032" t="s">
        <v>456</v>
      </c>
      <c r="AI328" s="1033">
        <v>46103</v>
      </c>
      <c r="AJ328" s="1033">
        <v>46110</v>
      </c>
      <c r="AK328" s="1033">
        <v>46110</v>
      </c>
      <c r="AL328" s="1033">
        <v>46141</v>
      </c>
      <c r="AM328" s="1033">
        <v>46160</v>
      </c>
      <c r="AN328" s="1033">
        <v>46157</v>
      </c>
      <c r="AO328" s="1032" t="s">
        <v>402</v>
      </c>
      <c r="AP328" s="1032" t="s">
        <v>1644</v>
      </c>
      <c r="AQ328" s="1032" t="s">
        <v>80</v>
      </c>
      <c r="AR328" s="1032" t="s">
        <v>1645</v>
      </c>
      <c r="AS328" s="1032" t="s">
        <v>1646</v>
      </c>
      <c r="AT328" s="1032" t="s">
        <v>1646</v>
      </c>
      <c r="AU328" s="1032">
        <v>47</v>
      </c>
      <c r="AW328" s="1033">
        <v>46157</v>
      </c>
      <c r="AX328" s="1032" t="s">
        <v>973</v>
      </c>
      <c r="AY328" s="1033">
        <v>46170</v>
      </c>
      <c r="AZ328" s="1032">
        <v>7</v>
      </c>
      <c r="BA328" s="1033">
        <v>46164</v>
      </c>
      <c r="BB328" s="1032">
        <v>2026</v>
      </c>
      <c r="BC328" s="1032">
        <v>5</v>
      </c>
      <c r="BD328" s="1032">
        <v>21</v>
      </c>
      <c r="BE328" s="1032">
        <v>36</v>
      </c>
      <c r="BF328" s="1032">
        <v>864</v>
      </c>
      <c r="BG328" s="1032" t="s">
        <v>108</v>
      </c>
      <c r="BH328" s="1032" t="s">
        <v>109</v>
      </c>
    </row>
    <row r="329" spans="1:60">
      <c r="A329" s="1032" t="s">
        <v>1647</v>
      </c>
      <c r="B329" s="1032" t="s">
        <v>111</v>
      </c>
      <c r="C329" s="1032" t="s">
        <v>1061</v>
      </c>
      <c r="D329" s="1032" t="s">
        <v>63</v>
      </c>
      <c r="E329" s="1032" t="s">
        <v>64</v>
      </c>
      <c r="F329" s="1032" t="s">
        <v>100</v>
      </c>
      <c r="G329" s="1032" t="s">
        <v>402</v>
      </c>
      <c r="H329" s="1032" t="s">
        <v>67</v>
      </c>
      <c r="I329" s="1032" t="s">
        <v>869</v>
      </c>
      <c r="J329" s="1032" t="s">
        <v>101</v>
      </c>
      <c r="M329" s="1032" t="s">
        <v>68</v>
      </c>
      <c r="N329" s="1032">
        <v>46076</v>
      </c>
      <c r="O329" s="1032" t="s">
        <v>132</v>
      </c>
      <c r="P329" s="1032" t="s">
        <v>1062</v>
      </c>
      <c r="Q329" s="1032" t="s">
        <v>1063</v>
      </c>
      <c r="R329" s="1032" t="s">
        <v>73</v>
      </c>
      <c r="S329" s="1032" t="s">
        <v>967</v>
      </c>
      <c r="T329" s="1032">
        <v>470</v>
      </c>
      <c r="U329" s="1032">
        <v>5184</v>
      </c>
      <c r="V329" s="1032">
        <v>2.43648</v>
      </c>
      <c r="W329" s="1032">
        <v>144</v>
      </c>
      <c r="X329" s="1032">
        <v>6</v>
      </c>
      <c r="Y329" s="1032" t="s">
        <v>75</v>
      </c>
      <c r="Z329" s="1032" t="s">
        <v>75</v>
      </c>
      <c r="AB329" s="1033">
        <v>46095</v>
      </c>
      <c r="AC329" s="1032">
        <v>11</v>
      </c>
      <c r="AD329" s="1032" t="s">
        <v>1648</v>
      </c>
      <c r="AF329" s="1032" t="s">
        <v>122</v>
      </c>
      <c r="AG329" s="1032" t="s">
        <v>123</v>
      </c>
      <c r="AH329" s="1032" t="s">
        <v>105</v>
      </c>
      <c r="AI329" s="1033">
        <v>46102</v>
      </c>
      <c r="AJ329" s="1033">
        <v>46103</v>
      </c>
      <c r="AK329" s="1033">
        <v>46103</v>
      </c>
      <c r="AL329" s="1033">
        <v>46144</v>
      </c>
      <c r="AM329" s="1033">
        <v>46151</v>
      </c>
      <c r="AN329" s="1033">
        <v>46153</v>
      </c>
      <c r="AO329" s="1032" t="s">
        <v>402</v>
      </c>
      <c r="AP329" s="1032" t="s">
        <v>1644</v>
      </c>
      <c r="AQ329" s="1032" t="s">
        <v>80</v>
      </c>
      <c r="AR329" s="1032" t="s">
        <v>1649</v>
      </c>
      <c r="AS329" s="1032" t="s">
        <v>1650</v>
      </c>
      <c r="AT329" s="1032" t="s">
        <v>1650</v>
      </c>
      <c r="AU329" s="1032">
        <v>50</v>
      </c>
      <c r="AW329" s="1033">
        <v>46153</v>
      </c>
      <c r="AX329" s="1032" t="s">
        <v>973</v>
      </c>
      <c r="AY329" s="1033">
        <v>46159</v>
      </c>
      <c r="AZ329" s="1032">
        <v>7</v>
      </c>
      <c r="BA329" s="1033">
        <v>46160</v>
      </c>
      <c r="BB329" s="1032">
        <v>2026</v>
      </c>
      <c r="BC329" s="1032">
        <v>5</v>
      </c>
      <c r="BD329" s="1032">
        <v>21</v>
      </c>
      <c r="BE329" s="1032">
        <v>36</v>
      </c>
      <c r="BF329" s="1032">
        <v>864</v>
      </c>
      <c r="BG329" s="1032" t="s">
        <v>108</v>
      </c>
      <c r="BH329" s="1032" t="s">
        <v>109</v>
      </c>
    </row>
    <row r="330" spans="1:60">
      <c r="A330" s="1032" t="s">
        <v>1651</v>
      </c>
      <c r="B330" s="1032" t="s">
        <v>111</v>
      </c>
      <c r="C330" s="1032" t="s">
        <v>991</v>
      </c>
      <c r="D330" s="1032" t="s">
        <v>63</v>
      </c>
      <c r="E330" s="1032" t="s">
        <v>64</v>
      </c>
      <c r="F330" s="1032" t="s">
        <v>100</v>
      </c>
      <c r="G330" s="1032" t="s">
        <v>402</v>
      </c>
      <c r="H330" s="1032" t="s">
        <v>67</v>
      </c>
      <c r="I330" s="1032" t="s">
        <v>1395</v>
      </c>
      <c r="J330" s="1032" t="s">
        <v>101</v>
      </c>
      <c r="M330" s="1032" t="s">
        <v>68</v>
      </c>
      <c r="N330" s="1032">
        <v>46048</v>
      </c>
      <c r="O330" s="1032" t="s">
        <v>132</v>
      </c>
      <c r="P330" s="1032" t="s">
        <v>133</v>
      </c>
      <c r="Q330" s="1032" t="s">
        <v>134</v>
      </c>
      <c r="R330" s="1032" t="s">
        <v>73</v>
      </c>
      <c r="S330" s="1032" t="s">
        <v>992</v>
      </c>
      <c r="T330" s="1032">
        <v>720</v>
      </c>
      <c r="U330" s="1032">
        <v>4158</v>
      </c>
      <c r="V330" s="1032">
        <v>2.99376</v>
      </c>
      <c r="W330" s="1032">
        <v>126</v>
      </c>
      <c r="X330" s="1032">
        <v>7</v>
      </c>
      <c r="Y330" s="1032" t="s">
        <v>75</v>
      </c>
      <c r="Z330" s="1032" t="s">
        <v>75</v>
      </c>
      <c r="AB330" s="1033">
        <v>46095</v>
      </c>
      <c r="AC330" s="1032">
        <v>11</v>
      </c>
      <c r="AD330" s="1032" t="s">
        <v>1652</v>
      </c>
      <c r="AF330" s="1032" t="s">
        <v>122</v>
      </c>
      <c r="AG330" s="1032" t="s">
        <v>123</v>
      </c>
      <c r="AH330" s="1032" t="s">
        <v>105</v>
      </c>
      <c r="AI330" s="1033">
        <v>46102</v>
      </c>
      <c r="AJ330" s="1033">
        <v>46103</v>
      </c>
      <c r="AK330" s="1033">
        <v>46103</v>
      </c>
      <c r="AL330" s="1033">
        <v>46144</v>
      </c>
      <c r="AM330" s="1033">
        <v>46151</v>
      </c>
      <c r="AN330" s="1033">
        <v>46153</v>
      </c>
      <c r="AO330" s="1032" t="s">
        <v>402</v>
      </c>
      <c r="AP330" s="1032" t="s">
        <v>1644</v>
      </c>
      <c r="AQ330" s="1032" t="s">
        <v>80</v>
      </c>
      <c r="AR330" s="1032" t="s">
        <v>1649</v>
      </c>
      <c r="AS330" s="1032" t="s">
        <v>1650</v>
      </c>
      <c r="AT330" s="1032" t="s">
        <v>1650</v>
      </c>
      <c r="AU330" s="1032">
        <v>50</v>
      </c>
      <c r="AW330" s="1033">
        <v>46153</v>
      </c>
      <c r="AX330" s="1032" t="s">
        <v>973</v>
      </c>
      <c r="AY330" s="1033">
        <v>46159</v>
      </c>
      <c r="AZ330" s="1032">
        <v>7</v>
      </c>
      <c r="BA330" s="1033">
        <v>46160</v>
      </c>
      <c r="BB330" s="1032">
        <v>2026</v>
      </c>
      <c r="BC330" s="1032">
        <v>5</v>
      </c>
      <c r="BD330" s="1032">
        <v>21</v>
      </c>
      <c r="BE330" s="1032">
        <v>33</v>
      </c>
      <c r="BF330" s="1032">
        <v>594</v>
      </c>
      <c r="BG330" s="1032" t="s">
        <v>108</v>
      </c>
      <c r="BH330" s="1032" t="s">
        <v>109</v>
      </c>
    </row>
    <row r="331" spans="1:60">
      <c r="A331" s="1032" t="s">
        <v>1653</v>
      </c>
      <c r="B331" s="1032" t="s">
        <v>111</v>
      </c>
      <c r="C331" s="1032" t="s">
        <v>991</v>
      </c>
      <c r="D331" s="1032" t="s">
        <v>63</v>
      </c>
      <c r="E331" s="1032" t="s">
        <v>64</v>
      </c>
      <c r="F331" s="1032" t="s">
        <v>100</v>
      </c>
      <c r="G331" s="1032" t="s">
        <v>402</v>
      </c>
      <c r="H331" s="1032" t="s">
        <v>67</v>
      </c>
      <c r="I331" s="1032" t="s">
        <v>689</v>
      </c>
      <c r="J331" s="1032" t="s">
        <v>1654</v>
      </c>
      <c r="M331" s="1032" t="s">
        <v>68</v>
      </c>
      <c r="N331" s="1032">
        <v>46048</v>
      </c>
      <c r="O331" s="1032" t="s">
        <v>132</v>
      </c>
      <c r="P331" s="1032" t="s">
        <v>133</v>
      </c>
      <c r="Q331" s="1032" t="s">
        <v>134</v>
      </c>
      <c r="R331" s="1032" t="s">
        <v>73</v>
      </c>
      <c r="S331" s="1032" t="s">
        <v>992</v>
      </c>
      <c r="T331" s="1032">
        <v>720</v>
      </c>
      <c r="U331" s="1032">
        <v>1188</v>
      </c>
      <c r="V331" s="1032">
        <v>0.85536000000000001</v>
      </c>
      <c r="W331" s="1032">
        <v>36</v>
      </c>
      <c r="X331" s="1032">
        <v>2</v>
      </c>
      <c r="Y331" s="1032" t="s">
        <v>75</v>
      </c>
      <c r="Z331" s="1032" t="s">
        <v>75</v>
      </c>
      <c r="AB331" s="1033">
        <v>46095</v>
      </c>
      <c r="AC331" s="1032">
        <v>11</v>
      </c>
      <c r="AD331" s="1032" t="s">
        <v>1655</v>
      </c>
      <c r="AF331" s="1032" t="s">
        <v>122</v>
      </c>
      <c r="AG331" s="1032" t="s">
        <v>123</v>
      </c>
      <c r="AH331" s="1032" t="s">
        <v>105</v>
      </c>
      <c r="AI331" s="1033">
        <v>46102</v>
      </c>
      <c r="AJ331" s="1033">
        <v>46103</v>
      </c>
      <c r="AK331" s="1033">
        <v>46103</v>
      </c>
      <c r="AL331" s="1033">
        <v>46144</v>
      </c>
      <c r="AM331" s="1033">
        <v>46151</v>
      </c>
      <c r="AN331" s="1033">
        <v>46153</v>
      </c>
      <c r="AO331" s="1032" t="s">
        <v>402</v>
      </c>
      <c r="AP331" s="1032" t="s">
        <v>1644</v>
      </c>
      <c r="AQ331" s="1032" t="s">
        <v>80</v>
      </c>
      <c r="AR331" s="1032" t="s">
        <v>1649</v>
      </c>
      <c r="AS331" s="1032" t="s">
        <v>1650</v>
      </c>
      <c r="AT331" s="1032" t="s">
        <v>1650</v>
      </c>
      <c r="AU331" s="1032">
        <v>50</v>
      </c>
      <c r="AW331" s="1033">
        <v>46153</v>
      </c>
      <c r="AX331" s="1032" t="s">
        <v>973</v>
      </c>
      <c r="AY331" s="1033">
        <v>46159</v>
      </c>
      <c r="AZ331" s="1032">
        <v>7</v>
      </c>
      <c r="BA331" s="1033">
        <v>46160</v>
      </c>
      <c r="BB331" s="1032">
        <v>2026</v>
      </c>
      <c r="BC331" s="1032">
        <v>5</v>
      </c>
      <c r="BD331" s="1032">
        <v>21</v>
      </c>
      <c r="BE331" s="1032">
        <v>33</v>
      </c>
      <c r="BF331" s="1032">
        <v>594</v>
      </c>
      <c r="BG331" s="1032" t="s">
        <v>108</v>
      </c>
      <c r="BH331" s="1032" t="s">
        <v>109</v>
      </c>
    </row>
    <row r="332" spans="1:60">
      <c r="A332" s="1032" t="s">
        <v>1656</v>
      </c>
      <c r="B332" s="1032" t="s">
        <v>111</v>
      </c>
      <c r="C332" s="1032" t="s">
        <v>1046</v>
      </c>
      <c r="D332" s="1032" t="s">
        <v>63</v>
      </c>
      <c r="E332" s="1032" t="s">
        <v>64</v>
      </c>
      <c r="F332" s="1032" t="s">
        <v>100</v>
      </c>
      <c r="G332" s="1032" t="s">
        <v>402</v>
      </c>
      <c r="H332" s="1032" t="s">
        <v>67</v>
      </c>
      <c r="I332" s="1032" t="s">
        <v>822</v>
      </c>
      <c r="J332" s="1032" t="s">
        <v>1047</v>
      </c>
      <c r="M332" s="1032" t="s">
        <v>68</v>
      </c>
      <c r="N332" s="1032">
        <v>46069</v>
      </c>
      <c r="O332" s="1032" t="s">
        <v>70</v>
      </c>
      <c r="P332" s="1032" t="s">
        <v>1002</v>
      </c>
      <c r="Q332" s="1032" t="s">
        <v>330</v>
      </c>
      <c r="R332" s="1032" t="s">
        <v>73</v>
      </c>
      <c r="S332" s="1032" t="s">
        <v>992</v>
      </c>
      <c r="T332" s="1032">
        <v>625</v>
      </c>
      <c r="U332" s="1032">
        <v>7920</v>
      </c>
      <c r="V332" s="1032">
        <v>4.95</v>
      </c>
      <c r="W332" s="1032">
        <v>220</v>
      </c>
      <c r="X332" s="1032">
        <v>11</v>
      </c>
      <c r="Y332" s="1032" t="s">
        <v>75</v>
      </c>
      <c r="Z332" s="1032" t="s">
        <v>75</v>
      </c>
      <c r="AA332" s="1032" t="s">
        <v>1500</v>
      </c>
      <c r="AB332" s="1033">
        <v>46096</v>
      </c>
      <c r="AC332" s="1032">
        <v>11</v>
      </c>
      <c r="AD332" s="1032" t="s">
        <v>1657</v>
      </c>
      <c r="AF332" s="1032" t="s">
        <v>122</v>
      </c>
      <c r="AG332" s="1032" t="s">
        <v>123</v>
      </c>
      <c r="AH332" s="1032" t="s">
        <v>105</v>
      </c>
      <c r="AI332" s="1033">
        <v>46103</v>
      </c>
      <c r="AJ332" s="1033">
        <v>46103</v>
      </c>
      <c r="AK332" s="1033">
        <v>46103</v>
      </c>
      <c r="AL332" s="1033">
        <v>46140</v>
      </c>
      <c r="AM332" s="1033">
        <v>46150</v>
      </c>
      <c r="AN332" s="1033">
        <v>46148</v>
      </c>
      <c r="AO332" s="1032" t="s">
        <v>402</v>
      </c>
      <c r="AP332" s="1032" t="s">
        <v>925</v>
      </c>
      <c r="AQ332" s="1032" t="s">
        <v>80</v>
      </c>
      <c r="AR332" s="1032" t="s">
        <v>1658</v>
      </c>
      <c r="AS332" s="1032" t="s">
        <v>1659</v>
      </c>
      <c r="AT332" s="1032" t="s">
        <v>1659</v>
      </c>
      <c r="AU332" s="1032">
        <v>45</v>
      </c>
      <c r="AW332" s="1033">
        <v>46148</v>
      </c>
      <c r="AX332" s="1032" t="s">
        <v>973</v>
      </c>
      <c r="AY332" s="1033">
        <v>46163</v>
      </c>
      <c r="AZ332" s="1032">
        <v>7</v>
      </c>
      <c r="BA332" s="1033">
        <v>46155</v>
      </c>
      <c r="BB332" s="1032">
        <v>2026</v>
      </c>
      <c r="BC332" s="1032">
        <v>5</v>
      </c>
      <c r="BD332" s="1032">
        <v>20</v>
      </c>
      <c r="BE332" s="1032">
        <v>36</v>
      </c>
      <c r="BF332" s="1032">
        <v>720</v>
      </c>
      <c r="BG332" s="1032" t="s">
        <v>128</v>
      </c>
      <c r="BH332" s="1032" t="s">
        <v>109</v>
      </c>
    </row>
    <row r="333" spans="1:60">
      <c r="A333" s="1032" t="s">
        <v>1660</v>
      </c>
      <c r="B333" s="1032" t="s">
        <v>111</v>
      </c>
      <c r="C333" s="1032" t="s">
        <v>1482</v>
      </c>
      <c r="D333" s="1032" t="s">
        <v>63</v>
      </c>
      <c r="E333" s="1032" t="s">
        <v>64</v>
      </c>
      <c r="F333" s="1032" t="s">
        <v>100</v>
      </c>
      <c r="G333" s="1032" t="s">
        <v>402</v>
      </c>
      <c r="H333" s="1032" t="s">
        <v>67</v>
      </c>
      <c r="I333" s="1032" t="s">
        <v>689</v>
      </c>
      <c r="J333" s="1032" t="s">
        <v>101</v>
      </c>
      <c r="M333" s="1032" t="s">
        <v>68</v>
      </c>
      <c r="N333" s="1032">
        <v>46093</v>
      </c>
      <c r="O333" s="1032" t="s">
        <v>70</v>
      </c>
      <c r="P333" s="1032" t="s">
        <v>1483</v>
      </c>
      <c r="Q333" s="1032" t="s">
        <v>1484</v>
      </c>
      <c r="R333" s="1032" t="s">
        <v>73</v>
      </c>
      <c r="S333" s="1032" t="s">
        <v>992</v>
      </c>
      <c r="T333" s="1032">
        <v>725</v>
      </c>
      <c r="U333" s="1032">
        <v>8910</v>
      </c>
      <c r="V333" s="1032">
        <v>6.4597499999999997</v>
      </c>
      <c r="W333" s="1032">
        <v>270</v>
      </c>
      <c r="X333" s="1032">
        <v>15</v>
      </c>
      <c r="Y333" s="1032" t="s">
        <v>75</v>
      </c>
      <c r="Z333" s="1032" t="s">
        <v>75</v>
      </c>
      <c r="AB333" s="1033">
        <v>46096</v>
      </c>
      <c r="AC333" s="1032">
        <v>11</v>
      </c>
      <c r="AD333" s="1032" t="s">
        <v>1661</v>
      </c>
      <c r="AF333" s="1032" t="s">
        <v>1643</v>
      </c>
      <c r="AG333" s="1032" t="s">
        <v>123</v>
      </c>
      <c r="AH333" s="1032" t="s">
        <v>105</v>
      </c>
      <c r="AI333" s="1033">
        <v>46102</v>
      </c>
      <c r="AJ333" s="1033">
        <v>46112</v>
      </c>
      <c r="AK333" s="1033">
        <v>46112</v>
      </c>
      <c r="AL333" s="1033">
        <v>46144</v>
      </c>
      <c r="AM333" s="1033">
        <v>46154</v>
      </c>
      <c r="AN333" s="1033">
        <v>46157</v>
      </c>
      <c r="AO333" s="1032" t="s">
        <v>402</v>
      </c>
      <c r="AP333" s="1032" t="s">
        <v>1644</v>
      </c>
      <c r="AQ333" s="1032" t="s">
        <v>80</v>
      </c>
      <c r="AR333" s="1032" t="s">
        <v>1662</v>
      </c>
      <c r="AS333" s="1032" t="s">
        <v>1663</v>
      </c>
      <c r="AT333" s="1032" t="s">
        <v>1663</v>
      </c>
      <c r="AU333" s="1032">
        <v>45</v>
      </c>
      <c r="AW333" s="1033">
        <v>46157</v>
      </c>
      <c r="AX333" s="1032" t="s">
        <v>973</v>
      </c>
      <c r="AY333" s="1033">
        <v>46168</v>
      </c>
      <c r="AZ333" s="1032">
        <v>7</v>
      </c>
      <c r="BA333" s="1033">
        <v>46164</v>
      </c>
      <c r="BB333" s="1032">
        <v>2026</v>
      </c>
      <c r="BC333" s="1032">
        <v>5</v>
      </c>
      <c r="BD333" s="1032">
        <v>21</v>
      </c>
      <c r="BE333" s="1032">
        <v>33</v>
      </c>
      <c r="BF333" s="1032">
        <v>594</v>
      </c>
      <c r="BG333" s="1032" t="s">
        <v>128</v>
      </c>
      <c r="BH333" s="1032" t="s">
        <v>109</v>
      </c>
    </row>
    <row r="334" spans="1:60">
      <c r="A334" s="1032" t="s">
        <v>1664</v>
      </c>
      <c r="B334" s="1032" t="s">
        <v>111</v>
      </c>
      <c r="C334" s="1032" t="s">
        <v>1482</v>
      </c>
      <c r="D334" s="1032" t="s">
        <v>63</v>
      </c>
      <c r="E334" s="1032" t="s">
        <v>64</v>
      </c>
      <c r="F334" s="1032" t="s">
        <v>100</v>
      </c>
      <c r="G334" s="1032" t="s">
        <v>402</v>
      </c>
      <c r="H334" s="1032" t="s">
        <v>67</v>
      </c>
      <c r="I334" s="1032" t="s">
        <v>689</v>
      </c>
      <c r="J334" s="1032" t="s">
        <v>101</v>
      </c>
      <c r="M334" s="1032" t="s">
        <v>68</v>
      </c>
      <c r="N334" s="1032">
        <v>46093</v>
      </c>
      <c r="O334" s="1032" t="s">
        <v>70</v>
      </c>
      <c r="P334" s="1032" t="s">
        <v>1483</v>
      </c>
      <c r="Q334" s="1032" t="s">
        <v>1484</v>
      </c>
      <c r="R334" s="1032" t="s">
        <v>73</v>
      </c>
      <c r="S334" s="1032" t="s">
        <v>992</v>
      </c>
      <c r="T334" s="1032">
        <v>725</v>
      </c>
      <c r="U334" s="1032">
        <v>594</v>
      </c>
      <c r="V334" s="1032">
        <v>0.43064999999999998</v>
      </c>
      <c r="W334" s="1032">
        <v>18</v>
      </c>
      <c r="X334" s="1032">
        <v>1</v>
      </c>
      <c r="Y334" s="1032" t="s">
        <v>75</v>
      </c>
      <c r="Z334" s="1032" t="s">
        <v>75</v>
      </c>
      <c r="AB334" s="1033">
        <v>46097</v>
      </c>
      <c r="AC334" s="1032">
        <v>12</v>
      </c>
      <c r="AD334" s="1032" t="s">
        <v>1665</v>
      </c>
      <c r="AF334" s="1032" t="s">
        <v>122</v>
      </c>
      <c r="AG334" s="1032" t="s">
        <v>123</v>
      </c>
      <c r="AH334" s="1032" t="s">
        <v>105</v>
      </c>
      <c r="AI334" s="1033">
        <v>46100</v>
      </c>
      <c r="AJ334" s="1033">
        <v>46101</v>
      </c>
      <c r="AK334" s="1033">
        <v>46101</v>
      </c>
      <c r="AL334" s="1033">
        <v>46140</v>
      </c>
      <c r="AM334" s="1033">
        <v>46151</v>
      </c>
      <c r="AN334" s="1033">
        <v>46151</v>
      </c>
      <c r="AO334" s="1032" t="s">
        <v>402</v>
      </c>
      <c r="AP334" s="1032" t="s">
        <v>1666</v>
      </c>
      <c r="AQ334" s="1032" t="s">
        <v>161</v>
      </c>
      <c r="AR334" s="1032" t="s">
        <v>1667</v>
      </c>
      <c r="AS334" s="1032" t="s">
        <v>1668</v>
      </c>
      <c r="AT334" s="1032" t="s">
        <v>1669</v>
      </c>
      <c r="AU334" s="1032">
        <v>50</v>
      </c>
      <c r="AW334" s="1033">
        <v>46151</v>
      </c>
      <c r="AX334" s="1032" t="s">
        <v>973</v>
      </c>
      <c r="AY334" s="1033">
        <v>46153</v>
      </c>
      <c r="AZ334" s="1032">
        <v>7</v>
      </c>
      <c r="BA334" s="1033">
        <v>46158</v>
      </c>
      <c r="BB334" s="1032">
        <v>2026</v>
      </c>
      <c r="BC334" s="1032">
        <v>5</v>
      </c>
      <c r="BD334" s="1032">
        <v>20</v>
      </c>
      <c r="BE334" s="1032">
        <v>33</v>
      </c>
      <c r="BF334" s="1032">
        <v>594</v>
      </c>
      <c r="BG334" s="1032" t="s">
        <v>128</v>
      </c>
      <c r="BH334" s="1032" t="s">
        <v>109</v>
      </c>
    </row>
    <row r="335" spans="1:60">
      <c r="A335" s="1032" t="s">
        <v>1670</v>
      </c>
      <c r="B335" s="1032" t="s">
        <v>111</v>
      </c>
      <c r="C335" s="1032" t="s">
        <v>991</v>
      </c>
      <c r="D335" s="1032" t="s">
        <v>63</v>
      </c>
      <c r="E335" s="1032" t="s">
        <v>64</v>
      </c>
      <c r="F335" s="1032" t="s">
        <v>100</v>
      </c>
      <c r="G335" s="1032" t="s">
        <v>402</v>
      </c>
      <c r="H335" s="1032" t="s">
        <v>67</v>
      </c>
      <c r="I335" s="1032" t="s">
        <v>689</v>
      </c>
      <c r="J335" s="1032" t="s">
        <v>101</v>
      </c>
      <c r="M335" s="1032" t="s">
        <v>68</v>
      </c>
      <c r="N335" s="1032">
        <v>46048</v>
      </c>
      <c r="O335" s="1032" t="s">
        <v>132</v>
      </c>
      <c r="P335" s="1032" t="s">
        <v>133</v>
      </c>
      <c r="Q335" s="1032" t="s">
        <v>134</v>
      </c>
      <c r="R335" s="1032" t="s">
        <v>73</v>
      </c>
      <c r="S335" s="1032" t="s">
        <v>992</v>
      </c>
      <c r="T335" s="1032">
        <v>720</v>
      </c>
      <c r="U335" s="1032">
        <v>2970</v>
      </c>
      <c r="V335" s="1032">
        <v>2.1383999999999999</v>
      </c>
      <c r="W335" s="1032">
        <v>90</v>
      </c>
      <c r="X335" s="1032">
        <v>5</v>
      </c>
      <c r="Y335" s="1032" t="s">
        <v>75</v>
      </c>
      <c r="Z335" s="1032" t="s">
        <v>75</v>
      </c>
      <c r="AB335" s="1033">
        <v>46097</v>
      </c>
      <c r="AC335" s="1032">
        <v>12</v>
      </c>
      <c r="AD335" s="1032" t="s">
        <v>1671</v>
      </c>
      <c r="AF335" s="1032" t="s">
        <v>122</v>
      </c>
      <c r="AG335" s="1032" t="s">
        <v>123</v>
      </c>
      <c r="AH335" s="1032" t="s">
        <v>105</v>
      </c>
      <c r="AI335" s="1033">
        <v>46100</v>
      </c>
      <c r="AJ335" s="1033">
        <v>46101</v>
      </c>
      <c r="AK335" s="1033">
        <v>46101</v>
      </c>
      <c r="AL335" s="1033">
        <v>46140</v>
      </c>
      <c r="AM335" s="1033">
        <v>46151</v>
      </c>
      <c r="AN335" s="1033">
        <v>46151</v>
      </c>
      <c r="AO335" s="1032" t="s">
        <v>402</v>
      </c>
      <c r="AP335" s="1032" t="s">
        <v>1666</v>
      </c>
      <c r="AQ335" s="1032" t="s">
        <v>161</v>
      </c>
      <c r="AR335" s="1032" t="s">
        <v>1667</v>
      </c>
      <c r="AS335" s="1032" t="s">
        <v>1668</v>
      </c>
      <c r="AT335" s="1032" t="s">
        <v>1669</v>
      </c>
      <c r="AU335" s="1032">
        <v>50</v>
      </c>
      <c r="AW335" s="1033">
        <v>46151</v>
      </c>
      <c r="AX335" s="1032" t="s">
        <v>973</v>
      </c>
      <c r="AY335" s="1033">
        <v>46153</v>
      </c>
      <c r="AZ335" s="1032">
        <v>7</v>
      </c>
      <c r="BA335" s="1033">
        <v>46158</v>
      </c>
      <c r="BB335" s="1032">
        <v>2026</v>
      </c>
      <c r="BC335" s="1032">
        <v>5</v>
      </c>
      <c r="BD335" s="1032">
        <v>20</v>
      </c>
      <c r="BE335" s="1032">
        <v>33</v>
      </c>
      <c r="BF335" s="1032">
        <v>594</v>
      </c>
      <c r="BG335" s="1032" t="s">
        <v>108</v>
      </c>
      <c r="BH335" s="1032" t="s">
        <v>109</v>
      </c>
    </row>
    <row r="336" spans="1:60">
      <c r="A336" s="1032" t="s">
        <v>1672</v>
      </c>
      <c r="B336" s="1032" t="s">
        <v>111</v>
      </c>
      <c r="C336" s="1032" t="s">
        <v>1318</v>
      </c>
      <c r="D336" s="1032" t="s">
        <v>63</v>
      </c>
      <c r="E336" s="1032" t="s">
        <v>64</v>
      </c>
      <c r="F336" s="1032" t="s">
        <v>100</v>
      </c>
      <c r="G336" s="1032" t="s">
        <v>402</v>
      </c>
      <c r="H336" s="1032" t="s">
        <v>67</v>
      </c>
      <c r="I336" s="1032" t="s">
        <v>689</v>
      </c>
      <c r="J336" s="1032" t="s">
        <v>483</v>
      </c>
      <c r="M336" s="1032" t="s">
        <v>68</v>
      </c>
      <c r="N336" s="1032">
        <v>46083</v>
      </c>
      <c r="O336" s="1032" t="s">
        <v>473</v>
      </c>
      <c r="P336" s="1032" t="s">
        <v>474</v>
      </c>
      <c r="Q336" s="1032" t="s">
        <v>1319</v>
      </c>
      <c r="R336" s="1032" t="s">
        <v>73</v>
      </c>
      <c r="S336" s="1032" t="s">
        <v>967</v>
      </c>
      <c r="T336" s="1032">
        <v>460</v>
      </c>
      <c r="U336" s="1032">
        <v>6048</v>
      </c>
      <c r="V336" s="1032">
        <v>2.7820800000000001</v>
      </c>
      <c r="W336" s="1032">
        <v>168</v>
      </c>
      <c r="X336" s="1032">
        <v>7</v>
      </c>
      <c r="Y336" s="1032" t="s">
        <v>75</v>
      </c>
      <c r="Z336" s="1032" t="s">
        <v>75</v>
      </c>
      <c r="AA336" s="1032" t="s">
        <v>1548</v>
      </c>
      <c r="AB336" s="1033">
        <v>46097</v>
      </c>
      <c r="AC336" s="1032">
        <v>12</v>
      </c>
      <c r="AD336" s="1032" t="s">
        <v>1673</v>
      </c>
      <c r="AF336" s="1032" t="s">
        <v>122</v>
      </c>
      <c r="AG336" s="1032" t="s">
        <v>123</v>
      </c>
      <c r="AH336" s="1032" t="s">
        <v>105</v>
      </c>
      <c r="AI336" s="1033">
        <v>46100</v>
      </c>
      <c r="AJ336" s="1033">
        <v>46101</v>
      </c>
      <c r="AK336" s="1033">
        <v>46101</v>
      </c>
      <c r="AL336" s="1033">
        <v>46147</v>
      </c>
      <c r="AM336" s="1033">
        <v>46151</v>
      </c>
      <c r="AN336" s="1033">
        <v>46152</v>
      </c>
      <c r="AO336" s="1032" t="s">
        <v>402</v>
      </c>
      <c r="AP336" s="1032" t="s">
        <v>1674</v>
      </c>
      <c r="AQ336" s="1032" t="s">
        <v>161</v>
      </c>
      <c r="AR336" s="1032" t="s">
        <v>1675</v>
      </c>
      <c r="AS336" s="1032" t="s">
        <v>1676</v>
      </c>
      <c r="AT336" s="1032" t="s">
        <v>1677</v>
      </c>
      <c r="AU336" s="1032">
        <v>51</v>
      </c>
      <c r="AW336" s="1033">
        <v>46152</v>
      </c>
      <c r="AX336" s="1032" t="s">
        <v>973</v>
      </c>
      <c r="AY336" s="1033">
        <v>46153</v>
      </c>
      <c r="AZ336" s="1032">
        <v>7</v>
      </c>
      <c r="BA336" s="1033">
        <v>46159</v>
      </c>
      <c r="BB336" s="1032">
        <v>2026</v>
      </c>
      <c r="BC336" s="1032">
        <v>5</v>
      </c>
      <c r="BD336" s="1032">
        <v>20</v>
      </c>
      <c r="BE336" s="1032">
        <v>36</v>
      </c>
      <c r="BF336" s="1032">
        <v>864</v>
      </c>
      <c r="BG336" s="1032" t="s">
        <v>85</v>
      </c>
      <c r="BH336" s="1032" t="s">
        <v>109</v>
      </c>
    </row>
    <row r="337" spans="1:60">
      <c r="A337" s="1032" t="s">
        <v>1678</v>
      </c>
      <c r="B337" s="1032" t="s">
        <v>111</v>
      </c>
      <c r="C337" s="1032" t="s">
        <v>1679</v>
      </c>
      <c r="D337" s="1032" t="s">
        <v>63</v>
      </c>
      <c r="E337" s="1032" t="s">
        <v>64</v>
      </c>
      <c r="F337" s="1032" t="s">
        <v>100</v>
      </c>
      <c r="G337" s="1032" t="s">
        <v>402</v>
      </c>
      <c r="H337" s="1032" t="s">
        <v>67</v>
      </c>
      <c r="I337" s="1032" t="s">
        <v>689</v>
      </c>
      <c r="J337" s="1032" t="s">
        <v>1680</v>
      </c>
      <c r="M337" s="1032" t="s">
        <v>68</v>
      </c>
      <c r="N337" s="1032">
        <v>46093</v>
      </c>
      <c r="O337" s="1032" t="s">
        <v>70</v>
      </c>
      <c r="P337" s="1032" t="s">
        <v>1681</v>
      </c>
      <c r="Q337" s="1032" t="s">
        <v>1682</v>
      </c>
      <c r="R337" s="1032" t="s">
        <v>73</v>
      </c>
      <c r="S337" s="1032" t="s">
        <v>992</v>
      </c>
      <c r="T337" s="1032">
        <v>730</v>
      </c>
      <c r="U337" s="1032">
        <v>1782</v>
      </c>
      <c r="V337" s="1032">
        <v>1.3008599999999999</v>
      </c>
      <c r="W337" s="1032">
        <v>54</v>
      </c>
      <c r="X337" s="1032">
        <v>3</v>
      </c>
      <c r="Y337" s="1032" t="s">
        <v>75</v>
      </c>
      <c r="Z337" s="1032" t="s">
        <v>75</v>
      </c>
      <c r="AB337" s="1033">
        <v>46096</v>
      </c>
      <c r="AC337" s="1032">
        <v>11</v>
      </c>
      <c r="AD337" s="1032" t="s">
        <v>1683</v>
      </c>
      <c r="AF337" s="1032" t="s">
        <v>122</v>
      </c>
      <c r="AG337" s="1032" t="s">
        <v>123</v>
      </c>
      <c r="AH337" s="1032" t="s">
        <v>105</v>
      </c>
      <c r="AI337" s="1033">
        <v>46103</v>
      </c>
      <c r="AJ337" s="1033">
        <v>46104</v>
      </c>
      <c r="AK337" s="1033">
        <v>46104</v>
      </c>
      <c r="AL337" s="1033">
        <v>46140</v>
      </c>
      <c r="AM337" s="1033">
        <v>46151</v>
      </c>
      <c r="AN337" s="1033">
        <v>46148</v>
      </c>
      <c r="AO337" s="1032" t="s">
        <v>402</v>
      </c>
      <c r="AP337" s="1032" t="s">
        <v>1684</v>
      </c>
      <c r="AQ337" s="1032" t="s">
        <v>161</v>
      </c>
      <c r="AR337" s="1032" t="s">
        <v>1685</v>
      </c>
      <c r="AS337" s="1032" t="s">
        <v>1686</v>
      </c>
      <c r="AT337" s="1032" t="s">
        <v>1687</v>
      </c>
      <c r="AU337" s="1032">
        <v>44</v>
      </c>
      <c r="AW337" s="1033">
        <v>46148</v>
      </c>
      <c r="AX337" s="1032" t="s">
        <v>973</v>
      </c>
      <c r="AY337" s="1033">
        <v>46155</v>
      </c>
      <c r="AZ337" s="1032">
        <v>7</v>
      </c>
      <c r="BA337" s="1033">
        <v>46155</v>
      </c>
      <c r="BB337" s="1032">
        <v>2026</v>
      </c>
      <c r="BC337" s="1032">
        <v>5</v>
      </c>
      <c r="BD337" s="1032">
        <v>20</v>
      </c>
      <c r="BE337" s="1032">
        <v>33</v>
      </c>
      <c r="BF337" s="1032">
        <v>594</v>
      </c>
      <c r="BG337" s="1032" t="s">
        <v>94</v>
      </c>
      <c r="BH337" s="1032" t="s">
        <v>109</v>
      </c>
    </row>
    <row r="338" spans="1:60">
      <c r="A338" s="1032" t="s">
        <v>1688</v>
      </c>
      <c r="B338" s="1032" t="s">
        <v>111</v>
      </c>
      <c r="C338" s="1032" t="s">
        <v>1459</v>
      </c>
      <c r="D338" s="1032" t="s">
        <v>63</v>
      </c>
      <c r="E338" s="1032" t="s">
        <v>64</v>
      </c>
      <c r="F338" s="1032" t="s">
        <v>100</v>
      </c>
      <c r="G338" s="1032" t="s">
        <v>402</v>
      </c>
      <c r="H338" s="1032" t="s">
        <v>67</v>
      </c>
      <c r="I338" s="1032" t="s">
        <v>689</v>
      </c>
      <c r="J338" s="1032" t="s">
        <v>101</v>
      </c>
      <c r="M338" s="1032" t="s">
        <v>68</v>
      </c>
      <c r="N338" s="1032">
        <v>46097</v>
      </c>
      <c r="O338" s="1032" t="s">
        <v>70</v>
      </c>
      <c r="P338" s="1032" t="s">
        <v>1461</v>
      </c>
      <c r="Q338" s="1032" t="s">
        <v>103</v>
      </c>
      <c r="R338" s="1032" t="s">
        <v>73</v>
      </c>
      <c r="S338" s="1032" t="s">
        <v>992</v>
      </c>
      <c r="T338" s="1032">
        <v>620</v>
      </c>
      <c r="U338" s="1032">
        <v>2160</v>
      </c>
      <c r="V338" s="1032">
        <v>1.3391999999999999</v>
      </c>
      <c r="W338" s="1032">
        <v>60</v>
      </c>
      <c r="X338" s="1032">
        <v>3</v>
      </c>
      <c r="Y338" s="1032" t="s">
        <v>75</v>
      </c>
      <c r="Z338" s="1032" t="s">
        <v>75</v>
      </c>
      <c r="AB338" s="1033">
        <v>46096</v>
      </c>
      <c r="AC338" s="1032">
        <v>11</v>
      </c>
      <c r="AD338" s="1032" t="s">
        <v>1689</v>
      </c>
      <c r="AF338" s="1032" t="s">
        <v>122</v>
      </c>
      <c r="AG338" s="1032" t="s">
        <v>123</v>
      </c>
      <c r="AH338" s="1032" t="s">
        <v>105</v>
      </c>
      <c r="AI338" s="1033">
        <v>46103</v>
      </c>
      <c r="AJ338" s="1033">
        <v>46104</v>
      </c>
      <c r="AK338" s="1033">
        <v>46104</v>
      </c>
      <c r="AL338" s="1033">
        <v>46140</v>
      </c>
      <c r="AM338" s="1033">
        <v>46151</v>
      </c>
      <c r="AN338" s="1033">
        <v>46148</v>
      </c>
      <c r="AO338" s="1032" t="s">
        <v>402</v>
      </c>
      <c r="AP338" s="1032" t="s">
        <v>1684</v>
      </c>
      <c r="AQ338" s="1032" t="s">
        <v>161</v>
      </c>
      <c r="AR338" s="1032" t="s">
        <v>1685</v>
      </c>
      <c r="AS338" s="1032" t="s">
        <v>1686</v>
      </c>
      <c r="AT338" s="1032" t="s">
        <v>1687</v>
      </c>
      <c r="AU338" s="1032">
        <v>44</v>
      </c>
      <c r="AW338" s="1033">
        <v>46148</v>
      </c>
      <c r="AX338" s="1032" t="s">
        <v>973</v>
      </c>
      <c r="AY338" s="1033">
        <v>46155</v>
      </c>
      <c r="AZ338" s="1032">
        <v>7</v>
      </c>
      <c r="BA338" s="1033">
        <v>46155</v>
      </c>
      <c r="BB338" s="1032">
        <v>2026</v>
      </c>
      <c r="BC338" s="1032">
        <v>5</v>
      </c>
      <c r="BD338" s="1032">
        <v>20</v>
      </c>
      <c r="BE338" s="1032">
        <v>36</v>
      </c>
      <c r="BF338" s="1032">
        <v>720</v>
      </c>
      <c r="BG338" s="1032" t="s">
        <v>128</v>
      </c>
      <c r="BH338" s="1032" t="s">
        <v>109</v>
      </c>
    </row>
    <row r="339" spans="1:60">
      <c r="A339" s="1032" t="s">
        <v>1690</v>
      </c>
      <c r="B339" s="1032" t="s">
        <v>111</v>
      </c>
      <c r="C339" s="1032" t="s">
        <v>1459</v>
      </c>
      <c r="D339" s="1032" t="s">
        <v>63</v>
      </c>
      <c r="E339" s="1032" t="s">
        <v>64</v>
      </c>
      <c r="F339" s="1032" t="s">
        <v>100</v>
      </c>
      <c r="G339" s="1032" t="s">
        <v>402</v>
      </c>
      <c r="H339" s="1032" t="s">
        <v>67</v>
      </c>
      <c r="I339" s="1032" t="s">
        <v>689</v>
      </c>
      <c r="J339" s="1032" t="s">
        <v>101</v>
      </c>
      <c r="M339" s="1032" t="s">
        <v>68</v>
      </c>
      <c r="N339" s="1032">
        <v>46097</v>
      </c>
      <c r="O339" s="1032" t="s">
        <v>70</v>
      </c>
      <c r="P339" s="1032" t="s">
        <v>1461</v>
      </c>
      <c r="Q339" s="1032" t="s">
        <v>103</v>
      </c>
      <c r="R339" s="1032" t="s">
        <v>73</v>
      </c>
      <c r="S339" s="1032" t="s">
        <v>992</v>
      </c>
      <c r="T339" s="1032">
        <v>620</v>
      </c>
      <c r="U339" s="1032">
        <v>10800</v>
      </c>
      <c r="V339" s="1032">
        <v>6.6959999999999997</v>
      </c>
      <c r="W339" s="1032">
        <v>300</v>
      </c>
      <c r="X339" s="1032">
        <v>15</v>
      </c>
      <c r="Y339" s="1032" t="s">
        <v>75</v>
      </c>
      <c r="Z339" s="1032" t="s">
        <v>75</v>
      </c>
      <c r="AB339" s="1033">
        <v>46097</v>
      </c>
      <c r="AC339" s="1032">
        <v>12</v>
      </c>
      <c r="AD339" s="1032" t="s">
        <v>1691</v>
      </c>
      <c r="AF339" s="1032" t="s">
        <v>1643</v>
      </c>
      <c r="AG339" s="1032" t="s">
        <v>123</v>
      </c>
      <c r="AH339" s="1032" t="s">
        <v>105</v>
      </c>
      <c r="AI339" s="1033">
        <v>46102</v>
      </c>
      <c r="AJ339" s="1033">
        <v>46112</v>
      </c>
      <c r="AK339" s="1033">
        <v>46112</v>
      </c>
      <c r="AL339" s="1033">
        <v>46140</v>
      </c>
      <c r="AM339" s="1033">
        <v>46154</v>
      </c>
      <c r="AN339" s="1033">
        <v>46157</v>
      </c>
      <c r="AO339" s="1032" t="s">
        <v>402</v>
      </c>
      <c r="AP339" s="1032" t="s">
        <v>1644</v>
      </c>
      <c r="AQ339" s="1032" t="s">
        <v>80</v>
      </c>
      <c r="AR339" s="1032" t="s">
        <v>1692</v>
      </c>
      <c r="AS339" s="1032" t="s">
        <v>1693</v>
      </c>
      <c r="AT339" s="1032" t="s">
        <v>1693</v>
      </c>
      <c r="AU339" s="1032">
        <v>45</v>
      </c>
      <c r="AW339" s="1033">
        <v>46157</v>
      </c>
      <c r="AX339" s="1032" t="s">
        <v>973</v>
      </c>
      <c r="AY339" s="1033">
        <v>46170</v>
      </c>
      <c r="AZ339" s="1032">
        <v>7</v>
      </c>
      <c r="BA339" s="1033">
        <v>46164</v>
      </c>
      <c r="BB339" s="1032">
        <v>2026</v>
      </c>
      <c r="BC339" s="1032">
        <v>5</v>
      </c>
      <c r="BD339" s="1032">
        <v>21</v>
      </c>
      <c r="BE339" s="1032">
        <v>36</v>
      </c>
      <c r="BF339" s="1032">
        <v>720</v>
      </c>
      <c r="BG339" s="1032" t="s">
        <v>128</v>
      </c>
      <c r="BH339" s="1032" t="s">
        <v>109</v>
      </c>
    </row>
    <row r="340" spans="1:60">
      <c r="A340" s="1032" t="s">
        <v>1679</v>
      </c>
      <c r="B340" s="1032" t="s">
        <v>111</v>
      </c>
      <c r="C340" s="1032" t="s">
        <v>203</v>
      </c>
      <c r="D340" s="1032" t="s">
        <v>63</v>
      </c>
      <c r="E340" s="1032" t="s">
        <v>64</v>
      </c>
      <c r="F340" s="1032" t="s">
        <v>100</v>
      </c>
      <c r="G340" s="1032" t="s">
        <v>402</v>
      </c>
      <c r="H340" s="1032" t="s">
        <v>67</v>
      </c>
      <c r="I340" s="1032" t="s">
        <v>689</v>
      </c>
      <c r="J340" s="1032" t="s">
        <v>1680</v>
      </c>
      <c r="M340" s="1032" t="s">
        <v>68</v>
      </c>
      <c r="N340" s="1032">
        <v>46093</v>
      </c>
      <c r="O340" s="1032" t="s">
        <v>70</v>
      </c>
      <c r="P340" s="1032" t="s">
        <v>1681</v>
      </c>
      <c r="Q340" s="1032" t="s">
        <v>1682</v>
      </c>
      <c r="R340" s="1032" t="s">
        <v>73</v>
      </c>
      <c r="S340" s="1032" t="s">
        <v>992</v>
      </c>
      <c r="T340" s="1032">
        <v>730</v>
      </c>
      <c r="U340" s="1032">
        <v>6534</v>
      </c>
      <c r="V340" s="1032">
        <v>4.7698200000000002</v>
      </c>
      <c r="W340" s="1032">
        <v>198</v>
      </c>
      <c r="X340" s="1032">
        <v>11</v>
      </c>
      <c r="Y340" s="1032" t="s">
        <v>75</v>
      </c>
      <c r="Z340" s="1032" t="s">
        <v>75</v>
      </c>
      <c r="AB340" s="1033">
        <v>46097</v>
      </c>
      <c r="AC340" s="1032">
        <v>12</v>
      </c>
      <c r="AD340" s="1032" t="s">
        <v>1694</v>
      </c>
      <c r="AF340" s="1032" t="s">
        <v>1643</v>
      </c>
      <c r="AG340" s="1032" t="s">
        <v>123</v>
      </c>
      <c r="AH340" s="1032" t="s">
        <v>105</v>
      </c>
      <c r="AI340" s="1033">
        <v>46102</v>
      </c>
      <c r="AJ340" s="1033">
        <v>46112</v>
      </c>
      <c r="AK340" s="1033">
        <v>46112</v>
      </c>
      <c r="AL340" s="1033">
        <v>46140</v>
      </c>
      <c r="AM340" s="1033">
        <v>46154</v>
      </c>
      <c r="AN340" s="1033">
        <v>46157</v>
      </c>
      <c r="AO340" s="1032" t="s">
        <v>402</v>
      </c>
      <c r="AP340" s="1032" t="s">
        <v>1644</v>
      </c>
      <c r="AQ340" s="1032" t="s">
        <v>80</v>
      </c>
      <c r="AR340" s="1032" t="s">
        <v>1695</v>
      </c>
      <c r="AS340" s="1032" t="s">
        <v>1696</v>
      </c>
      <c r="AT340" s="1032" t="s">
        <v>1696</v>
      </c>
      <c r="AU340" s="1032">
        <v>45</v>
      </c>
      <c r="AW340" s="1033">
        <v>46157</v>
      </c>
      <c r="AX340" s="1032" t="s">
        <v>973</v>
      </c>
      <c r="AY340" s="1033">
        <v>46170</v>
      </c>
      <c r="AZ340" s="1032">
        <v>7</v>
      </c>
      <c r="BA340" s="1033">
        <v>46164</v>
      </c>
      <c r="BB340" s="1032">
        <v>2026</v>
      </c>
      <c r="BC340" s="1032">
        <v>5</v>
      </c>
      <c r="BD340" s="1032">
        <v>21</v>
      </c>
      <c r="BE340" s="1032">
        <v>33</v>
      </c>
      <c r="BF340" s="1032">
        <v>594</v>
      </c>
      <c r="BG340" s="1032" t="s">
        <v>94</v>
      </c>
      <c r="BH340" s="1032" t="s">
        <v>109</v>
      </c>
    </row>
    <row r="341" spans="1:60">
      <c r="A341" s="1032" t="s">
        <v>1697</v>
      </c>
      <c r="B341" s="1032" t="s">
        <v>111</v>
      </c>
      <c r="C341" s="1032" t="s">
        <v>1459</v>
      </c>
      <c r="D341" s="1032" t="s">
        <v>63</v>
      </c>
      <c r="E341" s="1032" t="s">
        <v>64</v>
      </c>
      <c r="F341" s="1032" t="s">
        <v>100</v>
      </c>
      <c r="G341" s="1032" t="s">
        <v>402</v>
      </c>
      <c r="H341" s="1032" t="s">
        <v>67</v>
      </c>
      <c r="I341" s="1032" t="s">
        <v>689</v>
      </c>
      <c r="J341" s="1032" t="s">
        <v>917</v>
      </c>
      <c r="M341" s="1032" t="s">
        <v>68</v>
      </c>
      <c r="N341" s="1032">
        <v>46097</v>
      </c>
      <c r="O341" s="1032" t="s">
        <v>70</v>
      </c>
      <c r="P341" s="1032" t="s">
        <v>1461</v>
      </c>
      <c r="Q341" s="1032" t="s">
        <v>103</v>
      </c>
      <c r="R341" s="1032" t="s">
        <v>73</v>
      </c>
      <c r="S341" s="1032" t="s">
        <v>992</v>
      </c>
      <c r="T341" s="1032">
        <v>620</v>
      </c>
      <c r="U341" s="1032">
        <v>1440</v>
      </c>
      <c r="V341" s="1032">
        <v>0.89280000000000004</v>
      </c>
      <c r="W341" s="1032">
        <v>40</v>
      </c>
      <c r="X341" s="1032">
        <v>2</v>
      </c>
      <c r="Y341" s="1032" t="s">
        <v>75</v>
      </c>
      <c r="Z341" s="1032" t="s">
        <v>75</v>
      </c>
      <c r="AB341" s="1033">
        <v>46098</v>
      </c>
      <c r="AC341" s="1032">
        <v>12</v>
      </c>
      <c r="AD341" s="1032" t="s">
        <v>1698</v>
      </c>
      <c r="AF341" s="1032" t="s">
        <v>1643</v>
      </c>
      <c r="AG341" s="1032" t="s">
        <v>123</v>
      </c>
      <c r="AH341" s="1032" t="s">
        <v>105</v>
      </c>
      <c r="AI341" s="1033">
        <v>46103</v>
      </c>
      <c r="AJ341" s="1033">
        <v>46112</v>
      </c>
      <c r="AK341" s="1033">
        <v>46112</v>
      </c>
      <c r="AL341" s="1033">
        <v>46140</v>
      </c>
      <c r="AM341" s="1033">
        <v>46154</v>
      </c>
      <c r="AN341" s="1033">
        <v>46157</v>
      </c>
      <c r="AO341" s="1032" t="s">
        <v>402</v>
      </c>
      <c r="AP341" s="1032" t="s">
        <v>925</v>
      </c>
      <c r="AQ341" s="1032" t="s">
        <v>80</v>
      </c>
      <c r="AR341" s="1032" t="s">
        <v>1699</v>
      </c>
      <c r="AS341" s="1032" t="s">
        <v>1700</v>
      </c>
      <c r="AT341" s="1032" t="s">
        <v>1700</v>
      </c>
      <c r="AU341" s="1032">
        <v>45</v>
      </c>
      <c r="AW341" s="1033">
        <v>46157</v>
      </c>
      <c r="AX341" s="1032" t="s">
        <v>973</v>
      </c>
      <c r="AY341" s="1033">
        <v>46170</v>
      </c>
      <c r="AZ341" s="1032">
        <v>7</v>
      </c>
      <c r="BA341" s="1033">
        <v>46164</v>
      </c>
      <c r="BB341" s="1032">
        <v>2026</v>
      </c>
      <c r="BC341" s="1032">
        <v>5</v>
      </c>
      <c r="BD341" s="1032">
        <v>21</v>
      </c>
      <c r="BE341" s="1032">
        <v>36</v>
      </c>
      <c r="BF341" s="1032">
        <v>720</v>
      </c>
      <c r="BG341" s="1032" t="s">
        <v>128</v>
      </c>
      <c r="BH341" s="1032" t="s">
        <v>109</v>
      </c>
    </row>
    <row r="342" spans="1:60">
      <c r="A342" s="1032" t="s">
        <v>1701</v>
      </c>
      <c r="B342" s="1032" t="s">
        <v>111</v>
      </c>
      <c r="C342" s="1032" t="s">
        <v>1061</v>
      </c>
      <c r="D342" s="1032" t="s">
        <v>63</v>
      </c>
      <c r="E342" s="1032" t="s">
        <v>64</v>
      </c>
      <c r="F342" s="1032" t="s">
        <v>100</v>
      </c>
      <c r="G342" s="1032" t="s">
        <v>402</v>
      </c>
      <c r="H342" s="1032" t="s">
        <v>67</v>
      </c>
      <c r="I342" s="1032" t="s">
        <v>689</v>
      </c>
      <c r="J342" s="1032" t="s">
        <v>1702</v>
      </c>
      <c r="M342" s="1032" t="s">
        <v>68</v>
      </c>
      <c r="N342" s="1032">
        <v>46076</v>
      </c>
      <c r="O342" s="1032" t="s">
        <v>132</v>
      </c>
      <c r="P342" s="1032" t="s">
        <v>1062</v>
      </c>
      <c r="Q342" s="1032" t="s">
        <v>1063</v>
      </c>
      <c r="R342" s="1032" t="s">
        <v>73</v>
      </c>
      <c r="S342" s="1032" t="s">
        <v>967</v>
      </c>
      <c r="T342" s="1032">
        <v>470</v>
      </c>
      <c r="U342" s="1032">
        <v>1728</v>
      </c>
      <c r="V342" s="1032">
        <v>0.81215999999999999</v>
      </c>
      <c r="W342" s="1032">
        <v>48</v>
      </c>
      <c r="X342" s="1032">
        <v>2</v>
      </c>
      <c r="Y342" s="1032" t="s">
        <v>75</v>
      </c>
      <c r="Z342" s="1032" t="s">
        <v>75</v>
      </c>
      <c r="AB342" s="1033">
        <v>46098</v>
      </c>
      <c r="AC342" s="1032">
        <v>12</v>
      </c>
      <c r="AD342" s="1032" t="s">
        <v>1703</v>
      </c>
      <c r="AF342" s="1032" t="s">
        <v>1643</v>
      </c>
      <c r="AG342" s="1032" t="s">
        <v>123</v>
      </c>
      <c r="AH342" s="1032" t="s">
        <v>105</v>
      </c>
      <c r="AI342" s="1033">
        <v>46103</v>
      </c>
      <c r="AJ342" s="1033">
        <v>46112</v>
      </c>
      <c r="AK342" s="1033">
        <v>46112</v>
      </c>
      <c r="AL342" s="1033">
        <v>46140</v>
      </c>
      <c r="AM342" s="1033">
        <v>46154</v>
      </c>
      <c r="AN342" s="1033">
        <v>46157</v>
      </c>
      <c r="AO342" s="1032" t="s">
        <v>402</v>
      </c>
      <c r="AP342" s="1032" t="s">
        <v>925</v>
      </c>
      <c r="AQ342" s="1032" t="s">
        <v>80</v>
      </c>
      <c r="AR342" s="1032" t="s">
        <v>1699</v>
      </c>
      <c r="AS342" s="1032" t="s">
        <v>1700</v>
      </c>
      <c r="AT342" s="1032" t="s">
        <v>1700</v>
      </c>
      <c r="AU342" s="1032">
        <v>45</v>
      </c>
      <c r="AW342" s="1033">
        <v>46157</v>
      </c>
      <c r="AX342" s="1032" t="s">
        <v>973</v>
      </c>
      <c r="AY342" s="1033">
        <v>46170</v>
      </c>
      <c r="AZ342" s="1032">
        <v>7</v>
      </c>
      <c r="BA342" s="1033">
        <v>46164</v>
      </c>
      <c r="BB342" s="1032">
        <v>2026</v>
      </c>
      <c r="BC342" s="1032">
        <v>5</v>
      </c>
      <c r="BD342" s="1032">
        <v>21</v>
      </c>
      <c r="BE342" s="1032">
        <v>36</v>
      </c>
      <c r="BF342" s="1032">
        <v>864</v>
      </c>
      <c r="BG342" s="1032" t="s">
        <v>108</v>
      </c>
      <c r="BH342" s="1032" t="s">
        <v>109</v>
      </c>
    </row>
    <row r="343" spans="1:60">
      <c r="A343" s="1032" t="s">
        <v>1704</v>
      </c>
      <c r="B343" s="1032" t="s">
        <v>111</v>
      </c>
      <c r="C343" s="1032" t="s">
        <v>1318</v>
      </c>
      <c r="D343" s="1032" t="s">
        <v>63</v>
      </c>
      <c r="E343" s="1032" t="s">
        <v>64</v>
      </c>
      <c r="F343" s="1032" t="s">
        <v>100</v>
      </c>
      <c r="G343" s="1032" t="s">
        <v>402</v>
      </c>
      <c r="H343" s="1032" t="s">
        <v>67</v>
      </c>
      <c r="I343" s="1032" t="s">
        <v>689</v>
      </c>
      <c r="J343" s="1032" t="s">
        <v>483</v>
      </c>
      <c r="M343" s="1032" t="s">
        <v>68</v>
      </c>
      <c r="N343" s="1032">
        <v>46083</v>
      </c>
      <c r="O343" s="1032" t="s">
        <v>473</v>
      </c>
      <c r="P343" s="1032" t="s">
        <v>474</v>
      </c>
      <c r="Q343" s="1032" t="s">
        <v>1319</v>
      </c>
      <c r="R343" s="1032" t="s">
        <v>73</v>
      </c>
      <c r="S343" s="1032" t="s">
        <v>967</v>
      </c>
      <c r="T343" s="1032">
        <v>460</v>
      </c>
      <c r="U343" s="1032">
        <v>3456</v>
      </c>
      <c r="V343" s="1032">
        <v>1.5897600000000001</v>
      </c>
      <c r="W343" s="1032">
        <v>96</v>
      </c>
      <c r="X343" s="1032">
        <v>4</v>
      </c>
      <c r="Y343" s="1032" t="s">
        <v>75</v>
      </c>
      <c r="Z343" s="1032" t="s">
        <v>75</v>
      </c>
      <c r="AB343" s="1033">
        <v>46098</v>
      </c>
      <c r="AC343" s="1032">
        <v>12</v>
      </c>
      <c r="AD343" s="1032" t="s">
        <v>1705</v>
      </c>
      <c r="AF343" s="1032" t="s">
        <v>1643</v>
      </c>
      <c r="AG343" s="1032" t="s">
        <v>123</v>
      </c>
      <c r="AH343" s="1032" t="s">
        <v>105</v>
      </c>
      <c r="AI343" s="1033">
        <v>46103</v>
      </c>
      <c r="AJ343" s="1033">
        <v>46112</v>
      </c>
      <c r="AK343" s="1033">
        <v>46112</v>
      </c>
      <c r="AL343" s="1033">
        <v>46140</v>
      </c>
      <c r="AM343" s="1033">
        <v>46154</v>
      </c>
      <c r="AN343" s="1033">
        <v>46157</v>
      </c>
      <c r="AO343" s="1032" t="s">
        <v>402</v>
      </c>
      <c r="AP343" s="1032" t="s">
        <v>925</v>
      </c>
      <c r="AQ343" s="1032" t="s">
        <v>80</v>
      </c>
      <c r="AR343" s="1032" t="s">
        <v>1699</v>
      </c>
      <c r="AS343" s="1032" t="s">
        <v>1700</v>
      </c>
      <c r="AT343" s="1032" t="s">
        <v>1700</v>
      </c>
      <c r="AU343" s="1032">
        <v>45</v>
      </c>
      <c r="AW343" s="1033">
        <v>46157</v>
      </c>
      <c r="AX343" s="1032" t="s">
        <v>973</v>
      </c>
      <c r="AY343" s="1033">
        <v>46170</v>
      </c>
      <c r="AZ343" s="1032">
        <v>7</v>
      </c>
      <c r="BA343" s="1033">
        <v>46164</v>
      </c>
      <c r="BB343" s="1032">
        <v>2026</v>
      </c>
      <c r="BC343" s="1032">
        <v>5</v>
      </c>
      <c r="BD343" s="1032">
        <v>21</v>
      </c>
      <c r="BE343" s="1032">
        <v>36</v>
      </c>
      <c r="BF343" s="1032">
        <v>864</v>
      </c>
      <c r="BG343" s="1032" t="s">
        <v>85</v>
      </c>
      <c r="BH343" s="1032" t="s">
        <v>109</v>
      </c>
    </row>
    <row r="344" spans="1:60">
      <c r="A344" s="1032" t="s">
        <v>1706</v>
      </c>
      <c r="B344" s="1032" t="s">
        <v>111</v>
      </c>
      <c r="C344" s="1032" t="s">
        <v>1046</v>
      </c>
      <c r="D344" s="1032" t="s">
        <v>63</v>
      </c>
      <c r="E344" s="1032" t="s">
        <v>64</v>
      </c>
      <c r="F344" s="1032" t="s">
        <v>100</v>
      </c>
      <c r="G344" s="1032" t="s">
        <v>402</v>
      </c>
      <c r="H344" s="1032" t="s">
        <v>67</v>
      </c>
      <c r="I344" s="1032" t="s">
        <v>689</v>
      </c>
      <c r="J344" s="1032" t="s">
        <v>1707</v>
      </c>
      <c r="M344" s="1032" t="s">
        <v>68</v>
      </c>
      <c r="N344" s="1032">
        <v>46097</v>
      </c>
      <c r="O344" s="1032" t="s">
        <v>70</v>
      </c>
      <c r="P344" s="1032" t="s">
        <v>1002</v>
      </c>
      <c r="Q344" s="1032" t="s">
        <v>330</v>
      </c>
      <c r="R344" s="1032" t="s">
        <v>73</v>
      </c>
      <c r="S344" s="1032" t="s">
        <v>992</v>
      </c>
      <c r="T344" s="1032">
        <v>625</v>
      </c>
      <c r="U344" s="1032">
        <v>5040</v>
      </c>
      <c r="V344" s="1032">
        <v>3.15</v>
      </c>
      <c r="W344" s="1032">
        <v>140</v>
      </c>
      <c r="X344" s="1032">
        <v>7</v>
      </c>
      <c r="Y344" s="1032" t="s">
        <v>75</v>
      </c>
      <c r="Z344" s="1032" t="s">
        <v>75</v>
      </c>
      <c r="AA344" s="1032" t="s">
        <v>1504</v>
      </c>
      <c r="AB344" s="1033">
        <v>46098</v>
      </c>
      <c r="AC344" s="1032">
        <v>12</v>
      </c>
      <c r="AD344" s="1032" t="s">
        <v>1708</v>
      </c>
      <c r="AF344" s="1032" t="s">
        <v>1643</v>
      </c>
      <c r="AG344" s="1032" t="s">
        <v>123</v>
      </c>
      <c r="AH344" s="1032" t="s">
        <v>105</v>
      </c>
      <c r="AI344" s="1033">
        <v>46103</v>
      </c>
      <c r="AJ344" s="1033">
        <v>46112</v>
      </c>
      <c r="AK344" s="1033">
        <v>46112</v>
      </c>
      <c r="AL344" s="1033">
        <v>46140</v>
      </c>
      <c r="AM344" s="1033">
        <v>46154</v>
      </c>
      <c r="AN344" s="1033">
        <v>46157</v>
      </c>
      <c r="AO344" s="1032" t="s">
        <v>402</v>
      </c>
      <c r="AP344" s="1032" t="s">
        <v>925</v>
      </c>
      <c r="AQ344" s="1032" t="s">
        <v>80</v>
      </c>
      <c r="AR344" s="1032" t="s">
        <v>1699</v>
      </c>
      <c r="AS344" s="1032" t="s">
        <v>1700</v>
      </c>
      <c r="AT344" s="1032" t="s">
        <v>1700</v>
      </c>
      <c r="AU344" s="1032">
        <v>45</v>
      </c>
      <c r="AW344" s="1033">
        <v>46157</v>
      </c>
      <c r="AX344" s="1032" t="s">
        <v>973</v>
      </c>
      <c r="AY344" s="1033">
        <v>46168</v>
      </c>
      <c r="AZ344" s="1032">
        <v>7</v>
      </c>
      <c r="BA344" s="1033">
        <v>46164</v>
      </c>
      <c r="BB344" s="1032">
        <v>2026</v>
      </c>
      <c r="BC344" s="1032">
        <v>5</v>
      </c>
      <c r="BD344" s="1032">
        <v>21</v>
      </c>
      <c r="BE344" s="1032">
        <v>36</v>
      </c>
      <c r="BF344" s="1032">
        <v>720</v>
      </c>
      <c r="BG344" s="1032" t="s">
        <v>128</v>
      </c>
      <c r="BH344" s="1032" t="s">
        <v>109</v>
      </c>
    </row>
    <row r="345" spans="1:60">
      <c r="A345" s="1032" t="s">
        <v>1709</v>
      </c>
      <c r="B345" s="1032" t="s">
        <v>111</v>
      </c>
      <c r="C345" s="1032" t="s">
        <v>1310</v>
      </c>
      <c r="D345" s="1032" t="s">
        <v>63</v>
      </c>
      <c r="E345" s="1032" t="s">
        <v>64</v>
      </c>
      <c r="F345" s="1032" t="s">
        <v>100</v>
      </c>
      <c r="G345" s="1032" t="s">
        <v>402</v>
      </c>
      <c r="H345" s="1032" t="s">
        <v>67</v>
      </c>
      <c r="I345" s="1032" t="s">
        <v>689</v>
      </c>
      <c r="J345" s="1032" t="s">
        <v>483</v>
      </c>
      <c r="M345" s="1032" t="s">
        <v>68</v>
      </c>
      <c r="N345" s="1032">
        <v>46083</v>
      </c>
      <c r="O345" s="1032" t="s">
        <v>473</v>
      </c>
      <c r="P345" s="1032" t="s">
        <v>529</v>
      </c>
      <c r="Q345" s="1032" t="s">
        <v>1311</v>
      </c>
      <c r="R345" s="1032" t="s">
        <v>73</v>
      </c>
      <c r="S345" s="1032" t="s">
        <v>967</v>
      </c>
      <c r="T345" s="1032">
        <v>455</v>
      </c>
      <c r="U345" s="1032">
        <v>1728</v>
      </c>
      <c r="V345" s="1032">
        <v>0.78624000000000005</v>
      </c>
      <c r="W345" s="1032">
        <v>48</v>
      </c>
      <c r="X345" s="1032">
        <v>2</v>
      </c>
      <c r="Y345" s="1032" t="s">
        <v>75</v>
      </c>
      <c r="Z345" s="1032" t="s">
        <v>75</v>
      </c>
      <c r="AA345" s="1032" t="s">
        <v>1548</v>
      </c>
      <c r="AB345" s="1033">
        <v>46098</v>
      </c>
      <c r="AC345" s="1032">
        <v>12</v>
      </c>
      <c r="AD345" s="1032" t="s">
        <v>1710</v>
      </c>
      <c r="AF345" s="1032" t="s">
        <v>1643</v>
      </c>
      <c r="AG345" s="1032" t="s">
        <v>123</v>
      </c>
      <c r="AH345" s="1032" t="s">
        <v>105</v>
      </c>
      <c r="AI345" s="1033">
        <v>46103</v>
      </c>
      <c r="AJ345" s="1033">
        <v>46112</v>
      </c>
      <c r="AK345" s="1033">
        <v>46112</v>
      </c>
      <c r="AL345" s="1033">
        <v>46140</v>
      </c>
      <c r="AM345" s="1033">
        <v>46154</v>
      </c>
      <c r="AN345" s="1033">
        <v>46157</v>
      </c>
      <c r="AO345" s="1032" t="s">
        <v>402</v>
      </c>
      <c r="AP345" s="1032" t="s">
        <v>925</v>
      </c>
      <c r="AQ345" s="1032" t="s">
        <v>80</v>
      </c>
      <c r="AR345" s="1032" t="s">
        <v>1711</v>
      </c>
      <c r="AS345" s="1032" t="s">
        <v>1712</v>
      </c>
      <c r="AT345" s="1032" t="s">
        <v>1712</v>
      </c>
      <c r="AU345" s="1032">
        <v>45</v>
      </c>
      <c r="AW345" s="1033">
        <v>46157</v>
      </c>
      <c r="AX345" s="1032" t="s">
        <v>973</v>
      </c>
      <c r="AY345" s="1033">
        <v>46170</v>
      </c>
      <c r="AZ345" s="1032">
        <v>7</v>
      </c>
      <c r="BA345" s="1033">
        <v>46164</v>
      </c>
      <c r="BB345" s="1032">
        <v>2026</v>
      </c>
      <c r="BC345" s="1032">
        <v>5</v>
      </c>
      <c r="BD345" s="1032">
        <v>21</v>
      </c>
      <c r="BE345" s="1032">
        <v>36</v>
      </c>
      <c r="BF345" s="1032">
        <v>864</v>
      </c>
      <c r="BG345" s="1032" t="s">
        <v>85</v>
      </c>
      <c r="BH345" s="1032" t="s">
        <v>109</v>
      </c>
    </row>
    <row r="346" spans="1:60">
      <c r="A346" s="1032" t="s">
        <v>1713</v>
      </c>
      <c r="B346" s="1032" t="s">
        <v>111</v>
      </c>
      <c r="C346" s="1032" t="s">
        <v>1318</v>
      </c>
      <c r="D346" s="1032" t="s">
        <v>63</v>
      </c>
      <c r="E346" s="1032" t="s">
        <v>64</v>
      </c>
      <c r="F346" s="1032" t="s">
        <v>100</v>
      </c>
      <c r="G346" s="1032" t="s">
        <v>402</v>
      </c>
      <c r="H346" s="1032" t="s">
        <v>67</v>
      </c>
      <c r="I346" s="1032" t="s">
        <v>689</v>
      </c>
      <c r="J346" s="1032" t="s">
        <v>483</v>
      </c>
      <c r="M346" s="1032" t="s">
        <v>68</v>
      </c>
      <c r="N346" s="1032">
        <v>46083</v>
      </c>
      <c r="O346" s="1032" t="s">
        <v>473</v>
      </c>
      <c r="P346" s="1032" t="s">
        <v>474</v>
      </c>
      <c r="Q346" s="1032" t="s">
        <v>1319</v>
      </c>
      <c r="R346" s="1032" t="s">
        <v>73</v>
      </c>
      <c r="S346" s="1032" t="s">
        <v>967</v>
      </c>
      <c r="T346" s="1032">
        <v>460</v>
      </c>
      <c r="U346" s="1032">
        <v>2592</v>
      </c>
      <c r="V346" s="1032">
        <v>1.19232</v>
      </c>
      <c r="W346" s="1032">
        <v>72</v>
      </c>
      <c r="X346" s="1032">
        <v>3</v>
      </c>
      <c r="Y346" s="1032" t="s">
        <v>75</v>
      </c>
      <c r="Z346" s="1032" t="s">
        <v>75</v>
      </c>
      <c r="AB346" s="1033">
        <v>46098</v>
      </c>
      <c r="AC346" s="1032">
        <v>12</v>
      </c>
      <c r="AD346" s="1032" t="s">
        <v>1714</v>
      </c>
      <c r="AF346" s="1032" t="s">
        <v>1643</v>
      </c>
      <c r="AG346" s="1032" t="s">
        <v>123</v>
      </c>
      <c r="AH346" s="1032" t="s">
        <v>105</v>
      </c>
      <c r="AI346" s="1033">
        <v>46103</v>
      </c>
      <c r="AJ346" s="1033">
        <v>46112</v>
      </c>
      <c r="AK346" s="1033">
        <v>46112</v>
      </c>
      <c r="AL346" s="1033">
        <v>46140</v>
      </c>
      <c r="AM346" s="1033">
        <v>46154</v>
      </c>
      <c r="AN346" s="1033">
        <v>46157</v>
      </c>
      <c r="AO346" s="1032" t="s">
        <v>402</v>
      </c>
      <c r="AP346" s="1032" t="s">
        <v>925</v>
      </c>
      <c r="AQ346" s="1032" t="s">
        <v>80</v>
      </c>
      <c r="AR346" s="1032" t="s">
        <v>1711</v>
      </c>
      <c r="AS346" s="1032" t="s">
        <v>1712</v>
      </c>
      <c r="AT346" s="1032" t="s">
        <v>1712</v>
      </c>
      <c r="AU346" s="1032">
        <v>45</v>
      </c>
      <c r="AW346" s="1033">
        <v>46157</v>
      </c>
      <c r="AX346" s="1032" t="s">
        <v>973</v>
      </c>
      <c r="AY346" s="1033">
        <v>46170</v>
      </c>
      <c r="AZ346" s="1032">
        <v>7</v>
      </c>
      <c r="BA346" s="1033">
        <v>46164</v>
      </c>
      <c r="BB346" s="1032">
        <v>2026</v>
      </c>
      <c r="BC346" s="1032">
        <v>5</v>
      </c>
      <c r="BD346" s="1032">
        <v>21</v>
      </c>
      <c r="BE346" s="1032">
        <v>36</v>
      </c>
      <c r="BF346" s="1032">
        <v>864</v>
      </c>
      <c r="BG346" s="1032" t="s">
        <v>85</v>
      </c>
      <c r="BH346" s="1032" t="s">
        <v>109</v>
      </c>
    </row>
    <row r="347" spans="1:60">
      <c r="A347" s="1032" t="s">
        <v>1715</v>
      </c>
      <c r="B347" s="1032" t="s">
        <v>111</v>
      </c>
      <c r="C347" s="1032" t="s">
        <v>1310</v>
      </c>
      <c r="D347" s="1032" t="s">
        <v>63</v>
      </c>
      <c r="E347" s="1032" t="s">
        <v>64</v>
      </c>
      <c r="F347" s="1032" t="s">
        <v>100</v>
      </c>
      <c r="G347" s="1032" t="s">
        <v>402</v>
      </c>
      <c r="H347" s="1032" t="s">
        <v>67</v>
      </c>
      <c r="I347" s="1032" t="s">
        <v>689</v>
      </c>
      <c r="J347" s="1032" t="s">
        <v>483</v>
      </c>
      <c r="M347" s="1032" t="s">
        <v>68</v>
      </c>
      <c r="N347" s="1032">
        <v>46083</v>
      </c>
      <c r="O347" s="1032" t="s">
        <v>473</v>
      </c>
      <c r="P347" s="1032" t="s">
        <v>529</v>
      </c>
      <c r="Q347" s="1032" t="s">
        <v>1311</v>
      </c>
      <c r="R347" s="1032" t="s">
        <v>73</v>
      </c>
      <c r="S347" s="1032" t="s">
        <v>967</v>
      </c>
      <c r="T347" s="1032">
        <v>455</v>
      </c>
      <c r="U347" s="1032">
        <v>1728</v>
      </c>
      <c r="V347" s="1032">
        <v>0.78624000000000005</v>
      </c>
      <c r="W347" s="1032">
        <v>48</v>
      </c>
      <c r="X347" s="1032">
        <v>2</v>
      </c>
      <c r="Y347" s="1032" t="s">
        <v>75</v>
      </c>
      <c r="Z347" s="1032" t="s">
        <v>75</v>
      </c>
      <c r="AB347" s="1033">
        <v>46099</v>
      </c>
      <c r="AC347" s="1032">
        <v>12</v>
      </c>
      <c r="AD347" s="1032" t="s">
        <v>1716</v>
      </c>
      <c r="AF347" s="1032" t="s">
        <v>1643</v>
      </c>
      <c r="AG347" s="1032" t="s">
        <v>123</v>
      </c>
      <c r="AH347" s="1032" t="s">
        <v>105</v>
      </c>
      <c r="AI347" s="1033">
        <v>46103</v>
      </c>
      <c r="AJ347" s="1033">
        <v>46112</v>
      </c>
      <c r="AK347" s="1033">
        <v>46112</v>
      </c>
      <c r="AL347" s="1033">
        <v>46140</v>
      </c>
      <c r="AM347" s="1033">
        <v>46154</v>
      </c>
      <c r="AN347" s="1033">
        <v>46157</v>
      </c>
      <c r="AO347" s="1032" t="s">
        <v>402</v>
      </c>
      <c r="AP347" s="1032" t="s">
        <v>925</v>
      </c>
      <c r="AQ347" s="1032" t="s">
        <v>80</v>
      </c>
      <c r="AR347" s="1032" t="s">
        <v>1711</v>
      </c>
      <c r="AS347" s="1032" t="s">
        <v>1712</v>
      </c>
      <c r="AT347" s="1032" t="s">
        <v>1712</v>
      </c>
      <c r="AU347" s="1032">
        <v>45</v>
      </c>
      <c r="AW347" s="1033">
        <v>46157</v>
      </c>
      <c r="AX347" s="1032" t="s">
        <v>973</v>
      </c>
      <c r="AY347" s="1033">
        <v>46170</v>
      </c>
      <c r="AZ347" s="1032">
        <v>7</v>
      </c>
      <c r="BA347" s="1033">
        <v>46164</v>
      </c>
      <c r="BB347" s="1032">
        <v>2026</v>
      </c>
      <c r="BC347" s="1032">
        <v>5</v>
      </c>
      <c r="BD347" s="1032">
        <v>21</v>
      </c>
      <c r="BE347" s="1032">
        <v>36</v>
      </c>
      <c r="BF347" s="1032">
        <v>864</v>
      </c>
      <c r="BG347" s="1032" t="s">
        <v>85</v>
      </c>
      <c r="BH347" s="1032" t="s">
        <v>109</v>
      </c>
    </row>
    <row r="348" spans="1:60">
      <c r="A348" s="1032" t="s">
        <v>1717</v>
      </c>
      <c r="B348" s="1032" t="s">
        <v>111</v>
      </c>
      <c r="C348" s="1032" t="s">
        <v>1091</v>
      </c>
      <c r="D348" s="1032" t="s">
        <v>63</v>
      </c>
      <c r="E348" s="1032" t="s">
        <v>64</v>
      </c>
      <c r="F348" s="1032" t="s">
        <v>100</v>
      </c>
      <c r="G348" s="1032" t="s">
        <v>402</v>
      </c>
      <c r="H348" s="1032" t="s">
        <v>67</v>
      </c>
      <c r="I348" s="1032" t="s">
        <v>689</v>
      </c>
      <c r="J348" s="1032" t="s">
        <v>101</v>
      </c>
      <c r="M348" s="1032" t="s">
        <v>68</v>
      </c>
      <c r="N348" s="1032">
        <v>46069</v>
      </c>
      <c r="O348" s="1032" t="s">
        <v>132</v>
      </c>
      <c r="P348" s="1032" t="s">
        <v>189</v>
      </c>
      <c r="Q348" s="1032" t="s">
        <v>190</v>
      </c>
      <c r="R348" s="1032" t="s">
        <v>73</v>
      </c>
      <c r="S348" s="1032" t="s">
        <v>967</v>
      </c>
      <c r="T348" s="1032">
        <v>465</v>
      </c>
      <c r="U348" s="1032">
        <v>2592</v>
      </c>
      <c r="V348" s="1032">
        <v>1.2052799999999999</v>
      </c>
      <c r="W348" s="1032">
        <v>72</v>
      </c>
      <c r="X348" s="1032">
        <v>3</v>
      </c>
      <c r="Y348" s="1032" t="s">
        <v>75</v>
      </c>
      <c r="Z348" s="1032" t="s">
        <v>75</v>
      </c>
      <c r="AA348" s="1032" t="s">
        <v>1548</v>
      </c>
      <c r="AB348" s="1033">
        <v>46099</v>
      </c>
      <c r="AC348" s="1032">
        <v>12</v>
      </c>
      <c r="AD348" s="1032" t="s">
        <v>1718</v>
      </c>
      <c r="AF348" s="1032" t="s">
        <v>1643</v>
      </c>
      <c r="AG348" s="1032" t="s">
        <v>123</v>
      </c>
      <c r="AH348" s="1032" t="s">
        <v>105</v>
      </c>
      <c r="AI348" s="1033">
        <v>46103</v>
      </c>
      <c r="AJ348" s="1033">
        <v>46112</v>
      </c>
      <c r="AK348" s="1033">
        <v>46112</v>
      </c>
      <c r="AL348" s="1033">
        <v>46140</v>
      </c>
      <c r="AM348" s="1033">
        <v>46154</v>
      </c>
      <c r="AN348" s="1033">
        <v>46157</v>
      </c>
      <c r="AO348" s="1032" t="s">
        <v>402</v>
      </c>
      <c r="AP348" s="1032" t="s">
        <v>925</v>
      </c>
      <c r="AQ348" s="1032" t="s">
        <v>80</v>
      </c>
      <c r="AR348" s="1032" t="s">
        <v>1711</v>
      </c>
      <c r="AS348" s="1032" t="s">
        <v>1712</v>
      </c>
      <c r="AT348" s="1032" t="s">
        <v>1712</v>
      </c>
      <c r="AU348" s="1032">
        <v>45</v>
      </c>
      <c r="AW348" s="1033">
        <v>46157</v>
      </c>
      <c r="AX348" s="1032" t="s">
        <v>973</v>
      </c>
      <c r="AY348" s="1033">
        <v>46170</v>
      </c>
      <c r="AZ348" s="1032">
        <v>7</v>
      </c>
      <c r="BA348" s="1033">
        <v>46164</v>
      </c>
      <c r="BB348" s="1032">
        <v>2026</v>
      </c>
      <c r="BC348" s="1032">
        <v>5</v>
      </c>
      <c r="BD348" s="1032">
        <v>21</v>
      </c>
      <c r="BE348" s="1032">
        <v>36</v>
      </c>
      <c r="BF348" s="1032">
        <v>864</v>
      </c>
      <c r="BG348" s="1032" t="s">
        <v>108</v>
      </c>
      <c r="BH348" s="1032" t="s">
        <v>109</v>
      </c>
    </row>
    <row r="349" spans="1:60">
      <c r="A349" s="1032" t="s">
        <v>1719</v>
      </c>
      <c r="B349" s="1032" t="s">
        <v>111</v>
      </c>
      <c r="C349" s="1032" t="s">
        <v>1310</v>
      </c>
      <c r="D349" s="1032" t="s">
        <v>63</v>
      </c>
      <c r="E349" s="1032" t="s">
        <v>64</v>
      </c>
      <c r="F349" s="1032" t="s">
        <v>100</v>
      </c>
      <c r="G349" s="1032" t="s">
        <v>402</v>
      </c>
      <c r="H349" s="1032" t="s">
        <v>67</v>
      </c>
      <c r="I349" s="1032" t="s">
        <v>689</v>
      </c>
      <c r="J349" s="1032" t="s">
        <v>96</v>
      </c>
      <c r="M349" s="1032" t="s">
        <v>68</v>
      </c>
      <c r="N349" s="1032">
        <v>46083</v>
      </c>
      <c r="O349" s="1032" t="s">
        <v>473</v>
      </c>
      <c r="P349" s="1032" t="s">
        <v>529</v>
      </c>
      <c r="Q349" s="1032" t="s">
        <v>1311</v>
      </c>
      <c r="R349" s="1032" t="s">
        <v>73</v>
      </c>
      <c r="S349" s="1032" t="s">
        <v>967</v>
      </c>
      <c r="T349" s="1032">
        <v>455</v>
      </c>
      <c r="U349" s="1032">
        <v>4320</v>
      </c>
      <c r="V349" s="1032">
        <v>1.9656</v>
      </c>
      <c r="W349" s="1032">
        <v>120</v>
      </c>
      <c r="X349" s="1032">
        <v>5</v>
      </c>
      <c r="Y349" s="1032" t="s">
        <v>75</v>
      </c>
      <c r="Z349" s="1032" t="s">
        <v>75</v>
      </c>
      <c r="AB349" s="1033">
        <v>46099</v>
      </c>
      <c r="AC349" s="1032">
        <v>12</v>
      </c>
      <c r="AD349" s="1032" t="s">
        <v>1716</v>
      </c>
      <c r="AF349" s="1032" t="s">
        <v>1643</v>
      </c>
      <c r="AG349" s="1032" t="s">
        <v>123</v>
      </c>
      <c r="AH349" s="1032" t="s">
        <v>105</v>
      </c>
      <c r="AI349" s="1033">
        <v>46103</v>
      </c>
      <c r="AJ349" s="1033">
        <v>46110</v>
      </c>
      <c r="AK349" s="1033">
        <v>46110</v>
      </c>
      <c r="AL349" s="1033">
        <v>46140</v>
      </c>
      <c r="AM349" s="1033">
        <v>46169</v>
      </c>
      <c r="AN349" s="1033">
        <v>46170</v>
      </c>
      <c r="AO349" s="1032" t="s">
        <v>402</v>
      </c>
      <c r="AP349" s="1032" t="s">
        <v>1720</v>
      </c>
      <c r="AQ349" s="1032" t="s">
        <v>80</v>
      </c>
      <c r="AR349" s="1032" t="s">
        <v>1721</v>
      </c>
      <c r="AS349" s="1032" t="s">
        <v>1722</v>
      </c>
      <c r="AT349" s="1032" t="s">
        <v>1722</v>
      </c>
      <c r="AU349" s="1032">
        <v>60</v>
      </c>
      <c r="AW349" s="1033">
        <v>46170</v>
      </c>
      <c r="AX349" s="1032" t="s">
        <v>973</v>
      </c>
      <c r="AY349" s="1033">
        <v>46170</v>
      </c>
      <c r="AZ349" s="1032">
        <v>7</v>
      </c>
      <c r="BA349" s="1033">
        <v>46177</v>
      </c>
      <c r="BB349" s="1032">
        <v>2026</v>
      </c>
      <c r="BC349" s="1032">
        <v>6</v>
      </c>
      <c r="BD349" s="1032">
        <v>23</v>
      </c>
      <c r="BE349" s="1032">
        <v>36</v>
      </c>
      <c r="BF349" s="1032">
        <v>864</v>
      </c>
      <c r="BG349" s="1032" t="s">
        <v>85</v>
      </c>
      <c r="BH349" s="1032" t="s">
        <v>109</v>
      </c>
    </row>
    <row r="350" spans="1:60">
      <c r="A350" s="1032" t="s">
        <v>1723</v>
      </c>
      <c r="B350" s="1032" t="s">
        <v>111</v>
      </c>
      <c r="C350" s="1032" t="s">
        <v>1318</v>
      </c>
      <c r="D350" s="1032" t="s">
        <v>63</v>
      </c>
      <c r="E350" s="1032" t="s">
        <v>64</v>
      </c>
      <c r="F350" s="1032" t="s">
        <v>310</v>
      </c>
      <c r="G350" s="1032" t="s">
        <v>402</v>
      </c>
      <c r="H350" s="1032" t="s">
        <v>311</v>
      </c>
      <c r="I350" s="1032" t="s">
        <v>689</v>
      </c>
      <c r="J350" s="1032" t="s">
        <v>1342</v>
      </c>
      <c r="M350" s="1032" t="s">
        <v>68</v>
      </c>
      <c r="N350" s="1032">
        <v>46083</v>
      </c>
      <c r="O350" s="1032" t="s">
        <v>473</v>
      </c>
      <c r="P350" s="1032" t="s">
        <v>474</v>
      </c>
      <c r="Q350" s="1032" t="s">
        <v>1319</v>
      </c>
      <c r="R350" s="1032" t="s">
        <v>73</v>
      </c>
      <c r="S350" s="1032" t="s">
        <v>967</v>
      </c>
      <c r="T350" s="1032">
        <v>460</v>
      </c>
      <c r="U350" s="1032">
        <v>2592</v>
      </c>
      <c r="V350" s="1032">
        <v>1.19232</v>
      </c>
      <c r="W350" s="1032">
        <v>72</v>
      </c>
      <c r="X350" s="1032">
        <v>3</v>
      </c>
      <c r="Y350" s="1032" t="s">
        <v>75</v>
      </c>
      <c r="Z350" s="1032" t="s">
        <v>75</v>
      </c>
      <c r="AB350" s="1033">
        <v>46104</v>
      </c>
      <c r="AC350" s="1032">
        <v>13</v>
      </c>
      <c r="AD350" s="1032" t="s">
        <v>1724</v>
      </c>
      <c r="AF350" s="1032" t="s">
        <v>1643</v>
      </c>
      <c r="AG350" s="1032" t="s">
        <v>123</v>
      </c>
      <c r="AH350" s="1032" t="s">
        <v>314</v>
      </c>
      <c r="AI350" s="1033">
        <v>46111</v>
      </c>
      <c r="AJ350" s="1033">
        <v>46114</v>
      </c>
      <c r="AK350" s="1033">
        <v>46114</v>
      </c>
      <c r="AL350" s="1033">
        <v>46155</v>
      </c>
      <c r="AM350" s="1033">
        <v>46162</v>
      </c>
      <c r="AN350" s="1033">
        <v>46162</v>
      </c>
      <c r="AO350" s="1032" t="s">
        <v>402</v>
      </c>
      <c r="AP350" s="1032" t="s">
        <v>1725</v>
      </c>
      <c r="AQ350" s="1032" t="s">
        <v>80</v>
      </c>
      <c r="AR350" s="1032" t="s">
        <v>1726</v>
      </c>
      <c r="AS350" s="1032" t="s">
        <v>1727</v>
      </c>
      <c r="AT350" s="1032" t="s">
        <v>1727</v>
      </c>
      <c r="AU350" s="1032">
        <v>48</v>
      </c>
      <c r="AW350" s="1033">
        <v>46162</v>
      </c>
      <c r="AX350" s="1032" t="s">
        <v>973</v>
      </c>
      <c r="AY350" s="1033">
        <v>46175</v>
      </c>
      <c r="AZ350" s="1032">
        <v>13</v>
      </c>
      <c r="BA350" s="1033">
        <v>46175</v>
      </c>
      <c r="BB350" s="1032">
        <v>2026</v>
      </c>
      <c r="BC350" s="1032">
        <v>6</v>
      </c>
      <c r="BD350" s="1032">
        <v>23</v>
      </c>
      <c r="BE350" s="1032">
        <v>36</v>
      </c>
      <c r="BF350" s="1032">
        <v>864</v>
      </c>
      <c r="BG350" s="1032" t="s">
        <v>85</v>
      </c>
      <c r="BH350" s="1032" t="s">
        <v>86</v>
      </c>
    </row>
    <row r="351" spans="1:60">
      <c r="A351" s="1032" t="s">
        <v>1728</v>
      </c>
      <c r="B351" s="1032" t="s">
        <v>111</v>
      </c>
      <c r="C351" s="1032" t="s">
        <v>1729</v>
      </c>
      <c r="D351" s="1032" t="s">
        <v>63</v>
      </c>
      <c r="E351" s="1032" t="s">
        <v>64</v>
      </c>
      <c r="F351" s="1032" t="s">
        <v>310</v>
      </c>
      <c r="G351" s="1032" t="s">
        <v>402</v>
      </c>
      <c r="H351" s="1032" t="s">
        <v>311</v>
      </c>
      <c r="I351" s="1032" t="s">
        <v>689</v>
      </c>
      <c r="J351" s="1032" t="s">
        <v>1730</v>
      </c>
      <c r="M351" s="1032" t="s">
        <v>68</v>
      </c>
      <c r="N351" s="1032">
        <v>46111</v>
      </c>
      <c r="O351" s="1032" t="s">
        <v>170</v>
      </c>
      <c r="P351" s="1032" t="s">
        <v>171</v>
      </c>
      <c r="Q351" s="1032" t="s">
        <v>1731</v>
      </c>
      <c r="R351" s="1032" t="s">
        <v>73</v>
      </c>
      <c r="S351" s="1032" t="s">
        <v>992</v>
      </c>
      <c r="T351" s="1032">
        <v>555</v>
      </c>
      <c r="U351" s="1032">
        <v>1320</v>
      </c>
      <c r="V351" s="1032">
        <v>0.73260000000000003</v>
      </c>
      <c r="W351" s="1032">
        <v>40</v>
      </c>
      <c r="X351" s="1032">
        <v>2</v>
      </c>
      <c r="Y351" s="1032" t="s">
        <v>75</v>
      </c>
      <c r="Z351" s="1032" t="s">
        <v>75</v>
      </c>
      <c r="AB351" s="1033">
        <v>46107</v>
      </c>
      <c r="AC351" s="1032">
        <v>13</v>
      </c>
      <c r="AD351" s="1032" t="s">
        <v>1732</v>
      </c>
      <c r="AF351" s="1032" t="s">
        <v>1643</v>
      </c>
      <c r="AG351" s="1032" t="s">
        <v>123</v>
      </c>
      <c r="AH351" s="1032" t="s">
        <v>314</v>
      </c>
      <c r="AI351" s="1033">
        <v>46111</v>
      </c>
      <c r="AJ351" s="1033">
        <v>46114</v>
      </c>
      <c r="AK351" s="1033">
        <v>46114</v>
      </c>
      <c r="AL351" s="1033">
        <v>46155</v>
      </c>
      <c r="AM351" s="1033">
        <v>46162</v>
      </c>
      <c r="AN351" s="1033">
        <v>46162</v>
      </c>
      <c r="AP351" s="1032" t="s">
        <v>1725</v>
      </c>
      <c r="AQ351" s="1032" t="s">
        <v>80</v>
      </c>
      <c r="AR351" s="1032" t="s">
        <v>1726</v>
      </c>
      <c r="AS351" s="1032" t="s">
        <v>1727</v>
      </c>
      <c r="AT351" s="1032" t="s">
        <v>1727</v>
      </c>
      <c r="AU351" s="1032">
        <v>48</v>
      </c>
      <c r="AW351" s="1033">
        <v>46162</v>
      </c>
      <c r="AX351" s="1032" t="s">
        <v>973</v>
      </c>
      <c r="AY351" s="1033">
        <v>46175</v>
      </c>
      <c r="AZ351" s="1032">
        <v>13</v>
      </c>
      <c r="BA351" s="1033">
        <v>46175</v>
      </c>
      <c r="BB351" s="1032">
        <v>2026</v>
      </c>
      <c r="BC351" s="1032">
        <v>6</v>
      </c>
      <c r="BD351" s="1032">
        <v>23</v>
      </c>
      <c r="BE351" s="1032">
        <v>33</v>
      </c>
      <c r="BF351" s="1032">
        <v>660</v>
      </c>
      <c r="BG351" s="1032" t="s">
        <v>108</v>
      </c>
      <c r="BH351" s="1032" t="s">
        <v>86</v>
      </c>
    </row>
    <row r="352" spans="1:60">
      <c r="A352" s="1032" t="s">
        <v>1733</v>
      </c>
      <c r="B352" s="1032" t="s">
        <v>111</v>
      </c>
      <c r="C352" s="1032" t="s">
        <v>1734</v>
      </c>
      <c r="D352" s="1032" t="s">
        <v>113</v>
      </c>
      <c r="E352" s="1032" t="s">
        <v>64</v>
      </c>
      <c r="F352" s="1032" t="s">
        <v>65</v>
      </c>
      <c r="G352" s="1032" t="s">
        <v>402</v>
      </c>
      <c r="H352" s="1032" t="s">
        <v>67</v>
      </c>
      <c r="I352" s="1032" t="s">
        <v>822</v>
      </c>
      <c r="J352" s="1032" t="s">
        <v>1327</v>
      </c>
      <c r="M352" s="1032" t="s">
        <v>68</v>
      </c>
      <c r="N352" s="1032" t="s">
        <v>68</v>
      </c>
      <c r="O352" s="1032" t="s">
        <v>70</v>
      </c>
      <c r="P352" s="1032" t="s">
        <v>378</v>
      </c>
      <c r="Q352" s="1032" t="s">
        <v>379</v>
      </c>
      <c r="R352" s="1032" t="s">
        <v>73</v>
      </c>
      <c r="S352" s="1032" t="s">
        <v>992</v>
      </c>
      <c r="T352" s="1032">
        <v>620</v>
      </c>
      <c r="U352" s="1032">
        <v>1440</v>
      </c>
      <c r="V352" s="1032">
        <v>0.89280000000000004</v>
      </c>
      <c r="W352" s="1032">
        <v>40</v>
      </c>
      <c r="X352" s="1032">
        <v>2</v>
      </c>
      <c r="Y352" s="1032" t="s">
        <v>75</v>
      </c>
      <c r="Z352" s="1032" t="s">
        <v>75</v>
      </c>
      <c r="AA352" s="1032" t="s">
        <v>1735</v>
      </c>
      <c r="AB352" s="1033">
        <v>46101</v>
      </c>
      <c r="AC352" s="1032">
        <v>12</v>
      </c>
      <c r="AD352" s="1032" t="s">
        <v>1736</v>
      </c>
      <c r="AF352" s="1032" t="s">
        <v>122</v>
      </c>
      <c r="AG352" s="1032" t="s">
        <v>123</v>
      </c>
      <c r="AH352" s="1032" t="s">
        <v>78</v>
      </c>
      <c r="AI352" s="1033">
        <v>46105</v>
      </c>
      <c r="AJ352" s="1033">
        <v>46105</v>
      </c>
      <c r="AK352" s="1033">
        <v>46105</v>
      </c>
      <c r="AL352" s="1033">
        <v>46154</v>
      </c>
      <c r="AM352" s="1033">
        <v>46151</v>
      </c>
      <c r="AN352" s="1033">
        <v>46151</v>
      </c>
      <c r="AO352" s="1032" t="s">
        <v>402</v>
      </c>
      <c r="AP352" s="1032" t="s">
        <v>930</v>
      </c>
      <c r="AQ352" s="1032" t="s">
        <v>80</v>
      </c>
      <c r="AR352" s="1032" t="s">
        <v>931</v>
      </c>
      <c r="AS352" s="1032" t="s">
        <v>932</v>
      </c>
      <c r="AT352" s="1032" t="s">
        <v>932</v>
      </c>
      <c r="AU352" s="1032">
        <v>46</v>
      </c>
      <c r="AW352" s="1033">
        <v>46151</v>
      </c>
      <c r="AX352" s="1032" t="s">
        <v>973</v>
      </c>
      <c r="AY352" s="1033">
        <v>46160</v>
      </c>
      <c r="AZ352" s="1032">
        <v>8</v>
      </c>
      <c r="BA352" s="1033">
        <v>46159</v>
      </c>
      <c r="BB352" s="1032">
        <v>2026</v>
      </c>
      <c r="BC352" s="1032">
        <v>5</v>
      </c>
      <c r="BD352" s="1032">
        <v>20</v>
      </c>
      <c r="BE352" s="1032">
        <v>36</v>
      </c>
      <c r="BF352" s="1032">
        <v>720</v>
      </c>
      <c r="BG352" s="1032" t="s">
        <v>128</v>
      </c>
      <c r="BH352" s="1032" t="s">
        <v>86</v>
      </c>
    </row>
    <row r="353" spans="1:60">
      <c r="A353" s="1032" t="s">
        <v>1737</v>
      </c>
      <c r="B353" s="1032" t="s">
        <v>111</v>
      </c>
      <c r="C353" s="1032" t="s">
        <v>1734</v>
      </c>
      <c r="D353" s="1032" t="s">
        <v>113</v>
      </c>
      <c r="E353" s="1032" t="s">
        <v>64</v>
      </c>
      <c r="F353" s="1032" t="s">
        <v>65</v>
      </c>
      <c r="G353" s="1032" t="s">
        <v>402</v>
      </c>
      <c r="H353" s="1032" t="s">
        <v>67</v>
      </c>
      <c r="I353" s="1032" t="s">
        <v>822</v>
      </c>
      <c r="J353" s="1032" t="s">
        <v>1327</v>
      </c>
      <c r="M353" s="1032" t="s">
        <v>68</v>
      </c>
      <c r="N353" s="1032" t="s">
        <v>68</v>
      </c>
      <c r="O353" s="1032" t="s">
        <v>70</v>
      </c>
      <c r="P353" s="1032" t="s">
        <v>378</v>
      </c>
      <c r="Q353" s="1032" t="s">
        <v>379</v>
      </c>
      <c r="R353" s="1032" t="s">
        <v>73</v>
      </c>
      <c r="S353" s="1032" t="s">
        <v>992</v>
      </c>
      <c r="T353" s="1032">
        <v>620</v>
      </c>
      <c r="U353" s="1032">
        <v>612</v>
      </c>
      <c r="V353" s="1032">
        <v>0.37944</v>
      </c>
      <c r="W353" s="1032">
        <v>17</v>
      </c>
      <c r="X353" s="1032">
        <v>0.85</v>
      </c>
      <c r="Y353" s="1032" t="s">
        <v>75</v>
      </c>
      <c r="Z353" s="1032" t="s">
        <v>75</v>
      </c>
      <c r="AB353" s="1033">
        <v>46100</v>
      </c>
      <c r="AC353" s="1032">
        <v>12</v>
      </c>
      <c r="AD353" s="1032" t="s">
        <v>1738</v>
      </c>
      <c r="AF353" s="1032" t="s">
        <v>122</v>
      </c>
      <c r="AG353" s="1032" t="s">
        <v>123</v>
      </c>
      <c r="AH353" s="1032" t="s">
        <v>78</v>
      </c>
      <c r="AI353" s="1033">
        <v>46105</v>
      </c>
      <c r="AJ353" s="1033">
        <v>46105</v>
      </c>
      <c r="AK353" s="1033">
        <v>46105</v>
      </c>
      <c r="AL353" s="1033">
        <v>46154</v>
      </c>
      <c r="AM353" s="1033">
        <v>46151</v>
      </c>
      <c r="AN353" s="1033">
        <v>46151</v>
      </c>
      <c r="AO353" s="1032" t="s">
        <v>402</v>
      </c>
      <c r="AP353" s="1032" t="s">
        <v>1739</v>
      </c>
      <c r="AQ353" s="1032" t="s">
        <v>80</v>
      </c>
      <c r="AR353" s="1032" t="s">
        <v>931</v>
      </c>
      <c r="AS353" s="1032" t="s">
        <v>932</v>
      </c>
      <c r="AT353" s="1032" t="s">
        <v>932</v>
      </c>
      <c r="AU353" s="1032">
        <v>46</v>
      </c>
      <c r="AW353" s="1033">
        <v>46151</v>
      </c>
      <c r="AX353" s="1032" t="s">
        <v>973</v>
      </c>
      <c r="AY353" s="1033">
        <v>46160</v>
      </c>
      <c r="AZ353" s="1032">
        <v>8</v>
      </c>
      <c r="BA353" s="1033">
        <v>46159</v>
      </c>
      <c r="BB353" s="1032">
        <v>2026</v>
      </c>
      <c r="BC353" s="1032">
        <v>5</v>
      </c>
      <c r="BD353" s="1032">
        <v>20</v>
      </c>
      <c r="BE353" s="1032">
        <v>36</v>
      </c>
      <c r="BF353" s="1032">
        <v>720</v>
      </c>
      <c r="BG353" s="1032" t="s">
        <v>128</v>
      </c>
      <c r="BH353" s="1032" t="s">
        <v>86</v>
      </c>
    </row>
    <row r="354" spans="1:60">
      <c r="A354" s="1032" t="s">
        <v>1740</v>
      </c>
      <c r="B354" s="1032" t="s">
        <v>111</v>
      </c>
      <c r="C354" s="1032" t="s">
        <v>1326</v>
      </c>
      <c r="D354" s="1032" t="s">
        <v>113</v>
      </c>
      <c r="E354" s="1032" t="s">
        <v>64</v>
      </c>
      <c r="F354" s="1032" t="s">
        <v>65</v>
      </c>
      <c r="G354" s="1032" t="s">
        <v>402</v>
      </c>
      <c r="H354" s="1032" t="s">
        <v>67</v>
      </c>
      <c r="I354" s="1032" t="s">
        <v>822</v>
      </c>
      <c r="J354" s="1032" t="s">
        <v>1327</v>
      </c>
      <c r="M354" s="1032" t="s">
        <v>68</v>
      </c>
      <c r="N354" s="1032" t="s">
        <v>68</v>
      </c>
      <c r="O354" s="1032" t="s">
        <v>70</v>
      </c>
      <c r="P354" s="1032" t="s">
        <v>218</v>
      </c>
      <c r="Q354" s="1032" t="s">
        <v>219</v>
      </c>
      <c r="R354" s="1032" t="s">
        <v>73</v>
      </c>
      <c r="S354" s="1032" t="s">
        <v>992</v>
      </c>
      <c r="T354" s="1032">
        <v>625</v>
      </c>
      <c r="U354" s="1032">
        <v>1008</v>
      </c>
      <c r="V354" s="1032">
        <v>0.63</v>
      </c>
      <c r="W354" s="1032">
        <v>28</v>
      </c>
      <c r="X354" s="1032">
        <v>1.4</v>
      </c>
      <c r="Y354" s="1032" t="s">
        <v>75</v>
      </c>
      <c r="Z354" s="1032" t="s">
        <v>75</v>
      </c>
      <c r="AB354" s="1033">
        <v>46100</v>
      </c>
      <c r="AC354" s="1032">
        <v>12</v>
      </c>
      <c r="AD354" s="1032" t="s">
        <v>1741</v>
      </c>
      <c r="AF354" s="1032" t="s">
        <v>122</v>
      </c>
      <c r="AG354" s="1032" t="s">
        <v>123</v>
      </c>
      <c r="AH354" s="1032" t="s">
        <v>78</v>
      </c>
      <c r="AI354" s="1033">
        <v>46105</v>
      </c>
      <c r="AJ354" s="1033">
        <v>46105</v>
      </c>
      <c r="AK354" s="1033">
        <v>46105</v>
      </c>
      <c r="AL354" s="1033">
        <v>46154</v>
      </c>
      <c r="AM354" s="1033">
        <v>46151</v>
      </c>
      <c r="AN354" s="1033">
        <v>46151</v>
      </c>
      <c r="AO354" s="1032" t="s">
        <v>402</v>
      </c>
      <c r="AP354" s="1032" t="s">
        <v>930</v>
      </c>
      <c r="AQ354" s="1032" t="s">
        <v>80</v>
      </c>
      <c r="AR354" s="1032" t="s">
        <v>931</v>
      </c>
      <c r="AS354" s="1032" t="s">
        <v>932</v>
      </c>
      <c r="AT354" s="1032" t="s">
        <v>932</v>
      </c>
      <c r="AU354" s="1032">
        <v>46</v>
      </c>
      <c r="AW354" s="1033">
        <v>46151</v>
      </c>
      <c r="AX354" s="1032" t="s">
        <v>973</v>
      </c>
      <c r="AY354" s="1033">
        <v>46160</v>
      </c>
      <c r="AZ354" s="1032">
        <v>8</v>
      </c>
      <c r="BA354" s="1033">
        <v>46159</v>
      </c>
      <c r="BB354" s="1032">
        <v>2026</v>
      </c>
      <c r="BC354" s="1032">
        <v>5</v>
      </c>
      <c r="BD354" s="1032">
        <v>20</v>
      </c>
      <c r="BE354" s="1032">
        <v>36</v>
      </c>
      <c r="BF354" s="1032">
        <v>720</v>
      </c>
      <c r="BG354" s="1032" t="s">
        <v>128</v>
      </c>
      <c r="BH354" s="1032" t="s">
        <v>86</v>
      </c>
    </row>
    <row r="355" spans="1:60">
      <c r="A355" s="1032" t="s">
        <v>1742</v>
      </c>
      <c r="B355" s="1032" t="s">
        <v>111</v>
      </c>
      <c r="C355" s="1032" t="s">
        <v>1333</v>
      </c>
      <c r="D355" s="1032" t="s">
        <v>113</v>
      </c>
      <c r="E355" s="1032" t="s">
        <v>64</v>
      </c>
      <c r="F355" s="1032" t="s">
        <v>65</v>
      </c>
      <c r="G355" s="1032" t="s">
        <v>402</v>
      </c>
      <c r="H355" s="1032" t="s">
        <v>67</v>
      </c>
      <c r="I355" s="1032" t="s">
        <v>822</v>
      </c>
      <c r="J355" s="1032" t="s">
        <v>1327</v>
      </c>
      <c r="M355" s="1032" t="s">
        <v>68</v>
      </c>
      <c r="N355" s="1032" t="s">
        <v>68</v>
      </c>
      <c r="O355" s="1032" t="s">
        <v>70</v>
      </c>
      <c r="P355" s="1032" t="s">
        <v>1334</v>
      </c>
      <c r="Q355" s="1032" t="s">
        <v>1335</v>
      </c>
      <c r="R355" s="1032" t="s">
        <v>73</v>
      </c>
      <c r="S355" s="1032" t="s">
        <v>992</v>
      </c>
      <c r="T355" s="1032">
        <v>630</v>
      </c>
      <c r="U355" s="1032">
        <v>540</v>
      </c>
      <c r="V355" s="1032">
        <v>0.3402</v>
      </c>
      <c r="W355" s="1032">
        <v>15</v>
      </c>
      <c r="X355" s="1032">
        <v>0.75</v>
      </c>
      <c r="Y355" s="1032" t="s">
        <v>75</v>
      </c>
      <c r="Z355" s="1032" t="s">
        <v>75</v>
      </c>
      <c r="AB355" s="1033">
        <v>46100</v>
      </c>
      <c r="AC355" s="1032">
        <v>12</v>
      </c>
      <c r="AD355" s="1032" t="s">
        <v>1743</v>
      </c>
      <c r="AF355" s="1032" t="s">
        <v>122</v>
      </c>
      <c r="AG355" s="1032" t="s">
        <v>123</v>
      </c>
      <c r="AH355" s="1032" t="s">
        <v>78</v>
      </c>
      <c r="AI355" s="1033">
        <v>46105</v>
      </c>
      <c r="AJ355" s="1033">
        <v>46105</v>
      </c>
      <c r="AK355" s="1033">
        <v>46105</v>
      </c>
      <c r="AL355" s="1033">
        <v>46154</v>
      </c>
      <c r="AM355" s="1033">
        <v>46151</v>
      </c>
      <c r="AN355" s="1033">
        <v>46151</v>
      </c>
      <c r="AO355" s="1032" t="s">
        <v>402</v>
      </c>
      <c r="AP355" s="1032" t="s">
        <v>930</v>
      </c>
      <c r="AQ355" s="1032" t="s">
        <v>80</v>
      </c>
      <c r="AR355" s="1032" t="s">
        <v>931</v>
      </c>
      <c r="AS355" s="1032" t="s">
        <v>932</v>
      </c>
      <c r="AT355" s="1032" t="s">
        <v>932</v>
      </c>
      <c r="AU355" s="1032">
        <v>46</v>
      </c>
      <c r="AW355" s="1033">
        <v>46151</v>
      </c>
      <c r="AX355" s="1032" t="s">
        <v>973</v>
      </c>
      <c r="AY355" s="1033">
        <v>46160</v>
      </c>
      <c r="AZ355" s="1032">
        <v>8</v>
      </c>
      <c r="BA355" s="1033">
        <v>46159</v>
      </c>
      <c r="BB355" s="1032">
        <v>2026</v>
      </c>
      <c r="BC355" s="1032">
        <v>5</v>
      </c>
      <c r="BD355" s="1032">
        <v>20</v>
      </c>
      <c r="BE355" s="1032">
        <v>36</v>
      </c>
      <c r="BF355" s="1032">
        <v>720</v>
      </c>
      <c r="BG355" s="1032" t="s">
        <v>94</v>
      </c>
      <c r="BH355" s="1032" t="s">
        <v>86</v>
      </c>
    </row>
    <row r="356" spans="1:60">
      <c r="A356" s="1032" t="s">
        <v>1744</v>
      </c>
      <c r="B356" s="1032" t="s">
        <v>111</v>
      </c>
      <c r="C356" s="1032" t="s">
        <v>1734</v>
      </c>
      <c r="D356" s="1032" t="s">
        <v>113</v>
      </c>
      <c r="E356" s="1032" t="s">
        <v>64</v>
      </c>
      <c r="F356" s="1032" t="s">
        <v>65</v>
      </c>
      <c r="G356" s="1032" t="s">
        <v>402</v>
      </c>
      <c r="H356" s="1032" t="s">
        <v>67</v>
      </c>
      <c r="I356" s="1032" t="s">
        <v>822</v>
      </c>
      <c r="J356" s="1032" t="s">
        <v>1745</v>
      </c>
      <c r="M356" s="1032" t="s">
        <v>68</v>
      </c>
      <c r="N356" s="1032" t="s">
        <v>68</v>
      </c>
      <c r="O356" s="1032" t="s">
        <v>70</v>
      </c>
      <c r="P356" s="1032" t="s">
        <v>378</v>
      </c>
      <c r="Q356" s="1032" t="s">
        <v>379</v>
      </c>
      <c r="R356" s="1032" t="s">
        <v>73</v>
      </c>
      <c r="S356" s="1032" t="s">
        <v>992</v>
      </c>
      <c r="T356" s="1032">
        <v>620</v>
      </c>
      <c r="U356" s="1032">
        <v>288</v>
      </c>
      <c r="V356" s="1032">
        <v>0.17856</v>
      </c>
      <c r="W356" s="1032">
        <v>8</v>
      </c>
      <c r="X356" s="1032">
        <v>0.4</v>
      </c>
      <c r="Y356" s="1032" t="s">
        <v>75</v>
      </c>
      <c r="Z356" s="1032" t="s">
        <v>75</v>
      </c>
      <c r="AB356" s="1033">
        <v>46100</v>
      </c>
      <c r="AC356" s="1032">
        <v>12</v>
      </c>
      <c r="AD356" s="1032" t="s">
        <v>1746</v>
      </c>
      <c r="AF356" s="1032" t="s">
        <v>122</v>
      </c>
      <c r="AG356" s="1032" t="s">
        <v>123</v>
      </c>
      <c r="AH356" s="1032" t="s">
        <v>78</v>
      </c>
      <c r="AI356" s="1033">
        <v>46105</v>
      </c>
      <c r="AJ356" s="1033">
        <v>46105</v>
      </c>
      <c r="AK356" s="1033">
        <v>46105</v>
      </c>
      <c r="AL356" s="1033">
        <v>46154</v>
      </c>
      <c r="AM356" s="1033">
        <v>46151</v>
      </c>
      <c r="AN356" s="1033">
        <v>46151</v>
      </c>
      <c r="AO356" s="1032" t="s">
        <v>402</v>
      </c>
      <c r="AP356" s="1032" t="s">
        <v>930</v>
      </c>
      <c r="AQ356" s="1032" t="s">
        <v>80</v>
      </c>
      <c r="AR356" s="1032" t="s">
        <v>931</v>
      </c>
      <c r="AS356" s="1032" t="s">
        <v>932</v>
      </c>
      <c r="AT356" s="1032" t="s">
        <v>932</v>
      </c>
      <c r="AU356" s="1032">
        <v>46</v>
      </c>
      <c r="AW356" s="1033">
        <v>46151</v>
      </c>
      <c r="AX356" s="1032" t="s">
        <v>973</v>
      </c>
      <c r="AY356" s="1033">
        <v>46160</v>
      </c>
      <c r="AZ356" s="1032">
        <v>8</v>
      </c>
      <c r="BA356" s="1033">
        <v>46159</v>
      </c>
      <c r="BB356" s="1032">
        <v>2026</v>
      </c>
      <c r="BC356" s="1032">
        <v>5</v>
      </c>
      <c r="BD356" s="1032">
        <v>20</v>
      </c>
      <c r="BE356" s="1032">
        <v>36</v>
      </c>
      <c r="BF356" s="1032">
        <v>720</v>
      </c>
      <c r="BG356" s="1032" t="s">
        <v>128</v>
      </c>
      <c r="BH356" s="1032" t="s">
        <v>86</v>
      </c>
    </row>
    <row r="357" spans="1:60">
      <c r="A357" s="1032" t="s">
        <v>1445</v>
      </c>
      <c r="B357" s="1032" t="s">
        <v>111</v>
      </c>
      <c r="C357" s="1032" t="s">
        <v>203</v>
      </c>
      <c r="D357" s="1032" t="s">
        <v>113</v>
      </c>
      <c r="E357" s="1032" t="s">
        <v>64</v>
      </c>
      <c r="F357" s="1032" t="s">
        <v>65</v>
      </c>
      <c r="G357" s="1032" t="s">
        <v>402</v>
      </c>
      <c r="H357" s="1032" t="s">
        <v>67</v>
      </c>
      <c r="I357" s="1032" t="s">
        <v>689</v>
      </c>
      <c r="J357" s="1032" t="s">
        <v>1747</v>
      </c>
      <c r="M357" s="1032" t="s">
        <v>68</v>
      </c>
      <c r="N357" s="1032">
        <v>46045</v>
      </c>
      <c r="O357" s="1032" t="s">
        <v>713</v>
      </c>
      <c r="P357" s="1032" t="s">
        <v>1429</v>
      </c>
      <c r="Q357" s="1032" t="s">
        <v>1430</v>
      </c>
      <c r="R357" s="1032" t="s">
        <v>73</v>
      </c>
      <c r="S357" s="1032" t="s">
        <v>1187</v>
      </c>
      <c r="T357" s="1032">
        <v>620</v>
      </c>
      <c r="U357" s="1032">
        <v>72</v>
      </c>
      <c r="V357" s="1032">
        <v>4.4639999999999999E-2</v>
      </c>
      <c r="W357" s="1032">
        <v>2</v>
      </c>
      <c r="X357" s="1032">
        <v>0.1</v>
      </c>
      <c r="Y357" s="1032" t="s">
        <v>75</v>
      </c>
      <c r="Z357" s="1032" t="s">
        <v>75</v>
      </c>
      <c r="AB357" s="1033">
        <v>46100</v>
      </c>
      <c r="AC357" s="1032">
        <v>12</v>
      </c>
      <c r="AD357" s="1032" t="s">
        <v>1748</v>
      </c>
      <c r="AF357" s="1032" t="s">
        <v>122</v>
      </c>
      <c r="AG357" s="1032" t="s">
        <v>123</v>
      </c>
      <c r="AH357" s="1032" t="s">
        <v>78</v>
      </c>
      <c r="AI357" s="1033">
        <v>46105</v>
      </c>
      <c r="AJ357" s="1033">
        <v>46105</v>
      </c>
      <c r="AK357" s="1033">
        <v>46105</v>
      </c>
      <c r="AL357" s="1033">
        <v>46154</v>
      </c>
      <c r="AM357" s="1033">
        <v>46151</v>
      </c>
      <c r="AN357" s="1033">
        <v>46151</v>
      </c>
      <c r="AO357" s="1032" t="s">
        <v>402</v>
      </c>
      <c r="AP357" s="1032" t="s">
        <v>930</v>
      </c>
      <c r="AQ357" s="1032" t="s">
        <v>80</v>
      </c>
      <c r="AR357" s="1032" t="s">
        <v>931</v>
      </c>
      <c r="AS357" s="1032" t="s">
        <v>932</v>
      </c>
      <c r="AT357" s="1032" t="s">
        <v>932</v>
      </c>
      <c r="AU357" s="1032">
        <v>46</v>
      </c>
      <c r="AW357" s="1033">
        <v>46151</v>
      </c>
      <c r="AX357" s="1032" t="s">
        <v>973</v>
      </c>
      <c r="AY357" s="1033">
        <v>46160</v>
      </c>
      <c r="AZ357" s="1032">
        <v>8</v>
      </c>
      <c r="BA357" s="1033">
        <v>46159</v>
      </c>
      <c r="BB357" s="1032">
        <v>2026</v>
      </c>
      <c r="BC357" s="1032">
        <v>5</v>
      </c>
      <c r="BD357" s="1032">
        <v>20</v>
      </c>
      <c r="BE357" s="1032">
        <v>36</v>
      </c>
      <c r="BF357" s="1032">
        <v>720</v>
      </c>
      <c r="BG357" s="1032" t="s">
        <v>108</v>
      </c>
      <c r="BH357" s="1032" t="s">
        <v>86</v>
      </c>
    </row>
    <row r="358" spans="1:60">
      <c r="A358" s="1032" t="s">
        <v>1749</v>
      </c>
      <c r="B358" s="1032" t="s">
        <v>111</v>
      </c>
      <c r="C358" s="1032" t="s">
        <v>991</v>
      </c>
      <c r="D358" s="1032" t="s">
        <v>63</v>
      </c>
      <c r="E358" s="1032" t="s">
        <v>144</v>
      </c>
      <c r="F358" s="1032" t="s">
        <v>145</v>
      </c>
      <c r="G358" s="1032" t="s">
        <v>402</v>
      </c>
      <c r="H358" s="1032" t="s">
        <v>593</v>
      </c>
      <c r="I358" s="1032" t="s">
        <v>869</v>
      </c>
      <c r="J358" s="1032" t="s">
        <v>594</v>
      </c>
      <c r="K358" s="1032" t="s">
        <v>1750</v>
      </c>
      <c r="M358" s="1032" t="s">
        <v>840</v>
      </c>
      <c r="N358" s="1032">
        <v>46048</v>
      </c>
      <c r="O358" s="1032" t="s">
        <v>132</v>
      </c>
      <c r="P358" s="1032" t="s">
        <v>133</v>
      </c>
      <c r="Q358" s="1032" t="s">
        <v>134</v>
      </c>
      <c r="R358" s="1032" t="s">
        <v>73</v>
      </c>
      <c r="S358" s="1032" t="s">
        <v>992</v>
      </c>
      <c r="T358" s="1032">
        <v>720</v>
      </c>
      <c r="U358" s="1032">
        <v>2970</v>
      </c>
      <c r="V358" s="1032">
        <v>2.1383999999999999</v>
      </c>
      <c r="W358" s="1032">
        <v>90</v>
      </c>
      <c r="X358" s="1032">
        <v>5</v>
      </c>
      <c r="Y358" s="1032" t="s">
        <v>75</v>
      </c>
      <c r="Z358" s="1032" t="s">
        <v>75</v>
      </c>
      <c r="AB358" s="1033">
        <v>46100</v>
      </c>
      <c r="AC358" s="1032">
        <v>12</v>
      </c>
      <c r="AD358" s="1032" t="s">
        <v>1751</v>
      </c>
      <c r="AE358" s="1032" t="s">
        <v>1752</v>
      </c>
      <c r="AF358" s="1032" t="s">
        <v>122</v>
      </c>
      <c r="AG358" s="1032" t="s">
        <v>123</v>
      </c>
      <c r="AH358" s="1032" t="s">
        <v>124</v>
      </c>
      <c r="AI358" s="1033">
        <v>46106</v>
      </c>
      <c r="AJ358" s="1033">
        <v>46108</v>
      </c>
      <c r="AK358" s="1033">
        <v>46108</v>
      </c>
      <c r="AL358" s="1033">
        <v>46149</v>
      </c>
      <c r="AM358" s="1033">
        <v>46149</v>
      </c>
      <c r="AN358" s="1033">
        <v>46149</v>
      </c>
      <c r="AO358" s="1032" t="s">
        <v>402</v>
      </c>
      <c r="AP358" s="1032" t="s">
        <v>1753</v>
      </c>
      <c r="AQ358" s="1032" t="s">
        <v>80</v>
      </c>
      <c r="AR358" s="1032" t="s">
        <v>1754</v>
      </c>
      <c r="AS358" s="1032" t="s">
        <v>1755</v>
      </c>
      <c r="AT358" s="1032" t="s">
        <v>1755</v>
      </c>
      <c r="AU358" s="1032">
        <v>41</v>
      </c>
      <c r="AW358" s="1033">
        <v>46149</v>
      </c>
      <c r="AX358" s="1032" t="s">
        <v>973</v>
      </c>
      <c r="AY358" s="1033">
        <v>46162</v>
      </c>
      <c r="AZ358" s="1032">
        <v>0</v>
      </c>
      <c r="BA358" s="1033">
        <v>46149</v>
      </c>
      <c r="BB358" s="1032">
        <v>2026</v>
      </c>
      <c r="BC358" s="1032">
        <v>5</v>
      </c>
      <c r="BD358" s="1032">
        <v>19</v>
      </c>
      <c r="BE358" s="1032">
        <v>33</v>
      </c>
      <c r="BF358" s="1032">
        <v>594</v>
      </c>
      <c r="BG358" s="1032" t="s">
        <v>108</v>
      </c>
      <c r="BH358" s="1032" t="s">
        <v>86</v>
      </c>
    </row>
    <row r="359" spans="1:60">
      <c r="A359" s="1032" t="s">
        <v>1756</v>
      </c>
      <c r="B359" s="1032" t="s">
        <v>1757</v>
      </c>
      <c r="C359" s="1032" t="s">
        <v>1593</v>
      </c>
      <c r="D359" s="1032" t="s">
        <v>63</v>
      </c>
      <c r="E359" s="1032" t="s">
        <v>144</v>
      </c>
      <c r="F359" s="1032" t="s">
        <v>145</v>
      </c>
      <c r="G359" s="1032" t="s">
        <v>402</v>
      </c>
      <c r="H359" s="1032" t="s">
        <v>881</v>
      </c>
      <c r="I359" s="1032" t="s">
        <v>689</v>
      </c>
      <c r="J359" s="1032" t="s">
        <v>1758</v>
      </c>
      <c r="K359" s="1032" t="s">
        <v>1759</v>
      </c>
      <c r="M359" s="1032" t="s">
        <v>840</v>
      </c>
      <c r="N359" s="1032">
        <v>46090</v>
      </c>
      <c r="O359" s="1032" t="s">
        <v>70</v>
      </c>
      <c r="P359" s="1032" t="s">
        <v>71</v>
      </c>
      <c r="Q359" s="1032" t="s">
        <v>72</v>
      </c>
      <c r="R359" s="1032" t="s">
        <v>73</v>
      </c>
      <c r="S359" s="1032" t="s">
        <v>967</v>
      </c>
      <c r="T359" s="1032">
        <v>500</v>
      </c>
      <c r="U359" s="1032">
        <v>2592</v>
      </c>
      <c r="V359" s="1032">
        <v>1.296</v>
      </c>
      <c r="W359" s="1032">
        <v>72</v>
      </c>
      <c r="X359" s="1032">
        <v>3</v>
      </c>
      <c r="Y359" s="1032" t="s">
        <v>75</v>
      </c>
      <c r="Z359" s="1032" t="s">
        <v>75</v>
      </c>
      <c r="AA359" s="1032" t="s">
        <v>1760</v>
      </c>
      <c r="AB359" s="1033">
        <v>46109</v>
      </c>
      <c r="AC359" s="1032">
        <v>13</v>
      </c>
      <c r="AD359" s="1032" t="s">
        <v>1761</v>
      </c>
      <c r="AF359" s="1032" t="s">
        <v>1762</v>
      </c>
      <c r="AG359" s="1032" t="s">
        <v>123</v>
      </c>
      <c r="AH359" s="1032" t="s">
        <v>888</v>
      </c>
      <c r="AI359" s="1033">
        <v>46112</v>
      </c>
      <c r="AJ359" s="1033">
        <v>46112</v>
      </c>
      <c r="AK359" s="1033">
        <v>46113</v>
      </c>
      <c r="AL359" s="1033">
        <v>46162</v>
      </c>
      <c r="AM359" s="1033">
        <v>46162</v>
      </c>
      <c r="AN359" s="1033">
        <v>46162</v>
      </c>
      <c r="AO359" s="1032" t="s">
        <v>402</v>
      </c>
      <c r="AP359" s="1032" t="s">
        <v>1763</v>
      </c>
      <c r="AQ359" s="1032" t="s">
        <v>80</v>
      </c>
      <c r="AR359" s="1032" t="s">
        <v>1764</v>
      </c>
      <c r="AS359" s="1032" t="s">
        <v>1765</v>
      </c>
      <c r="AT359" s="1032" t="s">
        <v>1765</v>
      </c>
      <c r="AU359" s="1032">
        <v>49</v>
      </c>
      <c r="AW359" s="1033">
        <v>46162</v>
      </c>
      <c r="AX359" s="1032" t="s">
        <v>973</v>
      </c>
      <c r="AY359" s="1033">
        <v>46175</v>
      </c>
      <c r="AZ359" s="1032">
        <v>0</v>
      </c>
      <c r="BA359" s="1033">
        <v>46162</v>
      </c>
      <c r="BB359" s="1032">
        <v>2026</v>
      </c>
      <c r="BC359" s="1032">
        <v>5</v>
      </c>
      <c r="BD359" s="1032">
        <v>21</v>
      </c>
      <c r="BE359" s="1032">
        <v>36</v>
      </c>
      <c r="BF359" s="1032">
        <v>864</v>
      </c>
      <c r="BG359" s="1032" t="s">
        <v>85</v>
      </c>
      <c r="BH359" s="1032" t="s">
        <v>109</v>
      </c>
    </row>
    <row r="360" spans="1:60">
      <c r="A360" s="1032" t="s">
        <v>1766</v>
      </c>
      <c r="B360" s="1032" t="s">
        <v>1757</v>
      </c>
      <c r="C360" s="1032" t="s">
        <v>1593</v>
      </c>
      <c r="D360" s="1032" t="s">
        <v>63</v>
      </c>
      <c r="E360" s="1032" t="s">
        <v>64</v>
      </c>
      <c r="F360" s="1032" t="s">
        <v>100</v>
      </c>
      <c r="G360" s="1032" t="s">
        <v>402</v>
      </c>
      <c r="H360" s="1032" t="s">
        <v>67</v>
      </c>
      <c r="I360" s="1032" t="s">
        <v>689</v>
      </c>
      <c r="J360" s="1032" t="s">
        <v>1767</v>
      </c>
      <c r="M360" s="1032" t="s">
        <v>68</v>
      </c>
      <c r="N360" s="1032">
        <v>46104</v>
      </c>
      <c r="O360" s="1032" t="s">
        <v>70</v>
      </c>
      <c r="P360" s="1032" t="s">
        <v>71</v>
      </c>
      <c r="Q360" s="1032" t="s">
        <v>72</v>
      </c>
      <c r="R360" s="1032" t="s">
        <v>73</v>
      </c>
      <c r="S360" s="1032" t="s">
        <v>967</v>
      </c>
      <c r="T360" s="1032">
        <v>500</v>
      </c>
      <c r="U360" s="1032">
        <v>2592</v>
      </c>
      <c r="V360" s="1032">
        <v>1.296</v>
      </c>
      <c r="W360" s="1032">
        <v>72</v>
      </c>
      <c r="X360" s="1032">
        <v>3</v>
      </c>
      <c r="Y360" s="1032" t="s">
        <v>75</v>
      </c>
      <c r="Z360" s="1032" t="s">
        <v>75</v>
      </c>
      <c r="AA360" s="1032" t="s">
        <v>1768</v>
      </c>
      <c r="AB360" s="1033">
        <v>46097</v>
      </c>
      <c r="AC360" s="1032">
        <v>12</v>
      </c>
      <c r="AD360" s="1032" t="s">
        <v>1769</v>
      </c>
      <c r="AF360" s="1032" t="s">
        <v>122</v>
      </c>
      <c r="AG360" s="1032" t="s">
        <v>123</v>
      </c>
      <c r="AH360" s="1032" t="s">
        <v>105</v>
      </c>
      <c r="AI360" s="1033">
        <v>46103</v>
      </c>
      <c r="AJ360" s="1033">
        <v>46103</v>
      </c>
      <c r="AK360" s="1033">
        <v>46103</v>
      </c>
      <c r="AL360" s="1033">
        <v>46144</v>
      </c>
      <c r="AM360" s="1033">
        <v>46151</v>
      </c>
      <c r="AN360" s="1033">
        <v>46153</v>
      </c>
      <c r="AO360" s="1032" t="s">
        <v>402</v>
      </c>
      <c r="AP360" s="1032" t="s">
        <v>1720</v>
      </c>
      <c r="AQ360" s="1032" t="s">
        <v>80</v>
      </c>
      <c r="AR360" s="1032" t="s">
        <v>1770</v>
      </c>
      <c r="AS360" s="1032" t="s">
        <v>1771</v>
      </c>
      <c r="AT360" s="1032" t="s">
        <v>1771</v>
      </c>
      <c r="AU360" s="1032">
        <v>50</v>
      </c>
      <c r="AW360" s="1033">
        <v>46153</v>
      </c>
      <c r="AX360" s="1032" t="s">
        <v>973</v>
      </c>
      <c r="AY360" s="1033">
        <v>46159</v>
      </c>
      <c r="AZ360" s="1032">
        <v>7</v>
      </c>
      <c r="BA360" s="1033">
        <v>46160</v>
      </c>
      <c r="BB360" s="1032">
        <v>2026</v>
      </c>
      <c r="BC360" s="1032">
        <v>5</v>
      </c>
      <c r="BD360" s="1032">
        <v>21</v>
      </c>
      <c r="BE360" s="1032">
        <v>36</v>
      </c>
      <c r="BF360" s="1032">
        <v>864</v>
      </c>
      <c r="BG360" s="1032" t="s">
        <v>85</v>
      </c>
      <c r="BH360" s="1032" t="s">
        <v>109</v>
      </c>
    </row>
    <row r="361" spans="1:60">
      <c r="A361" s="1032" t="s">
        <v>1772</v>
      </c>
      <c r="B361" s="1032" t="s">
        <v>1757</v>
      </c>
      <c r="C361" s="1032" t="s">
        <v>1286</v>
      </c>
      <c r="D361" s="1032" t="s">
        <v>63</v>
      </c>
      <c r="E361" s="1032" t="s">
        <v>64</v>
      </c>
      <c r="F361" s="1032" t="s">
        <v>100</v>
      </c>
      <c r="G361" s="1032" t="s">
        <v>402</v>
      </c>
      <c r="H361" s="1032" t="s">
        <v>67</v>
      </c>
      <c r="I361" s="1032" t="s">
        <v>689</v>
      </c>
      <c r="J361" s="1032" t="s">
        <v>101</v>
      </c>
      <c r="M361" s="1032" t="s">
        <v>68</v>
      </c>
      <c r="N361" s="1032">
        <v>46104</v>
      </c>
      <c r="O361" s="1032" t="s">
        <v>70</v>
      </c>
      <c r="P361" s="1032" t="s">
        <v>1151</v>
      </c>
      <c r="Q361" s="1032" t="s">
        <v>421</v>
      </c>
      <c r="R361" s="1032" t="s">
        <v>73</v>
      </c>
      <c r="S361" s="1032" t="s">
        <v>967</v>
      </c>
      <c r="T361" s="1032">
        <v>505</v>
      </c>
      <c r="U361" s="1032">
        <v>4320</v>
      </c>
      <c r="V361" s="1032">
        <v>2.1816</v>
      </c>
      <c r="W361" s="1032">
        <v>120</v>
      </c>
      <c r="X361" s="1032">
        <v>5</v>
      </c>
      <c r="Y361" s="1032" t="s">
        <v>75</v>
      </c>
      <c r="Z361" s="1032" t="s">
        <v>75</v>
      </c>
      <c r="AA361" s="1032" t="s">
        <v>1773</v>
      </c>
      <c r="AB361" s="1033">
        <v>46097</v>
      </c>
      <c r="AC361" s="1032">
        <v>12</v>
      </c>
      <c r="AD361" s="1032" t="s">
        <v>1774</v>
      </c>
      <c r="AF361" s="1032" t="s">
        <v>122</v>
      </c>
      <c r="AG361" s="1032" t="s">
        <v>123</v>
      </c>
      <c r="AH361" s="1032" t="s">
        <v>105</v>
      </c>
      <c r="AI361" s="1033">
        <v>46103</v>
      </c>
      <c r="AJ361" s="1033">
        <v>46103</v>
      </c>
      <c r="AK361" s="1033">
        <v>46103</v>
      </c>
      <c r="AL361" s="1033">
        <v>46144</v>
      </c>
      <c r="AM361" s="1033">
        <v>46151</v>
      </c>
      <c r="AN361" s="1033">
        <v>46153</v>
      </c>
      <c r="AO361" s="1032" t="s">
        <v>402</v>
      </c>
      <c r="AP361" s="1032" t="s">
        <v>1720</v>
      </c>
      <c r="AQ361" s="1032" t="s">
        <v>80</v>
      </c>
      <c r="AR361" s="1032" t="s">
        <v>1770</v>
      </c>
      <c r="AS361" s="1032" t="s">
        <v>1771</v>
      </c>
      <c r="AT361" s="1032" t="s">
        <v>1771</v>
      </c>
      <c r="AU361" s="1032">
        <v>50</v>
      </c>
      <c r="AW361" s="1033">
        <v>46153</v>
      </c>
      <c r="AX361" s="1032" t="s">
        <v>973</v>
      </c>
      <c r="AY361" s="1033">
        <v>46159</v>
      </c>
      <c r="AZ361" s="1032">
        <v>7</v>
      </c>
      <c r="BA361" s="1033">
        <v>46160</v>
      </c>
      <c r="BB361" s="1032">
        <v>2026</v>
      </c>
      <c r="BC361" s="1032">
        <v>5</v>
      </c>
      <c r="BD361" s="1032">
        <v>21</v>
      </c>
      <c r="BE361" s="1032">
        <v>36</v>
      </c>
      <c r="BF361" s="1032">
        <v>864</v>
      </c>
      <c r="BG361" s="1032" t="s">
        <v>85</v>
      </c>
      <c r="BH361" s="1032" t="s">
        <v>109</v>
      </c>
    </row>
    <row r="362" spans="1:60">
      <c r="A362" s="1032" t="s">
        <v>1775</v>
      </c>
      <c r="B362" s="1032" t="s">
        <v>1519</v>
      </c>
      <c r="C362" s="1032" t="s">
        <v>1520</v>
      </c>
      <c r="D362" s="1032" t="s">
        <v>63</v>
      </c>
      <c r="E362" s="1032" t="s">
        <v>64</v>
      </c>
      <c r="F362" s="1032" t="s">
        <v>310</v>
      </c>
      <c r="G362" s="1032" t="s">
        <v>402</v>
      </c>
      <c r="H362" s="1032" t="s">
        <v>311</v>
      </c>
      <c r="I362" s="1032" t="s">
        <v>689</v>
      </c>
      <c r="J362" s="1032" t="s">
        <v>1342</v>
      </c>
      <c r="M362" s="1032" t="s">
        <v>68</v>
      </c>
      <c r="N362" s="1032">
        <v>46090</v>
      </c>
      <c r="O362" s="1032" t="s">
        <v>284</v>
      </c>
      <c r="P362" s="1032" t="s">
        <v>1521</v>
      </c>
      <c r="Q362" s="1032" t="s">
        <v>1522</v>
      </c>
      <c r="R362" s="1032" t="s">
        <v>73</v>
      </c>
      <c r="S362" s="1032" t="s">
        <v>967</v>
      </c>
      <c r="T362" s="1032">
        <v>490</v>
      </c>
      <c r="U362" s="1032">
        <v>6048</v>
      </c>
      <c r="V362" s="1032">
        <v>2.9635199999999999</v>
      </c>
      <c r="W362" s="1032">
        <v>168</v>
      </c>
      <c r="X362" s="1032">
        <v>7</v>
      </c>
      <c r="Y362" s="1032" t="s">
        <v>75</v>
      </c>
      <c r="Z362" s="1032" t="s">
        <v>75</v>
      </c>
      <c r="AA362" s="1032" t="s">
        <v>1544</v>
      </c>
      <c r="AB362" s="1033">
        <v>46108</v>
      </c>
      <c r="AC362" s="1032">
        <v>13</v>
      </c>
      <c r="AD362" s="1032" t="s">
        <v>1776</v>
      </c>
      <c r="AF362" s="1032" t="s">
        <v>945</v>
      </c>
      <c r="AG362" s="1032" t="s">
        <v>123</v>
      </c>
      <c r="AH362" s="1032" t="s">
        <v>314</v>
      </c>
      <c r="AI362" s="1033">
        <v>46111</v>
      </c>
      <c r="AJ362" s="1033">
        <v>46114</v>
      </c>
      <c r="AK362" s="1033">
        <v>46114</v>
      </c>
      <c r="AL362" s="1033">
        <v>46155</v>
      </c>
      <c r="AM362" s="1033">
        <v>46159</v>
      </c>
      <c r="AN362" s="1033">
        <v>46162</v>
      </c>
      <c r="AO362" s="1032" t="s">
        <v>402</v>
      </c>
      <c r="AP362" s="1032" t="s">
        <v>1725</v>
      </c>
      <c r="AQ362" s="1032" t="s">
        <v>80</v>
      </c>
      <c r="AR362" s="1032" t="s">
        <v>1777</v>
      </c>
      <c r="AS362" s="1032" t="s">
        <v>1778</v>
      </c>
      <c r="AT362" s="1032" t="s">
        <v>1778</v>
      </c>
      <c r="AU362" s="1032">
        <v>48</v>
      </c>
      <c r="AW362" s="1033">
        <v>46162</v>
      </c>
      <c r="AX362" s="1032" t="s">
        <v>973</v>
      </c>
      <c r="AY362" s="1033">
        <v>46175</v>
      </c>
      <c r="AZ362" s="1032">
        <v>13</v>
      </c>
      <c r="BA362" s="1033">
        <v>46175</v>
      </c>
      <c r="BB362" s="1032">
        <v>2026</v>
      </c>
      <c r="BC362" s="1032">
        <v>6</v>
      </c>
      <c r="BD362" s="1032">
        <v>23</v>
      </c>
      <c r="BE362" s="1032">
        <v>36</v>
      </c>
      <c r="BF362" s="1032">
        <v>864</v>
      </c>
      <c r="BG362" s="1032" t="s">
        <v>85</v>
      </c>
      <c r="BH362" s="1032" t="s">
        <v>86</v>
      </c>
    </row>
    <row r="363" spans="1:60">
      <c r="A363" s="1032" t="s">
        <v>1779</v>
      </c>
      <c r="B363" s="1032" t="s">
        <v>1566</v>
      </c>
      <c r="C363" s="1032" t="s">
        <v>1583</v>
      </c>
      <c r="D363" s="1032" t="s">
        <v>63</v>
      </c>
      <c r="E363" s="1032" t="s">
        <v>64</v>
      </c>
      <c r="F363" s="1032" t="s">
        <v>100</v>
      </c>
      <c r="G363" s="1032" t="s">
        <v>402</v>
      </c>
      <c r="H363" s="1032" t="s">
        <v>67</v>
      </c>
      <c r="I363" s="1032" t="s">
        <v>689</v>
      </c>
      <c r="J363" s="1032" t="s">
        <v>1568</v>
      </c>
      <c r="M363" s="1032" t="s">
        <v>68</v>
      </c>
      <c r="N363" s="1032">
        <v>46097</v>
      </c>
      <c r="O363" s="1032" t="s">
        <v>284</v>
      </c>
      <c r="P363" s="1032" t="s">
        <v>1584</v>
      </c>
      <c r="Q363" s="1032" t="s">
        <v>1585</v>
      </c>
      <c r="R363" s="1032" t="s">
        <v>73</v>
      </c>
      <c r="S363" s="1032" t="s">
        <v>992</v>
      </c>
      <c r="T363" s="1032">
        <v>645</v>
      </c>
      <c r="U363" s="1032">
        <v>4320</v>
      </c>
      <c r="V363" s="1032">
        <v>2.7864</v>
      </c>
      <c r="W363" s="1032">
        <v>120</v>
      </c>
      <c r="X363" s="1032">
        <v>6</v>
      </c>
      <c r="Y363" s="1032" t="s">
        <v>75</v>
      </c>
      <c r="Z363" s="1032" t="s">
        <v>75</v>
      </c>
      <c r="AA363" s="1032" t="s">
        <v>1780</v>
      </c>
      <c r="AB363" s="1033">
        <v>46097</v>
      </c>
      <c r="AC363" s="1032">
        <v>12</v>
      </c>
      <c r="AD363" s="1032" t="s">
        <v>1781</v>
      </c>
      <c r="AF363" s="1032" t="s">
        <v>1525</v>
      </c>
      <c r="AG363" s="1032" t="s">
        <v>123</v>
      </c>
      <c r="AH363" s="1032" t="s">
        <v>105</v>
      </c>
      <c r="AI363" s="1033">
        <v>46103</v>
      </c>
      <c r="AJ363" s="1033">
        <v>46107</v>
      </c>
      <c r="AK363" s="1033">
        <v>46107</v>
      </c>
      <c r="AL363" s="1033">
        <v>46150</v>
      </c>
      <c r="AM363" s="1033">
        <v>46148</v>
      </c>
      <c r="AN363" s="1033">
        <v>46148</v>
      </c>
      <c r="AO363" s="1032" t="s">
        <v>402</v>
      </c>
      <c r="AP363" s="1032" t="s">
        <v>1782</v>
      </c>
      <c r="AQ363" s="1032" t="s">
        <v>161</v>
      </c>
      <c r="AR363" s="1032" t="s">
        <v>1783</v>
      </c>
      <c r="AS363" s="1032" t="s">
        <v>1784</v>
      </c>
      <c r="AT363" s="1032" t="s">
        <v>1784</v>
      </c>
      <c r="AU363" s="1032">
        <v>41</v>
      </c>
      <c r="AW363" s="1033">
        <v>46148</v>
      </c>
      <c r="AX363" s="1032" t="s">
        <v>973</v>
      </c>
      <c r="AY363" s="1033">
        <v>46163</v>
      </c>
      <c r="AZ363" s="1032">
        <v>7</v>
      </c>
      <c r="BA363" s="1033">
        <v>46155</v>
      </c>
      <c r="BB363" s="1032">
        <v>2026</v>
      </c>
      <c r="BC363" s="1032">
        <v>5</v>
      </c>
      <c r="BD363" s="1032">
        <v>20</v>
      </c>
      <c r="BE363" s="1032">
        <v>36</v>
      </c>
      <c r="BF363" s="1032">
        <v>720</v>
      </c>
      <c r="BG363" s="1032" t="s">
        <v>108</v>
      </c>
      <c r="BH363" s="1032" t="s">
        <v>109</v>
      </c>
    </row>
    <row r="364" spans="1:60">
      <c r="A364" s="1032" t="s">
        <v>1785</v>
      </c>
      <c r="B364" s="1032" t="s">
        <v>1566</v>
      </c>
      <c r="C364" s="1032" t="s">
        <v>1567</v>
      </c>
      <c r="D364" s="1032" t="s">
        <v>63</v>
      </c>
      <c r="E364" s="1032" t="s">
        <v>64</v>
      </c>
      <c r="F364" s="1032" t="s">
        <v>100</v>
      </c>
      <c r="G364" s="1032" t="s">
        <v>402</v>
      </c>
      <c r="H364" s="1032" t="s">
        <v>67</v>
      </c>
      <c r="I364" s="1032" t="s">
        <v>689</v>
      </c>
      <c r="J364" s="1032" t="s">
        <v>1568</v>
      </c>
      <c r="M364" s="1032" t="s">
        <v>68</v>
      </c>
      <c r="N364" s="1032">
        <v>46097</v>
      </c>
      <c r="O364" s="1032" t="s">
        <v>284</v>
      </c>
      <c r="P364" s="1032" t="s">
        <v>1569</v>
      </c>
      <c r="Q364" s="1032" t="s">
        <v>1570</v>
      </c>
      <c r="R364" s="1032" t="s">
        <v>73</v>
      </c>
      <c r="S364" s="1032" t="s">
        <v>992</v>
      </c>
      <c r="T364" s="1032">
        <v>650</v>
      </c>
      <c r="U364" s="1032">
        <v>2880</v>
      </c>
      <c r="V364" s="1032">
        <v>1.8720000000000001</v>
      </c>
      <c r="W364" s="1032">
        <v>80</v>
      </c>
      <c r="X364" s="1032">
        <v>4</v>
      </c>
      <c r="Y364" s="1032" t="s">
        <v>75</v>
      </c>
      <c r="Z364" s="1032" t="s">
        <v>75</v>
      </c>
      <c r="AB364" s="1033">
        <v>46097</v>
      </c>
      <c r="AC364" s="1032">
        <v>12</v>
      </c>
      <c r="AD364" s="1032" t="s">
        <v>1786</v>
      </c>
      <c r="AF364" s="1032" t="s">
        <v>1525</v>
      </c>
      <c r="AG364" s="1032" t="s">
        <v>123</v>
      </c>
      <c r="AH364" s="1032" t="s">
        <v>105</v>
      </c>
      <c r="AI364" s="1033">
        <v>46103</v>
      </c>
      <c r="AJ364" s="1033">
        <v>46107</v>
      </c>
      <c r="AK364" s="1033">
        <v>46107</v>
      </c>
      <c r="AL364" s="1033">
        <v>46150</v>
      </c>
      <c r="AM364" s="1033">
        <v>46148</v>
      </c>
      <c r="AN364" s="1033">
        <v>46148</v>
      </c>
      <c r="AO364" s="1032" t="s">
        <v>402</v>
      </c>
      <c r="AP364" s="1032" t="s">
        <v>1782</v>
      </c>
      <c r="AQ364" s="1032" t="s">
        <v>161</v>
      </c>
      <c r="AR364" s="1032" t="s">
        <v>1783</v>
      </c>
      <c r="AS364" s="1032" t="s">
        <v>1784</v>
      </c>
      <c r="AT364" s="1032" t="s">
        <v>1784</v>
      </c>
      <c r="AU364" s="1032">
        <v>41</v>
      </c>
      <c r="AW364" s="1033">
        <v>46148</v>
      </c>
      <c r="AX364" s="1032" t="s">
        <v>973</v>
      </c>
      <c r="AY364" s="1033">
        <v>46163</v>
      </c>
      <c r="AZ364" s="1032">
        <v>7</v>
      </c>
      <c r="BA364" s="1033">
        <v>46155</v>
      </c>
      <c r="BB364" s="1032">
        <v>2026</v>
      </c>
      <c r="BC364" s="1032">
        <v>5</v>
      </c>
      <c r="BD364" s="1032">
        <v>20</v>
      </c>
      <c r="BE364" s="1032">
        <v>36</v>
      </c>
      <c r="BF364" s="1032">
        <v>720</v>
      </c>
      <c r="BG364" s="1032" t="s">
        <v>108</v>
      </c>
      <c r="BH364" s="1032" t="s">
        <v>109</v>
      </c>
    </row>
    <row r="365" spans="1:60">
      <c r="A365" s="1032" t="s">
        <v>1787</v>
      </c>
      <c r="B365" s="1032" t="s">
        <v>1566</v>
      </c>
      <c r="C365" s="1032" t="s">
        <v>1583</v>
      </c>
      <c r="D365" s="1032" t="s">
        <v>63</v>
      </c>
      <c r="E365" s="1032" t="s">
        <v>64</v>
      </c>
      <c r="F365" s="1032" t="s">
        <v>100</v>
      </c>
      <c r="G365" s="1032" t="s">
        <v>402</v>
      </c>
      <c r="H365" s="1032" t="s">
        <v>67</v>
      </c>
      <c r="I365" s="1032" t="s">
        <v>689</v>
      </c>
      <c r="J365" s="1032" t="s">
        <v>1568</v>
      </c>
      <c r="M365" s="1032" t="s">
        <v>68</v>
      </c>
      <c r="N365" s="1032">
        <v>46097</v>
      </c>
      <c r="O365" s="1032" t="s">
        <v>284</v>
      </c>
      <c r="P365" s="1032" t="s">
        <v>1584</v>
      </c>
      <c r="Q365" s="1032" t="s">
        <v>1585</v>
      </c>
      <c r="R365" s="1032" t="s">
        <v>73</v>
      </c>
      <c r="S365" s="1032" t="s">
        <v>992</v>
      </c>
      <c r="T365" s="1032">
        <v>645</v>
      </c>
      <c r="U365" s="1032">
        <v>6480</v>
      </c>
      <c r="V365" s="1032">
        <v>4.1795999999999998</v>
      </c>
      <c r="W365" s="1032">
        <v>180</v>
      </c>
      <c r="X365" s="1032">
        <v>9</v>
      </c>
      <c r="Y365" s="1032" t="s">
        <v>75</v>
      </c>
      <c r="Z365" s="1032" t="s">
        <v>75</v>
      </c>
      <c r="AA365" s="1032" t="s">
        <v>1788</v>
      </c>
      <c r="AB365" s="1033">
        <v>46098</v>
      </c>
      <c r="AC365" s="1032">
        <v>12</v>
      </c>
      <c r="AD365" s="1032" t="s">
        <v>1789</v>
      </c>
      <c r="AF365" s="1032" t="s">
        <v>1525</v>
      </c>
      <c r="AG365" s="1032" t="s">
        <v>123</v>
      </c>
      <c r="AH365" s="1032" t="s">
        <v>105</v>
      </c>
      <c r="AI365" s="1033">
        <v>46103</v>
      </c>
      <c r="AJ365" s="1033">
        <v>46107</v>
      </c>
      <c r="AK365" s="1033">
        <v>46107</v>
      </c>
      <c r="AL365" s="1033">
        <v>46150</v>
      </c>
      <c r="AM365" s="1033">
        <v>46148</v>
      </c>
      <c r="AN365" s="1033">
        <v>46148</v>
      </c>
      <c r="AO365" s="1032" t="s">
        <v>402</v>
      </c>
      <c r="AP365" s="1032" t="s">
        <v>1782</v>
      </c>
      <c r="AQ365" s="1032" t="s">
        <v>161</v>
      </c>
      <c r="AR365" s="1032" t="s">
        <v>1790</v>
      </c>
      <c r="AS365" s="1032" t="s">
        <v>1791</v>
      </c>
      <c r="AT365" s="1032" t="s">
        <v>1792</v>
      </c>
      <c r="AU365" s="1032">
        <v>41</v>
      </c>
      <c r="AW365" s="1033">
        <v>46148</v>
      </c>
      <c r="AX365" s="1032" t="s">
        <v>973</v>
      </c>
      <c r="AY365" s="1033">
        <v>46155</v>
      </c>
      <c r="AZ365" s="1032">
        <v>7</v>
      </c>
      <c r="BA365" s="1033">
        <v>46155</v>
      </c>
      <c r="BB365" s="1032">
        <v>2026</v>
      </c>
      <c r="BC365" s="1032">
        <v>5</v>
      </c>
      <c r="BD365" s="1032">
        <v>20</v>
      </c>
      <c r="BE365" s="1032">
        <v>36</v>
      </c>
      <c r="BF365" s="1032">
        <v>720</v>
      </c>
      <c r="BG365" s="1032" t="s">
        <v>108</v>
      </c>
      <c r="BH365" s="1032" t="s">
        <v>109</v>
      </c>
    </row>
    <row r="366" spans="1:60">
      <c r="A366" s="1032" t="s">
        <v>1793</v>
      </c>
      <c r="B366" s="1032" t="s">
        <v>1566</v>
      </c>
      <c r="C366" s="1032" t="s">
        <v>1567</v>
      </c>
      <c r="D366" s="1032" t="s">
        <v>63</v>
      </c>
      <c r="E366" s="1032" t="s">
        <v>64</v>
      </c>
      <c r="F366" s="1032" t="s">
        <v>100</v>
      </c>
      <c r="G366" s="1032" t="s">
        <v>402</v>
      </c>
      <c r="H366" s="1032" t="s">
        <v>67</v>
      </c>
      <c r="I366" s="1032" t="s">
        <v>689</v>
      </c>
      <c r="J366" s="1032" t="s">
        <v>1568</v>
      </c>
      <c r="M366" s="1032" t="s">
        <v>68</v>
      </c>
      <c r="N366" s="1032">
        <v>46097</v>
      </c>
      <c r="O366" s="1032" t="s">
        <v>284</v>
      </c>
      <c r="P366" s="1032" t="s">
        <v>1569</v>
      </c>
      <c r="Q366" s="1032" t="s">
        <v>1570</v>
      </c>
      <c r="R366" s="1032" t="s">
        <v>73</v>
      </c>
      <c r="S366" s="1032" t="s">
        <v>992</v>
      </c>
      <c r="T366" s="1032">
        <v>650</v>
      </c>
      <c r="U366" s="1032">
        <v>2880</v>
      </c>
      <c r="V366" s="1032">
        <v>1.8720000000000001</v>
      </c>
      <c r="W366" s="1032">
        <v>80</v>
      </c>
      <c r="X366" s="1032">
        <v>4</v>
      </c>
      <c r="Y366" s="1032" t="s">
        <v>75</v>
      </c>
      <c r="Z366" s="1032" t="s">
        <v>75</v>
      </c>
      <c r="AA366" s="1032" t="s">
        <v>1794</v>
      </c>
      <c r="AB366" s="1033">
        <v>46099</v>
      </c>
      <c r="AC366" s="1032">
        <v>12</v>
      </c>
      <c r="AD366" s="1032" t="s">
        <v>1795</v>
      </c>
      <c r="AF366" s="1032" t="s">
        <v>1525</v>
      </c>
      <c r="AG366" s="1032" t="s">
        <v>123</v>
      </c>
      <c r="AH366" s="1032" t="s">
        <v>105</v>
      </c>
      <c r="AI366" s="1033">
        <v>46103</v>
      </c>
      <c r="AJ366" s="1033">
        <v>46107</v>
      </c>
      <c r="AK366" s="1033">
        <v>46107</v>
      </c>
      <c r="AL366" s="1033">
        <v>46150</v>
      </c>
      <c r="AM366" s="1033">
        <v>46148</v>
      </c>
      <c r="AN366" s="1033">
        <v>46148</v>
      </c>
      <c r="AO366" s="1032" t="s">
        <v>402</v>
      </c>
      <c r="AP366" s="1032" t="s">
        <v>1782</v>
      </c>
      <c r="AQ366" s="1032" t="s">
        <v>161</v>
      </c>
      <c r="AR366" s="1032" t="s">
        <v>1796</v>
      </c>
      <c r="AS366" s="1032" t="s">
        <v>1797</v>
      </c>
      <c r="AT366" s="1032" t="s">
        <v>1798</v>
      </c>
      <c r="AU366" s="1032">
        <v>41</v>
      </c>
      <c r="AW366" s="1033">
        <v>46148</v>
      </c>
      <c r="AX366" s="1032" t="s">
        <v>973</v>
      </c>
      <c r="AY366" s="1033">
        <v>46163</v>
      </c>
      <c r="AZ366" s="1032">
        <v>7</v>
      </c>
      <c r="BA366" s="1033">
        <v>46155</v>
      </c>
      <c r="BB366" s="1032">
        <v>2026</v>
      </c>
      <c r="BC366" s="1032">
        <v>5</v>
      </c>
      <c r="BD366" s="1032">
        <v>20</v>
      </c>
      <c r="BE366" s="1032">
        <v>36</v>
      </c>
      <c r="BF366" s="1032">
        <v>720</v>
      </c>
      <c r="BG366" s="1032" t="s">
        <v>108</v>
      </c>
      <c r="BH366" s="1032" t="s">
        <v>109</v>
      </c>
    </row>
    <row r="367" spans="1:60">
      <c r="A367" s="1032" t="s">
        <v>1799</v>
      </c>
      <c r="B367" s="1032" t="s">
        <v>1566</v>
      </c>
      <c r="C367" s="1032" t="s">
        <v>1583</v>
      </c>
      <c r="D367" s="1032" t="s">
        <v>63</v>
      </c>
      <c r="E367" s="1032" t="s">
        <v>64</v>
      </c>
      <c r="F367" s="1032" t="s">
        <v>100</v>
      </c>
      <c r="G367" s="1032" t="s">
        <v>402</v>
      </c>
      <c r="H367" s="1032" t="s">
        <v>67</v>
      </c>
      <c r="I367" s="1032" t="s">
        <v>689</v>
      </c>
      <c r="J367" s="1032" t="s">
        <v>1568</v>
      </c>
      <c r="M367" s="1032" t="s">
        <v>68</v>
      </c>
      <c r="N367" s="1032" t="s">
        <v>68</v>
      </c>
      <c r="O367" s="1032" t="s">
        <v>284</v>
      </c>
      <c r="P367" s="1032" t="s">
        <v>1584</v>
      </c>
      <c r="Q367" s="1032" t="s">
        <v>1585</v>
      </c>
      <c r="R367" s="1032" t="s">
        <v>73</v>
      </c>
      <c r="S367" s="1032" t="s">
        <v>992</v>
      </c>
      <c r="T367" s="1032">
        <v>645</v>
      </c>
      <c r="U367" s="1032">
        <v>3600</v>
      </c>
      <c r="V367" s="1032">
        <v>2.3220000000000001</v>
      </c>
      <c r="W367" s="1032">
        <v>100</v>
      </c>
      <c r="X367" s="1032">
        <v>5</v>
      </c>
      <c r="Y367" s="1032" t="s">
        <v>75</v>
      </c>
      <c r="Z367" s="1032" t="s">
        <v>75</v>
      </c>
      <c r="AB367" s="1033">
        <v>46099</v>
      </c>
      <c r="AC367" s="1032">
        <v>12</v>
      </c>
      <c r="AD367" s="1032" t="s">
        <v>1800</v>
      </c>
      <c r="AF367" s="1032" t="s">
        <v>1525</v>
      </c>
      <c r="AG367" s="1032" t="s">
        <v>123</v>
      </c>
      <c r="AH367" s="1032" t="s">
        <v>105</v>
      </c>
      <c r="AI367" s="1033">
        <v>46103</v>
      </c>
      <c r="AJ367" s="1033">
        <v>46107</v>
      </c>
      <c r="AK367" s="1033">
        <v>46107</v>
      </c>
      <c r="AL367" s="1033">
        <v>46150</v>
      </c>
      <c r="AM367" s="1033">
        <v>46148</v>
      </c>
      <c r="AN367" s="1033">
        <v>46148</v>
      </c>
      <c r="AO367" s="1032" t="s">
        <v>402</v>
      </c>
      <c r="AP367" s="1032" t="s">
        <v>1782</v>
      </c>
      <c r="AQ367" s="1032" t="s">
        <v>161</v>
      </c>
      <c r="AR367" s="1032" t="s">
        <v>1796</v>
      </c>
      <c r="AS367" s="1032" t="s">
        <v>1797</v>
      </c>
      <c r="AT367" s="1032" t="s">
        <v>1798</v>
      </c>
      <c r="AU367" s="1032">
        <v>41</v>
      </c>
      <c r="AW367" s="1033">
        <v>46148</v>
      </c>
      <c r="AX367" s="1032" t="s">
        <v>973</v>
      </c>
      <c r="AY367" s="1033">
        <v>46155</v>
      </c>
      <c r="AZ367" s="1032">
        <v>7</v>
      </c>
      <c r="BA367" s="1033">
        <v>46155</v>
      </c>
      <c r="BB367" s="1032">
        <v>2026</v>
      </c>
      <c r="BC367" s="1032">
        <v>5</v>
      </c>
      <c r="BD367" s="1032">
        <v>20</v>
      </c>
      <c r="BE367" s="1032">
        <v>36</v>
      </c>
      <c r="BF367" s="1032">
        <v>720</v>
      </c>
      <c r="BG367" s="1032" t="s">
        <v>108</v>
      </c>
      <c r="BH367" s="1032" t="s">
        <v>109</v>
      </c>
    </row>
    <row r="368" spans="1:60">
      <c r="A368" s="1032" t="s">
        <v>1801</v>
      </c>
      <c r="B368" s="1032" t="s">
        <v>1802</v>
      </c>
      <c r="C368" s="1032" t="s">
        <v>1803</v>
      </c>
      <c r="D368" s="1032" t="s">
        <v>113</v>
      </c>
      <c r="E368" s="1032" t="s">
        <v>144</v>
      </c>
      <c r="F368" s="1032" t="s">
        <v>145</v>
      </c>
      <c r="G368" s="1032" t="s">
        <v>402</v>
      </c>
      <c r="H368" s="1032" t="s">
        <v>1449</v>
      </c>
      <c r="I368" s="1032" t="s">
        <v>822</v>
      </c>
      <c r="J368" s="1032" t="s">
        <v>1804</v>
      </c>
      <c r="K368" s="1032" t="s">
        <v>1805</v>
      </c>
      <c r="M368" s="1032" t="s">
        <v>840</v>
      </c>
      <c r="N368" s="1032">
        <v>46097</v>
      </c>
      <c r="O368" s="1032" t="s">
        <v>70</v>
      </c>
      <c r="P368" s="1032" t="s">
        <v>1806</v>
      </c>
      <c r="Q368" s="1032" t="s">
        <v>1807</v>
      </c>
      <c r="R368" s="1032" t="s">
        <v>331</v>
      </c>
      <c r="S368" s="1032" t="s">
        <v>1808</v>
      </c>
      <c r="T368" s="1032">
        <v>720</v>
      </c>
      <c r="U368" s="1032">
        <v>3564</v>
      </c>
      <c r="V368" s="1032">
        <v>2.5660799999999999</v>
      </c>
      <c r="W368" s="1032">
        <v>108</v>
      </c>
      <c r="X368" s="1032">
        <v>6</v>
      </c>
      <c r="Y368" s="1032" t="s">
        <v>75</v>
      </c>
      <c r="Z368" s="1032" t="s">
        <v>75</v>
      </c>
      <c r="AA368" s="1032" t="s">
        <v>1809</v>
      </c>
      <c r="AB368" s="1033">
        <v>46097</v>
      </c>
      <c r="AC368" s="1032">
        <v>12</v>
      </c>
      <c r="AD368" s="1032" t="s">
        <v>1810</v>
      </c>
      <c r="AF368" s="1032" t="s">
        <v>1525</v>
      </c>
      <c r="AG368" s="1032" t="s">
        <v>123</v>
      </c>
      <c r="AH368" s="1032" t="s">
        <v>105</v>
      </c>
      <c r="AI368" s="1033">
        <v>46101</v>
      </c>
      <c r="AJ368" s="1033">
        <v>46101</v>
      </c>
      <c r="AK368" s="1033">
        <v>46101</v>
      </c>
      <c r="AL368" s="1033">
        <v>46139</v>
      </c>
      <c r="AM368" s="1033">
        <v>46143</v>
      </c>
      <c r="AN368" s="1033">
        <v>46143</v>
      </c>
      <c r="AO368" s="1032" t="s">
        <v>402</v>
      </c>
      <c r="AP368" s="1032" t="s">
        <v>1811</v>
      </c>
      <c r="AQ368" s="1032" t="s">
        <v>161</v>
      </c>
      <c r="AR368" s="1032" t="s">
        <v>1812</v>
      </c>
      <c r="AS368" s="1032">
        <v>285716532</v>
      </c>
      <c r="AT368" s="1032">
        <v>285716532</v>
      </c>
      <c r="AU368" s="1032">
        <v>42</v>
      </c>
      <c r="AW368" s="1033">
        <v>46143</v>
      </c>
      <c r="AX368" s="1032" t="s">
        <v>973</v>
      </c>
      <c r="AY368" s="1033">
        <v>46152</v>
      </c>
      <c r="AZ368" s="1032">
        <v>0</v>
      </c>
      <c r="BA368" s="1033">
        <v>46143</v>
      </c>
      <c r="BB368" s="1032">
        <v>2026</v>
      </c>
      <c r="BC368" s="1032">
        <v>5</v>
      </c>
      <c r="BD368" s="1032">
        <v>18</v>
      </c>
      <c r="BE368" s="1032">
        <v>33</v>
      </c>
      <c r="BF368" s="1032">
        <v>594</v>
      </c>
      <c r="BG368" s="1032" t="s">
        <v>94</v>
      </c>
      <c r="BH368" s="1032" t="s">
        <v>109</v>
      </c>
    </row>
    <row r="369" spans="1:60">
      <c r="A369" s="1032" t="s">
        <v>1813</v>
      </c>
      <c r="B369" s="1032" t="s">
        <v>1802</v>
      </c>
      <c r="C369" s="1032" t="s">
        <v>1803</v>
      </c>
      <c r="D369" s="1032" t="s">
        <v>113</v>
      </c>
      <c r="E369" s="1032" t="s">
        <v>144</v>
      </c>
      <c r="F369" s="1032" t="s">
        <v>145</v>
      </c>
      <c r="G369" s="1032" t="s">
        <v>402</v>
      </c>
      <c r="H369" s="1032" t="s">
        <v>1449</v>
      </c>
      <c r="I369" s="1032" t="s">
        <v>822</v>
      </c>
      <c r="J369" s="1032" t="s">
        <v>1814</v>
      </c>
      <c r="K369" s="1032" t="s">
        <v>1805</v>
      </c>
      <c r="M369" s="1032" t="s">
        <v>840</v>
      </c>
      <c r="N369" s="1032">
        <v>46097</v>
      </c>
      <c r="O369" s="1032" t="s">
        <v>70</v>
      </c>
      <c r="P369" s="1032" t="s">
        <v>1806</v>
      </c>
      <c r="Q369" s="1032" t="s">
        <v>1807</v>
      </c>
      <c r="R369" s="1032" t="s">
        <v>331</v>
      </c>
      <c r="S369" s="1032" t="s">
        <v>1808</v>
      </c>
      <c r="T369" s="1032">
        <v>720</v>
      </c>
      <c r="U369" s="1032">
        <v>4158</v>
      </c>
      <c r="V369" s="1032">
        <v>2.99376</v>
      </c>
      <c r="W369" s="1032">
        <v>126</v>
      </c>
      <c r="X369" s="1032">
        <v>7</v>
      </c>
      <c r="Y369" s="1032" t="s">
        <v>75</v>
      </c>
      <c r="Z369" s="1032" t="s">
        <v>75</v>
      </c>
      <c r="AA369" s="1032" t="s">
        <v>1809</v>
      </c>
      <c r="AB369" s="1033">
        <v>46096</v>
      </c>
      <c r="AC369" s="1032">
        <v>11</v>
      </c>
      <c r="AD369" s="1032" t="s">
        <v>1815</v>
      </c>
      <c r="AF369" s="1032" t="s">
        <v>1525</v>
      </c>
      <c r="AG369" s="1032" t="s">
        <v>123</v>
      </c>
      <c r="AH369" s="1032" t="s">
        <v>105</v>
      </c>
      <c r="AI369" s="1033">
        <v>46101</v>
      </c>
      <c r="AJ369" s="1033">
        <v>46101</v>
      </c>
      <c r="AK369" s="1033">
        <v>46101</v>
      </c>
      <c r="AL369" s="1033">
        <v>46139</v>
      </c>
      <c r="AM369" s="1033">
        <v>46143</v>
      </c>
      <c r="AN369" s="1033">
        <v>46143</v>
      </c>
      <c r="AO369" s="1032" t="s">
        <v>402</v>
      </c>
      <c r="AP369" s="1032" t="s">
        <v>1811</v>
      </c>
      <c r="AQ369" s="1032" t="s">
        <v>161</v>
      </c>
      <c r="AR369" s="1032" t="s">
        <v>1812</v>
      </c>
      <c r="AS369" s="1032">
        <v>285716532</v>
      </c>
      <c r="AT369" s="1032">
        <v>285716532</v>
      </c>
      <c r="AU369" s="1032">
        <v>42</v>
      </c>
      <c r="AW369" s="1033">
        <v>46143</v>
      </c>
      <c r="AX369" s="1032" t="s">
        <v>973</v>
      </c>
      <c r="AY369" s="1033">
        <v>46152</v>
      </c>
      <c r="AZ369" s="1032">
        <v>0</v>
      </c>
      <c r="BA369" s="1033">
        <v>46143</v>
      </c>
      <c r="BB369" s="1032">
        <v>2026</v>
      </c>
      <c r="BC369" s="1032">
        <v>5</v>
      </c>
      <c r="BD369" s="1032">
        <v>18</v>
      </c>
      <c r="BE369" s="1032">
        <v>33</v>
      </c>
      <c r="BF369" s="1032">
        <v>594</v>
      </c>
      <c r="BG369" s="1032" t="s">
        <v>94</v>
      </c>
      <c r="BH369" s="1032" t="s">
        <v>109</v>
      </c>
    </row>
    <row r="370" spans="1:60">
      <c r="A370" s="1032" t="s">
        <v>1816</v>
      </c>
      <c r="B370" s="1032" t="s">
        <v>1802</v>
      </c>
      <c r="C370" s="1032" t="s">
        <v>1803</v>
      </c>
      <c r="D370" s="1032" t="s">
        <v>113</v>
      </c>
      <c r="E370" s="1032" t="s">
        <v>144</v>
      </c>
      <c r="F370" s="1032" t="s">
        <v>145</v>
      </c>
      <c r="G370" s="1032" t="s">
        <v>402</v>
      </c>
      <c r="H370" s="1032" t="s">
        <v>1449</v>
      </c>
      <c r="I370" s="1032" t="s">
        <v>822</v>
      </c>
      <c r="J370" s="1032" t="s">
        <v>1817</v>
      </c>
      <c r="K370" s="1032" t="s">
        <v>1805</v>
      </c>
      <c r="M370" s="1032" t="s">
        <v>840</v>
      </c>
      <c r="N370" s="1032">
        <v>46097</v>
      </c>
      <c r="O370" s="1032" t="s">
        <v>70</v>
      </c>
      <c r="P370" s="1032" t="s">
        <v>1806</v>
      </c>
      <c r="Q370" s="1032" t="s">
        <v>1807</v>
      </c>
      <c r="R370" s="1032" t="s">
        <v>331</v>
      </c>
      <c r="S370" s="1032" t="s">
        <v>1808</v>
      </c>
      <c r="T370" s="1032">
        <v>720</v>
      </c>
      <c r="U370" s="1032">
        <v>5940</v>
      </c>
      <c r="V370" s="1032">
        <v>4.2767999999999997</v>
      </c>
      <c r="W370" s="1032">
        <v>180</v>
      </c>
      <c r="X370" s="1032">
        <v>10</v>
      </c>
      <c r="Y370" s="1032" t="s">
        <v>75</v>
      </c>
      <c r="Z370" s="1032" t="s">
        <v>75</v>
      </c>
      <c r="AA370" s="1032" t="s">
        <v>1809</v>
      </c>
      <c r="AB370" s="1033">
        <v>46101</v>
      </c>
      <c r="AC370" s="1032">
        <v>12</v>
      </c>
      <c r="AD370" s="1032" t="s">
        <v>1818</v>
      </c>
      <c r="AF370" s="1032" t="s">
        <v>122</v>
      </c>
      <c r="AG370" s="1032" t="s">
        <v>123</v>
      </c>
      <c r="AH370" s="1032" t="s">
        <v>105</v>
      </c>
      <c r="AI370" s="1033">
        <v>46105</v>
      </c>
      <c r="AJ370" s="1033">
        <v>46115</v>
      </c>
      <c r="AK370" s="1033">
        <v>46111</v>
      </c>
      <c r="AL370" s="1033">
        <v>46147</v>
      </c>
      <c r="AM370" s="1033">
        <v>46166</v>
      </c>
      <c r="AN370" s="1033">
        <v>46167</v>
      </c>
      <c r="AO370" s="1032" t="s">
        <v>402</v>
      </c>
      <c r="AP370" s="1032" t="s">
        <v>1819</v>
      </c>
      <c r="AQ370" s="1032" t="s">
        <v>161</v>
      </c>
      <c r="AR370" s="1032" t="s">
        <v>1820</v>
      </c>
      <c r="AS370" s="1032" t="s">
        <v>1821</v>
      </c>
      <c r="AT370" s="1032" t="s">
        <v>1821</v>
      </c>
      <c r="AU370" s="1032">
        <v>56</v>
      </c>
      <c r="AW370" s="1033">
        <v>46167</v>
      </c>
      <c r="AX370" s="1032" t="s">
        <v>973</v>
      </c>
      <c r="AY370" s="1033">
        <v>46160</v>
      </c>
      <c r="AZ370" s="1032">
        <v>0</v>
      </c>
      <c r="BA370" s="1033">
        <v>46167</v>
      </c>
      <c r="BB370" s="1032">
        <v>2026</v>
      </c>
      <c r="BC370" s="1032">
        <v>5</v>
      </c>
      <c r="BD370" s="1032">
        <v>22</v>
      </c>
      <c r="BE370" s="1032">
        <v>33</v>
      </c>
      <c r="BF370" s="1032">
        <v>594</v>
      </c>
      <c r="BG370" s="1032" t="s">
        <v>94</v>
      </c>
      <c r="BH370" s="1032" t="s">
        <v>109</v>
      </c>
    </row>
    <row r="371" spans="1:60">
      <c r="A371" s="1032" t="s">
        <v>1822</v>
      </c>
      <c r="B371" s="1032" t="s">
        <v>1802</v>
      </c>
      <c r="C371" s="1032" t="s">
        <v>1803</v>
      </c>
      <c r="D371" s="1032" t="s">
        <v>113</v>
      </c>
      <c r="E371" s="1032" t="s">
        <v>144</v>
      </c>
      <c r="F371" s="1032" t="s">
        <v>145</v>
      </c>
      <c r="G371" s="1032" t="s">
        <v>402</v>
      </c>
      <c r="H371" s="1032" t="s">
        <v>1449</v>
      </c>
      <c r="I371" s="1032" t="s">
        <v>822</v>
      </c>
      <c r="J371" s="1032" t="s">
        <v>1823</v>
      </c>
      <c r="K371" s="1032" t="s">
        <v>1805</v>
      </c>
      <c r="M371" s="1032" t="s">
        <v>840</v>
      </c>
      <c r="N371" s="1032">
        <v>46097</v>
      </c>
      <c r="O371" s="1032" t="s">
        <v>70</v>
      </c>
      <c r="P371" s="1032" t="s">
        <v>1806</v>
      </c>
      <c r="Q371" s="1032" t="s">
        <v>1807</v>
      </c>
      <c r="R371" s="1032" t="s">
        <v>331</v>
      </c>
      <c r="S371" s="1032" t="s">
        <v>1808</v>
      </c>
      <c r="T371" s="1032">
        <v>720</v>
      </c>
      <c r="U371" s="1032">
        <v>5346</v>
      </c>
      <c r="V371" s="1032">
        <v>3.8491200000000001</v>
      </c>
      <c r="W371" s="1032">
        <v>162</v>
      </c>
      <c r="X371" s="1032">
        <v>9</v>
      </c>
      <c r="Y371" s="1032" t="s">
        <v>75</v>
      </c>
      <c r="Z371" s="1032" t="s">
        <v>75</v>
      </c>
      <c r="AA371" s="1032" t="s">
        <v>1809</v>
      </c>
      <c r="AB371" s="1033">
        <v>46100</v>
      </c>
      <c r="AC371" s="1032">
        <v>12</v>
      </c>
      <c r="AD371" s="1032" t="s">
        <v>1824</v>
      </c>
      <c r="AF371" s="1032" t="s">
        <v>122</v>
      </c>
      <c r="AG371" s="1032" t="s">
        <v>123</v>
      </c>
      <c r="AH371" s="1032" t="s">
        <v>105</v>
      </c>
      <c r="AI371" s="1033">
        <v>46105</v>
      </c>
      <c r="AJ371" s="1033">
        <v>46115</v>
      </c>
      <c r="AK371" s="1033">
        <v>46111</v>
      </c>
      <c r="AL371" s="1033">
        <v>46147</v>
      </c>
      <c r="AM371" s="1033">
        <v>46166</v>
      </c>
      <c r="AN371" s="1033">
        <v>46167</v>
      </c>
      <c r="AO371" s="1032" t="s">
        <v>402</v>
      </c>
      <c r="AP371" s="1032" t="s">
        <v>1819</v>
      </c>
      <c r="AQ371" s="1032" t="s">
        <v>161</v>
      </c>
      <c r="AR371" s="1032" t="s">
        <v>1820</v>
      </c>
      <c r="AS371" s="1032" t="s">
        <v>1821</v>
      </c>
      <c r="AT371" s="1032" t="s">
        <v>1821</v>
      </c>
      <c r="AU371" s="1032">
        <v>56</v>
      </c>
      <c r="AW371" s="1033">
        <v>46167</v>
      </c>
      <c r="AX371" s="1032" t="s">
        <v>973</v>
      </c>
      <c r="AY371" s="1033">
        <v>46160</v>
      </c>
      <c r="AZ371" s="1032">
        <v>0</v>
      </c>
      <c r="BA371" s="1033">
        <v>46167</v>
      </c>
      <c r="BB371" s="1032">
        <v>2026</v>
      </c>
      <c r="BC371" s="1032">
        <v>5</v>
      </c>
      <c r="BD371" s="1032">
        <v>22</v>
      </c>
      <c r="BE371" s="1032">
        <v>33</v>
      </c>
      <c r="BF371" s="1032">
        <v>594</v>
      </c>
      <c r="BG371" s="1032" t="s">
        <v>94</v>
      </c>
      <c r="BH371" s="1032" t="s">
        <v>109</v>
      </c>
    </row>
    <row r="372" spans="1:60">
      <c r="A372" s="1032" t="s">
        <v>1825</v>
      </c>
      <c r="B372" s="1032" t="s">
        <v>1802</v>
      </c>
      <c r="C372" s="1032" t="s">
        <v>1803</v>
      </c>
      <c r="D372" s="1032" t="s">
        <v>113</v>
      </c>
      <c r="E372" s="1032" t="s">
        <v>144</v>
      </c>
      <c r="F372" s="1032" t="s">
        <v>145</v>
      </c>
      <c r="G372" s="1032" t="s">
        <v>402</v>
      </c>
      <c r="H372" s="1032" t="s">
        <v>1449</v>
      </c>
      <c r="I372" s="1032" t="s">
        <v>822</v>
      </c>
      <c r="J372" s="1032" t="s">
        <v>1826</v>
      </c>
      <c r="K372" s="1032" t="s">
        <v>1805</v>
      </c>
      <c r="M372" s="1032" t="s">
        <v>840</v>
      </c>
      <c r="N372" s="1032">
        <v>46097</v>
      </c>
      <c r="O372" s="1032" t="s">
        <v>70</v>
      </c>
      <c r="P372" s="1032" t="s">
        <v>1806</v>
      </c>
      <c r="Q372" s="1032" t="s">
        <v>1807</v>
      </c>
      <c r="R372" s="1032" t="s">
        <v>331</v>
      </c>
      <c r="S372" s="1032" t="s">
        <v>1808</v>
      </c>
      <c r="T372" s="1032">
        <v>720</v>
      </c>
      <c r="U372" s="1032">
        <v>4752</v>
      </c>
      <c r="V372" s="1032">
        <v>3.42144</v>
      </c>
      <c r="W372" s="1032">
        <v>144</v>
      </c>
      <c r="X372" s="1032">
        <v>8</v>
      </c>
      <c r="Y372" s="1032" t="s">
        <v>75</v>
      </c>
      <c r="Z372" s="1032" t="s">
        <v>75</v>
      </c>
      <c r="AA372" s="1032" t="s">
        <v>1809</v>
      </c>
      <c r="AB372" s="1033">
        <v>46099</v>
      </c>
      <c r="AC372" s="1032">
        <v>12</v>
      </c>
      <c r="AD372" s="1032" t="s">
        <v>1827</v>
      </c>
      <c r="AF372" s="1032" t="s">
        <v>1525</v>
      </c>
      <c r="AG372" s="1032" t="s">
        <v>123</v>
      </c>
      <c r="AH372" s="1032" t="s">
        <v>105</v>
      </c>
      <c r="AI372" s="1033">
        <v>46105</v>
      </c>
      <c r="AJ372" s="1033">
        <v>46107</v>
      </c>
      <c r="AK372" s="1033">
        <v>46107</v>
      </c>
      <c r="AL372" s="1033">
        <v>46150</v>
      </c>
      <c r="AM372" s="1033">
        <v>46148</v>
      </c>
      <c r="AN372" s="1033">
        <v>46148</v>
      </c>
      <c r="AO372" s="1032" t="s">
        <v>402</v>
      </c>
      <c r="AP372" s="1032" t="s">
        <v>1782</v>
      </c>
      <c r="AQ372" s="1032" t="s">
        <v>161</v>
      </c>
      <c r="AR372" s="1032" t="s">
        <v>1828</v>
      </c>
      <c r="AS372" s="1032" t="s">
        <v>1829</v>
      </c>
      <c r="AT372" s="1032" t="s">
        <v>1830</v>
      </c>
      <c r="AU372" s="1032">
        <v>41</v>
      </c>
      <c r="AW372" s="1033">
        <v>46148</v>
      </c>
      <c r="AX372" s="1032" t="s">
        <v>973</v>
      </c>
      <c r="AY372" s="1033">
        <v>46163</v>
      </c>
      <c r="AZ372" s="1032">
        <v>0</v>
      </c>
      <c r="BA372" s="1033">
        <v>46148</v>
      </c>
      <c r="BB372" s="1032">
        <v>2026</v>
      </c>
      <c r="BC372" s="1032">
        <v>5</v>
      </c>
      <c r="BD372" s="1032">
        <v>19</v>
      </c>
      <c r="BE372" s="1032">
        <v>33</v>
      </c>
      <c r="BF372" s="1032">
        <v>594</v>
      </c>
      <c r="BG372" s="1032" t="s">
        <v>94</v>
      </c>
      <c r="BH372" s="1032" t="s">
        <v>109</v>
      </c>
    </row>
    <row r="373" spans="1:60">
      <c r="A373" s="1032" t="s">
        <v>1831</v>
      </c>
      <c r="B373" s="1032" t="s">
        <v>61</v>
      </c>
      <c r="C373" s="1032" t="s">
        <v>1286</v>
      </c>
      <c r="D373" s="1032" t="s">
        <v>63</v>
      </c>
      <c r="E373" s="1032" t="s">
        <v>64</v>
      </c>
      <c r="F373" s="1032" t="s">
        <v>450</v>
      </c>
      <c r="G373" s="1032" t="s">
        <v>402</v>
      </c>
      <c r="H373" s="1032" t="s">
        <v>451</v>
      </c>
      <c r="I373" s="1032" t="s">
        <v>689</v>
      </c>
      <c r="J373" s="1032" t="s">
        <v>1832</v>
      </c>
      <c r="M373" s="1032" t="s">
        <v>68</v>
      </c>
      <c r="N373" s="1032">
        <v>46097</v>
      </c>
      <c r="O373" s="1032" t="s">
        <v>70</v>
      </c>
      <c r="P373" s="1032" t="s">
        <v>1151</v>
      </c>
      <c r="Q373" s="1032" t="s">
        <v>421</v>
      </c>
      <c r="R373" s="1032" t="s">
        <v>73</v>
      </c>
      <c r="S373" s="1032" t="s">
        <v>967</v>
      </c>
      <c r="T373" s="1032">
        <v>505</v>
      </c>
      <c r="U373" s="1032">
        <v>1728</v>
      </c>
      <c r="V373" s="1032">
        <v>0.87263999999999997</v>
      </c>
      <c r="W373" s="1032">
        <v>48</v>
      </c>
      <c r="X373" s="1032">
        <v>2</v>
      </c>
      <c r="Y373" s="1032" t="s">
        <v>75</v>
      </c>
      <c r="Z373" s="1032" t="s">
        <v>75</v>
      </c>
      <c r="AA373" s="1032" t="s">
        <v>1456</v>
      </c>
      <c r="AB373" s="1033">
        <v>46096</v>
      </c>
      <c r="AC373" s="1032">
        <v>11</v>
      </c>
      <c r="AD373" s="1032" t="s">
        <v>1833</v>
      </c>
      <c r="AF373" s="1032" t="s">
        <v>77</v>
      </c>
      <c r="AG373" s="1032" t="s">
        <v>61</v>
      </c>
      <c r="AH373" s="1032" t="s">
        <v>456</v>
      </c>
      <c r="AI373" s="1033">
        <v>46102</v>
      </c>
      <c r="AJ373" s="1033">
        <v>46101</v>
      </c>
      <c r="AK373" s="1033">
        <v>46101</v>
      </c>
      <c r="AL373" s="1033">
        <v>46152</v>
      </c>
      <c r="AM373" s="1033">
        <v>46154</v>
      </c>
      <c r="AN373" s="1033">
        <v>46155</v>
      </c>
      <c r="AO373" s="1032" t="s">
        <v>402</v>
      </c>
      <c r="AP373" s="1032" t="s">
        <v>1834</v>
      </c>
      <c r="AQ373" s="1032" t="s">
        <v>161</v>
      </c>
      <c r="AR373" s="1032" t="s">
        <v>1835</v>
      </c>
      <c r="AS373" s="1032" t="s">
        <v>1836</v>
      </c>
      <c r="AT373" s="1032" t="s">
        <v>1836</v>
      </c>
      <c r="AU373" s="1032">
        <v>54</v>
      </c>
      <c r="AW373" s="1033">
        <v>46155</v>
      </c>
      <c r="AX373" s="1032" t="s">
        <v>973</v>
      </c>
      <c r="AY373" s="1033">
        <v>46166</v>
      </c>
      <c r="AZ373" s="1032">
        <v>7</v>
      </c>
      <c r="BA373" s="1033">
        <v>46162</v>
      </c>
      <c r="BB373" s="1032">
        <v>2026</v>
      </c>
      <c r="BC373" s="1032">
        <v>5</v>
      </c>
      <c r="BD373" s="1032">
        <v>21</v>
      </c>
      <c r="BE373" s="1032">
        <v>36</v>
      </c>
      <c r="BF373" s="1032">
        <v>864</v>
      </c>
      <c r="BG373" s="1032" t="s">
        <v>85</v>
      </c>
      <c r="BH373" s="1032" t="s">
        <v>109</v>
      </c>
    </row>
    <row r="374" spans="1:60">
      <c r="A374" s="1032" t="s">
        <v>1837</v>
      </c>
      <c r="B374" s="1032" t="s">
        <v>61</v>
      </c>
      <c r="C374" s="1032" t="s">
        <v>1838</v>
      </c>
      <c r="D374" s="1032" t="s">
        <v>63</v>
      </c>
      <c r="E374" s="1032" t="s">
        <v>64</v>
      </c>
      <c r="F374" s="1032" t="s">
        <v>65</v>
      </c>
      <c r="G374" s="1032" t="s">
        <v>402</v>
      </c>
      <c r="H374" s="1032" t="s">
        <v>67</v>
      </c>
      <c r="I374" s="1032" t="s">
        <v>869</v>
      </c>
      <c r="J374" s="1032" t="s">
        <v>690</v>
      </c>
      <c r="M374" s="1032" t="s">
        <v>68</v>
      </c>
      <c r="N374" s="1032">
        <v>46104</v>
      </c>
      <c r="O374" s="1032" t="s">
        <v>70</v>
      </c>
      <c r="P374" s="1032" t="s">
        <v>204</v>
      </c>
      <c r="Q374" s="1032" t="s">
        <v>205</v>
      </c>
      <c r="R374" s="1032" t="s">
        <v>73</v>
      </c>
      <c r="S374" s="1032" t="s">
        <v>967</v>
      </c>
      <c r="T374" s="1032">
        <v>455</v>
      </c>
      <c r="U374" s="1032">
        <v>936</v>
      </c>
      <c r="V374" s="1032">
        <v>0.42587999999999998</v>
      </c>
      <c r="W374" s="1032">
        <v>26</v>
      </c>
      <c r="X374" s="1032">
        <v>1</v>
      </c>
      <c r="Y374" s="1032" t="s">
        <v>75</v>
      </c>
      <c r="Z374" s="1032" t="s">
        <v>75</v>
      </c>
      <c r="AA374" s="1032" t="s">
        <v>1839</v>
      </c>
      <c r="AB374" s="1033">
        <v>46098</v>
      </c>
      <c r="AC374" s="1032">
        <v>12</v>
      </c>
      <c r="AD374" s="1032" t="s">
        <v>1840</v>
      </c>
      <c r="AF374" s="1032" t="s">
        <v>77</v>
      </c>
      <c r="AG374" s="1032" t="s">
        <v>61</v>
      </c>
      <c r="AH374" s="1032" t="s">
        <v>356</v>
      </c>
      <c r="AI374" s="1033">
        <v>46103</v>
      </c>
      <c r="AJ374" s="1033">
        <v>46103</v>
      </c>
      <c r="AK374" s="1033">
        <v>46103</v>
      </c>
      <c r="AL374" s="1033">
        <v>46154</v>
      </c>
      <c r="AM374" s="1033">
        <v>46161</v>
      </c>
      <c r="AN374" s="1033">
        <v>46162</v>
      </c>
      <c r="AO374" s="1032" t="s">
        <v>402</v>
      </c>
      <c r="AP374" s="1032" t="s">
        <v>937</v>
      </c>
      <c r="AQ374" s="1032" t="s">
        <v>80</v>
      </c>
      <c r="AR374" s="1032" t="s">
        <v>1841</v>
      </c>
      <c r="AS374" s="1032" t="s">
        <v>1842</v>
      </c>
      <c r="AT374" s="1032" t="s">
        <v>1842</v>
      </c>
      <c r="AU374" s="1032">
        <v>59</v>
      </c>
      <c r="AW374" s="1033">
        <v>46162</v>
      </c>
      <c r="AX374" s="1032" t="s">
        <v>973</v>
      </c>
      <c r="AY374" s="1033">
        <v>46175</v>
      </c>
      <c r="AZ374" s="1032">
        <v>8</v>
      </c>
      <c r="BA374" s="1033">
        <v>46170</v>
      </c>
      <c r="BB374" s="1032">
        <v>2026</v>
      </c>
      <c r="BC374" s="1032">
        <v>5</v>
      </c>
      <c r="BD374" s="1032">
        <v>22</v>
      </c>
      <c r="BE374" s="1032">
        <v>36</v>
      </c>
      <c r="BF374" s="1032">
        <v>936</v>
      </c>
      <c r="BG374" s="1032" t="s">
        <v>94</v>
      </c>
      <c r="BH374" s="1032" t="s">
        <v>109</v>
      </c>
    </row>
    <row r="375" spans="1:60">
      <c r="A375" s="1032" t="s">
        <v>1843</v>
      </c>
      <c r="B375" s="1032" t="s">
        <v>61</v>
      </c>
      <c r="C375" s="1032" t="s">
        <v>1838</v>
      </c>
      <c r="D375" s="1032" t="s">
        <v>63</v>
      </c>
      <c r="E375" s="1032" t="s">
        <v>64</v>
      </c>
      <c r="F375" s="1032" t="s">
        <v>65</v>
      </c>
      <c r="G375" s="1032" t="s">
        <v>402</v>
      </c>
      <c r="H375" s="1032" t="s">
        <v>67</v>
      </c>
      <c r="I375" s="1032" t="s">
        <v>869</v>
      </c>
      <c r="J375" s="1032" t="s">
        <v>96</v>
      </c>
      <c r="M375" s="1032" t="s">
        <v>68</v>
      </c>
      <c r="N375" s="1032">
        <v>46104</v>
      </c>
      <c r="O375" s="1032" t="s">
        <v>70</v>
      </c>
      <c r="P375" s="1032" t="s">
        <v>204</v>
      </c>
      <c r="Q375" s="1032" t="s">
        <v>205</v>
      </c>
      <c r="R375" s="1032" t="s">
        <v>73</v>
      </c>
      <c r="S375" s="1032" t="s">
        <v>967</v>
      </c>
      <c r="T375" s="1032">
        <v>455</v>
      </c>
      <c r="U375" s="1032">
        <v>1872</v>
      </c>
      <c r="V375" s="1032">
        <v>0.85175999999999996</v>
      </c>
      <c r="W375" s="1032">
        <v>52</v>
      </c>
      <c r="X375" s="1032">
        <v>2</v>
      </c>
      <c r="Y375" s="1032" t="s">
        <v>951</v>
      </c>
      <c r="Z375" s="1032" t="s">
        <v>75</v>
      </c>
      <c r="AA375" s="1032" t="s">
        <v>1839</v>
      </c>
      <c r="AB375" s="1033">
        <v>46098</v>
      </c>
      <c r="AC375" s="1032">
        <v>12</v>
      </c>
      <c r="AD375" s="1032" t="s">
        <v>1844</v>
      </c>
      <c r="AF375" s="1032" t="s">
        <v>77</v>
      </c>
      <c r="AG375" s="1032" t="s">
        <v>61</v>
      </c>
      <c r="AH375" s="1032" t="s">
        <v>78</v>
      </c>
      <c r="AI375" s="1033">
        <v>46103</v>
      </c>
      <c r="AJ375" s="1033">
        <v>46103</v>
      </c>
      <c r="AK375" s="1033">
        <v>46103</v>
      </c>
      <c r="AL375" s="1033">
        <v>46161</v>
      </c>
      <c r="AM375" s="1033">
        <v>46182</v>
      </c>
      <c r="AN375" s="1033">
        <v>46183</v>
      </c>
      <c r="AO375" s="1032" t="s">
        <v>402</v>
      </c>
      <c r="AP375" s="1032" t="s">
        <v>937</v>
      </c>
      <c r="AQ375" s="1032" t="s">
        <v>80</v>
      </c>
      <c r="AR375" s="1032" t="s">
        <v>1845</v>
      </c>
      <c r="AS375" s="1032" t="s">
        <v>1846</v>
      </c>
      <c r="AT375" s="1032" t="s">
        <v>1846</v>
      </c>
      <c r="AU375" s="1032">
        <v>80</v>
      </c>
      <c r="AW375" s="1033">
        <v>46183</v>
      </c>
      <c r="AX375" s="1032" t="s">
        <v>973</v>
      </c>
      <c r="AY375" s="1033">
        <v>46194</v>
      </c>
      <c r="AZ375" s="1032">
        <v>8</v>
      </c>
      <c r="BA375" s="1033">
        <v>46191</v>
      </c>
      <c r="BB375" s="1032">
        <v>2026</v>
      </c>
      <c r="BC375" s="1032">
        <v>6</v>
      </c>
      <c r="BD375" s="1032">
        <v>25</v>
      </c>
      <c r="BE375" s="1032">
        <v>36</v>
      </c>
      <c r="BF375" s="1032">
        <v>936</v>
      </c>
      <c r="BG375" s="1032" t="s">
        <v>94</v>
      </c>
      <c r="BH375" s="1032" t="s">
        <v>86</v>
      </c>
    </row>
    <row r="376" spans="1:60">
      <c r="A376" s="1032" t="s">
        <v>1847</v>
      </c>
      <c r="B376" s="1032" t="s">
        <v>61</v>
      </c>
      <c r="C376" s="1032" t="s">
        <v>1838</v>
      </c>
      <c r="D376" s="1032" t="s">
        <v>63</v>
      </c>
      <c r="E376" s="1032" t="s">
        <v>64</v>
      </c>
      <c r="F376" s="1032" t="s">
        <v>65</v>
      </c>
      <c r="G376" s="1032" t="s">
        <v>402</v>
      </c>
      <c r="H376" s="1032" t="s">
        <v>67</v>
      </c>
      <c r="I376" s="1032" t="s">
        <v>869</v>
      </c>
      <c r="J376" s="1032" t="s">
        <v>96</v>
      </c>
      <c r="M376" s="1032" t="s">
        <v>68</v>
      </c>
      <c r="N376" s="1032">
        <v>46104</v>
      </c>
      <c r="O376" s="1032" t="s">
        <v>70</v>
      </c>
      <c r="P376" s="1032" t="s">
        <v>204</v>
      </c>
      <c r="Q376" s="1032" t="s">
        <v>205</v>
      </c>
      <c r="R376" s="1032" t="s">
        <v>73</v>
      </c>
      <c r="S376" s="1032" t="s">
        <v>967</v>
      </c>
      <c r="T376" s="1032">
        <v>455</v>
      </c>
      <c r="U376" s="1032">
        <v>1872</v>
      </c>
      <c r="V376" s="1032">
        <v>0.85175999999999996</v>
      </c>
      <c r="W376" s="1032">
        <v>52</v>
      </c>
      <c r="X376" s="1032">
        <v>2</v>
      </c>
      <c r="Y376" s="1032" t="s">
        <v>951</v>
      </c>
      <c r="Z376" s="1032" t="s">
        <v>75</v>
      </c>
      <c r="AA376" s="1032" t="s">
        <v>1839</v>
      </c>
      <c r="AB376" s="1033">
        <v>46098</v>
      </c>
      <c r="AC376" s="1032">
        <v>12</v>
      </c>
      <c r="AD376" s="1032" t="s">
        <v>1848</v>
      </c>
      <c r="AF376" s="1032" t="s">
        <v>77</v>
      </c>
      <c r="AG376" s="1032" t="s">
        <v>61</v>
      </c>
      <c r="AH376" s="1032" t="s">
        <v>78</v>
      </c>
      <c r="AI376" s="1033">
        <v>46103</v>
      </c>
      <c r="AJ376" s="1033">
        <v>46103</v>
      </c>
      <c r="AK376" s="1033">
        <v>46103</v>
      </c>
      <c r="AL376" s="1033">
        <v>46161</v>
      </c>
      <c r="AM376" s="1033">
        <v>46182</v>
      </c>
      <c r="AN376" s="1033">
        <v>46183</v>
      </c>
      <c r="AO376" s="1032" t="s">
        <v>402</v>
      </c>
      <c r="AP376" s="1032" t="s">
        <v>937</v>
      </c>
      <c r="AQ376" s="1032" t="s">
        <v>80</v>
      </c>
      <c r="AR376" s="1032" t="s">
        <v>1845</v>
      </c>
      <c r="AS376" s="1032" t="s">
        <v>1846</v>
      </c>
      <c r="AT376" s="1032" t="s">
        <v>1846</v>
      </c>
      <c r="AU376" s="1032">
        <v>80</v>
      </c>
      <c r="AW376" s="1033">
        <v>46183</v>
      </c>
      <c r="AX376" s="1032" t="s">
        <v>973</v>
      </c>
      <c r="AY376" s="1033">
        <v>46195</v>
      </c>
      <c r="AZ376" s="1032">
        <v>8</v>
      </c>
      <c r="BA376" s="1033">
        <v>46191</v>
      </c>
      <c r="BB376" s="1032">
        <v>2026</v>
      </c>
      <c r="BC376" s="1032">
        <v>6</v>
      </c>
      <c r="BD376" s="1032">
        <v>25</v>
      </c>
      <c r="BE376" s="1032">
        <v>36</v>
      </c>
      <c r="BF376" s="1032">
        <v>936</v>
      </c>
      <c r="BG376" s="1032" t="s">
        <v>94</v>
      </c>
      <c r="BH376" s="1032" t="s">
        <v>86</v>
      </c>
    </row>
    <row r="377" spans="1:60">
      <c r="A377" s="1032" t="s">
        <v>1849</v>
      </c>
      <c r="B377" s="1032" t="s">
        <v>61</v>
      </c>
      <c r="C377" s="1032" t="s">
        <v>1838</v>
      </c>
      <c r="D377" s="1032" t="s">
        <v>63</v>
      </c>
      <c r="E377" s="1032" t="s">
        <v>64</v>
      </c>
      <c r="F377" s="1032" t="s">
        <v>65</v>
      </c>
      <c r="G377" s="1032" t="s">
        <v>402</v>
      </c>
      <c r="H377" s="1032" t="s">
        <v>67</v>
      </c>
      <c r="I377" s="1032" t="s">
        <v>869</v>
      </c>
      <c r="J377" s="1032" t="s">
        <v>690</v>
      </c>
      <c r="M377" s="1032" t="s">
        <v>68</v>
      </c>
      <c r="N377" s="1032">
        <v>46104</v>
      </c>
      <c r="O377" s="1032" t="s">
        <v>70</v>
      </c>
      <c r="P377" s="1032" t="s">
        <v>204</v>
      </c>
      <c r="Q377" s="1032" t="s">
        <v>205</v>
      </c>
      <c r="R377" s="1032" t="s">
        <v>73</v>
      </c>
      <c r="S377" s="1032" t="s">
        <v>967</v>
      </c>
      <c r="T377" s="1032">
        <v>455</v>
      </c>
      <c r="U377" s="1032">
        <v>1872</v>
      </c>
      <c r="V377" s="1032">
        <v>0.85175999999999996</v>
      </c>
      <c r="W377" s="1032">
        <v>52</v>
      </c>
      <c r="X377" s="1032">
        <v>2</v>
      </c>
      <c r="Y377" s="1032" t="s">
        <v>75</v>
      </c>
      <c r="Z377" s="1032" t="s">
        <v>75</v>
      </c>
      <c r="AB377" s="1033">
        <v>46098</v>
      </c>
      <c r="AC377" s="1032">
        <v>12</v>
      </c>
      <c r="AD377" s="1032" t="s">
        <v>1850</v>
      </c>
      <c r="AF377" s="1032" t="s">
        <v>77</v>
      </c>
      <c r="AG377" s="1032" t="s">
        <v>61</v>
      </c>
      <c r="AH377" s="1032" t="s">
        <v>78</v>
      </c>
      <c r="AI377" s="1033">
        <v>46103</v>
      </c>
      <c r="AJ377" s="1033">
        <v>46103</v>
      </c>
      <c r="AK377" s="1033">
        <v>46103</v>
      </c>
      <c r="AL377" s="1033">
        <v>46161</v>
      </c>
      <c r="AM377" s="1033">
        <v>46166</v>
      </c>
      <c r="AN377" s="1033">
        <v>46164</v>
      </c>
      <c r="AO377" s="1032" t="s">
        <v>402</v>
      </c>
      <c r="AP377" s="1032" t="s">
        <v>937</v>
      </c>
      <c r="AQ377" s="1032" t="s">
        <v>80</v>
      </c>
      <c r="AR377" s="1032" t="s">
        <v>1851</v>
      </c>
      <c r="AS377" s="1032" t="s">
        <v>1852</v>
      </c>
      <c r="AT377" s="1032" t="s">
        <v>1852</v>
      </c>
      <c r="AU377" s="1032">
        <v>61</v>
      </c>
      <c r="AW377" s="1033">
        <v>46164</v>
      </c>
      <c r="AX377" s="1032" t="s">
        <v>973</v>
      </c>
      <c r="AY377" s="1033">
        <v>46177</v>
      </c>
      <c r="AZ377" s="1032">
        <v>8</v>
      </c>
      <c r="BA377" s="1033">
        <v>46172</v>
      </c>
      <c r="BB377" s="1032">
        <v>2026</v>
      </c>
      <c r="BC377" s="1032">
        <v>5</v>
      </c>
      <c r="BD377" s="1032">
        <v>22</v>
      </c>
      <c r="BE377" s="1032">
        <v>36</v>
      </c>
      <c r="BF377" s="1032">
        <v>936</v>
      </c>
      <c r="BG377" s="1032" t="s">
        <v>94</v>
      </c>
      <c r="BH377" s="1032" t="s">
        <v>86</v>
      </c>
    </row>
    <row r="378" spans="1:60">
      <c r="A378" s="1032" t="s">
        <v>1853</v>
      </c>
      <c r="B378" s="1032" t="s">
        <v>1802</v>
      </c>
      <c r="C378" s="1032" t="s">
        <v>1803</v>
      </c>
      <c r="D378" s="1032" t="s">
        <v>113</v>
      </c>
      <c r="E378" s="1032" t="s">
        <v>144</v>
      </c>
      <c r="F378" s="1032" t="s">
        <v>145</v>
      </c>
      <c r="G378" s="1032" t="s">
        <v>402</v>
      </c>
      <c r="H378" s="1032" t="s">
        <v>1449</v>
      </c>
      <c r="I378" s="1032" t="s">
        <v>822</v>
      </c>
      <c r="J378" s="1032" t="s">
        <v>1854</v>
      </c>
      <c r="K378" s="1032" t="s">
        <v>1805</v>
      </c>
      <c r="M378" s="1032" t="s">
        <v>840</v>
      </c>
      <c r="N378" s="1032">
        <v>46097</v>
      </c>
      <c r="O378" s="1032" t="s">
        <v>70</v>
      </c>
      <c r="P378" s="1032" t="s">
        <v>1806</v>
      </c>
      <c r="Q378" s="1032" t="s">
        <v>1807</v>
      </c>
      <c r="R378" s="1032" t="s">
        <v>331</v>
      </c>
      <c r="S378" s="1032" t="s">
        <v>1808</v>
      </c>
      <c r="T378" s="1032">
        <v>720</v>
      </c>
      <c r="U378" s="1032">
        <v>1782</v>
      </c>
      <c r="V378" s="1032">
        <v>1.28304</v>
      </c>
      <c r="W378" s="1032">
        <v>54</v>
      </c>
      <c r="X378" s="1032">
        <v>3</v>
      </c>
      <c r="Y378" s="1032" t="s">
        <v>75</v>
      </c>
      <c r="Z378" s="1032" t="s">
        <v>75</v>
      </c>
      <c r="AA378" s="1032" t="s">
        <v>1809</v>
      </c>
      <c r="AB378" s="1033">
        <v>46106</v>
      </c>
      <c r="AC378" s="1032">
        <v>13</v>
      </c>
      <c r="AD378" s="1032" t="s">
        <v>1855</v>
      </c>
      <c r="AF378" s="1032" t="s">
        <v>945</v>
      </c>
      <c r="AG378" s="1032" t="s">
        <v>123</v>
      </c>
      <c r="AH378" s="1032" t="s">
        <v>105</v>
      </c>
      <c r="AI378" s="1033">
        <v>46110</v>
      </c>
      <c r="AJ378" s="1033">
        <v>46110</v>
      </c>
      <c r="AK378" s="1033">
        <v>46110</v>
      </c>
      <c r="AL378" s="1033">
        <v>46150</v>
      </c>
      <c r="AM378" s="1033">
        <v>46169</v>
      </c>
      <c r="AN378" s="1033">
        <v>46170</v>
      </c>
      <c r="AO378" s="1032" t="s">
        <v>402</v>
      </c>
      <c r="AP378" s="1032" t="s">
        <v>1720</v>
      </c>
      <c r="AQ378" s="1032" t="s">
        <v>80</v>
      </c>
      <c r="AR378" s="1032" t="s">
        <v>1856</v>
      </c>
      <c r="AS378" s="1032" t="s">
        <v>1857</v>
      </c>
      <c r="AT378" s="1032" t="s">
        <v>1857</v>
      </c>
      <c r="AU378" s="1032">
        <v>60</v>
      </c>
      <c r="AW378" s="1033">
        <v>46170</v>
      </c>
      <c r="AX378" s="1032" t="s">
        <v>973</v>
      </c>
      <c r="AY378" s="1033">
        <v>46163</v>
      </c>
      <c r="AZ378" s="1032">
        <v>0</v>
      </c>
      <c r="BA378" s="1033">
        <v>46170</v>
      </c>
      <c r="BB378" s="1032">
        <v>2026</v>
      </c>
      <c r="BC378" s="1032">
        <v>5</v>
      </c>
      <c r="BD378" s="1032">
        <v>22</v>
      </c>
      <c r="BE378" s="1032">
        <v>33</v>
      </c>
      <c r="BF378" s="1032">
        <v>594</v>
      </c>
      <c r="BG378" s="1032" t="s">
        <v>94</v>
      </c>
      <c r="BH378" s="1032" t="s">
        <v>109</v>
      </c>
    </row>
    <row r="379" spans="1:60">
      <c r="A379" s="1032" t="s">
        <v>1858</v>
      </c>
      <c r="B379" s="1032" t="s">
        <v>1802</v>
      </c>
      <c r="C379" s="1032" t="s">
        <v>1803</v>
      </c>
      <c r="D379" s="1032" t="s">
        <v>113</v>
      </c>
      <c r="E379" s="1032" t="s">
        <v>144</v>
      </c>
      <c r="F379" s="1032" t="s">
        <v>145</v>
      </c>
      <c r="G379" s="1032" t="s">
        <v>402</v>
      </c>
      <c r="H379" s="1032" t="s">
        <v>1449</v>
      </c>
      <c r="I379" s="1032" t="s">
        <v>822</v>
      </c>
      <c r="J379" s="1032" t="s">
        <v>1854</v>
      </c>
      <c r="K379" s="1032" t="s">
        <v>1805</v>
      </c>
      <c r="M379" s="1032" t="s">
        <v>840</v>
      </c>
      <c r="N379" s="1032">
        <v>46097</v>
      </c>
      <c r="O379" s="1032" t="s">
        <v>70</v>
      </c>
      <c r="P379" s="1032" t="s">
        <v>1806</v>
      </c>
      <c r="Q379" s="1032" t="s">
        <v>1807</v>
      </c>
      <c r="R379" s="1032" t="s">
        <v>331</v>
      </c>
      <c r="S379" s="1032" t="s">
        <v>1808</v>
      </c>
      <c r="T379" s="1032">
        <v>720</v>
      </c>
      <c r="U379" s="1032">
        <v>1188</v>
      </c>
      <c r="V379" s="1032">
        <v>0.85536000000000001</v>
      </c>
      <c r="W379" s="1032">
        <v>36</v>
      </c>
      <c r="X379" s="1032">
        <v>2</v>
      </c>
      <c r="Y379" s="1032" t="s">
        <v>75</v>
      </c>
      <c r="Z379" s="1032" t="s">
        <v>75</v>
      </c>
      <c r="AA379" s="1032" t="s">
        <v>1809</v>
      </c>
      <c r="AB379" s="1033">
        <v>46107</v>
      </c>
      <c r="AC379" s="1032">
        <v>13</v>
      </c>
      <c r="AD379" s="1032" t="s">
        <v>1859</v>
      </c>
      <c r="AF379" s="1032" t="s">
        <v>945</v>
      </c>
      <c r="AG379" s="1032" t="s">
        <v>123</v>
      </c>
      <c r="AH379" s="1032" t="s">
        <v>105</v>
      </c>
      <c r="AI379" s="1033">
        <v>46110</v>
      </c>
      <c r="AJ379" s="1033">
        <v>46112</v>
      </c>
      <c r="AK379" s="1033">
        <v>46112</v>
      </c>
      <c r="AL379" s="1033">
        <v>46147</v>
      </c>
      <c r="AM379" s="1033">
        <v>46154</v>
      </c>
      <c r="AN379" s="1033">
        <v>46157</v>
      </c>
      <c r="AO379" s="1032" t="s">
        <v>402</v>
      </c>
      <c r="AP379" s="1032" t="s">
        <v>937</v>
      </c>
      <c r="AQ379" s="1032" t="s">
        <v>80</v>
      </c>
      <c r="AR379" s="1032" t="s">
        <v>1860</v>
      </c>
      <c r="AS379" s="1032" t="s">
        <v>1861</v>
      </c>
      <c r="AT379" s="1032" t="s">
        <v>1861</v>
      </c>
      <c r="AU379" s="1032">
        <v>45</v>
      </c>
      <c r="AW379" s="1033">
        <v>46157</v>
      </c>
      <c r="AX379" s="1032" t="s">
        <v>973</v>
      </c>
      <c r="AY379" s="1033">
        <v>46160</v>
      </c>
      <c r="AZ379" s="1032">
        <v>0</v>
      </c>
      <c r="BA379" s="1033">
        <v>46157</v>
      </c>
      <c r="BB379" s="1032">
        <v>2026</v>
      </c>
      <c r="BC379" s="1032">
        <v>5</v>
      </c>
      <c r="BD379" s="1032">
        <v>20</v>
      </c>
      <c r="BE379" s="1032">
        <v>33</v>
      </c>
      <c r="BF379" s="1032">
        <v>594</v>
      </c>
      <c r="BG379" s="1032" t="s">
        <v>94</v>
      </c>
      <c r="BH379" s="1032" t="s">
        <v>109</v>
      </c>
    </row>
    <row r="380" spans="1:60">
      <c r="A380" s="1032" t="s">
        <v>1862</v>
      </c>
      <c r="B380" s="1032" t="s">
        <v>111</v>
      </c>
      <c r="C380" s="1032" t="s">
        <v>1091</v>
      </c>
      <c r="D380" s="1032" t="s">
        <v>63</v>
      </c>
      <c r="E380" s="1032" t="s">
        <v>64</v>
      </c>
      <c r="F380" s="1032" t="s">
        <v>100</v>
      </c>
      <c r="G380" s="1032" t="s">
        <v>402</v>
      </c>
      <c r="H380" s="1032" t="s">
        <v>67</v>
      </c>
      <c r="I380" s="1032" t="s">
        <v>689</v>
      </c>
      <c r="J380" s="1032" t="s">
        <v>293</v>
      </c>
      <c r="M380" s="1032" t="s">
        <v>68</v>
      </c>
      <c r="N380" s="1032" t="s">
        <v>68</v>
      </c>
      <c r="O380" s="1032" t="s">
        <v>132</v>
      </c>
      <c r="P380" s="1032" t="s">
        <v>189</v>
      </c>
      <c r="Q380" s="1032" t="s">
        <v>190</v>
      </c>
      <c r="R380" s="1032" t="s">
        <v>73</v>
      </c>
      <c r="S380" s="1032" t="s">
        <v>967</v>
      </c>
      <c r="T380" s="1032">
        <v>465</v>
      </c>
      <c r="U380" s="1032">
        <v>864</v>
      </c>
      <c r="V380" s="1032">
        <v>0.40176000000000001</v>
      </c>
      <c r="W380" s="1032">
        <v>24</v>
      </c>
      <c r="X380" s="1032">
        <v>1</v>
      </c>
      <c r="Y380" s="1032" t="s">
        <v>75</v>
      </c>
      <c r="Z380" s="1032" t="s">
        <v>75</v>
      </c>
      <c r="AB380" s="1033">
        <v>46103</v>
      </c>
      <c r="AC380" s="1032">
        <v>12</v>
      </c>
      <c r="AD380" s="1032" t="s">
        <v>1863</v>
      </c>
      <c r="AF380" s="1032" t="s">
        <v>1643</v>
      </c>
      <c r="AG380" s="1032" t="s">
        <v>123</v>
      </c>
      <c r="AH380" s="1032" t="s">
        <v>105</v>
      </c>
      <c r="AI380" s="1033">
        <v>46110</v>
      </c>
      <c r="AJ380" s="1033">
        <v>46112</v>
      </c>
      <c r="AK380" s="1033">
        <v>46112</v>
      </c>
      <c r="AL380" s="1033">
        <v>46147</v>
      </c>
      <c r="AM380" s="1033">
        <v>46154</v>
      </c>
      <c r="AN380" s="1033">
        <v>46157</v>
      </c>
      <c r="AO380" s="1032" t="s">
        <v>402</v>
      </c>
      <c r="AP380" s="1032" t="s">
        <v>937</v>
      </c>
      <c r="AQ380" s="1032" t="s">
        <v>80</v>
      </c>
      <c r="AR380" s="1032" t="s">
        <v>1864</v>
      </c>
      <c r="AS380" s="1032" t="s">
        <v>1865</v>
      </c>
      <c r="AT380" s="1032" t="s">
        <v>1866</v>
      </c>
      <c r="AU380" s="1032">
        <v>45</v>
      </c>
      <c r="AW380" s="1033">
        <v>46157</v>
      </c>
      <c r="AX380" s="1032" t="s">
        <v>973</v>
      </c>
      <c r="AY380" s="1033">
        <v>46166</v>
      </c>
      <c r="AZ380" s="1032">
        <v>7</v>
      </c>
      <c r="BA380" s="1033">
        <v>46164</v>
      </c>
      <c r="BB380" s="1032">
        <v>2026</v>
      </c>
      <c r="BC380" s="1032">
        <v>5</v>
      </c>
      <c r="BD380" s="1032">
        <v>21</v>
      </c>
      <c r="BE380" s="1032">
        <v>36</v>
      </c>
      <c r="BF380" s="1032">
        <v>864</v>
      </c>
      <c r="BG380" s="1032" t="s">
        <v>108</v>
      </c>
      <c r="BH380" s="1032" t="s">
        <v>109</v>
      </c>
    </row>
    <row r="381" spans="1:60">
      <c r="A381" s="1032" t="s">
        <v>1867</v>
      </c>
      <c r="B381" s="1032" t="s">
        <v>111</v>
      </c>
      <c r="C381" s="1032" t="s">
        <v>1091</v>
      </c>
      <c r="D381" s="1032" t="s">
        <v>63</v>
      </c>
      <c r="E381" s="1032" t="s">
        <v>144</v>
      </c>
      <c r="F381" s="1032" t="s">
        <v>145</v>
      </c>
      <c r="G381" s="1032" t="s">
        <v>402</v>
      </c>
      <c r="H381" s="1032" t="s">
        <v>1449</v>
      </c>
      <c r="I381" s="1032" t="s">
        <v>689</v>
      </c>
      <c r="J381" s="1032" t="s">
        <v>1450</v>
      </c>
      <c r="K381" s="1032" t="s">
        <v>1451</v>
      </c>
      <c r="L381" s="1032">
        <v>5</v>
      </c>
      <c r="M381" s="1032" t="s">
        <v>840</v>
      </c>
      <c r="N381" s="1032">
        <v>46069</v>
      </c>
      <c r="O381" s="1032" t="s">
        <v>132</v>
      </c>
      <c r="P381" s="1032" t="s">
        <v>189</v>
      </c>
      <c r="Q381" s="1032" t="s">
        <v>190</v>
      </c>
      <c r="R381" s="1032" t="s">
        <v>73</v>
      </c>
      <c r="S381" s="1032" t="s">
        <v>967</v>
      </c>
      <c r="T381" s="1032">
        <v>465</v>
      </c>
      <c r="U381" s="1032">
        <v>3456</v>
      </c>
      <c r="V381" s="1032">
        <v>1.60704</v>
      </c>
      <c r="W381" s="1032">
        <v>96</v>
      </c>
      <c r="X381" s="1032">
        <v>4</v>
      </c>
      <c r="Y381" s="1032" t="s">
        <v>75</v>
      </c>
      <c r="Z381" s="1032" t="s">
        <v>75</v>
      </c>
      <c r="AA381" s="1032" t="s">
        <v>1868</v>
      </c>
      <c r="AB381" s="1033">
        <v>46103</v>
      </c>
      <c r="AC381" s="1032">
        <v>12</v>
      </c>
      <c r="AD381" s="1032" t="s">
        <v>1869</v>
      </c>
      <c r="AF381" s="1032" t="s">
        <v>1643</v>
      </c>
      <c r="AG381" s="1032" t="s">
        <v>123</v>
      </c>
      <c r="AH381" s="1032" t="s">
        <v>105</v>
      </c>
      <c r="AI381" s="1033">
        <v>46110</v>
      </c>
      <c r="AJ381" s="1033">
        <v>46112</v>
      </c>
      <c r="AK381" s="1033">
        <v>46112</v>
      </c>
      <c r="AL381" s="1033">
        <v>46147</v>
      </c>
      <c r="AM381" s="1033">
        <v>46154</v>
      </c>
      <c r="AN381" s="1033">
        <v>46157</v>
      </c>
      <c r="AO381" s="1032" t="s">
        <v>402</v>
      </c>
      <c r="AP381" s="1032" t="s">
        <v>937</v>
      </c>
      <c r="AQ381" s="1032" t="s">
        <v>80</v>
      </c>
      <c r="AR381" s="1032" t="s">
        <v>1870</v>
      </c>
      <c r="AS381" s="1032" t="s">
        <v>1866</v>
      </c>
      <c r="AT381" s="1032" t="s">
        <v>1866</v>
      </c>
      <c r="AU381" s="1032">
        <v>45</v>
      </c>
      <c r="AW381" s="1033">
        <v>46157</v>
      </c>
      <c r="AX381" s="1032" t="s">
        <v>973</v>
      </c>
      <c r="AY381" s="1033">
        <v>46138</v>
      </c>
      <c r="AZ381" s="1032">
        <v>0</v>
      </c>
      <c r="BA381" s="1033">
        <v>46157</v>
      </c>
      <c r="BB381" s="1032">
        <v>2026</v>
      </c>
      <c r="BC381" s="1032">
        <v>5</v>
      </c>
      <c r="BD381" s="1032">
        <v>20</v>
      </c>
      <c r="BE381" s="1032">
        <v>36</v>
      </c>
      <c r="BF381" s="1032">
        <v>864</v>
      </c>
      <c r="BG381" s="1032" t="s">
        <v>108</v>
      </c>
      <c r="BH381" s="1032" t="s">
        <v>109</v>
      </c>
    </row>
    <row r="382" spans="1:60">
      <c r="A382" s="1032" t="s">
        <v>1871</v>
      </c>
      <c r="B382" s="1032" t="s">
        <v>111</v>
      </c>
      <c r="C382" s="1032" t="s">
        <v>1091</v>
      </c>
      <c r="D382" s="1032" t="s">
        <v>63</v>
      </c>
      <c r="E382" s="1032" t="s">
        <v>144</v>
      </c>
      <c r="F382" s="1032" t="s">
        <v>145</v>
      </c>
      <c r="G382" s="1032" t="s">
        <v>402</v>
      </c>
      <c r="H382" s="1032" t="s">
        <v>1449</v>
      </c>
      <c r="I382" s="1032" t="s">
        <v>689</v>
      </c>
      <c r="J382" s="1032" t="s">
        <v>1450</v>
      </c>
      <c r="K382" s="1032" t="s">
        <v>1451</v>
      </c>
      <c r="L382" s="1032">
        <v>10</v>
      </c>
      <c r="M382" s="1032" t="s">
        <v>840</v>
      </c>
      <c r="N382" s="1032">
        <v>46069</v>
      </c>
      <c r="O382" s="1032" t="s">
        <v>132</v>
      </c>
      <c r="P382" s="1032" t="s">
        <v>189</v>
      </c>
      <c r="Q382" s="1032" t="s">
        <v>190</v>
      </c>
      <c r="R382" s="1032" t="s">
        <v>73</v>
      </c>
      <c r="S382" s="1032" t="s">
        <v>967</v>
      </c>
      <c r="T382" s="1032">
        <v>465</v>
      </c>
      <c r="U382" s="1032">
        <v>864</v>
      </c>
      <c r="V382" s="1032">
        <v>0.40176000000000001</v>
      </c>
      <c r="W382" s="1032">
        <v>24</v>
      </c>
      <c r="X382" s="1032">
        <v>1</v>
      </c>
      <c r="Y382" s="1032" t="s">
        <v>75</v>
      </c>
      <c r="Z382" s="1032" t="s">
        <v>75</v>
      </c>
      <c r="AB382" s="1033">
        <v>46103</v>
      </c>
      <c r="AC382" s="1032">
        <v>12</v>
      </c>
      <c r="AD382" s="1032" t="s">
        <v>1872</v>
      </c>
      <c r="AF382" s="1032" t="s">
        <v>1643</v>
      </c>
      <c r="AG382" s="1032" t="s">
        <v>123</v>
      </c>
      <c r="AH382" s="1032" t="s">
        <v>105</v>
      </c>
      <c r="AI382" s="1033">
        <v>46110</v>
      </c>
      <c r="AJ382" s="1033">
        <v>46112</v>
      </c>
      <c r="AK382" s="1033">
        <v>46112</v>
      </c>
      <c r="AL382" s="1033">
        <v>46147</v>
      </c>
      <c r="AM382" s="1033">
        <v>46154</v>
      </c>
      <c r="AN382" s="1033">
        <v>46157</v>
      </c>
      <c r="AO382" s="1032" t="s">
        <v>402</v>
      </c>
      <c r="AP382" s="1032" t="s">
        <v>937</v>
      </c>
      <c r="AQ382" s="1032" t="s">
        <v>80</v>
      </c>
      <c r="AR382" s="1032" t="s">
        <v>1870</v>
      </c>
      <c r="AS382" s="1032" t="s">
        <v>1866</v>
      </c>
      <c r="AT382" s="1032" t="s">
        <v>1866</v>
      </c>
      <c r="AU382" s="1032">
        <v>45</v>
      </c>
      <c r="AW382" s="1033">
        <v>46157</v>
      </c>
      <c r="AX382" s="1032" t="s">
        <v>973</v>
      </c>
      <c r="AY382" s="1033">
        <v>46166</v>
      </c>
      <c r="AZ382" s="1032">
        <v>0</v>
      </c>
      <c r="BA382" s="1033">
        <v>46157</v>
      </c>
      <c r="BB382" s="1032">
        <v>2026</v>
      </c>
      <c r="BC382" s="1032">
        <v>5</v>
      </c>
      <c r="BD382" s="1032">
        <v>20</v>
      </c>
      <c r="BE382" s="1032">
        <v>36</v>
      </c>
      <c r="BF382" s="1032">
        <v>864</v>
      </c>
      <c r="BG382" s="1032" t="s">
        <v>108</v>
      </c>
      <c r="BH382" s="1032" t="s">
        <v>109</v>
      </c>
    </row>
    <row r="383" spans="1:60">
      <c r="A383" s="1032" t="s">
        <v>1873</v>
      </c>
      <c r="B383" s="1032" t="s">
        <v>111</v>
      </c>
      <c r="C383" s="1032" t="s">
        <v>1091</v>
      </c>
      <c r="D383" s="1032" t="s">
        <v>63</v>
      </c>
      <c r="E383" s="1032" t="s">
        <v>64</v>
      </c>
      <c r="F383" s="1032" t="s">
        <v>100</v>
      </c>
      <c r="G383" s="1032" t="s">
        <v>402</v>
      </c>
      <c r="H383" s="1032" t="s">
        <v>67</v>
      </c>
      <c r="I383" s="1032" t="s">
        <v>689</v>
      </c>
      <c r="J383" s="1032" t="s">
        <v>101</v>
      </c>
      <c r="M383" s="1032" t="s">
        <v>68</v>
      </c>
      <c r="N383" s="1032">
        <v>46069</v>
      </c>
      <c r="O383" s="1032" t="s">
        <v>132</v>
      </c>
      <c r="P383" s="1032" t="s">
        <v>189</v>
      </c>
      <c r="Q383" s="1032" t="s">
        <v>190</v>
      </c>
      <c r="R383" s="1032" t="s">
        <v>73</v>
      </c>
      <c r="S383" s="1032" t="s">
        <v>967</v>
      </c>
      <c r="T383" s="1032">
        <v>465</v>
      </c>
      <c r="U383" s="1032">
        <v>2592</v>
      </c>
      <c r="V383" s="1032">
        <v>1.2052799999999999</v>
      </c>
      <c r="W383" s="1032">
        <v>72</v>
      </c>
      <c r="X383" s="1032">
        <v>3</v>
      </c>
      <c r="Y383" s="1032" t="s">
        <v>75</v>
      </c>
      <c r="Z383" s="1032" t="s">
        <v>75</v>
      </c>
      <c r="AB383" s="1033">
        <v>46103</v>
      </c>
      <c r="AC383" s="1032">
        <v>12</v>
      </c>
      <c r="AD383" s="1032" t="s">
        <v>1874</v>
      </c>
      <c r="AF383" s="1032" t="s">
        <v>1643</v>
      </c>
      <c r="AG383" s="1032" t="s">
        <v>123</v>
      </c>
      <c r="AH383" s="1032" t="s">
        <v>105</v>
      </c>
      <c r="AI383" s="1033">
        <v>46110</v>
      </c>
      <c r="AJ383" s="1033">
        <v>46112</v>
      </c>
      <c r="AK383" s="1033">
        <v>46112</v>
      </c>
      <c r="AL383" s="1033">
        <v>46147</v>
      </c>
      <c r="AM383" s="1033">
        <v>46154</v>
      </c>
      <c r="AN383" s="1033">
        <v>46157</v>
      </c>
      <c r="AO383" s="1032" t="s">
        <v>402</v>
      </c>
      <c r="AP383" s="1032" t="s">
        <v>937</v>
      </c>
      <c r="AQ383" s="1032" t="s">
        <v>80</v>
      </c>
      <c r="AR383" s="1032" t="s">
        <v>1864</v>
      </c>
      <c r="AS383" s="1032" t="s">
        <v>1865</v>
      </c>
      <c r="AT383" s="1032" t="s">
        <v>1866</v>
      </c>
      <c r="AU383" s="1032">
        <v>45</v>
      </c>
      <c r="AW383" s="1033">
        <v>46157</v>
      </c>
      <c r="AX383" s="1032" t="s">
        <v>973</v>
      </c>
      <c r="AY383" s="1033">
        <v>46172</v>
      </c>
      <c r="AZ383" s="1032">
        <v>7</v>
      </c>
      <c r="BA383" s="1033">
        <v>46164</v>
      </c>
      <c r="BB383" s="1032">
        <v>2026</v>
      </c>
      <c r="BC383" s="1032">
        <v>5</v>
      </c>
      <c r="BD383" s="1032">
        <v>21</v>
      </c>
      <c r="BE383" s="1032">
        <v>36</v>
      </c>
      <c r="BF383" s="1032">
        <v>864</v>
      </c>
      <c r="BG383" s="1032" t="s">
        <v>108</v>
      </c>
      <c r="BH383" s="1032" t="s">
        <v>109</v>
      </c>
    </row>
    <row r="384" spans="1:60">
      <c r="A384" s="1032" t="s">
        <v>1875</v>
      </c>
      <c r="B384" s="1032" t="s">
        <v>111</v>
      </c>
      <c r="C384" s="1032" t="s">
        <v>1876</v>
      </c>
      <c r="D384" s="1032" t="s">
        <v>63</v>
      </c>
      <c r="E384" s="1032" t="s">
        <v>64</v>
      </c>
      <c r="F384" s="1032" t="s">
        <v>100</v>
      </c>
      <c r="G384" s="1032" t="s">
        <v>402</v>
      </c>
      <c r="H384" s="1032" t="s">
        <v>67</v>
      </c>
      <c r="I384" s="1032" t="s">
        <v>689</v>
      </c>
      <c r="J384" s="1032" t="s">
        <v>483</v>
      </c>
      <c r="M384" s="1032" t="s">
        <v>68</v>
      </c>
      <c r="N384" s="1032">
        <v>46083</v>
      </c>
      <c r="O384" s="1032" t="s">
        <v>473</v>
      </c>
      <c r="P384" s="1032" t="s">
        <v>529</v>
      </c>
      <c r="Q384" s="1032" t="s">
        <v>1311</v>
      </c>
      <c r="R384" s="1032" t="s">
        <v>73</v>
      </c>
      <c r="S384" s="1032" t="s">
        <v>967</v>
      </c>
      <c r="T384" s="1032">
        <v>455</v>
      </c>
      <c r="U384" s="1032">
        <v>4320</v>
      </c>
      <c r="V384" s="1032">
        <v>1.9656</v>
      </c>
      <c r="W384" s="1032">
        <v>120</v>
      </c>
      <c r="X384" s="1032">
        <v>5</v>
      </c>
      <c r="Y384" s="1032" t="s">
        <v>75</v>
      </c>
      <c r="Z384" s="1032" t="s">
        <v>75</v>
      </c>
      <c r="AA384" s="1032" t="s">
        <v>1548</v>
      </c>
      <c r="AB384" s="1033">
        <v>46102</v>
      </c>
      <c r="AC384" s="1032">
        <v>12</v>
      </c>
      <c r="AD384" s="1032" t="s">
        <v>1877</v>
      </c>
      <c r="AF384" s="1032" t="s">
        <v>1643</v>
      </c>
      <c r="AG384" s="1032" t="s">
        <v>123</v>
      </c>
      <c r="AH384" s="1032" t="s">
        <v>105</v>
      </c>
      <c r="AI384" s="1033">
        <v>46111</v>
      </c>
      <c r="AJ384" s="1033">
        <v>46111</v>
      </c>
      <c r="AK384" s="1033">
        <v>46111</v>
      </c>
      <c r="AL384" s="1033">
        <v>46148</v>
      </c>
      <c r="AM384" s="1033">
        <v>46157</v>
      </c>
      <c r="AN384" s="1033">
        <v>46156</v>
      </c>
      <c r="AO384" s="1032" t="s">
        <v>402</v>
      </c>
      <c r="AP384" s="1032" t="s">
        <v>1878</v>
      </c>
      <c r="AQ384" s="1032" t="s">
        <v>80</v>
      </c>
      <c r="AR384" s="1032" t="s">
        <v>1879</v>
      </c>
      <c r="AS384" s="1032" t="s">
        <v>1880</v>
      </c>
      <c r="AT384" s="1032" t="s">
        <v>1880</v>
      </c>
      <c r="AU384" s="1032">
        <v>45</v>
      </c>
      <c r="AW384" s="1033">
        <v>46156</v>
      </c>
      <c r="AX384" s="1032" t="s">
        <v>973</v>
      </c>
      <c r="AY384" s="1033">
        <v>46169</v>
      </c>
      <c r="AZ384" s="1032">
        <v>7</v>
      </c>
      <c r="BA384" s="1033">
        <v>46163</v>
      </c>
      <c r="BB384" s="1032">
        <v>2026</v>
      </c>
      <c r="BC384" s="1032">
        <v>5</v>
      </c>
      <c r="BD384" s="1032">
        <v>21</v>
      </c>
      <c r="BE384" s="1032">
        <v>36</v>
      </c>
      <c r="BF384" s="1032">
        <v>864</v>
      </c>
      <c r="BG384" s="1032" t="s">
        <v>85</v>
      </c>
      <c r="BH384" s="1032" t="s">
        <v>109</v>
      </c>
    </row>
    <row r="385" spans="1:60">
      <c r="A385" s="1032" t="s">
        <v>1881</v>
      </c>
      <c r="B385" s="1032" t="s">
        <v>1757</v>
      </c>
      <c r="C385" s="1032" t="s">
        <v>1286</v>
      </c>
      <c r="D385" s="1032" t="s">
        <v>63</v>
      </c>
      <c r="E385" s="1032" t="s">
        <v>144</v>
      </c>
      <c r="F385" s="1032" t="s">
        <v>145</v>
      </c>
      <c r="G385" s="1032" t="s">
        <v>146</v>
      </c>
      <c r="H385" s="1032" t="s">
        <v>157</v>
      </c>
      <c r="I385" s="1032" t="s">
        <v>689</v>
      </c>
      <c r="J385" s="1032" t="s">
        <v>157</v>
      </c>
      <c r="K385" s="1032" t="s">
        <v>1882</v>
      </c>
      <c r="M385" s="1032" t="s">
        <v>840</v>
      </c>
      <c r="N385" s="1032">
        <v>46104</v>
      </c>
      <c r="O385" s="1032" t="s">
        <v>70</v>
      </c>
      <c r="P385" s="1032" t="s">
        <v>1151</v>
      </c>
      <c r="Q385" s="1032" t="s">
        <v>421</v>
      </c>
      <c r="R385" s="1032" t="s">
        <v>73</v>
      </c>
      <c r="S385" s="1032" t="s">
        <v>967</v>
      </c>
      <c r="T385" s="1032">
        <v>505</v>
      </c>
      <c r="U385" s="1032">
        <v>1728</v>
      </c>
      <c r="V385" s="1032">
        <v>0.87263999999999997</v>
      </c>
      <c r="W385" s="1032">
        <v>48</v>
      </c>
      <c r="X385" s="1032">
        <v>2</v>
      </c>
      <c r="Y385" s="1032" t="s">
        <v>75</v>
      </c>
      <c r="Z385" s="1032" t="s">
        <v>75</v>
      </c>
      <c r="AA385" s="1032" t="s">
        <v>1883</v>
      </c>
      <c r="AB385" s="1033">
        <v>46109</v>
      </c>
      <c r="AC385" s="1032">
        <v>13</v>
      </c>
      <c r="AD385" s="1032" t="s">
        <v>1884</v>
      </c>
      <c r="AF385" s="1032" t="s">
        <v>1762</v>
      </c>
      <c r="AG385" s="1032" t="s">
        <v>123</v>
      </c>
      <c r="AH385" s="1032" t="s">
        <v>159</v>
      </c>
      <c r="AI385" s="1033">
        <v>46113</v>
      </c>
      <c r="AJ385" s="1033">
        <v>46113</v>
      </c>
      <c r="AK385" s="1033">
        <v>46113</v>
      </c>
      <c r="AL385" s="1033">
        <v>46172</v>
      </c>
      <c r="AM385" s="1033">
        <v>46172</v>
      </c>
      <c r="AN385" s="1033">
        <v>46172</v>
      </c>
      <c r="AO385" s="1032" t="s">
        <v>402</v>
      </c>
      <c r="AP385" s="1032" t="s">
        <v>1885</v>
      </c>
      <c r="AQ385" s="1032" t="s">
        <v>161</v>
      </c>
      <c r="AR385" s="1032" t="s">
        <v>1886</v>
      </c>
      <c r="AS385" s="1032">
        <v>267445298</v>
      </c>
      <c r="AT385" s="1032">
        <v>267445298</v>
      </c>
      <c r="AU385" s="1032">
        <v>59</v>
      </c>
      <c r="AW385" s="1033">
        <v>46172</v>
      </c>
      <c r="AX385" s="1032" t="s">
        <v>973</v>
      </c>
      <c r="AY385" s="1033">
        <v>46184</v>
      </c>
      <c r="AZ385" s="1032">
        <v>0</v>
      </c>
      <c r="BA385" s="1033">
        <v>46172</v>
      </c>
      <c r="BB385" s="1032">
        <v>2026</v>
      </c>
      <c r="BC385" s="1032">
        <v>5</v>
      </c>
      <c r="BD385" s="1032">
        <v>22</v>
      </c>
      <c r="BE385" s="1032">
        <v>36</v>
      </c>
      <c r="BF385" s="1032">
        <v>864</v>
      </c>
      <c r="BG385" s="1032" t="s">
        <v>85</v>
      </c>
      <c r="BH385" s="1032" t="s">
        <v>109</v>
      </c>
    </row>
    <row r="386" spans="1:60">
      <c r="A386" s="1032" t="s">
        <v>1887</v>
      </c>
      <c r="B386" s="1032" t="s">
        <v>1888</v>
      </c>
      <c r="C386" s="1032" t="s">
        <v>1016</v>
      </c>
      <c r="D386" s="1032" t="s">
        <v>63</v>
      </c>
      <c r="E386" s="1032" t="s">
        <v>144</v>
      </c>
      <c r="F386" s="1032" t="s">
        <v>145</v>
      </c>
      <c r="G386" s="1032" t="s">
        <v>402</v>
      </c>
      <c r="H386" s="1032" t="s">
        <v>157</v>
      </c>
      <c r="I386" s="1032" t="s">
        <v>689</v>
      </c>
      <c r="J386" s="1032" t="s">
        <v>157</v>
      </c>
      <c r="K386" s="1032" t="s">
        <v>1882</v>
      </c>
      <c r="M386" s="1032" t="s">
        <v>840</v>
      </c>
      <c r="N386" s="1032">
        <v>46069</v>
      </c>
      <c r="O386" s="1032" t="s">
        <v>70</v>
      </c>
      <c r="P386" s="1032" t="s">
        <v>195</v>
      </c>
      <c r="Q386" s="1032" t="s">
        <v>196</v>
      </c>
      <c r="R386" s="1032" t="s">
        <v>73</v>
      </c>
      <c r="S386" s="1032" t="s">
        <v>967</v>
      </c>
      <c r="T386" s="1032">
        <v>450</v>
      </c>
      <c r="U386" s="1032">
        <v>1872</v>
      </c>
      <c r="V386" s="1032">
        <v>0.84240000000000004</v>
      </c>
      <c r="W386" s="1032">
        <v>52</v>
      </c>
      <c r="X386" s="1032">
        <v>2</v>
      </c>
      <c r="Y386" s="1032" t="s">
        <v>75</v>
      </c>
      <c r="Z386" s="1032" t="s">
        <v>75</v>
      </c>
      <c r="AA386" s="1032" t="s">
        <v>1889</v>
      </c>
      <c r="AB386" s="1033">
        <v>46108</v>
      </c>
      <c r="AC386" s="1032">
        <v>13</v>
      </c>
      <c r="AD386" s="1032" t="s">
        <v>1890</v>
      </c>
      <c r="AF386" s="1032" t="s">
        <v>1891</v>
      </c>
      <c r="AG386" s="1032" t="s">
        <v>123</v>
      </c>
      <c r="AH386" s="1032" t="s">
        <v>159</v>
      </c>
      <c r="AI386" s="1033">
        <v>46113</v>
      </c>
      <c r="AJ386" s="1033">
        <v>46113</v>
      </c>
      <c r="AK386" s="1033">
        <v>46113</v>
      </c>
      <c r="AL386" s="1033">
        <v>46172</v>
      </c>
      <c r="AM386" s="1033">
        <v>46172</v>
      </c>
      <c r="AN386" s="1033">
        <v>46172</v>
      </c>
      <c r="AO386" s="1032" t="s">
        <v>402</v>
      </c>
      <c r="AP386" s="1032" t="s">
        <v>1885</v>
      </c>
      <c r="AQ386" s="1032" t="s">
        <v>161</v>
      </c>
      <c r="AR386" s="1032" t="s">
        <v>1886</v>
      </c>
      <c r="AS386" s="1032">
        <v>267445298</v>
      </c>
      <c r="AT386" s="1032">
        <v>267721245</v>
      </c>
      <c r="AU386" s="1032">
        <v>59</v>
      </c>
      <c r="AW386" s="1033">
        <v>46172</v>
      </c>
      <c r="AX386" s="1032" t="s">
        <v>973</v>
      </c>
      <c r="AY386" s="1033">
        <v>46184</v>
      </c>
      <c r="AZ386" s="1032">
        <v>0</v>
      </c>
      <c r="BA386" s="1033">
        <v>46172</v>
      </c>
      <c r="BB386" s="1032">
        <v>2026</v>
      </c>
      <c r="BC386" s="1032">
        <v>5</v>
      </c>
      <c r="BD386" s="1032">
        <v>22</v>
      </c>
      <c r="BE386" s="1032">
        <v>36</v>
      </c>
      <c r="BF386" s="1032">
        <v>936</v>
      </c>
      <c r="BG386" s="1032" t="s">
        <v>85</v>
      </c>
      <c r="BH386" s="1032" t="s">
        <v>109</v>
      </c>
    </row>
    <row r="387" spans="1:60">
      <c r="A387" s="1032" t="s">
        <v>1892</v>
      </c>
      <c r="B387" s="1032" t="s">
        <v>111</v>
      </c>
      <c r="C387" s="1032" t="s">
        <v>1893</v>
      </c>
      <c r="D387" s="1032" t="s">
        <v>63</v>
      </c>
      <c r="E387" s="1032" t="s">
        <v>144</v>
      </c>
      <c r="F387" s="1032" t="s">
        <v>145</v>
      </c>
      <c r="G387" s="1032" t="s">
        <v>402</v>
      </c>
      <c r="H387" s="1032" t="s">
        <v>593</v>
      </c>
      <c r="I387" s="1032" t="s">
        <v>869</v>
      </c>
      <c r="J387" s="1032" t="s">
        <v>594</v>
      </c>
      <c r="K387" s="1032" t="s">
        <v>1124</v>
      </c>
      <c r="M387" s="1032" t="s">
        <v>840</v>
      </c>
      <c r="N387" s="1032">
        <v>46111</v>
      </c>
      <c r="O387" s="1032" t="s">
        <v>132</v>
      </c>
      <c r="P387" s="1032" t="s">
        <v>1894</v>
      </c>
      <c r="Q387" s="1032" t="s">
        <v>1895</v>
      </c>
      <c r="R387" s="1032" t="s">
        <v>73</v>
      </c>
      <c r="S387" s="1032" t="s">
        <v>992</v>
      </c>
      <c r="T387" s="1032">
        <v>560</v>
      </c>
      <c r="U387" s="1032">
        <v>3300</v>
      </c>
      <c r="V387" s="1032">
        <v>1.8480000000000001</v>
      </c>
      <c r="W387" s="1032">
        <v>100</v>
      </c>
      <c r="X387" s="1032">
        <v>5</v>
      </c>
      <c r="Y387" s="1032" t="s">
        <v>75</v>
      </c>
      <c r="Z387" s="1032" t="s">
        <v>75</v>
      </c>
      <c r="AA387" s="1032" t="s">
        <v>1896</v>
      </c>
      <c r="AB387" s="1033">
        <v>46108</v>
      </c>
      <c r="AC387" s="1032">
        <v>13</v>
      </c>
      <c r="AD387" s="1032" t="s">
        <v>1897</v>
      </c>
      <c r="AF387" s="1032" t="s">
        <v>1643</v>
      </c>
      <c r="AG387" s="1032" t="s">
        <v>123</v>
      </c>
      <c r="AH387" s="1032" t="s">
        <v>124</v>
      </c>
      <c r="AI387" s="1033">
        <v>46114</v>
      </c>
      <c r="AJ387" s="1033">
        <v>46115</v>
      </c>
      <c r="AK387" s="1033">
        <v>46117</v>
      </c>
      <c r="AL387" s="1033">
        <v>46156</v>
      </c>
      <c r="AM387" s="1033">
        <v>46156</v>
      </c>
      <c r="AN387" s="1033">
        <v>46158</v>
      </c>
      <c r="AO387" s="1032" t="s">
        <v>402</v>
      </c>
      <c r="AP387" s="1032" t="s">
        <v>1898</v>
      </c>
      <c r="AQ387" s="1032" t="s">
        <v>80</v>
      </c>
      <c r="AR387" s="1032" t="s">
        <v>1899</v>
      </c>
      <c r="AS387" s="1032" t="s">
        <v>1900</v>
      </c>
      <c r="AT387" s="1032" t="s">
        <v>1900</v>
      </c>
      <c r="AU387" s="1032">
        <v>41</v>
      </c>
      <c r="AW387" s="1033">
        <v>46158</v>
      </c>
      <c r="AX387" s="1032" t="s">
        <v>973</v>
      </c>
      <c r="AY387" s="1033">
        <v>46169</v>
      </c>
      <c r="AZ387" s="1032">
        <v>0</v>
      </c>
      <c r="BA387" s="1033">
        <v>46158</v>
      </c>
      <c r="BB387" s="1032">
        <v>2026</v>
      </c>
      <c r="BC387" s="1032">
        <v>5</v>
      </c>
      <c r="BD387" s="1032">
        <v>20</v>
      </c>
      <c r="BE387" s="1032">
        <v>33</v>
      </c>
      <c r="BF387" s="1032">
        <v>660</v>
      </c>
      <c r="BG387" s="1032" t="s">
        <v>108</v>
      </c>
      <c r="BH387" s="1032" t="s">
        <v>86</v>
      </c>
    </row>
    <row r="388" spans="1:60">
      <c r="A388" s="1032" t="s">
        <v>1901</v>
      </c>
      <c r="B388" s="1032" t="s">
        <v>111</v>
      </c>
      <c r="C388" s="1032" t="s">
        <v>1902</v>
      </c>
      <c r="D388" s="1032" t="s">
        <v>63</v>
      </c>
      <c r="E388" s="1032" t="s">
        <v>144</v>
      </c>
      <c r="F388" s="1032" t="s">
        <v>145</v>
      </c>
      <c r="G388" s="1032" t="s">
        <v>402</v>
      </c>
      <c r="H388" s="1032" t="s">
        <v>1903</v>
      </c>
      <c r="I388" s="1032" t="s">
        <v>869</v>
      </c>
      <c r="J388" s="1032" t="s">
        <v>1903</v>
      </c>
      <c r="K388" s="1032" t="s">
        <v>1904</v>
      </c>
      <c r="M388" s="1032" t="s">
        <v>840</v>
      </c>
      <c r="N388" s="1032">
        <v>46111</v>
      </c>
      <c r="O388" s="1032" t="s">
        <v>132</v>
      </c>
      <c r="P388" s="1032" t="s">
        <v>1905</v>
      </c>
      <c r="Q388" s="1032" t="s">
        <v>1906</v>
      </c>
      <c r="R388" s="1032" t="s">
        <v>73</v>
      </c>
      <c r="S388" s="1032" t="s">
        <v>992</v>
      </c>
      <c r="T388" s="1032">
        <v>555</v>
      </c>
      <c r="U388" s="1032">
        <v>2640</v>
      </c>
      <c r="V388" s="1032">
        <v>1.4652000000000001</v>
      </c>
      <c r="W388" s="1032">
        <v>80</v>
      </c>
      <c r="X388" s="1032">
        <v>4</v>
      </c>
      <c r="Y388" s="1032" t="s">
        <v>75</v>
      </c>
      <c r="Z388" s="1032" t="s">
        <v>75</v>
      </c>
      <c r="AA388" s="1032" t="s">
        <v>1907</v>
      </c>
      <c r="AB388" s="1033">
        <v>46106</v>
      </c>
      <c r="AC388" s="1032">
        <v>13</v>
      </c>
      <c r="AD388" s="1032" t="s">
        <v>1908</v>
      </c>
      <c r="AF388" s="1032" t="s">
        <v>1643</v>
      </c>
      <c r="AG388" s="1032" t="s">
        <v>123</v>
      </c>
      <c r="AH388" s="1032" t="s">
        <v>124</v>
      </c>
      <c r="AI388" s="1033">
        <v>46111</v>
      </c>
      <c r="AJ388" s="1033">
        <v>46114</v>
      </c>
      <c r="AK388" s="1033">
        <v>46114</v>
      </c>
      <c r="AL388" s="1033">
        <v>46163</v>
      </c>
      <c r="AM388" s="1033">
        <v>46170</v>
      </c>
      <c r="AN388" s="1033">
        <v>46171</v>
      </c>
      <c r="AO388" s="1032" t="s">
        <v>402</v>
      </c>
      <c r="AP388" s="1032" t="s">
        <v>1725</v>
      </c>
      <c r="AQ388" s="1032" t="s">
        <v>80</v>
      </c>
      <c r="AR388" s="1032" t="s">
        <v>1909</v>
      </c>
      <c r="AS388" s="1032" t="s">
        <v>1910</v>
      </c>
      <c r="AT388" s="1032" t="s">
        <v>1910</v>
      </c>
      <c r="AU388" s="1032">
        <v>57</v>
      </c>
      <c r="AW388" s="1033">
        <v>46171</v>
      </c>
      <c r="AX388" s="1032" t="s">
        <v>973</v>
      </c>
      <c r="AY388" s="1033">
        <v>46176</v>
      </c>
      <c r="AZ388" s="1032">
        <v>0</v>
      </c>
      <c r="BA388" s="1033">
        <v>46171</v>
      </c>
      <c r="BB388" s="1032">
        <v>2026</v>
      </c>
      <c r="BC388" s="1032">
        <v>5</v>
      </c>
      <c r="BD388" s="1032">
        <v>22</v>
      </c>
      <c r="BE388" s="1032">
        <v>33</v>
      </c>
      <c r="BF388" s="1032">
        <v>660</v>
      </c>
      <c r="BG388" s="1032" t="s">
        <v>108</v>
      </c>
      <c r="BH388" s="1032" t="s">
        <v>86</v>
      </c>
    </row>
    <row r="389" spans="1:60">
      <c r="A389" s="1032" t="s">
        <v>1911</v>
      </c>
      <c r="B389" s="1032" t="s">
        <v>111</v>
      </c>
      <c r="C389" s="1032" t="s">
        <v>1902</v>
      </c>
      <c r="D389" s="1032" t="s">
        <v>63</v>
      </c>
      <c r="E389" s="1032" t="s">
        <v>144</v>
      </c>
      <c r="F389" s="1032" t="s">
        <v>145</v>
      </c>
      <c r="G389" s="1032" t="s">
        <v>402</v>
      </c>
      <c r="H389" s="1032" t="s">
        <v>1912</v>
      </c>
      <c r="I389" s="1032" t="s">
        <v>869</v>
      </c>
      <c r="J389" s="1032" t="s">
        <v>1913</v>
      </c>
      <c r="K389" s="1032" t="s">
        <v>1914</v>
      </c>
      <c r="M389" s="1032" t="s">
        <v>840</v>
      </c>
      <c r="N389" s="1032">
        <v>46111</v>
      </c>
      <c r="O389" s="1032" t="s">
        <v>132</v>
      </c>
      <c r="P389" s="1032" t="s">
        <v>1905</v>
      </c>
      <c r="Q389" s="1032" t="s">
        <v>1906</v>
      </c>
      <c r="R389" s="1032" t="s">
        <v>73</v>
      </c>
      <c r="S389" s="1032" t="s">
        <v>992</v>
      </c>
      <c r="T389" s="1032">
        <v>555</v>
      </c>
      <c r="U389" s="1032">
        <v>1320</v>
      </c>
      <c r="V389" s="1032">
        <v>0.73260000000000003</v>
      </c>
      <c r="W389" s="1032">
        <v>40</v>
      </c>
      <c r="X389" s="1032">
        <v>2</v>
      </c>
      <c r="Y389" s="1032" t="s">
        <v>75</v>
      </c>
      <c r="Z389" s="1032" t="s">
        <v>75</v>
      </c>
      <c r="AA389" s="1032" t="s">
        <v>1907</v>
      </c>
      <c r="AB389" s="1033">
        <v>46106</v>
      </c>
      <c r="AC389" s="1032">
        <v>13</v>
      </c>
      <c r="AD389" s="1032" t="s">
        <v>1915</v>
      </c>
      <c r="AF389" s="1032" t="s">
        <v>1643</v>
      </c>
      <c r="AG389" s="1032" t="s">
        <v>123</v>
      </c>
      <c r="AH389" s="1032" t="s">
        <v>124</v>
      </c>
      <c r="AI389" s="1033">
        <v>46111</v>
      </c>
      <c r="AJ389" s="1033">
        <v>46114</v>
      </c>
      <c r="AK389" s="1033">
        <v>46114</v>
      </c>
      <c r="AL389" s="1033">
        <v>46163</v>
      </c>
      <c r="AM389" s="1033">
        <v>46170</v>
      </c>
      <c r="AN389" s="1033">
        <v>46171</v>
      </c>
      <c r="AO389" s="1032" t="s">
        <v>402</v>
      </c>
      <c r="AP389" s="1032" t="s">
        <v>1725</v>
      </c>
      <c r="AQ389" s="1032" t="s">
        <v>80</v>
      </c>
      <c r="AR389" s="1032" t="s">
        <v>1916</v>
      </c>
      <c r="AS389" s="1032" t="s">
        <v>1917</v>
      </c>
      <c r="AT389" s="1032" t="s">
        <v>1917</v>
      </c>
      <c r="AU389" s="1032">
        <v>57</v>
      </c>
      <c r="AW389" s="1033">
        <v>46171</v>
      </c>
      <c r="AX389" s="1032" t="s">
        <v>973</v>
      </c>
      <c r="AY389" s="1033">
        <v>46176</v>
      </c>
      <c r="AZ389" s="1032">
        <v>0</v>
      </c>
      <c r="BA389" s="1033">
        <v>46171</v>
      </c>
      <c r="BB389" s="1032">
        <v>2026</v>
      </c>
      <c r="BC389" s="1032">
        <v>5</v>
      </c>
      <c r="BD389" s="1032">
        <v>22</v>
      </c>
      <c r="BE389" s="1032">
        <v>33</v>
      </c>
      <c r="BF389" s="1032">
        <v>660</v>
      </c>
      <c r="BG389" s="1032" t="s">
        <v>108</v>
      </c>
      <c r="BH389" s="1032" t="s">
        <v>86</v>
      </c>
    </row>
    <row r="390" spans="1:60">
      <c r="A390" s="1032" t="s">
        <v>1918</v>
      </c>
      <c r="B390" s="1032" t="s">
        <v>111</v>
      </c>
      <c r="C390" s="1032" t="s">
        <v>1902</v>
      </c>
      <c r="D390" s="1032" t="s">
        <v>63</v>
      </c>
      <c r="E390" s="1032" t="s">
        <v>144</v>
      </c>
      <c r="F390" s="1032" t="s">
        <v>145</v>
      </c>
      <c r="G390" s="1032" t="s">
        <v>402</v>
      </c>
      <c r="H390" s="1032" t="s">
        <v>1912</v>
      </c>
      <c r="I390" s="1032" t="s">
        <v>869</v>
      </c>
      <c r="J390" s="1032" t="s">
        <v>1913</v>
      </c>
      <c r="K390" s="1032" t="s">
        <v>1914</v>
      </c>
      <c r="M390" s="1032" t="s">
        <v>840</v>
      </c>
      <c r="N390" s="1032">
        <v>46111</v>
      </c>
      <c r="O390" s="1032" t="s">
        <v>132</v>
      </c>
      <c r="P390" s="1032" t="s">
        <v>1905</v>
      </c>
      <c r="Q390" s="1032" t="s">
        <v>1906</v>
      </c>
      <c r="R390" s="1032" t="s">
        <v>73</v>
      </c>
      <c r="S390" s="1032" t="s">
        <v>992</v>
      </c>
      <c r="T390" s="1032">
        <v>555</v>
      </c>
      <c r="U390" s="1032">
        <v>1320</v>
      </c>
      <c r="V390" s="1032">
        <v>0.73260000000000003</v>
      </c>
      <c r="W390" s="1032">
        <v>40</v>
      </c>
      <c r="X390" s="1032">
        <v>2</v>
      </c>
      <c r="Y390" s="1032" t="s">
        <v>75</v>
      </c>
      <c r="Z390" s="1032" t="s">
        <v>75</v>
      </c>
      <c r="AA390" s="1032" t="s">
        <v>1907</v>
      </c>
      <c r="AB390" s="1033">
        <v>46108</v>
      </c>
      <c r="AC390" s="1032">
        <v>13</v>
      </c>
      <c r="AD390" s="1032" t="s">
        <v>1919</v>
      </c>
      <c r="AF390" s="1032" t="s">
        <v>1643</v>
      </c>
      <c r="AG390" s="1032" t="s">
        <v>123</v>
      </c>
      <c r="AH390" s="1032" t="s">
        <v>124</v>
      </c>
      <c r="AI390" s="1033">
        <v>46114</v>
      </c>
      <c r="AJ390" s="1033">
        <v>46116</v>
      </c>
      <c r="AK390" s="1033">
        <v>46116</v>
      </c>
      <c r="AL390" s="1033">
        <v>46156</v>
      </c>
      <c r="AM390" s="1033">
        <v>46164</v>
      </c>
      <c r="AN390" s="1033">
        <v>46165</v>
      </c>
      <c r="AO390" s="1032" t="s">
        <v>402</v>
      </c>
      <c r="AP390" s="1032" t="s">
        <v>1920</v>
      </c>
      <c r="AQ390" s="1032" t="s">
        <v>80</v>
      </c>
      <c r="AR390" s="1032" t="s">
        <v>1921</v>
      </c>
      <c r="AS390" s="1032" t="s">
        <v>1922</v>
      </c>
      <c r="AT390" s="1032" t="s">
        <v>1922</v>
      </c>
      <c r="AU390" s="1032">
        <v>49</v>
      </c>
      <c r="AW390" s="1033">
        <v>46165</v>
      </c>
      <c r="AX390" s="1032" t="s">
        <v>973</v>
      </c>
      <c r="AY390" s="1033">
        <v>46169</v>
      </c>
      <c r="AZ390" s="1032">
        <v>0</v>
      </c>
      <c r="BA390" s="1033">
        <v>46165</v>
      </c>
      <c r="BB390" s="1032">
        <v>2026</v>
      </c>
      <c r="BC390" s="1032">
        <v>5</v>
      </c>
      <c r="BD390" s="1032">
        <v>21</v>
      </c>
      <c r="BE390" s="1032">
        <v>33</v>
      </c>
      <c r="BF390" s="1032">
        <v>660</v>
      </c>
      <c r="BG390" s="1032" t="s">
        <v>108</v>
      </c>
      <c r="BH390" s="1032" t="s">
        <v>86</v>
      </c>
    </row>
    <row r="391" spans="1:60">
      <c r="A391" s="1032" t="s">
        <v>1923</v>
      </c>
      <c r="B391" s="1032" t="s">
        <v>1757</v>
      </c>
      <c r="C391" s="1032" t="s">
        <v>1593</v>
      </c>
      <c r="D391" s="1032" t="s">
        <v>63</v>
      </c>
      <c r="E391" s="1032" t="s">
        <v>144</v>
      </c>
      <c r="F391" s="1032" t="s">
        <v>145</v>
      </c>
      <c r="G391" s="1032" t="s">
        <v>402</v>
      </c>
      <c r="H391" s="1032" t="s">
        <v>1029</v>
      </c>
      <c r="I391" s="1032" t="s">
        <v>689</v>
      </c>
      <c r="J391" s="1032" t="s">
        <v>1924</v>
      </c>
      <c r="K391" s="1032" t="s">
        <v>1925</v>
      </c>
      <c r="M391" s="1032" t="s">
        <v>840</v>
      </c>
      <c r="N391" s="1032">
        <v>46104</v>
      </c>
      <c r="O391" s="1032" t="s">
        <v>70</v>
      </c>
      <c r="P391" s="1032" t="s">
        <v>71</v>
      </c>
      <c r="Q391" s="1032" t="s">
        <v>72</v>
      </c>
      <c r="R391" s="1032" t="s">
        <v>73</v>
      </c>
      <c r="S391" s="1032" t="s">
        <v>967</v>
      </c>
      <c r="T391" s="1032">
        <v>500</v>
      </c>
      <c r="U391" s="1032">
        <v>2592</v>
      </c>
      <c r="V391" s="1032">
        <v>1.296</v>
      </c>
      <c r="W391" s="1032">
        <v>72</v>
      </c>
      <c r="X391" s="1032">
        <v>3</v>
      </c>
      <c r="Y391" s="1032" t="s">
        <v>75</v>
      </c>
      <c r="Z391" s="1032" t="s">
        <v>75</v>
      </c>
      <c r="AA391" s="1032" t="s">
        <v>1926</v>
      </c>
      <c r="AB391" s="1033">
        <v>46105</v>
      </c>
      <c r="AC391" s="1032">
        <v>13</v>
      </c>
      <c r="AD391" s="1032" t="s">
        <v>1927</v>
      </c>
      <c r="AF391" s="1032" t="s">
        <v>1762</v>
      </c>
      <c r="AG391" s="1032" t="s">
        <v>123</v>
      </c>
      <c r="AH391" s="1032" t="s">
        <v>888</v>
      </c>
      <c r="AI391" s="1033">
        <v>46108</v>
      </c>
      <c r="AJ391" s="1033">
        <v>46109</v>
      </c>
      <c r="AK391" s="1033">
        <v>46109</v>
      </c>
      <c r="AL391" s="1033">
        <v>46172</v>
      </c>
      <c r="AM391" s="1033">
        <v>46172</v>
      </c>
      <c r="AN391" s="1033">
        <v>46174</v>
      </c>
      <c r="AO391" s="1032" t="s">
        <v>402</v>
      </c>
      <c r="AP391" s="1032" t="s">
        <v>1928</v>
      </c>
      <c r="AQ391" s="1032" t="s">
        <v>161</v>
      </c>
      <c r="AR391" s="1032" t="s">
        <v>1929</v>
      </c>
      <c r="AS391" s="1032" t="s">
        <v>1930</v>
      </c>
      <c r="AT391" s="1032">
        <v>267777421</v>
      </c>
      <c r="AU391" s="1032">
        <v>65</v>
      </c>
      <c r="AW391" s="1033">
        <v>46174</v>
      </c>
      <c r="AX391" s="1032" t="s">
        <v>973</v>
      </c>
      <c r="AY391" s="1033">
        <v>46184</v>
      </c>
      <c r="AZ391" s="1032">
        <v>0</v>
      </c>
      <c r="BA391" s="1033">
        <v>46174</v>
      </c>
      <c r="BB391" s="1032">
        <v>2026</v>
      </c>
      <c r="BC391" s="1032">
        <v>6</v>
      </c>
      <c r="BD391" s="1032">
        <v>23</v>
      </c>
      <c r="BE391" s="1032">
        <v>36</v>
      </c>
      <c r="BF391" s="1032">
        <v>864</v>
      </c>
      <c r="BG391" s="1032" t="s">
        <v>85</v>
      </c>
      <c r="BH391" s="1032" t="s">
        <v>109</v>
      </c>
    </row>
    <row r="392" spans="1:60">
      <c r="A392" s="1032" t="s">
        <v>1931</v>
      </c>
      <c r="B392" s="1032" t="s">
        <v>1757</v>
      </c>
      <c r="C392" s="1032" t="s">
        <v>1593</v>
      </c>
      <c r="D392" s="1032" t="s">
        <v>63</v>
      </c>
      <c r="E392" s="1032" t="s">
        <v>144</v>
      </c>
      <c r="F392" s="1032" t="s">
        <v>145</v>
      </c>
      <c r="G392" s="1032" t="s">
        <v>402</v>
      </c>
      <c r="H392" s="1032" t="s">
        <v>1029</v>
      </c>
      <c r="I392" s="1032" t="s">
        <v>689</v>
      </c>
      <c r="J392" s="1032" t="s">
        <v>1924</v>
      </c>
      <c r="K392" s="1032" t="s">
        <v>1925</v>
      </c>
      <c r="M392" s="1032" t="s">
        <v>840</v>
      </c>
      <c r="N392" s="1032">
        <v>46104</v>
      </c>
      <c r="O392" s="1032" t="s">
        <v>70</v>
      </c>
      <c r="P392" s="1032" t="s">
        <v>71</v>
      </c>
      <c r="Q392" s="1032" t="s">
        <v>72</v>
      </c>
      <c r="R392" s="1032" t="s">
        <v>73</v>
      </c>
      <c r="S392" s="1032" t="s">
        <v>967</v>
      </c>
      <c r="T392" s="1032">
        <v>500</v>
      </c>
      <c r="U392" s="1032">
        <v>1728</v>
      </c>
      <c r="V392" s="1032">
        <v>0.86399999999999999</v>
      </c>
      <c r="W392" s="1032">
        <v>48</v>
      </c>
      <c r="X392" s="1032">
        <v>2</v>
      </c>
      <c r="Y392" s="1032" t="s">
        <v>75</v>
      </c>
      <c r="Z392" s="1032" t="s">
        <v>75</v>
      </c>
      <c r="AA392" s="1032" t="s">
        <v>1926</v>
      </c>
      <c r="AB392" s="1033">
        <v>46105</v>
      </c>
      <c r="AC392" s="1032">
        <v>13</v>
      </c>
      <c r="AD392" s="1032" t="s">
        <v>1932</v>
      </c>
      <c r="AF392" s="1032" t="s">
        <v>1762</v>
      </c>
      <c r="AG392" s="1032" t="s">
        <v>123</v>
      </c>
      <c r="AH392" s="1032" t="s">
        <v>888</v>
      </c>
      <c r="AI392" s="1033">
        <v>46108</v>
      </c>
      <c r="AJ392" s="1033">
        <v>46109</v>
      </c>
      <c r="AK392" s="1033">
        <v>46109</v>
      </c>
      <c r="AL392" s="1033">
        <v>46172</v>
      </c>
      <c r="AM392" s="1033">
        <v>46172</v>
      </c>
      <c r="AN392" s="1033">
        <v>46174</v>
      </c>
      <c r="AO392" s="1032" t="s">
        <v>402</v>
      </c>
      <c r="AP392" s="1032" t="s">
        <v>1928</v>
      </c>
      <c r="AQ392" s="1032" t="s">
        <v>161</v>
      </c>
      <c r="AR392" s="1032" t="s">
        <v>1929</v>
      </c>
      <c r="AS392" s="1032" t="s">
        <v>1930</v>
      </c>
      <c r="AT392" s="1032">
        <v>267777421</v>
      </c>
      <c r="AU392" s="1032">
        <v>65</v>
      </c>
      <c r="AW392" s="1033">
        <v>46174</v>
      </c>
      <c r="AX392" s="1032" t="s">
        <v>973</v>
      </c>
      <c r="AY392" s="1033">
        <v>46184</v>
      </c>
      <c r="AZ392" s="1032">
        <v>0</v>
      </c>
      <c r="BA392" s="1033">
        <v>46174</v>
      </c>
      <c r="BB392" s="1032">
        <v>2026</v>
      </c>
      <c r="BC392" s="1032">
        <v>6</v>
      </c>
      <c r="BD392" s="1032">
        <v>23</v>
      </c>
      <c r="BE392" s="1032">
        <v>36</v>
      </c>
      <c r="BF392" s="1032">
        <v>864</v>
      </c>
      <c r="BG392" s="1032" t="s">
        <v>85</v>
      </c>
      <c r="BH392" s="1032" t="s">
        <v>109</v>
      </c>
    </row>
    <row r="393" spans="1:60">
      <c r="A393" s="1032" t="s">
        <v>1933</v>
      </c>
      <c r="B393" s="1032" t="s">
        <v>61</v>
      </c>
      <c r="C393" s="1032" t="s">
        <v>1838</v>
      </c>
      <c r="D393" s="1032" t="s">
        <v>63</v>
      </c>
      <c r="E393" s="1032" t="s">
        <v>64</v>
      </c>
      <c r="F393" s="1032" t="s">
        <v>65</v>
      </c>
      <c r="G393" s="1032" t="s">
        <v>402</v>
      </c>
      <c r="H393" s="1032" t="s">
        <v>67</v>
      </c>
      <c r="I393" s="1032" t="s">
        <v>869</v>
      </c>
      <c r="J393" s="1032" t="s">
        <v>96</v>
      </c>
      <c r="M393" s="1032" t="s">
        <v>68</v>
      </c>
      <c r="N393" s="1032">
        <v>46104</v>
      </c>
      <c r="O393" s="1032" t="s">
        <v>70</v>
      </c>
      <c r="P393" s="1032" t="s">
        <v>204</v>
      </c>
      <c r="Q393" s="1032" t="s">
        <v>205</v>
      </c>
      <c r="R393" s="1032" t="s">
        <v>73</v>
      </c>
      <c r="S393" s="1032" t="s">
        <v>967</v>
      </c>
      <c r="T393" s="1032">
        <v>455</v>
      </c>
      <c r="U393" s="1032">
        <v>936</v>
      </c>
      <c r="V393" s="1032">
        <v>0.42587999999999998</v>
      </c>
      <c r="W393" s="1032">
        <v>26</v>
      </c>
      <c r="X393" s="1032">
        <v>1</v>
      </c>
      <c r="Y393" s="1032" t="s">
        <v>951</v>
      </c>
      <c r="Z393" s="1032" t="s">
        <v>75</v>
      </c>
      <c r="AB393" s="1033">
        <v>46106</v>
      </c>
      <c r="AC393" s="1032">
        <v>13</v>
      </c>
      <c r="AD393" s="1032" t="s">
        <v>1934</v>
      </c>
      <c r="AF393" s="1032" t="s">
        <v>1935</v>
      </c>
      <c r="AG393" s="1032" t="s">
        <v>61</v>
      </c>
      <c r="AH393" s="1032" t="s">
        <v>78</v>
      </c>
      <c r="AI393" s="1033">
        <v>46110</v>
      </c>
      <c r="AJ393" s="1033">
        <v>46110</v>
      </c>
      <c r="AK393" s="1033">
        <v>46110</v>
      </c>
      <c r="AL393" s="1033">
        <v>46168</v>
      </c>
      <c r="AM393" s="1033">
        <v>46190</v>
      </c>
      <c r="AN393" s="1033">
        <v>46191</v>
      </c>
      <c r="AO393" s="1032" t="s">
        <v>402</v>
      </c>
      <c r="AP393" s="1032" t="s">
        <v>1936</v>
      </c>
      <c r="AQ393" s="1032" t="s">
        <v>80</v>
      </c>
      <c r="AR393" s="1032" t="s">
        <v>1937</v>
      </c>
      <c r="AS393" s="1032" t="s">
        <v>1938</v>
      </c>
      <c r="AT393" s="1032" t="s">
        <v>1938</v>
      </c>
      <c r="AU393" s="1032">
        <v>81</v>
      </c>
      <c r="AW393" s="1033">
        <v>46191</v>
      </c>
      <c r="AX393" s="1032" t="s">
        <v>973</v>
      </c>
      <c r="AY393" s="1033">
        <v>46204</v>
      </c>
      <c r="AZ393" s="1032">
        <v>8</v>
      </c>
      <c r="BA393" s="1033">
        <v>46199</v>
      </c>
      <c r="BB393" s="1032">
        <v>2026</v>
      </c>
      <c r="BC393" s="1032">
        <v>6</v>
      </c>
      <c r="BD393" s="1032">
        <v>26</v>
      </c>
      <c r="BE393" s="1032">
        <v>36</v>
      </c>
      <c r="BF393" s="1032">
        <v>936</v>
      </c>
      <c r="BG393" s="1032" t="s">
        <v>94</v>
      </c>
      <c r="BH393" s="1032" t="s">
        <v>86</v>
      </c>
    </row>
    <row r="394" spans="1:60">
      <c r="A394" s="1032" t="s">
        <v>1939</v>
      </c>
      <c r="B394" s="1032" t="s">
        <v>61</v>
      </c>
      <c r="C394" s="1032" t="s">
        <v>1940</v>
      </c>
      <c r="D394" s="1032" t="s">
        <v>63</v>
      </c>
      <c r="E394" s="1032" t="s">
        <v>64</v>
      </c>
      <c r="F394" s="1032" t="s">
        <v>65</v>
      </c>
      <c r="G394" s="1032" t="s">
        <v>402</v>
      </c>
      <c r="H394" s="1032" t="s">
        <v>67</v>
      </c>
      <c r="I394" s="1032" t="s">
        <v>869</v>
      </c>
      <c r="J394" s="1032" t="s">
        <v>96</v>
      </c>
      <c r="M394" s="1032" t="s">
        <v>68</v>
      </c>
      <c r="N394" s="1032">
        <v>46104</v>
      </c>
      <c r="O394" s="1032" t="s">
        <v>70</v>
      </c>
      <c r="P394" s="1032" t="s">
        <v>91</v>
      </c>
      <c r="Q394" s="1032" t="s">
        <v>92</v>
      </c>
      <c r="R394" s="1032" t="s">
        <v>73</v>
      </c>
      <c r="S394" s="1032" t="s">
        <v>967</v>
      </c>
      <c r="T394" s="1032">
        <v>450</v>
      </c>
      <c r="U394" s="1032">
        <v>936</v>
      </c>
      <c r="V394" s="1032">
        <v>0.42120000000000002</v>
      </c>
      <c r="W394" s="1032">
        <v>26</v>
      </c>
      <c r="X394" s="1032">
        <v>1</v>
      </c>
      <c r="Y394" s="1032" t="s">
        <v>951</v>
      </c>
      <c r="Z394" s="1032" t="s">
        <v>75</v>
      </c>
      <c r="AA394" s="1032" t="s">
        <v>1907</v>
      </c>
      <c r="AB394" s="1033">
        <v>46106</v>
      </c>
      <c r="AC394" s="1032">
        <v>13</v>
      </c>
      <c r="AD394" s="1032" t="s">
        <v>1941</v>
      </c>
      <c r="AF394" s="1032" t="s">
        <v>1935</v>
      </c>
      <c r="AG394" s="1032" t="s">
        <v>61</v>
      </c>
      <c r="AH394" s="1032" t="s">
        <v>78</v>
      </c>
      <c r="AI394" s="1033">
        <v>46110</v>
      </c>
      <c r="AJ394" s="1033">
        <v>46110</v>
      </c>
      <c r="AK394" s="1033">
        <v>46110</v>
      </c>
      <c r="AL394" s="1033">
        <v>46168</v>
      </c>
      <c r="AM394" s="1033">
        <v>46190</v>
      </c>
      <c r="AN394" s="1033">
        <v>46191</v>
      </c>
      <c r="AO394" s="1032" t="s">
        <v>402</v>
      </c>
      <c r="AP394" s="1032" t="s">
        <v>1936</v>
      </c>
      <c r="AQ394" s="1032" t="s">
        <v>80</v>
      </c>
      <c r="AR394" s="1032" t="s">
        <v>1937</v>
      </c>
      <c r="AS394" s="1032" t="s">
        <v>1938</v>
      </c>
      <c r="AT394" s="1032" t="s">
        <v>1938</v>
      </c>
      <c r="AU394" s="1032">
        <v>81</v>
      </c>
      <c r="AW394" s="1033">
        <v>46191</v>
      </c>
      <c r="AX394" s="1032" t="s">
        <v>973</v>
      </c>
      <c r="AY394" s="1033">
        <v>46204</v>
      </c>
      <c r="AZ394" s="1032">
        <v>8</v>
      </c>
      <c r="BA394" s="1033">
        <v>46199</v>
      </c>
      <c r="BB394" s="1032">
        <v>2026</v>
      </c>
      <c r="BC394" s="1032">
        <v>6</v>
      </c>
      <c r="BD394" s="1032">
        <v>26</v>
      </c>
      <c r="BE394" s="1032">
        <v>36</v>
      </c>
      <c r="BF394" s="1032">
        <v>936</v>
      </c>
      <c r="BG394" s="1032" t="s">
        <v>94</v>
      </c>
      <c r="BH394" s="1032" t="s">
        <v>86</v>
      </c>
    </row>
    <row r="395" spans="1:60">
      <c r="A395" s="1032" t="s">
        <v>1942</v>
      </c>
      <c r="B395" s="1032" t="s">
        <v>1757</v>
      </c>
      <c r="C395" s="1032" t="s">
        <v>1593</v>
      </c>
      <c r="D395" s="1032" t="s">
        <v>63</v>
      </c>
      <c r="E395" s="1032" t="s">
        <v>144</v>
      </c>
      <c r="F395" s="1032" t="s">
        <v>145</v>
      </c>
      <c r="G395" s="1032" t="s">
        <v>402</v>
      </c>
      <c r="H395" s="1032" t="s">
        <v>881</v>
      </c>
      <c r="I395" s="1032" t="s">
        <v>689</v>
      </c>
      <c r="J395" s="1032" t="s">
        <v>1758</v>
      </c>
      <c r="K395" s="1032" t="s">
        <v>1759</v>
      </c>
      <c r="M395" s="1032" t="s">
        <v>840</v>
      </c>
      <c r="N395" s="1032">
        <v>46090</v>
      </c>
      <c r="O395" s="1032" t="s">
        <v>70</v>
      </c>
      <c r="P395" s="1032" t="s">
        <v>71</v>
      </c>
      <c r="Q395" s="1032" t="s">
        <v>72</v>
      </c>
      <c r="R395" s="1032" t="s">
        <v>73</v>
      </c>
      <c r="S395" s="1032" t="s">
        <v>967</v>
      </c>
      <c r="T395" s="1032">
        <v>500</v>
      </c>
      <c r="U395" s="1032">
        <v>2592</v>
      </c>
      <c r="V395" s="1032">
        <v>1.296</v>
      </c>
      <c r="W395" s="1032">
        <v>72</v>
      </c>
      <c r="X395" s="1032">
        <v>3</v>
      </c>
      <c r="Y395" s="1032" t="s">
        <v>75</v>
      </c>
      <c r="Z395" s="1032" t="s">
        <v>75</v>
      </c>
      <c r="AA395" s="1032" t="s">
        <v>1760</v>
      </c>
      <c r="AB395" s="1033">
        <v>46117</v>
      </c>
      <c r="AC395" s="1032">
        <v>14</v>
      </c>
      <c r="AD395" s="1032" t="s">
        <v>1943</v>
      </c>
      <c r="AF395" s="1032" t="s">
        <v>1762</v>
      </c>
      <c r="AG395" s="1032" t="s">
        <v>123</v>
      </c>
      <c r="AH395" s="1032" t="s">
        <v>888</v>
      </c>
      <c r="AI395" s="1033">
        <v>46120</v>
      </c>
      <c r="AJ395" s="1033">
        <v>46120</v>
      </c>
      <c r="AK395" s="1033">
        <v>46120</v>
      </c>
      <c r="AL395" s="1033">
        <v>46169</v>
      </c>
      <c r="AM395" s="1033">
        <v>46169</v>
      </c>
      <c r="AN395" s="1033">
        <v>46169</v>
      </c>
      <c r="AO395" s="1032" t="s">
        <v>402</v>
      </c>
      <c r="AP395" s="1032" t="s">
        <v>1944</v>
      </c>
      <c r="AQ395" s="1032" t="s">
        <v>80</v>
      </c>
      <c r="AR395" s="1032" t="s">
        <v>1945</v>
      </c>
      <c r="AS395" s="1032" t="s">
        <v>1946</v>
      </c>
      <c r="AT395" s="1032" t="s">
        <v>1946</v>
      </c>
      <c r="AU395" s="1032">
        <v>49</v>
      </c>
      <c r="AW395" s="1033">
        <v>46169</v>
      </c>
      <c r="AX395" s="1032" t="s">
        <v>973</v>
      </c>
      <c r="AY395" s="1033">
        <v>46182</v>
      </c>
      <c r="AZ395" s="1032">
        <v>0</v>
      </c>
      <c r="BA395" s="1033">
        <v>46169</v>
      </c>
      <c r="BB395" s="1032">
        <v>2026</v>
      </c>
      <c r="BC395" s="1032">
        <v>5</v>
      </c>
      <c r="BD395" s="1032">
        <v>22</v>
      </c>
      <c r="BE395" s="1032">
        <v>36</v>
      </c>
      <c r="BF395" s="1032">
        <v>864</v>
      </c>
      <c r="BG395" s="1032" t="s">
        <v>85</v>
      </c>
      <c r="BH395" s="1032" t="s">
        <v>109</v>
      </c>
    </row>
    <row r="396" spans="1:60">
      <c r="A396" s="1032" t="s">
        <v>1947</v>
      </c>
      <c r="B396" s="1032" t="s">
        <v>1757</v>
      </c>
      <c r="C396" s="1032" t="s">
        <v>1286</v>
      </c>
      <c r="D396" s="1032" t="s">
        <v>63</v>
      </c>
      <c r="E396" s="1032" t="s">
        <v>64</v>
      </c>
      <c r="F396" s="1032" t="s">
        <v>450</v>
      </c>
      <c r="G396" s="1032" t="s">
        <v>402</v>
      </c>
      <c r="H396" s="1032" t="s">
        <v>451</v>
      </c>
      <c r="I396" s="1032" t="s">
        <v>689</v>
      </c>
      <c r="J396" s="1032" t="s">
        <v>1832</v>
      </c>
      <c r="M396" s="1032" t="s">
        <v>68</v>
      </c>
      <c r="N396" s="1032">
        <v>46104</v>
      </c>
      <c r="O396" s="1032" t="s">
        <v>70</v>
      </c>
      <c r="P396" s="1032" t="s">
        <v>1151</v>
      </c>
      <c r="Q396" s="1032" t="s">
        <v>421</v>
      </c>
      <c r="R396" s="1032" t="s">
        <v>73</v>
      </c>
      <c r="S396" s="1032" t="s">
        <v>967</v>
      </c>
      <c r="T396" s="1032">
        <v>505</v>
      </c>
      <c r="U396" s="1032">
        <v>1728</v>
      </c>
      <c r="V396" s="1032">
        <v>0.87263999999999997</v>
      </c>
      <c r="W396" s="1032">
        <v>48</v>
      </c>
      <c r="X396" s="1032">
        <v>2</v>
      </c>
      <c r="Y396" s="1032" t="s">
        <v>75</v>
      </c>
      <c r="Z396" s="1032" t="s">
        <v>75</v>
      </c>
      <c r="AA396" s="1032" t="s">
        <v>1883</v>
      </c>
      <c r="AB396" s="1033">
        <v>46115</v>
      </c>
      <c r="AC396" s="1032">
        <v>14</v>
      </c>
      <c r="AD396" s="1032" t="s">
        <v>1948</v>
      </c>
      <c r="AF396" s="1032" t="s">
        <v>1762</v>
      </c>
      <c r="AG396" s="1032" t="s">
        <v>123</v>
      </c>
      <c r="AH396" s="1032" t="s">
        <v>456</v>
      </c>
      <c r="AI396" s="1033">
        <v>46118</v>
      </c>
      <c r="AJ396" s="1033">
        <v>46118</v>
      </c>
      <c r="AK396" s="1033">
        <v>46119</v>
      </c>
      <c r="AL396" s="1033">
        <v>46155</v>
      </c>
      <c r="AM396" s="1033">
        <v>46166</v>
      </c>
      <c r="AN396" s="1033">
        <v>46167</v>
      </c>
      <c r="AO396" s="1032" t="s">
        <v>402</v>
      </c>
      <c r="AP396" s="1032" t="s">
        <v>1949</v>
      </c>
      <c r="AQ396" s="1032" t="s">
        <v>80</v>
      </c>
      <c r="AR396" s="1032" t="s">
        <v>1950</v>
      </c>
      <c r="AS396" s="1032" t="s">
        <v>1951</v>
      </c>
      <c r="AT396" s="1032" t="s">
        <v>1951</v>
      </c>
      <c r="AU396" s="1032">
        <v>48</v>
      </c>
      <c r="AW396" s="1033">
        <v>46167</v>
      </c>
      <c r="AX396" s="1032" t="s">
        <v>973</v>
      </c>
      <c r="AY396" s="1033">
        <v>46180</v>
      </c>
      <c r="AZ396" s="1032">
        <v>7</v>
      </c>
      <c r="BA396" s="1033">
        <v>46174</v>
      </c>
      <c r="BB396" s="1032">
        <v>2026</v>
      </c>
      <c r="BC396" s="1032">
        <v>6</v>
      </c>
      <c r="BD396" s="1032">
        <v>23</v>
      </c>
      <c r="BE396" s="1032">
        <v>36</v>
      </c>
      <c r="BF396" s="1032">
        <v>864</v>
      </c>
      <c r="BG396" s="1032" t="s">
        <v>85</v>
      </c>
      <c r="BH396" s="1032" t="s">
        <v>109</v>
      </c>
    </row>
    <row r="397" spans="1:60">
      <c r="A397" s="1032" t="s">
        <v>1952</v>
      </c>
      <c r="B397" s="1032" t="s">
        <v>1802</v>
      </c>
      <c r="C397" s="1032" t="s">
        <v>1803</v>
      </c>
      <c r="D397" s="1032" t="s">
        <v>113</v>
      </c>
      <c r="E397" s="1032" t="s">
        <v>144</v>
      </c>
      <c r="F397" s="1032" t="s">
        <v>145</v>
      </c>
      <c r="G397" s="1032" t="s">
        <v>402</v>
      </c>
      <c r="H397" s="1032" t="s">
        <v>1449</v>
      </c>
      <c r="I397" s="1032" t="s">
        <v>822</v>
      </c>
      <c r="J397" s="1032" t="s">
        <v>1854</v>
      </c>
      <c r="K397" s="1032" t="s">
        <v>1805</v>
      </c>
      <c r="M397" s="1032" t="s">
        <v>840</v>
      </c>
      <c r="N397" s="1032">
        <v>46097</v>
      </c>
      <c r="O397" s="1032" t="s">
        <v>70</v>
      </c>
      <c r="P397" s="1032" t="s">
        <v>1806</v>
      </c>
      <c r="Q397" s="1032" t="s">
        <v>1807</v>
      </c>
      <c r="R397" s="1032" t="s">
        <v>331</v>
      </c>
      <c r="S397" s="1032" t="s">
        <v>1808</v>
      </c>
      <c r="T397" s="1032">
        <v>720</v>
      </c>
      <c r="U397" s="1032">
        <v>1782</v>
      </c>
      <c r="V397" s="1032">
        <v>1.28304</v>
      </c>
      <c r="W397" s="1032">
        <v>54</v>
      </c>
      <c r="X397" s="1032">
        <v>3</v>
      </c>
      <c r="Y397" s="1032" t="s">
        <v>75</v>
      </c>
      <c r="Z397" s="1032" t="s">
        <v>75</v>
      </c>
      <c r="AA397" s="1032" t="s">
        <v>1809</v>
      </c>
      <c r="AB397" s="1033">
        <v>46115</v>
      </c>
      <c r="AC397" s="1032">
        <v>14</v>
      </c>
      <c r="AD397" s="1032" t="s">
        <v>1953</v>
      </c>
      <c r="AF397" s="1032" t="s">
        <v>945</v>
      </c>
      <c r="AG397" s="1032" t="s">
        <v>123</v>
      </c>
      <c r="AH397" s="1032" t="s">
        <v>105</v>
      </c>
      <c r="AI397" s="1033">
        <v>46118</v>
      </c>
      <c r="AJ397" s="1033">
        <v>46119</v>
      </c>
      <c r="AK397" s="1033">
        <v>46119</v>
      </c>
      <c r="AL397" s="1033">
        <v>46155</v>
      </c>
      <c r="AM397" s="1033">
        <v>46163</v>
      </c>
      <c r="AN397" s="1033">
        <v>46163</v>
      </c>
      <c r="AO397" s="1032" t="s">
        <v>402</v>
      </c>
      <c r="AP397" s="1032" t="s">
        <v>1949</v>
      </c>
      <c r="AQ397" s="1032" t="s">
        <v>80</v>
      </c>
      <c r="AR397" s="1032" t="s">
        <v>1954</v>
      </c>
      <c r="AS397" s="1032" t="s">
        <v>1955</v>
      </c>
      <c r="AT397" s="1032" t="s">
        <v>1955</v>
      </c>
      <c r="AU397" s="1032">
        <v>44</v>
      </c>
      <c r="AW397" s="1033">
        <v>46163</v>
      </c>
      <c r="AX397" s="1032" t="s">
        <v>973</v>
      </c>
      <c r="AY397" s="1033">
        <v>46154</v>
      </c>
      <c r="AZ397" s="1032">
        <v>0</v>
      </c>
      <c r="BA397" s="1033">
        <v>46163</v>
      </c>
      <c r="BB397" s="1032">
        <v>2026</v>
      </c>
      <c r="BC397" s="1032">
        <v>5</v>
      </c>
      <c r="BD397" s="1032">
        <v>21</v>
      </c>
      <c r="BE397" s="1032">
        <v>33</v>
      </c>
      <c r="BF397" s="1032">
        <v>594</v>
      </c>
      <c r="BG397" s="1032" t="s">
        <v>94</v>
      </c>
      <c r="BH397" s="1032" t="s">
        <v>109</v>
      </c>
    </row>
    <row r="398" spans="1:60">
      <c r="A398" s="1032" t="s">
        <v>1956</v>
      </c>
      <c r="B398" s="1032" t="s">
        <v>1802</v>
      </c>
      <c r="C398" s="1032" t="s">
        <v>1803</v>
      </c>
      <c r="D398" s="1032" t="s">
        <v>113</v>
      </c>
      <c r="E398" s="1032" t="s">
        <v>144</v>
      </c>
      <c r="F398" s="1032" t="s">
        <v>145</v>
      </c>
      <c r="G398" s="1032" t="s">
        <v>402</v>
      </c>
      <c r="H398" s="1032" t="s">
        <v>1449</v>
      </c>
      <c r="I398" s="1032" t="s">
        <v>822</v>
      </c>
      <c r="J398" s="1032" t="s">
        <v>1957</v>
      </c>
      <c r="K398" s="1032" t="s">
        <v>1805</v>
      </c>
      <c r="M398" s="1032" t="s">
        <v>840</v>
      </c>
      <c r="N398" s="1032">
        <v>46104</v>
      </c>
      <c r="O398" s="1032" t="s">
        <v>70</v>
      </c>
      <c r="P398" s="1032" t="s">
        <v>1806</v>
      </c>
      <c r="Q398" s="1032" t="s">
        <v>1807</v>
      </c>
      <c r="R398" s="1032" t="s">
        <v>331</v>
      </c>
      <c r="S398" s="1032" t="s">
        <v>1808</v>
      </c>
      <c r="T398" s="1032">
        <v>720</v>
      </c>
      <c r="U398" s="1032">
        <v>3564</v>
      </c>
      <c r="V398" s="1032">
        <v>2.5660799999999999</v>
      </c>
      <c r="W398" s="1032">
        <v>108</v>
      </c>
      <c r="X398" s="1032">
        <v>6</v>
      </c>
      <c r="Y398" s="1032" t="s">
        <v>75</v>
      </c>
      <c r="Z398" s="1032" t="s">
        <v>75</v>
      </c>
      <c r="AA398" s="1032" t="s">
        <v>1958</v>
      </c>
      <c r="AB398" s="1033">
        <v>46114</v>
      </c>
      <c r="AC398" s="1032">
        <v>14</v>
      </c>
      <c r="AD398" s="1032" t="s">
        <v>1959</v>
      </c>
      <c r="AF398" s="1032" t="s">
        <v>945</v>
      </c>
      <c r="AG398" s="1032" t="s">
        <v>123</v>
      </c>
      <c r="AH398" s="1032" t="s">
        <v>105</v>
      </c>
      <c r="AI398" s="1033">
        <v>46117</v>
      </c>
      <c r="AJ398" s="1033">
        <v>46118</v>
      </c>
      <c r="AK398" s="1033">
        <v>46118</v>
      </c>
      <c r="AL398" s="1033">
        <v>46154</v>
      </c>
      <c r="AM398" s="1033">
        <v>46164</v>
      </c>
      <c r="AN398" s="1033">
        <v>46164</v>
      </c>
      <c r="AO398" s="1032" t="s">
        <v>402</v>
      </c>
      <c r="AP398" s="1032" t="s">
        <v>1960</v>
      </c>
      <c r="AQ398" s="1032" t="s">
        <v>80</v>
      </c>
      <c r="AR398" s="1032" t="s">
        <v>1961</v>
      </c>
      <c r="AS398" s="1032" t="s">
        <v>1962</v>
      </c>
      <c r="AT398" s="1032" t="s">
        <v>1962</v>
      </c>
      <c r="AU398" s="1032">
        <v>46</v>
      </c>
      <c r="AW398" s="1033">
        <v>46164</v>
      </c>
      <c r="AX398" s="1032" t="s">
        <v>973</v>
      </c>
      <c r="AY398" s="1033">
        <v>46153</v>
      </c>
      <c r="AZ398" s="1032">
        <v>0</v>
      </c>
      <c r="BA398" s="1033">
        <v>46164</v>
      </c>
      <c r="BB398" s="1032">
        <v>2026</v>
      </c>
      <c r="BC398" s="1032">
        <v>5</v>
      </c>
      <c r="BD398" s="1032">
        <v>21</v>
      </c>
      <c r="BE398" s="1032">
        <v>33</v>
      </c>
      <c r="BF398" s="1032">
        <v>594</v>
      </c>
      <c r="BG398" s="1032" t="s">
        <v>94</v>
      </c>
      <c r="BH398" s="1032" t="s">
        <v>109</v>
      </c>
    </row>
    <row r="399" spans="1:60">
      <c r="A399" s="1032" t="s">
        <v>1963</v>
      </c>
      <c r="B399" s="1032" t="s">
        <v>1802</v>
      </c>
      <c r="C399" s="1032" t="s">
        <v>1803</v>
      </c>
      <c r="D399" s="1032" t="s">
        <v>113</v>
      </c>
      <c r="E399" s="1032" t="s">
        <v>144</v>
      </c>
      <c r="F399" s="1032" t="s">
        <v>145</v>
      </c>
      <c r="G399" s="1032" t="s">
        <v>402</v>
      </c>
      <c r="H399" s="1032" t="s">
        <v>1449</v>
      </c>
      <c r="I399" s="1032" t="s">
        <v>822</v>
      </c>
      <c r="J399" s="1032" t="s">
        <v>1964</v>
      </c>
      <c r="K399" s="1032" t="s">
        <v>1805</v>
      </c>
      <c r="M399" s="1032" t="s">
        <v>840</v>
      </c>
      <c r="N399" s="1032">
        <v>46104</v>
      </c>
      <c r="O399" s="1032" t="s">
        <v>70</v>
      </c>
      <c r="P399" s="1032" t="s">
        <v>1806</v>
      </c>
      <c r="Q399" s="1032" t="s">
        <v>1807</v>
      </c>
      <c r="R399" s="1032" t="s">
        <v>331</v>
      </c>
      <c r="S399" s="1032" t="s">
        <v>1808</v>
      </c>
      <c r="T399" s="1032">
        <v>720</v>
      </c>
      <c r="U399" s="1032">
        <v>1188</v>
      </c>
      <c r="V399" s="1032">
        <v>0.85536000000000001</v>
      </c>
      <c r="W399" s="1032">
        <v>36</v>
      </c>
      <c r="X399" s="1032">
        <v>2</v>
      </c>
      <c r="Y399" s="1032" t="s">
        <v>75</v>
      </c>
      <c r="Z399" s="1032" t="s">
        <v>75</v>
      </c>
      <c r="AA399" s="1032" t="s">
        <v>1958</v>
      </c>
      <c r="AB399" s="1033">
        <v>46114</v>
      </c>
      <c r="AC399" s="1032">
        <v>14</v>
      </c>
      <c r="AD399" s="1032" t="s">
        <v>1965</v>
      </c>
      <c r="AF399" s="1032" t="s">
        <v>945</v>
      </c>
      <c r="AG399" s="1032" t="s">
        <v>123</v>
      </c>
      <c r="AH399" s="1032" t="s">
        <v>105</v>
      </c>
      <c r="AI399" s="1033">
        <v>46117</v>
      </c>
      <c r="AJ399" s="1033">
        <v>46118</v>
      </c>
      <c r="AK399" s="1033">
        <v>46118</v>
      </c>
      <c r="AL399" s="1033">
        <v>46154</v>
      </c>
      <c r="AM399" s="1033">
        <v>46164</v>
      </c>
      <c r="AN399" s="1033">
        <v>46164</v>
      </c>
      <c r="AO399" s="1032" t="s">
        <v>402</v>
      </c>
      <c r="AP399" s="1032" t="s">
        <v>1960</v>
      </c>
      <c r="AQ399" s="1032" t="s">
        <v>80</v>
      </c>
      <c r="AR399" s="1032" t="s">
        <v>1966</v>
      </c>
      <c r="AS399" s="1032" t="s">
        <v>1967</v>
      </c>
      <c r="AT399" s="1032" t="s">
        <v>1967</v>
      </c>
      <c r="AU399" s="1032">
        <v>46</v>
      </c>
      <c r="AW399" s="1033">
        <v>46164</v>
      </c>
      <c r="AX399" s="1032" t="s">
        <v>973</v>
      </c>
      <c r="AY399" s="1033">
        <v>46153</v>
      </c>
      <c r="AZ399" s="1032">
        <v>0</v>
      </c>
      <c r="BA399" s="1033">
        <v>46164</v>
      </c>
      <c r="BB399" s="1032">
        <v>2026</v>
      </c>
      <c r="BC399" s="1032">
        <v>5</v>
      </c>
      <c r="BD399" s="1032">
        <v>21</v>
      </c>
      <c r="BE399" s="1032">
        <v>33</v>
      </c>
      <c r="BF399" s="1032">
        <v>594</v>
      </c>
      <c r="BG399" s="1032" t="s">
        <v>94</v>
      </c>
      <c r="BH399" s="1032" t="s">
        <v>109</v>
      </c>
    </row>
    <row r="400" spans="1:60">
      <c r="A400" s="1032" t="s">
        <v>1968</v>
      </c>
      <c r="B400" s="1032" t="s">
        <v>1802</v>
      </c>
      <c r="C400" s="1032" t="s">
        <v>1803</v>
      </c>
      <c r="D400" s="1032" t="s">
        <v>113</v>
      </c>
      <c r="E400" s="1032" t="s">
        <v>144</v>
      </c>
      <c r="F400" s="1032" t="s">
        <v>145</v>
      </c>
      <c r="G400" s="1032" t="s">
        <v>402</v>
      </c>
      <c r="H400" s="1032" t="s">
        <v>1449</v>
      </c>
      <c r="I400" s="1032" t="s">
        <v>822</v>
      </c>
      <c r="J400" s="1032" t="s">
        <v>1957</v>
      </c>
      <c r="K400" s="1032" t="s">
        <v>1805</v>
      </c>
      <c r="M400" s="1032" t="s">
        <v>840</v>
      </c>
      <c r="N400" s="1032">
        <v>46104</v>
      </c>
      <c r="O400" s="1032" t="s">
        <v>70</v>
      </c>
      <c r="P400" s="1032" t="s">
        <v>1806</v>
      </c>
      <c r="Q400" s="1032" t="s">
        <v>1807</v>
      </c>
      <c r="R400" s="1032" t="s">
        <v>331</v>
      </c>
      <c r="S400" s="1032" t="s">
        <v>1808</v>
      </c>
      <c r="T400" s="1032">
        <v>720</v>
      </c>
      <c r="U400" s="1032">
        <v>1782</v>
      </c>
      <c r="V400" s="1032">
        <v>1.28304</v>
      </c>
      <c r="W400" s="1032">
        <v>54</v>
      </c>
      <c r="X400" s="1032">
        <v>3</v>
      </c>
      <c r="Y400" s="1032" t="s">
        <v>75</v>
      </c>
      <c r="Z400" s="1032" t="s">
        <v>75</v>
      </c>
      <c r="AA400" s="1032" t="s">
        <v>1958</v>
      </c>
      <c r="AB400" s="1033">
        <v>46114</v>
      </c>
      <c r="AC400" s="1032">
        <v>14</v>
      </c>
      <c r="AD400" s="1032" t="s">
        <v>1969</v>
      </c>
      <c r="AF400" s="1032" t="s">
        <v>945</v>
      </c>
      <c r="AG400" s="1032" t="s">
        <v>123</v>
      </c>
      <c r="AH400" s="1032" t="s">
        <v>105</v>
      </c>
      <c r="AI400" s="1033">
        <v>46117</v>
      </c>
      <c r="AJ400" s="1033">
        <v>46118</v>
      </c>
      <c r="AK400" s="1033">
        <v>46118</v>
      </c>
      <c r="AL400" s="1033">
        <v>46154</v>
      </c>
      <c r="AM400" s="1033">
        <v>46164</v>
      </c>
      <c r="AN400" s="1033">
        <v>46164</v>
      </c>
      <c r="AO400" s="1032" t="s">
        <v>402</v>
      </c>
      <c r="AP400" s="1032" t="s">
        <v>1960</v>
      </c>
      <c r="AQ400" s="1032" t="s">
        <v>80</v>
      </c>
      <c r="AR400" s="1032" t="s">
        <v>1966</v>
      </c>
      <c r="AS400" s="1032" t="s">
        <v>1967</v>
      </c>
      <c r="AT400" s="1032" t="s">
        <v>1967</v>
      </c>
      <c r="AU400" s="1032">
        <v>46</v>
      </c>
      <c r="AW400" s="1033">
        <v>46164</v>
      </c>
      <c r="AX400" s="1032" t="s">
        <v>973</v>
      </c>
      <c r="AY400" s="1033">
        <v>46167</v>
      </c>
      <c r="AZ400" s="1032">
        <v>0</v>
      </c>
      <c r="BA400" s="1033">
        <v>46164</v>
      </c>
      <c r="BB400" s="1032">
        <v>2026</v>
      </c>
      <c r="BC400" s="1032">
        <v>5</v>
      </c>
      <c r="BD400" s="1032">
        <v>21</v>
      </c>
      <c r="BE400" s="1032">
        <v>33</v>
      </c>
      <c r="BF400" s="1032">
        <v>594</v>
      </c>
      <c r="BG400" s="1032" t="s">
        <v>94</v>
      </c>
      <c r="BH400" s="1032" t="s">
        <v>109</v>
      </c>
    </row>
    <row r="401" spans="1:60">
      <c r="A401" s="1032" t="s">
        <v>1970</v>
      </c>
      <c r="B401" s="1032" t="s">
        <v>1802</v>
      </c>
      <c r="C401" s="1032" t="s">
        <v>1803</v>
      </c>
      <c r="D401" s="1032" t="s">
        <v>113</v>
      </c>
      <c r="E401" s="1032" t="s">
        <v>144</v>
      </c>
      <c r="F401" s="1032" t="s">
        <v>145</v>
      </c>
      <c r="G401" s="1032" t="s">
        <v>402</v>
      </c>
      <c r="H401" s="1032" t="s">
        <v>1449</v>
      </c>
      <c r="I401" s="1032" t="s">
        <v>822</v>
      </c>
      <c r="J401" s="1032" t="s">
        <v>1964</v>
      </c>
      <c r="K401" s="1032" t="s">
        <v>1805</v>
      </c>
      <c r="M401" s="1032" t="s">
        <v>840</v>
      </c>
      <c r="N401" s="1032">
        <v>46104</v>
      </c>
      <c r="O401" s="1032" t="s">
        <v>70</v>
      </c>
      <c r="P401" s="1032" t="s">
        <v>1806</v>
      </c>
      <c r="Q401" s="1032" t="s">
        <v>1807</v>
      </c>
      <c r="R401" s="1032" t="s">
        <v>331</v>
      </c>
      <c r="S401" s="1032" t="s">
        <v>1808</v>
      </c>
      <c r="T401" s="1032">
        <v>720</v>
      </c>
      <c r="U401" s="1032">
        <v>594</v>
      </c>
      <c r="V401" s="1032">
        <v>0.42768</v>
      </c>
      <c r="W401" s="1032">
        <v>18</v>
      </c>
      <c r="X401" s="1032">
        <v>1</v>
      </c>
      <c r="Y401" s="1032" t="s">
        <v>75</v>
      </c>
      <c r="Z401" s="1032" t="s">
        <v>75</v>
      </c>
      <c r="AA401" s="1032" t="s">
        <v>1958</v>
      </c>
      <c r="AB401" s="1033">
        <v>46113</v>
      </c>
      <c r="AC401" s="1032">
        <v>14</v>
      </c>
      <c r="AD401" s="1032" t="s">
        <v>1971</v>
      </c>
      <c r="AF401" s="1032" t="s">
        <v>945</v>
      </c>
      <c r="AG401" s="1032" t="s">
        <v>123</v>
      </c>
      <c r="AH401" s="1032" t="s">
        <v>105</v>
      </c>
      <c r="AI401" s="1033">
        <v>46116</v>
      </c>
      <c r="AJ401" s="1033">
        <v>46117</v>
      </c>
      <c r="AK401" s="1033">
        <v>46117</v>
      </c>
      <c r="AL401" s="1033">
        <v>46158</v>
      </c>
      <c r="AM401" s="1033">
        <v>46159</v>
      </c>
      <c r="AN401" s="1033">
        <v>46159</v>
      </c>
      <c r="AO401" s="1032" t="s">
        <v>402</v>
      </c>
      <c r="AP401" s="1032" t="s">
        <v>1972</v>
      </c>
      <c r="AQ401" s="1032" t="s">
        <v>80</v>
      </c>
      <c r="AR401" s="1032" t="s">
        <v>1973</v>
      </c>
      <c r="AS401" s="1032" t="s">
        <v>1974</v>
      </c>
      <c r="AT401" s="1032" t="s">
        <v>1974</v>
      </c>
      <c r="AU401" s="1032">
        <v>42</v>
      </c>
      <c r="AW401" s="1033">
        <v>46159</v>
      </c>
      <c r="AX401" s="1032" t="s">
        <v>973</v>
      </c>
      <c r="AY401" s="1033">
        <v>46156</v>
      </c>
      <c r="AZ401" s="1032">
        <v>0</v>
      </c>
      <c r="BA401" s="1033">
        <v>46159</v>
      </c>
      <c r="BB401" s="1032">
        <v>2026</v>
      </c>
      <c r="BC401" s="1032">
        <v>5</v>
      </c>
      <c r="BD401" s="1032">
        <v>20</v>
      </c>
      <c r="BE401" s="1032">
        <v>33</v>
      </c>
      <c r="BF401" s="1032">
        <v>594</v>
      </c>
      <c r="BG401" s="1032" t="s">
        <v>94</v>
      </c>
      <c r="BH401" s="1032" t="s">
        <v>109</v>
      </c>
    </row>
    <row r="402" spans="1:60">
      <c r="A402" s="1032" t="s">
        <v>1975</v>
      </c>
      <c r="B402" s="1032" t="s">
        <v>111</v>
      </c>
      <c r="C402" s="1032" t="s">
        <v>1976</v>
      </c>
      <c r="D402" s="1032" t="s">
        <v>63</v>
      </c>
      <c r="E402" s="1032" t="s">
        <v>64</v>
      </c>
      <c r="F402" s="1032" t="s">
        <v>310</v>
      </c>
      <c r="G402" s="1032" t="s">
        <v>402</v>
      </c>
      <c r="H402" s="1032" t="s">
        <v>311</v>
      </c>
      <c r="I402" s="1032" t="s">
        <v>882</v>
      </c>
      <c r="J402" s="1032" t="s">
        <v>96</v>
      </c>
      <c r="M402" s="1032" t="s">
        <v>68</v>
      </c>
      <c r="N402" s="1032">
        <v>46111</v>
      </c>
      <c r="O402" s="1032" t="s">
        <v>170</v>
      </c>
      <c r="P402" s="1032" t="s">
        <v>1977</v>
      </c>
      <c r="Q402" s="1032" t="s">
        <v>1978</v>
      </c>
      <c r="R402" s="1032" t="s">
        <v>73</v>
      </c>
      <c r="S402" s="1032" t="s">
        <v>992</v>
      </c>
      <c r="T402" s="1032">
        <v>560</v>
      </c>
      <c r="U402" s="1032">
        <v>3300</v>
      </c>
      <c r="V402" s="1032">
        <v>1.8480000000000001</v>
      </c>
      <c r="W402" s="1032">
        <v>100</v>
      </c>
      <c r="X402" s="1032">
        <v>5</v>
      </c>
      <c r="Y402" s="1032" t="s">
        <v>75</v>
      </c>
      <c r="Z402" s="1032" t="s">
        <v>75</v>
      </c>
      <c r="AB402" s="1033">
        <v>46113</v>
      </c>
      <c r="AC402" s="1032">
        <v>14</v>
      </c>
      <c r="AD402" s="1032" t="s">
        <v>1979</v>
      </c>
      <c r="AF402" s="1032" t="s">
        <v>945</v>
      </c>
      <c r="AG402" s="1032" t="s">
        <v>123</v>
      </c>
      <c r="AH402" s="1032" t="s">
        <v>314</v>
      </c>
      <c r="AI402" s="1033">
        <v>46115</v>
      </c>
      <c r="AJ402" s="1033">
        <v>46119</v>
      </c>
      <c r="AK402" s="1033">
        <v>46119</v>
      </c>
      <c r="AL402" s="1033">
        <v>46162</v>
      </c>
      <c r="AM402" s="1033">
        <v>46169</v>
      </c>
      <c r="AN402" s="1033">
        <v>46169</v>
      </c>
      <c r="AO402" s="1032" t="s">
        <v>402</v>
      </c>
      <c r="AP402" s="1032" t="s">
        <v>1980</v>
      </c>
      <c r="AQ402" s="1032" t="s">
        <v>80</v>
      </c>
      <c r="AR402" s="1032" t="s">
        <v>1981</v>
      </c>
      <c r="AS402" s="1032" t="s">
        <v>1982</v>
      </c>
      <c r="AT402" s="1032" t="s">
        <v>1982</v>
      </c>
      <c r="AU402" s="1032">
        <v>50</v>
      </c>
      <c r="AW402" s="1033">
        <v>46169</v>
      </c>
      <c r="AX402" s="1032" t="s">
        <v>973</v>
      </c>
      <c r="AY402" s="1033">
        <v>46182</v>
      </c>
      <c r="AZ402" s="1032">
        <v>13</v>
      </c>
      <c r="BA402" s="1033">
        <v>46182</v>
      </c>
      <c r="BB402" s="1032">
        <v>2026</v>
      </c>
      <c r="BC402" s="1032">
        <v>6</v>
      </c>
      <c r="BD402" s="1032">
        <v>24</v>
      </c>
      <c r="BE402" s="1032">
        <v>33</v>
      </c>
      <c r="BF402" s="1032">
        <v>660</v>
      </c>
      <c r="BG402" s="1032" t="s">
        <v>108</v>
      </c>
      <c r="BH402" s="1032" t="s">
        <v>86</v>
      </c>
    </row>
    <row r="403" spans="1:60">
      <c r="A403" s="1032" t="s">
        <v>1983</v>
      </c>
      <c r="B403" s="1032" t="s">
        <v>111</v>
      </c>
      <c r="C403" s="1032" t="s">
        <v>1729</v>
      </c>
      <c r="D403" s="1032" t="s">
        <v>63</v>
      </c>
      <c r="E403" s="1032" t="s">
        <v>64</v>
      </c>
      <c r="F403" s="1032" t="s">
        <v>310</v>
      </c>
      <c r="G403" s="1032" t="s">
        <v>402</v>
      </c>
      <c r="H403" s="1032" t="s">
        <v>311</v>
      </c>
      <c r="I403" s="1032" t="s">
        <v>1395</v>
      </c>
      <c r="J403" s="1032" t="s">
        <v>96</v>
      </c>
      <c r="M403" s="1032" t="s">
        <v>68</v>
      </c>
      <c r="N403" s="1032">
        <v>46111</v>
      </c>
      <c r="O403" s="1032" t="s">
        <v>170</v>
      </c>
      <c r="P403" s="1032" t="s">
        <v>171</v>
      </c>
      <c r="Q403" s="1032" t="s">
        <v>1731</v>
      </c>
      <c r="R403" s="1032" t="s">
        <v>73</v>
      </c>
      <c r="S403" s="1032" t="s">
        <v>992</v>
      </c>
      <c r="T403" s="1032">
        <v>555</v>
      </c>
      <c r="U403" s="1032">
        <v>1980</v>
      </c>
      <c r="V403" s="1032">
        <v>1.0989</v>
      </c>
      <c r="W403" s="1032">
        <v>60</v>
      </c>
      <c r="X403" s="1032">
        <v>3</v>
      </c>
      <c r="Y403" s="1032" t="s">
        <v>75</v>
      </c>
      <c r="Z403" s="1032" t="s">
        <v>75</v>
      </c>
      <c r="AB403" s="1033">
        <v>46113</v>
      </c>
      <c r="AC403" s="1032">
        <v>14</v>
      </c>
      <c r="AD403" s="1032" t="s">
        <v>1984</v>
      </c>
      <c r="AF403" s="1032" t="s">
        <v>945</v>
      </c>
      <c r="AG403" s="1032" t="s">
        <v>123</v>
      </c>
      <c r="AH403" s="1032" t="s">
        <v>314</v>
      </c>
      <c r="AI403" s="1033">
        <v>46115</v>
      </c>
      <c r="AJ403" s="1033">
        <v>46119</v>
      </c>
      <c r="AK403" s="1033">
        <v>46119</v>
      </c>
      <c r="AL403" s="1033">
        <v>46162</v>
      </c>
      <c r="AM403" s="1033">
        <v>46169</v>
      </c>
      <c r="AN403" s="1033">
        <v>46169</v>
      </c>
      <c r="AO403" s="1032" t="s">
        <v>402</v>
      </c>
      <c r="AP403" s="1032" t="s">
        <v>1980</v>
      </c>
      <c r="AQ403" s="1032" t="s">
        <v>80</v>
      </c>
      <c r="AR403" s="1032" t="s">
        <v>1981</v>
      </c>
      <c r="AS403" s="1032" t="s">
        <v>1982</v>
      </c>
      <c r="AT403" s="1032" t="s">
        <v>1982</v>
      </c>
      <c r="AU403" s="1032">
        <v>50</v>
      </c>
      <c r="AW403" s="1033">
        <v>46169</v>
      </c>
      <c r="AX403" s="1032" t="s">
        <v>973</v>
      </c>
      <c r="AY403" s="1033">
        <v>46182</v>
      </c>
      <c r="AZ403" s="1032">
        <v>13</v>
      </c>
      <c r="BA403" s="1033">
        <v>46182</v>
      </c>
      <c r="BB403" s="1032">
        <v>2026</v>
      </c>
      <c r="BC403" s="1032">
        <v>6</v>
      </c>
      <c r="BD403" s="1032">
        <v>24</v>
      </c>
      <c r="BE403" s="1032">
        <v>33</v>
      </c>
      <c r="BF403" s="1032">
        <v>660</v>
      </c>
      <c r="BG403" s="1032" t="s">
        <v>108</v>
      </c>
      <c r="BH403" s="1032" t="s">
        <v>86</v>
      </c>
    </row>
    <row r="404" spans="1:60">
      <c r="A404" s="1032" t="s">
        <v>1985</v>
      </c>
      <c r="B404" s="1032" t="s">
        <v>111</v>
      </c>
      <c r="C404" s="1032" t="s">
        <v>1976</v>
      </c>
      <c r="D404" s="1032" t="s">
        <v>63</v>
      </c>
      <c r="E404" s="1032" t="s">
        <v>64</v>
      </c>
      <c r="F404" s="1032" t="s">
        <v>310</v>
      </c>
      <c r="G404" s="1032" t="s">
        <v>402</v>
      </c>
      <c r="H404" s="1032" t="s">
        <v>311</v>
      </c>
      <c r="I404" s="1032" t="s">
        <v>882</v>
      </c>
      <c r="J404" s="1032" t="s">
        <v>96</v>
      </c>
      <c r="M404" s="1032" t="s">
        <v>68</v>
      </c>
      <c r="N404" s="1032">
        <v>46111</v>
      </c>
      <c r="O404" s="1032" t="s">
        <v>170</v>
      </c>
      <c r="P404" s="1032" t="s">
        <v>1977</v>
      </c>
      <c r="Q404" s="1032" t="s">
        <v>1978</v>
      </c>
      <c r="R404" s="1032" t="s">
        <v>73</v>
      </c>
      <c r="S404" s="1032" t="s">
        <v>992</v>
      </c>
      <c r="T404" s="1032">
        <v>560</v>
      </c>
      <c r="U404" s="1032">
        <v>5940</v>
      </c>
      <c r="V404" s="1032">
        <v>3.3264</v>
      </c>
      <c r="W404" s="1032">
        <v>180</v>
      </c>
      <c r="X404" s="1032">
        <v>9</v>
      </c>
      <c r="Y404" s="1032" t="s">
        <v>75</v>
      </c>
      <c r="Z404" s="1032" t="s">
        <v>75</v>
      </c>
      <c r="AA404" s="1032" t="s">
        <v>1986</v>
      </c>
      <c r="AB404" s="1033">
        <v>46113</v>
      </c>
      <c r="AC404" s="1032">
        <v>14</v>
      </c>
      <c r="AD404" s="1032" t="s">
        <v>1987</v>
      </c>
      <c r="AF404" s="1032" t="s">
        <v>945</v>
      </c>
      <c r="AG404" s="1032" t="s">
        <v>123</v>
      </c>
      <c r="AH404" s="1032" t="s">
        <v>314</v>
      </c>
      <c r="AI404" s="1033">
        <v>46116</v>
      </c>
      <c r="AJ404" s="1033">
        <v>46119</v>
      </c>
      <c r="AK404" s="1033">
        <v>46119</v>
      </c>
      <c r="AL404" s="1033">
        <v>46162</v>
      </c>
      <c r="AM404" s="1033">
        <v>46169</v>
      </c>
      <c r="AN404" s="1033">
        <v>46169</v>
      </c>
      <c r="AO404" s="1032" t="s">
        <v>402</v>
      </c>
      <c r="AP404" s="1032" t="s">
        <v>1980</v>
      </c>
      <c r="AQ404" s="1032" t="s">
        <v>80</v>
      </c>
      <c r="AR404" s="1032" t="s">
        <v>1988</v>
      </c>
      <c r="AS404" s="1032" t="s">
        <v>1989</v>
      </c>
      <c r="AT404" s="1032" t="s">
        <v>1989</v>
      </c>
      <c r="AU404" s="1032">
        <v>50</v>
      </c>
      <c r="AW404" s="1033">
        <v>46169</v>
      </c>
      <c r="AX404" s="1032" t="s">
        <v>973</v>
      </c>
      <c r="AY404" s="1033">
        <v>46182</v>
      </c>
      <c r="AZ404" s="1032">
        <v>13</v>
      </c>
      <c r="BA404" s="1033">
        <v>46182</v>
      </c>
      <c r="BB404" s="1032">
        <v>2026</v>
      </c>
      <c r="BC404" s="1032">
        <v>6</v>
      </c>
      <c r="BD404" s="1032">
        <v>24</v>
      </c>
      <c r="BE404" s="1032">
        <v>33</v>
      </c>
      <c r="BF404" s="1032">
        <v>660</v>
      </c>
      <c r="BG404" s="1032" t="s">
        <v>108</v>
      </c>
      <c r="BH404" s="1032" t="s">
        <v>86</v>
      </c>
    </row>
    <row r="405" spans="1:60">
      <c r="A405" s="1032" t="s">
        <v>1990</v>
      </c>
      <c r="B405" s="1032" t="s">
        <v>111</v>
      </c>
      <c r="C405" s="1032" t="s">
        <v>1976</v>
      </c>
      <c r="D405" s="1032" t="s">
        <v>63</v>
      </c>
      <c r="E405" s="1032" t="s">
        <v>64</v>
      </c>
      <c r="F405" s="1032" t="s">
        <v>65</v>
      </c>
      <c r="G405" s="1032" t="s">
        <v>402</v>
      </c>
      <c r="H405" s="1032" t="s">
        <v>67</v>
      </c>
      <c r="I405" s="1032" t="s">
        <v>882</v>
      </c>
      <c r="J405" s="1032" t="s">
        <v>69</v>
      </c>
      <c r="M405" s="1032" t="s">
        <v>68</v>
      </c>
      <c r="N405" s="1032">
        <v>46111</v>
      </c>
      <c r="O405" s="1032" t="s">
        <v>170</v>
      </c>
      <c r="P405" s="1032" t="s">
        <v>1977</v>
      </c>
      <c r="Q405" s="1032" t="s">
        <v>1978</v>
      </c>
      <c r="R405" s="1032" t="s">
        <v>73</v>
      </c>
      <c r="S405" s="1032" t="s">
        <v>992</v>
      </c>
      <c r="T405" s="1032">
        <v>560</v>
      </c>
      <c r="U405" s="1032">
        <v>3267</v>
      </c>
      <c r="V405" s="1032">
        <v>1.82952</v>
      </c>
      <c r="W405" s="1032">
        <v>99</v>
      </c>
      <c r="X405" s="1032">
        <v>4.95</v>
      </c>
      <c r="Y405" s="1032" t="s">
        <v>75</v>
      </c>
      <c r="Z405" s="1032" t="s">
        <v>75</v>
      </c>
      <c r="AA405" s="1032" t="s">
        <v>1991</v>
      </c>
      <c r="AB405" s="1033">
        <v>46116</v>
      </c>
      <c r="AC405" s="1032">
        <v>14</v>
      </c>
      <c r="AD405" s="1032" t="s">
        <v>1992</v>
      </c>
      <c r="AF405" s="1032" t="s">
        <v>945</v>
      </c>
      <c r="AG405" s="1032" t="s">
        <v>123</v>
      </c>
      <c r="AH405" s="1032" t="s">
        <v>78</v>
      </c>
      <c r="AI405" s="1033">
        <v>46119</v>
      </c>
      <c r="AJ405" s="1033">
        <v>46120</v>
      </c>
      <c r="AK405" s="1033">
        <v>46120</v>
      </c>
      <c r="AL405" s="1033">
        <v>46168</v>
      </c>
      <c r="AM405" s="1033">
        <v>46166</v>
      </c>
      <c r="AN405" s="1033">
        <v>46164</v>
      </c>
      <c r="AO405" s="1032" t="s">
        <v>402</v>
      </c>
      <c r="AP405" s="1032" t="s">
        <v>1993</v>
      </c>
      <c r="AQ405" s="1032" t="s">
        <v>80</v>
      </c>
      <c r="AR405" s="1032" t="s">
        <v>1994</v>
      </c>
      <c r="AS405" s="1032" t="s">
        <v>1995</v>
      </c>
      <c r="AT405" s="1032" t="s">
        <v>1995</v>
      </c>
      <c r="AU405" s="1032">
        <v>44</v>
      </c>
      <c r="AW405" s="1033">
        <v>46164</v>
      </c>
      <c r="AX405" s="1032" t="s">
        <v>973</v>
      </c>
      <c r="AY405" s="1033">
        <v>46177</v>
      </c>
      <c r="AZ405" s="1032">
        <v>8</v>
      </c>
      <c r="BA405" s="1033">
        <v>46172</v>
      </c>
      <c r="BB405" s="1032">
        <v>2026</v>
      </c>
      <c r="BC405" s="1032">
        <v>5</v>
      </c>
      <c r="BD405" s="1032">
        <v>22</v>
      </c>
      <c r="BE405" s="1032">
        <v>33</v>
      </c>
      <c r="BF405" s="1032">
        <v>660</v>
      </c>
      <c r="BG405" s="1032" t="s">
        <v>108</v>
      </c>
      <c r="BH405" s="1032" t="s">
        <v>86</v>
      </c>
    </row>
    <row r="406" spans="1:60">
      <c r="A406" s="1032" t="s">
        <v>1996</v>
      </c>
      <c r="B406" s="1032" t="s">
        <v>111</v>
      </c>
      <c r="C406" s="1032" t="s">
        <v>1729</v>
      </c>
      <c r="D406" s="1032" t="s">
        <v>63</v>
      </c>
      <c r="E406" s="1032" t="s">
        <v>64</v>
      </c>
      <c r="F406" s="1032" t="s">
        <v>310</v>
      </c>
      <c r="G406" s="1032" t="s">
        <v>402</v>
      </c>
      <c r="H406" s="1032" t="s">
        <v>311</v>
      </c>
      <c r="I406" s="1032" t="s">
        <v>1395</v>
      </c>
      <c r="J406" s="1032" t="s">
        <v>96</v>
      </c>
      <c r="M406" s="1032" t="s">
        <v>68</v>
      </c>
      <c r="N406" s="1032">
        <v>46111</v>
      </c>
      <c r="O406" s="1032" t="s">
        <v>170</v>
      </c>
      <c r="P406" s="1032" t="s">
        <v>171</v>
      </c>
      <c r="Q406" s="1032" t="s">
        <v>1731</v>
      </c>
      <c r="R406" s="1032" t="s">
        <v>73</v>
      </c>
      <c r="S406" s="1032" t="s">
        <v>992</v>
      </c>
      <c r="T406" s="1032">
        <v>555</v>
      </c>
      <c r="U406" s="1032">
        <v>3300</v>
      </c>
      <c r="V406" s="1032">
        <v>1.8314999999999999</v>
      </c>
      <c r="W406" s="1032">
        <v>100</v>
      </c>
      <c r="X406" s="1032">
        <v>5</v>
      </c>
      <c r="Y406" s="1032" t="s">
        <v>951</v>
      </c>
      <c r="Z406" s="1032" t="s">
        <v>75</v>
      </c>
      <c r="AA406" s="1032" t="s">
        <v>1997</v>
      </c>
      <c r="AB406" s="1033">
        <v>46117</v>
      </c>
      <c r="AC406" s="1032">
        <v>14</v>
      </c>
      <c r="AD406" s="1032" t="s">
        <v>1998</v>
      </c>
      <c r="AF406" s="1032" t="s">
        <v>1999</v>
      </c>
      <c r="AG406" s="1032" t="s">
        <v>123</v>
      </c>
      <c r="AH406" s="1032" t="s">
        <v>1561</v>
      </c>
      <c r="AI406" s="1033">
        <v>46124</v>
      </c>
      <c r="AJ406" s="1033">
        <v>46125</v>
      </c>
      <c r="AK406" s="1033">
        <v>46125</v>
      </c>
      <c r="AL406" s="1033">
        <v>46167</v>
      </c>
      <c r="AM406" s="1033">
        <v>46182</v>
      </c>
      <c r="AN406" s="1033">
        <v>46182</v>
      </c>
      <c r="AO406" s="1032" t="s">
        <v>402</v>
      </c>
      <c r="AP406" s="1032" t="s">
        <v>2000</v>
      </c>
      <c r="AQ406" s="1032" t="s">
        <v>80</v>
      </c>
      <c r="AR406" s="1032" t="s">
        <v>2001</v>
      </c>
      <c r="AS406" s="1032" t="s">
        <v>2002</v>
      </c>
      <c r="AT406" s="1032" t="s">
        <v>2002</v>
      </c>
      <c r="AU406" s="1032">
        <v>57</v>
      </c>
      <c r="AW406" s="1033">
        <v>46182</v>
      </c>
      <c r="AX406" s="1032" t="s">
        <v>973</v>
      </c>
      <c r="AY406" s="1033">
        <v>46201</v>
      </c>
      <c r="AZ406" s="1032">
        <v>13</v>
      </c>
      <c r="BA406" s="1033">
        <v>46195</v>
      </c>
      <c r="BB406" s="1032">
        <v>2026</v>
      </c>
      <c r="BC406" s="1032">
        <v>6</v>
      </c>
      <c r="BD406" s="1032">
        <v>26</v>
      </c>
      <c r="BE406" s="1032">
        <v>33</v>
      </c>
      <c r="BF406" s="1032">
        <v>660</v>
      </c>
      <c r="BG406" s="1032" t="s">
        <v>108</v>
      </c>
      <c r="BH406" s="1032" t="s">
        <v>86</v>
      </c>
    </row>
    <row r="407" spans="1:60">
      <c r="A407" s="1032" t="s">
        <v>2003</v>
      </c>
      <c r="B407" s="1032" t="s">
        <v>61</v>
      </c>
      <c r="C407" s="1032" t="s">
        <v>1838</v>
      </c>
      <c r="D407" s="1032" t="s">
        <v>63</v>
      </c>
      <c r="E407" s="1032" t="s">
        <v>64</v>
      </c>
      <c r="F407" s="1032" t="s">
        <v>65</v>
      </c>
      <c r="G407" s="1032" t="s">
        <v>402</v>
      </c>
      <c r="H407" s="1032" t="s">
        <v>67</v>
      </c>
      <c r="I407" s="1032" t="s">
        <v>2004</v>
      </c>
      <c r="J407" s="1032" t="s">
        <v>96</v>
      </c>
      <c r="M407" s="1032" t="s">
        <v>68</v>
      </c>
      <c r="N407" s="1032">
        <v>46111</v>
      </c>
      <c r="O407" s="1032" t="s">
        <v>70</v>
      </c>
      <c r="P407" s="1032" t="s">
        <v>204</v>
      </c>
      <c r="Q407" s="1032" t="s">
        <v>205</v>
      </c>
      <c r="R407" s="1032" t="s">
        <v>73</v>
      </c>
      <c r="S407" s="1032" t="s">
        <v>967</v>
      </c>
      <c r="T407" s="1032">
        <v>455</v>
      </c>
      <c r="U407" s="1032">
        <v>1872</v>
      </c>
      <c r="V407" s="1032">
        <v>0.85175999999999996</v>
      </c>
      <c r="W407" s="1032">
        <v>52</v>
      </c>
      <c r="X407" s="1032">
        <v>2</v>
      </c>
      <c r="Y407" s="1032" t="s">
        <v>75</v>
      </c>
      <c r="Z407" s="1032" t="s">
        <v>75</v>
      </c>
      <c r="AA407" s="1032" t="s">
        <v>1896</v>
      </c>
      <c r="AB407" s="1033">
        <v>46111</v>
      </c>
      <c r="AC407" s="1032">
        <v>14</v>
      </c>
      <c r="AD407" s="1032" t="s">
        <v>2005</v>
      </c>
      <c r="AF407" s="1032" t="s">
        <v>1935</v>
      </c>
      <c r="AG407" s="1032" t="s">
        <v>61</v>
      </c>
      <c r="AH407" s="1032" t="s">
        <v>78</v>
      </c>
      <c r="AI407" s="1033">
        <v>46116</v>
      </c>
      <c r="AJ407" s="1033">
        <v>46116</v>
      </c>
      <c r="AK407" s="1033">
        <v>46117</v>
      </c>
      <c r="AL407" s="1033">
        <v>46181</v>
      </c>
      <c r="AM407" s="1033">
        <v>46171</v>
      </c>
      <c r="AN407" s="1033">
        <v>46175</v>
      </c>
      <c r="AO407" s="1032" t="s">
        <v>402</v>
      </c>
      <c r="AP407" s="1032" t="s">
        <v>2006</v>
      </c>
      <c r="AQ407" s="1032" t="s">
        <v>80</v>
      </c>
      <c r="AR407" s="1032" t="s">
        <v>2007</v>
      </c>
      <c r="AS407" s="1032" t="s">
        <v>2008</v>
      </c>
      <c r="AT407" s="1032" t="s">
        <v>2008</v>
      </c>
      <c r="AU407" s="1032">
        <v>58</v>
      </c>
      <c r="AW407" s="1033">
        <v>46175</v>
      </c>
      <c r="AX407" s="1032" t="s">
        <v>973</v>
      </c>
      <c r="AY407" s="1033">
        <v>46187</v>
      </c>
      <c r="AZ407" s="1032">
        <v>8</v>
      </c>
      <c r="BA407" s="1033">
        <v>46183</v>
      </c>
      <c r="BB407" s="1032">
        <v>2026</v>
      </c>
      <c r="BC407" s="1032">
        <v>6</v>
      </c>
      <c r="BD407" s="1032">
        <v>24</v>
      </c>
      <c r="BE407" s="1032">
        <v>36</v>
      </c>
      <c r="BF407" s="1032">
        <v>936</v>
      </c>
      <c r="BG407" s="1032" t="s">
        <v>94</v>
      </c>
      <c r="BH407" s="1032" t="s">
        <v>86</v>
      </c>
    </row>
    <row r="408" spans="1:60">
      <c r="A408" s="1032" t="s">
        <v>2009</v>
      </c>
      <c r="B408" s="1032" t="s">
        <v>61</v>
      </c>
      <c r="C408" s="1032" t="s">
        <v>1838</v>
      </c>
      <c r="D408" s="1032" t="s">
        <v>63</v>
      </c>
      <c r="E408" s="1032" t="s">
        <v>64</v>
      </c>
      <c r="F408" s="1032" t="s">
        <v>65</v>
      </c>
      <c r="G408" s="1032" t="s">
        <v>402</v>
      </c>
      <c r="H408" s="1032" t="s">
        <v>67</v>
      </c>
      <c r="I408" s="1032" t="s">
        <v>2004</v>
      </c>
      <c r="J408" s="1032" t="s">
        <v>96</v>
      </c>
      <c r="M408" s="1032" t="s">
        <v>68</v>
      </c>
      <c r="N408" s="1032">
        <v>46111</v>
      </c>
      <c r="O408" s="1032" t="s">
        <v>70</v>
      </c>
      <c r="P408" s="1032" t="s">
        <v>204</v>
      </c>
      <c r="Q408" s="1032" t="s">
        <v>205</v>
      </c>
      <c r="R408" s="1032" t="s">
        <v>73</v>
      </c>
      <c r="S408" s="1032" t="s">
        <v>967</v>
      </c>
      <c r="T408" s="1032">
        <v>455</v>
      </c>
      <c r="U408" s="1032">
        <v>3744</v>
      </c>
      <c r="V408" s="1032">
        <v>1.7035199999999999</v>
      </c>
      <c r="W408" s="1032">
        <v>104</v>
      </c>
      <c r="X408" s="1032">
        <v>4</v>
      </c>
      <c r="Y408" s="1032" t="s">
        <v>75</v>
      </c>
      <c r="Z408" s="1032" t="s">
        <v>75</v>
      </c>
      <c r="AA408" s="1032" t="s">
        <v>1896</v>
      </c>
      <c r="AB408" s="1033">
        <v>46111</v>
      </c>
      <c r="AC408" s="1032">
        <v>14</v>
      </c>
      <c r="AD408" s="1032" t="s">
        <v>2010</v>
      </c>
      <c r="AF408" s="1032" t="s">
        <v>1935</v>
      </c>
      <c r="AG408" s="1032" t="s">
        <v>61</v>
      </c>
      <c r="AH408" s="1032" t="s">
        <v>78</v>
      </c>
      <c r="AI408" s="1033">
        <v>46116</v>
      </c>
      <c r="AJ408" s="1033">
        <v>46116</v>
      </c>
      <c r="AK408" s="1033">
        <v>46117</v>
      </c>
      <c r="AL408" s="1033">
        <v>46181</v>
      </c>
      <c r="AM408" s="1033">
        <v>46181</v>
      </c>
      <c r="AN408" s="1033">
        <v>46179</v>
      </c>
      <c r="AO408" s="1032" t="s">
        <v>402</v>
      </c>
      <c r="AP408" s="1032" t="s">
        <v>2006</v>
      </c>
      <c r="AQ408" s="1032" t="s">
        <v>80</v>
      </c>
      <c r="AR408" s="1032" t="s">
        <v>2011</v>
      </c>
      <c r="AS408" s="1032" t="s">
        <v>2012</v>
      </c>
      <c r="AT408" s="1032" t="s">
        <v>2012</v>
      </c>
      <c r="AU408" s="1032">
        <v>62</v>
      </c>
      <c r="AW408" s="1033">
        <v>46179</v>
      </c>
      <c r="AX408" s="1032" t="s">
        <v>973</v>
      </c>
      <c r="AY408" s="1033">
        <v>46191</v>
      </c>
      <c r="AZ408" s="1032">
        <v>8</v>
      </c>
      <c r="BA408" s="1033">
        <v>46187</v>
      </c>
      <c r="BB408" s="1032">
        <v>2026</v>
      </c>
      <c r="BC408" s="1032">
        <v>6</v>
      </c>
      <c r="BD408" s="1032">
        <v>24</v>
      </c>
      <c r="BE408" s="1032">
        <v>36</v>
      </c>
      <c r="BF408" s="1032">
        <v>936</v>
      </c>
      <c r="BG408" s="1032" t="s">
        <v>94</v>
      </c>
      <c r="BH408" s="1032" t="s">
        <v>86</v>
      </c>
    </row>
    <row r="409" spans="1:60">
      <c r="A409" s="1032" t="s">
        <v>2013</v>
      </c>
      <c r="B409" s="1032" t="s">
        <v>61</v>
      </c>
      <c r="C409" s="1032" t="s">
        <v>1940</v>
      </c>
      <c r="D409" s="1032" t="s">
        <v>63</v>
      </c>
      <c r="E409" s="1032" t="s">
        <v>64</v>
      </c>
      <c r="F409" s="1032" t="s">
        <v>65</v>
      </c>
      <c r="G409" s="1032" t="s">
        <v>402</v>
      </c>
      <c r="H409" s="1032" t="s">
        <v>67</v>
      </c>
      <c r="I409" s="1032" t="s">
        <v>882</v>
      </c>
      <c r="J409" s="1032" t="s">
        <v>96</v>
      </c>
      <c r="M409" s="1032" t="s">
        <v>68</v>
      </c>
      <c r="N409" s="1032">
        <v>46111</v>
      </c>
      <c r="O409" s="1032" t="s">
        <v>70</v>
      </c>
      <c r="P409" s="1032" t="s">
        <v>91</v>
      </c>
      <c r="Q409" s="1032" t="s">
        <v>92</v>
      </c>
      <c r="R409" s="1032" t="s">
        <v>73</v>
      </c>
      <c r="S409" s="1032" t="s">
        <v>967</v>
      </c>
      <c r="T409" s="1032">
        <v>450</v>
      </c>
      <c r="U409" s="1032">
        <v>936</v>
      </c>
      <c r="V409" s="1032">
        <v>0.42120000000000002</v>
      </c>
      <c r="W409" s="1032">
        <v>26</v>
      </c>
      <c r="X409" s="1032">
        <v>1</v>
      </c>
      <c r="Y409" s="1032" t="s">
        <v>75</v>
      </c>
      <c r="Z409" s="1032" t="s">
        <v>75</v>
      </c>
      <c r="AA409" s="1032" t="s">
        <v>1991</v>
      </c>
      <c r="AB409" s="1033">
        <v>46111</v>
      </c>
      <c r="AC409" s="1032">
        <v>14</v>
      </c>
      <c r="AD409" s="1032" t="s">
        <v>2014</v>
      </c>
      <c r="AF409" s="1032" t="s">
        <v>1935</v>
      </c>
      <c r="AG409" s="1032" t="s">
        <v>61</v>
      </c>
      <c r="AH409" s="1032" t="s">
        <v>356</v>
      </c>
      <c r="AI409" s="1033">
        <v>46116</v>
      </c>
      <c r="AJ409" s="1033">
        <v>46116</v>
      </c>
      <c r="AK409" s="1033">
        <v>46117</v>
      </c>
      <c r="AL409" s="1033">
        <v>46168</v>
      </c>
      <c r="AM409" s="1033">
        <v>46170</v>
      </c>
      <c r="AN409" s="1033">
        <v>46170</v>
      </c>
      <c r="AO409" s="1032" t="s">
        <v>402</v>
      </c>
      <c r="AP409" s="1032" t="s">
        <v>2006</v>
      </c>
      <c r="AQ409" s="1032" t="s">
        <v>80</v>
      </c>
      <c r="AR409" s="1032" t="s">
        <v>2015</v>
      </c>
      <c r="AS409" s="1032" t="s">
        <v>2016</v>
      </c>
      <c r="AT409" s="1032" t="s">
        <v>2016</v>
      </c>
      <c r="AU409" s="1032">
        <v>53</v>
      </c>
      <c r="AW409" s="1033">
        <v>46170</v>
      </c>
      <c r="AX409" s="1032" t="s">
        <v>973</v>
      </c>
      <c r="AY409" s="1033">
        <v>46183</v>
      </c>
      <c r="AZ409" s="1032">
        <v>8</v>
      </c>
      <c r="BA409" s="1033">
        <v>46178</v>
      </c>
      <c r="BB409" s="1032">
        <v>2026</v>
      </c>
      <c r="BC409" s="1032">
        <v>6</v>
      </c>
      <c r="BD409" s="1032">
        <v>23</v>
      </c>
      <c r="BE409" s="1032">
        <v>36</v>
      </c>
      <c r="BF409" s="1032">
        <v>936</v>
      </c>
      <c r="BG409" s="1032" t="s">
        <v>94</v>
      </c>
      <c r="BH409" s="1032" t="s">
        <v>109</v>
      </c>
    </row>
    <row r="410" spans="1:60">
      <c r="A410" s="1032" t="s">
        <v>2017</v>
      </c>
      <c r="B410" s="1032" t="s">
        <v>1757</v>
      </c>
      <c r="C410" s="1032" t="s">
        <v>1593</v>
      </c>
      <c r="D410" s="1032" t="s">
        <v>63</v>
      </c>
      <c r="E410" s="1032" t="s">
        <v>144</v>
      </c>
      <c r="F410" s="1032" t="s">
        <v>145</v>
      </c>
      <c r="G410" s="1032" t="s">
        <v>402</v>
      </c>
      <c r="H410" s="1032" t="s">
        <v>881</v>
      </c>
      <c r="I410" s="1032" t="s">
        <v>689</v>
      </c>
      <c r="J410" s="1032" t="s">
        <v>1758</v>
      </c>
      <c r="K410" s="1032" t="s">
        <v>1759</v>
      </c>
      <c r="M410" s="1032" t="s">
        <v>840</v>
      </c>
      <c r="N410" s="1032">
        <v>46090</v>
      </c>
      <c r="O410" s="1032" t="s">
        <v>70</v>
      </c>
      <c r="P410" s="1032" t="s">
        <v>71</v>
      </c>
      <c r="Q410" s="1032" t="s">
        <v>72</v>
      </c>
      <c r="R410" s="1032" t="s">
        <v>73</v>
      </c>
      <c r="S410" s="1032" t="s">
        <v>967</v>
      </c>
      <c r="T410" s="1032">
        <v>500</v>
      </c>
      <c r="U410" s="1032">
        <v>3456</v>
      </c>
      <c r="V410" s="1032">
        <v>1.728</v>
      </c>
      <c r="W410" s="1032">
        <v>96</v>
      </c>
      <c r="X410" s="1032">
        <v>4</v>
      </c>
      <c r="Y410" s="1032" t="s">
        <v>75</v>
      </c>
      <c r="Z410" s="1032" t="s">
        <v>75</v>
      </c>
      <c r="AA410" s="1032" t="s">
        <v>1760</v>
      </c>
      <c r="AB410" s="1033">
        <v>46118</v>
      </c>
      <c r="AC410" s="1032">
        <v>15</v>
      </c>
      <c r="AD410" s="1032" t="s">
        <v>2018</v>
      </c>
      <c r="AF410" s="1032" t="s">
        <v>1762</v>
      </c>
      <c r="AG410" s="1032" t="s">
        <v>123</v>
      </c>
      <c r="AH410" s="1032" t="s">
        <v>888</v>
      </c>
      <c r="AI410" s="1033">
        <v>46123</v>
      </c>
      <c r="AJ410" s="1033">
        <v>46123</v>
      </c>
      <c r="AK410" s="1033">
        <v>46123</v>
      </c>
      <c r="AL410" s="1033">
        <v>46177</v>
      </c>
      <c r="AM410" s="1033">
        <v>46174</v>
      </c>
      <c r="AN410" s="1033">
        <v>46176</v>
      </c>
      <c r="AO410" s="1032" t="s">
        <v>402</v>
      </c>
      <c r="AP410" s="1032" t="s">
        <v>2019</v>
      </c>
      <c r="AQ410" s="1032" t="s">
        <v>161</v>
      </c>
      <c r="AR410" s="1032" t="s">
        <v>2020</v>
      </c>
      <c r="AS410" s="1032" t="s">
        <v>2021</v>
      </c>
      <c r="AT410" s="1032" t="s">
        <v>2022</v>
      </c>
      <c r="AU410" s="1032">
        <v>53</v>
      </c>
      <c r="AW410" s="1033">
        <v>46176</v>
      </c>
      <c r="AX410" s="1032" t="s">
        <v>973</v>
      </c>
      <c r="AY410" s="1033">
        <v>46194</v>
      </c>
      <c r="AZ410" s="1032">
        <v>0</v>
      </c>
      <c r="BA410" s="1033">
        <v>46176</v>
      </c>
      <c r="BB410" s="1032">
        <v>2026</v>
      </c>
      <c r="BC410" s="1032">
        <v>6</v>
      </c>
      <c r="BD410" s="1032">
        <v>23</v>
      </c>
      <c r="BE410" s="1032">
        <v>36</v>
      </c>
      <c r="BF410" s="1032">
        <v>864</v>
      </c>
      <c r="BG410" s="1032" t="s">
        <v>85</v>
      </c>
      <c r="BH410" s="1032" t="s">
        <v>109</v>
      </c>
    </row>
    <row r="411" spans="1:60">
      <c r="A411" s="1032" t="s">
        <v>2023</v>
      </c>
      <c r="B411" s="1032" t="s">
        <v>1757</v>
      </c>
      <c r="C411" s="1032" t="s">
        <v>1593</v>
      </c>
      <c r="D411" s="1032" t="s">
        <v>63</v>
      </c>
      <c r="E411" s="1032" t="s">
        <v>144</v>
      </c>
      <c r="F411" s="1032" t="s">
        <v>145</v>
      </c>
      <c r="G411" s="1032" t="s">
        <v>402</v>
      </c>
      <c r="H411" s="1032" t="s">
        <v>881</v>
      </c>
      <c r="I411" s="1032" t="s">
        <v>689</v>
      </c>
      <c r="J411" s="1032" t="s">
        <v>1758</v>
      </c>
      <c r="K411" s="1032" t="s">
        <v>2024</v>
      </c>
      <c r="M411" s="1032" t="s">
        <v>840</v>
      </c>
      <c r="N411" s="1032">
        <v>46090</v>
      </c>
      <c r="O411" s="1032" t="s">
        <v>70</v>
      </c>
      <c r="P411" s="1032" t="s">
        <v>71</v>
      </c>
      <c r="Q411" s="1032" t="s">
        <v>72</v>
      </c>
      <c r="R411" s="1032" t="s">
        <v>73</v>
      </c>
      <c r="S411" s="1032" t="s">
        <v>967</v>
      </c>
      <c r="T411" s="1032">
        <v>500</v>
      </c>
      <c r="U411" s="1032">
        <v>4320</v>
      </c>
      <c r="V411" s="1032">
        <v>2.16</v>
      </c>
      <c r="W411" s="1032">
        <v>120</v>
      </c>
      <c r="X411" s="1032">
        <v>5</v>
      </c>
      <c r="Y411" s="1032" t="s">
        <v>75</v>
      </c>
      <c r="Z411" s="1032" t="s">
        <v>75</v>
      </c>
      <c r="AA411" s="1032" t="s">
        <v>1760</v>
      </c>
      <c r="AB411" s="1033">
        <v>46118</v>
      </c>
      <c r="AC411" s="1032">
        <v>15</v>
      </c>
      <c r="AD411" s="1032" t="s">
        <v>2025</v>
      </c>
      <c r="AF411" s="1032" t="s">
        <v>1762</v>
      </c>
      <c r="AG411" s="1032" t="s">
        <v>123</v>
      </c>
      <c r="AH411" s="1032" t="s">
        <v>888</v>
      </c>
      <c r="AI411" s="1033">
        <v>46123</v>
      </c>
      <c r="AJ411" s="1033">
        <v>46123</v>
      </c>
      <c r="AK411" s="1033">
        <v>46123</v>
      </c>
      <c r="AL411" s="1033">
        <v>46177</v>
      </c>
      <c r="AM411" s="1033">
        <v>46174</v>
      </c>
      <c r="AN411" s="1033">
        <v>46176</v>
      </c>
      <c r="AO411" s="1032" t="s">
        <v>402</v>
      </c>
      <c r="AP411" s="1032" t="s">
        <v>2019</v>
      </c>
      <c r="AQ411" s="1032" t="s">
        <v>161</v>
      </c>
      <c r="AR411" s="1032" t="s">
        <v>2020</v>
      </c>
      <c r="AS411" s="1032" t="s">
        <v>2026</v>
      </c>
      <c r="AT411" s="1032" t="s">
        <v>2022</v>
      </c>
      <c r="AU411" s="1032">
        <v>53</v>
      </c>
      <c r="AW411" s="1033">
        <v>46176</v>
      </c>
      <c r="AX411" s="1032" t="s">
        <v>973</v>
      </c>
      <c r="AY411" s="1033">
        <v>46194</v>
      </c>
      <c r="AZ411" s="1032">
        <v>0</v>
      </c>
      <c r="BA411" s="1033">
        <v>46176</v>
      </c>
      <c r="BB411" s="1032">
        <v>2026</v>
      </c>
      <c r="BC411" s="1032">
        <v>6</v>
      </c>
      <c r="BD411" s="1032">
        <v>23</v>
      </c>
      <c r="BE411" s="1032">
        <v>36</v>
      </c>
      <c r="BF411" s="1032">
        <v>864</v>
      </c>
      <c r="BG411" s="1032" t="s">
        <v>85</v>
      </c>
      <c r="BH411" s="1032" t="s">
        <v>109</v>
      </c>
    </row>
    <row r="412" spans="1:60">
      <c r="A412" s="1032" t="s">
        <v>2027</v>
      </c>
      <c r="B412" s="1032" t="s">
        <v>1757</v>
      </c>
      <c r="C412" s="1032" t="s">
        <v>1593</v>
      </c>
      <c r="D412" s="1032" t="s">
        <v>63</v>
      </c>
      <c r="E412" s="1032" t="s">
        <v>144</v>
      </c>
      <c r="F412" s="1032" t="s">
        <v>145</v>
      </c>
      <c r="G412" s="1032" t="s">
        <v>402</v>
      </c>
      <c r="H412" s="1032" t="s">
        <v>881</v>
      </c>
      <c r="I412" s="1032" t="s">
        <v>689</v>
      </c>
      <c r="J412" s="1032" t="s">
        <v>1758</v>
      </c>
      <c r="K412" s="1032" t="s">
        <v>2028</v>
      </c>
      <c r="M412" s="1032" t="s">
        <v>840</v>
      </c>
      <c r="N412" s="1032">
        <v>46090</v>
      </c>
      <c r="O412" s="1032" t="s">
        <v>70</v>
      </c>
      <c r="P412" s="1032" t="s">
        <v>71</v>
      </c>
      <c r="Q412" s="1032" t="s">
        <v>72</v>
      </c>
      <c r="R412" s="1032" t="s">
        <v>73</v>
      </c>
      <c r="S412" s="1032" t="s">
        <v>967</v>
      </c>
      <c r="T412" s="1032">
        <v>500</v>
      </c>
      <c r="U412" s="1032">
        <v>4320</v>
      </c>
      <c r="V412" s="1032">
        <v>2.16</v>
      </c>
      <c r="W412" s="1032">
        <v>120</v>
      </c>
      <c r="X412" s="1032">
        <v>5</v>
      </c>
      <c r="Y412" s="1032" t="s">
        <v>75</v>
      </c>
      <c r="Z412" s="1032" t="s">
        <v>75</v>
      </c>
      <c r="AA412" s="1032" t="s">
        <v>2029</v>
      </c>
      <c r="AB412" s="1033">
        <v>46118</v>
      </c>
      <c r="AC412" s="1032">
        <v>15</v>
      </c>
      <c r="AD412" s="1032" t="s">
        <v>2030</v>
      </c>
      <c r="AF412" s="1032" t="s">
        <v>1762</v>
      </c>
      <c r="AG412" s="1032" t="s">
        <v>123</v>
      </c>
      <c r="AH412" s="1032" t="s">
        <v>888</v>
      </c>
      <c r="AI412" s="1033">
        <v>46123</v>
      </c>
      <c r="AJ412" s="1033">
        <v>46123</v>
      </c>
      <c r="AK412" s="1033">
        <v>46123</v>
      </c>
      <c r="AL412" s="1033">
        <v>46177</v>
      </c>
      <c r="AM412" s="1033">
        <v>46174</v>
      </c>
      <c r="AN412" s="1033">
        <v>46176</v>
      </c>
      <c r="AO412" s="1032" t="s">
        <v>402</v>
      </c>
      <c r="AP412" s="1032" t="s">
        <v>2019</v>
      </c>
      <c r="AQ412" s="1032" t="s">
        <v>161</v>
      </c>
      <c r="AR412" s="1032" t="s">
        <v>2020</v>
      </c>
      <c r="AS412" s="1032" t="s">
        <v>2026</v>
      </c>
      <c r="AT412" s="1032" t="s">
        <v>2022</v>
      </c>
      <c r="AU412" s="1032">
        <v>53</v>
      </c>
      <c r="AW412" s="1033">
        <v>46176</v>
      </c>
      <c r="AX412" s="1032" t="s">
        <v>973</v>
      </c>
      <c r="AY412" s="1033">
        <v>46194</v>
      </c>
      <c r="AZ412" s="1032">
        <v>0</v>
      </c>
      <c r="BA412" s="1033">
        <v>46176</v>
      </c>
      <c r="BB412" s="1032">
        <v>2026</v>
      </c>
      <c r="BC412" s="1032">
        <v>6</v>
      </c>
      <c r="BD412" s="1032">
        <v>23</v>
      </c>
      <c r="BE412" s="1032">
        <v>36</v>
      </c>
      <c r="BF412" s="1032">
        <v>864</v>
      </c>
      <c r="BG412" s="1032" t="s">
        <v>85</v>
      </c>
      <c r="BH412" s="1032" t="s">
        <v>109</v>
      </c>
    </row>
    <row r="413" spans="1:60">
      <c r="A413" s="1032" t="s">
        <v>2031</v>
      </c>
      <c r="B413" s="1032" t="s">
        <v>1757</v>
      </c>
      <c r="C413" s="1032" t="s">
        <v>1286</v>
      </c>
      <c r="D413" s="1032" t="s">
        <v>63</v>
      </c>
      <c r="E413" s="1032" t="s">
        <v>64</v>
      </c>
      <c r="F413" s="1032" t="s">
        <v>450</v>
      </c>
      <c r="G413" s="1032" t="s">
        <v>402</v>
      </c>
      <c r="H413" s="1032" t="s">
        <v>451</v>
      </c>
      <c r="I413" s="1032" t="s">
        <v>689</v>
      </c>
      <c r="J413" s="1032" t="s">
        <v>1832</v>
      </c>
      <c r="M413" s="1032" t="s">
        <v>68</v>
      </c>
      <c r="N413" s="1032">
        <v>46104</v>
      </c>
      <c r="O413" s="1032" t="s">
        <v>70</v>
      </c>
      <c r="P413" s="1032" t="s">
        <v>1151</v>
      </c>
      <c r="Q413" s="1032" t="s">
        <v>421</v>
      </c>
      <c r="R413" s="1032" t="s">
        <v>73</v>
      </c>
      <c r="S413" s="1032" t="s">
        <v>967</v>
      </c>
      <c r="T413" s="1032">
        <v>505</v>
      </c>
      <c r="U413" s="1032">
        <v>3456</v>
      </c>
      <c r="V413" s="1032">
        <v>1.7452799999999999</v>
      </c>
      <c r="W413" s="1032">
        <v>96</v>
      </c>
      <c r="X413" s="1032">
        <v>4</v>
      </c>
      <c r="Y413" s="1032" t="s">
        <v>75</v>
      </c>
      <c r="Z413" s="1032" t="s">
        <v>75</v>
      </c>
      <c r="AA413" s="1032" t="s">
        <v>1883</v>
      </c>
      <c r="AB413" s="1033">
        <v>46123</v>
      </c>
      <c r="AC413" s="1032">
        <v>15</v>
      </c>
      <c r="AD413" s="1032" t="s">
        <v>2032</v>
      </c>
      <c r="AF413" s="1032" t="s">
        <v>1762</v>
      </c>
      <c r="AG413" s="1032" t="s">
        <v>123</v>
      </c>
      <c r="AH413" s="1032" t="s">
        <v>456</v>
      </c>
      <c r="AI413" s="1033">
        <v>46125</v>
      </c>
      <c r="AJ413" s="1033">
        <v>46125</v>
      </c>
      <c r="AK413" s="1033">
        <v>46126</v>
      </c>
      <c r="AL413" s="1033">
        <v>46171</v>
      </c>
      <c r="AM413" s="1033">
        <v>46176</v>
      </c>
      <c r="AN413" s="1033">
        <v>46178</v>
      </c>
      <c r="AO413" s="1032" t="s">
        <v>402</v>
      </c>
      <c r="AP413" s="1032" t="s">
        <v>2033</v>
      </c>
      <c r="AQ413" s="1032" t="s">
        <v>161</v>
      </c>
      <c r="AR413" s="1032" t="s">
        <v>2034</v>
      </c>
      <c r="AS413" s="1032" t="s">
        <v>2035</v>
      </c>
      <c r="AT413" s="1032" t="s">
        <v>2036</v>
      </c>
      <c r="AU413" s="1032">
        <v>52</v>
      </c>
      <c r="AW413" s="1033">
        <v>46178</v>
      </c>
      <c r="AX413" s="1032" t="s">
        <v>973</v>
      </c>
      <c r="AY413" s="1033">
        <v>46191</v>
      </c>
      <c r="AZ413" s="1032">
        <v>7</v>
      </c>
      <c r="BA413" s="1033">
        <v>46185</v>
      </c>
      <c r="BB413" s="1032">
        <v>2026</v>
      </c>
      <c r="BC413" s="1032">
        <v>6</v>
      </c>
      <c r="BD413" s="1032">
        <v>24</v>
      </c>
      <c r="BE413" s="1032">
        <v>36</v>
      </c>
      <c r="BF413" s="1032">
        <v>864</v>
      </c>
      <c r="BG413" s="1032" t="s">
        <v>85</v>
      </c>
      <c r="BH413" s="1032" t="s">
        <v>109</v>
      </c>
    </row>
    <row r="414" spans="1:60">
      <c r="A414" s="1032" t="s">
        <v>2037</v>
      </c>
      <c r="B414" s="1032" t="s">
        <v>1888</v>
      </c>
      <c r="C414" s="1032" t="s">
        <v>1016</v>
      </c>
      <c r="D414" s="1032" t="s">
        <v>63</v>
      </c>
      <c r="E414" s="1032" t="s">
        <v>64</v>
      </c>
      <c r="F414" s="1032" t="s">
        <v>450</v>
      </c>
      <c r="G414" s="1032" t="s">
        <v>402</v>
      </c>
      <c r="H414" s="1032" t="s">
        <v>451</v>
      </c>
      <c r="I414" s="1032" t="s">
        <v>689</v>
      </c>
      <c r="J414" s="1032" t="s">
        <v>96</v>
      </c>
      <c r="M414" s="1032" t="s">
        <v>68</v>
      </c>
      <c r="N414" s="1032">
        <v>46111</v>
      </c>
      <c r="O414" s="1032" t="s">
        <v>70</v>
      </c>
      <c r="P414" s="1032" t="s">
        <v>195</v>
      </c>
      <c r="Q414" s="1032" t="s">
        <v>196</v>
      </c>
      <c r="R414" s="1032" t="s">
        <v>73</v>
      </c>
      <c r="S414" s="1032" t="s">
        <v>967</v>
      </c>
      <c r="T414" s="1032">
        <v>450</v>
      </c>
      <c r="U414" s="1032">
        <v>1872</v>
      </c>
      <c r="V414" s="1032">
        <v>0.84240000000000004</v>
      </c>
      <c r="W414" s="1032">
        <v>52</v>
      </c>
      <c r="X414" s="1032">
        <v>2</v>
      </c>
      <c r="Y414" s="1032" t="s">
        <v>75</v>
      </c>
      <c r="Z414" s="1032" t="s">
        <v>75</v>
      </c>
      <c r="AA414" s="1032" t="s">
        <v>2038</v>
      </c>
      <c r="AB414" s="1033">
        <v>46123</v>
      </c>
      <c r="AC414" s="1032">
        <v>15</v>
      </c>
      <c r="AD414" s="1032" t="s">
        <v>2039</v>
      </c>
      <c r="AF414" s="1032" t="s">
        <v>1891</v>
      </c>
      <c r="AG414" s="1032" t="s">
        <v>123</v>
      </c>
      <c r="AH414" s="1032" t="s">
        <v>456</v>
      </c>
      <c r="AI414" s="1033">
        <v>46125</v>
      </c>
      <c r="AJ414" s="1033">
        <v>46125</v>
      </c>
      <c r="AK414" s="1033">
        <v>46126</v>
      </c>
      <c r="AL414" s="1033">
        <v>46171</v>
      </c>
      <c r="AM414" s="1033">
        <v>46176</v>
      </c>
      <c r="AN414" s="1033">
        <v>46178</v>
      </c>
      <c r="AO414" s="1032" t="s">
        <v>402</v>
      </c>
      <c r="AP414" s="1032" t="s">
        <v>2033</v>
      </c>
      <c r="AQ414" s="1032" t="s">
        <v>161</v>
      </c>
      <c r="AR414" s="1032" t="s">
        <v>2040</v>
      </c>
      <c r="AS414" s="1032" t="s">
        <v>2041</v>
      </c>
      <c r="AT414" s="1032" t="s">
        <v>2042</v>
      </c>
      <c r="AU414" s="1032">
        <v>52</v>
      </c>
      <c r="AW414" s="1033">
        <v>46178</v>
      </c>
      <c r="AX414" s="1032" t="s">
        <v>973</v>
      </c>
      <c r="AY414" s="1033">
        <v>46191</v>
      </c>
      <c r="AZ414" s="1032">
        <v>7</v>
      </c>
      <c r="BA414" s="1033">
        <v>46185</v>
      </c>
      <c r="BB414" s="1032">
        <v>2026</v>
      </c>
      <c r="BC414" s="1032">
        <v>6</v>
      </c>
      <c r="BD414" s="1032">
        <v>24</v>
      </c>
      <c r="BE414" s="1032">
        <v>36</v>
      </c>
      <c r="BF414" s="1032">
        <v>936</v>
      </c>
      <c r="BG414" s="1032" t="s">
        <v>85</v>
      </c>
      <c r="BH414" s="1032" t="s">
        <v>109</v>
      </c>
    </row>
    <row r="415" spans="1:60">
      <c r="A415" s="1032" t="s">
        <v>2043</v>
      </c>
      <c r="B415" s="1032" t="s">
        <v>1757</v>
      </c>
      <c r="C415" s="1032" t="s">
        <v>1286</v>
      </c>
      <c r="D415" s="1032" t="s">
        <v>63</v>
      </c>
      <c r="E415" s="1032" t="s">
        <v>64</v>
      </c>
      <c r="F415" s="1032" t="s">
        <v>450</v>
      </c>
      <c r="G415" s="1032" t="s">
        <v>402</v>
      </c>
      <c r="H415" s="1032" t="s">
        <v>451</v>
      </c>
      <c r="I415" s="1032" t="s">
        <v>689</v>
      </c>
      <c r="J415" s="1032" t="s">
        <v>1832</v>
      </c>
      <c r="M415" s="1032" t="s">
        <v>68</v>
      </c>
      <c r="N415" s="1032">
        <v>46104</v>
      </c>
      <c r="O415" s="1032" t="s">
        <v>70</v>
      </c>
      <c r="P415" s="1032" t="s">
        <v>1151</v>
      </c>
      <c r="Q415" s="1032" t="s">
        <v>421</v>
      </c>
      <c r="R415" s="1032" t="s">
        <v>73</v>
      </c>
      <c r="S415" s="1032" t="s">
        <v>967</v>
      </c>
      <c r="T415" s="1032">
        <v>505</v>
      </c>
      <c r="U415" s="1032">
        <v>4320</v>
      </c>
      <c r="V415" s="1032">
        <v>2.1816</v>
      </c>
      <c r="W415" s="1032">
        <v>120</v>
      </c>
      <c r="X415" s="1032">
        <v>5</v>
      </c>
      <c r="Y415" s="1032" t="s">
        <v>75</v>
      </c>
      <c r="Z415" s="1032" t="s">
        <v>75</v>
      </c>
      <c r="AA415" s="1032" t="s">
        <v>1883</v>
      </c>
      <c r="AB415" s="1033">
        <v>46121</v>
      </c>
      <c r="AC415" s="1032">
        <v>15</v>
      </c>
      <c r="AD415" s="1032" t="s">
        <v>2044</v>
      </c>
      <c r="AF415" s="1032" t="s">
        <v>1762</v>
      </c>
      <c r="AG415" s="1032" t="s">
        <v>123</v>
      </c>
      <c r="AH415" s="1032" t="s">
        <v>456</v>
      </c>
      <c r="AI415" s="1033">
        <v>46124</v>
      </c>
      <c r="AJ415" s="1033">
        <v>46125</v>
      </c>
      <c r="AK415" s="1033">
        <v>46125</v>
      </c>
      <c r="AL415" s="1033">
        <v>46165</v>
      </c>
      <c r="AM415" s="1033">
        <v>46165</v>
      </c>
      <c r="AN415" s="1033">
        <v>46168</v>
      </c>
      <c r="AO415" s="1032" t="s">
        <v>402</v>
      </c>
      <c r="AP415" s="1032" t="s">
        <v>2045</v>
      </c>
      <c r="AQ415" s="1032" t="s">
        <v>80</v>
      </c>
      <c r="AR415" s="1032" t="s">
        <v>2046</v>
      </c>
      <c r="AS415" s="1032" t="s">
        <v>2047</v>
      </c>
      <c r="AT415" s="1032" t="s">
        <v>2047</v>
      </c>
      <c r="AU415" s="1032">
        <v>43</v>
      </c>
      <c r="AW415" s="1033">
        <v>46168</v>
      </c>
      <c r="AX415" s="1032" t="s">
        <v>973</v>
      </c>
      <c r="AY415" s="1033">
        <v>46180</v>
      </c>
      <c r="AZ415" s="1032">
        <v>7</v>
      </c>
      <c r="BA415" s="1033">
        <v>46175</v>
      </c>
      <c r="BB415" s="1032">
        <v>2026</v>
      </c>
      <c r="BC415" s="1032">
        <v>6</v>
      </c>
      <c r="BD415" s="1032">
        <v>23</v>
      </c>
      <c r="BE415" s="1032">
        <v>36</v>
      </c>
      <c r="BF415" s="1032">
        <v>864</v>
      </c>
      <c r="BG415" s="1032" t="s">
        <v>85</v>
      </c>
      <c r="BH415" s="1032" t="s">
        <v>109</v>
      </c>
    </row>
    <row r="416" spans="1:60">
      <c r="A416" s="1032" t="s">
        <v>2048</v>
      </c>
      <c r="B416" s="1032" t="s">
        <v>1802</v>
      </c>
      <c r="C416" s="1032" t="s">
        <v>1803</v>
      </c>
      <c r="D416" s="1032" t="s">
        <v>113</v>
      </c>
      <c r="E416" s="1032" t="s">
        <v>144</v>
      </c>
      <c r="F416" s="1032" t="s">
        <v>145</v>
      </c>
      <c r="G416" s="1032" t="s">
        <v>402</v>
      </c>
      <c r="H416" s="1032" t="s">
        <v>1449</v>
      </c>
      <c r="I416" s="1032" t="s">
        <v>822</v>
      </c>
      <c r="J416" s="1032" t="s">
        <v>1964</v>
      </c>
      <c r="K416" s="1032" t="s">
        <v>1805</v>
      </c>
      <c r="M416" s="1032" t="s">
        <v>840</v>
      </c>
      <c r="N416" s="1032">
        <v>46104</v>
      </c>
      <c r="O416" s="1032" t="s">
        <v>70</v>
      </c>
      <c r="P416" s="1032" t="s">
        <v>1806</v>
      </c>
      <c r="Q416" s="1032" t="s">
        <v>1807</v>
      </c>
      <c r="R416" s="1032" t="s">
        <v>331</v>
      </c>
      <c r="S416" s="1032" t="s">
        <v>1808</v>
      </c>
      <c r="T416" s="1032">
        <v>720</v>
      </c>
      <c r="U416" s="1032">
        <v>2970</v>
      </c>
      <c r="V416" s="1032">
        <v>2.1383999999999999</v>
      </c>
      <c r="W416" s="1032">
        <v>90</v>
      </c>
      <c r="X416" s="1032">
        <v>5</v>
      </c>
      <c r="Y416" s="1032" t="s">
        <v>75</v>
      </c>
      <c r="Z416" s="1032" t="s">
        <v>75</v>
      </c>
      <c r="AA416" s="1032" t="s">
        <v>1958</v>
      </c>
      <c r="AB416" s="1033">
        <v>46121</v>
      </c>
      <c r="AC416" s="1032">
        <v>15</v>
      </c>
      <c r="AD416" s="1032" t="s">
        <v>2049</v>
      </c>
      <c r="AF416" s="1032" t="s">
        <v>945</v>
      </c>
      <c r="AG416" s="1032" t="s">
        <v>123</v>
      </c>
      <c r="AH416" s="1032" t="s">
        <v>105</v>
      </c>
      <c r="AI416" s="1033">
        <v>46124</v>
      </c>
      <c r="AJ416" s="1033">
        <v>46125</v>
      </c>
      <c r="AK416" s="1033">
        <v>46125</v>
      </c>
      <c r="AL416" s="1033">
        <v>46169</v>
      </c>
      <c r="AM416" s="1033">
        <v>46172</v>
      </c>
      <c r="AN416" s="1033">
        <v>46170</v>
      </c>
      <c r="AO416" s="1032" t="s">
        <v>402</v>
      </c>
      <c r="AP416" s="1032" t="s">
        <v>2045</v>
      </c>
      <c r="AQ416" s="1032" t="s">
        <v>80</v>
      </c>
      <c r="AR416" s="1032" t="s">
        <v>2050</v>
      </c>
      <c r="AS416" s="1032" t="s">
        <v>2051</v>
      </c>
      <c r="AT416" s="1032" t="s">
        <v>2051</v>
      </c>
      <c r="AU416" s="1032">
        <v>45</v>
      </c>
      <c r="AW416" s="1033">
        <v>46170</v>
      </c>
      <c r="AX416" s="1032" t="s">
        <v>973</v>
      </c>
      <c r="AY416" s="1033">
        <v>46176</v>
      </c>
      <c r="AZ416" s="1032">
        <v>0</v>
      </c>
      <c r="BA416" s="1033">
        <v>46170</v>
      </c>
      <c r="BB416" s="1032">
        <v>2026</v>
      </c>
      <c r="BC416" s="1032">
        <v>5</v>
      </c>
      <c r="BD416" s="1032">
        <v>22</v>
      </c>
      <c r="BE416" s="1032">
        <v>33</v>
      </c>
      <c r="BF416" s="1032">
        <v>594</v>
      </c>
      <c r="BG416" s="1032" t="s">
        <v>94</v>
      </c>
      <c r="BH416" s="1032" t="s">
        <v>109</v>
      </c>
    </row>
    <row r="417" spans="1:60">
      <c r="A417" s="1032" t="s">
        <v>2052</v>
      </c>
      <c r="B417" s="1032" t="s">
        <v>1888</v>
      </c>
      <c r="C417" s="1032" t="s">
        <v>1016</v>
      </c>
      <c r="D417" s="1032" t="s">
        <v>63</v>
      </c>
      <c r="E417" s="1032" t="s">
        <v>144</v>
      </c>
      <c r="F417" s="1032" t="s">
        <v>145</v>
      </c>
      <c r="G417" s="1032" t="s">
        <v>402</v>
      </c>
      <c r="H417" s="1032" t="s">
        <v>1449</v>
      </c>
      <c r="I417" s="1032" t="s">
        <v>689</v>
      </c>
      <c r="J417" s="1032" t="s">
        <v>2053</v>
      </c>
      <c r="K417" s="1032" t="s">
        <v>1451</v>
      </c>
      <c r="L417" s="1032">
        <v>3</v>
      </c>
      <c r="M417" s="1032" t="s">
        <v>840</v>
      </c>
      <c r="N417" s="1032">
        <v>46104</v>
      </c>
      <c r="O417" s="1032" t="s">
        <v>70</v>
      </c>
      <c r="P417" s="1032" t="s">
        <v>195</v>
      </c>
      <c r="Q417" s="1032" t="s">
        <v>196</v>
      </c>
      <c r="R417" s="1032" t="s">
        <v>73</v>
      </c>
      <c r="S417" s="1032" t="s">
        <v>967</v>
      </c>
      <c r="T417" s="1032">
        <v>450</v>
      </c>
      <c r="U417" s="1032">
        <v>10296</v>
      </c>
      <c r="V417" s="1032">
        <v>4.6332000000000004</v>
      </c>
      <c r="W417" s="1032">
        <v>286</v>
      </c>
      <c r="X417" s="1032">
        <v>11</v>
      </c>
      <c r="Y417" s="1032" t="s">
        <v>75</v>
      </c>
      <c r="Z417" s="1032" t="s">
        <v>75</v>
      </c>
      <c r="AA417" s="1032" t="s">
        <v>2054</v>
      </c>
      <c r="AB417" s="1033">
        <v>46120</v>
      </c>
      <c r="AC417" s="1032">
        <v>15</v>
      </c>
      <c r="AD417" s="1032" t="s">
        <v>2055</v>
      </c>
      <c r="AF417" s="1032" t="s">
        <v>1891</v>
      </c>
      <c r="AG417" s="1032" t="s">
        <v>123</v>
      </c>
      <c r="AH417" s="1032" t="s">
        <v>105</v>
      </c>
      <c r="AI417" s="1033">
        <v>46124</v>
      </c>
      <c r="AJ417" s="1033">
        <v>46127</v>
      </c>
      <c r="AK417" s="1033">
        <v>46127</v>
      </c>
      <c r="AL417" s="1033">
        <v>46161</v>
      </c>
      <c r="AM417" s="1033">
        <v>46172</v>
      </c>
      <c r="AN417" s="1033">
        <v>46174</v>
      </c>
      <c r="AO417" s="1032" t="s">
        <v>402</v>
      </c>
      <c r="AP417" s="1032" t="s">
        <v>2006</v>
      </c>
      <c r="AQ417" s="1032" t="s">
        <v>80</v>
      </c>
      <c r="AR417" s="1032" t="s">
        <v>2056</v>
      </c>
      <c r="AS417" s="1032" t="s">
        <v>2057</v>
      </c>
      <c r="AT417" s="1032" t="s">
        <v>2058</v>
      </c>
      <c r="AU417" s="1032">
        <v>47</v>
      </c>
      <c r="AW417" s="1033">
        <v>46174</v>
      </c>
      <c r="AX417" s="1032" t="s">
        <v>973</v>
      </c>
      <c r="AY417" s="1033">
        <v>46167</v>
      </c>
      <c r="AZ417" s="1032">
        <v>0</v>
      </c>
      <c r="BA417" s="1033">
        <v>46174</v>
      </c>
      <c r="BB417" s="1032">
        <v>2026</v>
      </c>
      <c r="BC417" s="1032">
        <v>6</v>
      </c>
      <c r="BD417" s="1032">
        <v>23</v>
      </c>
      <c r="BE417" s="1032">
        <v>36</v>
      </c>
      <c r="BF417" s="1032">
        <v>936</v>
      </c>
      <c r="BG417" s="1032" t="s">
        <v>85</v>
      </c>
      <c r="BH417" s="1032" t="s">
        <v>109</v>
      </c>
    </row>
    <row r="418" spans="1:60">
      <c r="A418" s="1032" t="s">
        <v>2059</v>
      </c>
      <c r="B418" s="1032" t="s">
        <v>1888</v>
      </c>
      <c r="C418" s="1032" t="s">
        <v>1016</v>
      </c>
      <c r="D418" s="1032" t="s">
        <v>63</v>
      </c>
      <c r="E418" s="1032" t="s">
        <v>144</v>
      </c>
      <c r="F418" s="1032" t="s">
        <v>145</v>
      </c>
      <c r="G418" s="1032" t="s">
        <v>402</v>
      </c>
      <c r="H418" s="1032" t="s">
        <v>1449</v>
      </c>
      <c r="I418" s="1032" t="s">
        <v>689</v>
      </c>
      <c r="J418" s="1032" t="s">
        <v>2053</v>
      </c>
      <c r="K418" s="1032" t="s">
        <v>1451</v>
      </c>
      <c r="L418" s="1032">
        <v>4</v>
      </c>
      <c r="M418" s="1032" t="s">
        <v>840</v>
      </c>
      <c r="N418" s="1032">
        <v>46104</v>
      </c>
      <c r="O418" s="1032" t="s">
        <v>70</v>
      </c>
      <c r="P418" s="1032" t="s">
        <v>195</v>
      </c>
      <c r="Q418" s="1032" t="s">
        <v>196</v>
      </c>
      <c r="R418" s="1032" t="s">
        <v>73</v>
      </c>
      <c r="S418" s="1032" t="s">
        <v>967</v>
      </c>
      <c r="T418" s="1032">
        <v>450</v>
      </c>
      <c r="U418" s="1032">
        <v>2808</v>
      </c>
      <c r="V418" s="1032">
        <v>1.2636000000000001</v>
      </c>
      <c r="W418" s="1032">
        <v>78</v>
      </c>
      <c r="X418" s="1032">
        <v>3</v>
      </c>
      <c r="Y418" s="1032" t="s">
        <v>75</v>
      </c>
      <c r="Z418" s="1032" t="s">
        <v>75</v>
      </c>
      <c r="AA418" s="1032" t="s">
        <v>2054</v>
      </c>
      <c r="AB418" s="1033">
        <v>46121</v>
      </c>
      <c r="AC418" s="1032">
        <v>15</v>
      </c>
      <c r="AD418" s="1032" t="s">
        <v>2060</v>
      </c>
      <c r="AF418" s="1032" t="s">
        <v>1891</v>
      </c>
      <c r="AG418" s="1032" t="s">
        <v>123</v>
      </c>
      <c r="AH418" s="1032" t="s">
        <v>105</v>
      </c>
      <c r="AI418" s="1033">
        <v>46124</v>
      </c>
      <c r="AJ418" s="1033">
        <v>46125</v>
      </c>
      <c r="AK418" s="1033">
        <v>46125</v>
      </c>
      <c r="AL418" s="1033">
        <v>46169</v>
      </c>
      <c r="AM418" s="1033">
        <v>46172</v>
      </c>
      <c r="AN418" s="1033">
        <v>46170</v>
      </c>
      <c r="AO418" s="1032" t="s">
        <v>402</v>
      </c>
      <c r="AP418" s="1032" t="s">
        <v>2045</v>
      </c>
      <c r="AQ418" s="1032" t="s">
        <v>80</v>
      </c>
      <c r="AR418" s="1032" t="s">
        <v>2061</v>
      </c>
      <c r="AS418" s="1032" t="s">
        <v>2062</v>
      </c>
      <c r="AT418" s="1032" t="s">
        <v>2062</v>
      </c>
      <c r="AU418" s="1032">
        <v>45</v>
      </c>
      <c r="AW418" s="1033">
        <v>46170</v>
      </c>
      <c r="AX418" s="1032" t="s">
        <v>973</v>
      </c>
      <c r="AY418" s="1033">
        <v>46183</v>
      </c>
      <c r="AZ418" s="1032">
        <v>0</v>
      </c>
      <c r="BA418" s="1033">
        <v>46170</v>
      </c>
      <c r="BB418" s="1032">
        <v>2026</v>
      </c>
      <c r="BC418" s="1032">
        <v>5</v>
      </c>
      <c r="BD418" s="1032">
        <v>22</v>
      </c>
      <c r="BE418" s="1032">
        <v>36</v>
      </c>
      <c r="BF418" s="1032">
        <v>936</v>
      </c>
      <c r="BG418" s="1032" t="s">
        <v>85</v>
      </c>
      <c r="BH418" s="1032" t="s">
        <v>109</v>
      </c>
    </row>
    <row r="419" spans="1:60">
      <c r="A419" s="1032" t="s">
        <v>2063</v>
      </c>
      <c r="B419" s="1032" t="s">
        <v>1888</v>
      </c>
      <c r="C419" s="1032" t="s">
        <v>1016</v>
      </c>
      <c r="D419" s="1032" t="s">
        <v>63</v>
      </c>
      <c r="E419" s="1032" t="s">
        <v>64</v>
      </c>
      <c r="F419" s="1032" t="s">
        <v>100</v>
      </c>
      <c r="G419" s="1032" t="s">
        <v>402</v>
      </c>
      <c r="H419" s="1032" t="s">
        <v>67</v>
      </c>
      <c r="I419" s="1032" t="s">
        <v>689</v>
      </c>
      <c r="J419" s="1032" t="s">
        <v>483</v>
      </c>
      <c r="M419" s="1032" t="s">
        <v>68</v>
      </c>
      <c r="N419" s="1032">
        <v>46104</v>
      </c>
      <c r="O419" s="1032" t="s">
        <v>70</v>
      </c>
      <c r="P419" s="1032" t="s">
        <v>195</v>
      </c>
      <c r="Q419" s="1032" t="s">
        <v>196</v>
      </c>
      <c r="R419" s="1032" t="s">
        <v>73</v>
      </c>
      <c r="S419" s="1032" t="s">
        <v>967</v>
      </c>
      <c r="T419" s="1032">
        <v>450</v>
      </c>
      <c r="U419" s="1032">
        <v>936</v>
      </c>
      <c r="V419" s="1032">
        <v>0.42120000000000002</v>
      </c>
      <c r="W419" s="1032">
        <v>26</v>
      </c>
      <c r="X419" s="1032">
        <v>1</v>
      </c>
      <c r="Y419" s="1032" t="s">
        <v>75</v>
      </c>
      <c r="Z419" s="1032" t="s">
        <v>75</v>
      </c>
      <c r="AA419" s="1032" t="s">
        <v>2054</v>
      </c>
      <c r="AB419" s="1033">
        <v>46120</v>
      </c>
      <c r="AC419" s="1032">
        <v>15</v>
      </c>
      <c r="AD419" s="1032" t="s">
        <v>2064</v>
      </c>
      <c r="AF419" s="1032" t="s">
        <v>1891</v>
      </c>
      <c r="AG419" s="1032" t="s">
        <v>123</v>
      </c>
      <c r="AH419" s="1032" t="s">
        <v>105</v>
      </c>
      <c r="AI419" s="1033">
        <v>46124</v>
      </c>
      <c r="AJ419" s="1033">
        <v>46125</v>
      </c>
      <c r="AK419" s="1033">
        <v>46125</v>
      </c>
      <c r="AL419" s="1033">
        <v>46165</v>
      </c>
      <c r="AM419" s="1033">
        <v>46165</v>
      </c>
      <c r="AN419" s="1033">
        <v>46166</v>
      </c>
      <c r="AO419" s="1032" t="s">
        <v>402</v>
      </c>
      <c r="AP419" s="1032" t="s">
        <v>2065</v>
      </c>
      <c r="AQ419" s="1032" t="s">
        <v>80</v>
      </c>
      <c r="AR419" s="1032" t="s">
        <v>2066</v>
      </c>
      <c r="AS419" s="1032" t="s">
        <v>2067</v>
      </c>
      <c r="AT419" s="1032" t="s">
        <v>2067</v>
      </c>
      <c r="AU419" s="1032">
        <v>41</v>
      </c>
      <c r="AW419" s="1033">
        <v>46166</v>
      </c>
      <c r="AX419" s="1032" t="s">
        <v>973</v>
      </c>
      <c r="AY419" s="1033">
        <v>46180</v>
      </c>
      <c r="AZ419" s="1032">
        <v>7</v>
      </c>
      <c r="BA419" s="1033">
        <v>46173</v>
      </c>
      <c r="BB419" s="1032">
        <v>2026</v>
      </c>
      <c r="BC419" s="1032">
        <v>5</v>
      </c>
      <c r="BD419" s="1032">
        <v>22</v>
      </c>
      <c r="BE419" s="1032">
        <v>36</v>
      </c>
      <c r="BF419" s="1032">
        <v>936</v>
      </c>
      <c r="BG419" s="1032" t="s">
        <v>85</v>
      </c>
      <c r="BH419" s="1032" t="s">
        <v>109</v>
      </c>
    </row>
    <row r="420" spans="1:60">
      <c r="A420" s="1032" t="s">
        <v>2068</v>
      </c>
      <c r="B420" s="1032" t="s">
        <v>1888</v>
      </c>
      <c r="C420" s="1032" t="s">
        <v>1016</v>
      </c>
      <c r="D420" s="1032" t="s">
        <v>63</v>
      </c>
      <c r="E420" s="1032" t="s">
        <v>64</v>
      </c>
      <c r="F420" s="1032" t="s">
        <v>100</v>
      </c>
      <c r="G420" s="1032" t="s">
        <v>402</v>
      </c>
      <c r="H420" s="1032" t="s">
        <v>67</v>
      </c>
      <c r="I420" s="1032" t="s">
        <v>689</v>
      </c>
      <c r="J420" s="1032" t="s">
        <v>483</v>
      </c>
      <c r="M420" s="1032" t="s">
        <v>68</v>
      </c>
      <c r="N420" s="1032">
        <v>46111</v>
      </c>
      <c r="O420" s="1032" t="s">
        <v>70</v>
      </c>
      <c r="P420" s="1032" t="s">
        <v>195</v>
      </c>
      <c r="Q420" s="1032" t="s">
        <v>196</v>
      </c>
      <c r="R420" s="1032" t="s">
        <v>73</v>
      </c>
      <c r="S420" s="1032" t="s">
        <v>967</v>
      </c>
      <c r="T420" s="1032">
        <v>450</v>
      </c>
      <c r="U420" s="1032">
        <v>936</v>
      </c>
      <c r="V420" s="1032">
        <v>0.42120000000000002</v>
      </c>
      <c r="W420" s="1032">
        <v>26</v>
      </c>
      <c r="X420" s="1032">
        <v>1</v>
      </c>
      <c r="Y420" s="1032" t="s">
        <v>75</v>
      </c>
      <c r="Z420" s="1032" t="s">
        <v>75</v>
      </c>
      <c r="AB420" s="1033">
        <v>46120</v>
      </c>
      <c r="AC420" s="1032">
        <v>15</v>
      </c>
      <c r="AD420" s="1032" t="s">
        <v>2069</v>
      </c>
      <c r="AF420" s="1032" t="s">
        <v>1891</v>
      </c>
      <c r="AG420" s="1032" t="s">
        <v>123</v>
      </c>
      <c r="AH420" s="1032" t="s">
        <v>105</v>
      </c>
      <c r="AI420" s="1033">
        <v>46124</v>
      </c>
      <c r="AJ420" s="1033">
        <v>46125</v>
      </c>
      <c r="AK420" s="1033">
        <v>46125</v>
      </c>
      <c r="AL420" s="1033">
        <v>46165</v>
      </c>
      <c r="AM420" s="1033">
        <v>46165</v>
      </c>
      <c r="AN420" s="1033">
        <v>46166</v>
      </c>
      <c r="AO420" s="1032" t="s">
        <v>402</v>
      </c>
      <c r="AP420" s="1032" t="s">
        <v>2065</v>
      </c>
      <c r="AQ420" s="1032" t="s">
        <v>80</v>
      </c>
      <c r="AR420" s="1032" t="s">
        <v>2066</v>
      </c>
      <c r="AS420" s="1032" t="s">
        <v>2067</v>
      </c>
      <c r="AT420" s="1032" t="s">
        <v>2067</v>
      </c>
      <c r="AU420" s="1032">
        <v>41</v>
      </c>
      <c r="AW420" s="1033">
        <v>46166</v>
      </c>
      <c r="AX420" s="1032" t="s">
        <v>973</v>
      </c>
      <c r="AY420" s="1033">
        <v>46180</v>
      </c>
      <c r="AZ420" s="1032">
        <v>7</v>
      </c>
      <c r="BA420" s="1033">
        <v>46173</v>
      </c>
      <c r="BB420" s="1032">
        <v>2026</v>
      </c>
      <c r="BC420" s="1032">
        <v>5</v>
      </c>
      <c r="BD420" s="1032">
        <v>22</v>
      </c>
      <c r="BE420" s="1032">
        <v>36</v>
      </c>
      <c r="BF420" s="1032">
        <v>936</v>
      </c>
      <c r="BG420" s="1032" t="s">
        <v>85</v>
      </c>
      <c r="BH420" s="1032" t="s">
        <v>109</v>
      </c>
    </row>
    <row r="421" spans="1:60">
      <c r="A421" s="1032" t="s">
        <v>1893</v>
      </c>
      <c r="B421" s="1032" t="s">
        <v>111</v>
      </c>
      <c r="C421" s="1032" t="s">
        <v>203</v>
      </c>
      <c r="D421" s="1032" t="s">
        <v>63</v>
      </c>
      <c r="E421" s="1032" t="s">
        <v>144</v>
      </c>
      <c r="F421" s="1032" t="s">
        <v>145</v>
      </c>
      <c r="G421" s="1032" t="s">
        <v>402</v>
      </c>
      <c r="H421" s="1032" t="s">
        <v>593</v>
      </c>
      <c r="I421" s="1032" t="s">
        <v>689</v>
      </c>
      <c r="J421" s="1032" t="s">
        <v>2070</v>
      </c>
      <c r="K421" s="1032" t="s">
        <v>2071</v>
      </c>
      <c r="M421" s="1032" t="s">
        <v>840</v>
      </c>
      <c r="N421" s="1032">
        <v>46111</v>
      </c>
      <c r="O421" s="1032" t="s">
        <v>132</v>
      </c>
      <c r="P421" s="1032" t="s">
        <v>1894</v>
      </c>
      <c r="Q421" s="1032" t="s">
        <v>1895</v>
      </c>
      <c r="R421" s="1032" t="s">
        <v>73</v>
      </c>
      <c r="S421" s="1032" t="s">
        <v>992</v>
      </c>
      <c r="T421" s="1032">
        <v>560</v>
      </c>
      <c r="U421" s="1032">
        <v>2640</v>
      </c>
      <c r="V421" s="1032">
        <v>1.4783999999999999</v>
      </c>
      <c r="W421" s="1032">
        <v>80</v>
      </c>
      <c r="X421" s="1032">
        <v>4</v>
      </c>
      <c r="Y421" s="1032" t="s">
        <v>951</v>
      </c>
      <c r="Z421" s="1032" t="s">
        <v>75</v>
      </c>
      <c r="AA421" s="1032" t="s">
        <v>1896</v>
      </c>
      <c r="AB421" s="1033">
        <v>46119</v>
      </c>
      <c r="AC421" s="1032">
        <v>15</v>
      </c>
      <c r="AD421" s="1032" t="s">
        <v>2072</v>
      </c>
      <c r="AF421" s="1032" t="s">
        <v>945</v>
      </c>
      <c r="AG421" s="1032" t="s">
        <v>123</v>
      </c>
      <c r="AH421" s="1032" t="s">
        <v>124</v>
      </c>
      <c r="AI421" s="1033">
        <v>46122</v>
      </c>
      <c r="AJ421" s="1033">
        <v>46122</v>
      </c>
      <c r="AK421" s="1033">
        <v>46124</v>
      </c>
      <c r="AL421" s="1033">
        <v>46177</v>
      </c>
      <c r="AM421" s="1033">
        <v>46207</v>
      </c>
      <c r="AN421" s="1033">
        <v>46207</v>
      </c>
      <c r="AO421" s="1032" t="s">
        <v>402</v>
      </c>
      <c r="AP421" s="1032" t="s">
        <v>2073</v>
      </c>
      <c r="AQ421" s="1032" t="s">
        <v>80</v>
      </c>
      <c r="AR421" s="1032" t="s">
        <v>2074</v>
      </c>
      <c r="AS421" s="1032" t="s">
        <v>2075</v>
      </c>
      <c r="AT421" s="1032" t="s">
        <v>2075</v>
      </c>
      <c r="AU421" s="1032">
        <v>83</v>
      </c>
      <c r="AW421" s="1033">
        <v>46207</v>
      </c>
      <c r="AX421" s="1032" t="s">
        <v>973</v>
      </c>
      <c r="AY421" s="1033">
        <v>46190</v>
      </c>
      <c r="AZ421" s="1032">
        <v>0</v>
      </c>
      <c r="BA421" s="1033">
        <v>46207</v>
      </c>
      <c r="BB421" s="1032">
        <v>2026</v>
      </c>
      <c r="BC421" s="1032">
        <v>7</v>
      </c>
      <c r="BD421" s="1032">
        <v>27</v>
      </c>
      <c r="BE421" s="1032">
        <v>33</v>
      </c>
      <c r="BF421" s="1032">
        <v>660</v>
      </c>
      <c r="BG421" s="1032" t="s">
        <v>108</v>
      </c>
      <c r="BH421" s="1032" t="s">
        <v>86</v>
      </c>
    </row>
    <row r="422" spans="1:60">
      <c r="A422" s="1032" t="s">
        <v>2076</v>
      </c>
      <c r="B422" s="1032" t="s">
        <v>111</v>
      </c>
      <c r="C422" s="1032" t="s">
        <v>1729</v>
      </c>
      <c r="D422" s="1032" t="s">
        <v>63</v>
      </c>
      <c r="E422" s="1032" t="s">
        <v>64</v>
      </c>
      <c r="F422" s="1032" t="s">
        <v>310</v>
      </c>
      <c r="G422" s="1032" t="s">
        <v>402</v>
      </c>
      <c r="H422" s="1032" t="s">
        <v>311</v>
      </c>
      <c r="I422" s="1032" t="s">
        <v>1395</v>
      </c>
      <c r="J422" s="1032" t="s">
        <v>96</v>
      </c>
      <c r="M422" s="1032" t="s">
        <v>68</v>
      </c>
      <c r="N422" s="1032">
        <v>46111</v>
      </c>
      <c r="O422" s="1032" t="s">
        <v>170</v>
      </c>
      <c r="P422" s="1032" t="s">
        <v>171</v>
      </c>
      <c r="Q422" s="1032" t="s">
        <v>1731</v>
      </c>
      <c r="R422" s="1032" t="s">
        <v>73</v>
      </c>
      <c r="S422" s="1032" t="s">
        <v>992</v>
      </c>
      <c r="T422" s="1032">
        <v>555</v>
      </c>
      <c r="U422" s="1032">
        <v>2640</v>
      </c>
      <c r="V422" s="1032">
        <v>1.4652000000000001</v>
      </c>
      <c r="W422" s="1032">
        <v>80</v>
      </c>
      <c r="X422" s="1032">
        <v>4</v>
      </c>
      <c r="Y422" s="1032" t="s">
        <v>75</v>
      </c>
      <c r="Z422" s="1032" t="s">
        <v>75</v>
      </c>
      <c r="AA422" s="1032" t="s">
        <v>2077</v>
      </c>
      <c r="AB422" s="1033">
        <v>46117</v>
      </c>
      <c r="AC422" s="1032">
        <v>14</v>
      </c>
      <c r="AD422" s="1032" t="s">
        <v>2078</v>
      </c>
      <c r="AF422" s="1032" t="s">
        <v>1999</v>
      </c>
      <c r="AG422" s="1032" t="s">
        <v>123</v>
      </c>
      <c r="AH422" s="1032" t="s">
        <v>314</v>
      </c>
      <c r="AI422" s="1033">
        <v>46122</v>
      </c>
      <c r="AJ422" s="1033">
        <v>46122</v>
      </c>
      <c r="AK422" s="1033">
        <v>46124</v>
      </c>
      <c r="AL422" s="1033">
        <v>46169</v>
      </c>
      <c r="AM422" s="1033">
        <v>46169</v>
      </c>
      <c r="AN422" s="1033">
        <v>46175</v>
      </c>
      <c r="AO422" s="1032" t="s">
        <v>402</v>
      </c>
      <c r="AP422" s="1032" t="s">
        <v>2073</v>
      </c>
      <c r="AQ422" s="1032" t="s">
        <v>80</v>
      </c>
      <c r="AR422" s="1032" t="s">
        <v>2079</v>
      </c>
      <c r="AS422" s="1032" t="s">
        <v>2080</v>
      </c>
      <c r="AT422" s="1032" t="s">
        <v>2080</v>
      </c>
      <c r="AU422" s="1032">
        <v>51</v>
      </c>
      <c r="AW422" s="1033">
        <v>46175</v>
      </c>
      <c r="AX422" s="1032" t="s">
        <v>973</v>
      </c>
      <c r="AY422" s="1033">
        <v>46189</v>
      </c>
      <c r="AZ422" s="1032">
        <v>13</v>
      </c>
      <c r="BA422" s="1033">
        <v>46188</v>
      </c>
      <c r="BB422" s="1032">
        <v>2026</v>
      </c>
      <c r="BC422" s="1032">
        <v>6</v>
      </c>
      <c r="BD422" s="1032">
        <v>25</v>
      </c>
      <c r="BE422" s="1032">
        <v>33</v>
      </c>
      <c r="BF422" s="1032">
        <v>660</v>
      </c>
      <c r="BG422" s="1032" t="s">
        <v>108</v>
      </c>
      <c r="BH422" s="1032" t="s">
        <v>86</v>
      </c>
    </row>
    <row r="423" spans="1:60">
      <c r="A423" s="1032" t="s">
        <v>2081</v>
      </c>
      <c r="B423" s="1032" t="s">
        <v>111</v>
      </c>
      <c r="C423" s="1032" t="s">
        <v>1729</v>
      </c>
      <c r="D423" s="1032" t="s">
        <v>63</v>
      </c>
      <c r="E423" s="1032" t="s">
        <v>64</v>
      </c>
      <c r="F423" s="1032" t="s">
        <v>310</v>
      </c>
      <c r="G423" s="1032" t="s">
        <v>402</v>
      </c>
      <c r="H423" s="1032" t="s">
        <v>311</v>
      </c>
      <c r="I423" s="1032" t="s">
        <v>1395</v>
      </c>
      <c r="J423" s="1032" t="s">
        <v>96</v>
      </c>
      <c r="M423" s="1032" t="s">
        <v>68</v>
      </c>
      <c r="N423" s="1032">
        <v>46111</v>
      </c>
      <c r="O423" s="1032" t="s">
        <v>170</v>
      </c>
      <c r="P423" s="1032" t="s">
        <v>171</v>
      </c>
      <c r="Q423" s="1032" t="s">
        <v>1731</v>
      </c>
      <c r="R423" s="1032" t="s">
        <v>73</v>
      </c>
      <c r="S423" s="1032" t="s">
        <v>992</v>
      </c>
      <c r="T423" s="1032">
        <v>555</v>
      </c>
      <c r="U423" s="1032">
        <v>660</v>
      </c>
      <c r="V423" s="1032">
        <v>0.36630000000000001</v>
      </c>
      <c r="W423" s="1032">
        <v>20</v>
      </c>
      <c r="X423" s="1032">
        <v>1</v>
      </c>
      <c r="Y423" s="1032" t="s">
        <v>75</v>
      </c>
      <c r="Z423" s="1032" t="s">
        <v>75</v>
      </c>
      <c r="AA423" s="1032" t="s">
        <v>2082</v>
      </c>
      <c r="AB423" s="1033">
        <v>46117</v>
      </c>
      <c r="AC423" s="1032">
        <v>14</v>
      </c>
      <c r="AD423" s="1032" t="s">
        <v>2083</v>
      </c>
      <c r="AF423" s="1032" t="s">
        <v>1999</v>
      </c>
      <c r="AG423" s="1032" t="s">
        <v>123</v>
      </c>
      <c r="AH423" s="1032" t="s">
        <v>1561</v>
      </c>
      <c r="AI423" s="1033">
        <v>46122</v>
      </c>
      <c r="AJ423" s="1033">
        <v>46122</v>
      </c>
      <c r="AK423" s="1033">
        <v>46124</v>
      </c>
      <c r="AL423" s="1033">
        <v>46166</v>
      </c>
      <c r="AM423" s="1033">
        <v>46174</v>
      </c>
      <c r="AN423" s="1033">
        <v>46174</v>
      </c>
      <c r="AO423" s="1032" t="s">
        <v>402</v>
      </c>
      <c r="AP423" s="1032" t="s">
        <v>2073</v>
      </c>
      <c r="AQ423" s="1032" t="s">
        <v>80</v>
      </c>
      <c r="AR423" s="1032" t="s">
        <v>2084</v>
      </c>
      <c r="AS423" s="1032" t="s">
        <v>2085</v>
      </c>
      <c r="AT423" s="1032" t="s">
        <v>2085</v>
      </c>
      <c r="AU423" s="1032">
        <v>50</v>
      </c>
      <c r="AW423" s="1033">
        <v>46174</v>
      </c>
      <c r="AX423" s="1032" t="s">
        <v>973</v>
      </c>
      <c r="AY423" s="1033">
        <v>46188</v>
      </c>
      <c r="AZ423" s="1032">
        <v>13</v>
      </c>
      <c r="BA423" s="1033">
        <v>46187</v>
      </c>
      <c r="BB423" s="1032">
        <v>2026</v>
      </c>
      <c r="BC423" s="1032">
        <v>6</v>
      </c>
      <c r="BD423" s="1032">
        <v>24</v>
      </c>
      <c r="BE423" s="1032">
        <v>33</v>
      </c>
      <c r="BF423" s="1032">
        <v>660</v>
      </c>
      <c r="BG423" s="1032" t="s">
        <v>108</v>
      </c>
      <c r="BH423" s="1032" t="s">
        <v>86</v>
      </c>
    </row>
    <row r="424" spans="1:60">
      <c r="A424" s="1032" t="s">
        <v>2086</v>
      </c>
      <c r="B424" s="1032" t="s">
        <v>61</v>
      </c>
      <c r="C424" s="1032" t="s">
        <v>2087</v>
      </c>
      <c r="D424" s="1032" t="s">
        <v>63</v>
      </c>
      <c r="E424" s="1032" t="s">
        <v>64</v>
      </c>
      <c r="F424" s="1032" t="s">
        <v>65</v>
      </c>
      <c r="G424" s="1032" t="s">
        <v>402</v>
      </c>
      <c r="H424" s="1032" t="s">
        <v>67</v>
      </c>
      <c r="I424" s="1032" t="s">
        <v>869</v>
      </c>
      <c r="J424" s="1032" t="s">
        <v>96</v>
      </c>
      <c r="M424" s="1032" t="s">
        <v>68</v>
      </c>
      <c r="N424" s="1032">
        <v>46111</v>
      </c>
      <c r="O424" s="1032" t="s">
        <v>70</v>
      </c>
      <c r="P424" s="1032" t="s">
        <v>706</v>
      </c>
      <c r="Q424" s="1032" t="s">
        <v>707</v>
      </c>
      <c r="R424" s="1032" t="s">
        <v>73</v>
      </c>
      <c r="S424" s="1032" t="s">
        <v>967</v>
      </c>
      <c r="T424" s="1032">
        <v>500</v>
      </c>
      <c r="U424" s="1032">
        <v>3456</v>
      </c>
      <c r="V424" s="1032">
        <v>1.728</v>
      </c>
      <c r="W424" s="1032">
        <v>96</v>
      </c>
      <c r="X424" s="1032">
        <v>4</v>
      </c>
      <c r="Y424" s="1032" t="s">
        <v>951</v>
      </c>
      <c r="Z424" s="1032" t="s">
        <v>75</v>
      </c>
      <c r="AA424" s="1032" t="s">
        <v>2088</v>
      </c>
      <c r="AB424" s="1033">
        <v>46119</v>
      </c>
      <c r="AC424" s="1032">
        <v>15</v>
      </c>
      <c r="AD424" s="1032" t="s">
        <v>2089</v>
      </c>
      <c r="AF424" s="1032" t="s">
        <v>1935</v>
      </c>
      <c r="AG424" s="1032" t="s">
        <v>61</v>
      </c>
      <c r="AH424" s="1032" t="s">
        <v>78</v>
      </c>
      <c r="AI424" s="1033">
        <v>46123</v>
      </c>
      <c r="AJ424" s="1033">
        <v>46123</v>
      </c>
      <c r="AK424" s="1033">
        <v>46122</v>
      </c>
      <c r="AL424" s="1033">
        <v>46188</v>
      </c>
      <c r="AM424" s="1033">
        <v>46193</v>
      </c>
      <c r="AN424" s="1033">
        <v>46195</v>
      </c>
      <c r="AO424" s="1032" t="s">
        <v>402</v>
      </c>
      <c r="AP424" s="1032" t="s">
        <v>2090</v>
      </c>
      <c r="AQ424" s="1032" t="s">
        <v>80</v>
      </c>
      <c r="AR424" s="1032" t="s">
        <v>2091</v>
      </c>
      <c r="AS424" s="1032" t="s">
        <v>2092</v>
      </c>
      <c r="AT424" s="1032" t="s">
        <v>2092</v>
      </c>
      <c r="AU424" s="1032">
        <v>73</v>
      </c>
      <c r="AW424" s="1033">
        <v>46195</v>
      </c>
      <c r="AX424" s="1032" t="s">
        <v>973</v>
      </c>
      <c r="AY424" s="1033">
        <v>46205</v>
      </c>
      <c r="AZ424" s="1032">
        <v>8</v>
      </c>
      <c r="BA424" s="1033">
        <v>46203</v>
      </c>
      <c r="BB424" s="1032">
        <v>2026</v>
      </c>
      <c r="BC424" s="1032">
        <v>6</v>
      </c>
      <c r="BD424" s="1032">
        <v>27</v>
      </c>
      <c r="BE424" s="1032">
        <v>36</v>
      </c>
      <c r="BF424" s="1032">
        <v>864</v>
      </c>
      <c r="BG424" s="1032" t="s">
        <v>85</v>
      </c>
      <c r="BH424" s="1032" t="s">
        <v>86</v>
      </c>
    </row>
    <row r="425" spans="1:60">
      <c r="A425" s="1032" t="s">
        <v>2093</v>
      </c>
      <c r="B425" s="1032" t="s">
        <v>61</v>
      </c>
      <c r="C425" s="1032" t="s">
        <v>1940</v>
      </c>
      <c r="D425" s="1032" t="s">
        <v>63</v>
      </c>
      <c r="E425" s="1032" t="s">
        <v>64</v>
      </c>
      <c r="F425" s="1032" t="s">
        <v>65</v>
      </c>
      <c r="G425" s="1032" t="s">
        <v>402</v>
      </c>
      <c r="H425" s="1032" t="s">
        <v>67</v>
      </c>
      <c r="I425" s="1032" t="s">
        <v>882</v>
      </c>
      <c r="J425" s="1032" t="s">
        <v>96</v>
      </c>
      <c r="M425" s="1032" t="s">
        <v>68</v>
      </c>
      <c r="N425" s="1032">
        <v>46111</v>
      </c>
      <c r="O425" s="1032" t="s">
        <v>70</v>
      </c>
      <c r="P425" s="1032" t="s">
        <v>91</v>
      </c>
      <c r="Q425" s="1032" t="s">
        <v>92</v>
      </c>
      <c r="R425" s="1032" t="s">
        <v>73</v>
      </c>
      <c r="S425" s="1032" t="s">
        <v>967</v>
      </c>
      <c r="T425" s="1032">
        <v>450</v>
      </c>
      <c r="U425" s="1032">
        <v>936</v>
      </c>
      <c r="V425" s="1032">
        <v>0.42120000000000002</v>
      </c>
      <c r="W425" s="1032">
        <v>26</v>
      </c>
      <c r="X425" s="1032">
        <v>1</v>
      </c>
      <c r="Y425" s="1032" t="s">
        <v>75</v>
      </c>
      <c r="Z425" s="1032" t="s">
        <v>75</v>
      </c>
      <c r="AA425" s="1032" t="s">
        <v>1991</v>
      </c>
      <c r="AB425" s="1033">
        <v>46119</v>
      </c>
      <c r="AC425" s="1032">
        <v>15</v>
      </c>
      <c r="AD425" s="1032" t="s">
        <v>2094</v>
      </c>
      <c r="AF425" s="1032" t="s">
        <v>1935</v>
      </c>
      <c r="AG425" s="1032" t="s">
        <v>61</v>
      </c>
      <c r="AH425" s="1032" t="s">
        <v>356</v>
      </c>
      <c r="AI425" s="1033">
        <v>46123</v>
      </c>
      <c r="AJ425" s="1033">
        <v>46123</v>
      </c>
      <c r="AK425" s="1033">
        <v>46122</v>
      </c>
      <c r="AL425" s="1033">
        <v>46175</v>
      </c>
      <c r="AM425" s="1033">
        <v>46174</v>
      </c>
      <c r="AN425" s="1033">
        <v>46175</v>
      </c>
      <c r="AO425" s="1032" t="s">
        <v>402</v>
      </c>
      <c r="AP425" s="1032" t="s">
        <v>2090</v>
      </c>
      <c r="AQ425" s="1032" t="s">
        <v>80</v>
      </c>
      <c r="AR425" s="1032" t="s">
        <v>2095</v>
      </c>
      <c r="AS425" s="1032" t="s">
        <v>2096</v>
      </c>
      <c r="AT425" s="1032" t="s">
        <v>2096</v>
      </c>
      <c r="AU425" s="1032">
        <v>53</v>
      </c>
      <c r="AW425" s="1033">
        <v>46175</v>
      </c>
      <c r="AX425" s="1032" t="s">
        <v>973</v>
      </c>
      <c r="AY425" s="1033">
        <v>46188</v>
      </c>
      <c r="AZ425" s="1032">
        <v>8</v>
      </c>
      <c r="BA425" s="1033">
        <v>46183</v>
      </c>
      <c r="BB425" s="1032">
        <v>2026</v>
      </c>
      <c r="BC425" s="1032">
        <v>6</v>
      </c>
      <c r="BD425" s="1032">
        <v>24</v>
      </c>
      <c r="BE425" s="1032">
        <v>36</v>
      </c>
      <c r="BF425" s="1032">
        <v>936</v>
      </c>
      <c r="BG425" s="1032" t="s">
        <v>94</v>
      </c>
      <c r="BH425" s="1032" t="s">
        <v>109</v>
      </c>
    </row>
    <row r="426" spans="1:60">
      <c r="A426" s="1032" t="s">
        <v>2097</v>
      </c>
      <c r="B426" s="1032" t="s">
        <v>61</v>
      </c>
      <c r="C426" s="1032" t="s">
        <v>2087</v>
      </c>
      <c r="D426" s="1032" t="s">
        <v>63</v>
      </c>
      <c r="E426" s="1032" t="s">
        <v>64</v>
      </c>
      <c r="F426" s="1032" t="s">
        <v>65</v>
      </c>
      <c r="G426" s="1032" t="s">
        <v>402</v>
      </c>
      <c r="H426" s="1032" t="s">
        <v>67</v>
      </c>
      <c r="I426" s="1032" t="s">
        <v>869</v>
      </c>
      <c r="J426" s="1032" t="s">
        <v>96</v>
      </c>
      <c r="M426" s="1032" t="s">
        <v>68</v>
      </c>
      <c r="N426" s="1032">
        <v>46111</v>
      </c>
      <c r="O426" s="1032" t="s">
        <v>70</v>
      </c>
      <c r="P426" s="1032" t="s">
        <v>706</v>
      </c>
      <c r="Q426" s="1032" t="s">
        <v>707</v>
      </c>
      <c r="R426" s="1032" t="s">
        <v>73</v>
      </c>
      <c r="S426" s="1032" t="s">
        <v>967</v>
      </c>
      <c r="T426" s="1032">
        <v>500</v>
      </c>
      <c r="U426" s="1032">
        <v>864</v>
      </c>
      <c r="V426" s="1032">
        <v>0.432</v>
      </c>
      <c r="W426" s="1032">
        <v>24</v>
      </c>
      <c r="X426" s="1032">
        <v>1</v>
      </c>
      <c r="Y426" s="1032" t="s">
        <v>951</v>
      </c>
      <c r="Z426" s="1032" t="s">
        <v>75</v>
      </c>
      <c r="AA426" s="1032" t="s">
        <v>2088</v>
      </c>
      <c r="AB426" s="1033">
        <v>46121</v>
      </c>
      <c r="AC426" s="1032">
        <v>15</v>
      </c>
      <c r="AD426" s="1032" t="s">
        <v>2098</v>
      </c>
      <c r="AF426" s="1032" t="s">
        <v>1935</v>
      </c>
      <c r="AG426" s="1032" t="s">
        <v>61</v>
      </c>
      <c r="AH426" s="1032" t="s">
        <v>356</v>
      </c>
      <c r="AI426" s="1033">
        <v>46128</v>
      </c>
      <c r="AJ426" s="1033">
        <v>46136</v>
      </c>
      <c r="AK426" s="1033">
        <v>46136</v>
      </c>
      <c r="AL426" s="1033">
        <v>46182</v>
      </c>
      <c r="AM426" s="1033">
        <v>46196</v>
      </c>
      <c r="AN426" s="1033">
        <v>46203</v>
      </c>
      <c r="AO426" s="1032" t="s">
        <v>402</v>
      </c>
      <c r="AP426" s="1032" t="s">
        <v>2099</v>
      </c>
      <c r="AQ426" s="1032" t="s">
        <v>161</v>
      </c>
      <c r="AR426" s="1032" t="s">
        <v>2100</v>
      </c>
      <c r="AS426" s="1032" t="s">
        <v>2101</v>
      </c>
      <c r="AT426" s="1032" t="s">
        <v>2101</v>
      </c>
      <c r="AU426" s="1032">
        <v>67</v>
      </c>
      <c r="AW426" s="1033">
        <v>46203</v>
      </c>
      <c r="AX426" s="1032" t="s">
        <v>973</v>
      </c>
      <c r="AY426" s="1033">
        <v>46209</v>
      </c>
      <c r="AZ426" s="1032">
        <v>8</v>
      </c>
      <c r="BA426" s="1033">
        <v>46211</v>
      </c>
      <c r="BB426" s="1032">
        <v>2026</v>
      </c>
      <c r="BC426" s="1032">
        <v>7</v>
      </c>
      <c r="BD426" s="1032">
        <v>28</v>
      </c>
      <c r="BE426" s="1032">
        <v>36</v>
      </c>
      <c r="BF426" s="1032">
        <v>864</v>
      </c>
      <c r="BG426" s="1032" t="s">
        <v>85</v>
      </c>
      <c r="BH426" s="1032" t="s">
        <v>109</v>
      </c>
    </row>
    <row r="427" spans="1:60">
      <c r="A427" s="1032" t="s">
        <v>2102</v>
      </c>
      <c r="B427" s="1032" t="s">
        <v>61</v>
      </c>
      <c r="C427" s="1032" t="s">
        <v>1940</v>
      </c>
      <c r="D427" s="1032" t="s">
        <v>63</v>
      </c>
      <c r="E427" s="1032" t="s">
        <v>64</v>
      </c>
      <c r="F427" s="1032" t="s">
        <v>65</v>
      </c>
      <c r="G427" s="1032" t="s">
        <v>402</v>
      </c>
      <c r="H427" s="1032" t="s">
        <v>67</v>
      </c>
      <c r="I427" s="1032" t="s">
        <v>1395</v>
      </c>
      <c r="J427" s="1032" t="s">
        <v>96</v>
      </c>
      <c r="M427" s="1032" t="s">
        <v>68</v>
      </c>
      <c r="N427" s="1032">
        <v>46104</v>
      </c>
      <c r="O427" s="1032" t="s">
        <v>70</v>
      </c>
      <c r="P427" s="1032" t="s">
        <v>91</v>
      </c>
      <c r="Q427" s="1032" t="s">
        <v>92</v>
      </c>
      <c r="R427" s="1032" t="s">
        <v>73</v>
      </c>
      <c r="S427" s="1032" t="s">
        <v>967</v>
      </c>
      <c r="T427" s="1032">
        <v>450</v>
      </c>
      <c r="U427" s="1032">
        <v>0</v>
      </c>
      <c r="V427" s="1032">
        <v>0</v>
      </c>
      <c r="W427" s="1032">
        <v>0</v>
      </c>
      <c r="X427" s="1032">
        <v>0</v>
      </c>
      <c r="Y427" s="1032" t="s">
        <v>951</v>
      </c>
      <c r="Z427" s="1032" t="s">
        <v>75</v>
      </c>
      <c r="AA427" s="1032" t="s">
        <v>1907</v>
      </c>
      <c r="AB427" s="1033">
        <v>46121</v>
      </c>
      <c r="AC427" s="1032">
        <v>15</v>
      </c>
      <c r="AD427" s="1032" t="s">
        <v>2103</v>
      </c>
      <c r="AF427" s="1032" t="s">
        <v>1935</v>
      </c>
      <c r="AG427" s="1032" t="s">
        <v>61</v>
      </c>
      <c r="AH427" s="1032" t="s">
        <v>356</v>
      </c>
      <c r="AI427" s="1033">
        <v>46128</v>
      </c>
      <c r="AJ427" s="1033">
        <v>46136</v>
      </c>
      <c r="AK427" s="1033">
        <v>46136</v>
      </c>
      <c r="AL427" s="1033">
        <v>46182</v>
      </c>
      <c r="AM427" s="1033">
        <v>46196</v>
      </c>
      <c r="AN427" s="1033">
        <v>46203</v>
      </c>
      <c r="AO427" s="1032" t="s">
        <v>402</v>
      </c>
      <c r="AP427" s="1032" t="s">
        <v>2099</v>
      </c>
      <c r="AQ427" s="1032" t="s">
        <v>161</v>
      </c>
      <c r="AR427" s="1032" t="s">
        <v>2100</v>
      </c>
      <c r="AS427" s="1032" t="s">
        <v>2101</v>
      </c>
      <c r="AT427" s="1032" t="s">
        <v>2101</v>
      </c>
      <c r="AU427" s="1032">
        <v>67</v>
      </c>
      <c r="AW427" s="1033">
        <v>46203</v>
      </c>
      <c r="AX427" s="1032" t="s">
        <v>973</v>
      </c>
      <c r="AY427" s="1033">
        <v>46208</v>
      </c>
      <c r="AZ427" s="1032">
        <v>8</v>
      </c>
      <c r="BA427" s="1033">
        <v>46211</v>
      </c>
      <c r="BB427" s="1032">
        <v>2026</v>
      </c>
      <c r="BC427" s="1032">
        <v>7</v>
      </c>
      <c r="BD427" s="1032">
        <v>28</v>
      </c>
      <c r="BE427" s="1032">
        <v>36</v>
      </c>
      <c r="BF427" s="1032">
        <v>936</v>
      </c>
      <c r="BG427" s="1032" t="s">
        <v>94</v>
      </c>
      <c r="BH427" s="1032" t="s">
        <v>109</v>
      </c>
    </row>
    <row r="428" spans="1:60">
      <c r="A428" s="1032" t="s">
        <v>2104</v>
      </c>
      <c r="B428" s="1032" t="s">
        <v>61</v>
      </c>
      <c r="C428" s="1032" t="s">
        <v>1838</v>
      </c>
      <c r="D428" s="1032" t="s">
        <v>63</v>
      </c>
      <c r="E428" s="1032" t="s">
        <v>64</v>
      </c>
      <c r="F428" s="1032" t="s">
        <v>65</v>
      </c>
      <c r="G428" s="1032" t="s">
        <v>402</v>
      </c>
      <c r="H428" s="1032" t="s">
        <v>67</v>
      </c>
      <c r="I428" s="1032" t="s">
        <v>2004</v>
      </c>
      <c r="J428" s="1032" t="s">
        <v>96</v>
      </c>
      <c r="M428" s="1032" t="s">
        <v>68</v>
      </c>
      <c r="N428" s="1032">
        <v>46111</v>
      </c>
      <c r="O428" s="1032" t="s">
        <v>70</v>
      </c>
      <c r="P428" s="1032" t="s">
        <v>204</v>
      </c>
      <c r="Q428" s="1032" t="s">
        <v>205</v>
      </c>
      <c r="R428" s="1032" t="s">
        <v>73</v>
      </c>
      <c r="S428" s="1032" t="s">
        <v>967</v>
      </c>
      <c r="T428" s="1032">
        <v>455</v>
      </c>
      <c r="U428" s="1032">
        <v>3744</v>
      </c>
      <c r="V428" s="1032">
        <v>1.7035199999999999</v>
      </c>
      <c r="W428" s="1032">
        <v>104</v>
      </c>
      <c r="X428" s="1032">
        <v>4</v>
      </c>
      <c r="Y428" s="1032" t="s">
        <v>951</v>
      </c>
      <c r="Z428" s="1032" t="s">
        <v>75</v>
      </c>
      <c r="AA428" s="1032" t="s">
        <v>1896</v>
      </c>
      <c r="AB428" s="1033">
        <v>46126</v>
      </c>
      <c r="AC428" s="1032">
        <v>16</v>
      </c>
      <c r="AD428" s="1032" t="s">
        <v>2105</v>
      </c>
      <c r="AF428" s="1032" t="s">
        <v>1935</v>
      </c>
      <c r="AG428" s="1032" t="s">
        <v>61</v>
      </c>
      <c r="AH428" s="1032" t="s">
        <v>356</v>
      </c>
      <c r="AI428" s="1033">
        <v>46131</v>
      </c>
      <c r="AJ428" s="1033">
        <v>46131</v>
      </c>
      <c r="AK428" s="1033">
        <v>46131</v>
      </c>
      <c r="AL428" s="1033">
        <v>46182</v>
      </c>
      <c r="AM428" s="1033">
        <v>46196</v>
      </c>
      <c r="AN428" s="1033">
        <v>46190</v>
      </c>
      <c r="AO428" s="1032" t="s">
        <v>402</v>
      </c>
      <c r="AP428" s="1032" t="s">
        <v>2106</v>
      </c>
      <c r="AQ428" s="1032" t="s">
        <v>161</v>
      </c>
      <c r="AR428" s="1032" t="s">
        <v>2107</v>
      </c>
      <c r="AS428" s="1032" t="s">
        <v>2108</v>
      </c>
      <c r="AT428" s="1032">
        <v>273285267</v>
      </c>
      <c r="AU428" s="1032">
        <v>59</v>
      </c>
      <c r="AW428" s="1033">
        <v>46190</v>
      </c>
      <c r="AX428" s="1032" t="s">
        <v>973</v>
      </c>
      <c r="AY428" s="1033">
        <v>46202</v>
      </c>
      <c r="AZ428" s="1032">
        <v>8</v>
      </c>
      <c r="BA428" s="1033">
        <v>46198</v>
      </c>
      <c r="BB428" s="1032">
        <v>2026</v>
      </c>
      <c r="BC428" s="1032">
        <v>6</v>
      </c>
      <c r="BD428" s="1032">
        <v>26</v>
      </c>
      <c r="BE428" s="1032">
        <v>36</v>
      </c>
      <c r="BF428" s="1032">
        <v>936</v>
      </c>
      <c r="BG428" s="1032" t="s">
        <v>94</v>
      </c>
      <c r="BH428" s="1032" t="s">
        <v>109</v>
      </c>
    </row>
    <row r="429" spans="1:60">
      <c r="A429" s="1032" t="s">
        <v>2109</v>
      </c>
      <c r="B429" s="1032" t="s">
        <v>61</v>
      </c>
      <c r="C429" s="1032" t="s">
        <v>1838</v>
      </c>
      <c r="D429" s="1032" t="s">
        <v>63</v>
      </c>
      <c r="E429" s="1032" t="s">
        <v>64</v>
      </c>
      <c r="F429" s="1032" t="s">
        <v>65</v>
      </c>
      <c r="G429" s="1032" t="s">
        <v>402</v>
      </c>
      <c r="H429" s="1032" t="s">
        <v>67</v>
      </c>
      <c r="I429" s="1032" t="s">
        <v>1395</v>
      </c>
      <c r="J429" s="1032" t="s">
        <v>96</v>
      </c>
      <c r="M429" s="1032" t="s">
        <v>68</v>
      </c>
      <c r="N429" s="1032">
        <v>46111</v>
      </c>
      <c r="O429" s="1032" t="s">
        <v>70</v>
      </c>
      <c r="P429" s="1032" t="s">
        <v>204</v>
      </c>
      <c r="Q429" s="1032" t="s">
        <v>205</v>
      </c>
      <c r="R429" s="1032" t="s">
        <v>73</v>
      </c>
      <c r="S429" s="1032" t="s">
        <v>967</v>
      </c>
      <c r="T429" s="1032">
        <v>455</v>
      </c>
      <c r="U429" s="1032">
        <v>5616</v>
      </c>
      <c r="V429" s="1032">
        <v>2.5552800000000002</v>
      </c>
      <c r="W429" s="1032">
        <v>156</v>
      </c>
      <c r="X429" s="1032">
        <v>6</v>
      </c>
      <c r="Y429" s="1032" t="s">
        <v>951</v>
      </c>
      <c r="Z429" s="1032" t="s">
        <v>75</v>
      </c>
      <c r="AA429" s="1032" t="s">
        <v>1896</v>
      </c>
      <c r="AB429" s="1033">
        <v>46126</v>
      </c>
      <c r="AC429" s="1032">
        <v>16</v>
      </c>
      <c r="AD429" s="1032" t="s">
        <v>2110</v>
      </c>
      <c r="AF429" s="1032" t="s">
        <v>1935</v>
      </c>
      <c r="AG429" s="1032" t="s">
        <v>61</v>
      </c>
      <c r="AH429" s="1032" t="s">
        <v>356</v>
      </c>
      <c r="AI429" s="1033">
        <v>46131</v>
      </c>
      <c r="AJ429" s="1033">
        <v>46131</v>
      </c>
      <c r="AK429" s="1033">
        <v>46131</v>
      </c>
      <c r="AL429" s="1033">
        <v>46182</v>
      </c>
      <c r="AM429" s="1033">
        <v>46196</v>
      </c>
      <c r="AN429" s="1033">
        <v>46190</v>
      </c>
      <c r="AO429" s="1032" t="s">
        <v>402</v>
      </c>
      <c r="AP429" s="1032" t="s">
        <v>2106</v>
      </c>
      <c r="AQ429" s="1032" t="s">
        <v>161</v>
      </c>
      <c r="AR429" s="1032" t="s">
        <v>2107</v>
      </c>
      <c r="AS429" s="1032" t="s">
        <v>2108</v>
      </c>
      <c r="AT429" s="1032">
        <v>273285267</v>
      </c>
      <c r="AU429" s="1032">
        <v>59</v>
      </c>
      <c r="AW429" s="1033">
        <v>46190</v>
      </c>
      <c r="AX429" s="1032" t="s">
        <v>973</v>
      </c>
      <c r="AY429" s="1033">
        <v>46202</v>
      </c>
      <c r="AZ429" s="1032">
        <v>8</v>
      </c>
      <c r="BA429" s="1033">
        <v>46198</v>
      </c>
      <c r="BB429" s="1032">
        <v>2026</v>
      </c>
      <c r="BC429" s="1032">
        <v>6</v>
      </c>
      <c r="BD429" s="1032">
        <v>26</v>
      </c>
      <c r="BE429" s="1032">
        <v>36</v>
      </c>
      <c r="BF429" s="1032">
        <v>936</v>
      </c>
      <c r="BG429" s="1032" t="s">
        <v>94</v>
      </c>
      <c r="BH429" s="1032" t="s">
        <v>109</v>
      </c>
    </row>
    <row r="430" spans="1:60">
      <c r="A430" s="1032" t="s">
        <v>2111</v>
      </c>
      <c r="B430" s="1032" t="s">
        <v>1888</v>
      </c>
      <c r="C430" s="1032" t="s">
        <v>1016</v>
      </c>
      <c r="D430" s="1032" t="s">
        <v>63</v>
      </c>
      <c r="E430" s="1032" t="s">
        <v>144</v>
      </c>
      <c r="F430" s="1032" t="s">
        <v>145</v>
      </c>
      <c r="G430" s="1032" t="s">
        <v>402</v>
      </c>
      <c r="H430" s="1032" t="s">
        <v>538</v>
      </c>
      <c r="I430" s="1032" t="s">
        <v>689</v>
      </c>
      <c r="J430" s="1032" t="s">
        <v>1615</v>
      </c>
      <c r="K430" s="1032" t="s">
        <v>1538</v>
      </c>
      <c r="M430" s="1032" t="s">
        <v>840</v>
      </c>
      <c r="N430" s="1032">
        <v>46076</v>
      </c>
      <c r="O430" s="1032" t="s">
        <v>70</v>
      </c>
      <c r="P430" s="1032" t="s">
        <v>195</v>
      </c>
      <c r="Q430" s="1032" t="s">
        <v>196</v>
      </c>
      <c r="R430" s="1032" t="s">
        <v>73</v>
      </c>
      <c r="S430" s="1032" t="s">
        <v>967</v>
      </c>
      <c r="T430" s="1032">
        <v>450</v>
      </c>
      <c r="U430" s="1032">
        <v>936</v>
      </c>
      <c r="V430" s="1032">
        <v>0.42120000000000002</v>
      </c>
      <c r="W430" s="1032">
        <v>26</v>
      </c>
      <c r="X430" s="1032">
        <v>1</v>
      </c>
      <c r="Y430" s="1032" t="s">
        <v>951</v>
      </c>
      <c r="Z430" s="1032" t="s">
        <v>75</v>
      </c>
      <c r="AA430" s="1032" t="s">
        <v>1889</v>
      </c>
      <c r="AB430" s="1033">
        <v>46128</v>
      </c>
      <c r="AC430" s="1032">
        <v>16</v>
      </c>
      <c r="AD430" s="1032" t="s">
        <v>2112</v>
      </c>
      <c r="AF430" s="1032" t="s">
        <v>1891</v>
      </c>
      <c r="AG430" s="1032" t="s">
        <v>123</v>
      </c>
      <c r="AH430" s="1032" t="s">
        <v>541</v>
      </c>
      <c r="AI430" s="1033">
        <v>46131</v>
      </c>
      <c r="AJ430" s="1033">
        <v>46141</v>
      </c>
      <c r="AK430" s="1033">
        <v>46141</v>
      </c>
      <c r="AL430" s="1033">
        <v>46192</v>
      </c>
      <c r="AM430" s="1033">
        <v>46188</v>
      </c>
      <c r="AN430" s="1033">
        <v>46190</v>
      </c>
      <c r="AO430" s="1032" t="s">
        <v>402</v>
      </c>
      <c r="AP430" s="1032" t="s">
        <v>2113</v>
      </c>
      <c r="AQ430" s="1032" t="s">
        <v>80</v>
      </c>
      <c r="AR430" s="1032" t="s">
        <v>2114</v>
      </c>
      <c r="AS430" s="1032" t="s">
        <v>2115</v>
      </c>
      <c r="AT430" s="1032" t="s">
        <v>2115</v>
      </c>
      <c r="AU430" s="1032">
        <v>49</v>
      </c>
      <c r="AW430" s="1033">
        <v>46190</v>
      </c>
      <c r="AX430" s="1032" t="s">
        <v>973</v>
      </c>
      <c r="AY430" s="1033">
        <v>46191</v>
      </c>
      <c r="AZ430" s="1032">
        <v>0</v>
      </c>
      <c r="BA430" s="1033">
        <v>46190</v>
      </c>
      <c r="BB430" s="1032">
        <v>2026</v>
      </c>
      <c r="BC430" s="1032">
        <v>6</v>
      </c>
      <c r="BD430" s="1032">
        <v>25</v>
      </c>
      <c r="BE430" s="1032">
        <v>36</v>
      </c>
      <c r="BF430" s="1032">
        <v>936</v>
      </c>
      <c r="BG430" s="1032" t="s">
        <v>85</v>
      </c>
      <c r="BH430" s="1032" t="s">
        <v>109</v>
      </c>
    </row>
    <row r="431" spans="1:60">
      <c r="A431" s="1032" t="s">
        <v>2116</v>
      </c>
      <c r="B431" s="1032" t="s">
        <v>1888</v>
      </c>
      <c r="C431" s="1032" t="s">
        <v>1016</v>
      </c>
      <c r="D431" s="1032" t="s">
        <v>63</v>
      </c>
      <c r="E431" s="1032" t="s">
        <v>144</v>
      </c>
      <c r="F431" s="1032" t="s">
        <v>145</v>
      </c>
      <c r="G431" s="1032" t="s">
        <v>402</v>
      </c>
      <c r="H431" s="1032" t="s">
        <v>538</v>
      </c>
      <c r="I431" s="1032" t="s">
        <v>689</v>
      </c>
      <c r="J431" s="1032" t="s">
        <v>1615</v>
      </c>
      <c r="K431" s="1032" t="s">
        <v>1538</v>
      </c>
      <c r="M431" s="1032" t="s">
        <v>840</v>
      </c>
      <c r="N431" s="1032">
        <v>46069</v>
      </c>
      <c r="O431" s="1032" t="s">
        <v>70</v>
      </c>
      <c r="P431" s="1032" t="s">
        <v>195</v>
      </c>
      <c r="Q431" s="1032" t="s">
        <v>196</v>
      </c>
      <c r="R431" s="1032" t="s">
        <v>73</v>
      </c>
      <c r="S431" s="1032" t="s">
        <v>967</v>
      </c>
      <c r="T431" s="1032">
        <v>450</v>
      </c>
      <c r="U431" s="1032">
        <v>4680</v>
      </c>
      <c r="V431" s="1032">
        <v>2.1059999999999999</v>
      </c>
      <c r="W431" s="1032">
        <v>130</v>
      </c>
      <c r="X431" s="1032">
        <v>5</v>
      </c>
      <c r="Y431" s="1032" t="s">
        <v>951</v>
      </c>
      <c r="Z431" s="1032" t="s">
        <v>75</v>
      </c>
      <c r="AA431" s="1032" t="s">
        <v>1889</v>
      </c>
      <c r="AB431" s="1033">
        <v>46128</v>
      </c>
      <c r="AC431" s="1032">
        <v>16</v>
      </c>
      <c r="AD431" s="1032" t="s">
        <v>2117</v>
      </c>
      <c r="AF431" s="1032" t="s">
        <v>1891</v>
      </c>
      <c r="AG431" s="1032" t="s">
        <v>123</v>
      </c>
      <c r="AH431" s="1032" t="s">
        <v>541</v>
      </c>
      <c r="AI431" s="1033">
        <v>46131</v>
      </c>
      <c r="AJ431" s="1033">
        <v>46141</v>
      </c>
      <c r="AK431" s="1033">
        <v>46141</v>
      </c>
      <c r="AL431" s="1033">
        <v>46192</v>
      </c>
      <c r="AM431" s="1033">
        <v>46188</v>
      </c>
      <c r="AN431" s="1033">
        <v>46190</v>
      </c>
      <c r="AO431" s="1032" t="s">
        <v>402</v>
      </c>
      <c r="AP431" s="1032" t="s">
        <v>2113</v>
      </c>
      <c r="AQ431" s="1032" t="s">
        <v>80</v>
      </c>
      <c r="AR431" s="1032" t="s">
        <v>2114</v>
      </c>
      <c r="AS431" s="1032" t="s">
        <v>2115</v>
      </c>
      <c r="AT431" s="1032" t="s">
        <v>2115</v>
      </c>
      <c r="AU431" s="1032">
        <v>49</v>
      </c>
      <c r="AW431" s="1033">
        <v>46190</v>
      </c>
      <c r="AX431" s="1032" t="s">
        <v>973</v>
      </c>
      <c r="AY431" s="1033">
        <v>46191</v>
      </c>
      <c r="AZ431" s="1032">
        <v>0</v>
      </c>
      <c r="BA431" s="1033">
        <v>46190</v>
      </c>
      <c r="BB431" s="1032">
        <v>2026</v>
      </c>
      <c r="BC431" s="1032">
        <v>6</v>
      </c>
      <c r="BD431" s="1032">
        <v>25</v>
      </c>
      <c r="BE431" s="1032">
        <v>36</v>
      </c>
      <c r="BF431" s="1032">
        <v>936</v>
      </c>
      <c r="BG431" s="1032" t="s">
        <v>85</v>
      </c>
      <c r="BH431" s="1032" t="s">
        <v>109</v>
      </c>
    </row>
    <row r="432" spans="1:60">
      <c r="A432" s="1032" t="s">
        <v>2118</v>
      </c>
      <c r="B432" s="1032" t="s">
        <v>1888</v>
      </c>
      <c r="C432" s="1032" t="s">
        <v>1016</v>
      </c>
      <c r="D432" s="1032" t="s">
        <v>63</v>
      </c>
      <c r="E432" s="1032" t="s">
        <v>64</v>
      </c>
      <c r="F432" s="1032" t="s">
        <v>100</v>
      </c>
      <c r="G432" s="1032" t="s">
        <v>402</v>
      </c>
      <c r="H432" s="1032" t="s">
        <v>67</v>
      </c>
      <c r="I432" s="1032" t="s">
        <v>689</v>
      </c>
      <c r="J432" s="1032" t="s">
        <v>96</v>
      </c>
      <c r="M432" s="1032" t="s">
        <v>840</v>
      </c>
      <c r="N432" s="1032">
        <v>46111</v>
      </c>
      <c r="O432" s="1032" t="s">
        <v>70</v>
      </c>
      <c r="P432" s="1032" t="s">
        <v>195</v>
      </c>
      <c r="Q432" s="1032" t="s">
        <v>196</v>
      </c>
      <c r="R432" s="1032" t="s">
        <v>73</v>
      </c>
      <c r="S432" s="1032" t="s">
        <v>967</v>
      </c>
      <c r="T432" s="1032">
        <v>450</v>
      </c>
      <c r="U432" s="1032">
        <v>1872</v>
      </c>
      <c r="V432" s="1032">
        <v>0.84240000000000004</v>
      </c>
      <c r="W432" s="1032">
        <v>52</v>
      </c>
      <c r="X432" s="1032">
        <v>2</v>
      </c>
      <c r="Y432" s="1032" t="s">
        <v>75</v>
      </c>
      <c r="Z432" s="1032" t="s">
        <v>75</v>
      </c>
      <c r="AA432" s="1032" t="s">
        <v>2038</v>
      </c>
      <c r="AB432" s="1033">
        <v>46125</v>
      </c>
      <c r="AC432" s="1032">
        <v>16</v>
      </c>
      <c r="AD432" s="1032" t="s">
        <v>2119</v>
      </c>
      <c r="AF432" s="1032" t="s">
        <v>1891</v>
      </c>
      <c r="AG432" s="1032" t="s">
        <v>123</v>
      </c>
      <c r="AH432" s="1032" t="s">
        <v>105</v>
      </c>
      <c r="AI432" s="1033">
        <v>46129</v>
      </c>
      <c r="AJ432" s="1033">
        <v>46130</v>
      </c>
      <c r="AK432" s="1033">
        <v>46129</v>
      </c>
      <c r="AL432" s="1033">
        <v>46172</v>
      </c>
      <c r="AM432" s="1033">
        <v>46179</v>
      </c>
      <c r="AN432" s="1033">
        <v>46180</v>
      </c>
      <c r="AO432" s="1032" t="s">
        <v>402</v>
      </c>
      <c r="AP432" s="1032" t="s">
        <v>2120</v>
      </c>
      <c r="AQ432" s="1032" t="s">
        <v>161</v>
      </c>
      <c r="AR432" s="1032" t="s">
        <v>2121</v>
      </c>
      <c r="AS432" s="1032" t="s">
        <v>2122</v>
      </c>
      <c r="AT432" s="1032" t="s">
        <v>2123</v>
      </c>
      <c r="AU432" s="1032">
        <v>51</v>
      </c>
      <c r="AW432" s="1033">
        <v>46180</v>
      </c>
      <c r="AX432" s="1032" t="s">
        <v>973</v>
      </c>
      <c r="AY432" s="1033">
        <v>46194</v>
      </c>
      <c r="AZ432" s="1032">
        <v>7</v>
      </c>
      <c r="BA432" s="1033">
        <v>46187</v>
      </c>
      <c r="BB432" s="1032">
        <v>2026</v>
      </c>
      <c r="BC432" s="1032">
        <v>6</v>
      </c>
      <c r="BD432" s="1032">
        <v>24</v>
      </c>
      <c r="BE432" s="1032">
        <v>36</v>
      </c>
      <c r="BF432" s="1032">
        <v>936</v>
      </c>
      <c r="BG432" s="1032" t="s">
        <v>85</v>
      </c>
      <c r="BH432" s="1032" t="s">
        <v>109</v>
      </c>
    </row>
    <row r="433" spans="1:60">
      <c r="A433" s="1032" t="s">
        <v>2124</v>
      </c>
      <c r="B433" s="1032" t="s">
        <v>1888</v>
      </c>
      <c r="C433" s="1032" t="s">
        <v>1016</v>
      </c>
      <c r="D433" s="1032" t="s">
        <v>63</v>
      </c>
      <c r="E433" s="1032" t="s">
        <v>144</v>
      </c>
      <c r="F433" s="1032" t="s">
        <v>145</v>
      </c>
      <c r="G433" s="1032" t="s">
        <v>402</v>
      </c>
      <c r="H433" s="1032" t="s">
        <v>1449</v>
      </c>
      <c r="I433" s="1032" t="s">
        <v>689</v>
      </c>
      <c r="J433" s="1032" t="s">
        <v>2125</v>
      </c>
      <c r="K433" s="1032" t="s">
        <v>1451</v>
      </c>
      <c r="L433" s="1032">
        <v>1</v>
      </c>
      <c r="M433" s="1032" t="s">
        <v>840</v>
      </c>
      <c r="N433" s="1032">
        <v>46111</v>
      </c>
      <c r="O433" s="1032" t="s">
        <v>70</v>
      </c>
      <c r="P433" s="1032" t="s">
        <v>195</v>
      </c>
      <c r="Q433" s="1032" t="s">
        <v>196</v>
      </c>
      <c r="R433" s="1032" t="s">
        <v>73</v>
      </c>
      <c r="S433" s="1032" t="s">
        <v>967</v>
      </c>
      <c r="T433" s="1032">
        <v>450</v>
      </c>
      <c r="U433" s="1032">
        <v>4680</v>
      </c>
      <c r="V433" s="1032">
        <v>2.1059999999999999</v>
      </c>
      <c r="W433" s="1032">
        <v>130</v>
      </c>
      <c r="X433" s="1032">
        <v>5</v>
      </c>
      <c r="Y433" s="1032" t="s">
        <v>75</v>
      </c>
      <c r="Z433" s="1032" t="s">
        <v>75</v>
      </c>
      <c r="AA433" s="1032" t="s">
        <v>2038</v>
      </c>
      <c r="AB433" s="1033">
        <v>46125</v>
      </c>
      <c r="AC433" s="1032">
        <v>16</v>
      </c>
      <c r="AD433" s="1032" t="s">
        <v>2126</v>
      </c>
      <c r="AF433" s="1032" t="s">
        <v>1891</v>
      </c>
      <c r="AG433" s="1032" t="s">
        <v>123</v>
      </c>
      <c r="AH433" s="1032" t="s">
        <v>105</v>
      </c>
      <c r="AI433" s="1033">
        <v>46129</v>
      </c>
      <c r="AJ433" s="1033">
        <v>46130</v>
      </c>
      <c r="AK433" s="1033">
        <v>46129</v>
      </c>
      <c r="AL433" s="1033">
        <v>46172</v>
      </c>
      <c r="AM433" s="1033">
        <v>46179</v>
      </c>
      <c r="AN433" s="1033">
        <v>46180</v>
      </c>
      <c r="AO433" s="1032" t="s">
        <v>402</v>
      </c>
      <c r="AP433" s="1032" t="s">
        <v>2120</v>
      </c>
      <c r="AQ433" s="1032" t="s">
        <v>161</v>
      </c>
      <c r="AR433" s="1032" t="s">
        <v>2127</v>
      </c>
      <c r="AS433" s="1032" t="s">
        <v>2128</v>
      </c>
      <c r="AT433" s="1032" t="s">
        <v>2123</v>
      </c>
      <c r="AU433" s="1032">
        <v>51</v>
      </c>
      <c r="AW433" s="1033">
        <v>46180</v>
      </c>
      <c r="AX433" s="1032" t="s">
        <v>973</v>
      </c>
      <c r="AY433" s="1033">
        <v>46177</v>
      </c>
      <c r="AZ433" s="1032">
        <v>0</v>
      </c>
      <c r="BA433" s="1033">
        <v>46180</v>
      </c>
      <c r="BB433" s="1032">
        <v>2026</v>
      </c>
      <c r="BC433" s="1032">
        <v>6</v>
      </c>
      <c r="BD433" s="1032">
        <v>23</v>
      </c>
      <c r="BE433" s="1032">
        <v>36</v>
      </c>
      <c r="BF433" s="1032">
        <v>936</v>
      </c>
      <c r="BG433" s="1032" t="s">
        <v>85</v>
      </c>
      <c r="BH433" s="1032" t="s">
        <v>109</v>
      </c>
    </row>
    <row r="434" spans="1:60">
      <c r="A434" s="1032" t="s">
        <v>2129</v>
      </c>
      <c r="B434" s="1032" t="s">
        <v>1888</v>
      </c>
      <c r="C434" s="1032" t="s">
        <v>1016</v>
      </c>
      <c r="D434" s="1032" t="s">
        <v>63</v>
      </c>
      <c r="E434" s="1032" t="s">
        <v>144</v>
      </c>
      <c r="F434" s="1032" t="s">
        <v>145</v>
      </c>
      <c r="G434" s="1032" t="s">
        <v>402</v>
      </c>
      <c r="H434" s="1032" t="s">
        <v>1449</v>
      </c>
      <c r="I434" s="1032" t="s">
        <v>689</v>
      </c>
      <c r="J434" s="1032" t="s">
        <v>2125</v>
      </c>
      <c r="K434" s="1032" t="s">
        <v>1451</v>
      </c>
      <c r="L434" s="1032">
        <v>2</v>
      </c>
      <c r="M434" s="1032" t="s">
        <v>840</v>
      </c>
      <c r="N434" s="1032">
        <v>46111</v>
      </c>
      <c r="O434" s="1032" t="s">
        <v>70</v>
      </c>
      <c r="P434" s="1032" t="s">
        <v>195</v>
      </c>
      <c r="Q434" s="1032" t="s">
        <v>196</v>
      </c>
      <c r="R434" s="1032" t="s">
        <v>73</v>
      </c>
      <c r="S434" s="1032" t="s">
        <v>967</v>
      </c>
      <c r="T434" s="1032">
        <v>450</v>
      </c>
      <c r="U434" s="1032">
        <v>4680</v>
      </c>
      <c r="V434" s="1032">
        <v>2.1059999999999999</v>
      </c>
      <c r="W434" s="1032">
        <v>130</v>
      </c>
      <c r="X434" s="1032">
        <v>5</v>
      </c>
      <c r="Y434" s="1032" t="s">
        <v>75</v>
      </c>
      <c r="Z434" s="1032" t="s">
        <v>75</v>
      </c>
      <c r="AA434" s="1032" t="s">
        <v>2038</v>
      </c>
      <c r="AB434" s="1033">
        <v>46125</v>
      </c>
      <c r="AC434" s="1032">
        <v>16</v>
      </c>
      <c r="AD434" s="1032" t="s">
        <v>2130</v>
      </c>
      <c r="AF434" s="1032" t="s">
        <v>1891</v>
      </c>
      <c r="AG434" s="1032" t="s">
        <v>123</v>
      </c>
      <c r="AH434" s="1032" t="s">
        <v>105</v>
      </c>
      <c r="AI434" s="1033">
        <v>46129</v>
      </c>
      <c r="AJ434" s="1033">
        <v>46130</v>
      </c>
      <c r="AK434" s="1033">
        <v>46129</v>
      </c>
      <c r="AL434" s="1033">
        <v>46172</v>
      </c>
      <c r="AM434" s="1033">
        <v>46179</v>
      </c>
      <c r="AN434" s="1033">
        <v>46180</v>
      </c>
      <c r="AO434" s="1032" t="s">
        <v>402</v>
      </c>
      <c r="AP434" s="1032" t="s">
        <v>2120</v>
      </c>
      <c r="AQ434" s="1032" t="s">
        <v>161</v>
      </c>
      <c r="AR434" s="1032" t="s">
        <v>2127</v>
      </c>
      <c r="AS434" s="1032" t="s">
        <v>2128</v>
      </c>
      <c r="AT434" s="1032" t="s">
        <v>2123</v>
      </c>
      <c r="AU434" s="1032">
        <v>51</v>
      </c>
      <c r="AW434" s="1033">
        <v>46180</v>
      </c>
      <c r="AX434" s="1032" t="s">
        <v>973</v>
      </c>
      <c r="AY434" s="1033">
        <v>46177</v>
      </c>
      <c r="AZ434" s="1032">
        <v>0</v>
      </c>
      <c r="BA434" s="1033">
        <v>46180</v>
      </c>
      <c r="BB434" s="1032">
        <v>2026</v>
      </c>
      <c r="BC434" s="1032">
        <v>6</v>
      </c>
      <c r="BD434" s="1032">
        <v>23</v>
      </c>
      <c r="BE434" s="1032">
        <v>36</v>
      </c>
      <c r="BF434" s="1032">
        <v>936</v>
      </c>
      <c r="BG434" s="1032" t="s">
        <v>85</v>
      </c>
      <c r="BH434" s="1032" t="s">
        <v>109</v>
      </c>
    </row>
    <row r="435" spans="1:60">
      <c r="A435" s="1032" t="s">
        <v>2131</v>
      </c>
      <c r="B435" s="1032" t="s">
        <v>2132</v>
      </c>
      <c r="C435" s="1032" t="s">
        <v>2133</v>
      </c>
      <c r="D435" s="1032" t="s">
        <v>63</v>
      </c>
      <c r="E435" s="1032" t="s">
        <v>64</v>
      </c>
      <c r="F435" s="1032" t="s">
        <v>100</v>
      </c>
      <c r="G435" s="1032" t="s">
        <v>402</v>
      </c>
      <c r="H435" s="1032" t="s">
        <v>67</v>
      </c>
      <c r="J435" s="1032" t="s">
        <v>96</v>
      </c>
      <c r="M435" s="1032" t="s">
        <v>68</v>
      </c>
      <c r="N435" s="1032" t="s">
        <v>68</v>
      </c>
      <c r="O435" s="1032" t="s">
        <v>550</v>
      </c>
      <c r="P435" s="1032" t="s">
        <v>2134</v>
      </c>
      <c r="Q435" s="1032" t="s">
        <v>2135</v>
      </c>
      <c r="R435" s="1032" t="s">
        <v>73</v>
      </c>
      <c r="S435" s="1032" t="s">
        <v>2136</v>
      </c>
      <c r="T435" s="1032">
        <v>515</v>
      </c>
      <c r="U435" s="1032">
        <v>792</v>
      </c>
      <c r="V435" s="1032">
        <v>0.40788000000000002</v>
      </c>
      <c r="W435" s="1032">
        <v>22</v>
      </c>
      <c r="X435" s="1032">
        <v>1</v>
      </c>
      <c r="Y435" s="1032" t="s">
        <v>75</v>
      </c>
      <c r="Z435" s="1032" t="s">
        <v>75</v>
      </c>
      <c r="AB435" s="1033">
        <v>46126</v>
      </c>
      <c r="AC435" s="1032">
        <v>16</v>
      </c>
      <c r="AD435" s="1032" t="s">
        <v>2137</v>
      </c>
      <c r="AF435" s="1032" t="s">
        <v>123</v>
      </c>
      <c r="AG435" s="1032" t="s">
        <v>123</v>
      </c>
      <c r="AH435" s="1032" t="s">
        <v>105</v>
      </c>
      <c r="AI435" s="1033">
        <v>46131</v>
      </c>
      <c r="AJ435" s="1033">
        <v>46130</v>
      </c>
      <c r="AK435" s="1033">
        <v>46130</v>
      </c>
      <c r="AL435" s="1033">
        <v>46172</v>
      </c>
      <c r="AM435" s="1033">
        <v>46175</v>
      </c>
      <c r="AN435" s="1033">
        <v>46175</v>
      </c>
      <c r="AO435" s="1032" t="s">
        <v>402</v>
      </c>
      <c r="AP435" s="1032" t="s">
        <v>2138</v>
      </c>
      <c r="AQ435" s="1032" t="s">
        <v>80</v>
      </c>
      <c r="AR435" s="1032" t="s">
        <v>2139</v>
      </c>
      <c r="AS435" s="1032" t="s">
        <v>2140</v>
      </c>
      <c r="AT435" s="1032" t="s">
        <v>2140</v>
      </c>
      <c r="AU435" s="1032">
        <v>45</v>
      </c>
      <c r="AW435" s="1033">
        <v>46175</v>
      </c>
      <c r="AX435" s="1032" t="s">
        <v>973</v>
      </c>
      <c r="AY435" s="1033">
        <v>46188</v>
      </c>
      <c r="AZ435" s="1032">
        <v>7</v>
      </c>
      <c r="BA435" s="1033">
        <v>46182</v>
      </c>
      <c r="BB435" s="1032">
        <v>2026</v>
      </c>
      <c r="BC435" s="1032">
        <v>6</v>
      </c>
      <c r="BD435" s="1032">
        <v>24</v>
      </c>
      <c r="BE435" s="1032">
        <v>36</v>
      </c>
      <c r="BF435" s="1032">
        <v>792</v>
      </c>
      <c r="BG435" s="1032" t="s">
        <v>85</v>
      </c>
      <c r="BH435" s="1032" t="s">
        <v>109</v>
      </c>
    </row>
    <row r="436" spans="1:60">
      <c r="A436" s="1032" t="s">
        <v>2141</v>
      </c>
      <c r="B436" s="1032" t="s">
        <v>111</v>
      </c>
      <c r="C436" s="1032" t="s">
        <v>1729</v>
      </c>
      <c r="D436" s="1032" t="s">
        <v>63</v>
      </c>
      <c r="E436" s="1032" t="s">
        <v>64</v>
      </c>
      <c r="F436" s="1032" t="s">
        <v>310</v>
      </c>
      <c r="G436" s="1032" t="s">
        <v>402</v>
      </c>
      <c r="H436" s="1032" t="s">
        <v>311</v>
      </c>
      <c r="I436" s="1032" t="s">
        <v>882</v>
      </c>
      <c r="J436" s="1032" t="s">
        <v>96</v>
      </c>
      <c r="M436" s="1032" t="s">
        <v>68</v>
      </c>
      <c r="N436" s="1032">
        <v>46111</v>
      </c>
      <c r="O436" s="1032" t="s">
        <v>170</v>
      </c>
      <c r="P436" s="1032" t="s">
        <v>171</v>
      </c>
      <c r="Q436" s="1032" t="s">
        <v>1731</v>
      </c>
      <c r="R436" s="1032" t="s">
        <v>73</v>
      </c>
      <c r="S436" s="1032" t="s">
        <v>992</v>
      </c>
      <c r="T436" s="1032">
        <v>555</v>
      </c>
      <c r="U436" s="1032">
        <v>3960</v>
      </c>
      <c r="V436" s="1032">
        <v>2.1978</v>
      </c>
      <c r="W436" s="1032">
        <v>120</v>
      </c>
      <c r="X436" s="1032">
        <v>6</v>
      </c>
      <c r="Y436" s="1032" t="s">
        <v>951</v>
      </c>
      <c r="Z436" s="1032" t="s">
        <v>75</v>
      </c>
      <c r="AA436" s="1032" t="s">
        <v>2082</v>
      </c>
      <c r="AB436" s="1033">
        <v>46122</v>
      </c>
      <c r="AC436" s="1032">
        <v>15</v>
      </c>
      <c r="AD436" s="1032" t="s">
        <v>2142</v>
      </c>
      <c r="AF436" s="1032" t="s">
        <v>1999</v>
      </c>
      <c r="AG436" s="1032" t="s">
        <v>123</v>
      </c>
      <c r="AH436" s="1032" t="s">
        <v>314</v>
      </c>
      <c r="AI436" s="1033">
        <v>46129</v>
      </c>
      <c r="AJ436" s="1033">
        <v>46129</v>
      </c>
      <c r="AK436" s="1033">
        <v>46131</v>
      </c>
      <c r="AL436" s="1033">
        <v>46176</v>
      </c>
      <c r="AM436" s="1033">
        <v>46182</v>
      </c>
      <c r="AN436" s="1033">
        <v>46182</v>
      </c>
      <c r="AO436" s="1032" t="s">
        <v>402</v>
      </c>
      <c r="AP436" s="1032" t="s">
        <v>2143</v>
      </c>
      <c r="AQ436" s="1032" t="s">
        <v>80</v>
      </c>
      <c r="AR436" s="1032" t="s">
        <v>2144</v>
      </c>
      <c r="AS436" s="1032" t="s">
        <v>2145</v>
      </c>
      <c r="AT436" s="1032" t="s">
        <v>2145</v>
      </c>
      <c r="AU436" s="1032">
        <v>51</v>
      </c>
      <c r="AW436" s="1033">
        <v>46182</v>
      </c>
      <c r="AX436" s="1032" t="s">
        <v>973</v>
      </c>
      <c r="AY436" s="1033">
        <v>46195</v>
      </c>
      <c r="AZ436" s="1032">
        <v>13</v>
      </c>
      <c r="BA436" s="1033">
        <v>46195</v>
      </c>
      <c r="BB436" s="1032">
        <v>2026</v>
      </c>
      <c r="BC436" s="1032">
        <v>6</v>
      </c>
      <c r="BD436" s="1032">
        <v>26</v>
      </c>
      <c r="BE436" s="1032">
        <v>33</v>
      </c>
      <c r="BF436" s="1032">
        <v>660</v>
      </c>
      <c r="BG436" s="1032" t="s">
        <v>108</v>
      </c>
      <c r="BH436" s="1032" t="s">
        <v>86</v>
      </c>
    </row>
    <row r="437" spans="1:60">
      <c r="A437" s="1032" t="s">
        <v>2146</v>
      </c>
      <c r="B437" s="1032" t="s">
        <v>111</v>
      </c>
      <c r="C437" s="1032" t="s">
        <v>1976</v>
      </c>
      <c r="D437" s="1032" t="s">
        <v>63</v>
      </c>
      <c r="E437" s="1032" t="s">
        <v>64</v>
      </c>
      <c r="F437" s="1032" t="s">
        <v>310</v>
      </c>
      <c r="G437" s="1032" t="s">
        <v>402</v>
      </c>
      <c r="H437" s="1032" t="s">
        <v>311</v>
      </c>
      <c r="I437" s="1032" t="s">
        <v>882</v>
      </c>
      <c r="J437" s="1032" t="s">
        <v>96</v>
      </c>
      <c r="M437" s="1032" t="s">
        <v>68</v>
      </c>
      <c r="N437" s="1032">
        <v>46111</v>
      </c>
      <c r="O437" s="1032" t="s">
        <v>170</v>
      </c>
      <c r="P437" s="1032" t="s">
        <v>1977</v>
      </c>
      <c r="Q437" s="1032" t="s">
        <v>1978</v>
      </c>
      <c r="R437" s="1032" t="s">
        <v>73</v>
      </c>
      <c r="S437" s="1032" t="s">
        <v>992</v>
      </c>
      <c r="T437" s="1032">
        <v>560</v>
      </c>
      <c r="U437" s="1032">
        <v>1320</v>
      </c>
      <c r="V437" s="1032">
        <v>0.73919999999999997</v>
      </c>
      <c r="W437" s="1032">
        <v>40</v>
      </c>
      <c r="X437" s="1032">
        <v>2</v>
      </c>
      <c r="Y437" s="1032" t="s">
        <v>951</v>
      </c>
      <c r="Z437" s="1032" t="s">
        <v>75</v>
      </c>
      <c r="AA437" s="1032" t="s">
        <v>2147</v>
      </c>
      <c r="AB437" s="1033">
        <v>46122</v>
      </c>
      <c r="AC437" s="1032">
        <v>15</v>
      </c>
      <c r="AD437" s="1032" t="s">
        <v>2148</v>
      </c>
      <c r="AF437" s="1032" t="s">
        <v>1999</v>
      </c>
      <c r="AG437" s="1032" t="s">
        <v>123</v>
      </c>
      <c r="AH437" s="1032" t="s">
        <v>314</v>
      </c>
      <c r="AI437" s="1033">
        <v>46129</v>
      </c>
      <c r="AJ437" s="1033">
        <v>46129</v>
      </c>
      <c r="AK437" s="1033">
        <v>46131</v>
      </c>
      <c r="AL437" s="1033">
        <v>46176</v>
      </c>
      <c r="AM437" s="1033">
        <v>46182</v>
      </c>
      <c r="AN437" s="1033">
        <v>46182</v>
      </c>
      <c r="AO437" s="1032" t="s">
        <v>402</v>
      </c>
      <c r="AP437" s="1032" t="s">
        <v>2143</v>
      </c>
      <c r="AQ437" s="1032" t="s">
        <v>80</v>
      </c>
      <c r="AR437" s="1032" t="s">
        <v>2144</v>
      </c>
      <c r="AS437" s="1032" t="s">
        <v>2145</v>
      </c>
      <c r="AT437" s="1032" t="s">
        <v>2145</v>
      </c>
      <c r="AU437" s="1032">
        <v>51</v>
      </c>
      <c r="AW437" s="1033">
        <v>46182</v>
      </c>
      <c r="AX437" s="1032" t="s">
        <v>973</v>
      </c>
      <c r="AY437" s="1033">
        <v>46195</v>
      </c>
      <c r="AZ437" s="1032">
        <v>13</v>
      </c>
      <c r="BA437" s="1033">
        <v>46195</v>
      </c>
      <c r="BB437" s="1032">
        <v>2026</v>
      </c>
      <c r="BC437" s="1032">
        <v>6</v>
      </c>
      <c r="BD437" s="1032">
        <v>26</v>
      </c>
      <c r="BE437" s="1032">
        <v>33</v>
      </c>
      <c r="BF437" s="1032">
        <v>660</v>
      </c>
      <c r="BG437" s="1032" t="s">
        <v>108</v>
      </c>
      <c r="BH437" s="1032" t="s">
        <v>86</v>
      </c>
    </row>
    <row r="438" spans="1:60">
      <c r="A438" s="1032" t="s">
        <v>2149</v>
      </c>
      <c r="B438" s="1032" t="s">
        <v>2132</v>
      </c>
      <c r="C438" s="1032" t="s">
        <v>2150</v>
      </c>
      <c r="D438" s="1032" t="s">
        <v>63</v>
      </c>
      <c r="E438" s="1032" t="s">
        <v>64</v>
      </c>
      <c r="F438" s="1032" t="s">
        <v>65</v>
      </c>
      <c r="G438" s="1032" t="s">
        <v>402</v>
      </c>
      <c r="H438" s="1032" t="s">
        <v>67</v>
      </c>
      <c r="J438" s="1032" t="s">
        <v>96</v>
      </c>
      <c r="M438" s="1032" t="s">
        <v>68</v>
      </c>
      <c r="N438" s="1032" t="s">
        <v>68</v>
      </c>
      <c r="O438" s="1032" t="s">
        <v>550</v>
      </c>
      <c r="P438" s="1032" t="s">
        <v>551</v>
      </c>
      <c r="Q438" s="1032" t="s">
        <v>2151</v>
      </c>
      <c r="R438" s="1032" t="s">
        <v>73</v>
      </c>
      <c r="S438" s="1032" t="s">
        <v>2136</v>
      </c>
      <c r="T438" s="1032">
        <v>510</v>
      </c>
      <c r="U438" s="1032">
        <v>792</v>
      </c>
      <c r="V438" s="1032">
        <v>0.40392</v>
      </c>
      <c r="W438" s="1032">
        <v>22</v>
      </c>
      <c r="X438" s="1032">
        <v>1</v>
      </c>
      <c r="Y438" s="1032" t="s">
        <v>951</v>
      </c>
      <c r="Z438" s="1032" t="s">
        <v>75</v>
      </c>
      <c r="AA438" s="1032" t="s">
        <v>2152</v>
      </c>
      <c r="AB438" s="1033">
        <v>46129</v>
      </c>
      <c r="AC438" s="1032">
        <v>16</v>
      </c>
      <c r="AD438" s="1032" t="s">
        <v>2153</v>
      </c>
      <c r="AF438" s="1032" t="s">
        <v>123</v>
      </c>
      <c r="AG438" s="1032" t="s">
        <v>123</v>
      </c>
      <c r="AH438" s="1032" t="s">
        <v>78</v>
      </c>
      <c r="AI438" s="1033">
        <v>46134</v>
      </c>
      <c r="AJ438" s="1033">
        <v>46136</v>
      </c>
      <c r="AK438" s="1033">
        <v>46138</v>
      </c>
      <c r="AL438" s="1033">
        <v>46175</v>
      </c>
      <c r="AM438" s="1033">
        <v>46188</v>
      </c>
      <c r="AN438" s="1033">
        <v>46191</v>
      </c>
      <c r="AO438" s="1032" t="s">
        <v>402</v>
      </c>
      <c r="AP438" s="1032" t="s">
        <v>2154</v>
      </c>
      <c r="AQ438" s="1032" t="s">
        <v>80</v>
      </c>
      <c r="AR438" s="1032" t="s">
        <v>2155</v>
      </c>
      <c r="AS438" s="1032" t="s">
        <v>2156</v>
      </c>
      <c r="AT438" s="1032" t="s">
        <v>2156</v>
      </c>
      <c r="AU438" s="1032">
        <v>53</v>
      </c>
      <c r="AW438" s="1033">
        <v>46191</v>
      </c>
      <c r="AX438" s="1032" t="s">
        <v>973</v>
      </c>
      <c r="AY438" s="1033">
        <v>46204</v>
      </c>
      <c r="AZ438" s="1032">
        <v>8</v>
      </c>
      <c r="BA438" s="1033">
        <v>46199</v>
      </c>
      <c r="BB438" s="1032">
        <v>2026</v>
      </c>
      <c r="BC438" s="1032">
        <v>6</v>
      </c>
      <c r="BD438" s="1032">
        <v>26</v>
      </c>
      <c r="BE438" s="1032">
        <v>36</v>
      </c>
      <c r="BF438" s="1032">
        <v>792</v>
      </c>
      <c r="BG438" s="1032" t="s">
        <v>85</v>
      </c>
      <c r="BH438" s="1032" t="s">
        <v>86</v>
      </c>
    </row>
    <row r="439" spans="1:60">
      <c r="A439" s="1032" t="s">
        <v>2157</v>
      </c>
      <c r="B439" s="1032" t="s">
        <v>2132</v>
      </c>
      <c r="C439" s="1032" t="s">
        <v>2133</v>
      </c>
      <c r="D439" s="1032" t="s">
        <v>63</v>
      </c>
      <c r="E439" s="1032" t="s">
        <v>64</v>
      </c>
      <c r="F439" s="1032" t="s">
        <v>65</v>
      </c>
      <c r="G439" s="1032" t="s">
        <v>402</v>
      </c>
      <c r="H439" s="1032" t="s">
        <v>67</v>
      </c>
      <c r="J439" s="1032" t="s">
        <v>96</v>
      </c>
      <c r="M439" s="1032" t="s">
        <v>68</v>
      </c>
      <c r="N439" s="1032" t="s">
        <v>68</v>
      </c>
      <c r="O439" s="1032" t="s">
        <v>550</v>
      </c>
      <c r="P439" s="1032" t="s">
        <v>2134</v>
      </c>
      <c r="Q439" s="1032" t="s">
        <v>2135</v>
      </c>
      <c r="R439" s="1032" t="s">
        <v>73</v>
      </c>
      <c r="S439" s="1032" t="s">
        <v>2136</v>
      </c>
      <c r="T439" s="1032">
        <v>515</v>
      </c>
      <c r="U439" s="1032">
        <v>792</v>
      </c>
      <c r="V439" s="1032">
        <v>0.40788000000000002</v>
      </c>
      <c r="W439" s="1032">
        <v>22</v>
      </c>
      <c r="X439" s="1032">
        <v>1</v>
      </c>
      <c r="Y439" s="1032" t="s">
        <v>951</v>
      </c>
      <c r="Z439" s="1032" t="s">
        <v>75</v>
      </c>
      <c r="AA439" s="1032" t="s">
        <v>2152</v>
      </c>
      <c r="AB439" s="1033">
        <v>46128</v>
      </c>
      <c r="AC439" s="1032">
        <v>16</v>
      </c>
      <c r="AD439" s="1032" t="s">
        <v>2158</v>
      </c>
      <c r="AE439" s="1032" t="s">
        <v>2159</v>
      </c>
      <c r="AF439" s="1032" t="s">
        <v>123</v>
      </c>
      <c r="AG439" s="1032" t="s">
        <v>123</v>
      </c>
      <c r="AH439" s="1032" t="s">
        <v>78</v>
      </c>
      <c r="AI439" s="1033">
        <v>46134</v>
      </c>
      <c r="AJ439" s="1033">
        <v>46136</v>
      </c>
      <c r="AK439" s="1033">
        <v>46138</v>
      </c>
      <c r="AL439" s="1033">
        <v>46175</v>
      </c>
      <c r="AM439" s="1033">
        <v>46188</v>
      </c>
      <c r="AN439" s="1033">
        <v>46191</v>
      </c>
      <c r="AO439" s="1032" t="s">
        <v>402</v>
      </c>
      <c r="AP439" s="1032" t="s">
        <v>2154</v>
      </c>
      <c r="AQ439" s="1032" t="s">
        <v>80</v>
      </c>
      <c r="AR439" s="1032" t="s">
        <v>2155</v>
      </c>
      <c r="AS439" s="1032" t="s">
        <v>2156</v>
      </c>
      <c r="AT439" s="1032" t="s">
        <v>2156</v>
      </c>
      <c r="AU439" s="1032">
        <v>53</v>
      </c>
      <c r="AW439" s="1033">
        <v>46191</v>
      </c>
      <c r="AX439" s="1032" t="s">
        <v>973</v>
      </c>
      <c r="AY439" s="1033">
        <v>46204</v>
      </c>
      <c r="AZ439" s="1032">
        <v>8</v>
      </c>
      <c r="BA439" s="1033">
        <v>46199</v>
      </c>
      <c r="BB439" s="1032">
        <v>2026</v>
      </c>
      <c r="BC439" s="1032">
        <v>6</v>
      </c>
      <c r="BD439" s="1032">
        <v>26</v>
      </c>
      <c r="BE439" s="1032">
        <v>36</v>
      </c>
      <c r="BF439" s="1032">
        <v>792</v>
      </c>
      <c r="BG439" s="1032" t="s">
        <v>85</v>
      </c>
      <c r="BH439" s="1032" t="s">
        <v>86</v>
      </c>
    </row>
    <row r="440" spans="1:60">
      <c r="A440" s="1032" t="s">
        <v>2160</v>
      </c>
      <c r="B440" s="1032" t="s">
        <v>61</v>
      </c>
      <c r="C440" s="1032" t="s">
        <v>1940</v>
      </c>
      <c r="D440" s="1032" t="s">
        <v>63</v>
      </c>
      <c r="E440" s="1032" t="s">
        <v>64</v>
      </c>
      <c r="F440" s="1032" t="s">
        <v>65</v>
      </c>
      <c r="G440" s="1032" t="s">
        <v>402</v>
      </c>
      <c r="H440" s="1032" t="s">
        <v>67</v>
      </c>
      <c r="I440" s="1032" t="s">
        <v>1395</v>
      </c>
      <c r="J440" s="1032" t="s">
        <v>96</v>
      </c>
      <c r="M440" s="1032" t="s">
        <v>68</v>
      </c>
      <c r="N440" s="1032">
        <v>46111</v>
      </c>
      <c r="O440" s="1032" t="s">
        <v>70</v>
      </c>
      <c r="P440" s="1032" t="s">
        <v>91</v>
      </c>
      <c r="Q440" s="1032" t="s">
        <v>92</v>
      </c>
      <c r="R440" s="1032" t="s">
        <v>73</v>
      </c>
      <c r="S440" s="1032" t="s">
        <v>967</v>
      </c>
      <c r="T440" s="1032">
        <v>450</v>
      </c>
      <c r="U440" s="1032">
        <v>7488</v>
      </c>
      <c r="V440" s="1032">
        <v>3.3696000000000002</v>
      </c>
      <c r="W440" s="1032">
        <v>208</v>
      </c>
      <c r="X440" s="1032">
        <v>8</v>
      </c>
      <c r="Y440" s="1032" t="s">
        <v>951</v>
      </c>
      <c r="Z440" s="1032" t="s">
        <v>75</v>
      </c>
      <c r="AA440" s="1032" t="s">
        <v>1991</v>
      </c>
      <c r="AB440" s="1033">
        <v>46127</v>
      </c>
      <c r="AC440" s="1032">
        <v>16</v>
      </c>
      <c r="AD440" s="1032" t="s">
        <v>2161</v>
      </c>
      <c r="AF440" s="1032" t="s">
        <v>1935</v>
      </c>
      <c r="AG440" s="1032" t="s">
        <v>61</v>
      </c>
      <c r="AH440" s="1032" t="s">
        <v>356</v>
      </c>
      <c r="AI440" s="1033">
        <v>46131</v>
      </c>
      <c r="AJ440" s="1033">
        <v>46131</v>
      </c>
      <c r="AK440" s="1033">
        <v>46131</v>
      </c>
      <c r="AL440" s="1033">
        <v>46182</v>
      </c>
      <c r="AM440" s="1033">
        <v>46196</v>
      </c>
      <c r="AN440" s="1033">
        <v>46190</v>
      </c>
      <c r="AO440" s="1032" t="s">
        <v>402</v>
      </c>
      <c r="AP440" s="1032" t="s">
        <v>2106</v>
      </c>
      <c r="AQ440" s="1032" t="s">
        <v>161</v>
      </c>
      <c r="AR440" s="1032" t="s">
        <v>2162</v>
      </c>
      <c r="AS440" s="1032" t="s">
        <v>2163</v>
      </c>
      <c r="AT440" s="1032">
        <v>273285266</v>
      </c>
      <c r="AU440" s="1032">
        <v>59</v>
      </c>
      <c r="AW440" s="1033">
        <v>46190</v>
      </c>
      <c r="AX440" s="1032" t="s">
        <v>973</v>
      </c>
      <c r="AY440" s="1033">
        <v>46203</v>
      </c>
      <c r="AZ440" s="1032">
        <v>8</v>
      </c>
      <c r="BA440" s="1033">
        <v>46198</v>
      </c>
      <c r="BB440" s="1032">
        <v>2026</v>
      </c>
      <c r="BC440" s="1032">
        <v>6</v>
      </c>
      <c r="BD440" s="1032">
        <v>26</v>
      </c>
      <c r="BE440" s="1032">
        <v>36</v>
      </c>
      <c r="BF440" s="1032">
        <v>936</v>
      </c>
      <c r="BG440" s="1032" t="s">
        <v>94</v>
      </c>
      <c r="BH440" s="1032" t="s">
        <v>109</v>
      </c>
    </row>
    <row r="441" spans="1:60">
      <c r="A441" s="1032" t="s">
        <v>2164</v>
      </c>
      <c r="B441" s="1032" t="s">
        <v>61</v>
      </c>
      <c r="C441" s="1032" t="s">
        <v>1940</v>
      </c>
      <c r="D441" s="1032" t="s">
        <v>63</v>
      </c>
      <c r="E441" s="1032" t="s">
        <v>64</v>
      </c>
      <c r="F441" s="1032" t="s">
        <v>65</v>
      </c>
      <c r="G441" s="1032" t="s">
        <v>402</v>
      </c>
      <c r="H441" s="1032" t="s">
        <v>67</v>
      </c>
      <c r="I441" s="1032" t="s">
        <v>882</v>
      </c>
      <c r="J441" s="1032" t="s">
        <v>96</v>
      </c>
      <c r="M441" s="1032" t="s">
        <v>68</v>
      </c>
      <c r="N441" s="1032">
        <v>46111</v>
      </c>
      <c r="O441" s="1032" t="s">
        <v>70</v>
      </c>
      <c r="P441" s="1032" t="s">
        <v>91</v>
      </c>
      <c r="Q441" s="1032" t="s">
        <v>92</v>
      </c>
      <c r="R441" s="1032" t="s">
        <v>73</v>
      </c>
      <c r="S441" s="1032" t="s">
        <v>967</v>
      </c>
      <c r="T441" s="1032">
        <v>450</v>
      </c>
      <c r="U441" s="1032">
        <v>1872</v>
      </c>
      <c r="V441" s="1032">
        <v>0.84240000000000004</v>
      </c>
      <c r="W441" s="1032">
        <v>52</v>
      </c>
      <c r="X441" s="1032">
        <v>2</v>
      </c>
      <c r="Y441" s="1032" t="s">
        <v>951</v>
      </c>
      <c r="Z441" s="1032" t="s">
        <v>75</v>
      </c>
      <c r="AA441" s="1032" t="s">
        <v>1991</v>
      </c>
      <c r="AB441" s="1033">
        <v>46127</v>
      </c>
      <c r="AC441" s="1032">
        <v>16</v>
      </c>
      <c r="AD441" s="1032" t="s">
        <v>2165</v>
      </c>
      <c r="AF441" s="1032" t="s">
        <v>1935</v>
      </c>
      <c r="AG441" s="1032" t="s">
        <v>61</v>
      </c>
      <c r="AH441" s="1032" t="s">
        <v>356</v>
      </c>
      <c r="AI441" s="1033">
        <v>46131</v>
      </c>
      <c r="AJ441" s="1033">
        <v>46131</v>
      </c>
      <c r="AK441" s="1033">
        <v>46131</v>
      </c>
      <c r="AL441" s="1033">
        <v>46182</v>
      </c>
      <c r="AM441" s="1033">
        <v>46196</v>
      </c>
      <c r="AN441" s="1033">
        <v>46190</v>
      </c>
      <c r="AO441" s="1032" t="s">
        <v>402</v>
      </c>
      <c r="AP441" s="1032" t="s">
        <v>2106</v>
      </c>
      <c r="AQ441" s="1032" t="s">
        <v>161</v>
      </c>
      <c r="AR441" s="1032" t="s">
        <v>2162</v>
      </c>
      <c r="AS441" s="1032" t="s">
        <v>2163</v>
      </c>
      <c r="AT441" s="1032">
        <v>273285266</v>
      </c>
      <c r="AU441" s="1032">
        <v>59</v>
      </c>
      <c r="AW441" s="1033">
        <v>46190</v>
      </c>
      <c r="AX441" s="1032" t="s">
        <v>973</v>
      </c>
      <c r="AY441" s="1033">
        <v>46203</v>
      </c>
      <c r="AZ441" s="1032">
        <v>8</v>
      </c>
      <c r="BA441" s="1033">
        <v>46198</v>
      </c>
      <c r="BB441" s="1032">
        <v>2026</v>
      </c>
      <c r="BC441" s="1032">
        <v>6</v>
      </c>
      <c r="BD441" s="1032">
        <v>26</v>
      </c>
      <c r="BE441" s="1032">
        <v>36</v>
      </c>
      <c r="BF441" s="1032">
        <v>936</v>
      </c>
      <c r="BG441" s="1032" t="s">
        <v>94</v>
      </c>
      <c r="BH441" s="1032" t="s">
        <v>109</v>
      </c>
    </row>
    <row r="442" spans="1:60">
      <c r="A442" s="1032" t="s">
        <v>2166</v>
      </c>
      <c r="B442" s="1032" t="s">
        <v>61</v>
      </c>
      <c r="C442" s="1032" t="s">
        <v>2087</v>
      </c>
      <c r="D442" s="1032" t="s">
        <v>63</v>
      </c>
      <c r="E442" s="1032" t="s">
        <v>64</v>
      </c>
      <c r="F442" s="1032" t="s">
        <v>65</v>
      </c>
      <c r="G442" s="1032" t="s">
        <v>402</v>
      </c>
      <c r="H442" s="1032" t="s">
        <v>67</v>
      </c>
      <c r="I442" s="1032" t="s">
        <v>869</v>
      </c>
      <c r="J442" s="1032" t="s">
        <v>96</v>
      </c>
      <c r="M442" s="1032" t="s">
        <v>68</v>
      </c>
      <c r="N442" s="1032">
        <v>46111</v>
      </c>
      <c r="O442" s="1032" t="s">
        <v>70</v>
      </c>
      <c r="P442" s="1032" t="s">
        <v>706</v>
      </c>
      <c r="Q442" s="1032" t="s">
        <v>707</v>
      </c>
      <c r="R442" s="1032" t="s">
        <v>73</v>
      </c>
      <c r="S442" s="1032" t="s">
        <v>967</v>
      </c>
      <c r="T442" s="1032">
        <v>500</v>
      </c>
      <c r="U442" s="1032">
        <v>864</v>
      </c>
      <c r="V442" s="1032">
        <v>0.432</v>
      </c>
      <c r="W442" s="1032">
        <v>24</v>
      </c>
      <c r="X442" s="1032">
        <v>1</v>
      </c>
      <c r="Y442" s="1032" t="s">
        <v>951</v>
      </c>
      <c r="Z442" s="1032" t="s">
        <v>75</v>
      </c>
      <c r="AA442" s="1032" t="s">
        <v>2088</v>
      </c>
      <c r="AB442" s="1033">
        <v>46125</v>
      </c>
      <c r="AC442" s="1032">
        <v>16</v>
      </c>
      <c r="AD442" s="1032" t="s">
        <v>2167</v>
      </c>
      <c r="AF442" s="1032" t="s">
        <v>1935</v>
      </c>
      <c r="AG442" s="1032" t="s">
        <v>61</v>
      </c>
      <c r="AH442" s="1032" t="s">
        <v>356</v>
      </c>
      <c r="AI442" s="1033">
        <v>46129</v>
      </c>
      <c r="AJ442" s="1033">
        <v>46129</v>
      </c>
      <c r="AK442" s="1033">
        <v>46128</v>
      </c>
      <c r="AL442" s="1033">
        <v>46182</v>
      </c>
      <c r="AM442" s="1033">
        <v>46183</v>
      </c>
      <c r="AN442" s="1033">
        <v>46182</v>
      </c>
      <c r="AO442" s="1032" t="s">
        <v>402</v>
      </c>
      <c r="AP442" s="1032" t="s">
        <v>2168</v>
      </c>
      <c r="AQ442" s="1032" t="s">
        <v>80</v>
      </c>
      <c r="AR442" s="1032" t="s">
        <v>2169</v>
      </c>
      <c r="AS442" s="1032" t="s">
        <v>2170</v>
      </c>
      <c r="AT442" s="1032" t="s">
        <v>2170</v>
      </c>
      <c r="AU442" s="1032">
        <v>54</v>
      </c>
      <c r="AW442" s="1033">
        <v>46182</v>
      </c>
      <c r="AX442" s="1032" t="s">
        <v>973</v>
      </c>
      <c r="AY442" s="1033">
        <v>46197</v>
      </c>
      <c r="AZ442" s="1032">
        <v>8</v>
      </c>
      <c r="BA442" s="1033">
        <v>46190</v>
      </c>
      <c r="BB442" s="1032">
        <v>2026</v>
      </c>
      <c r="BC442" s="1032">
        <v>6</v>
      </c>
      <c r="BD442" s="1032">
        <v>25</v>
      </c>
      <c r="BE442" s="1032">
        <v>36</v>
      </c>
      <c r="BF442" s="1032">
        <v>864</v>
      </c>
      <c r="BG442" s="1032" t="s">
        <v>85</v>
      </c>
      <c r="BH442" s="1032" t="s">
        <v>109</v>
      </c>
    </row>
    <row r="443" spans="1:60">
      <c r="A443" s="1032" t="s">
        <v>2171</v>
      </c>
      <c r="B443" s="1032" t="s">
        <v>61</v>
      </c>
      <c r="C443" s="1032" t="s">
        <v>2172</v>
      </c>
      <c r="D443" s="1032" t="s">
        <v>63</v>
      </c>
      <c r="E443" s="1032" t="s">
        <v>64</v>
      </c>
      <c r="F443" s="1032" t="s">
        <v>65</v>
      </c>
      <c r="G443" s="1032" t="s">
        <v>402</v>
      </c>
      <c r="H443" s="1032" t="s">
        <v>67</v>
      </c>
      <c r="I443" s="1032" t="s">
        <v>882</v>
      </c>
      <c r="J443" s="1032" t="s">
        <v>96</v>
      </c>
      <c r="M443" s="1032" t="s">
        <v>68</v>
      </c>
      <c r="N443" s="1032">
        <v>46111</v>
      </c>
      <c r="O443" s="1032" t="s">
        <v>70</v>
      </c>
      <c r="P443" s="1032" t="s">
        <v>691</v>
      </c>
      <c r="Q443" s="1032" t="s">
        <v>692</v>
      </c>
      <c r="R443" s="1032" t="s">
        <v>73</v>
      </c>
      <c r="S443" s="1032" t="s">
        <v>967</v>
      </c>
      <c r="T443" s="1032">
        <v>505</v>
      </c>
      <c r="U443" s="1032">
        <v>3456</v>
      </c>
      <c r="V443" s="1032">
        <v>1.7452799999999999</v>
      </c>
      <c r="W443" s="1032">
        <v>96</v>
      </c>
      <c r="X443" s="1032">
        <v>4</v>
      </c>
      <c r="Y443" s="1032" t="s">
        <v>951</v>
      </c>
      <c r="Z443" s="1032" t="s">
        <v>75</v>
      </c>
      <c r="AA443" s="1032" t="s">
        <v>2088</v>
      </c>
      <c r="AB443" s="1033">
        <v>46128</v>
      </c>
      <c r="AC443" s="1032">
        <v>16</v>
      </c>
      <c r="AD443" s="1032" t="s">
        <v>2173</v>
      </c>
      <c r="AF443" s="1032" t="s">
        <v>1935</v>
      </c>
      <c r="AG443" s="1032" t="s">
        <v>61</v>
      </c>
      <c r="AH443" s="1032" t="s">
        <v>78</v>
      </c>
      <c r="AI443" s="1033">
        <v>46133</v>
      </c>
      <c r="AJ443" s="1033">
        <v>46134</v>
      </c>
      <c r="AK443" s="1033">
        <v>46133</v>
      </c>
      <c r="AL443" s="1033">
        <v>46195</v>
      </c>
      <c r="AM443" s="1033">
        <v>46200</v>
      </c>
      <c r="AN443" s="1033">
        <v>46203</v>
      </c>
      <c r="AO443" s="1032" t="s">
        <v>402</v>
      </c>
      <c r="AP443" s="1032" t="s">
        <v>2174</v>
      </c>
      <c r="AQ443" s="1032" t="s">
        <v>80</v>
      </c>
      <c r="AR443" s="1032" t="s">
        <v>2175</v>
      </c>
      <c r="AS443" s="1032" t="s">
        <v>2176</v>
      </c>
      <c r="AT443" s="1032" t="s">
        <v>2176</v>
      </c>
      <c r="AU443" s="1032">
        <v>70</v>
      </c>
      <c r="AW443" s="1033">
        <v>46203</v>
      </c>
      <c r="AX443" s="1032" t="s">
        <v>973</v>
      </c>
      <c r="AY443" s="1033">
        <v>46215</v>
      </c>
      <c r="AZ443" s="1032">
        <v>8</v>
      </c>
      <c r="BA443" s="1033">
        <v>46211</v>
      </c>
      <c r="BB443" s="1032">
        <v>2026</v>
      </c>
      <c r="BC443" s="1032">
        <v>7</v>
      </c>
      <c r="BD443" s="1032">
        <v>28</v>
      </c>
      <c r="BE443" s="1032">
        <v>36</v>
      </c>
      <c r="BF443" s="1032">
        <v>864</v>
      </c>
      <c r="BG443" s="1032" t="s">
        <v>85</v>
      </c>
      <c r="BH443" s="1032" t="s">
        <v>86</v>
      </c>
    </row>
    <row r="444" spans="1:60">
      <c r="A444" s="1032" t="s">
        <v>2177</v>
      </c>
      <c r="B444" s="1032" t="s">
        <v>61</v>
      </c>
      <c r="C444" s="1032" t="s">
        <v>2172</v>
      </c>
      <c r="D444" s="1032" t="s">
        <v>63</v>
      </c>
      <c r="E444" s="1032" t="s">
        <v>64</v>
      </c>
      <c r="F444" s="1032" t="s">
        <v>65</v>
      </c>
      <c r="G444" s="1032" t="s">
        <v>402</v>
      </c>
      <c r="H444" s="1032" t="s">
        <v>67</v>
      </c>
      <c r="I444" s="1032" t="s">
        <v>882</v>
      </c>
      <c r="J444" s="1032" t="s">
        <v>96</v>
      </c>
      <c r="M444" s="1032" t="s">
        <v>68</v>
      </c>
      <c r="N444" s="1032">
        <v>46111</v>
      </c>
      <c r="O444" s="1032" t="s">
        <v>70</v>
      </c>
      <c r="P444" s="1032" t="s">
        <v>691</v>
      </c>
      <c r="Q444" s="1032" t="s">
        <v>692</v>
      </c>
      <c r="R444" s="1032" t="s">
        <v>73</v>
      </c>
      <c r="S444" s="1032" t="s">
        <v>967</v>
      </c>
      <c r="T444" s="1032">
        <v>505</v>
      </c>
      <c r="U444" s="1032">
        <v>1728</v>
      </c>
      <c r="V444" s="1032">
        <v>0.87263999999999997</v>
      </c>
      <c r="W444" s="1032">
        <v>48</v>
      </c>
      <c r="X444" s="1032">
        <v>2</v>
      </c>
      <c r="Y444" s="1032" t="s">
        <v>951</v>
      </c>
      <c r="Z444" s="1032" t="s">
        <v>75</v>
      </c>
      <c r="AA444" s="1032" t="s">
        <v>2088</v>
      </c>
      <c r="AB444" s="1033">
        <v>46125</v>
      </c>
      <c r="AC444" s="1032">
        <v>16</v>
      </c>
      <c r="AD444" s="1032" t="s">
        <v>2178</v>
      </c>
      <c r="AF444" s="1032" t="s">
        <v>1935</v>
      </c>
      <c r="AG444" s="1032" t="s">
        <v>61</v>
      </c>
      <c r="AH444" s="1032" t="s">
        <v>78</v>
      </c>
      <c r="AI444" s="1033">
        <v>46129</v>
      </c>
      <c r="AJ444" s="1033">
        <v>46129</v>
      </c>
      <c r="AK444" s="1033">
        <v>46128</v>
      </c>
      <c r="AL444" s="1033">
        <v>46189</v>
      </c>
      <c r="AM444" s="1033">
        <v>46184</v>
      </c>
      <c r="AN444" s="1033">
        <v>46184</v>
      </c>
      <c r="AO444" s="1032" t="s">
        <v>402</v>
      </c>
      <c r="AP444" s="1032" t="s">
        <v>2179</v>
      </c>
      <c r="AQ444" s="1032" t="s">
        <v>80</v>
      </c>
      <c r="AR444" s="1032" t="s">
        <v>2180</v>
      </c>
      <c r="AS444" s="1032" t="s">
        <v>2181</v>
      </c>
      <c r="AT444" s="1032" t="s">
        <v>2181</v>
      </c>
      <c r="AU444" s="1032">
        <v>56</v>
      </c>
      <c r="AW444" s="1033">
        <v>46184</v>
      </c>
      <c r="AX444" s="1032" t="s">
        <v>973</v>
      </c>
      <c r="AY444" s="1033">
        <v>46196</v>
      </c>
      <c r="AZ444" s="1032">
        <v>8</v>
      </c>
      <c r="BA444" s="1033">
        <v>46192</v>
      </c>
      <c r="BB444" s="1032">
        <v>2026</v>
      </c>
      <c r="BC444" s="1032">
        <v>6</v>
      </c>
      <c r="BD444" s="1032">
        <v>25</v>
      </c>
      <c r="BE444" s="1032">
        <v>36</v>
      </c>
      <c r="BF444" s="1032">
        <v>864</v>
      </c>
      <c r="BG444" s="1032" t="s">
        <v>85</v>
      </c>
      <c r="BH444" s="1032" t="s">
        <v>86</v>
      </c>
    </row>
    <row r="445" spans="1:60">
      <c r="A445" s="1032" t="s">
        <v>2182</v>
      </c>
      <c r="B445" s="1032" t="s">
        <v>2132</v>
      </c>
      <c r="C445" s="1032" t="s">
        <v>2150</v>
      </c>
      <c r="D445" s="1032" t="s">
        <v>63</v>
      </c>
      <c r="E445" s="1032" t="s">
        <v>64</v>
      </c>
      <c r="F445" s="1032" t="s">
        <v>100</v>
      </c>
      <c r="G445" s="1032" t="s">
        <v>402</v>
      </c>
      <c r="H445" s="1032" t="s">
        <v>67</v>
      </c>
      <c r="I445" s="1032" t="s">
        <v>1395</v>
      </c>
      <c r="J445" s="1032" t="s">
        <v>96</v>
      </c>
      <c r="M445" s="1032" t="s">
        <v>68</v>
      </c>
      <c r="N445" s="1032" t="s">
        <v>68</v>
      </c>
      <c r="O445" s="1032" t="s">
        <v>550</v>
      </c>
      <c r="P445" s="1032" t="s">
        <v>551</v>
      </c>
      <c r="Q445" s="1032" t="s">
        <v>2151</v>
      </c>
      <c r="R445" s="1032" t="s">
        <v>73</v>
      </c>
      <c r="S445" s="1032" t="s">
        <v>2136</v>
      </c>
      <c r="T445" s="1032">
        <v>510</v>
      </c>
      <c r="U445" s="1032">
        <v>1584</v>
      </c>
      <c r="V445" s="1032">
        <v>0.80784</v>
      </c>
      <c r="W445" s="1032">
        <v>44</v>
      </c>
      <c r="X445" s="1032">
        <v>2</v>
      </c>
      <c r="Y445" s="1032" t="s">
        <v>75</v>
      </c>
      <c r="Z445" s="1032" t="s">
        <v>75</v>
      </c>
      <c r="AA445" s="1032" t="s">
        <v>2183</v>
      </c>
      <c r="AB445" s="1033">
        <v>46135</v>
      </c>
      <c r="AC445" s="1032">
        <v>17</v>
      </c>
      <c r="AD445" s="1032" t="s">
        <v>2184</v>
      </c>
      <c r="AF445" s="1032" t="s">
        <v>123</v>
      </c>
      <c r="AG445" s="1032" t="s">
        <v>123</v>
      </c>
      <c r="AH445" s="1032" t="s">
        <v>105</v>
      </c>
      <c r="AI445" s="1033">
        <v>46139</v>
      </c>
      <c r="AJ445" s="1033">
        <v>46141</v>
      </c>
      <c r="AK445" s="1033">
        <v>46141</v>
      </c>
      <c r="AL445" s="1033">
        <v>46175</v>
      </c>
      <c r="AM445" s="1033">
        <v>46179</v>
      </c>
      <c r="AN445" s="1033">
        <v>46180</v>
      </c>
      <c r="AO445" s="1032" t="s">
        <v>402</v>
      </c>
      <c r="AP445" s="1032" t="s">
        <v>2174</v>
      </c>
      <c r="AQ445" s="1032" t="s">
        <v>80</v>
      </c>
      <c r="AR445" s="1032" t="s">
        <v>2185</v>
      </c>
      <c r="AS445" s="1032" t="s">
        <v>2186</v>
      </c>
      <c r="AT445" s="1032" t="s">
        <v>2186</v>
      </c>
      <c r="AU445" s="1032">
        <v>39</v>
      </c>
      <c r="AW445" s="1033">
        <v>46180</v>
      </c>
      <c r="AX445" s="1032" t="s">
        <v>973</v>
      </c>
      <c r="AY445" s="1033">
        <v>46191</v>
      </c>
      <c r="AZ445" s="1032">
        <v>7</v>
      </c>
      <c r="BA445" s="1033">
        <v>46187</v>
      </c>
      <c r="BB445" s="1032">
        <v>2026</v>
      </c>
      <c r="BC445" s="1032">
        <v>6</v>
      </c>
      <c r="BD445" s="1032">
        <v>24</v>
      </c>
      <c r="BE445" s="1032">
        <v>36</v>
      </c>
      <c r="BF445" s="1032">
        <v>792</v>
      </c>
      <c r="BG445" s="1032" t="s">
        <v>85</v>
      </c>
      <c r="BH445" s="1032" t="s">
        <v>109</v>
      </c>
    </row>
    <row r="446" spans="1:60">
      <c r="A446" s="1032" t="s">
        <v>2187</v>
      </c>
      <c r="B446" s="1032" t="s">
        <v>2132</v>
      </c>
      <c r="C446" s="1032" t="s">
        <v>2133</v>
      </c>
      <c r="D446" s="1032" t="s">
        <v>63</v>
      </c>
      <c r="E446" s="1032" t="s">
        <v>64</v>
      </c>
      <c r="F446" s="1032" t="s">
        <v>100</v>
      </c>
      <c r="G446" s="1032" t="s">
        <v>402</v>
      </c>
      <c r="H446" s="1032" t="s">
        <v>67</v>
      </c>
      <c r="I446" s="1032" t="s">
        <v>689</v>
      </c>
      <c r="J446" s="1032" t="s">
        <v>96</v>
      </c>
      <c r="M446" s="1032" t="s">
        <v>68</v>
      </c>
      <c r="N446" s="1032" t="s">
        <v>68</v>
      </c>
      <c r="O446" s="1032" t="s">
        <v>550</v>
      </c>
      <c r="P446" s="1032" t="s">
        <v>2134</v>
      </c>
      <c r="Q446" s="1032" t="s">
        <v>2135</v>
      </c>
      <c r="R446" s="1032" t="s">
        <v>73</v>
      </c>
      <c r="S446" s="1032" t="s">
        <v>2136</v>
      </c>
      <c r="T446" s="1032">
        <v>515</v>
      </c>
      <c r="U446" s="1032">
        <v>2376</v>
      </c>
      <c r="V446" s="1032">
        <v>1.2236400000000001</v>
      </c>
      <c r="W446" s="1032">
        <v>66</v>
      </c>
      <c r="X446" s="1032">
        <v>3</v>
      </c>
      <c r="Y446" s="1032" t="s">
        <v>75</v>
      </c>
      <c r="Z446" s="1032" t="s">
        <v>75</v>
      </c>
      <c r="AA446" s="1032" t="s">
        <v>2183</v>
      </c>
      <c r="AB446" s="1033">
        <v>46135</v>
      </c>
      <c r="AC446" s="1032">
        <v>17</v>
      </c>
      <c r="AD446" s="1032" t="s">
        <v>2188</v>
      </c>
      <c r="AF446" s="1032" t="s">
        <v>123</v>
      </c>
      <c r="AG446" s="1032" t="s">
        <v>123</v>
      </c>
      <c r="AH446" s="1032" t="s">
        <v>105</v>
      </c>
      <c r="AI446" s="1033">
        <v>46139</v>
      </c>
      <c r="AJ446" s="1033">
        <v>46141</v>
      </c>
      <c r="AK446" s="1033">
        <v>46141</v>
      </c>
      <c r="AL446" s="1033">
        <v>46175</v>
      </c>
      <c r="AM446" s="1033">
        <v>46179</v>
      </c>
      <c r="AN446" s="1033">
        <v>46180</v>
      </c>
      <c r="AO446" s="1032" t="s">
        <v>402</v>
      </c>
      <c r="AP446" s="1032" t="s">
        <v>2174</v>
      </c>
      <c r="AQ446" s="1032" t="s">
        <v>80</v>
      </c>
      <c r="AR446" s="1032" t="s">
        <v>2185</v>
      </c>
      <c r="AS446" s="1032" t="s">
        <v>2186</v>
      </c>
      <c r="AT446" s="1032" t="s">
        <v>2186</v>
      </c>
      <c r="AU446" s="1032">
        <v>39</v>
      </c>
      <c r="AW446" s="1033">
        <v>46180</v>
      </c>
      <c r="AX446" s="1032" t="s">
        <v>973</v>
      </c>
      <c r="AY446" s="1033">
        <v>46191</v>
      </c>
      <c r="AZ446" s="1032">
        <v>7</v>
      </c>
      <c r="BA446" s="1033">
        <v>46187</v>
      </c>
      <c r="BB446" s="1032">
        <v>2026</v>
      </c>
      <c r="BC446" s="1032">
        <v>6</v>
      </c>
      <c r="BD446" s="1032">
        <v>24</v>
      </c>
      <c r="BE446" s="1032">
        <v>36</v>
      </c>
      <c r="BF446" s="1032">
        <v>792</v>
      </c>
      <c r="BG446" s="1032" t="s">
        <v>85</v>
      </c>
      <c r="BH446" s="1032" t="s">
        <v>109</v>
      </c>
    </row>
    <row r="447" spans="1:60">
      <c r="A447" s="1032" t="s">
        <v>2189</v>
      </c>
      <c r="B447" s="1032" t="s">
        <v>111</v>
      </c>
      <c r="C447" s="1032" t="s">
        <v>2190</v>
      </c>
      <c r="D447" s="1032" t="s">
        <v>63</v>
      </c>
      <c r="E447" s="1032" t="s">
        <v>64</v>
      </c>
      <c r="F447" s="1032" t="s">
        <v>100</v>
      </c>
      <c r="G447" s="1032" t="s">
        <v>402</v>
      </c>
      <c r="H447" s="1032" t="s">
        <v>67</v>
      </c>
      <c r="J447" s="1032" t="s">
        <v>96</v>
      </c>
      <c r="M447" s="1032" t="s">
        <v>68</v>
      </c>
      <c r="N447" s="1032">
        <v>46139</v>
      </c>
      <c r="O447" s="1032" t="s">
        <v>473</v>
      </c>
      <c r="P447" s="1032" t="s">
        <v>474</v>
      </c>
      <c r="Q447" s="1032" t="s">
        <v>1319</v>
      </c>
      <c r="R447" s="1032" t="s">
        <v>73</v>
      </c>
      <c r="S447" s="1032" t="s">
        <v>967</v>
      </c>
      <c r="T447" s="1032">
        <v>460</v>
      </c>
      <c r="U447" s="1032">
        <v>6912</v>
      </c>
      <c r="V447" s="1032">
        <v>3.1795200000000001</v>
      </c>
      <c r="W447" s="1032">
        <v>192</v>
      </c>
      <c r="X447" s="1032">
        <v>8</v>
      </c>
      <c r="Y447" s="1032" t="s">
        <v>951</v>
      </c>
      <c r="Z447" s="1032" t="s">
        <v>75</v>
      </c>
      <c r="AA447" s="1032" t="s">
        <v>2191</v>
      </c>
      <c r="AB447" s="1033">
        <v>46134</v>
      </c>
      <c r="AC447" s="1032">
        <v>17</v>
      </c>
      <c r="AD447" s="1032" t="s">
        <v>2192</v>
      </c>
      <c r="AF447" s="1032" t="s">
        <v>123</v>
      </c>
      <c r="AG447" s="1032" t="s">
        <v>123</v>
      </c>
      <c r="AH447" s="1032" t="s">
        <v>105</v>
      </c>
      <c r="AI447" s="1033">
        <v>46138</v>
      </c>
      <c r="AJ447" s="1033">
        <v>46138</v>
      </c>
      <c r="AK447" s="1033">
        <v>46139</v>
      </c>
      <c r="AL447" s="1033">
        <v>46188</v>
      </c>
      <c r="AM447" s="1033">
        <v>46188</v>
      </c>
      <c r="AN447" s="1033">
        <v>46195</v>
      </c>
      <c r="AQ447" s="1032" t="s">
        <v>80</v>
      </c>
      <c r="AR447" s="1032" t="s">
        <v>2193</v>
      </c>
      <c r="AS447" s="1032" t="s">
        <v>2194</v>
      </c>
      <c r="AT447" s="1032" t="s">
        <v>2194</v>
      </c>
      <c r="AU447" s="1032">
        <v>56</v>
      </c>
      <c r="AW447" s="1033">
        <v>46195</v>
      </c>
      <c r="AX447" s="1032" t="s">
        <v>973</v>
      </c>
      <c r="AY447" s="1033">
        <v>46202</v>
      </c>
      <c r="AZ447" s="1032">
        <v>7</v>
      </c>
      <c r="BA447" s="1033">
        <v>46202</v>
      </c>
      <c r="BB447" s="1032">
        <v>2026</v>
      </c>
      <c r="BC447" s="1032">
        <v>6</v>
      </c>
      <c r="BD447" s="1032">
        <v>27</v>
      </c>
      <c r="BE447" s="1032">
        <v>36</v>
      </c>
      <c r="BF447" s="1032">
        <v>864</v>
      </c>
      <c r="BG447" s="1032" t="s">
        <v>85</v>
      </c>
      <c r="BH447" s="1032" t="s">
        <v>109</v>
      </c>
    </row>
    <row r="448" spans="1:60">
      <c r="A448" s="1032" t="s">
        <v>2195</v>
      </c>
      <c r="B448" s="1032" t="s">
        <v>2132</v>
      </c>
      <c r="C448" s="1032" t="s">
        <v>2133</v>
      </c>
      <c r="D448" s="1032" t="s">
        <v>63</v>
      </c>
      <c r="E448" s="1032" t="s">
        <v>64</v>
      </c>
      <c r="F448" s="1032" t="s">
        <v>450</v>
      </c>
      <c r="G448" s="1032" t="s">
        <v>402</v>
      </c>
      <c r="H448" s="1032" t="s">
        <v>451</v>
      </c>
      <c r="I448" s="1032" t="s">
        <v>689</v>
      </c>
      <c r="J448" s="1032" t="s">
        <v>96</v>
      </c>
      <c r="M448" s="1032" t="s">
        <v>68</v>
      </c>
      <c r="N448" s="1032" t="s">
        <v>68</v>
      </c>
      <c r="O448" s="1032" t="s">
        <v>550</v>
      </c>
      <c r="P448" s="1032" t="s">
        <v>2134</v>
      </c>
      <c r="Q448" s="1032" t="s">
        <v>2135</v>
      </c>
      <c r="R448" s="1032" t="s">
        <v>73</v>
      </c>
      <c r="S448" s="1032" t="s">
        <v>2136</v>
      </c>
      <c r="T448" s="1032">
        <v>515</v>
      </c>
      <c r="U448" s="1032">
        <v>3168</v>
      </c>
      <c r="V448" s="1032">
        <v>1.6315200000000001</v>
      </c>
      <c r="W448" s="1032">
        <v>88</v>
      </c>
      <c r="X448" s="1032">
        <v>4</v>
      </c>
      <c r="Y448" s="1032" t="s">
        <v>951</v>
      </c>
      <c r="Z448" s="1032" t="s">
        <v>75</v>
      </c>
      <c r="AA448" s="1032" t="s">
        <v>2183</v>
      </c>
      <c r="AB448" s="1033">
        <v>46135</v>
      </c>
      <c r="AC448" s="1032">
        <v>17</v>
      </c>
      <c r="AD448" s="1032" t="s">
        <v>2196</v>
      </c>
      <c r="AF448" s="1032" t="s">
        <v>123</v>
      </c>
      <c r="AG448" s="1032" t="s">
        <v>123</v>
      </c>
      <c r="AH448" s="1032" t="s">
        <v>456</v>
      </c>
      <c r="AI448" s="1033">
        <v>46139</v>
      </c>
      <c r="AJ448" s="1033">
        <v>46140</v>
      </c>
      <c r="AK448" s="1033">
        <v>46141</v>
      </c>
      <c r="AL448" s="1033">
        <v>46180</v>
      </c>
      <c r="AM448" s="1033">
        <v>46190</v>
      </c>
      <c r="AN448" s="1033">
        <v>46194</v>
      </c>
      <c r="AO448" s="1032" t="s">
        <v>402</v>
      </c>
      <c r="AP448" s="1032" t="s">
        <v>2197</v>
      </c>
      <c r="AQ448" s="1032" t="s">
        <v>80</v>
      </c>
      <c r="AR448" s="1032" t="s">
        <v>2198</v>
      </c>
      <c r="AS448" s="1032" t="s">
        <v>2199</v>
      </c>
      <c r="AT448" s="1032" t="s">
        <v>2199</v>
      </c>
      <c r="AU448" s="1032">
        <v>53</v>
      </c>
      <c r="AW448" s="1033">
        <v>46194</v>
      </c>
      <c r="AX448" s="1032" t="s">
        <v>973</v>
      </c>
      <c r="AY448" s="1033">
        <v>46204</v>
      </c>
      <c r="AZ448" s="1032">
        <v>7</v>
      </c>
      <c r="BA448" s="1033">
        <v>46201</v>
      </c>
      <c r="BB448" s="1032">
        <v>2026</v>
      </c>
      <c r="BC448" s="1032">
        <v>6</v>
      </c>
      <c r="BD448" s="1032">
        <v>26</v>
      </c>
      <c r="BE448" s="1032">
        <v>36</v>
      </c>
      <c r="BF448" s="1032">
        <v>792</v>
      </c>
      <c r="BG448" s="1032" t="s">
        <v>85</v>
      </c>
      <c r="BH448" s="1032" t="s">
        <v>109</v>
      </c>
    </row>
    <row r="449" spans="1:60">
      <c r="A449" s="1032" t="s">
        <v>2200</v>
      </c>
      <c r="B449" s="1032" t="s">
        <v>2132</v>
      </c>
      <c r="C449" s="1032" t="s">
        <v>2150</v>
      </c>
      <c r="D449" s="1032" t="s">
        <v>63</v>
      </c>
      <c r="E449" s="1032" t="s">
        <v>64</v>
      </c>
      <c r="F449" s="1032" t="s">
        <v>310</v>
      </c>
      <c r="G449" s="1032" t="s">
        <v>402</v>
      </c>
      <c r="H449" s="1032" t="s">
        <v>311</v>
      </c>
      <c r="I449" s="1032" t="s">
        <v>1395</v>
      </c>
      <c r="J449" s="1032" t="s">
        <v>96</v>
      </c>
      <c r="M449" s="1032" t="s">
        <v>68</v>
      </c>
      <c r="N449" s="1032" t="s">
        <v>68</v>
      </c>
      <c r="O449" s="1032" t="s">
        <v>550</v>
      </c>
      <c r="P449" s="1032" t="s">
        <v>551</v>
      </c>
      <c r="Q449" s="1032" t="s">
        <v>2151</v>
      </c>
      <c r="R449" s="1032" t="s">
        <v>73</v>
      </c>
      <c r="S449" s="1032" t="s">
        <v>2136</v>
      </c>
      <c r="T449" s="1032">
        <v>510</v>
      </c>
      <c r="U449" s="1032">
        <v>792</v>
      </c>
      <c r="V449" s="1032">
        <v>0.40392</v>
      </c>
      <c r="W449" s="1032">
        <v>22</v>
      </c>
      <c r="X449" s="1032">
        <v>1</v>
      </c>
      <c r="Y449" s="1032" t="s">
        <v>951</v>
      </c>
      <c r="Z449" s="1032" t="s">
        <v>75</v>
      </c>
      <c r="AA449" s="1032" t="s">
        <v>2201</v>
      </c>
      <c r="AB449" s="1033">
        <v>46131</v>
      </c>
      <c r="AC449" s="1032">
        <v>16</v>
      </c>
      <c r="AD449" s="1032" t="s">
        <v>2202</v>
      </c>
      <c r="AF449" s="1032" t="s">
        <v>123</v>
      </c>
      <c r="AG449" s="1032" t="s">
        <v>123</v>
      </c>
      <c r="AH449" s="1032" t="s">
        <v>314</v>
      </c>
      <c r="AI449" s="1033">
        <v>46136</v>
      </c>
      <c r="AJ449" s="1033">
        <v>46136</v>
      </c>
      <c r="AK449" s="1033">
        <v>46138</v>
      </c>
      <c r="AL449" s="1033">
        <v>46183</v>
      </c>
      <c r="AM449" s="1033">
        <v>46190</v>
      </c>
      <c r="AN449" s="1033">
        <v>46190</v>
      </c>
      <c r="AO449" s="1032" t="s">
        <v>402</v>
      </c>
      <c r="AP449" s="1032" t="s">
        <v>2203</v>
      </c>
      <c r="AQ449" s="1032" t="s">
        <v>80</v>
      </c>
      <c r="AR449" s="1032" t="s">
        <v>2204</v>
      </c>
      <c r="AS449" s="1032" t="s">
        <v>2205</v>
      </c>
      <c r="AT449" s="1032" t="s">
        <v>2205</v>
      </c>
      <c r="AU449" s="1032">
        <v>52</v>
      </c>
      <c r="AW449" s="1033">
        <v>46190</v>
      </c>
      <c r="AX449" s="1032" t="s">
        <v>973</v>
      </c>
      <c r="AY449" s="1033">
        <v>46203</v>
      </c>
      <c r="AZ449" s="1032">
        <v>13</v>
      </c>
      <c r="BA449" s="1033">
        <v>46203</v>
      </c>
      <c r="BB449" s="1032">
        <v>2026</v>
      </c>
      <c r="BC449" s="1032">
        <v>6</v>
      </c>
      <c r="BD449" s="1032">
        <v>27</v>
      </c>
      <c r="BE449" s="1032">
        <v>36</v>
      </c>
      <c r="BF449" s="1032">
        <v>792</v>
      </c>
      <c r="BG449" s="1032" t="s">
        <v>85</v>
      </c>
      <c r="BH449" s="1032" t="s">
        <v>86</v>
      </c>
    </row>
    <row r="450" spans="1:60">
      <c r="A450" s="1032" t="s">
        <v>2206</v>
      </c>
      <c r="B450" s="1032" t="s">
        <v>2132</v>
      </c>
      <c r="C450" s="1032" t="s">
        <v>2133</v>
      </c>
      <c r="D450" s="1032" t="s">
        <v>63</v>
      </c>
      <c r="E450" s="1032" t="s">
        <v>64</v>
      </c>
      <c r="F450" s="1032" t="s">
        <v>310</v>
      </c>
      <c r="G450" s="1032" t="s">
        <v>402</v>
      </c>
      <c r="H450" s="1032" t="s">
        <v>311</v>
      </c>
      <c r="I450" s="1032" t="s">
        <v>1395</v>
      </c>
      <c r="J450" s="1032" t="s">
        <v>96</v>
      </c>
      <c r="M450" s="1032" t="s">
        <v>68</v>
      </c>
      <c r="N450" s="1032" t="s">
        <v>68</v>
      </c>
      <c r="O450" s="1032" t="s">
        <v>550</v>
      </c>
      <c r="P450" s="1032" t="s">
        <v>2134</v>
      </c>
      <c r="Q450" s="1032" t="s">
        <v>2135</v>
      </c>
      <c r="R450" s="1032" t="s">
        <v>73</v>
      </c>
      <c r="S450" s="1032" t="s">
        <v>2136</v>
      </c>
      <c r="T450" s="1032">
        <v>515</v>
      </c>
      <c r="U450" s="1032">
        <v>1584</v>
      </c>
      <c r="V450" s="1032">
        <v>0.81576000000000004</v>
      </c>
      <c r="W450" s="1032">
        <v>44</v>
      </c>
      <c r="X450" s="1032">
        <v>2</v>
      </c>
      <c r="Y450" s="1032" t="s">
        <v>951</v>
      </c>
      <c r="Z450" s="1032" t="s">
        <v>75</v>
      </c>
      <c r="AA450" s="1032" t="s">
        <v>2201</v>
      </c>
      <c r="AB450" s="1033">
        <v>46130</v>
      </c>
      <c r="AC450" s="1032">
        <v>16</v>
      </c>
      <c r="AD450" s="1032" t="s">
        <v>2207</v>
      </c>
      <c r="AF450" s="1032" t="s">
        <v>123</v>
      </c>
      <c r="AG450" s="1032" t="s">
        <v>123</v>
      </c>
      <c r="AH450" s="1032" t="s">
        <v>314</v>
      </c>
      <c r="AI450" s="1033">
        <v>46136</v>
      </c>
      <c r="AJ450" s="1033">
        <v>46136</v>
      </c>
      <c r="AK450" s="1033">
        <v>46138</v>
      </c>
      <c r="AL450" s="1033">
        <v>46183</v>
      </c>
      <c r="AM450" s="1033">
        <v>46190</v>
      </c>
      <c r="AN450" s="1033">
        <v>46190</v>
      </c>
      <c r="AO450" s="1032" t="s">
        <v>402</v>
      </c>
      <c r="AP450" s="1032" t="s">
        <v>2203</v>
      </c>
      <c r="AQ450" s="1032" t="s">
        <v>80</v>
      </c>
      <c r="AR450" s="1032" t="s">
        <v>2204</v>
      </c>
      <c r="AS450" s="1032" t="s">
        <v>2205</v>
      </c>
      <c r="AT450" s="1032" t="s">
        <v>2205</v>
      </c>
      <c r="AU450" s="1032">
        <v>52</v>
      </c>
      <c r="AW450" s="1033">
        <v>46190</v>
      </c>
      <c r="AX450" s="1032" t="s">
        <v>973</v>
      </c>
      <c r="AY450" s="1033">
        <v>46203</v>
      </c>
      <c r="AZ450" s="1032">
        <v>13</v>
      </c>
      <c r="BA450" s="1033">
        <v>46203</v>
      </c>
      <c r="BB450" s="1032">
        <v>2026</v>
      </c>
      <c r="BC450" s="1032">
        <v>6</v>
      </c>
      <c r="BD450" s="1032">
        <v>27</v>
      </c>
      <c r="BE450" s="1032">
        <v>36</v>
      </c>
      <c r="BF450" s="1032">
        <v>792</v>
      </c>
      <c r="BG450" s="1032" t="s">
        <v>85</v>
      </c>
      <c r="BH450" s="1032" t="s">
        <v>86</v>
      </c>
    </row>
    <row r="451" spans="1:60">
      <c r="A451" s="1032" t="s">
        <v>2208</v>
      </c>
      <c r="B451" s="1032" t="s">
        <v>2132</v>
      </c>
      <c r="C451" s="1032" t="s">
        <v>2133</v>
      </c>
      <c r="D451" s="1032" t="s">
        <v>63</v>
      </c>
      <c r="E451" s="1032" t="s">
        <v>64</v>
      </c>
      <c r="F451" s="1032" t="s">
        <v>310</v>
      </c>
      <c r="G451" s="1032" t="s">
        <v>402</v>
      </c>
      <c r="H451" s="1032" t="s">
        <v>311</v>
      </c>
      <c r="I451" s="1032" t="s">
        <v>822</v>
      </c>
      <c r="J451" s="1032" t="s">
        <v>96</v>
      </c>
      <c r="M451" s="1032" t="s">
        <v>68</v>
      </c>
      <c r="N451" s="1032" t="s">
        <v>68</v>
      </c>
      <c r="O451" s="1032" t="s">
        <v>550</v>
      </c>
      <c r="P451" s="1032" t="s">
        <v>2134</v>
      </c>
      <c r="Q451" s="1032" t="s">
        <v>2135</v>
      </c>
      <c r="R451" s="1032" t="s">
        <v>73</v>
      </c>
      <c r="S451" s="1032" t="s">
        <v>2136</v>
      </c>
      <c r="T451" s="1032">
        <v>515</v>
      </c>
      <c r="U451" s="1032">
        <v>3960</v>
      </c>
      <c r="V451" s="1032">
        <v>2.0394000000000001</v>
      </c>
      <c r="W451" s="1032">
        <v>110</v>
      </c>
      <c r="X451" s="1032">
        <v>5</v>
      </c>
      <c r="Y451" s="1032" t="s">
        <v>951</v>
      </c>
      <c r="Z451" s="1032" t="s">
        <v>75</v>
      </c>
      <c r="AA451" s="1032" t="s">
        <v>2209</v>
      </c>
      <c r="AB451" s="1033">
        <v>46130</v>
      </c>
      <c r="AC451" s="1032">
        <v>16</v>
      </c>
      <c r="AD451" s="1032" t="s">
        <v>2210</v>
      </c>
      <c r="AF451" s="1032" t="s">
        <v>123</v>
      </c>
      <c r="AG451" s="1032" t="s">
        <v>123</v>
      </c>
      <c r="AH451" s="1032" t="s">
        <v>314</v>
      </c>
      <c r="AI451" s="1033">
        <v>46136</v>
      </c>
      <c r="AJ451" s="1033">
        <v>46136</v>
      </c>
      <c r="AK451" s="1033">
        <v>46138</v>
      </c>
      <c r="AL451" s="1033">
        <v>46183</v>
      </c>
      <c r="AM451" s="1033">
        <v>46190</v>
      </c>
      <c r="AN451" s="1033">
        <v>46190</v>
      </c>
      <c r="AO451" s="1032" t="s">
        <v>402</v>
      </c>
      <c r="AP451" s="1032" t="s">
        <v>2203</v>
      </c>
      <c r="AQ451" s="1032" t="s">
        <v>80</v>
      </c>
      <c r="AR451" s="1032" t="s">
        <v>2204</v>
      </c>
      <c r="AS451" s="1032" t="s">
        <v>2205</v>
      </c>
      <c r="AT451" s="1032" t="s">
        <v>2205</v>
      </c>
      <c r="AU451" s="1032">
        <v>52</v>
      </c>
      <c r="AW451" s="1033">
        <v>46190</v>
      </c>
      <c r="AX451" s="1032" t="s">
        <v>973</v>
      </c>
      <c r="AY451" s="1033">
        <v>46203</v>
      </c>
      <c r="AZ451" s="1032">
        <v>13</v>
      </c>
      <c r="BA451" s="1033">
        <v>46203</v>
      </c>
      <c r="BB451" s="1032">
        <v>2026</v>
      </c>
      <c r="BC451" s="1032">
        <v>6</v>
      </c>
      <c r="BD451" s="1032">
        <v>27</v>
      </c>
      <c r="BE451" s="1032">
        <v>36</v>
      </c>
      <c r="BF451" s="1032">
        <v>792</v>
      </c>
      <c r="BG451" s="1032" t="s">
        <v>85</v>
      </c>
      <c r="BH451" s="1032" t="s">
        <v>86</v>
      </c>
    </row>
    <row r="452" spans="1:60">
      <c r="A452" s="1032" t="s">
        <v>2211</v>
      </c>
      <c r="B452" s="1032" t="s">
        <v>2132</v>
      </c>
      <c r="C452" s="1032" t="s">
        <v>2133</v>
      </c>
      <c r="D452" s="1032" t="s">
        <v>63</v>
      </c>
      <c r="E452" s="1032" t="s">
        <v>64</v>
      </c>
      <c r="F452" s="1032" t="s">
        <v>65</v>
      </c>
      <c r="G452" s="1032" t="s">
        <v>402</v>
      </c>
      <c r="H452" s="1032" t="s">
        <v>67</v>
      </c>
      <c r="I452" s="1032" t="s">
        <v>689</v>
      </c>
      <c r="J452" s="1032" t="s">
        <v>96</v>
      </c>
      <c r="M452" s="1032" t="s">
        <v>68</v>
      </c>
      <c r="N452" s="1032" t="s">
        <v>68</v>
      </c>
      <c r="O452" s="1032" t="s">
        <v>550</v>
      </c>
      <c r="P452" s="1032" t="s">
        <v>2134</v>
      </c>
      <c r="Q452" s="1032" t="s">
        <v>2135</v>
      </c>
      <c r="R452" s="1032" t="s">
        <v>73</v>
      </c>
      <c r="S452" s="1032" t="s">
        <v>2136</v>
      </c>
      <c r="T452" s="1032">
        <v>515</v>
      </c>
      <c r="U452" s="1032">
        <v>3168</v>
      </c>
      <c r="V452" s="1032">
        <v>1.6315200000000001</v>
      </c>
      <c r="W452" s="1032">
        <v>88</v>
      </c>
      <c r="X452" s="1032">
        <v>4</v>
      </c>
      <c r="Y452" s="1032" t="s">
        <v>951</v>
      </c>
      <c r="Z452" s="1032" t="s">
        <v>75</v>
      </c>
      <c r="AA452" s="1032" t="s">
        <v>2212</v>
      </c>
      <c r="AB452" s="1033">
        <v>46136</v>
      </c>
      <c r="AC452" s="1032">
        <v>17</v>
      </c>
      <c r="AD452" s="1032" t="s">
        <v>2213</v>
      </c>
      <c r="AF452" s="1032" t="s">
        <v>123</v>
      </c>
      <c r="AG452" s="1032" t="s">
        <v>123</v>
      </c>
      <c r="AH452" s="1032" t="s">
        <v>78</v>
      </c>
      <c r="AI452" s="1033">
        <v>46136</v>
      </c>
      <c r="AJ452" s="1033">
        <v>46140</v>
      </c>
      <c r="AK452" s="1033">
        <v>46140</v>
      </c>
      <c r="AL452" s="1033">
        <v>46188</v>
      </c>
      <c r="AM452" s="1033">
        <v>46184</v>
      </c>
      <c r="AN452" s="1033">
        <v>46184</v>
      </c>
      <c r="AO452" s="1032" t="s">
        <v>402</v>
      </c>
      <c r="AP452" s="1032" t="s">
        <v>2203</v>
      </c>
      <c r="AQ452" s="1032" t="s">
        <v>80</v>
      </c>
      <c r="AR452" s="1032" t="s">
        <v>2214</v>
      </c>
      <c r="AS452" s="1032" t="s">
        <v>2215</v>
      </c>
      <c r="AT452" s="1032" t="s">
        <v>2215</v>
      </c>
      <c r="AU452" s="1032">
        <v>44</v>
      </c>
      <c r="AW452" s="1033">
        <v>46184</v>
      </c>
      <c r="AX452" s="1032" t="s">
        <v>973</v>
      </c>
      <c r="AY452" s="1033">
        <v>46198</v>
      </c>
      <c r="AZ452" s="1032">
        <v>8</v>
      </c>
      <c r="BA452" s="1033">
        <v>46192</v>
      </c>
      <c r="BB452" s="1032">
        <v>2026</v>
      </c>
      <c r="BC452" s="1032">
        <v>6</v>
      </c>
      <c r="BD452" s="1032">
        <v>25</v>
      </c>
      <c r="BE452" s="1032">
        <v>36</v>
      </c>
      <c r="BF452" s="1032">
        <v>792</v>
      </c>
      <c r="BG452" s="1032" t="s">
        <v>85</v>
      </c>
      <c r="BH452" s="1032" t="s">
        <v>86</v>
      </c>
    </row>
    <row r="453" spans="1:60">
      <c r="A453" s="1032" t="s">
        <v>2216</v>
      </c>
      <c r="B453" s="1032" t="s">
        <v>2132</v>
      </c>
      <c r="C453" s="1032" t="s">
        <v>2133</v>
      </c>
      <c r="D453" s="1032" t="s">
        <v>63</v>
      </c>
      <c r="E453" s="1032" t="s">
        <v>64</v>
      </c>
      <c r="F453" s="1032" t="s">
        <v>310</v>
      </c>
      <c r="G453" s="1032" t="s">
        <v>402</v>
      </c>
      <c r="H453" s="1032" t="s">
        <v>311</v>
      </c>
      <c r="I453" s="1032" t="s">
        <v>689</v>
      </c>
      <c r="J453" s="1032" t="s">
        <v>96</v>
      </c>
      <c r="M453" s="1032" t="s">
        <v>68</v>
      </c>
      <c r="N453" s="1032" t="s">
        <v>68</v>
      </c>
      <c r="O453" s="1032" t="s">
        <v>550</v>
      </c>
      <c r="P453" s="1032" t="s">
        <v>2134</v>
      </c>
      <c r="Q453" s="1032" t="s">
        <v>2135</v>
      </c>
      <c r="R453" s="1032" t="s">
        <v>73</v>
      </c>
      <c r="S453" s="1032" t="s">
        <v>2136</v>
      </c>
      <c r="T453" s="1032">
        <v>515</v>
      </c>
      <c r="U453" s="1032">
        <v>2376</v>
      </c>
      <c r="V453" s="1032">
        <v>1.2236400000000001</v>
      </c>
      <c r="W453" s="1032">
        <v>66</v>
      </c>
      <c r="X453" s="1032">
        <v>3</v>
      </c>
      <c r="Y453" s="1032" t="s">
        <v>951</v>
      </c>
      <c r="Z453" s="1032" t="s">
        <v>75</v>
      </c>
      <c r="AA453" s="1032" t="s">
        <v>2183</v>
      </c>
      <c r="AB453" s="1033">
        <v>46136</v>
      </c>
      <c r="AC453" s="1032">
        <v>17</v>
      </c>
      <c r="AD453" s="1032" t="s">
        <v>2217</v>
      </c>
      <c r="AF453" s="1032" t="s">
        <v>123</v>
      </c>
      <c r="AG453" s="1032" t="s">
        <v>123</v>
      </c>
      <c r="AH453" s="1032" t="s">
        <v>1561</v>
      </c>
      <c r="AI453" s="1033">
        <v>46140</v>
      </c>
      <c r="AJ453" s="1033">
        <v>46140</v>
      </c>
      <c r="AK453" s="1033">
        <v>46140</v>
      </c>
      <c r="AL453" s="1033">
        <v>46199</v>
      </c>
      <c r="AM453" s="1033">
        <v>46201</v>
      </c>
      <c r="AN453" s="1033">
        <v>46198</v>
      </c>
      <c r="AO453" s="1032" t="s">
        <v>402</v>
      </c>
      <c r="AP453" s="1032" t="s">
        <v>2218</v>
      </c>
      <c r="AQ453" s="1032" t="s">
        <v>80</v>
      </c>
      <c r="AR453" s="1032" t="s">
        <v>2219</v>
      </c>
      <c r="AS453" s="1032" t="s">
        <v>2220</v>
      </c>
      <c r="AT453" s="1032" t="s">
        <v>2220</v>
      </c>
      <c r="AU453" s="1032">
        <v>58</v>
      </c>
      <c r="AW453" s="1033">
        <v>46198</v>
      </c>
      <c r="AX453" s="1032" t="s">
        <v>973</v>
      </c>
      <c r="AY453" s="1033">
        <v>46211</v>
      </c>
      <c r="AZ453" s="1032">
        <v>13</v>
      </c>
      <c r="BA453" s="1033">
        <v>46211</v>
      </c>
      <c r="BB453" s="1032">
        <v>2026</v>
      </c>
      <c r="BC453" s="1032">
        <v>7</v>
      </c>
      <c r="BD453" s="1032">
        <v>28</v>
      </c>
      <c r="BE453" s="1032">
        <v>36</v>
      </c>
      <c r="BF453" s="1032">
        <v>792</v>
      </c>
      <c r="BG453" s="1032" t="s">
        <v>85</v>
      </c>
      <c r="BH453" s="1032" t="s">
        <v>86</v>
      </c>
    </row>
    <row r="454" spans="1:60">
      <c r="A454" s="1032" t="s">
        <v>2221</v>
      </c>
      <c r="B454" s="1032" t="s">
        <v>2132</v>
      </c>
      <c r="C454" s="1032" t="s">
        <v>2133</v>
      </c>
      <c r="D454" s="1032" t="s">
        <v>63</v>
      </c>
      <c r="E454" s="1032" t="s">
        <v>64</v>
      </c>
      <c r="F454" s="1032" t="s">
        <v>114</v>
      </c>
      <c r="G454" s="1032" t="s">
        <v>402</v>
      </c>
      <c r="H454" s="1032" t="s">
        <v>115</v>
      </c>
      <c r="I454" s="1032" t="s">
        <v>689</v>
      </c>
      <c r="J454" s="1032" t="s">
        <v>96</v>
      </c>
      <c r="M454" s="1032" t="s">
        <v>68</v>
      </c>
      <c r="N454" s="1032" t="s">
        <v>68</v>
      </c>
      <c r="O454" s="1032" t="s">
        <v>550</v>
      </c>
      <c r="P454" s="1032" t="s">
        <v>2134</v>
      </c>
      <c r="Q454" s="1032" t="s">
        <v>2135</v>
      </c>
      <c r="R454" s="1032" t="s">
        <v>73</v>
      </c>
      <c r="S454" s="1032" t="s">
        <v>2136</v>
      </c>
      <c r="T454" s="1032">
        <v>515</v>
      </c>
      <c r="U454" s="1032">
        <v>1584</v>
      </c>
      <c r="V454" s="1032">
        <v>0.81576000000000004</v>
      </c>
      <c r="W454" s="1032">
        <v>44</v>
      </c>
      <c r="X454" s="1032">
        <v>2</v>
      </c>
      <c r="Y454" s="1032" t="s">
        <v>75</v>
      </c>
      <c r="Z454" s="1032" t="s">
        <v>75</v>
      </c>
      <c r="AA454" s="1032" t="s">
        <v>2183</v>
      </c>
      <c r="AB454" s="1033">
        <v>46136</v>
      </c>
      <c r="AC454" s="1032">
        <v>17</v>
      </c>
      <c r="AD454" s="1032" t="s">
        <v>2222</v>
      </c>
      <c r="AF454" s="1032" t="s">
        <v>123</v>
      </c>
      <c r="AG454" s="1032" t="s">
        <v>123</v>
      </c>
      <c r="AH454" s="1032" t="s">
        <v>124</v>
      </c>
      <c r="AI454" s="1033">
        <v>46139</v>
      </c>
      <c r="AJ454" s="1033">
        <v>46140</v>
      </c>
      <c r="AK454" s="1033">
        <v>46140</v>
      </c>
      <c r="AL454" s="1033">
        <v>46184</v>
      </c>
      <c r="AM454" s="1033">
        <v>46177</v>
      </c>
      <c r="AN454" s="1033">
        <v>46178</v>
      </c>
      <c r="AO454" s="1032" t="s">
        <v>402</v>
      </c>
      <c r="AP454" s="1032" t="s">
        <v>2179</v>
      </c>
      <c r="AQ454" s="1032" t="s">
        <v>80</v>
      </c>
      <c r="AR454" s="1032" t="s">
        <v>2223</v>
      </c>
      <c r="AS454" s="1032" t="s">
        <v>2224</v>
      </c>
      <c r="AT454" s="1032" t="s">
        <v>2224</v>
      </c>
      <c r="AU454" s="1032">
        <v>38</v>
      </c>
      <c r="AW454" s="1033">
        <v>46178</v>
      </c>
      <c r="AX454" s="1032" t="s">
        <v>973</v>
      </c>
      <c r="AY454" s="1033">
        <v>46190</v>
      </c>
      <c r="AZ454" s="1032">
        <v>9</v>
      </c>
      <c r="BA454" s="1033">
        <v>46187</v>
      </c>
      <c r="BB454" s="1032">
        <v>2026</v>
      </c>
      <c r="BC454" s="1032">
        <v>6</v>
      </c>
      <c r="BD454" s="1032">
        <v>24</v>
      </c>
      <c r="BE454" s="1032">
        <v>36</v>
      </c>
      <c r="BF454" s="1032">
        <v>792</v>
      </c>
      <c r="BG454" s="1032" t="s">
        <v>85</v>
      </c>
      <c r="BH454" s="1032" t="s">
        <v>86</v>
      </c>
    </row>
    <row r="455" spans="1:60">
      <c r="A455" s="1032" t="s">
        <v>2225</v>
      </c>
      <c r="B455" s="1032" t="s">
        <v>61</v>
      </c>
      <c r="C455" s="1032" t="s">
        <v>1940</v>
      </c>
      <c r="D455" s="1032" t="s">
        <v>63</v>
      </c>
      <c r="E455" s="1032" t="s">
        <v>64</v>
      </c>
      <c r="F455" s="1032" t="s">
        <v>65</v>
      </c>
      <c r="G455" s="1032" t="s">
        <v>402</v>
      </c>
      <c r="H455" s="1032" t="s">
        <v>67</v>
      </c>
      <c r="I455" s="1032" t="s">
        <v>1395</v>
      </c>
      <c r="J455" s="1032" t="s">
        <v>96</v>
      </c>
      <c r="M455" s="1032" t="s">
        <v>68</v>
      </c>
      <c r="N455" s="1032">
        <v>46104</v>
      </c>
      <c r="O455" s="1032" t="s">
        <v>70</v>
      </c>
      <c r="P455" s="1032" t="s">
        <v>91</v>
      </c>
      <c r="Q455" s="1032" t="s">
        <v>92</v>
      </c>
      <c r="R455" s="1032" t="s">
        <v>73</v>
      </c>
      <c r="S455" s="1032" t="s">
        <v>967</v>
      </c>
      <c r="T455" s="1032">
        <v>450</v>
      </c>
      <c r="U455" s="1032">
        <v>1872</v>
      </c>
      <c r="V455" s="1032">
        <v>0.84240000000000004</v>
      </c>
      <c r="W455" s="1032">
        <v>52</v>
      </c>
      <c r="X455" s="1032">
        <v>2</v>
      </c>
      <c r="Y455" s="1032" t="s">
        <v>951</v>
      </c>
      <c r="Z455" s="1032" t="s">
        <v>75</v>
      </c>
      <c r="AA455" s="1032" t="s">
        <v>1907</v>
      </c>
      <c r="AB455" s="1033">
        <v>46134</v>
      </c>
      <c r="AC455" s="1032">
        <v>17</v>
      </c>
      <c r="AD455" s="1032" t="s">
        <v>2226</v>
      </c>
      <c r="AF455" s="1032" t="s">
        <v>1935</v>
      </c>
      <c r="AG455" s="1032" t="s">
        <v>61</v>
      </c>
      <c r="AH455" s="1032" t="s">
        <v>78</v>
      </c>
      <c r="AI455" s="1033">
        <v>46138</v>
      </c>
      <c r="AJ455" s="1033">
        <v>46138</v>
      </c>
      <c r="AK455" s="1033">
        <v>46138</v>
      </c>
      <c r="AL455" s="1033">
        <v>46196</v>
      </c>
      <c r="AM455" s="1033">
        <v>46207</v>
      </c>
      <c r="AN455" s="1033">
        <v>46207</v>
      </c>
      <c r="AO455" s="1032" t="s">
        <v>402</v>
      </c>
      <c r="AP455" s="1032" t="s">
        <v>2227</v>
      </c>
      <c r="AQ455" s="1032" t="s">
        <v>80</v>
      </c>
      <c r="AR455" s="1032" t="s">
        <v>2228</v>
      </c>
      <c r="AS455" s="1032" t="s">
        <v>2229</v>
      </c>
      <c r="AT455" s="1032" t="s">
        <v>2229</v>
      </c>
      <c r="AU455" s="1032">
        <v>69</v>
      </c>
      <c r="AW455" s="1033">
        <v>46207</v>
      </c>
      <c r="AX455" s="1032" t="s">
        <v>973</v>
      </c>
      <c r="AY455" s="1033">
        <v>46219</v>
      </c>
      <c r="AZ455" s="1032">
        <v>8</v>
      </c>
      <c r="BA455" s="1033">
        <v>46215</v>
      </c>
      <c r="BB455" s="1032">
        <v>2026</v>
      </c>
      <c r="BC455" s="1032">
        <v>7</v>
      </c>
      <c r="BD455" s="1032">
        <v>28</v>
      </c>
      <c r="BE455" s="1032">
        <v>36</v>
      </c>
      <c r="BF455" s="1032">
        <v>936</v>
      </c>
      <c r="BG455" s="1032" t="s">
        <v>94</v>
      </c>
      <c r="BH455" s="1032" t="s">
        <v>86</v>
      </c>
    </row>
    <row r="456" spans="1:60">
      <c r="A456" s="1032" t="s">
        <v>2230</v>
      </c>
      <c r="B456" s="1032" t="s">
        <v>61</v>
      </c>
      <c r="C456" s="1032" t="s">
        <v>1940</v>
      </c>
      <c r="D456" s="1032" t="s">
        <v>63</v>
      </c>
      <c r="E456" s="1032" t="s">
        <v>64</v>
      </c>
      <c r="F456" s="1032" t="s">
        <v>65</v>
      </c>
      <c r="G456" s="1032" t="s">
        <v>402</v>
      </c>
      <c r="H456" s="1032" t="s">
        <v>67</v>
      </c>
      <c r="I456" s="1032" t="s">
        <v>882</v>
      </c>
      <c r="J456" s="1032" t="s">
        <v>96</v>
      </c>
      <c r="M456" s="1032" t="s">
        <v>68</v>
      </c>
      <c r="N456" s="1032">
        <v>46111</v>
      </c>
      <c r="O456" s="1032" t="s">
        <v>70</v>
      </c>
      <c r="P456" s="1032" t="s">
        <v>91</v>
      </c>
      <c r="Q456" s="1032" t="s">
        <v>92</v>
      </c>
      <c r="R456" s="1032" t="s">
        <v>73</v>
      </c>
      <c r="S456" s="1032" t="s">
        <v>967</v>
      </c>
      <c r="T456" s="1032">
        <v>450</v>
      </c>
      <c r="U456" s="1032">
        <v>3744</v>
      </c>
      <c r="V456" s="1032">
        <v>1.6848000000000001</v>
      </c>
      <c r="W456" s="1032">
        <v>104</v>
      </c>
      <c r="X456" s="1032">
        <v>4</v>
      </c>
      <c r="Y456" s="1032" t="s">
        <v>951</v>
      </c>
      <c r="Z456" s="1032" t="s">
        <v>75</v>
      </c>
      <c r="AA456" s="1032" t="s">
        <v>1991</v>
      </c>
      <c r="AB456" s="1033">
        <v>46128</v>
      </c>
      <c r="AC456" s="1032">
        <v>16</v>
      </c>
      <c r="AD456" s="1032" t="s">
        <v>2231</v>
      </c>
      <c r="AF456" s="1032" t="s">
        <v>1935</v>
      </c>
      <c r="AG456" s="1032" t="s">
        <v>61</v>
      </c>
      <c r="AH456" s="1032" t="s">
        <v>356</v>
      </c>
      <c r="AI456" s="1033">
        <v>46136</v>
      </c>
      <c r="AJ456" s="1033">
        <v>46136</v>
      </c>
      <c r="AK456" s="1033">
        <v>46136</v>
      </c>
      <c r="AL456" s="1033">
        <v>46192</v>
      </c>
      <c r="AM456" s="1033">
        <v>46196</v>
      </c>
      <c r="AN456" s="1033">
        <v>46198</v>
      </c>
      <c r="AO456" s="1032" t="s">
        <v>402</v>
      </c>
      <c r="AP456" s="1032" t="s">
        <v>2232</v>
      </c>
      <c r="AQ456" s="1032" t="s">
        <v>161</v>
      </c>
      <c r="AR456" s="1032" t="s">
        <v>2233</v>
      </c>
      <c r="AS456" s="1032" t="s">
        <v>2234</v>
      </c>
      <c r="AT456" s="1032" t="s">
        <v>2234</v>
      </c>
      <c r="AU456" s="1032">
        <v>62</v>
      </c>
      <c r="AW456" s="1033">
        <v>46198</v>
      </c>
      <c r="AX456" s="1032" t="s">
        <v>973</v>
      </c>
      <c r="AY456" s="1033">
        <v>46208</v>
      </c>
      <c r="AZ456" s="1032">
        <v>8</v>
      </c>
      <c r="BA456" s="1033">
        <v>46206</v>
      </c>
      <c r="BB456" s="1032">
        <v>2026</v>
      </c>
      <c r="BC456" s="1032">
        <v>7</v>
      </c>
      <c r="BD456" s="1032">
        <v>27</v>
      </c>
      <c r="BE456" s="1032">
        <v>36</v>
      </c>
      <c r="BF456" s="1032">
        <v>936</v>
      </c>
      <c r="BG456" s="1032" t="s">
        <v>94</v>
      </c>
      <c r="BH456" s="1032" t="s">
        <v>109</v>
      </c>
    </row>
    <row r="457" spans="1:60">
      <c r="A457" s="1032" t="s">
        <v>2235</v>
      </c>
      <c r="B457" s="1032" t="s">
        <v>61</v>
      </c>
      <c r="C457" s="1032" t="s">
        <v>1940</v>
      </c>
      <c r="D457" s="1032" t="s">
        <v>63</v>
      </c>
      <c r="E457" s="1032" t="s">
        <v>64</v>
      </c>
      <c r="F457" s="1032" t="s">
        <v>65</v>
      </c>
      <c r="G457" s="1032" t="s">
        <v>402</v>
      </c>
      <c r="H457" s="1032" t="s">
        <v>67</v>
      </c>
      <c r="I457" s="1032" t="s">
        <v>882</v>
      </c>
      <c r="J457" s="1032" t="s">
        <v>96</v>
      </c>
      <c r="M457" s="1032" t="s">
        <v>68</v>
      </c>
      <c r="N457" s="1032">
        <v>46111</v>
      </c>
      <c r="O457" s="1032" t="s">
        <v>70</v>
      </c>
      <c r="P457" s="1032" t="s">
        <v>91</v>
      </c>
      <c r="Q457" s="1032" t="s">
        <v>92</v>
      </c>
      <c r="R457" s="1032" t="s">
        <v>73</v>
      </c>
      <c r="S457" s="1032" t="s">
        <v>967</v>
      </c>
      <c r="T457" s="1032">
        <v>450</v>
      </c>
      <c r="U457" s="1032">
        <v>1872</v>
      </c>
      <c r="V457" s="1032">
        <v>0.84240000000000004</v>
      </c>
      <c r="W457" s="1032">
        <v>52</v>
      </c>
      <c r="X457" s="1032">
        <v>2</v>
      </c>
      <c r="Y457" s="1032" t="s">
        <v>951</v>
      </c>
      <c r="Z457" s="1032" t="s">
        <v>75</v>
      </c>
      <c r="AA457" s="1032" t="s">
        <v>1991</v>
      </c>
      <c r="AB457" s="1033">
        <v>46129</v>
      </c>
      <c r="AC457" s="1032">
        <v>16</v>
      </c>
      <c r="AD457" s="1032" t="s">
        <v>2236</v>
      </c>
      <c r="AF457" s="1032" t="s">
        <v>1935</v>
      </c>
      <c r="AG457" s="1032" t="s">
        <v>61</v>
      </c>
      <c r="AH457" s="1032" t="s">
        <v>356</v>
      </c>
      <c r="AI457" s="1033">
        <v>46136</v>
      </c>
      <c r="AJ457" s="1033">
        <v>46136</v>
      </c>
      <c r="AK457" s="1033">
        <v>46136</v>
      </c>
      <c r="AL457" s="1033">
        <v>46192</v>
      </c>
      <c r="AM457" s="1033">
        <v>46196</v>
      </c>
      <c r="AN457" s="1033">
        <v>46198</v>
      </c>
      <c r="AO457" s="1032" t="s">
        <v>402</v>
      </c>
      <c r="AP457" s="1032" t="s">
        <v>2232</v>
      </c>
      <c r="AQ457" s="1032" t="s">
        <v>161</v>
      </c>
      <c r="AR457" s="1032" t="s">
        <v>2233</v>
      </c>
      <c r="AS457" s="1032" t="s">
        <v>2234</v>
      </c>
      <c r="AT457" s="1032" t="s">
        <v>2234</v>
      </c>
      <c r="AU457" s="1032">
        <v>62</v>
      </c>
      <c r="AW457" s="1033">
        <v>46198</v>
      </c>
      <c r="AX457" s="1032" t="s">
        <v>973</v>
      </c>
      <c r="AY457" s="1033">
        <v>46209</v>
      </c>
      <c r="AZ457" s="1032">
        <v>8</v>
      </c>
      <c r="BA457" s="1033">
        <v>46206</v>
      </c>
      <c r="BB457" s="1032">
        <v>2026</v>
      </c>
      <c r="BC457" s="1032">
        <v>7</v>
      </c>
      <c r="BD457" s="1032">
        <v>27</v>
      </c>
      <c r="BE457" s="1032">
        <v>36</v>
      </c>
      <c r="BF457" s="1032">
        <v>936</v>
      </c>
      <c r="BG457" s="1032" t="s">
        <v>94</v>
      </c>
      <c r="BH457" s="1032" t="s">
        <v>109</v>
      </c>
    </row>
    <row r="458" spans="1:60">
      <c r="A458" s="1032" t="s">
        <v>2237</v>
      </c>
      <c r="B458" s="1032" t="s">
        <v>61</v>
      </c>
      <c r="C458" s="1032" t="s">
        <v>1940</v>
      </c>
      <c r="D458" s="1032" t="s">
        <v>63</v>
      </c>
      <c r="E458" s="1032" t="s">
        <v>64</v>
      </c>
      <c r="F458" s="1032" t="s">
        <v>65</v>
      </c>
      <c r="G458" s="1032" t="s">
        <v>402</v>
      </c>
      <c r="H458" s="1032" t="s">
        <v>67</v>
      </c>
      <c r="I458" s="1032" t="s">
        <v>882</v>
      </c>
      <c r="J458" s="1032" t="s">
        <v>96</v>
      </c>
      <c r="M458" s="1032" t="s">
        <v>68</v>
      </c>
      <c r="N458" s="1032">
        <v>46111</v>
      </c>
      <c r="O458" s="1032" t="s">
        <v>70</v>
      </c>
      <c r="P458" s="1032" t="s">
        <v>91</v>
      </c>
      <c r="Q458" s="1032" t="s">
        <v>92</v>
      </c>
      <c r="R458" s="1032" t="s">
        <v>73</v>
      </c>
      <c r="S458" s="1032" t="s">
        <v>967</v>
      </c>
      <c r="T458" s="1032">
        <v>450</v>
      </c>
      <c r="U458" s="1032">
        <v>936</v>
      </c>
      <c r="V458" s="1032">
        <v>0.42120000000000002</v>
      </c>
      <c r="W458" s="1032">
        <v>26</v>
      </c>
      <c r="X458" s="1032">
        <v>1</v>
      </c>
      <c r="Y458" s="1032" t="s">
        <v>951</v>
      </c>
      <c r="Z458" s="1032" t="s">
        <v>75</v>
      </c>
      <c r="AA458" s="1032" t="s">
        <v>1991</v>
      </c>
      <c r="AB458" s="1033">
        <v>46129</v>
      </c>
      <c r="AC458" s="1032">
        <v>16</v>
      </c>
      <c r="AD458" s="1032" t="s">
        <v>2238</v>
      </c>
      <c r="AF458" s="1032" t="s">
        <v>1935</v>
      </c>
      <c r="AG458" s="1032" t="s">
        <v>61</v>
      </c>
      <c r="AH458" s="1032" t="s">
        <v>356</v>
      </c>
      <c r="AI458" s="1033">
        <v>46136</v>
      </c>
      <c r="AJ458" s="1033">
        <v>46136</v>
      </c>
      <c r="AK458" s="1033">
        <v>46136</v>
      </c>
      <c r="AL458" s="1033">
        <v>46192</v>
      </c>
      <c r="AM458" s="1033">
        <v>46196</v>
      </c>
      <c r="AN458" s="1033">
        <v>46198</v>
      </c>
      <c r="AO458" s="1032" t="s">
        <v>402</v>
      </c>
      <c r="AP458" s="1032" t="s">
        <v>2232</v>
      </c>
      <c r="AQ458" s="1032" t="s">
        <v>161</v>
      </c>
      <c r="AR458" s="1032" t="s">
        <v>2233</v>
      </c>
      <c r="AS458" s="1032" t="s">
        <v>2234</v>
      </c>
      <c r="AT458" s="1032" t="s">
        <v>2234</v>
      </c>
      <c r="AU458" s="1032">
        <v>62</v>
      </c>
      <c r="AW458" s="1033">
        <v>46198</v>
      </c>
      <c r="AX458" s="1032" t="s">
        <v>973</v>
      </c>
      <c r="AY458" s="1033">
        <v>46209</v>
      </c>
      <c r="AZ458" s="1032">
        <v>8</v>
      </c>
      <c r="BA458" s="1033">
        <v>46206</v>
      </c>
      <c r="BB458" s="1032">
        <v>2026</v>
      </c>
      <c r="BC458" s="1032">
        <v>7</v>
      </c>
      <c r="BD458" s="1032">
        <v>27</v>
      </c>
      <c r="BE458" s="1032">
        <v>36</v>
      </c>
      <c r="BF458" s="1032">
        <v>936</v>
      </c>
      <c r="BG458" s="1032" t="s">
        <v>94</v>
      </c>
      <c r="BH458" s="1032" t="s">
        <v>109</v>
      </c>
    </row>
    <row r="459" spans="1:60">
      <c r="A459" s="1032" t="s">
        <v>2239</v>
      </c>
      <c r="B459" s="1032" t="s">
        <v>61</v>
      </c>
      <c r="C459" s="1032" t="s">
        <v>1940</v>
      </c>
      <c r="D459" s="1032" t="s">
        <v>63</v>
      </c>
      <c r="E459" s="1032" t="s">
        <v>64</v>
      </c>
      <c r="F459" s="1032" t="s">
        <v>65</v>
      </c>
      <c r="G459" s="1032" t="s">
        <v>402</v>
      </c>
      <c r="H459" s="1032" t="s">
        <v>67</v>
      </c>
      <c r="I459" s="1032" t="s">
        <v>882</v>
      </c>
      <c r="J459" s="1032" t="s">
        <v>96</v>
      </c>
      <c r="M459" s="1032" t="s">
        <v>68</v>
      </c>
      <c r="N459" s="1032">
        <v>46111</v>
      </c>
      <c r="O459" s="1032" t="s">
        <v>70</v>
      </c>
      <c r="P459" s="1032" t="s">
        <v>91</v>
      </c>
      <c r="Q459" s="1032" t="s">
        <v>92</v>
      </c>
      <c r="R459" s="1032" t="s">
        <v>73</v>
      </c>
      <c r="S459" s="1032" t="s">
        <v>967</v>
      </c>
      <c r="T459" s="1032">
        <v>450</v>
      </c>
      <c r="U459" s="1032">
        <v>936</v>
      </c>
      <c r="V459" s="1032">
        <v>0.42120000000000002</v>
      </c>
      <c r="W459" s="1032">
        <v>26</v>
      </c>
      <c r="X459" s="1032">
        <v>1</v>
      </c>
      <c r="Y459" s="1032" t="s">
        <v>951</v>
      </c>
      <c r="Z459" s="1032" t="s">
        <v>75</v>
      </c>
      <c r="AA459" s="1032" t="s">
        <v>1991</v>
      </c>
      <c r="AB459" s="1033">
        <v>46129</v>
      </c>
      <c r="AC459" s="1032">
        <v>16</v>
      </c>
      <c r="AD459" s="1032" t="s">
        <v>2240</v>
      </c>
      <c r="AF459" s="1032" t="s">
        <v>1935</v>
      </c>
      <c r="AG459" s="1032" t="s">
        <v>61</v>
      </c>
      <c r="AH459" s="1032" t="s">
        <v>356</v>
      </c>
      <c r="AI459" s="1033">
        <v>46136</v>
      </c>
      <c r="AJ459" s="1033">
        <v>46136</v>
      </c>
      <c r="AK459" s="1033">
        <v>46136</v>
      </c>
      <c r="AL459" s="1033">
        <v>46192</v>
      </c>
      <c r="AM459" s="1033">
        <v>46196</v>
      </c>
      <c r="AN459" s="1033">
        <v>46198</v>
      </c>
      <c r="AO459" s="1032" t="s">
        <v>402</v>
      </c>
      <c r="AP459" s="1032" t="s">
        <v>2232</v>
      </c>
      <c r="AQ459" s="1032" t="s">
        <v>161</v>
      </c>
      <c r="AR459" s="1032" t="s">
        <v>2233</v>
      </c>
      <c r="AS459" s="1032" t="s">
        <v>2234</v>
      </c>
      <c r="AT459" s="1032" t="s">
        <v>2234</v>
      </c>
      <c r="AU459" s="1032">
        <v>62</v>
      </c>
      <c r="AW459" s="1033">
        <v>46198</v>
      </c>
      <c r="AX459" s="1032" t="s">
        <v>973</v>
      </c>
      <c r="AY459" s="1033">
        <v>46209</v>
      </c>
      <c r="AZ459" s="1032">
        <v>8</v>
      </c>
      <c r="BA459" s="1033">
        <v>46206</v>
      </c>
      <c r="BB459" s="1032">
        <v>2026</v>
      </c>
      <c r="BC459" s="1032">
        <v>7</v>
      </c>
      <c r="BD459" s="1032">
        <v>27</v>
      </c>
      <c r="BE459" s="1032">
        <v>36</v>
      </c>
      <c r="BF459" s="1032">
        <v>936</v>
      </c>
      <c r="BG459" s="1032" t="s">
        <v>94</v>
      </c>
      <c r="BH459" s="1032" t="s">
        <v>109</v>
      </c>
    </row>
    <row r="460" spans="1:60">
      <c r="A460" s="1032" t="s">
        <v>2241</v>
      </c>
      <c r="B460" s="1032" t="s">
        <v>61</v>
      </c>
      <c r="C460" s="1032" t="s">
        <v>1940</v>
      </c>
      <c r="D460" s="1032" t="s">
        <v>63</v>
      </c>
      <c r="E460" s="1032" t="s">
        <v>64</v>
      </c>
      <c r="F460" s="1032" t="s">
        <v>65</v>
      </c>
      <c r="G460" s="1032" t="s">
        <v>402</v>
      </c>
      <c r="H460" s="1032" t="s">
        <v>67</v>
      </c>
      <c r="I460" s="1032" t="s">
        <v>882</v>
      </c>
      <c r="J460" s="1032" t="s">
        <v>96</v>
      </c>
      <c r="M460" s="1032" t="s">
        <v>68</v>
      </c>
      <c r="N460" s="1032">
        <v>46111</v>
      </c>
      <c r="O460" s="1032" t="s">
        <v>70</v>
      </c>
      <c r="P460" s="1032" t="s">
        <v>91</v>
      </c>
      <c r="Q460" s="1032" t="s">
        <v>92</v>
      </c>
      <c r="R460" s="1032" t="s">
        <v>73</v>
      </c>
      <c r="S460" s="1032" t="s">
        <v>967</v>
      </c>
      <c r="T460" s="1032">
        <v>450</v>
      </c>
      <c r="U460" s="1032">
        <v>936</v>
      </c>
      <c r="V460" s="1032">
        <v>0.42120000000000002</v>
      </c>
      <c r="W460" s="1032">
        <v>26</v>
      </c>
      <c r="X460" s="1032">
        <v>1</v>
      </c>
      <c r="Y460" s="1032" t="s">
        <v>951</v>
      </c>
      <c r="Z460" s="1032" t="s">
        <v>75</v>
      </c>
      <c r="AA460" s="1032" t="s">
        <v>1991</v>
      </c>
      <c r="AB460" s="1033">
        <v>46129</v>
      </c>
      <c r="AC460" s="1032">
        <v>16</v>
      </c>
      <c r="AD460" s="1032" t="s">
        <v>2242</v>
      </c>
      <c r="AF460" s="1032" t="s">
        <v>1935</v>
      </c>
      <c r="AG460" s="1032" t="s">
        <v>61</v>
      </c>
      <c r="AH460" s="1032" t="s">
        <v>356</v>
      </c>
      <c r="AI460" s="1033">
        <v>46136</v>
      </c>
      <c r="AJ460" s="1033">
        <v>46136</v>
      </c>
      <c r="AK460" s="1033">
        <v>46136</v>
      </c>
      <c r="AL460" s="1033">
        <v>46192</v>
      </c>
      <c r="AM460" s="1033">
        <v>46196</v>
      </c>
      <c r="AN460" s="1033">
        <v>46198</v>
      </c>
      <c r="AO460" s="1032" t="s">
        <v>402</v>
      </c>
      <c r="AP460" s="1032" t="s">
        <v>2232</v>
      </c>
      <c r="AQ460" s="1032" t="s">
        <v>161</v>
      </c>
      <c r="AR460" s="1032" t="s">
        <v>2233</v>
      </c>
      <c r="AS460" s="1032" t="s">
        <v>2234</v>
      </c>
      <c r="AT460" s="1032" t="s">
        <v>2234</v>
      </c>
      <c r="AU460" s="1032">
        <v>62</v>
      </c>
      <c r="AW460" s="1033">
        <v>46198</v>
      </c>
      <c r="AX460" s="1032" t="s">
        <v>973</v>
      </c>
      <c r="AY460" s="1033">
        <v>46209</v>
      </c>
      <c r="AZ460" s="1032">
        <v>8</v>
      </c>
      <c r="BA460" s="1033">
        <v>46206</v>
      </c>
      <c r="BB460" s="1032">
        <v>2026</v>
      </c>
      <c r="BC460" s="1032">
        <v>7</v>
      </c>
      <c r="BD460" s="1032">
        <v>27</v>
      </c>
      <c r="BE460" s="1032">
        <v>36</v>
      </c>
      <c r="BF460" s="1032">
        <v>936</v>
      </c>
      <c r="BG460" s="1032" t="s">
        <v>94</v>
      </c>
      <c r="BH460" s="1032" t="s">
        <v>109</v>
      </c>
    </row>
    <row r="461" spans="1:60">
      <c r="A461" s="1032" t="s">
        <v>2243</v>
      </c>
      <c r="B461" s="1032" t="s">
        <v>61</v>
      </c>
      <c r="C461" s="1032" t="s">
        <v>1940</v>
      </c>
      <c r="D461" s="1032" t="s">
        <v>63</v>
      </c>
      <c r="E461" s="1032" t="s">
        <v>64</v>
      </c>
      <c r="F461" s="1032" t="s">
        <v>65</v>
      </c>
      <c r="G461" s="1032" t="s">
        <v>402</v>
      </c>
      <c r="H461" s="1032" t="s">
        <v>67</v>
      </c>
      <c r="I461" s="1032" t="s">
        <v>882</v>
      </c>
      <c r="J461" s="1032" t="s">
        <v>96</v>
      </c>
      <c r="M461" s="1032" t="s">
        <v>68</v>
      </c>
      <c r="N461" s="1032">
        <v>46111</v>
      </c>
      <c r="O461" s="1032" t="s">
        <v>70</v>
      </c>
      <c r="P461" s="1032" t="s">
        <v>91</v>
      </c>
      <c r="Q461" s="1032" t="s">
        <v>92</v>
      </c>
      <c r="R461" s="1032" t="s">
        <v>73</v>
      </c>
      <c r="S461" s="1032" t="s">
        <v>967</v>
      </c>
      <c r="T461" s="1032">
        <v>450</v>
      </c>
      <c r="U461" s="1032">
        <v>2808</v>
      </c>
      <c r="V461" s="1032">
        <v>1.2636000000000001</v>
      </c>
      <c r="W461" s="1032">
        <v>78</v>
      </c>
      <c r="X461" s="1032">
        <v>3</v>
      </c>
      <c r="Y461" s="1032" t="s">
        <v>951</v>
      </c>
      <c r="Z461" s="1032" t="s">
        <v>75</v>
      </c>
      <c r="AA461" s="1032" t="s">
        <v>1991</v>
      </c>
      <c r="AB461" s="1033">
        <v>46129</v>
      </c>
      <c r="AC461" s="1032">
        <v>16</v>
      </c>
      <c r="AD461" s="1032" t="s">
        <v>2244</v>
      </c>
      <c r="AF461" s="1032" t="s">
        <v>1935</v>
      </c>
      <c r="AG461" s="1032" t="s">
        <v>61</v>
      </c>
      <c r="AH461" s="1032" t="s">
        <v>356</v>
      </c>
      <c r="AI461" s="1033">
        <v>46136</v>
      </c>
      <c r="AJ461" s="1033">
        <v>46136</v>
      </c>
      <c r="AK461" s="1033">
        <v>46136</v>
      </c>
      <c r="AL461" s="1033">
        <v>46192</v>
      </c>
      <c r="AM461" s="1033">
        <v>46196</v>
      </c>
      <c r="AN461" s="1033">
        <v>46198</v>
      </c>
      <c r="AO461" s="1032" t="s">
        <v>402</v>
      </c>
      <c r="AP461" s="1032" t="s">
        <v>2232</v>
      </c>
      <c r="AQ461" s="1032" t="s">
        <v>161</v>
      </c>
      <c r="AR461" s="1032" t="s">
        <v>2233</v>
      </c>
      <c r="AS461" s="1032" t="s">
        <v>2234</v>
      </c>
      <c r="AT461" s="1032" t="s">
        <v>2234</v>
      </c>
      <c r="AU461" s="1032">
        <v>62</v>
      </c>
      <c r="AW461" s="1033">
        <v>46198</v>
      </c>
      <c r="AX461" s="1032" t="s">
        <v>973</v>
      </c>
      <c r="AY461" s="1033">
        <v>46209</v>
      </c>
      <c r="AZ461" s="1032">
        <v>8</v>
      </c>
      <c r="BA461" s="1033">
        <v>46206</v>
      </c>
      <c r="BB461" s="1032">
        <v>2026</v>
      </c>
      <c r="BC461" s="1032">
        <v>7</v>
      </c>
      <c r="BD461" s="1032">
        <v>27</v>
      </c>
      <c r="BE461" s="1032">
        <v>36</v>
      </c>
      <c r="BF461" s="1032">
        <v>936</v>
      </c>
      <c r="BG461" s="1032" t="s">
        <v>94</v>
      </c>
      <c r="BH461" s="1032" t="s">
        <v>109</v>
      </c>
    </row>
    <row r="462" spans="1:60">
      <c r="A462" s="1032" t="s">
        <v>2245</v>
      </c>
      <c r="B462" s="1032" t="s">
        <v>1888</v>
      </c>
      <c r="C462" s="1032" t="s">
        <v>1016</v>
      </c>
      <c r="D462" s="1032" t="s">
        <v>63</v>
      </c>
      <c r="E462" s="1032" t="s">
        <v>64</v>
      </c>
      <c r="F462" s="1032" t="s">
        <v>450</v>
      </c>
      <c r="G462" s="1032" t="s">
        <v>402</v>
      </c>
      <c r="H462" s="1032" t="s">
        <v>451</v>
      </c>
      <c r="I462" s="1032" t="s">
        <v>689</v>
      </c>
      <c r="J462" s="1032" t="s">
        <v>96</v>
      </c>
      <c r="M462" s="1032" t="s">
        <v>68</v>
      </c>
      <c r="N462" s="1032">
        <v>46111</v>
      </c>
      <c r="O462" s="1032" t="s">
        <v>70</v>
      </c>
      <c r="P462" s="1032" t="s">
        <v>195</v>
      </c>
      <c r="Q462" s="1032" t="s">
        <v>196</v>
      </c>
      <c r="R462" s="1032" t="s">
        <v>73</v>
      </c>
      <c r="S462" s="1032" t="s">
        <v>967</v>
      </c>
      <c r="T462" s="1032">
        <v>450</v>
      </c>
      <c r="U462" s="1032">
        <v>1872</v>
      </c>
      <c r="V462" s="1032">
        <v>0.84240000000000004</v>
      </c>
      <c r="W462" s="1032">
        <v>52</v>
      </c>
      <c r="X462" s="1032">
        <v>2</v>
      </c>
      <c r="Y462" s="1032" t="s">
        <v>951</v>
      </c>
      <c r="Z462" s="1032" t="s">
        <v>75</v>
      </c>
      <c r="AA462" s="1032" t="s">
        <v>2038</v>
      </c>
      <c r="AB462" s="1033">
        <v>46130</v>
      </c>
      <c r="AC462" s="1032">
        <v>16</v>
      </c>
      <c r="AD462" s="1032" t="s">
        <v>2246</v>
      </c>
      <c r="AF462" s="1032" t="s">
        <v>1891</v>
      </c>
      <c r="AG462" s="1032" t="s">
        <v>123</v>
      </c>
      <c r="AH462" s="1032" t="s">
        <v>456</v>
      </c>
      <c r="AI462" s="1033">
        <v>46132</v>
      </c>
      <c r="AJ462" s="1033">
        <v>46133</v>
      </c>
      <c r="AK462" s="1033">
        <v>46134</v>
      </c>
      <c r="AL462" s="1033">
        <v>46183</v>
      </c>
      <c r="AM462" s="1033">
        <v>46189</v>
      </c>
      <c r="AN462" s="1033">
        <v>46191</v>
      </c>
      <c r="AO462" s="1032" t="s">
        <v>402</v>
      </c>
      <c r="AP462" s="1032" t="s">
        <v>2247</v>
      </c>
      <c r="AQ462" s="1032" t="s">
        <v>161</v>
      </c>
      <c r="AR462" s="1032" t="s">
        <v>2248</v>
      </c>
      <c r="AS462" s="1032" t="s">
        <v>2249</v>
      </c>
      <c r="AT462" s="1032" t="s">
        <v>2250</v>
      </c>
      <c r="AU462" s="1032">
        <v>57</v>
      </c>
      <c r="AW462" s="1033">
        <v>46191</v>
      </c>
      <c r="AX462" s="1032" t="s">
        <v>973</v>
      </c>
      <c r="AY462" s="1033">
        <v>46203</v>
      </c>
      <c r="AZ462" s="1032">
        <v>7</v>
      </c>
      <c r="BA462" s="1033">
        <v>46198</v>
      </c>
      <c r="BB462" s="1032">
        <v>2026</v>
      </c>
      <c r="BC462" s="1032">
        <v>6</v>
      </c>
      <c r="BD462" s="1032">
        <v>26</v>
      </c>
      <c r="BE462" s="1032">
        <v>36</v>
      </c>
      <c r="BF462" s="1032">
        <v>936</v>
      </c>
      <c r="BG462" s="1032" t="s">
        <v>85</v>
      </c>
      <c r="BH462" s="1032" t="s">
        <v>109</v>
      </c>
    </row>
    <row r="463" spans="1:60">
      <c r="A463" s="1032" t="s">
        <v>2251</v>
      </c>
      <c r="B463" s="1032" t="s">
        <v>1888</v>
      </c>
      <c r="C463" s="1032" t="s">
        <v>1016</v>
      </c>
      <c r="D463" s="1032" t="s">
        <v>63</v>
      </c>
      <c r="E463" s="1032" t="s">
        <v>144</v>
      </c>
      <c r="F463" s="1032" t="s">
        <v>145</v>
      </c>
      <c r="G463" s="1032" t="s">
        <v>402</v>
      </c>
      <c r="H463" s="1032" t="s">
        <v>1080</v>
      </c>
      <c r="I463" s="1032" t="s">
        <v>689</v>
      </c>
      <c r="J463" s="1032" t="s">
        <v>2252</v>
      </c>
      <c r="K463" s="1032" t="s">
        <v>2253</v>
      </c>
      <c r="L463" s="1032">
        <v>1</v>
      </c>
      <c r="M463" s="1032" t="s">
        <v>840</v>
      </c>
      <c r="N463" s="1032">
        <v>46111</v>
      </c>
      <c r="O463" s="1032" t="s">
        <v>70</v>
      </c>
      <c r="P463" s="1032" t="s">
        <v>195</v>
      </c>
      <c r="Q463" s="1032" t="s">
        <v>196</v>
      </c>
      <c r="R463" s="1032" t="s">
        <v>73</v>
      </c>
      <c r="S463" s="1032" t="s">
        <v>967</v>
      </c>
      <c r="T463" s="1032">
        <v>450</v>
      </c>
      <c r="U463" s="1032">
        <v>1872</v>
      </c>
      <c r="V463" s="1032">
        <v>0.84240000000000004</v>
      </c>
      <c r="W463" s="1032">
        <v>52</v>
      </c>
      <c r="X463" s="1032">
        <v>2</v>
      </c>
      <c r="Y463" s="1032" t="s">
        <v>951</v>
      </c>
      <c r="Z463" s="1032" t="s">
        <v>75</v>
      </c>
      <c r="AA463" s="1032" t="s">
        <v>2038</v>
      </c>
      <c r="AB463" s="1033">
        <v>46132</v>
      </c>
      <c r="AC463" s="1032">
        <v>17</v>
      </c>
      <c r="AD463" s="1032" t="s">
        <v>2254</v>
      </c>
      <c r="AF463" s="1032" t="s">
        <v>1891</v>
      </c>
      <c r="AG463" s="1032" t="s">
        <v>123</v>
      </c>
      <c r="AH463" s="1032" t="s">
        <v>1084</v>
      </c>
      <c r="AI463" s="1033">
        <v>46137</v>
      </c>
      <c r="AJ463" s="1033">
        <v>46137</v>
      </c>
      <c r="AK463" s="1033">
        <v>46138</v>
      </c>
      <c r="AL463" s="1033">
        <v>46182</v>
      </c>
      <c r="AM463" s="1033">
        <v>46182</v>
      </c>
      <c r="AN463" s="1033">
        <v>46193</v>
      </c>
      <c r="AO463" s="1032" t="s">
        <v>402</v>
      </c>
      <c r="AP463" s="1032" t="s">
        <v>2255</v>
      </c>
      <c r="AQ463" s="1032" t="s">
        <v>161</v>
      </c>
      <c r="AR463" s="1032" t="s">
        <v>2256</v>
      </c>
      <c r="AS463" s="1032" t="s">
        <v>2257</v>
      </c>
      <c r="AT463" s="1032" t="s">
        <v>2258</v>
      </c>
      <c r="AU463" s="1032">
        <v>55</v>
      </c>
      <c r="AW463" s="1033">
        <v>46193</v>
      </c>
      <c r="AX463" s="1032" t="s">
        <v>973</v>
      </c>
      <c r="AY463" s="1033">
        <v>46177</v>
      </c>
      <c r="AZ463" s="1032">
        <v>0</v>
      </c>
      <c r="BA463" s="1033">
        <v>46193</v>
      </c>
      <c r="BB463" s="1032">
        <v>2026</v>
      </c>
      <c r="BC463" s="1032">
        <v>6</v>
      </c>
      <c r="BD463" s="1032">
        <v>25</v>
      </c>
      <c r="BE463" s="1032">
        <v>36</v>
      </c>
      <c r="BF463" s="1032">
        <v>936</v>
      </c>
      <c r="BG463" s="1032" t="s">
        <v>85</v>
      </c>
      <c r="BH463" s="1032" t="s">
        <v>109</v>
      </c>
    </row>
    <row r="464" spans="1:60">
      <c r="A464" s="1032" t="s">
        <v>2259</v>
      </c>
      <c r="B464" s="1032" t="s">
        <v>61</v>
      </c>
      <c r="C464" s="1032" t="s">
        <v>2260</v>
      </c>
      <c r="D464" s="1032" t="s">
        <v>63</v>
      </c>
      <c r="E464" s="1032" t="s">
        <v>64</v>
      </c>
      <c r="F464" s="1032" t="s">
        <v>450</v>
      </c>
      <c r="G464" s="1032" t="s">
        <v>402</v>
      </c>
      <c r="H464" s="1032" t="s">
        <v>451</v>
      </c>
      <c r="I464" s="1032" t="s">
        <v>869</v>
      </c>
      <c r="J464" s="1032" t="s">
        <v>1832</v>
      </c>
      <c r="M464" s="1032" t="s">
        <v>68</v>
      </c>
      <c r="N464" s="1032" t="s">
        <v>68</v>
      </c>
      <c r="O464" s="1032" t="s">
        <v>70</v>
      </c>
      <c r="P464" s="1032" t="s">
        <v>1151</v>
      </c>
      <c r="Q464" s="1032" t="s">
        <v>421</v>
      </c>
      <c r="R464" s="1032" t="s">
        <v>73</v>
      </c>
      <c r="S464" s="1032" t="s">
        <v>967</v>
      </c>
      <c r="T464" s="1032">
        <v>505</v>
      </c>
      <c r="U464" s="1032">
        <v>4320</v>
      </c>
      <c r="V464" s="1032">
        <v>2.1816</v>
      </c>
      <c r="W464" s="1032">
        <v>120</v>
      </c>
      <c r="X464" s="1032">
        <v>5</v>
      </c>
      <c r="Y464" s="1032" t="s">
        <v>951</v>
      </c>
      <c r="Z464" s="1032" t="s">
        <v>75</v>
      </c>
      <c r="AA464" s="1032" t="s">
        <v>2261</v>
      </c>
      <c r="AB464" s="1033">
        <v>46130</v>
      </c>
      <c r="AC464" s="1032">
        <v>16</v>
      </c>
      <c r="AD464" s="1032" t="s">
        <v>2262</v>
      </c>
      <c r="AF464" s="1032" t="s">
        <v>61</v>
      </c>
      <c r="AG464" s="1032" t="s">
        <v>61</v>
      </c>
      <c r="AH464" s="1032" t="s">
        <v>456</v>
      </c>
      <c r="AI464" s="1033">
        <v>46137</v>
      </c>
      <c r="AJ464" s="1033">
        <v>46137</v>
      </c>
      <c r="AK464" s="1033">
        <v>46137</v>
      </c>
      <c r="AL464" s="1033">
        <v>46187</v>
      </c>
      <c r="AM464" s="1033">
        <v>46193</v>
      </c>
      <c r="AN464" s="1033">
        <v>46195</v>
      </c>
      <c r="AO464" s="1032" t="s">
        <v>402</v>
      </c>
      <c r="AP464" s="1032" t="s">
        <v>2263</v>
      </c>
      <c r="AQ464" s="1032" t="s">
        <v>161</v>
      </c>
      <c r="AR464" s="1032" t="s">
        <v>2264</v>
      </c>
      <c r="AS464" s="1032" t="s">
        <v>2265</v>
      </c>
      <c r="AT464" s="1032" t="s">
        <v>2266</v>
      </c>
      <c r="AU464" s="1032">
        <v>58</v>
      </c>
      <c r="AW464" s="1033">
        <v>46195</v>
      </c>
      <c r="AX464" s="1032" t="s">
        <v>973</v>
      </c>
      <c r="AY464" s="1033">
        <v>46205</v>
      </c>
      <c r="AZ464" s="1032">
        <v>7</v>
      </c>
      <c r="BA464" s="1033">
        <v>46202</v>
      </c>
      <c r="BB464" s="1032">
        <v>2026</v>
      </c>
      <c r="BC464" s="1032">
        <v>6</v>
      </c>
      <c r="BD464" s="1032">
        <v>27</v>
      </c>
      <c r="BE464" s="1032">
        <v>36</v>
      </c>
      <c r="BF464" s="1032">
        <v>864</v>
      </c>
      <c r="BG464" s="1032" t="s">
        <v>85</v>
      </c>
      <c r="BH464" s="1032" t="s">
        <v>109</v>
      </c>
    </row>
    <row r="465" spans="1:60">
      <c r="A465" s="1032" t="s">
        <v>2267</v>
      </c>
      <c r="B465" s="1032" t="s">
        <v>61</v>
      </c>
      <c r="C465" s="1032" t="s">
        <v>2268</v>
      </c>
      <c r="D465" s="1032" t="s">
        <v>63</v>
      </c>
      <c r="E465" s="1032" t="s">
        <v>64</v>
      </c>
      <c r="F465" s="1032" t="s">
        <v>100</v>
      </c>
      <c r="G465" s="1032" t="s">
        <v>402</v>
      </c>
      <c r="H465" s="1032" t="s">
        <v>67</v>
      </c>
      <c r="I465" s="1032" t="s">
        <v>1395</v>
      </c>
      <c r="J465" s="1032" t="s">
        <v>578</v>
      </c>
      <c r="M465" s="1032" t="s">
        <v>68</v>
      </c>
      <c r="N465" s="1032" t="s">
        <v>68</v>
      </c>
      <c r="O465" s="1032" t="s">
        <v>70</v>
      </c>
      <c r="P465" s="1032" t="s">
        <v>71</v>
      </c>
      <c r="Q465" s="1032" t="s">
        <v>72</v>
      </c>
      <c r="R465" s="1032" t="s">
        <v>73</v>
      </c>
      <c r="S465" s="1032" t="s">
        <v>967</v>
      </c>
      <c r="T465" s="1032">
        <v>500</v>
      </c>
      <c r="U465" s="1032">
        <v>5184</v>
      </c>
      <c r="V465" s="1032">
        <v>2.5920000000000001</v>
      </c>
      <c r="W465" s="1032">
        <v>144</v>
      </c>
      <c r="X465" s="1032">
        <v>6</v>
      </c>
      <c r="Y465" s="1032" t="s">
        <v>951</v>
      </c>
      <c r="Z465" s="1032" t="s">
        <v>75</v>
      </c>
      <c r="AA465" s="1032" t="s">
        <v>2269</v>
      </c>
      <c r="AB465" s="1033">
        <v>46133</v>
      </c>
      <c r="AC465" s="1032">
        <v>17</v>
      </c>
      <c r="AD465" s="1032" t="s">
        <v>2270</v>
      </c>
      <c r="AF465" s="1032" t="s">
        <v>77</v>
      </c>
      <c r="AG465" s="1032" t="s">
        <v>61</v>
      </c>
      <c r="AH465" s="1032" t="s">
        <v>105</v>
      </c>
      <c r="AI465" s="1033">
        <v>46138</v>
      </c>
      <c r="AJ465" s="1033">
        <v>46138</v>
      </c>
      <c r="AK465" s="1033">
        <v>46138</v>
      </c>
      <c r="AL465" s="1033">
        <v>46186</v>
      </c>
      <c r="AM465" s="1033">
        <v>46186</v>
      </c>
      <c r="AN465" s="1033">
        <v>46189</v>
      </c>
      <c r="AO465" s="1032" t="s">
        <v>402</v>
      </c>
      <c r="AP465" s="1032" t="s">
        <v>2271</v>
      </c>
      <c r="AQ465" s="1032" t="s">
        <v>161</v>
      </c>
      <c r="AR465" s="1032" t="s">
        <v>2272</v>
      </c>
      <c r="AS465" s="1032" t="s">
        <v>2273</v>
      </c>
      <c r="AT465" s="1032" t="s">
        <v>2273</v>
      </c>
      <c r="AU465" s="1032">
        <v>51</v>
      </c>
      <c r="AW465" s="1033">
        <v>46189</v>
      </c>
      <c r="AX465" s="1032" t="s">
        <v>973</v>
      </c>
      <c r="AY465" s="1033">
        <v>46201</v>
      </c>
      <c r="AZ465" s="1032">
        <v>7</v>
      </c>
      <c r="BA465" s="1033">
        <v>46196</v>
      </c>
      <c r="BB465" s="1032">
        <v>2026</v>
      </c>
      <c r="BC465" s="1032">
        <v>6</v>
      </c>
      <c r="BD465" s="1032">
        <v>26</v>
      </c>
      <c r="BE465" s="1032">
        <v>36</v>
      </c>
      <c r="BF465" s="1032">
        <v>864</v>
      </c>
      <c r="BG465" s="1032" t="s">
        <v>85</v>
      </c>
      <c r="BH465" s="1032" t="s">
        <v>109</v>
      </c>
    </row>
    <row r="466" spans="1:60">
      <c r="A466" s="1032" t="s">
        <v>2274</v>
      </c>
      <c r="B466" s="1032" t="s">
        <v>61</v>
      </c>
      <c r="C466" s="1032" t="s">
        <v>2260</v>
      </c>
      <c r="D466" s="1032" t="s">
        <v>63</v>
      </c>
      <c r="E466" s="1032" t="s">
        <v>64</v>
      </c>
      <c r="F466" s="1032" t="s">
        <v>100</v>
      </c>
      <c r="G466" s="1032" t="s">
        <v>402</v>
      </c>
      <c r="H466" s="1032" t="s">
        <v>67</v>
      </c>
      <c r="I466" s="1032" t="s">
        <v>882</v>
      </c>
      <c r="J466" s="1032" t="s">
        <v>96</v>
      </c>
      <c r="M466" s="1032" t="s">
        <v>68</v>
      </c>
      <c r="N466" s="1032" t="s">
        <v>68</v>
      </c>
      <c r="O466" s="1032" t="s">
        <v>70</v>
      </c>
      <c r="P466" s="1032" t="s">
        <v>1151</v>
      </c>
      <c r="Q466" s="1032" t="s">
        <v>421</v>
      </c>
      <c r="R466" s="1032" t="s">
        <v>73</v>
      </c>
      <c r="S466" s="1032" t="s">
        <v>967</v>
      </c>
      <c r="T466" s="1032">
        <v>505</v>
      </c>
      <c r="U466" s="1032">
        <v>4320</v>
      </c>
      <c r="V466" s="1032">
        <v>2.1816</v>
      </c>
      <c r="W466" s="1032">
        <v>120</v>
      </c>
      <c r="X466" s="1032">
        <v>5</v>
      </c>
      <c r="Y466" s="1032" t="s">
        <v>951</v>
      </c>
      <c r="Z466" s="1032" t="s">
        <v>75</v>
      </c>
      <c r="AA466" s="1032" t="s">
        <v>2275</v>
      </c>
      <c r="AB466" s="1033">
        <v>46133</v>
      </c>
      <c r="AC466" s="1032">
        <v>17</v>
      </c>
      <c r="AD466" s="1032" t="s">
        <v>2276</v>
      </c>
      <c r="AF466" s="1032" t="s">
        <v>61</v>
      </c>
      <c r="AG466" s="1032" t="s">
        <v>61</v>
      </c>
      <c r="AH466" s="1032" t="s">
        <v>105</v>
      </c>
      <c r="AI466" s="1033">
        <v>46138</v>
      </c>
      <c r="AJ466" s="1033">
        <v>46138</v>
      </c>
      <c r="AK466" s="1033">
        <v>46138</v>
      </c>
      <c r="AL466" s="1033">
        <v>46182</v>
      </c>
      <c r="AM466" s="1033">
        <v>46185</v>
      </c>
      <c r="AN466" s="1033">
        <v>46189</v>
      </c>
      <c r="AO466" s="1032" t="s">
        <v>402</v>
      </c>
      <c r="AP466" s="1032" t="s">
        <v>2227</v>
      </c>
      <c r="AQ466" s="1032" t="s">
        <v>80</v>
      </c>
      <c r="AR466" s="1032" t="s">
        <v>2277</v>
      </c>
      <c r="AS466" s="1032" t="s">
        <v>2278</v>
      </c>
      <c r="AT466" s="1032" t="s">
        <v>2278</v>
      </c>
      <c r="AU466" s="1032">
        <v>51</v>
      </c>
      <c r="AW466" s="1033">
        <v>46189</v>
      </c>
      <c r="AX466" s="1032" t="s">
        <v>973</v>
      </c>
      <c r="AY466" s="1033">
        <v>46202</v>
      </c>
      <c r="AZ466" s="1032">
        <v>7</v>
      </c>
      <c r="BA466" s="1033">
        <v>46196</v>
      </c>
      <c r="BB466" s="1032">
        <v>2026</v>
      </c>
      <c r="BC466" s="1032">
        <v>6</v>
      </c>
      <c r="BD466" s="1032">
        <v>26</v>
      </c>
      <c r="BE466" s="1032">
        <v>36</v>
      </c>
      <c r="BF466" s="1032">
        <v>864</v>
      </c>
      <c r="BG466" s="1032" t="s">
        <v>85</v>
      </c>
      <c r="BH466" s="1032" t="s">
        <v>109</v>
      </c>
    </row>
    <row r="467" spans="1:60">
      <c r="A467" s="1032" t="s">
        <v>2279</v>
      </c>
      <c r="B467" s="1032" t="s">
        <v>61</v>
      </c>
      <c r="C467" s="1032" t="s">
        <v>2260</v>
      </c>
      <c r="D467" s="1032" t="s">
        <v>63</v>
      </c>
      <c r="E467" s="1032" t="s">
        <v>64</v>
      </c>
      <c r="F467" s="1032" t="s">
        <v>100</v>
      </c>
      <c r="G467" s="1032" t="s">
        <v>402</v>
      </c>
      <c r="H467" s="1032" t="s">
        <v>67</v>
      </c>
      <c r="I467" s="1032" t="s">
        <v>882</v>
      </c>
      <c r="J467" s="1032" t="s">
        <v>96</v>
      </c>
      <c r="M467" s="1032" t="s">
        <v>68</v>
      </c>
      <c r="N467" s="1032" t="s">
        <v>68</v>
      </c>
      <c r="O467" s="1032" t="s">
        <v>70</v>
      </c>
      <c r="P467" s="1032" t="s">
        <v>1151</v>
      </c>
      <c r="Q467" s="1032" t="s">
        <v>421</v>
      </c>
      <c r="R467" s="1032" t="s">
        <v>73</v>
      </c>
      <c r="S467" s="1032" t="s">
        <v>967</v>
      </c>
      <c r="T467" s="1032">
        <v>505</v>
      </c>
      <c r="U467" s="1032">
        <v>5184</v>
      </c>
      <c r="V467" s="1032">
        <v>2.6179199999999998</v>
      </c>
      <c r="W467" s="1032">
        <v>144</v>
      </c>
      <c r="X467" s="1032">
        <v>6</v>
      </c>
      <c r="Y467" s="1032" t="s">
        <v>951</v>
      </c>
      <c r="Z467" s="1032" t="s">
        <v>75</v>
      </c>
      <c r="AA467" s="1032" t="s">
        <v>2183</v>
      </c>
      <c r="AB467" s="1033">
        <v>46135</v>
      </c>
      <c r="AC467" s="1032">
        <v>17</v>
      </c>
      <c r="AD467" s="1032" t="s">
        <v>2280</v>
      </c>
      <c r="AF467" s="1032" t="s">
        <v>61</v>
      </c>
      <c r="AG467" s="1032" t="s">
        <v>61</v>
      </c>
      <c r="AH467" s="1032" t="s">
        <v>105</v>
      </c>
      <c r="AI467" s="1033">
        <v>46139</v>
      </c>
      <c r="AJ467" s="1033">
        <v>46141</v>
      </c>
      <c r="AK467" s="1033">
        <v>46140</v>
      </c>
      <c r="AL467" s="1033">
        <v>46207</v>
      </c>
      <c r="AM467" s="1033">
        <v>46200</v>
      </c>
      <c r="AN467" s="1033">
        <v>46200</v>
      </c>
      <c r="AO467" s="1032" t="s">
        <v>402</v>
      </c>
      <c r="AP467" s="1032" t="s">
        <v>2281</v>
      </c>
      <c r="AQ467" s="1032" t="s">
        <v>161</v>
      </c>
      <c r="AR467" s="1032" t="s">
        <v>2282</v>
      </c>
      <c r="AS467" s="1032" t="s">
        <v>2283</v>
      </c>
      <c r="AT467" s="1032" t="s">
        <v>2284</v>
      </c>
      <c r="AU467" s="1032">
        <v>60</v>
      </c>
      <c r="AW467" s="1033">
        <v>46200</v>
      </c>
      <c r="AX467" s="1032" t="s">
        <v>973</v>
      </c>
      <c r="AY467" s="1033">
        <v>46212</v>
      </c>
      <c r="AZ467" s="1032">
        <v>7</v>
      </c>
      <c r="BA467" s="1033">
        <v>46207</v>
      </c>
      <c r="BB467" s="1032">
        <v>2026</v>
      </c>
      <c r="BC467" s="1032">
        <v>7</v>
      </c>
      <c r="BD467" s="1032">
        <v>27</v>
      </c>
      <c r="BE467" s="1032">
        <v>36</v>
      </c>
      <c r="BF467" s="1032">
        <v>864</v>
      </c>
      <c r="BG467" s="1032" t="s">
        <v>85</v>
      </c>
      <c r="BH467" s="1032" t="s">
        <v>109</v>
      </c>
    </row>
    <row r="468" spans="1:60">
      <c r="A468" s="1032" t="s">
        <v>2285</v>
      </c>
      <c r="B468" s="1032" t="s">
        <v>61</v>
      </c>
      <c r="C468" s="1032" t="s">
        <v>2286</v>
      </c>
      <c r="D468" s="1032" t="s">
        <v>63</v>
      </c>
      <c r="E468" s="1032" t="s">
        <v>144</v>
      </c>
      <c r="F468" s="1032" t="s">
        <v>145</v>
      </c>
      <c r="G468" s="1032" t="s">
        <v>402</v>
      </c>
      <c r="H468" s="1032" t="s">
        <v>67</v>
      </c>
      <c r="I468" s="1032" t="s">
        <v>689</v>
      </c>
      <c r="J468" s="1032" t="s">
        <v>2287</v>
      </c>
      <c r="K468" s="1032" t="s">
        <v>2288</v>
      </c>
      <c r="M468" s="1032" t="s">
        <v>840</v>
      </c>
      <c r="N468" s="1032">
        <v>46125</v>
      </c>
      <c r="O468" s="1032" t="s">
        <v>70</v>
      </c>
      <c r="P468" s="1032" t="s">
        <v>195</v>
      </c>
      <c r="Q468" s="1032" t="s">
        <v>196</v>
      </c>
      <c r="R468" s="1032" t="s">
        <v>73</v>
      </c>
      <c r="S468" s="1032" t="s">
        <v>967</v>
      </c>
      <c r="T468" s="1032">
        <v>450</v>
      </c>
      <c r="U468" s="1032">
        <v>2808</v>
      </c>
      <c r="V468" s="1032">
        <v>1.2636000000000001</v>
      </c>
      <c r="W468" s="1032">
        <v>78</v>
      </c>
      <c r="X468" s="1032">
        <v>3</v>
      </c>
      <c r="Y468" s="1032" t="s">
        <v>951</v>
      </c>
      <c r="Z468" s="1032" t="s">
        <v>75</v>
      </c>
      <c r="AB468" s="1033">
        <v>46135</v>
      </c>
      <c r="AC468" s="1032">
        <v>17</v>
      </c>
      <c r="AD468" s="1032" t="s">
        <v>2289</v>
      </c>
      <c r="AF468" s="1032" t="s">
        <v>77</v>
      </c>
      <c r="AG468" s="1032" t="s">
        <v>61</v>
      </c>
      <c r="AH468" s="1032" t="s">
        <v>105</v>
      </c>
      <c r="AI468" s="1033">
        <v>46139</v>
      </c>
      <c r="AJ468" s="1033">
        <v>46141</v>
      </c>
      <c r="AK468" s="1033">
        <v>46140</v>
      </c>
      <c r="AL468" s="1033">
        <v>46207</v>
      </c>
      <c r="AM468" s="1033">
        <v>46200</v>
      </c>
      <c r="AN468" s="1033">
        <v>46200</v>
      </c>
      <c r="AO468" s="1032" t="s">
        <v>402</v>
      </c>
      <c r="AP468" s="1032" t="s">
        <v>2281</v>
      </c>
      <c r="AQ468" s="1032" t="s">
        <v>161</v>
      </c>
      <c r="AR468" s="1032" t="s">
        <v>2290</v>
      </c>
      <c r="AS468" s="1032" t="s">
        <v>2291</v>
      </c>
      <c r="AT468" s="1032" t="s">
        <v>2292</v>
      </c>
      <c r="AU468" s="1032">
        <v>60</v>
      </c>
      <c r="AW468" s="1033">
        <v>46200</v>
      </c>
      <c r="AX468" s="1032" t="s">
        <v>973</v>
      </c>
      <c r="AY468" s="1033">
        <v>46212</v>
      </c>
      <c r="AZ468" s="1032">
        <v>0</v>
      </c>
      <c r="BA468" s="1033">
        <v>46200</v>
      </c>
      <c r="BB468" s="1032">
        <v>2026</v>
      </c>
      <c r="BC468" s="1032">
        <v>6</v>
      </c>
      <c r="BD468" s="1032">
        <v>26</v>
      </c>
      <c r="BE468" s="1032">
        <v>36</v>
      </c>
      <c r="BF468" s="1032">
        <v>936</v>
      </c>
      <c r="BG468" s="1032" t="s">
        <v>85</v>
      </c>
      <c r="BH468" s="1032" t="s">
        <v>109</v>
      </c>
    </row>
    <row r="469" spans="1:60">
      <c r="A469" s="1032" t="s">
        <v>2293</v>
      </c>
      <c r="B469" s="1032" t="s">
        <v>61</v>
      </c>
      <c r="C469" s="1032" t="s">
        <v>2286</v>
      </c>
      <c r="D469" s="1032" t="s">
        <v>63</v>
      </c>
      <c r="E469" s="1032" t="s">
        <v>64</v>
      </c>
      <c r="F469" s="1032" t="s">
        <v>100</v>
      </c>
      <c r="G469" s="1032" t="s">
        <v>402</v>
      </c>
      <c r="H469" s="1032" t="s">
        <v>67</v>
      </c>
      <c r="I469" s="1032" t="s">
        <v>689</v>
      </c>
      <c r="J469" s="1032" t="s">
        <v>96</v>
      </c>
      <c r="M469" s="1032" t="s">
        <v>68</v>
      </c>
      <c r="N469" s="1032">
        <v>46125</v>
      </c>
      <c r="O469" s="1032" t="s">
        <v>70</v>
      </c>
      <c r="P469" s="1032" t="s">
        <v>195</v>
      </c>
      <c r="Q469" s="1032" t="s">
        <v>196</v>
      </c>
      <c r="R469" s="1032" t="s">
        <v>73</v>
      </c>
      <c r="S469" s="1032" t="s">
        <v>967</v>
      </c>
      <c r="T469" s="1032">
        <v>450</v>
      </c>
      <c r="U469" s="1032">
        <v>11232</v>
      </c>
      <c r="V469" s="1032">
        <v>5.0544000000000002</v>
      </c>
      <c r="W469" s="1032">
        <v>312</v>
      </c>
      <c r="X469" s="1032">
        <v>12</v>
      </c>
      <c r="Y469" s="1032" t="s">
        <v>951</v>
      </c>
      <c r="Z469" s="1032" t="s">
        <v>75</v>
      </c>
      <c r="AB469" s="1033">
        <v>46135</v>
      </c>
      <c r="AC469" s="1032">
        <v>17</v>
      </c>
      <c r="AD469" s="1032" t="s">
        <v>2294</v>
      </c>
      <c r="AF469" s="1032" t="s">
        <v>77</v>
      </c>
      <c r="AG469" s="1032" t="s">
        <v>61</v>
      </c>
      <c r="AH469" s="1032" t="s">
        <v>105</v>
      </c>
      <c r="AI469" s="1033">
        <v>46139</v>
      </c>
      <c r="AJ469" s="1033">
        <v>46141</v>
      </c>
      <c r="AK469" s="1033">
        <v>46140</v>
      </c>
      <c r="AL469" s="1033">
        <v>46207</v>
      </c>
      <c r="AM469" s="1033">
        <v>46200</v>
      </c>
      <c r="AN469" s="1033">
        <v>46200</v>
      </c>
      <c r="AO469" s="1032" t="s">
        <v>402</v>
      </c>
      <c r="AP469" s="1032" t="s">
        <v>2281</v>
      </c>
      <c r="AQ469" s="1032" t="s">
        <v>161</v>
      </c>
      <c r="AR469" s="1032" t="s">
        <v>2290</v>
      </c>
      <c r="AS469" s="1032" t="s">
        <v>2295</v>
      </c>
      <c r="AT469" s="1032" t="s">
        <v>2292</v>
      </c>
      <c r="AU469" s="1032">
        <v>60</v>
      </c>
      <c r="AW469" s="1033">
        <v>46200</v>
      </c>
      <c r="AX469" s="1032" t="s">
        <v>973</v>
      </c>
      <c r="AY469" s="1033">
        <v>46212</v>
      </c>
      <c r="AZ469" s="1032">
        <v>7</v>
      </c>
      <c r="BA469" s="1033">
        <v>46207</v>
      </c>
      <c r="BB469" s="1032">
        <v>2026</v>
      </c>
      <c r="BC469" s="1032">
        <v>7</v>
      </c>
      <c r="BD469" s="1032">
        <v>27</v>
      </c>
      <c r="BE469" s="1032">
        <v>36</v>
      </c>
      <c r="BF469" s="1032">
        <v>936</v>
      </c>
      <c r="BG469" s="1032" t="s">
        <v>85</v>
      </c>
      <c r="BH469" s="1032" t="s">
        <v>109</v>
      </c>
    </row>
    <row r="470" spans="1:60">
      <c r="A470" s="1032" t="s">
        <v>2296</v>
      </c>
      <c r="B470" s="1032" t="s">
        <v>111</v>
      </c>
      <c r="C470" s="1032" t="s">
        <v>2297</v>
      </c>
      <c r="D470" s="1032" t="s">
        <v>113</v>
      </c>
      <c r="E470" s="1032" t="s">
        <v>64</v>
      </c>
      <c r="F470" s="1032">
        <v>0</v>
      </c>
      <c r="G470" s="1032" t="s">
        <v>402</v>
      </c>
      <c r="H470" s="1032" t="s">
        <v>451</v>
      </c>
      <c r="I470" s="1032" t="s">
        <v>822</v>
      </c>
      <c r="J470" s="1032" t="s">
        <v>2298</v>
      </c>
      <c r="M470" s="1032" t="s">
        <v>68</v>
      </c>
      <c r="N470" s="1032">
        <v>46132</v>
      </c>
      <c r="O470" s="1032" t="s">
        <v>70</v>
      </c>
      <c r="P470" s="1032" t="s">
        <v>2299</v>
      </c>
      <c r="Q470" s="1032" t="s">
        <v>1682</v>
      </c>
      <c r="R470" s="1032" t="s">
        <v>73</v>
      </c>
      <c r="S470" s="1032" t="s">
        <v>1808</v>
      </c>
      <c r="T470" s="1032">
        <v>730</v>
      </c>
      <c r="U470" s="1032">
        <v>4752</v>
      </c>
      <c r="V470" s="1032">
        <v>3.46896</v>
      </c>
      <c r="W470" s="1032">
        <v>144</v>
      </c>
      <c r="X470" s="1032">
        <v>8</v>
      </c>
      <c r="Y470" s="1032" t="s">
        <v>951</v>
      </c>
      <c r="Z470" s="1032" t="s">
        <v>75</v>
      </c>
      <c r="AA470" s="1032" t="s">
        <v>2269</v>
      </c>
      <c r="AB470" s="1033">
        <v>46138</v>
      </c>
      <c r="AC470" s="1032">
        <v>17</v>
      </c>
      <c r="AD470" s="1032" t="s">
        <v>2300</v>
      </c>
      <c r="AF470" s="1032" t="s">
        <v>122</v>
      </c>
      <c r="AG470" s="1032" t="s">
        <v>123</v>
      </c>
      <c r="AH470" s="1032" t="s">
        <v>2301</v>
      </c>
      <c r="AI470" s="1033">
        <v>46144</v>
      </c>
      <c r="AJ470" s="1033">
        <v>46144</v>
      </c>
      <c r="AK470" s="1033">
        <v>46144</v>
      </c>
      <c r="AL470" s="1033">
        <v>46197</v>
      </c>
      <c r="AM470" s="1033">
        <v>46214</v>
      </c>
      <c r="AN470" s="1033">
        <v>46213</v>
      </c>
      <c r="AO470" s="1032" t="s">
        <v>402</v>
      </c>
      <c r="AP470" s="1032" t="s">
        <v>2302</v>
      </c>
      <c r="AQ470" s="1032" t="s">
        <v>161</v>
      </c>
      <c r="AR470" s="1032" t="s">
        <v>2303</v>
      </c>
      <c r="AS470" s="1032" t="s">
        <v>2304</v>
      </c>
      <c r="AT470" s="1032" t="s">
        <v>2305</v>
      </c>
      <c r="AU470" s="1032">
        <v>69</v>
      </c>
      <c r="AW470" s="1033">
        <v>46213</v>
      </c>
      <c r="AX470" s="1032" t="s">
        <v>973</v>
      </c>
      <c r="AY470" s="1033">
        <v>46230</v>
      </c>
      <c r="AZ470" s="1032">
        <v>7</v>
      </c>
      <c r="BA470" s="1033">
        <v>46220</v>
      </c>
      <c r="BB470" s="1032">
        <v>2026</v>
      </c>
      <c r="BC470" s="1032">
        <v>7</v>
      </c>
      <c r="BD470" s="1032">
        <v>29</v>
      </c>
      <c r="BE470" s="1032">
        <v>33</v>
      </c>
      <c r="BF470" s="1032">
        <v>594</v>
      </c>
      <c r="BG470" s="1032" t="s">
        <v>94</v>
      </c>
      <c r="BH470" s="1032" t="s">
        <v>109</v>
      </c>
    </row>
    <row r="471" spans="1:60">
      <c r="A471" s="1032" t="s">
        <v>2306</v>
      </c>
      <c r="B471" s="1032" t="s">
        <v>111</v>
      </c>
      <c r="C471" s="1032" t="s">
        <v>2307</v>
      </c>
      <c r="D471" s="1032" t="s">
        <v>113</v>
      </c>
      <c r="E471" s="1032" t="s">
        <v>64</v>
      </c>
      <c r="F471" s="1032">
        <v>0</v>
      </c>
      <c r="G471" s="1032" t="s">
        <v>402</v>
      </c>
      <c r="H471" s="1032" t="s">
        <v>451</v>
      </c>
      <c r="I471" s="1032" t="s">
        <v>822</v>
      </c>
      <c r="J471" s="1032" t="s">
        <v>2298</v>
      </c>
      <c r="M471" s="1032" t="s">
        <v>68</v>
      </c>
      <c r="N471" s="1032">
        <v>46132</v>
      </c>
      <c r="O471" s="1032" t="s">
        <v>70</v>
      </c>
      <c r="P471" s="1032" t="s">
        <v>2308</v>
      </c>
      <c r="Q471" s="1032" t="s">
        <v>1484</v>
      </c>
      <c r="R471" s="1032" t="s">
        <v>73</v>
      </c>
      <c r="S471" s="1032" t="s">
        <v>1808</v>
      </c>
      <c r="T471" s="1032">
        <v>725</v>
      </c>
      <c r="U471" s="1032">
        <v>1188</v>
      </c>
      <c r="V471" s="1032">
        <v>0.86129999999999995</v>
      </c>
      <c r="W471" s="1032">
        <v>36</v>
      </c>
      <c r="X471" s="1032">
        <v>2</v>
      </c>
      <c r="Y471" s="1032" t="s">
        <v>951</v>
      </c>
      <c r="Z471" s="1032" t="s">
        <v>75</v>
      </c>
      <c r="AA471" s="1032" t="s">
        <v>2269</v>
      </c>
      <c r="AB471" s="1033">
        <v>46138</v>
      </c>
      <c r="AC471" s="1032">
        <v>17</v>
      </c>
      <c r="AD471" s="1032" t="s">
        <v>2309</v>
      </c>
      <c r="AF471" s="1032" t="s">
        <v>122</v>
      </c>
      <c r="AG471" s="1032" t="s">
        <v>123</v>
      </c>
      <c r="AH471" s="1032" t="s">
        <v>2301</v>
      </c>
      <c r="AI471" s="1033">
        <v>46144</v>
      </c>
      <c r="AJ471" s="1033">
        <v>46144</v>
      </c>
      <c r="AK471" s="1033">
        <v>46144</v>
      </c>
      <c r="AL471" s="1033">
        <v>46197</v>
      </c>
      <c r="AM471" s="1033">
        <v>46214</v>
      </c>
      <c r="AN471" s="1033">
        <v>46213</v>
      </c>
      <c r="AO471" s="1032" t="s">
        <v>402</v>
      </c>
      <c r="AP471" s="1032" t="s">
        <v>2302</v>
      </c>
      <c r="AQ471" s="1032" t="s">
        <v>161</v>
      </c>
      <c r="AR471" s="1032" t="s">
        <v>2303</v>
      </c>
      <c r="AS471" s="1032" t="s">
        <v>2304</v>
      </c>
      <c r="AT471" s="1032" t="s">
        <v>2305</v>
      </c>
      <c r="AU471" s="1032">
        <v>69</v>
      </c>
      <c r="AW471" s="1033">
        <v>46213</v>
      </c>
      <c r="AX471" s="1032" t="s">
        <v>973</v>
      </c>
      <c r="AY471" s="1033">
        <v>46230</v>
      </c>
      <c r="AZ471" s="1032">
        <v>7</v>
      </c>
      <c r="BA471" s="1033">
        <v>46220</v>
      </c>
      <c r="BB471" s="1032">
        <v>2026</v>
      </c>
      <c r="BC471" s="1032">
        <v>7</v>
      </c>
      <c r="BD471" s="1032">
        <v>29</v>
      </c>
      <c r="BE471" s="1032">
        <v>33</v>
      </c>
      <c r="BF471" s="1032">
        <v>594</v>
      </c>
      <c r="BG471" s="1032" t="s">
        <v>94</v>
      </c>
      <c r="BH471" s="1032" t="s">
        <v>109</v>
      </c>
    </row>
    <row r="472" spans="1:60">
      <c r="A472" s="1032" t="s">
        <v>2310</v>
      </c>
      <c r="B472" s="1032" t="s">
        <v>111</v>
      </c>
      <c r="C472" s="1032" t="s">
        <v>2307</v>
      </c>
      <c r="D472" s="1032" t="s">
        <v>113</v>
      </c>
      <c r="E472" s="1032" t="s">
        <v>64</v>
      </c>
      <c r="F472" s="1032">
        <v>0</v>
      </c>
      <c r="G472" s="1032" t="s">
        <v>402</v>
      </c>
      <c r="H472" s="1032" t="s">
        <v>451</v>
      </c>
      <c r="I472" s="1032" t="s">
        <v>822</v>
      </c>
      <c r="J472" s="1032" t="s">
        <v>2298</v>
      </c>
      <c r="M472" s="1032" t="s">
        <v>68</v>
      </c>
      <c r="N472" s="1032">
        <v>46132</v>
      </c>
      <c r="O472" s="1032" t="s">
        <v>70</v>
      </c>
      <c r="P472" s="1032" t="s">
        <v>2308</v>
      </c>
      <c r="Q472" s="1032" t="s">
        <v>1484</v>
      </c>
      <c r="R472" s="1032" t="s">
        <v>73</v>
      </c>
      <c r="S472" s="1032" t="s">
        <v>1808</v>
      </c>
      <c r="T472" s="1032">
        <v>725</v>
      </c>
      <c r="U472" s="1032">
        <v>2970</v>
      </c>
      <c r="V472" s="1032">
        <v>2.1532499999999999</v>
      </c>
      <c r="W472" s="1032">
        <v>90</v>
      </c>
      <c r="X472" s="1032">
        <v>5</v>
      </c>
      <c r="Y472" s="1032" t="s">
        <v>951</v>
      </c>
      <c r="Z472" s="1032" t="s">
        <v>75</v>
      </c>
      <c r="AB472" s="1033">
        <v>46142</v>
      </c>
      <c r="AC472" s="1032">
        <v>18</v>
      </c>
      <c r="AD472" s="1032" t="s">
        <v>2311</v>
      </c>
      <c r="AF472" s="1032" t="s">
        <v>122</v>
      </c>
      <c r="AG472" s="1032" t="s">
        <v>123</v>
      </c>
      <c r="AH472" s="1032" t="s">
        <v>2301</v>
      </c>
      <c r="AI472" s="1033">
        <v>46148</v>
      </c>
      <c r="AJ472" s="1033">
        <v>46148</v>
      </c>
      <c r="AK472" s="1033">
        <v>46148</v>
      </c>
      <c r="AL472" s="1033">
        <v>46199</v>
      </c>
      <c r="AM472" s="1033">
        <v>46210</v>
      </c>
      <c r="AN472" s="1033">
        <v>46211</v>
      </c>
      <c r="AO472" s="1032" t="s">
        <v>402</v>
      </c>
      <c r="AP472" s="1032" t="s">
        <v>2312</v>
      </c>
      <c r="AQ472" s="1032" t="s">
        <v>161</v>
      </c>
      <c r="AR472" s="1032" t="s">
        <v>2313</v>
      </c>
      <c r="AS472" s="1032" t="s">
        <v>2314</v>
      </c>
      <c r="AT472" s="1032" t="s">
        <v>2315</v>
      </c>
      <c r="AU472" s="1032">
        <v>63</v>
      </c>
      <c r="AW472" s="1033">
        <v>46211</v>
      </c>
      <c r="AX472" s="1032" t="s">
        <v>973</v>
      </c>
      <c r="AY472" s="1033">
        <v>46230</v>
      </c>
      <c r="AZ472" s="1032">
        <v>7</v>
      </c>
      <c r="BA472" s="1033">
        <v>46218</v>
      </c>
      <c r="BB472" s="1032">
        <v>2026</v>
      </c>
      <c r="BC472" s="1032">
        <v>7</v>
      </c>
      <c r="BD472" s="1032">
        <v>29</v>
      </c>
      <c r="BE472" s="1032">
        <v>33</v>
      </c>
      <c r="BF472" s="1032">
        <v>594</v>
      </c>
      <c r="BG472" s="1032" t="s">
        <v>94</v>
      </c>
      <c r="BH472" s="1032" t="s">
        <v>109</v>
      </c>
    </row>
    <row r="473" spans="1:60">
      <c r="A473" s="1032" t="s">
        <v>2316</v>
      </c>
      <c r="B473" s="1032" t="s">
        <v>111</v>
      </c>
      <c r="C473" s="1032" t="s">
        <v>2297</v>
      </c>
      <c r="D473" s="1032" t="s">
        <v>113</v>
      </c>
      <c r="E473" s="1032" t="s">
        <v>64</v>
      </c>
      <c r="F473" s="1032">
        <v>0</v>
      </c>
      <c r="G473" s="1032" t="s">
        <v>402</v>
      </c>
      <c r="H473" s="1032" t="s">
        <v>451</v>
      </c>
      <c r="I473" s="1032" t="s">
        <v>822</v>
      </c>
      <c r="J473" s="1032" t="s">
        <v>2298</v>
      </c>
      <c r="M473" s="1032" t="s">
        <v>68</v>
      </c>
      <c r="N473" s="1032">
        <v>46132</v>
      </c>
      <c r="O473" s="1032" t="s">
        <v>70</v>
      </c>
      <c r="P473" s="1032" t="s">
        <v>2299</v>
      </c>
      <c r="Q473" s="1032" t="s">
        <v>1682</v>
      </c>
      <c r="R473" s="1032" t="s">
        <v>73</v>
      </c>
      <c r="S473" s="1032" t="s">
        <v>1808</v>
      </c>
      <c r="T473" s="1032">
        <v>730</v>
      </c>
      <c r="U473" s="1032">
        <v>2970</v>
      </c>
      <c r="V473" s="1032">
        <v>2.1680999999999999</v>
      </c>
      <c r="W473" s="1032">
        <v>90</v>
      </c>
      <c r="X473" s="1032">
        <v>5</v>
      </c>
      <c r="Y473" s="1032" t="s">
        <v>951</v>
      </c>
      <c r="Z473" s="1032" t="s">
        <v>75</v>
      </c>
      <c r="AB473" s="1033">
        <v>46142</v>
      </c>
      <c r="AC473" s="1032">
        <v>18</v>
      </c>
      <c r="AD473" s="1032" t="s">
        <v>2317</v>
      </c>
      <c r="AF473" s="1032" t="s">
        <v>122</v>
      </c>
      <c r="AG473" s="1032" t="s">
        <v>123</v>
      </c>
      <c r="AH473" s="1032" t="s">
        <v>2301</v>
      </c>
      <c r="AI473" s="1033">
        <v>46148</v>
      </c>
      <c r="AJ473" s="1033">
        <v>46148</v>
      </c>
      <c r="AK473" s="1033">
        <v>46148</v>
      </c>
      <c r="AL473" s="1033">
        <v>46199</v>
      </c>
      <c r="AM473" s="1033">
        <v>46210</v>
      </c>
      <c r="AN473" s="1033">
        <v>46211</v>
      </c>
      <c r="AO473" s="1032" t="s">
        <v>402</v>
      </c>
      <c r="AP473" s="1032" t="s">
        <v>2312</v>
      </c>
      <c r="AQ473" s="1032" t="s">
        <v>161</v>
      </c>
      <c r="AR473" s="1032" t="s">
        <v>2313</v>
      </c>
      <c r="AS473" s="1032" t="s">
        <v>2314</v>
      </c>
      <c r="AT473" s="1032" t="s">
        <v>2315</v>
      </c>
      <c r="AU473" s="1032">
        <v>63</v>
      </c>
      <c r="AW473" s="1033">
        <v>46211</v>
      </c>
      <c r="AX473" s="1032" t="s">
        <v>973</v>
      </c>
      <c r="AY473" s="1033">
        <v>46230</v>
      </c>
      <c r="AZ473" s="1032">
        <v>7</v>
      </c>
      <c r="BA473" s="1033">
        <v>46218</v>
      </c>
      <c r="BB473" s="1032">
        <v>2026</v>
      </c>
      <c r="BC473" s="1032">
        <v>7</v>
      </c>
      <c r="BD473" s="1032">
        <v>29</v>
      </c>
      <c r="BE473" s="1032">
        <v>33</v>
      </c>
      <c r="BF473" s="1032">
        <v>594</v>
      </c>
      <c r="BG473" s="1032" t="s">
        <v>94</v>
      </c>
      <c r="BH473" s="1032" t="s">
        <v>109</v>
      </c>
    </row>
    <row r="474" spans="1:60">
      <c r="A474" s="1032" t="s">
        <v>2318</v>
      </c>
      <c r="B474" s="1032" t="s">
        <v>2132</v>
      </c>
      <c r="C474" s="1032" t="s">
        <v>2150</v>
      </c>
      <c r="D474" s="1032" t="s">
        <v>63</v>
      </c>
      <c r="E474" s="1032" t="s">
        <v>64</v>
      </c>
      <c r="F474" s="1032" t="s">
        <v>65</v>
      </c>
      <c r="G474" s="1032" t="s">
        <v>402</v>
      </c>
      <c r="H474" s="1032" t="s">
        <v>67</v>
      </c>
      <c r="I474" s="1032" t="s">
        <v>1395</v>
      </c>
      <c r="J474" s="1032" t="s">
        <v>96</v>
      </c>
      <c r="M474" s="1032" t="s">
        <v>68</v>
      </c>
      <c r="N474" s="1032" t="s">
        <v>68</v>
      </c>
      <c r="O474" s="1032" t="s">
        <v>550</v>
      </c>
      <c r="P474" s="1032" t="s">
        <v>551</v>
      </c>
      <c r="Q474" s="1032" t="s">
        <v>2151</v>
      </c>
      <c r="R474" s="1032" t="s">
        <v>73</v>
      </c>
      <c r="S474" s="1032" t="s">
        <v>2136</v>
      </c>
      <c r="T474" s="1032">
        <v>510</v>
      </c>
      <c r="U474" s="1032">
        <v>3168</v>
      </c>
      <c r="V474" s="1032">
        <v>1.61568</v>
      </c>
      <c r="W474" s="1032">
        <v>88</v>
      </c>
      <c r="X474" s="1032">
        <v>4</v>
      </c>
      <c r="Y474" s="1032" t="s">
        <v>951</v>
      </c>
      <c r="Z474" s="1032" t="s">
        <v>75</v>
      </c>
      <c r="AA474" s="1032" t="s">
        <v>2319</v>
      </c>
      <c r="AB474" s="1033">
        <v>46140</v>
      </c>
      <c r="AC474" s="1032">
        <v>18</v>
      </c>
      <c r="AD474" s="1032" t="s">
        <v>2320</v>
      </c>
      <c r="AF474" s="1032" t="s">
        <v>123</v>
      </c>
      <c r="AG474" s="1032" t="s">
        <v>123</v>
      </c>
      <c r="AH474" s="1032" t="s">
        <v>356</v>
      </c>
      <c r="AI474" s="1033">
        <v>46144</v>
      </c>
      <c r="AJ474" s="1033">
        <v>46145</v>
      </c>
      <c r="AK474" s="1033">
        <v>46145</v>
      </c>
      <c r="AL474" s="1033">
        <v>46181</v>
      </c>
      <c r="AM474" s="1033">
        <v>46183</v>
      </c>
      <c r="AN474" s="1033">
        <v>46183</v>
      </c>
      <c r="AO474" s="1032" t="s">
        <v>402</v>
      </c>
      <c r="AP474" s="1032" t="s">
        <v>2321</v>
      </c>
      <c r="AQ474" s="1032" t="s">
        <v>161</v>
      </c>
      <c r="AR474" s="1032" t="s">
        <v>2322</v>
      </c>
      <c r="AS474" s="1032" t="s">
        <v>2323</v>
      </c>
      <c r="AT474" s="1032" t="s">
        <v>2323</v>
      </c>
      <c r="AU474" s="1032">
        <v>38</v>
      </c>
      <c r="AW474" s="1033">
        <v>46183</v>
      </c>
      <c r="AX474" s="1032" t="s">
        <v>973</v>
      </c>
      <c r="AY474" s="1033">
        <v>46197</v>
      </c>
      <c r="AZ474" s="1032">
        <v>8</v>
      </c>
      <c r="BA474" s="1033">
        <v>46191</v>
      </c>
      <c r="BB474" s="1032">
        <v>2026</v>
      </c>
      <c r="BC474" s="1032">
        <v>6</v>
      </c>
      <c r="BD474" s="1032">
        <v>25</v>
      </c>
      <c r="BE474" s="1032">
        <v>36</v>
      </c>
      <c r="BF474" s="1032">
        <v>792</v>
      </c>
      <c r="BG474" s="1032" t="s">
        <v>85</v>
      </c>
      <c r="BH474" s="1032" t="s">
        <v>109</v>
      </c>
    </row>
    <row r="475" spans="1:60">
      <c r="A475" s="1032" t="s">
        <v>1016</v>
      </c>
      <c r="B475" s="1032" t="s">
        <v>1888</v>
      </c>
      <c r="C475" s="1032" t="s">
        <v>203</v>
      </c>
      <c r="D475" s="1032" t="s">
        <v>63</v>
      </c>
      <c r="E475" s="1032" t="s">
        <v>64</v>
      </c>
      <c r="F475" s="1032" t="s">
        <v>100</v>
      </c>
      <c r="G475" s="1032" t="s">
        <v>402</v>
      </c>
      <c r="H475" s="1032" t="s">
        <v>67</v>
      </c>
      <c r="I475" s="1032" t="s">
        <v>689</v>
      </c>
      <c r="J475" s="1032" t="s">
        <v>96</v>
      </c>
      <c r="M475" s="1032" t="s">
        <v>68</v>
      </c>
      <c r="N475" s="1032">
        <v>46111</v>
      </c>
      <c r="O475" s="1032" t="s">
        <v>70</v>
      </c>
      <c r="P475" s="1032" t="s">
        <v>195</v>
      </c>
      <c r="Q475" s="1032" t="s">
        <v>196</v>
      </c>
      <c r="R475" s="1032" t="s">
        <v>73</v>
      </c>
      <c r="S475" s="1032" t="s">
        <v>967</v>
      </c>
      <c r="T475" s="1032">
        <v>450</v>
      </c>
      <c r="U475" s="1032">
        <v>3744</v>
      </c>
      <c r="V475" s="1032">
        <v>1.6848000000000001</v>
      </c>
      <c r="W475" s="1032">
        <v>104</v>
      </c>
      <c r="X475" s="1032">
        <v>4</v>
      </c>
      <c r="Y475" s="1032" t="s">
        <v>951</v>
      </c>
      <c r="Z475" s="1032" t="s">
        <v>75</v>
      </c>
      <c r="AA475" s="1032" t="s">
        <v>2038</v>
      </c>
      <c r="AB475" s="1033">
        <v>46139</v>
      </c>
      <c r="AC475" s="1032">
        <v>18</v>
      </c>
      <c r="AD475" s="1032" t="s">
        <v>2324</v>
      </c>
      <c r="AF475" s="1032" t="s">
        <v>1891</v>
      </c>
      <c r="AG475" s="1032" t="s">
        <v>123</v>
      </c>
      <c r="AH475" s="1032" t="s">
        <v>105</v>
      </c>
      <c r="AI475" s="1033">
        <v>46144</v>
      </c>
      <c r="AJ475" s="1033">
        <v>46147</v>
      </c>
      <c r="AK475" s="1033">
        <v>46147</v>
      </c>
      <c r="AL475" s="1033">
        <v>46186</v>
      </c>
      <c r="AM475" s="1033">
        <v>46200</v>
      </c>
      <c r="AN475" s="1033">
        <v>46201</v>
      </c>
      <c r="AO475" s="1032" t="s">
        <v>402</v>
      </c>
      <c r="AP475" s="1032" t="s">
        <v>2302</v>
      </c>
      <c r="AQ475" s="1032" t="s">
        <v>161</v>
      </c>
      <c r="AR475" s="1032" t="s">
        <v>2325</v>
      </c>
      <c r="AS475" s="1032" t="s">
        <v>2326</v>
      </c>
      <c r="AT475" s="1032" t="s">
        <v>2326</v>
      </c>
      <c r="AU475" s="1032">
        <v>54</v>
      </c>
      <c r="AW475" s="1033">
        <v>46201</v>
      </c>
      <c r="AX475" s="1032" t="s">
        <v>973</v>
      </c>
      <c r="AY475" s="1033">
        <v>46212</v>
      </c>
      <c r="AZ475" s="1032">
        <v>7</v>
      </c>
      <c r="BA475" s="1033">
        <v>46208</v>
      </c>
      <c r="BB475" s="1032">
        <v>2026</v>
      </c>
      <c r="BC475" s="1032">
        <v>7</v>
      </c>
      <c r="BD475" s="1032">
        <v>27</v>
      </c>
      <c r="BE475" s="1032">
        <v>36</v>
      </c>
      <c r="BF475" s="1032">
        <v>936</v>
      </c>
      <c r="BG475" s="1032" t="s">
        <v>85</v>
      </c>
      <c r="BH475" s="1032" t="s">
        <v>109</v>
      </c>
    </row>
    <row r="476" spans="1:60">
      <c r="A476" s="1032" t="s">
        <v>2327</v>
      </c>
      <c r="B476" s="1032" t="s">
        <v>2132</v>
      </c>
      <c r="C476" s="1032" t="s">
        <v>2150</v>
      </c>
      <c r="D476" s="1032" t="s">
        <v>63</v>
      </c>
      <c r="E476" s="1032" t="s">
        <v>64</v>
      </c>
      <c r="F476" s="1032" t="s">
        <v>100</v>
      </c>
      <c r="G476" s="1032" t="s">
        <v>402</v>
      </c>
      <c r="H476" s="1032" t="s">
        <v>67</v>
      </c>
      <c r="I476" s="1032" t="s">
        <v>882</v>
      </c>
      <c r="J476" s="1032" t="s">
        <v>96</v>
      </c>
      <c r="M476" s="1032" t="s">
        <v>68</v>
      </c>
      <c r="N476" s="1032" t="s">
        <v>68</v>
      </c>
      <c r="O476" s="1032" t="s">
        <v>550</v>
      </c>
      <c r="P476" s="1032" t="s">
        <v>551</v>
      </c>
      <c r="Q476" s="1032" t="s">
        <v>2151</v>
      </c>
      <c r="R476" s="1032" t="s">
        <v>73</v>
      </c>
      <c r="S476" s="1032" t="s">
        <v>2136</v>
      </c>
      <c r="T476" s="1032">
        <v>510</v>
      </c>
      <c r="U476" s="1032">
        <v>1584</v>
      </c>
      <c r="V476" s="1032">
        <v>0.80784</v>
      </c>
      <c r="W476" s="1032">
        <v>44</v>
      </c>
      <c r="X476" s="1032">
        <v>2</v>
      </c>
      <c r="Y476" s="1032" t="s">
        <v>951</v>
      </c>
      <c r="Z476" s="1032" t="s">
        <v>75</v>
      </c>
      <c r="AA476" s="1032" t="s">
        <v>2328</v>
      </c>
      <c r="AB476" s="1033">
        <v>46139</v>
      </c>
      <c r="AC476" s="1032">
        <v>18</v>
      </c>
      <c r="AD476" s="1032" t="s">
        <v>2329</v>
      </c>
      <c r="AF476" s="1032" t="s">
        <v>123</v>
      </c>
      <c r="AG476" s="1032" t="s">
        <v>123</v>
      </c>
      <c r="AH476" s="1032" t="s">
        <v>105</v>
      </c>
      <c r="AI476" s="1033">
        <v>46144</v>
      </c>
      <c r="AJ476" s="1033">
        <v>46147</v>
      </c>
      <c r="AK476" s="1033">
        <v>46147</v>
      </c>
      <c r="AL476" s="1033">
        <v>46186</v>
      </c>
      <c r="AM476" s="1033">
        <v>46200</v>
      </c>
      <c r="AN476" s="1033">
        <v>46201</v>
      </c>
      <c r="AO476" s="1032" t="s">
        <v>402</v>
      </c>
      <c r="AP476" s="1032" t="s">
        <v>2302</v>
      </c>
      <c r="AQ476" s="1032" t="s">
        <v>161</v>
      </c>
      <c r="AR476" s="1032" t="s">
        <v>2330</v>
      </c>
      <c r="AS476" s="1032" t="s">
        <v>2331</v>
      </c>
      <c r="AT476" s="1032" t="s">
        <v>2331</v>
      </c>
      <c r="AU476" s="1032">
        <v>54</v>
      </c>
      <c r="AW476" s="1033">
        <v>46201</v>
      </c>
      <c r="AX476" s="1032" t="s">
        <v>973</v>
      </c>
      <c r="AY476" s="1033">
        <v>46212</v>
      </c>
      <c r="AZ476" s="1032">
        <v>7</v>
      </c>
      <c r="BA476" s="1033">
        <v>46208</v>
      </c>
      <c r="BB476" s="1032">
        <v>2026</v>
      </c>
      <c r="BC476" s="1032">
        <v>7</v>
      </c>
      <c r="BD476" s="1032">
        <v>27</v>
      </c>
      <c r="BE476" s="1032">
        <v>36</v>
      </c>
      <c r="BF476" s="1032">
        <v>792</v>
      </c>
      <c r="BG476" s="1032" t="s">
        <v>85</v>
      </c>
      <c r="BH476" s="1032" t="s">
        <v>109</v>
      </c>
    </row>
    <row r="477" spans="1:60">
      <c r="A477" s="1032" t="s">
        <v>2332</v>
      </c>
      <c r="B477" s="1032" t="s">
        <v>2132</v>
      </c>
      <c r="C477" s="1032" t="s">
        <v>2133</v>
      </c>
      <c r="D477" s="1032" t="s">
        <v>63</v>
      </c>
      <c r="E477" s="1032" t="s">
        <v>64</v>
      </c>
      <c r="F477" s="1032" t="s">
        <v>100</v>
      </c>
      <c r="G477" s="1032" t="s">
        <v>402</v>
      </c>
      <c r="H477" s="1032" t="s">
        <v>67</v>
      </c>
      <c r="I477" s="1032" t="s">
        <v>1395</v>
      </c>
      <c r="J477" s="1032" t="s">
        <v>96</v>
      </c>
      <c r="M477" s="1032" t="s">
        <v>68</v>
      </c>
      <c r="N477" s="1032" t="s">
        <v>68</v>
      </c>
      <c r="O477" s="1032" t="s">
        <v>550</v>
      </c>
      <c r="P477" s="1032" t="s">
        <v>2134</v>
      </c>
      <c r="Q477" s="1032" t="s">
        <v>2135</v>
      </c>
      <c r="R477" s="1032" t="s">
        <v>73</v>
      </c>
      <c r="S477" s="1032" t="s">
        <v>2136</v>
      </c>
      <c r="T477" s="1032">
        <v>515</v>
      </c>
      <c r="U477" s="1032">
        <v>1584</v>
      </c>
      <c r="V477" s="1032">
        <v>0.81576000000000004</v>
      </c>
      <c r="W477" s="1032">
        <v>44</v>
      </c>
      <c r="X477" s="1032">
        <v>2</v>
      </c>
      <c r="Y477" s="1032" t="s">
        <v>951</v>
      </c>
      <c r="Z477" s="1032" t="s">
        <v>75</v>
      </c>
      <c r="AA477" s="1032" t="s">
        <v>2328</v>
      </c>
      <c r="AB477" s="1033">
        <v>46139</v>
      </c>
      <c r="AC477" s="1032">
        <v>18</v>
      </c>
      <c r="AD477" s="1032" t="s">
        <v>2333</v>
      </c>
      <c r="AF477" s="1032" t="s">
        <v>123</v>
      </c>
      <c r="AG477" s="1032" t="s">
        <v>123</v>
      </c>
      <c r="AH477" s="1032" t="s">
        <v>105</v>
      </c>
      <c r="AI477" s="1033">
        <v>46144</v>
      </c>
      <c r="AJ477" s="1033">
        <v>46147</v>
      </c>
      <c r="AK477" s="1033">
        <v>46147</v>
      </c>
      <c r="AL477" s="1033">
        <v>46186</v>
      </c>
      <c r="AM477" s="1033">
        <v>46200</v>
      </c>
      <c r="AN477" s="1033">
        <v>46201</v>
      </c>
      <c r="AO477" s="1032" t="s">
        <v>402</v>
      </c>
      <c r="AP477" s="1032" t="s">
        <v>2302</v>
      </c>
      <c r="AQ477" s="1032" t="s">
        <v>161</v>
      </c>
      <c r="AR477" s="1032" t="s">
        <v>2330</v>
      </c>
      <c r="AS477" s="1032" t="s">
        <v>2331</v>
      </c>
      <c r="AT477" s="1032" t="s">
        <v>2331</v>
      </c>
      <c r="AU477" s="1032">
        <v>54</v>
      </c>
      <c r="AW477" s="1033">
        <v>46201</v>
      </c>
      <c r="AX477" s="1032" t="s">
        <v>973</v>
      </c>
      <c r="AY477" s="1033">
        <v>46212</v>
      </c>
      <c r="AZ477" s="1032">
        <v>7</v>
      </c>
      <c r="BA477" s="1033">
        <v>46208</v>
      </c>
      <c r="BB477" s="1032">
        <v>2026</v>
      </c>
      <c r="BC477" s="1032">
        <v>7</v>
      </c>
      <c r="BD477" s="1032">
        <v>27</v>
      </c>
      <c r="BE477" s="1032">
        <v>36</v>
      </c>
      <c r="BF477" s="1032">
        <v>792</v>
      </c>
      <c r="BG477" s="1032" t="s">
        <v>85</v>
      </c>
      <c r="BH477" s="1032" t="s">
        <v>109</v>
      </c>
    </row>
    <row r="478" spans="1:60">
      <c r="A478" s="1032" t="s">
        <v>2334</v>
      </c>
      <c r="B478" s="1032" t="s">
        <v>111</v>
      </c>
      <c r="C478" s="1032" t="s">
        <v>2190</v>
      </c>
      <c r="D478" s="1032" t="s">
        <v>63</v>
      </c>
      <c r="E478" s="1032" t="s">
        <v>64</v>
      </c>
      <c r="F478" s="1032" t="s">
        <v>100</v>
      </c>
      <c r="G478" s="1032" t="s">
        <v>402</v>
      </c>
      <c r="H478" s="1032" t="s">
        <v>67</v>
      </c>
      <c r="I478" s="1032" t="s">
        <v>689</v>
      </c>
      <c r="J478" s="1032" t="s">
        <v>96</v>
      </c>
      <c r="M478" s="1032" t="s">
        <v>68</v>
      </c>
      <c r="N478" s="1032">
        <v>46139</v>
      </c>
      <c r="O478" s="1032" t="s">
        <v>473</v>
      </c>
      <c r="P478" s="1032" t="s">
        <v>474</v>
      </c>
      <c r="Q478" s="1032" t="s">
        <v>1319</v>
      </c>
      <c r="R478" s="1032" t="s">
        <v>73</v>
      </c>
      <c r="S478" s="1032" t="s">
        <v>967</v>
      </c>
      <c r="T478" s="1032">
        <v>460</v>
      </c>
      <c r="U478" s="1032">
        <v>1728</v>
      </c>
      <c r="V478" s="1032">
        <v>0.79488000000000003</v>
      </c>
      <c r="W478" s="1032">
        <v>48</v>
      </c>
      <c r="X478" s="1032">
        <v>2</v>
      </c>
      <c r="Y478" s="1032" t="s">
        <v>951</v>
      </c>
      <c r="Z478" s="1032" t="s">
        <v>75</v>
      </c>
      <c r="AA478" s="1032" t="s">
        <v>2183</v>
      </c>
      <c r="AB478" s="1033">
        <v>46138</v>
      </c>
      <c r="AC478" s="1032">
        <v>17</v>
      </c>
      <c r="AD478" s="1032" t="s">
        <v>2335</v>
      </c>
      <c r="AF478" s="1032" t="s">
        <v>123</v>
      </c>
      <c r="AG478" s="1032" t="s">
        <v>123</v>
      </c>
      <c r="AH478" s="1032" t="s">
        <v>105</v>
      </c>
      <c r="AI478" s="1033">
        <v>46144</v>
      </c>
      <c r="AJ478" s="1033">
        <v>46147</v>
      </c>
      <c r="AK478" s="1033">
        <v>46147</v>
      </c>
      <c r="AL478" s="1033">
        <v>46186</v>
      </c>
      <c r="AM478" s="1033">
        <v>46200</v>
      </c>
      <c r="AN478" s="1033">
        <v>46201</v>
      </c>
      <c r="AO478" s="1032" t="s">
        <v>402</v>
      </c>
      <c r="AP478" s="1032" t="s">
        <v>2302</v>
      </c>
      <c r="AQ478" s="1032" t="s">
        <v>161</v>
      </c>
      <c r="AR478" s="1032" t="s">
        <v>2336</v>
      </c>
      <c r="AT478" s="1032" t="s">
        <v>2337</v>
      </c>
      <c r="AU478" s="1032">
        <v>54</v>
      </c>
      <c r="AW478" s="1033">
        <v>46201</v>
      </c>
      <c r="AX478" s="1032" t="s">
        <v>973</v>
      </c>
      <c r="AY478" s="1033">
        <v>46212</v>
      </c>
      <c r="AZ478" s="1032">
        <v>7</v>
      </c>
      <c r="BA478" s="1033">
        <v>46208</v>
      </c>
      <c r="BB478" s="1032">
        <v>2026</v>
      </c>
      <c r="BC478" s="1032">
        <v>7</v>
      </c>
      <c r="BD478" s="1032">
        <v>27</v>
      </c>
      <c r="BE478" s="1032">
        <v>36</v>
      </c>
      <c r="BF478" s="1032">
        <v>864</v>
      </c>
      <c r="BG478" s="1032" t="s">
        <v>85</v>
      </c>
      <c r="BH478" s="1032" t="s">
        <v>109</v>
      </c>
    </row>
    <row r="479" spans="1:60">
      <c r="A479" s="1032" t="s">
        <v>2338</v>
      </c>
      <c r="B479" s="1032" t="s">
        <v>111</v>
      </c>
      <c r="C479" s="1032" t="s">
        <v>2190</v>
      </c>
      <c r="D479" s="1032" t="s">
        <v>63</v>
      </c>
      <c r="E479" s="1032" t="s">
        <v>64</v>
      </c>
      <c r="F479" s="1032" t="s">
        <v>100</v>
      </c>
      <c r="G479" s="1032" t="s">
        <v>402</v>
      </c>
      <c r="H479" s="1032" t="s">
        <v>67</v>
      </c>
      <c r="I479" s="1032" t="s">
        <v>689</v>
      </c>
      <c r="J479" s="1032" t="s">
        <v>96</v>
      </c>
      <c r="M479" s="1032" t="s">
        <v>68</v>
      </c>
      <c r="N479" s="1032">
        <v>46139</v>
      </c>
      <c r="O479" s="1032" t="s">
        <v>473</v>
      </c>
      <c r="P479" s="1032" t="s">
        <v>474</v>
      </c>
      <c r="Q479" s="1032" t="s">
        <v>1319</v>
      </c>
      <c r="R479" s="1032" t="s">
        <v>73</v>
      </c>
      <c r="S479" s="1032" t="s">
        <v>967</v>
      </c>
      <c r="T479" s="1032">
        <v>460</v>
      </c>
      <c r="U479" s="1032">
        <v>1728</v>
      </c>
      <c r="V479" s="1032">
        <v>0.79488000000000003</v>
      </c>
      <c r="W479" s="1032">
        <v>48</v>
      </c>
      <c r="X479" s="1032">
        <v>2</v>
      </c>
      <c r="Y479" s="1032" t="s">
        <v>951</v>
      </c>
      <c r="Z479" s="1032" t="s">
        <v>75</v>
      </c>
      <c r="AA479" s="1032" t="s">
        <v>2183</v>
      </c>
      <c r="AB479" s="1033">
        <v>46138</v>
      </c>
      <c r="AC479" s="1032">
        <v>17</v>
      </c>
      <c r="AD479" s="1032" t="s">
        <v>2339</v>
      </c>
      <c r="AF479" s="1032" t="s">
        <v>123</v>
      </c>
      <c r="AG479" s="1032" t="s">
        <v>123</v>
      </c>
      <c r="AH479" s="1032" t="s">
        <v>105</v>
      </c>
      <c r="AI479" s="1033">
        <v>46144</v>
      </c>
      <c r="AJ479" s="1033">
        <v>46147</v>
      </c>
      <c r="AK479" s="1033">
        <v>46147</v>
      </c>
      <c r="AL479" s="1033">
        <v>46186</v>
      </c>
      <c r="AM479" s="1033">
        <v>46200</v>
      </c>
      <c r="AN479" s="1033">
        <v>46201</v>
      </c>
      <c r="AO479" s="1032" t="s">
        <v>402</v>
      </c>
      <c r="AP479" s="1032" t="s">
        <v>2302</v>
      </c>
      <c r="AQ479" s="1032" t="s">
        <v>161</v>
      </c>
      <c r="AR479" s="1032" t="s">
        <v>2336</v>
      </c>
      <c r="AT479" s="1032" t="s">
        <v>2337</v>
      </c>
      <c r="AU479" s="1032">
        <v>54</v>
      </c>
      <c r="AW479" s="1033">
        <v>46201</v>
      </c>
      <c r="AX479" s="1032" t="s">
        <v>973</v>
      </c>
      <c r="AY479" s="1033">
        <v>46212</v>
      </c>
      <c r="AZ479" s="1032">
        <v>7</v>
      </c>
      <c r="BA479" s="1033">
        <v>46208</v>
      </c>
      <c r="BB479" s="1032">
        <v>2026</v>
      </c>
      <c r="BC479" s="1032">
        <v>7</v>
      </c>
      <c r="BD479" s="1032">
        <v>27</v>
      </c>
      <c r="BE479" s="1032">
        <v>36</v>
      </c>
      <c r="BF479" s="1032">
        <v>864</v>
      </c>
      <c r="BG479" s="1032" t="s">
        <v>85</v>
      </c>
      <c r="BH479" s="1032" t="s">
        <v>109</v>
      </c>
    </row>
    <row r="480" spans="1:60">
      <c r="A480" s="1032" t="s">
        <v>2340</v>
      </c>
      <c r="B480" s="1032" t="s">
        <v>111</v>
      </c>
      <c r="C480" s="1032" t="s">
        <v>2190</v>
      </c>
      <c r="D480" s="1032" t="s">
        <v>63</v>
      </c>
      <c r="E480" s="1032" t="s">
        <v>64</v>
      </c>
      <c r="F480" s="1032" t="s">
        <v>100</v>
      </c>
      <c r="G480" s="1032" t="s">
        <v>402</v>
      </c>
      <c r="H480" s="1032" t="s">
        <v>67</v>
      </c>
      <c r="I480" s="1032" t="s">
        <v>689</v>
      </c>
      <c r="J480" s="1032" t="s">
        <v>96</v>
      </c>
      <c r="M480" s="1032" t="s">
        <v>68</v>
      </c>
      <c r="N480" s="1032">
        <v>46139</v>
      </c>
      <c r="O480" s="1032" t="s">
        <v>473</v>
      </c>
      <c r="P480" s="1032" t="s">
        <v>474</v>
      </c>
      <c r="Q480" s="1032" t="s">
        <v>1319</v>
      </c>
      <c r="R480" s="1032" t="s">
        <v>73</v>
      </c>
      <c r="S480" s="1032" t="s">
        <v>967</v>
      </c>
      <c r="T480" s="1032">
        <v>460</v>
      </c>
      <c r="U480" s="1032">
        <v>2592</v>
      </c>
      <c r="V480" s="1032">
        <v>1.19232</v>
      </c>
      <c r="W480" s="1032">
        <v>72</v>
      </c>
      <c r="X480" s="1032">
        <v>3</v>
      </c>
      <c r="Y480" s="1032" t="s">
        <v>951</v>
      </c>
      <c r="Z480" s="1032" t="s">
        <v>75</v>
      </c>
      <c r="AB480" s="1033">
        <v>46138</v>
      </c>
      <c r="AC480" s="1032">
        <v>17</v>
      </c>
      <c r="AD480" s="1032" t="s">
        <v>2341</v>
      </c>
      <c r="AF480" s="1032" t="s">
        <v>123</v>
      </c>
      <c r="AG480" s="1032" t="s">
        <v>123</v>
      </c>
      <c r="AH480" s="1032" t="s">
        <v>105</v>
      </c>
      <c r="AI480" s="1033">
        <v>46144</v>
      </c>
      <c r="AJ480" s="1033">
        <v>46147</v>
      </c>
      <c r="AK480" s="1033">
        <v>46147</v>
      </c>
      <c r="AL480" s="1033">
        <v>46186</v>
      </c>
      <c r="AM480" s="1033">
        <v>46200</v>
      </c>
      <c r="AN480" s="1033">
        <v>46201</v>
      </c>
      <c r="AO480" s="1032" t="s">
        <v>402</v>
      </c>
      <c r="AP480" s="1032" t="s">
        <v>2302</v>
      </c>
      <c r="AQ480" s="1032" t="s">
        <v>161</v>
      </c>
      <c r="AR480" s="1032" t="s">
        <v>2336</v>
      </c>
      <c r="AT480" s="1032" t="s">
        <v>2337</v>
      </c>
      <c r="AU480" s="1032">
        <v>54</v>
      </c>
      <c r="AW480" s="1033">
        <v>46201</v>
      </c>
      <c r="AX480" s="1032" t="s">
        <v>973</v>
      </c>
      <c r="AY480" s="1033">
        <v>46212</v>
      </c>
      <c r="AZ480" s="1032">
        <v>7</v>
      </c>
      <c r="BA480" s="1033">
        <v>46208</v>
      </c>
      <c r="BB480" s="1032">
        <v>2026</v>
      </c>
      <c r="BC480" s="1032">
        <v>7</v>
      </c>
      <c r="BD480" s="1032">
        <v>27</v>
      </c>
      <c r="BE480" s="1032">
        <v>36</v>
      </c>
      <c r="BF480" s="1032">
        <v>864</v>
      </c>
      <c r="BG480" s="1032" t="s">
        <v>85</v>
      </c>
      <c r="BH480" s="1032" t="s">
        <v>109</v>
      </c>
    </row>
    <row r="481" spans="1:60">
      <c r="A481" s="1032" t="s">
        <v>2342</v>
      </c>
      <c r="B481" s="1032" t="s">
        <v>2132</v>
      </c>
      <c r="C481" s="1032" t="s">
        <v>2150</v>
      </c>
      <c r="D481" s="1032" t="s">
        <v>63</v>
      </c>
      <c r="E481" s="1032" t="s">
        <v>64</v>
      </c>
      <c r="F481" s="1032" t="s">
        <v>65</v>
      </c>
      <c r="G481" s="1032" t="s">
        <v>402</v>
      </c>
      <c r="H481" s="1032" t="s">
        <v>67</v>
      </c>
      <c r="I481" s="1032" t="s">
        <v>882</v>
      </c>
      <c r="J481" s="1032" t="s">
        <v>96</v>
      </c>
      <c r="M481" s="1032" t="s">
        <v>68</v>
      </c>
      <c r="N481" s="1032" t="s">
        <v>68</v>
      </c>
      <c r="O481" s="1032" t="s">
        <v>550</v>
      </c>
      <c r="P481" s="1032" t="s">
        <v>551</v>
      </c>
      <c r="Q481" s="1032" t="s">
        <v>2151</v>
      </c>
      <c r="R481" s="1032" t="s">
        <v>73</v>
      </c>
      <c r="S481" s="1032" t="s">
        <v>2136</v>
      </c>
      <c r="T481" s="1032">
        <v>510</v>
      </c>
      <c r="U481" s="1032">
        <v>1584</v>
      </c>
      <c r="V481" s="1032">
        <v>0.80784</v>
      </c>
      <c r="W481" s="1032">
        <v>44</v>
      </c>
      <c r="X481" s="1032">
        <v>2</v>
      </c>
      <c r="Y481" s="1032" t="s">
        <v>951</v>
      </c>
      <c r="Z481" s="1032" t="s">
        <v>75</v>
      </c>
      <c r="AA481" s="1032" t="s">
        <v>2343</v>
      </c>
      <c r="AB481" s="1033">
        <v>46141</v>
      </c>
      <c r="AC481" s="1032">
        <v>18</v>
      </c>
      <c r="AD481" s="1032" t="s">
        <v>2344</v>
      </c>
      <c r="AF481" s="1032" t="s">
        <v>123</v>
      </c>
      <c r="AG481" s="1032" t="s">
        <v>123</v>
      </c>
      <c r="AH481" s="1032" t="s">
        <v>78</v>
      </c>
      <c r="AI481" s="1033">
        <v>46147</v>
      </c>
      <c r="AJ481" s="1033">
        <v>46147</v>
      </c>
      <c r="AK481" s="1033">
        <v>46147</v>
      </c>
      <c r="AL481" s="1033">
        <v>46189</v>
      </c>
      <c r="AM481" s="1033">
        <v>46196</v>
      </c>
      <c r="AN481" s="1033">
        <v>46196</v>
      </c>
      <c r="AO481" s="1032" t="s">
        <v>402</v>
      </c>
      <c r="AP481" s="1032" t="s">
        <v>2345</v>
      </c>
      <c r="AQ481" s="1032" t="s">
        <v>80</v>
      </c>
      <c r="AR481" s="1032" t="s">
        <v>2346</v>
      </c>
      <c r="AS481" s="1032" t="s">
        <v>2347</v>
      </c>
      <c r="AT481" s="1032" t="s">
        <v>2347</v>
      </c>
      <c r="AU481" s="1032">
        <v>49</v>
      </c>
      <c r="AW481" s="1033">
        <v>46196</v>
      </c>
      <c r="AX481" s="1032" t="s">
        <v>973</v>
      </c>
      <c r="AY481" s="1033">
        <v>46208</v>
      </c>
      <c r="AZ481" s="1032">
        <v>8</v>
      </c>
      <c r="BA481" s="1033">
        <v>46204</v>
      </c>
      <c r="BB481" s="1032">
        <v>2026</v>
      </c>
      <c r="BC481" s="1032">
        <v>7</v>
      </c>
      <c r="BD481" s="1032">
        <v>27</v>
      </c>
      <c r="BE481" s="1032">
        <v>36</v>
      </c>
      <c r="BF481" s="1032">
        <v>792</v>
      </c>
      <c r="BG481" s="1032" t="s">
        <v>85</v>
      </c>
      <c r="BH481" s="1032" t="s">
        <v>86</v>
      </c>
    </row>
    <row r="482" spans="1:60">
      <c r="A482" s="1032" t="s">
        <v>2348</v>
      </c>
      <c r="B482" s="1032" t="s">
        <v>2132</v>
      </c>
      <c r="C482" s="1032" t="s">
        <v>2133</v>
      </c>
      <c r="D482" s="1032" t="s">
        <v>63</v>
      </c>
      <c r="E482" s="1032" t="s">
        <v>64</v>
      </c>
      <c r="F482" s="1032" t="s">
        <v>310</v>
      </c>
      <c r="G482" s="1032" t="s">
        <v>402</v>
      </c>
      <c r="H482" s="1032" t="s">
        <v>311</v>
      </c>
      <c r="I482" s="1032" t="s">
        <v>822</v>
      </c>
      <c r="J482" s="1032" t="s">
        <v>96</v>
      </c>
      <c r="M482" s="1032" t="s">
        <v>68</v>
      </c>
      <c r="N482" s="1032" t="s">
        <v>68</v>
      </c>
      <c r="O482" s="1032" t="s">
        <v>550</v>
      </c>
      <c r="P482" s="1032" t="s">
        <v>2134</v>
      </c>
      <c r="Q482" s="1032" t="s">
        <v>2135</v>
      </c>
      <c r="R482" s="1032" t="s">
        <v>73</v>
      </c>
      <c r="S482" s="1032" t="s">
        <v>2136</v>
      </c>
      <c r="T482" s="1032">
        <v>515</v>
      </c>
      <c r="U482" s="1032">
        <v>792</v>
      </c>
      <c r="V482" s="1032">
        <v>0.40788000000000002</v>
      </c>
      <c r="W482" s="1032">
        <v>22</v>
      </c>
      <c r="X482" s="1032">
        <v>1</v>
      </c>
      <c r="Y482" s="1032" t="s">
        <v>951</v>
      </c>
      <c r="Z482" s="1032" t="s">
        <v>75</v>
      </c>
      <c r="AA482" s="1032" t="s">
        <v>2349</v>
      </c>
      <c r="AB482" s="1033">
        <v>46138</v>
      </c>
      <c r="AC482" s="1032">
        <v>17</v>
      </c>
      <c r="AD482" s="1032" t="s">
        <v>2350</v>
      </c>
      <c r="AF482" s="1032" t="s">
        <v>123</v>
      </c>
      <c r="AG482" s="1032" t="s">
        <v>123</v>
      </c>
      <c r="AH482" s="1032" t="s">
        <v>314</v>
      </c>
      <c r="AI482" s="1033">
        <v>46143</v>
      </c>
      <c r="AJ482" s="1033">
        <v>46146</v>
      </c>
      <c r="AK482" s="1033">
        <v>46146</v>
      </c>
      <c r="AL482" s="1033">
        <v>46190</v>
      </c>
      <c r="AM482" s="1033">
        <v>46197</v>
      </c>
      <c r="AN482" s="1033">
        <v>46198</v>
      </c>
      <c r="AO482" s="1032" t="s">
        <v>402</v>
      </c>
      <c r="AP482" s="1032" t="s">
        <v>2351</v>
      </c>
      <c r="AQ482" s="1032" t="s">
        <v>80</v>
      </c>
      <c r="AR482" s="1032" t="s">
        <v>2352</v>
      </c>
      <c r="AS482" s="1032" t="s">
        <v>2353</v>
      </c>
      <c r="AT482" s="1032" t="s">
        <v>2353</v>
      </c>
      <c r="AU482" s="1032">
        <v>52</v>
      </c>
      <c r="AW482" s="1033">
        <v>46198</v>
      </c>
      <c r="AX482" s="1032" t="s">
        <v>973</v>
      </c>
      <c r="AY482" s="1033">
        <v>46211</v>
      </c>
      <c r="AZ482" s="1032">
        <v>13</v>
      </c>
      <c r="BA482" s="1033">
        <v>46211</v>
      </c>
      <c r="BB482" s="1032">
        <v>2026</v>
      </c>
      <c r="BC482" s="1032">
        <v>7</v>
      </c>
      <c r="BD482" s="1032">
        <v>28</v>
      </c>
      <c r="BE482" s="1032">
        <v>36</v>
      </c>
      <c r="BF482" s="1032">
        <v>792</v>
      </c>
      <c r="BG482" s="1032" t="s">
        <v>85</v>
      </c>
      <c r="BH482" s="1032" t="s">
        <v>86</v>
      </c>
    </row>
    <row r="483" spans="1:60">
      <c r="A483" s="1032" t="s">
        <v>2354</v>
      </c>
      <c r="B483" s="1032" t="s">
        <v>2132</v>
      </c>
      <c r="C483" s="1032" t="s">
        <v>2150</v>
      </c>
      <c r="D483" s="1032" t="s">
        <v>63</v>
      </c>
      <c r="E483" s="1032" t="s">
        <v>64</v>
      </c>
      <c r="F483" s="1032" t="s">
        <v>310</v>
      </c>
      <c r="G483" s="1032" t="s">
        <v>402</v>
      </c>
      <c r="H483" s="1032" t="s">
        <v>311</v>
      </c>
      <c r="I483" s="1032" t="s">
        <v>822</v>
      </c>
      <c r="J483" s="1032" t="s">
        <v>96</v>
      </c>
      <c r="M483" s="1032" t="s">
        <v>68</v>
      </c>
      <c r="N483" s="1032" t="s">
        <v>68</v>
      </c>
      <c r="O483" s="1032" t="s">
        <v>550</v>
      </c>
      <c r="P483" s="1032" t="s">
        <v>551</v>
      </c>
      <c r="Q483" s="1032" t="s">
        <v>2151</v>
      </c>
      <c r="R483" s="1032" t="s">
        <v>73</v>
      </c>
      <c r="S483" s="1032" t="s">
        <v>2136</v>
      </c>
      <c r="T483" s="1032">
        <v>510</v>
      </c>
      <c r="U483" s="1032">
        <v>2376</v>
      </c>
      <c r="V483" s="1032">
        <v>1.2117599999999999</v>
      </c>
      <c r="W483" s="1032">
        <v>66</v>
      </c>
      <c r="X483" s="1032">
        <v>3</v>
      </c>
      <c r="Y483" s="1032" t="s">
        <v>951</v>
      </c>
      <c r="Z483" s="1032" t="s">
        <v>75</v>
      </c>
      <c r="AA483" s="1032" t="s">
        <v>2349</v>
      </c>
      <c r="AB483" s="1033">
        <v>46138</v>
      </c>
      <c r="AC483" s="1032">
        <v>17</v>
      </c>
      <c r="AD483" s="1032" t="s">
        <v>2355</v>
      </c>
      <c r="AF483" s="1032" t="s">
        <v>123</v>
      </c>
      <c r="AG483" s="1032" t="s">
        <v>123</v>
      </c>
      <c r="AH483" s="1032" t="s">
        <v>314</v>
      </c>
      <c r="AI483" s="1033">
        <v>46143</v>
      </c>
      <c r="AJ483" s="1033">
        <v>46146</v>
      </c>
      <c r="AK483" s="1033">
        <v>46146</v>
      </c>
      <c r="AL483" s="1033">
        <v>46190</v>
      </c>
      <c r="AM483" s="1033">
        <v>46197</v>
      </c>
      <c r="AN483" s="1033">
        <v>46198</v>
      </c>
      <c r="AO483" s="1032" t="s">
        <v>402</v>
      </c>
      <c r="AP483" s="1032" t="s">
        <v>2351</v>
      </c>
      <c r="AQ483" s="1032" t="s">
        <v>80</v>
      </c>
      <c r="AR483" s="1032" t="s">
        <v>2352</v>
      </c>
      <c r="AS483" s="1032" t="s">
        <v>2353</v>
      </c>
      <c r="AT483" s="1032" t="s">
        <v>2353</v>
      </c>
      <c r="AU483" s="1032">
        <v>52</v>
      </c>
      <c r="AW483" s="1033">
        <v>46198</v>
      </c>
      <c r="AX483" s="1032" t="s">
        <v>973</v>
      </c>
      <c r="AY483" s="1033">
        <v>46211</v>
      </c>
      <c r="AZ483" s="1032">
        <v>13</v>
      </c>
      <c r="BA483" s="1033">
        <v>46211</v>
      </c>
      <c r="BB483" s="1032">
        <v>2026</v>
      </c>
      <c r="BC483" s="1032">
        <v>7</v>
      </c>
      <c r="BD483" s="1032">
        <v>28</v>
      </c>
      <c r="BE483" s="1032">
        <v>36</v>
      </c>
      <c r="BF483" s="1032">
        <v>792</v>
      </c>
      <c r="BG483" s="1032" t="s">
        <v>85</v>
      </c>
      <c r="BH483" s="1032" t="s">
        <v>86</v>
      </c>
    </row>
    <row r="484" spans="1:60">
      <c r="A484" s="1032" t="s">
        <v>2356</v>
      </c>
      <c r="B484" s="1032" t="s">
        <v>2132</v>
      </c>
      <c r="C484" s="1032" t="s">
        <v>2150</v>
      </c>
      <c r="D484" s="1032" t="s">
        <v>63</v>
      </c>
      <c r="E484" s="1032" t="s">
        <v>64</v>
      </c>
      <c r="F484" s="1032" t="s">
        <v>310</v>
      </c>
      <c r="G484" s="1032" t="s">
        <v>402</v>
      </c>
      <c r="H484" s="1032" t="s">
        <v>311</v>
      </c>
      <c r="I484" s="1032" t="s">
        <v>1395</v>
      </c>
      <c r="J484" s="1032" t="s">
        <v>96</v>
      </c>
      <c r="M484" s="1032" t="s">
        <v>68</v>
      </c>
      <c r="N484" s="1032" t="s">
        <v>68</v>
      </c>
      <c r="O484" s="1032" t="s">
        <v>550</v>
      </c>
      <c r="P484" s="1032" t="s">
        <v>551</v>
      </c>
      <c r="Q484" s="1032" t="s">
        <v>2151</v>
      </c>
      <c r="R484" s="1032" t="s">
        <v>73</v>
      </c>
      <c r="S484" s="1032" t="s">
        <v>2136</v>
      </c>
      <c r="T484" s="1032">
        <v>510</v>
      </c>
      <c r="U484" s="1032">
        <v>1584</v>
      </c>
      <c r="V484" s="1032">
        <v>0.80784</v>
      </c>
      <c r="W484" s="1032">
        <v>44</v>
      </c>
      <c r="X484" s="1032">
        <v>2</v>
      </c>
      <c r="Y484" s="1032" t="s">
        <v>951</v>
      </c>
      <c r="Z484" s="1032" t="s">
        <v>75</v>
      </c>
      <c r="AA484" s="1032" t="s">
        <v>2357</v>
      </c>
      <c r="AB484" s="1033">
        <v>46141</v>
      </c>
      <c r="AC484" s="1032">
        <v>18</v>
      </c>
      <c r="AD484" s="1032" t="s">
        <v>2358</v>
      </c>
      <c r="AF484" s="1032" t="s">
        <v>123</v>
      </c>
      <c r="AG484" s="1032" t="s">
        <v>123</v>
      </c>
      <c r="AH484" s="1032" t="s">
        <v>1561</v>
      </c>
      <c r="AI484" s="1033">
        <v>46147</v>
      </c>
      <c r="AJ484" s="1033">
        <v>46149</v>
      </c>
      <c r="AK484" s="1033">
        <v>46149</v>
      </c>
      <c r="AL484" s="1033">
        <v>46206</v>
      </c>
      <c r="AN484" s="1033">
        <v>46205</v>
      </c>
      <c r="AO484" s="1032" t="s">
        <v>402</v>
      </c>
      <c r="AP484" s="1032" t="s">
        <v>2359</v>
      </c>
      <c r="AQ484" s="1032" t="s">
        <v>80</v>
      </c>
      <c r="AR484" s="1032" t="s">
        <v>2360</v>
      </c>
      <c r="AS484" s="1032" t="s">
        <v>2361</v>
      </c>
      <c r="AT484" s="1032" t="s">
        <v>2361</v>
      </c>
      <c r="AU484" s="1032">
        <v>56</v>
      </c>
      <c r="AW484" s="1033">
        <v>46205</v>
      </c>
      <c r="AX484" s="1032" t="s">
        <v>973</v>
      </c>
      <c r="AY484" s="1033">
        <v>46218</v>
      </c>
      <c r="AZ484" s="1032">
        <v>13</v>
      </c>
      <c r="BA484" s="1033">
        <v>46218</v>
      </c>
      <c r="BB484" s="1032">
        <v>2026</v>
      </c>
      <c r="BC484" s="1032">
        <v>7</v>
      </c>
      <c r="BD484" s="1032">
        <v>29</v>
      </c>
      <c r="BE484" s="1032">
        <v>36</v>
      </c>
      <c r="BF484" s="1032">
        <v>792</v>
      </c>
      <c r="BG484" s="1032" t="s">
        <v>85</v>
      </c>
      <c r="BH484" s="1032" t="s">
        <v>86</v>
      </c>
    </row>
    <row r="485" spans="1:60">
      <c r="A485" s="1032" t="s">
        <v>2362</v>
      </c>
      <c r="B485" s="1032" t="s">
        <v>2132</v>
      </c>
      <c r="C485" s="1032" t="s">
        <v>2150</v>
      </c>
      <c r="D485" s="1032" t="s">
        <v>63</v>
      </c>
      <c r="E485" s="1032" t="s">
        <v>64</v>
      </c>
      <c r="F485" s="1032" t="s">
        <v>114</v>
      </c>
      <c r="G485" s="1032" t="s">
        <v>402</v>
      </c>
      <c r="H485" s="1032" t="s">
        <v>115</v>
      </c>
      <c r="I485" s="1032" t="s">
        <v>882</v>
      </c>
      <c r="J485" s="1032" t="s">
        <v>96</v>
      </c>
      <c r="M485" s="1032" t="s">
        <v>68</v>
      </c>
      <c r="N485" s="1032" t="s">
        <v>68</v>
      </c>
      <c r="O485" s="1032" t="s">
        <v>550</v>
      </c>
      <c r="P485" s="1032" t="s">
        <v>551</v>
      </c>
      <c r="Q485" s="1032" t="s">
        <v>2151</v>
      </c>
      <c r="R485" s="1032" t="s">
        <v>73</v>
      </c>
      <c r="S485" s="1032" t="s">
        <v>2136</v>
      </c>
      <c r="T485" s="1032">
        <v>510</v>
      </c>
      <c r="U485" s="1032">
        <v>1584</v>
      </c>
      <c r="V485" s="1032">
        <v>0.80784</v>
      </c>
      <c r="W485" s="1032">
        <v>44</v>
      </c>
      <c r="X485" s="1032">
        <v>2</v>
      </c>
      <c r="Y485" s="1032" t="s">
        <v>951</v>
      </c>
      <c r="Z485" s="1032" t="s">
        <v>75</v>
      </c>
      <c r="AA485" s="1032" t="s">
        <v>2343</v>
      </c>
      <c r="AB485" s="1033">
        <v>46141</v>
      </c>
      <c r="AC485" s="1032">
        <v>18</v>
      </c>
      <c r="AD485" s="1032" t="s">
        <v>2363</v>
      </c>
      <c r="AF485" s="1032" t="s">
        <v>123</v>
      </c>
      <c r="AG485" s="1032" t="s">
        <v>123</v>
      </c>
      <c r="AH485" s="1032" t="s">
        <v>124</v>
      </c>
      <c r="AI485" s="1033">
        <v>46147</v>
      </c>
      <c r="AJ485" s="1033">
        <v>46147</v>
      </c>
      <c r="AK485" s="1033">
        <v>46147</v>
      </c>
      <c r="AL485" s="1033">
        <v>46184</v>
      </c>
      <c r="AM485" s="1033">
        <v>46185</v>
      </c>
      <c r="AN485" s="1033">
        <v>46192</v>
      </c>
      <c r="AO485" s="1032" t="s">
        <v>402</v>
      </c>
      <c r="AP485" s="1032" t="s">
        <v>2345</v>
      </c>
      <c r="AQ485" s="1032" t="s">
        <v>80</v>
      </c>
      <c r="AR485" s="1032" t="s">
        <v>2364</v>
      </c>
      <c r="AS485" s="1032" t="s">
        <v>2365</v>
      </c>
      <c r="AT485" s="1032" t="s">
        <v>2365</v>
      </c>
      <c r="AU485" s="1032">
        <v>45</v>
      </c>
      <c r="AW485" s="1033">
        <v>46192</v>
      </c>
      <c r="AX485" s="1032" t="s">
        <v>973</v>
      </c>
      <c r="AY485" s="1033">
        <v>46205</v>
      </c>
      <c r="AZ485" s="1032">
        <v>9</v>
      </c>
      <c r="BA485" s="1033">
        <v>46201</v>
      </c>
      <c r="BB485" s="1032">
        <v>2026</v>
      </c>
      <c r="BC485" s="1032">
        <v>6</v>
      </c>
      <c r="BD485" s="1032">
        <v>26</v>
      </c>
      <c r="BE485" s="1032">
        <v>36</v>
      </c>
      <c r="BF485" s="1032">
        <v>792</v>
      </c>
      <c r="BG485" s="1032" t="s">
        <v>85</v>
      </c>
      <c r="BH485" s="1032" t="s">
        <v>86</v>
      </c>
    </row>
    <row r="486" spans="1:60">
      <c r="A486" s="1032" t="s">
        <v>2366</v>
      </c>
      <c r="B486" s="1032" t="s">
        <v>61</v>
      </c>
      <c r="C486" s="1032" t="s">
        <v>2260</v>
      </c>
      <c r="D486" s="1032" t="s">
        <v>63</v>
      </c>
      <c r="E486" s="1032" t="s">
        <v>64</v>
      </c>
      <c r="F486" s="1032" t="s">
        <v>100</v>
      </c>
      <c r="G486" s="1032" t="s">
        <v>402</v>
      </c>
      <c r="H486" s="1032" t="s">
        <v>67</v>
      </c>
      <c r="I486" s="1032" t="s">
        <v>882</v>
      </c>
      <c r="J486" s="1032" t="s">
        <v>96</v>
      </c>
      <c r="M486" s="1032" t="s">
        <v>68</v>
      </c>
      <c r="N486" s="1032" t="s">
        <v>68</v>
      </c>
      <c r="O486" s="1032" t="s">
        <v>70</v>
      </c>
      <c r="P486" s="1032" t="s">
        <v>1151</v>
      </c>
      <c r="Q486" s="1032" t="s">
        <v>421</v>
      </c>
      <c r="R486" s="1032" t="s">
        <v>73</v>
      </c>
      <c r="S486" s="1032" t="s">
        <v>967</v>
      </c>
      <c r="T486" s="1032">
        <v>505</v>
      </c>
      <c r="U486" s="1032">
        <v>864</v>
      </c>
      <c r="V486" s="1032">
        <v>0.43631999999999999</v>
      </c>
      <c r="W486" s="1032">
        <v>24</v>
      </c>
      <c r="X486" s="1032">
        <v>1</v>
      </c>
      <c r="Y486" s="1032" t="s">
        <v>951</v>
      </c>
      <c r="Z486" s="1032" t="s">
        <v>75</v>
      </c>
      <c r="AA486" s="1032" t="s">
        <v>2183</v>
      </c>
      <c r="AB486" s="1033">
        <v>46141</v>
      </c>
      <c r="AC486" s="1032">
        <v>18</v>
      </c>
      <c r="AD486" s="1032" t="s">
        <v>2367</v>
      </c>
      <c r="AF486" s="1032" t="s">
        <v>61</v>
      </c>
      <c r="AG486" s="1032" t="s">
        <v>61</v>
      </c>
      <c r="AH486" s="1032" t="s">
        <v>105</v>
      </c>
      <c r="AI486" s="1033">
        <v>46146</v>
      </c>
      <c r="AJ486" s="1033">
        <v>46146</v>
      </c>
      <c r="AK486" s="1033">
        <v>46146</v>
      </c>
      <c r="AL486" s="1033">
        <v>46200</v>
      </c>
      <c r="AM486" s="1033">
        <v>46200</v>
      </c>
      <c r="AN486" s="1033">
        <v>46202</v>
      </c>
      <c r="AO486" s="1032" t="s">
        <v>402</v>
      </c>
      <c r="AP486" s="1032" t="s">
        <v>2368</v>
      </c>
      <c r="AQ486" s="1032" t="s">
        <v>80</v>
      </c>
      <c r="AR486" s="1032" t="s">
        <v>2369</v>
      </c>
      <c r="AS486" s="1032" t="s">
        <v>2370</v>
      </c>
      <c r="AT486" s="1032" t="s">
        <v>2370</v>
      </c>
      <c r="AU486" s="1032">
        <v>56</v>
      </c>
      <c r="AW486" s="1033">
        <v>46202</v>
      </c>
      <c r="AX486" s="1032" t="s">
        <v>973</v>
      </c>
      <c r="AY486" s="1033">
        <v>46215</v>
      </c>
      <c r="AZ486" s="1032">
        <v>7</v>
      </c>
      <c r="BA486" s="1033">
        <v>46209</v>
      </c>
      <c r="BB486" s="1032">
        <v>2026</v>
      </c>
      <c r="BC486" s="1032">
        <v>7</v>
      </c>
      <c r="BD486" s="1032">
        <v>28</v>
      </c>
      <c r="BE486" s="1032">
        <v>36</v>
      </c>
      <c r="BF486" s="1032">
        <v>864</v>
      </c>
      <c r="BG486" s="1032" t="s">
        <v>85</v>
      </c>
      <c r="BH486" s="1032" t="s">
        <v>109</v>
      </c>
    </row>
    <row r="487" spans="1:60">
      <c r="A487" s="1032" t="s">
        <v>2371</v>
      </c>
      <c r="B487" s="1032" t="s">
        <v>61</v>
      </c>
      <c r="C487" s="1032" t="s">
        <v>203</v>
      </c>
      <c r="D487" s="1032" t="s">
        <v>63</v>
      </c>
      <c r="E487" s="1032" t="s">
        <v>64</v>
      </c>
      <c r="F487" s="1032" t="s">
        <v>100</v>
      </c>
      <c r="G487" s="1032" t="s">
        <v>402</v>
      </c>
      <c r="H487" s="1032" t="s">
        <v>67</v>
      </c>
      <c r="I487" s="1032" t="s">
        <v>1395</v>
      </c>
      <c r="J487" s="1032" t="s">
        <v>2372</v>
      </c>
      <c r="M487" s="1032" t="s">
        <v>68</v>
      </c>
      <c r="N487" s="1032">
        <v>46125</v>
      </c>
      <c r="O487" s="1032" t="s">
        <v>70</v>
      </c>
      <c r="P487" s="1032" t="s">
        <v>965</v>
      </c>
      <c r="Q487" s="1032" t="s">
        <v>966</v>
      </c>
      <c r="R487" s="1032" t="s">
        <v>73</v>
      </c>
      <c r="S487" s="1032" t="s">
        <v>967</v>
      </c>
      <c r="T487" s="1032">
        <v>455</v>
      </c>
      <c r="U487" s="1032">
        <v>4680</v>
      </c>
      <c r="V487" s="1032">
        <v>2.1294</v>
      </c>
      <c r="W487" s="1032">
        <v>130</v>
      </c>
      <c r="X487" s="1032">
        <v>5</v>
      </c>
      <c r="Y487" s="1032" t="s">
        <v>951</v>
      </c>
      <c r="Z487" s="1032" t="s">
        <v>75</v>
      </c>
      <c r="AA487" s="1032" t="s">
        <v>2373</v>
      </c>
      <c r="AB487" s="1033">
        <v>46141</v>
      </c>
      <c r="AC487" s="1032">
        <v>18</v>
      </c>
      <c r="AD487" s="1032" t="s">
        <v>2374</v>
      </c>
      <c r="AF487" s="1032" t="s">
        <v>77</v>
      </c>
      <c r="AG487" s="1032" t="s">
        <v>61</v>
      </c>
      <c r="AH487" s="1032" t="s">
        <v>105</v>
      </c>
      <c r="AI487" s="1033">
        <v>46146</v>
      </c>
      <c r="AJ487" s="1033">
        <v>46146</v>
      </c>
      <c r="AK487" s="1033">
        <v>46146</v>
      </c>
      <c r="AL487" s="1033">
        <v>46189</v>
      </c>
      <c r="AM487" s="1033">
        <v>46197</v>
      </c>
      <c r="AN487" s="1033">
        <v>46197</v>
      </c>
      <c r="AO487" s="1032" t="s">
        <v>402</v>
      </c>
      <c r="AP487" s="1032" t="s">
        <v>2368</v>
      </c>
      <c r="AQ487" s="1032" t="s">
        <v>80</v>
      </c>
      <c r="AR487" s="1032" t="s">
        <v>2375</v>
      </c>
      <c r="AS487" s="1032" t="s">
        <v>2376</v>
      </c>
      <c r="AT487" s="1032" t="s">
        <v>2376</v>
      </c>
      <c r="AU487" s="1032">
        <v>51</v>
      </c>
      <c r="AW487" s="1033">
        <v>46197</v>
      </c>
      <c r="AX487" s="1032" t="s">
        <v>973</v>
      </c>
      <c r="AY487" s="1033">
        <v>46210</v>
      </c>
      <c r="AZ487" s="1032">
        <v>7</v>
      </c>
      <c r="BA487" s="1033">
        <v>46204</v>
      </c>
      <c r="BB487" s="1032">
        <v>2026</v>
      </c>
      <c r="BC487" s="1032">
        <v>7</v>
      </c>
      <c r="BD487" s="1032">
        <v>27</v>
      </c>
      <c r="BE487" s="1032">
        <v>36</v>
      </c>
      <c r="BF487" s="1032">
        <v>936</v>
      </c>
      <c r="BG487" s="1032" t="s">
        <v>85</v>
      </c>
      <c r="BH487" s="1032" t="s">
        <v>109</v>
      </c>
    </row>
    <row r="488" spans="1:60">
      <c r="A488" s="1032" t="s">
        <v>2377</v>
      </c>
      <c r="B488" s="1032" t="s">
        <v>61</v>
      </c>
      <c r="C488" s="1032" t="s">
        <v>2260</v>
      </c>
      <c r="D488" s="1032" t="s">
        <v>63</v>
      </c>
      <c r="E488" s="1032" t="s">
        <v>64</v>
      </c>
      <c r="F488" s="1032" t="s">
        <v>65</v>
      </c>
      <c r="G488" s="1032" t="s">
        <v>402</v>
      </c>
      <c r="H488" s="1032" t="s">
        <v>67</v>
      </c>
      <c r="I488" s="1032" t="s">
        <v>869</v>
      </c>
      <c r="J488" s="1032" t="s">
        <v>96</v>
      </c>
      <c r="M488" s="1032" t="s">
        <v>68</v>
      </c>
      <c r="N488" s="1032" t="s">
        <v>68</v>
      </c>
      <c r="O488" s="1032" t="s">
        <v>70</v>
      </c>
      <c r="P488" s="1032" t="s">
        <v>1151</v>
      </c>
      <c r="Q488" s="1032" t="s">
        <v>421</v>
      </c>
      <c r="R488" s="1032" t="s">
        <v>73</v>
      </c>
      <c r="S488" s="1032" t="s">
        <v>967</v>
      </c>
      <c r="T488" s="1032">
        <v>505</v>
      </c>
      <c r="U488" s="1032">
        <v>1728</v>
      </c>
      <c r="V488" s="1032">
        <v>0.87263999999999997</v>
      </c>
      <c r="W488" s="1032">
        <v>48</v>
      </c>
      <c r="X488" s="1032">
        <v>2</v>
      </c>
      <c r="Y488" s="1032" t="s">
        <v>951</v>
      </c>
      <c r="Z488" s="1032" t="s">
        <v>75</v>
      </c>
      <c r="AA488" s="1032" t="s">
        <v>2183</v>
      </c>
      <c r="AB488" s="1033">
        <v>46141</v>
      </c>
      <c r="AC488" s="1032">
        <v>18</v>
      </c>
      <c r="AD488" s="1032" t="s">
        <v>2378</v>
      </c>
      <c r="AF488" s="1032" t="s">
        <v>77</v>
      </c>
      <c r="AG488" s="1032" t="s">
        <v>61</v>
      </c>
      <c r="AH488" s="1032" t="s">
        <v>78</v>
      </c>
      <c r="AI488" s="1033">
        <v>46146</v>
      </c>
      <c r="AJ488" s="1033">
        <v>46146</v>
      </c>
      <c r="AK488" s="1033">
        <v>46146</v>
      </c>
      <c r="AL488" s="1033">
        <v>46209</v>
      </c>
      <c r="AM488" s="1033">
        <v>46209</v>
      </c>
      <c r="AN488" s="1033">
        <v>46210</v>
      </c>
      <c r="AO488" s="1032" t="s">
        <v>402</v>
      </c>
      <c r="AP488" s="1032" t="s">
        <v>2368</v>
      </c>
      <c r="AQ488" s="1032" t="s">
        <v>80</v>
      </c>
      <c r="AR488" s="1032" t="s">
        <v>2379</v>
      </c>
      <c r="AS488" s="1032" t="s">
        <v>2380</v>
      </c>
      <c r="AT488" s="1032" t="s">
        <v>2380</v>
      </c>
      <c r="AU488" s="1032">
        <v>64</v>
      </c>
      <c r="AW488" s="1033">
        <v>46210</v>
      </c>
      <c r="AX488" s="1032" t="s">
        <v>973</v>
      </c>
      <c r="AY488" s="1033">
        <v>46222</v>
      </c>
      <c r="AZ488" s="1032">
        <v>8</v>
      </c>
      <c r="BA488" s="1033">
        <v>46218</v>
      </c>
      <c r="BB488" s="1032">
        <v>2026</v>
      </c>
      <c r="BC488" s="1032">
        <v>7</v>
      </c>
      <c r="BD488" s="1032">
        <v>29</v>
      </c>
      <c r="BE488" s="1032">
        <v>36</v>
      </c>
      <c r="BF488" s="1032">
        <v>864</v>
      </c>
      <c r="BG488" s="1032" t="s">
        <v>85</v>
      </c>
      <c r="BH488" s="1032" t="s">
        <v>86</v>
      </c>
    </row>
    <row r="489" spans="1:60">
      <c r="A489" s="1032" t="s">
        <v>2381</v>
      </c>
      <c r="B489" s="1032" t="s">
        <v>61</v>
      </c>
      <c r="C489" s="1032" t="s">
        <v>2260</v>
      </c>
      <c r="D489" s="1032" t="s">
        <v>63</v>
      </c>
      <c r="E489" s="1032" t="s">
        <v>144</v>
      </c>
      <c r="F489" s="1032" t="s">
        <v>145</v>
      </c>
      <c r="G489" s="1032" t="s">
        <v>146</v>
      </c>
      <c r="H489" s="1032" t="s">
        <v>2382</v>
      </c>
      <c r="I489" s="1032" t="s">
        <v>869</v>
      </c>
      <c r="J489" s="1032" t="s">
        <v>2382</v>
      </c>
      <c r="K489" s="1032" t="s">
        <v>2383</v>
      </c>
      <c r="L489" s="1032" t="s">
        <v>2384</v>
      </c>
      <c r="M489" s="1032" t="s">
        <v>840</v>
      </c>
      <c r="N489" s="1032" t="s">
        <v>68</v>
      </c>
      <c r="O489" s="1032" t="s">
        <v>70</v>
      </c>
      <c r="P489" s="1032" t="s">
        <v>1151</v>
      </c>
      <c r="Q489" s="1032" t="s">
        <v>421</v>
      </c>
      <c r="R489" s="1032" t="s">
        <v>73</v>
      </c>
      <c r="S489" s="1032" t="s">
        <v>967</v>
      </c>
      <c r="T489" s="1032">
        <v>505</v>
      </c>
      <c r="U489" s="1032">
        <v>1728</v>
      </c>
      <c r="V489" s="1032">
        <v>0.87263999999999997</v>
      </c>
      <c r="W489" s="1032">
        <v>48</v>
      </c>
      <c r="X489" s="1032">
        <v>2</v>
      </c>
      <c r="Y489" s="1032" t="s">
        <v>951</v>
      </c>
      <c r="Z489" s="1032" t="s">
        <v>75</v>
      </c>
      <c r="AA489" s="1032" t="s">
        <v>2183</v>
      </c>
      <c r="AB489" s="1033">
        <v>46141</v>
      </c>
      <c r="AC489" s="1032">
        <v>18</v>
      </c>
      <c r="AD489" s="1032" t="s">
        <v>2385</v>
      </c>
      <c r="AF489" s="1032" t="s">
        <v>77</v>
      </c>
      <c r="AG489" s="1032" t="s">
        <v>61</v>
      </c>
      <c r="AH489" s="1032" t="s">
        <v>78</v>
      </c>
      <c r="AI489" s="1033">
        <v>46146</v>
      </c>
      <c r="AJ489" s="1033">
        <v>46146</v>
      </c>
      <c r="AK489" s="1033">
        <v>46146</v>
      </c>
      <c r="AL489" s="1033">
        <v>46209</v>
      </c>
      <c r="AM489" s="1033">
        <v>46209</v>
      </c>
      <c r="AN489" s="1033">
        <v>46210</v>
      </c>
      <c r="AO489" s="1032" t="s">
        <v>402</v>
      </c>
      <c r="AP489" s="1032" t="s">
        <v>2368</v>
      </c>
      <c r="AQ489" s="1032" t="s">
        <v>80</v>
      </c>
      <c r="AR489" s="1032" t="s">
        <v>2379</v>
      </c>
      <c r="AS489" s="1032" t="s">
        <v>2386</v>
      </c>
      <c r="AT489" s="1032" t="s">
        <v>2380</v>
      </c>
      <c r="AU489" s="1032">
        <v>64</v>
      </c>
      <c r="AW489" s="1033">
        <v>46210</v>
      </c>
      <c r="AX489" s="1032" t="s">
        <v>973</v>
      </c>
      <c r="AY489" s="1033">
        <v>46222</v>
      </c>
      <c r="AZ489" s="1032">
        <v>0</v>
      </c>
      <c r="BA489" s="1033">
        <v>46210</v>
      </c>
      <c r="BB489" s="1032">
        <v>2026</v>
      </c>
      <c r="BC489" s="1032">
        <v>7</v>
      </c>
      <c r="BD489" s="1032">
        <v>28</v>
      </c>
      <c r="BE489" s="1032">
        <v>36</v>
      </c>
      <c r="BF489" s="1032">
        <v>864</v>
      </c>
      <c r="BG489" s="1032" t="s">
        <v>85</v>
      </c>
      <c r="BH489" s="1032" t="s">
        <v>86</v>
      </c>
    </row>
    <row r="490" spans="1:60">
      <c r="A490" s="1032" t="s">
        <v>2387</v>
      </c>
      <c r="B490" s="1032" t="s">
        <v>61</v>
      </c>
      <c r="C490" s="1032" t="s">
        <v>2268</v>
      </c>
      <c r="D490" s="1032" t="s">
        <v>63</v>
      </c>
      <c r="E490" s="1032" t="s">
        <v>144</v>
      </c>
      <c r="F490" s="1032" t="s">
        <v>145</v>
      </c>
      <c r="G490" s="1032" t="s">
        <v>402</v>
      </c>
      <c r="H490" s="1032" t="s">
        <v>1029</v>
      </c>
      <c r="I490" s="1032" t="s">
        <v>689</v>
      </c>
      <c r="J490" s="1032" t="s">
        <v>2388</v>
      </c>
      <c r="K490" s="1032" t="s">
        <v>2389</v>
      </c>
      <c r="L490" s="1032">
        <v>1</v>
      </c>
      <c r="M490" s="1032" t="s">
        <v>840</v>
      </c>
      <c r="N490" s="1032" t="s">
        <v>68</v>
      </c>
      <c r="O490" s="1032" t="s">
        <v>70</v>
      </c>
      <c r="P490" s="1032" t="s">
        <v>71</v>
      </c>
      <c r="Q490" s="1032" t="s">
        <v>72</v>
      </c>
      <c r="R490" s="1032" t="s">
        <v>73</v>
      </c>
      <c r="S490" s="1032" t="s">
        <v>967</v>
      </c>
      <c r="T490" s="1032">
        <v>500</v>
      </c>
      <c r="U490" s="1032">
        <v>864</v>
      </c>
      <c r="V490" s="1032">
        <v>0.432</v>
      </c>
      <c r="W490" s="1032">
        <v>24</v>
      </c>
      <c r="X490" s="1032">
        <v>1</v>
      </c>
      <c r="Y490" s="1032" t="s">
        <v>951</v>
      </c>
      <c r="Z490" s="1032" t="s">
        <v>75</v>
      </c>
      <c r="AB490" s="1033">
        <v>46141</v>
      </c>
      <c r="AC490" s="1032">
        <v>18</v>
      </c>
      <c r="AD490" s="1032" t="s">
        <v>2390</v>
      </c>
      <c r="AF490" s="1032" t="s">
        <v>77</v>
      </c>
      <c r="AG490" s="1032" t="s">
        <v>61</v>
      </c>
      <c r="AH490" s="1032" t="s">
        <v>888</v>
      </c>
      <c r="AI490" s="1033">
        <v>46146</v>
      </c>
      <c r="AJ490" s="1033">
        <v>46146</v>
      </c>
      <c r="AK490" s="1033">
        <v>46146</v>
      </c>
      <c r="AL490" s="1033">
        <v>46204</v>
      </c>
      <c r="AM490" s="1033">
        <v>46211</v>
      </c>
      <c r="AN490" s="1033">
        <v>46211</v>
      </c>
      <c r="AO490" s="1032" t="s">
        <v>402</v>
      </c>
      <c r="AP490" s="1032" t="s">
        <v>2368</v>
      </c>
      <c r="AQ490" s="1032" t="s">
        <v>80</v>
      </c>
      <c r="AR490" s="1032" t="s">
        <v>2391</v>
      </c>
      <c r="AS490" s="1032" t="s">
        <v>2392</v>
      </c>
      <c r="AT490" s="1032" t="s">
        <v>2392</v>
      </c>
      <c r="AU490" s="1032">
        <v>65</v>
      </c>
      <c r="AW490" s="1033">
        <v>46211</v>
      </c>
      <c r="AX490" s="1032" t="s">
        <v>973</v>
      </c>
      <c r="AY490" s="1033">
        <v>46203</v>
      </c>
      <c r="AZ490" s="1032">
        <v>0</v>
      </c>
      <c r="BA490" s="1033">
        <v>46211</v>
      </c>
      <c r="BB490" s="1032">
        <v>2026</v>
      </c>
      <c r="BC490" s="1032">
        <v>7</v>
      </c>
      <c r="BD490" s="1032">
        <v>28</v>
      </c>
      <c r="BE490" s="1032">
        <v>36</v>
      </c>
      <c r="BF490" s="1032">
        <v>864</v>
      </c>
      <c r="BG490" s="1032" t="s">
        <v>85</v>
      </c>
      <c r="BH490" s="1032" t="s">
        <v>109</v>
      </c>
    </row>
    <row r="491" spans="1:60">
      <c r="A491" s="1032" t="s">
        <v>2393</v>
      </c>
      <c r="B491" s="1032" t="s">
        <v>61</v>
      </c>
      <c r="C491" s="1032" t="s">
        <v>2268</v>
      </c>
      <c r="D491" s="1032" t="s">
        <v>63</v>
      </c>
      <c r="E491" s="1032" t="s">
        <v>144</v>
      </c>
      <c r="F491" s="1032" t="s">
        <v>145</v>
      </c>
      <c r="G491" s="1032" t="s">
        <v>402</v>
      </c>
      <c r="H491" s="1032" t="s">
        <v>2394</v>
      </c>
      <c r="I491" s="1032" t="s">
        <v>689</v>
      </c>
      <c r="J491" s="1032" t="s">
        <v>2395</v>
      </c>
      <c r="K491" s="1032" t="s">
        <v>2396</v>
      </c>
      <c r="M491" s="1032" t="s">
        <v>840</v>
      </c>
      <c r="N491" s="1032" t="s">
        <v>68</v>
      </c>
      <c r="O491" s="1032" t="s">
        <v>70</v>
      </c>
      <c r="P491" s="1032" t="s">
        <v>71</v>
      </c>
      <c r="Q491" s="1032" t="s">
        <v>72</v>
      </c>
      <c r="R491" s="1032" t="s">
        <v>73</v>
      </c>
      <c r="S491" s="1032" t="s">
        <v>967</v>
      </c>
      <c r="T491" s="1032">
        <v>500</v>
      </c>
      <c r="U491" s="1032">
        <v>5184</v>
      </c>
      <c r="V491" s="1032">
        <v>2.5920000000000001</v>
      </c>
      <c r="W491" s="1032">
        <v>144</v>
      </c>
      <c r="X491" s="1032">
        <v>6</v>
      </c>
      <c r="Y491" s="1032" t="s">
        <v>951</v>
      </c>
      <c r="Z491" s="1032" t="s">
        <v>75</v>
      </c>
      <c r="AB491" s="1033">
        <v>46136</v>
      </c>
      <c r="AC491" s="1032">
        <v>17</v>
      </c>
      <c r="AD491" s="1032" t="s">
        <v>2397</v>
      </c>
      <c r="AF491" s="1032" t="s">
        <v>77</v>
      </c>
      <c r="AG491" s="1032" t="s">
        <v>61</v>
      </c>
      <c r="AH491" s="1032" t="s">
        <v>888</v>
      </c>
      <c r="AI491" s="1033">
        <v>46144</v>
      </c>
      <c r="AJ491" s="1033">
        <v>46149</v>
      </c>
      <c r="AK491" s="1033">
        <v>46149</v>
      </c>
      <c r="AL491" s="1033">
        <v>46208</v>
      </c>
      <c r="AM491" s="1033">
        <v>46206</v>
      </c>
      <c r="AN491" s="1033">
        <v>46207</v>
      </c>
      <c r="AO491" s="1032" t="s">
        <v>402</v>
      </c>
      <c r="AP491" s="1032" t="s">
        <v>2398</v>
      </c>
      <c r="AQ491" s="1032" t="s">
        <v>161</v>
      </c>
      <c r="AR491" s="1032" t="s">
        <v>2399</v>
      </c>
      <c r="AS491" s="1032" t="s">
        <v>2400</v>
      </c>
      <c r="AT491" s="1032" t="s">
        <v>2401</v>
      </c>
      <c r="AU491" s="1032">
        <v>58</v>
      </c>
      <c r="AW491" s="1033">
        <v>46207</v>
      </c>
      <c r="AX491" s="1032" t="s">
        <v>973</v>
      </c>
      <c r="AY491" s="1033">
        <v>46202</v>
      </c>
      <c r="AZ491" s="1032">
        <v>0</v>
      </c>
      <c r="BA491" s="1033">
        <v>46207</v>
      </c>
      <c r="BB491" s="1032">
        <v>2026</v>
      </c>
      <c r="BC491" s="1032">
        <v>7</v>
      </c>
      <c r="BD491" s="1032">
        <v>27</v>
      </c>
      <c r="BE491" s="1032">
        <v>36</v>
      </c>
      <c r="BF491" s="1032">
        <v>864</v>
      </c>
      <c r="BG491" s="1032" t="s">
        <v>85</v>
      </c>
      <c r="BH491" s="1032" t="s">
        <v>109</v>
      </c>
    </row>
    <row r="492" spans="1:60">
      <c r="A492" s="1032" t="s">
        <v>2402</v>
      </c>
      <c r="B492" s="1032" t="s">
        <v>61</v>
      </c>
      <c r="C492" s="1032" t="s">
        <v>2268</v>
      </c>
      <c r="D492" s="1032" t="s">
        <v>63</v>
      </c>
      <c r="E492" s="1032" t="s">
        <v>144</v>
      </c>
      <c r="F492" s="1032" t="s">
        <v>145</v>
      </c>
      <c r="G492" s="1032" t="s">
        <v>402</v>
      </c>
      <c r="H492" s="1032" t="s">
        <v>1029</v>
      </c>
      <c r="I492" s="1032" t="s">
        <v>689</v>
      </c>
      <c r="J492" s="1032" t="s">
        <v>2388</v>
      </c>
      <c r="K492" s="1032" t="s">
        <v>2389</v>
      </c>
      <c r="L492" s="1032">
        <v>1</v>
      </c>
      <c r="M492" s="1032" t="s">
        <v>840</v>
      </c>
      <c r="N492" s="1032" t="s">
        <v>68</v>
      </c>
      <c r="O492" s="1032" t="s">
        <v>70</v>
      </c>
      <c r="P492" s="1032" t="s">
        <v>71</v>
      </c>
      <c r="Q492" s="1032" t="s">
        <v>72</v>
      </c>
      <c r="R492" s="1032" t="s">
        <v>73</v>
      </c>
      <c r="S492" s="1032" t="s">
        <v>967</v>
      </c>
      <c r="T492" s="1032">
        <v>500</v>
      </c>
      <c r="U492" s="1032">
        <v>4320</v>
      </c>
      <c r="V492" s="1032">
        <v>2.16</v>
      </c>
      <c r="W492" s="1032">
        <v>120</v>
      </c>
      <c r="X492" s="1032">
        <v>5</v>
      </c>
      <c r="Y492" s="1032" t="s">
        <v>951</v>
      </c>
      <c r="Z492" s="1032" t="s">
        <v>75</v>
      </c>
      <c r="AB492" s="1033">
        <v>46136</v>
      </c>
      <c r="AC492" s="1032">
        <v>17</v>
      </c>
      <c r="AD492" s="1032" t="s">
        <v>2403</v>
      </c>
      <c r="AF492" s="1032" t="s">
        <v>77</v>
      </c>
      <c r="AG492" s="1032" t="s">
        <v>61</v>
      </c>
      <c r="AH492" s="1032" t="s">
        <v>888</v>
      </c>
      <c r="AI492" s="1033">
        <v>46144</v>
      </c>
      <c r="AJ492" s="1033">
        <v>46149</v>
      </c>
      <c r="AK492" s="1033">
        <v>46149</v>
      </c>
      <c r="AL492" s="1033">
        <v>46208</v>
      </c>
      <c r="AM492" s="1033">
        <v>46206</v>
      </c>
      <c r="AN492" s="1033">
        <v>46207</v>
      </c>
      <c r="AO492" s="1032" t="s">
        <v>402</v>
      </c>
      <c r="AP492" s="1032" t="s">
        <v>2398</v>
      </c>
      <c r="AQ492" s="1032" t="s">
        <v>161</v>
      </c>
      <c r="AR492" s="1032" t="s">
        <v>2404</v>
      </c>
      <c r="AS492" s="1032" t="s">
        <v>2405</v>
      </c>
      <c r="AT492" s="1032" t="s">
        <v>2406</v>
      </c>
      <c r="AU492" s="1032">
        <v>58</v>
      </c>
      <c r="AW492" s="1033">
        <v>46207</v>
      </c>
      <c r="AX492" s="1032" t="s">
        <v>973</v>
      </c>
      <c r="AY492" s="1033">
        <v>46202</v>
      </c>
      <c r="AZ492" s="1032">
        <v>0</v>
      </c>
      <c r="BA492" s="1033">
        <v>46207</v>
      </c>
      <c r="BB492" s="1032">
        <v>2026</v>
      </c>
      <c r="BC492" s="1032">
        <v>7</v>
      </c>
      <c r="BD492" s="1032">
        <v>27</v>
      </c>
      <c r="BE492" s="1032">
        <v>36</v>
      </c>
      <c r="BF492" s="1032">
        <v>864</v>
      </c>
      <c r="BG492" s="1032" t="s">
        <v>85</v>
      </c>
      <c r="BH492" s="1032" t="s">
        <v>109</v>
      </c>
    </row>
    <row r="493" spans="1:60">
      <c r="A493" s="1032" t="s">
        <v>2407</v>
      </c>
      <c r="B493" s="1032" t="s">
        <v>1888</v>
      </c>
      <c r="C493" s="1032" t="s">
        <v>1016</v>
      </c>
      <c r="D493" s="1032" t="s">
        <v>63</v>
      </c>
      <c r="E493" s="1032" t="s">
        <v>144</v>
      </c>
      <c r="F493" s="1032" t="s">
        <v>145</v>
      </c>
      <c r="G493" s="1032" t="s">
        <v>402</v>
      </c>
      <c r="H493" s="1032" t="s">
        <v>1080</v>
      </c>
      <c r="I493" s="1032" t="s">
        <v>689</v>
      </c>
      <c r="J493" s="1032" t="s">
        <v>2408</v>
      </c>
      <c r="K493" s="1032" t="s">
        <v>2253</v>
      </c>
      <c r="L493" s="1032">
        <v>2</v>
      </c>
      <c r="M493" s="1032" t="s">
        <v>840</v>
      </c>
      <c r="N493" s="1032">
        <v>46111</v>
      </c>
      <c r="O493" s="1032" t="s">
        <v>70</v>
      </c>
      <c r="P493" s="1032" t="s">
        <v>195</v>
      </c>
      <c r="Q493" s="1032" t="s">
        <v>196</v>
      </c>
      <c r="R493" s="1032" t="s">
        <v>73</v>
      </c>
      <c r="S493" s="1032" t="s">
        <v>967</v>
      </c>
      <c r="T493" s="1032">
        <v>450</v>
      </c>
      <c r="U493" s="1032">
        <v>1872</v>
      </c>
      <c r="V493" s="1032">
        <v>0.84240000000000004</v>
      </c>
      <c r="W493" s="1032">
        <v>52</v>
      </c>
      <c r="X493" s="1032">
        <v>2</v>
      </c>
      <c r="Y493" s="1032" t="s">
        <v>951</v>
      </c>
      <c r="Z493" s="1032" t="s">
        <v>75</v>
      </c>
      <c r="AA493" s="1032" t="s">
        <v>2038</v>
      </c>
      <c r="AB493" s="1033">
        <v>46146</v>
      </c>
      <c r="AC493" s="1032">
        <v>19</v>
      </c>
      <c r="AD493" s="1032" t="s">
        <v>2409</v>
      </c>
      <c r="AF493" s="1032" t="s">
        <v>1891</v>
      </c>
      <c r="AG493" s="1032" t="s">
        <v>123</v>
      </c>
      <c r="AH493" s="1032" t="s">
        <v>1084</v>
      </c>
      <c r="AI493" s="1033">
        <v>46150</v>
      </c>
      <c r="AJ493" s="1033">
        <v>46155</v>
      </c>
      <c r="AK493" s="1033">
        <v>46155</v>
      </c>
      <c r="AL493" s="1033">
        <v>46191</v>
      </c>
      <c r="AM493" s="1033">
        <v>46196</v>
      </c>
      <c r="AN493" s="1033">
        <v>46196</v>
      </c>
      <c r="AO493" s="1032" t="s">
        <v>402</v>
      </c>
      <c r="AP493" s="1032" t="s">
        <v>2410</v>
      </c>
      <c r="AQ493" s="1032" t="s">
        <v>161</v>
      </c>
      <c r="AR493" s="1032" t="s">
        <v>2411</v>
      </c>
      <c r="AS493" s="1032" t="s">
        <v>2412</v>
      </c>
      <c r="AT493" s="1032" t="s">
        <v>2413</v>
      </c>
      <c r="AU493" s="1032">
        <v>41</v>
      </c>
      <c r="AW493" s="1033">
        <v>46196</v>
      </c>
      <c r="AX493" s="1032" t="s">
        <v>973</v>
      </c>
      <c r="AY493" s="1033">
        <v>46190</v>
      </c>
      <c r="AZ493" s="1032">
        <v>0</v>
      </c>
      <c r="BA493" s="1033">
        <v>46196</v>
      </c>
      <c r="BB493" s="1032">
        <v>2026</v>
      </c>
      <c r="BC493" s="1032">
        <v>6</v>
      </c>
      <c r="BD493" s="1032">
        <v>26</v>
      </c>
      <c r="BE493" s="1032">
        <v>36</v>
      </c>
      <c r="BF493" s="1032">
        <v>936</v>
      </c>
      <c r="BG493" s="1032" t="s">
        <v>85</v>
      </c>
      <c r="BH493" s="1032" t="s">
        <v>109</v>
      </c>
    </row>
    <row r="494" spans="1:60">
      <c r="A494" s="1032" t="s">
        <v>2414</v>
      </c>
      <c r="B494" s="1032" t="s">
        <v>61</v>
      </c>
      <c r="C494" s="1032" t="s">
        <v>2415</v>
      </c>
      <c r="D494" s="1032" t="s">
        <v>63</v>
      </c>
      <c r="E494" s="1032" t="s">
        <v>64</v>
      </c>
      <c r="F494" s="1032" t="s">
        <v>65</v>
      </c>
      <c r="G494" s="1032" t="s">
        <v>402</v>
      </c>
      <c r="H494" s="1032" t="s">
        <v>67</v>
      </c>
      <c r="I494" s="1032" t="s">
        <v>1395</v>
      </c>
      <c r="J494" s="1032" t="s">
        <v>96</v>
      </c>
      <c r="M494" s="1032" t="s">
        <v>68</v>
      </c>
      <c r="N494" s="1032">
        <v>46139</v>
      </c>
      <c r="O494" s="1032" t="s">
        <v>550</v>
      </c>
      <c r="P494" s="1032" t="s">
        <v>551</v>
      </c>
      <c r="Q494" s="1032" t="s">
        <v>2151</v>
      </c>
      <c r="R494" s="1032" t="s">
        <v>73</v>
      </c>
      <c r="S494" s="1032" t="s">
        <v>2136</v>
      </c>
      <c r="T494" s="1032">
        <v>510</v>
      </c>
      <c r="U494" s="1032">
        <v>3168</v>
      </c>
      <c r="V494" s="1032">
        <v>1.61568</v>
      </c>
      <c r="W494" s="1032">
        <v>88</v>
      </c>
      <c r="X494" s="1032">
        <v>4</v>
      </c>
      <c r="Y494" s="1032" t="s">
        <v>951</v>
      </c>
      <c r="Z494" s="1032" t="s">
        <v>75</v>
      </c>
      <c r="AA494" s="1032" t="s">
        <v>2416</v>
      </c>
      <c r="AB494" s="1033">
        <v>46153</v>
      </c>
      <c r="AC494" s="1032">
        <v>20</v>
      </c>
      <c r="AD494" s="1032" t="s">
        <v>2417</v>
      </c>
      <c r="AF494" s="1032" t="s">
        <v>122</v>
      </c>
      <c r="AG494" s="1032" t="s">
        <v>123</v>
      </c>
      <c r="AH494" s="1032" t="s">
        <v>356</v>
      </c>
      <c r="AI494" s="1033">
        <v>46158</v>
      </c>
      <c r="AJ494" s="1033">
        <v>46158</v>
      </c>
      <c r="AK494" s="1033">
        <v>46158</v>
      </c>
      <c r="AL494" s="1033">
        <v>46214</v>
      </c>
      <c r="AN494" s="1033">
        <v>46217</v>
      </c>
      <c r="AO494" s="1032" t="s">
        <v>402</v>
      </c>
      <c r="AP494" s="1032" t="s">
        <v>2418</v>
      </c>
      <c r="AQ494" s="1032" t="s">
        <v>161</v>
      </c>
      <c r="AR494" s="1032" t="s">
        <v>2419</v>
      </c>
      <c r="AS494" s="1032" t="s">
        <v>2420</v>
      </c>
      <c r="AT494" s="1032" t="s">
        <v>2420</v>
      </c>
      <c r="AU494" s="1032">
        <v>59</v>
      </c>
      <c r="AW494" s="1033">
        <v>46217</v>
      </c>
      <c r="AX494" s="1032" t="s">
        <v>973</v>
      </c>
      <c r="AY494" s="1033">
        <v>46226</v>
      </c>
      <c r="AZ494" s="1032">
        <v>8</v>
      </c>
      <c r="BA494" s="1033">
        <v>46225</v>
      </c>
      <c r="BB494" s="1032">
        <v>2026</v>
      </c>
      <c r="BC494" s="1032">
        <v>7</v>
      </c>
      <c r="BD494" s="1032">
        <v>30</v>
      </c>
      <c r="BE494" s="1032">
        <v>36</v>
      </c>
      <c r="BF494" s="1032">
        <v>792</v>
      </c>
      <c r="BG494" s="1032" t="s">
        <v>85</v>
      </c>
      <c r="BH494" s="1032" t="s">
        <v>109</v>
      </c>
    </row>
    <row r="495" spans="1:60">
      <c r="A495" s="1032" t="s">
        <v>2421</v>
      </c>
      <c r="B495" s="1032" t="s">
        <v>111</v>
      </c>
      <c r="C495" s="1032" t="s">
        <v>2422</v>
      </c>
      <c r="D495" s="1032" t="s">
        <v>63</v>
      </c>
      <c r="E495" s="1032" t="s">
        <v>64</v>
      </c>
      <c r="F495" s="1032" t="s">
        <v>100</v>
      </c>
      <c r="G495" s="1032" t="s">
        <v>402</v>
      </c>
      <c r="H495" s="1032" t="s">
        <v>67</v>
      </c>
      <c r="I495" s="1032" t="s">
        <v>689</v>
      </c>
      <c r="J495" s="1032" t="s">
        <v>96</v>
      </c>
      <c r="M495" s="1032" t="s">
        <v>68</v>
      </c>
      <c r="N495" s="1032">
        <v>46146</v>
      </c>
      <c r="O495" s="1032" t="s">
        <v>132</v>
      </c>
      <c r="P495" s="1032" t="s">
        <v>1062</v>
      </c>
      <c r="Q495" s="1032" t="s">
        <v>1063</v>
      </c>
      <c r="R495" s="1032" t="s">
        <v>73</v>
      </c>
      <c r="S495" s="1032" t="s">
        <v>967</v>
      </c>
      <c r="T495" s="1032">
        <v>470</v>
      </c>
      <c r="U495" s="1032">
        <v>6912</v>
      </c>
      <c r="V495" s="1032">
        <v>3.24864</v>
      </c>
      <c r="W495" s="1032">
        <v>192</v>
      </c>
      <c r="X495" s="1032">
        <v>8</v>
      </c>
      <c r="Y495" s="1032" t="s">
        <v>951</v>
      </c>
      <c r="Z495" s="1032" t="s">
        <v>75</v>
      </c>
      <c r="AA495" s="1032" t="s">
        <v>2423</v>
      </c>
      <c r="AB495" s="1033">
        <v>46147</v>
      </c>
      <c r="AC495" s="1032">
        <v>19</v>
      </c>
      <c r="AD495" s="1032" t="s">
        <v>2424</v>
      </c>
      <c r="AF495" s="1032" t="s">
        <v>123</v>
      </c>
      <c r="AG495" s="1032" t="s">
        <v>123</v>
      </c>
      <c r="AH495" s="1032" t="s">
        <v>105</v>
      </c>
      <c r="AI495" s="1033">
        <v>46152</v>
      </c>
      <c r="AJ495" s="1033">
        <v>46155</v>
      </c>
      <c r="AK495" s="1033">
        <v>46155</v>
      </c>
      <c r="AL495" s="1033">
        <v>46189</v>
      </c>
      <c r="AM495" s="1033">
        <v>46197</v>
      </c>
      <c r="AN495" s="1033">
        <v>46197</v>
      </c>
      <c r="AO495" s="1032" t="s">
        <v>402</v>
      </c>
      <c r="AP495" s="1032" t="s">
        <v>2368</v>
      </c>
      <c r="AQ495" s="1032" t="s">
        <v>80</v>
      </c>
      <c r="AR495" s="1032" t="s">
        <v>2425</v>
      </c>
      <c r="AS495" s="1032" t="s">
        <v>2426</v>
      </c>
      <c r="AT495" s="1032" t="s">
        <v>2426</v>
      </c>
      <c r="AU495" s="1032">
        <v>42</v>
      </c>
      <c r="AW495" s="1033">
        <v>46197</v>
      </c>
      <c r="AX495" s="1032" t="s">
        <v>973</v>
      </c>
      <c r="AY495" s="1033">
        <v>46210</v>
      </c>
      <c r="AZ495" s="1032">
        <v>7</v>
      </c>
      <c r="BA495" s="1033">
        <v>46204</v>
      </c>
      <c r="BB495" s="1032">
        <v>2026</v>
      </c>
      <c r="BC495" s="1032">
        <v>7</v>
      </c>
      <c r="BD495" s="1032">
        <v>27</v>
      </c>
      <c r="BE495" s="1032">
        <v>36</v>
      </c>
      <c r="BF495" s="1032">
        <v>864</v>
      </c>
      <c r="BG495" s="1032" t="s">
        <v>108</v>
      </c>
      <c r="BH495" s="1032" t="s">
        <v>109</v>
      </c>
    </row>
    <row r="496" spans="1:60">
      <c r="A496" s="1032" t="s">
        <v>2427</v>
      </c>
      <c r="B496" s="1032" t="s">
        <v>111</v>
      </c>
      <c r="C496" s="1032" t="s">
        <v>2422</v>
      </c>
      <c r="D496" s="1032" t="s">
        <v>63</v>
      </c>
      <c r="E496" s="1032" t="s">
        <v>64</v>
      </c>
      <c r="F496" s="1032" t="s">
        <v>450</v>
      </c>
      <c r="G496" s="1032" t="s">
        <v>402</v>
      </c>
      <c r="H496" s="1032" t="s">
        <v>451</v>
      </c>
      <c r="I496" s="1032" t="s">
        <v>689</v>
      </c>
      <c r="J496" s="1032" t="s">
        <v>96</v>
      </c>
      <c r="M496" s="1032" t="s">
        <v>68</v>
      </c>
      <c r="N496" s="1032">
        <v>46146</v>
      </c>
      <c r="O496" s="1032" t="s">
        <v>132</v>
      </c>
      <c r="P496" s="1032" t="s">
        <v>1062</v>
      </c>
      <c r="Q496" s="1032" t="s">
        <v>1063</v>
      </c>
      <c r="R496" s="1032" t="s">
        <v>73</v>
      </c>
      <c r="S496" s="1032" t="s">
        <v>967</v>
      </c>
      <c r="T496" s="1032">
        <v>470</v>
      </c>
      <c r="U496" s="1032">
        <v>1728</v>
      </c>
      <c r="V496" s="1032">
        <v>0.81215999999999999</v>
      </c>
      <c r="W496" s="1032">
        <v>48</v>
      </c>
      <c r="X496" s="1032">
        <v>2</v>
      </c>
      <c r="Y496" s="1032" t="s">
        <v>951</v>
      </c>
      <c r="Z496" s="1032" t="s">
        <v>75</v>
      </c>
      <c r="AA496" s="1032" t="s">
        <v>2428</v>
      </c>
      <c r="AB496" s="1033">
        <v>46152</v>
      </c>
      <c r="AC496" s="1032">
        <v>19</v>
      </c>
      <c r="AD496" s="1032" t="s">
        <v>2429</v>
      </c>
      <c r="AF496" s="1032" t="s">
        <v>123</v>
      </c>
      <c r="AG496" s="1032" t="s">
        <v>123</v>
      </c>
      <c r="AH496" s="1032" t="s">
        <v>456</v>
      </c>
      <c r="AI496" s="1033">
        <v>46156</v>
      </c>
      <c r="AJ496" s="1033">
        <v>46155</v>
      </c>
      <c r="AK496" s="1033">
        <v>46154</v>
      </c>
      <c r="AL496" s="1033">
        <v>46193</v>
      </c>
      <c r="AM496" s="1033">
        <v>46212</v>
      </c>
      <c r="AN496" s="1033">
        <v>46213</v>
      </c>
      <c r="AO496" s="1032" t="s">
        <v>402</v>
      </c>
      <c r="AP496" s="1032" t="s">
        <v>2430</v>
      </c>
      <c r="AQ496" s="1032" t="s">
        <v>161</v>
      </c>
      <c r="AR496" s="1032" t="s">
        <v>2431</v>
      </c>
      <c r="AS496" s="1032" t="s">
        <v>2432</v>
      </c>
      <c r="AT496" s="1032" t="s">
        <v>2433</v>
      </c>
      <c r="AU496" s="1032">
        <v>59</v>
      </c>
      <c r="AW496" s="1033">
        <v>46213</v>
      </c>
      <c r="AX496" s="1032" t="s">
        <v>2434</v>
      </c>
      <c r="AY496" s="1033">
        <v>46219</v>
      </c>
      <c r="AZ496" s="1032">
        <v>7</v>
      </c>
      <c r="BA496" s="1033">
        <v>46220</v>
      </c>
      <c r="BB496" s="1032">
        <v>2026</v>
      </c>
      <c r="BC496" s="1032">
        <v>7</v>
      </c>
      <c r="BD496" s="1032">
        <v>29</v>
      </c>
      <c r="BE496" s="1032">
        <v>36</v>
      </c>
      <c r="BF496" s="1032">
        <v>864</v>
      </c>
      <c r="BG496" s="1032" t="s">
        <v>108</v>
      </c>
      <c r="BH496" s="1032" t="s">
        <v>109</v>
      </c>
    </row>
    <row r="497" spans="1:60">
      <c r="A497" s="1032" t="s">
        <v>2435</v>
      </c>
      <c r="B497" s="1032" t="s">
        <v>111</v>
      </c>
      <c r="C497" s="1032" t="s">
        <v>2190</v>
      </c>
      <c r="D497" s="1032" t="s">
        <v>63</v>
      </c>
      <c r="E497" s="1032" t="s">
        <v>64</v>
      </c>
      <c r="F497" s="1032" t="s">
        <v>450</v>
      </c>
      <c r="G497" s="1032" t="s">
        <v>402</v>
      </c>
      <c r="H497" s="1032" t="s">
        <v>451</v>
      </c>
      <c r="I497" s="1032" t="s">
        <v>689</v>
      </c>
      <c r="J497" s="1032" t="s">
        <v>96</v>
      </c>
      <c r="M497" s="1032" t="s">
        <v>68</v>
      </c>
      <c r="N497" s="1032">
        <v>46139</v>
      </c>
      <c r="O497" s="1032" t="s">
        <v>473</v>
      </c>
      <c r="P497" s="1032" t="s">
        <v>474</v>
      </c>
      <c r="Q497" s="1032" t="s">
        <v>1319</v>
      </c>
      <c r="R497" s="1032" t="s">
        <v>73</v>
      </c>
      <c r="S497" s="1032" t="s">
        <v>967</v>
      </c>
      <c r="T497" s="1032">
        <v>460</v>
      </c>
      <c r="U497" s="1032">
        <v>1728</v>
      </c>
      <c r="V497" s="1032">
        <v>0.79488000000000003</v>
      </c>
      <c r="W497" s="1032">
        <v>48</v>
      </c>
      <c r="X497" s="1032">
        <v>2</v>
      </c>
      <c r="Y497" s="1032" t="s">
        <v>951</v>
      </c>
      <c r="Z497" s="1032" t="s">
        <v>75</v>
      </c>
      <c r="AA497" s="1032" t="s">
        <v>2423</v>
      </c>
      <c r="AB497" s="1033">
        <v>46152</v>
      </c>
      <c r="AC497" s="1032">
        <v>19</v>
      </c>
      <c r="AD497" s="1032" t="s">
        <v>2436</v>
      </c>
      <c r="AF497" s="1032" t="s">
        <v>123</v>
      </c>
      <c r="AG497" s="1032" t="s">
        <v>123</v>
      </c>
      <c r="AH497" s="1032" t="s">
        <v>456</v>
      </c>
      <c r="AI497" s="1033">
        <v>46156</v>
      </c>
      <c r="AJ497" s="1033">
        <v>46155</v>
      </c>
      <c r="AK497" s="1033">
        <v>46154</v>
      </c>
      <c r="AL497" s="1033">
        <v>46193</v>
      </c>
      <c r="AM497" s="1033">
        <v>46212</v>
      </c>
      <c r="AN497" s="1033">
        <v>46213</v>
      </c>
      <c r="AO497" s="1032" t="s">
        <v>402</v>
      </c>
      <c r="AP497" s="1032" t="s">
        <v>2430</v>
      </c>
      <c r="AQ497" s="1032" t="s">
        <v>161</v>
      </c>
      <c r="AR497" s="1032" t="s">
        <v>2431</v>
      </c>
      <c r="AS497" s="1032" t="s">
        <v>2432</v>
      </c>
      <c r="AT497" s="1032" t="s">
        <v>2433</v>
      </c>
      <c r="AU497" s="1032">
        <v>59</v>
      </c>
      <c r="AW497" s="1033">
        <v>46213</v>
      </c>
      <c r="AX497" s="1032" t="s">
        <v>2434</v>
      </c>
      <c r="AY497" s="1033">
        <v>46219</v>
      </c>
      <c r="AZ497" s="1032">
        <v>7</v>
      </c>
      <c r="BA497" s="1033">
        <v>46220</v>
      </c>
      <c r="BB497" s="1032">
        <v>2026</v>
      </c>
      <c r="BC497" s="1032">
        <v>7</v>
      </c>
      <c r="BD497" s="1032">
        <v>29</v>
      </c>
      <c r="BE497" s="1032">
        <v>36</v>
      </c>
      <c r="BF497" s="1032">
        <v>864</v>
      </c>
      <c r="BG497" s="1032" t="s">
        <v>85</v>
      </c>
      <c r="BH497" s="1032" t="s">
        <v>109</v>
      </c>
    </row>
    <row r="498" spans="1:60">
      <c r="A498" s="1032" t="s">
        <v>2437</v>
      </c>
      <c r="B498" s="1032" t="s">
        <v>2132</v>
      </c>
      <c r="C498" s="1032" t="s">
        <v>2438</v>
      </c>
      <c r="D498" s="1032" t="s">
        <v>63</v>
      </c>
      <c r="E498" s="1032" t="s">
        <v>64</v>
      </c>
      <c r="F498" s="1032" t="s">
        <v>310</v>
      </c>
      <c r="G498" s="1032" t="s">
        <v>402</v>
      </c>
      <c r="H498" s="1032" t="s">
        <v>311</v>
      </c>
      <c r="I498" s="1032" t="s">
        <v>882</v>
      </c>
      <c r="J498" s="1032" t="s">
        <v>96</v>
      </c>
      <c r="M498" s="1032" t="s">
        <v>68</v>
      </c>
      <c r="N498" s="1032">
        <v>46146</v>
      </c>
      <c r="O498" s="1032" t="s">
        <v>170</v>
      </c>
      <c r="P498" s="1032" t="s">
        <v>1977</v>
      </c>
      <c r="Q498" s="1032" t="s">
        <v>1978</v>
      </c>
      <c r="R498" s="1032" t="s">
        <v>73</v>
      </c>
      <c r="S498" s="1032" t="s">
        <v>992</v>
      </c>
      <c r="T498" s="1032">
        <v>560</v>
      </c>
      <c r="U498" s="1032">
        <v>5280</v>
      </c>
      <c r="V498" s="1032">
        <v>2.9567999999999999</v>
      </c>
      <c r="W498" s="1032">
        <v>160</v>
      </c>
      <c r="X498" s="1032">
        <v>8</v>
      </c>
      <c r="Y498" s="1032" t="s">
        <v>951</v>
      </c>
      <c r="Z498" s="1032" t="s">
        <v>75</v>
      </c>
      <c r="AA498" s="1032" t="s">
        <v>2439</v>
      </c>
      <c r="AB498" s="1033">
        <v>46150</v>
      </c>
      <c r="AC498" s="1032">
        <v>19</v>
      </c>
      <c r="AD498" s="1032" t="s">
        <v>2440</v>
      </c>
      <c r="AF498" s="1032" t="s">
        <v>123</v>
      </c>
      <c r="AG498" s="1032" t="s">
        <v>123</v>
      </c>
      <c r="AH498" s="1032" t="s">
        <v>314</v>
      </c>
      <c r="AI498" s="1033">
        <v>46157</v>
      </c>
      <c r="AJ498" s="1033">
        <v>46157</v>
      </c>
      <c r="AK498" s="1033">
        <v>46157</v>
      </c>
      <c r="AL498" s="1033">
        <v>46204</v>
      </c>
      <c r="AM498" s="1033">
        <v>46205</v>
      </c>
      <c r="AN498" s="1033">
        <v>46205</v>
      </c>
      <c r="AO498" s="1032" t="s">
        <v>402</v>
      </c>
      <c r="AP498" s="1032" t="s">
        <v>2441</v>
      </c>
      <c r="AQ498" s="1032" t="s">
        <v>80</v>
      </c>
      <c r="AR498" s="1032" t="s">
        <v>2442</v>
      </c>
      <c r="AS498" s="1032" t="s">
        <v>2443</v>
      </c>
      <c r="AT498" s="1032" t="s">
        <v>2443</v>
      </c>
      <c r="AU498" s="1032">
        <v>48</v>
      </c>
      <c r="AW498" s="1033">
        <v>46205</v>
      </c>
      <c r="AX498" s="1032" t="s">
        <v>973</v>
      </c>
      <c r="AY498" s="1033">
        <v>46218</v>
      </c>
      <c r="AZ498" s="1032">
        <v>13</v>
      </c>
      <c r="BA498" s="1033">
        <v>46218</v>
      </c>
      <c r="BB498" s="1032">
        <v>2026</v>
      </c>
      <c r="BC498" s="1032">
        <v>7</v>
      </c>
      <c r="BD498" s="1032">
        <v>29</v>
      </c>
      <c r="BE498" s="1032">
        <v>33</v>
      </c>
      <c r="BF498" s="1032">
        <v>660</v>
      </c>
      <c r="BG498" s="1032" t="s">
        <v>108</v>
      </c>
      <c r="BH498" s="1032" t="s">
        <v>86</v>
      </c>
    </row>
    <row r="499" spans="1:60">
      <c r="A499" s="1032" t="s">
        <v>2444</v>
      </c>
      <c r="B499" s="1032" t="s">
        <v>61</v>
      </c>
      <c r="C499" s="1032" t="s">
        <v>2445</v>
      </c>
      <c r="D499" s="1032" t="s">
        <v>63</v>
      </c>
      <c r="E499" s="1032" t="s">
        <v>64</v>
      </c>
      <c r="F499" s="1032" t="s">
        <v>310</v>
      </c>
      <c r="G499" s="1032" t="s">
        <v>402</v>
      </c>
      <c r="H499" s="1032" t="s">
        <v>311</v>
      </c>
      <c r="I499" s="1032" t="s">
        <v>1395</v>
      </c>
      <c r="J499" s="1032" t="s">
        <v>96</v>
      </c>
      <c r="M499" s="1032" t="s">
        <v>68</v>
      </c>
      <c r="N499" s="1032">
        <v>46139</v>
      </c>
      <c r="O499" s="1032" t="s">
        <v>550</v>
      </c>
      <c r="P499" s="1032" t="s">
        <v>2134</v>
      </c>
      <c r="Q499" s="1032" t="s">
        <v>2135</v>
      </c>
      <c r="R499" s="1032" t="s">
        <v>73</v>
      </c>
      <c r="S499" s="1032" t="s">
        <v>2136</v>
      </c>
      <c r="T499" s="1032">
        <v>515</v>
      </c>
      <c r="U499" s="1032">
        <v>3960</v>
      </c>
      <c r="V499" s="1032">
        <v>2.0394000000000001</v>
      </c>
      <c r="W499" s="1032">
        <v>110</v>
      </c>
      <c r="X499" s="1032">
        <v>5</v>
      </c>
      <c r="Y499" s="1032" t="s">
        <v>951</v>
      </c>
      <c r="Z499" s="1032" t="s">
        <v>75</v>
      </c>
      <c r="AA499" s="1032" t="s">
        <v>2416</v>
      </c>
      <c r="AB499" s="1033">
        <v>46150</v>
      </c>
      <c r="AC499" s="1032">
        <v>19</v>
      </c>
      <c r="AD499" s="1032" t="s">
        <v>2446</v>
      </c>
      <c r="AF499" s="1032" t="s">
        <v>122</v>
      </c>
      <c r="AG499" s="1032" t="s">
        <v>123</v>
      </c>
      <c r="AH499" s="1032" t="s">
        <v>314</v>
      </c>
      <c r="AI499" s="1033">
        <v>46157</v>
      </c>
      <c r="AJ499" s="1033">
        <v>46157</v>
      </c>
      <c r="AK499" s="1033">
        <v>46157</v>
      </c>
      <c r="AL499" s="1033">
        <v>46204</v>
      </c>
      <c r="AM499" s="1033">
        <v>46205</v>
      </c>
      <c r="AN499" s="1033">
        <v>46205</v>
      </c>
      <c r="AO499" s="1032" t="s">
        <v>402</v>
      </c>
      <c r="AP499" s="1032" t="s">
        <v>2441</v>
      </c>
      <c r="AQ499" s="1032" t="s">
        <v>80</v>
      </c>
      <c r="AR499" s="1032" t="s">
        <v>2442</v>
      </c>
      <c r="AS499" s="1032" t="s">
        <v>2443</v>
      </c>
      <c r="AT499" s="1032" t="s">
        <v>2443</v>
      </c>
      <c r="AU499" s="1032">
        <v>48</v>
      </c>
      <c r="AW499" s="1033">
        <v>46205</v>
      </c>
      <c r="AX499" s="1032" t="s">
        <v>973</v>
      </c>
      <c r="AY499" s="1033">
        <v>46218</v>
      </c>
      <c r="AZ499" s="1032">
        <v>13</v>
      </c>
      <c r="BA499" s="1033">
        <v>46218</v>
      </c>
      <c r="BB499" s="1032">
        <v>2026</v>
      </c>
      <c r="BC499" s="1032">
        <v>7</v>
      </c>
      <c r="BD499" s="1032">
        <v>29</v>
      </c>
      <c r="BE499" s="1032">
        <v>36</v>
      </c>
      <c r="BF499" s="1032">
        <v>792</v>
      </c>
      <c r="BG499" s="1032" t="s">
        <v>85</v>
      </c>
      <c r="BH499" s="1032" t="s">
        <v>86</v>
      </c>
    </row>
    <row r="500" spans="1:60">
      <c r="A500" s="1032" t="s">
        <v>2447</v>
      </c>
      <c r="B500" s="1032" t="s">
        <v>61</v>
      </c>
      <c r="C500" s="1032" t="s">
        <v>2415</v>
      </c>
      <c r="D500" s="1032" t="s">
        <v>63</v>
      </c>
      <c r="E500" s="1032" t="s">
        <v>64</v>
      </c>
      <c r="F500" s="1032" t="s">
        <v>65</v>
      </c>
      <c r="G500" s="1032" t="s">
        <v>402</v>
      </c>
      <c r="H500" s="1032" t="s">
        <v>67</v>
      </c>
      <c r="I500" s="1032" t="s">
        <v>1395</v>
      </c>
      <c r="J500" s="1032" t="s">
        <v>96</v>
      </c>
      <c r="M500" s="1032" t="s">
        <v>68</v>
      </c>
      <c r="N500" s="1032">
        <v>46139</v>
      </c>
      <c r="O500" s="1032" t="s">
        <v>550</v>
      </c>
      <c r="P500" s="1032" t="s">
        <v>551</v>
      </c>
      <c r="Q500" s="1032" t="s">
        <v>2151</v>
      </c>
      <c r="R500" s="1032" t="s">
        <v>73</v>
      </c>
      <c r="S500" s="1032" t="s">
        <v>2136</v>
      </c>
      <c r="T500" s="1032">
        <v>510</v>
      </c>
      <c r="U500" s="1032">
        <v>792</v>
      </c>
      <c r="V500" s="1032">
        <v>0.40392</v>
      </c>
      <c r="W500" s="1032">
        <v>22</v>
      </c>
      <c r="X500" s="1032">
        <v>1</v>
      </c>
      <c r="Y500" s="1032" t="s">
        <v>951</v>
      </c>
      <c r="Z500" s="1032" t="s">
        <v>75</v>
      </c>
      <c r="AB500" s="1033">
        <v>46142</v>
      </c>
      <c r="AC500" s="1032">
        <v>18</v>
      </c>
      <c r="AD500" s="1032" t="s">
        <v>2448</v>
      </c>
      <c r="AF500" s="1032" t="s">
        <v>61</v>
      </c>
      <c r="AG500" s="1032" t="s">
        <v>61</v>
      </c>
      <c r="AH500" s="1032" t="s">
        <v>356</v>
      </c>
      <c r="AI500" s="1033">
        <v>46155</v>
      </c>
      <c r="AJ500" s="1033">
        <v>46155</v>
      </c>
      <c r="AK500" s="1033">
        <v>46155</v>
      </c>
      <c r="AL500" s="1033">
        <v>46203</v>
      </c>
      <c r="AN500" s="1033">
        <v>46202</v>
      </c>
      <c r="AO500" s="1032" t="s">
        <v>402</v>
      </c>
      <c r="AP500" s="1032" t="s">
        <v>2449</v>
      </c>
      <c r="AQ500" s="1032" t="s">
        <v>80</v>
      </c>
      <c r="AR500" s="1032" t="s">
        <v>2450</v>
      </c>
      <c r="AS500" s="1032" t="s">
        <v>2451</v>
      </c>
      <c r="AT500" s="1032" t="s">
        <v>2451</v>
      </c>
      <c r="AU500" s="1032">
        <v>47</v>
      </c>
      <c r="AW500" s="1033">
        <v>46202</v>
      </c>
      <c r="AX500" s="1032" t="s">
        <v>973</v>
      </c>
      <c r="AY500" s="1033">
        <v>46216</v>
      </c>
      <c r="AZ500" s="1032">
        <v>8</v>
      </c>
      <c r="BA500" s="1033">
        <v>46210</v>
      </c>
      <c r="BB500" s="1032">
        <v>2026</v>
      </c>
      <c r="BC500" s="1032">
        <v>7</v>
      </c>
      <c r="BD500" s="1032">
        <v>28</v>
      </c>
      <c r="BE500" s="1032">
        <v>36</v>
      </c>
      <c r="BF500" s="1032">
        <v>792</v>
      </c>
      <c r="BG500" s="1032" t="s">
        <v>85</v>
      </c>
      <c r="BH500" s="1032" t="s">
        <v>109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175" priority="3"/>
  </conditionalFormatting>
  <conditionalFormatting sqref="M1">
    <cfRule type="cellIs" dxfId="174" priority="1" operator="equal">
      <formula>"No"</formula>
    </cfRule>
    <cfRule type="cellIs" dxfId="173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L157"/>
  <sheetViews>
    <sheetView zoomScale="130" zoomScaleNormal="130" workbookViewId="0">
      <pane ySplit="1" topLeftCell="A127" activePane="bottomLeft" state="frozen"/>
      <selection pane="bottomLeft" activeCell="Z139" activeCellId="5" sqref="Z23:AB23 Z47:AB47 Z73:AB73 Z93:AB93 Z119:AB119 Z139:AB139"/>
    </sheetView>
  </sheetViews>
  <sheetFormatPr defaultColWidth="9.09765625" defaultRowHeight="12.75" customHeight="1" outlineLevelCol="1"/>
  <cols>
    <col min="1" max="1" width="10.3984375" style="507" bestFit="1" customWidth="1"/>
    <col min="2" max="2" width="12.8984375" style="507" customWidth="1"/>
    <col min="3" max="3" width="16" style="507" customWidth="1"/>
    <col min="4" max="4" width="9.09765625" style="507" customWidth="1"/>
    <col min="5" max="7" width="12.3984375" style="507" hidden="1" customWidth="1" outlineLevel="1"/>
    <col min="8" max="8" width="11.09765625" style="507" hidden="1" customWidth="1" outlineLevel="1"/>
    <col min="9" max="9" width="12.3984375" style="507" hidden="1" customWidth="1" outlineLevel="1"/>
    <col min="10" max="10" width="13.09765625" style="507" hidden="1" customWidth="1" outlineLevel="1"/>
    <col min="11" max="11" width="12.3984375" style="507" hidden="1" customWidth="1" outlineLevel="1" collapsed="1"/>
    <col min="12" max="12" width="12.3984375" style="507" hidden="1" customWidth="1" outlineLevel="1"/>
    <col min="13" max="14" width="12.8984375" style="507" hidden="1" customWidth="1" outlineLevel="1"/>
    <col min="15" max="15" width="14.8984375" style="507" hidden="1" customWidth="1" collapsed="1"/>
    <col min="16" max="19" width="12.59765625" style="507" hidden="1" customWidth="1"/>
    <col min="20" max="28" width="12.59765625" style="507" customWidth="1"/>
    <col min="29" max="29" width="15.09765625" style="507" customWidth="1"/>
    <col min="30" max="31" width="14.59765625" style="507" customWidth="1"/>
    <col min="32" max="32" width="29" style="507" customWidth="1"/>
    <col min="33" max="33" width="13.8984375" style="507" bestFit="1" customWidth="1"/>
    <col min="34" max="34" width="26.09765625" style="507" customWidth="1"/>
    <col min="35" max="16384" width="9.09765625" style="507"/>
  </cols>
  <sheetData>
    <row r="1" spans="1:38" s="502" customFormat="1" ht="26">
      <c r="A1" s="496" t="s">
        <v>123</v>
      </c>
      <c r="B1" s="496"/>
      <c r="C1" s="496" t="s">
        <v>197</v>
      </c>
      <c r="D1" s="496" t="s">
        <v>951</v>
      </c>
      <c r="E1" s="496" t="s">
        <v>2452</v>
      </c>
      <c r="F1" s="496" t="s">
        <v>2453</v>
      </c>
      <c r="G1" s="496" t="s">
        <v>2454</v>
      </c>
      <c r="H1" s="496" t="s">
        <v>2455</v>
      </c>
      <c r="I1" s="496" t="s">
        <v>2456</v>
      </c>
      <c r="J1" s="496" t="s">
        <v>2457</v>
      </c>
      <c r="K1" s="496" t="s">
        <v>2458</v>
      </c>
      <c r="L1" s="496" t="s">
        <v>2459</v>
      </c>
      <c r="M1" s="496" t="s">
        <v>2460</v>
      </c>
      <c r="N1" s="496" t="s">
        <v>2461</v>
      </c>
      <c r="O1" s="496" t="s">
        <v>2462</v>
      </c>
      <c r="P1" s="496" t="s">
        <v>2463</v>
      </c>
      <c r="Q1" s="496" t="s">
        <v>2464</v>
      </c>
      <c r="R1" s="496" t="s">
        <v>2465</v>
      </c>
      <c r="S1" s="496" t="s">
        <v>2466</v>
      </c>
      <c r="T1" s="496" t="s">
        <v>2467</v>
      </c>
      <c r="U1" s="496" t="s">
        <v>2468</v>
      </c>
      <c r="V1" s="496" t="s">
        <v>2469</v>
      </c>
      <c r="W1" s="496" t="s">
        <v>2470</v>
      </c>
      <c r="X1" s="496" t="s">
        <v>2471</v>
      </c>
      <c r="Y1" s="496" t="s">
        <v>2472</v>
      </c>
      <c r="Z1" s="496" t="s">
        <v>2473</v>
      </c>
      <c r="AA1" s="496" t="s">
        <v>2474</v>
      </c>
      <c r="AB1" s="496" t="s">
        <v>2475</v>
      </c>
      <c r="AC1" s="498" t="s">
        <v>2476</v>
      </c>
      <c r="AD1" s="499" t="s">
        <v>2477</v>
      </c>
      <c r="AE1" s="500" t="s">
        <v>2478</v>
      </c>
      <c r="AF1" s="500" t="s">
        <v>2479</v>
      </c>
      <c r="AG1" s="501"/>
      <c r="AH1" s="501" t="s">
        <v>2480</v>
      </c>
      <c r="AI1" s="501"/>
      <c r="AJ1" s="501"/>
      <c r="AK1" s="501"/>
      <c r="AL1" s="501"/>
    </row>
    <row r="2" spans="1:38" ht="13">
      <c r="A2" s="1397" t="s">
        <v>109</v>
      </c>
      <c r="B2" s="1397" t="s">
        <v>456</v>
      </c>
      <c r="C2" s="503" t="s">
        <v>2481</v>
      </c>
      <c r="D2" s="504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6</v>
      </c>
      <c r="E2" s="504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04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04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04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04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04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04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04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04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04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04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04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04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04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04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04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04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04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0</v>
      </c>
      <c r="W2" s="504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04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04"/>
      <c r="Z2" s="504"/>
      <c r="AA2" s="504"/>
      <c r="AB2" s="504"/>
      <c r="AC2" s="505" t="s">
        <v>197</v>
      </c>
      <c r="AD2" s="505" t="s">
        <v>197</v>
      </c>
      <c r="AE2" s="696">
        <f>SUM(E2:X2)</f>
        <v>34</v>
      </c>
      <c r="AF2" s="503" t="s">
        <v>197</v>
      </c>
      <c r="AH2" s="506"/>
      <c r="AI2" s="506"/>
      <c r="AJ2" s="506"/>
      <c r="AK2" s="506"/>
      <c r="AL2" s="506"/>
    </row>
    <row r="3" spans="1:38" ht="13">
      <c r="A3" s="1398"/>
      <c r="B3" s="1397"/>
      <c r="C3" s="509" t="s">
        <v>2482</v>
      </c>
      <c r="D3" s="509"/>
      <c r="E3" s="510">
        <v>3</v>
      </c>
      <c r="F3" s="510">
        <v>3</v>
      </c>
      <c r="G3" s="510">
        <v>3</v>
      </c>
      <c r="H3" s="510">
        <v>3</v>
      </c>
      <c r="I3" s="510">
        <v>0</v>
      </c>
      <c r="J3" s="510">
        <v>3</v>
      </c>
      <c r="K3" s="510">
        <v>0</v>
      </c>
      <c r="L3" s="510">
        <v>1</v>
      </c>
      <c r="M3" s="510">
        <v>5</v>
      </c>
      <c r="N3" s="510">
        <v>0</v>
      </c>
      <c r="O3" s="510">
        <v>5</v>
      </c>
      <c r="P3" s="510">
        <f>5-1</f>
        <v>4</v>
      </c>
      <c r="Q3" s="510">
        <v>0</v>
      </c>
      <c r="R3" s="510">
        <v>5</v>
      </c>
      <c r="S3" s="510">
        <v>3</v>
      </c>
      <c r="T3" s="510">
        <v>5</v>
      </c>
      <c r="U3" s="510">
        <v>0</v>
      </c>
      <c r="V3" s="510"/>
      <c r="W3" s="510"/>
      <c r="X3" s="510">
        <v>0</v>
      </c>
      <c r="Y3" s="510">
        <v>5</v>
      </c>
      <c r="Z3" s="510">
        <v>5</v>
      </c>
      <c r="AA3" s="510">
        <v>5</v>
      </c>
      <c r="AB3" s="510">
        <v>5</v>
      </c>
      <c r="AC3" s="505" t="s">
        <v>197</v>
      </c>
      <c r="AD3" s="505" t="s">
        <v>197</v>
      </c>
      <c r="AE3" s="696"/>
      <c r="AF3" s="503" t="s">
        <v>197</v>
      </c>
      <c r="AG3" s="506"/>
      <c r="AH3" s="506"/>
      <c r="AI3" s="506"/>
      <c r="AJ3" s="506" t="s">
        <v>197</v>
      </c>
      <c r="AK3" s="506" t="s">
        <v>197</v>
      </c>
      <c r="AL3" s="506" t="s">
        <v>197</v>
      </c>
    </row>
    <row r="4" spans="1:38" ht="13">
      <c r="A4" s="1398"/>
      <c r="B4" s="1397"/>
      <c r="C4" s="520" t="s">
        <v>2483</v>
      </c>
      <c r="D4" s="522"/>
      <c r="E4" s="522">
        <f t="shared" ref="E4:T4" si="0">E3-E2</f>
        <v>3</v>
      </c>
      <c r="F4" s="522">
        <f t="shared" si="0"/>
        <v>3</v>
      </c>
      <c r="G4" s="522">
        <f t="shared" si="0"/>
        <v>3</v>
      </c>
      <c r="H4" s="522">
        <f t="shared" si="0"/>
        <v>0</v>
      </c>
      <c r="I4" s="522">
        <f t="shared" si="0"/>
        <v>0</v>
      </c>
      <c r="J4" s="522">
        <f t="shared" si="0"/>
        <v>0</v>
      </c>
      <c r="K4" s="522">
        <f t="shared" si="0"/>
        <v>0</v>
      </c>
      <c r="L4" s="522">
        <f t="shared" si="0"/>
        <v>0</v>
      </c>
      <c r="M4" s="522">
        <f t="shared" si="0"/>
        <v>0</v>
      </c>
      <c r="N4" s="522">
        <f t="shared" si="0"/>
        <v>0</v>
      </c>
      <c r="O4" s="522">
        <f t="shared" si="0"/>
        <v>0</v>
      </c>
      <c r="P4" s="522">
        <f t="shared" si="0"/>
        <v>3</v>
      </c>
      <c r="Q4" s="522">
        <f>Q3-Q2</f>
        <v>-4</v>
      </c>
      <c r="R4" s="522">
        <f t="shared" si="0"/>
        <v>-4</v>
      </c>
      <c r="S4" s="522">
        <f t="shared" si="0"/>
        <v>3</v>
      </c>
      <c r="T4" s="522">
        <f t="shared" si="0"/>
        <v>2</v>
      </c>
      <c r="U4" s="522">
        <f t="shared" ref="U4:AB4" si="1">U3-U2</f>
        <v>0</v>
      </c>
      <c r="V4" s="522">
        <f t="shared" si="1"/>
        <v>0</v>
      </c>
      <c r="W4" s="522">
        <f t="shared" si="1"/>
        <v>0</v>
      </c>
      <c r="X4" s="522">
        <f t="shared" si="1"/>
        <v>0</v>
      </c>
      <c r="Y4" s="522">
        <f t="shared" si="1"/>
        <v>5</v>
      </c>
      <c r="Z4" s="522">
        <f t="shared" si="1"/>
        <v>5</v>
      </c>
      <c r="AA4" s="522">
        <f t="shared" si="1"/>
        <v>5</v>
      </c>
      <c r="AB4" s="522">
        <f t="shared" si="1"/>
        <v>5</v>
      </c>
      <c r="AC4" s="511">
        <f>SUMIF($E4:$X4,"&gt;0")</f>
        <v>17</v>
      </c>
      <c r="AD4" s="511">
        <f>SUMIF($E4:$X4,"&lt;0")</f>
        <v>-8</v>
      </c>
      <c r="AE4" s="696"/>
      <c r="AF4" s="503"/>
      <c r="AG4" s="506"/>
      <c r="AH4" s="534">
        <f>SUM(G4:J4)</f>
        <v>3</v>
      </c>
      <c r="AI4" s="506"/>
      <c r="AJ4" s="506" t="s">
        <v>197</v>
      </c>
      <c r="AK4" s="506" t="s">
        <v>197</v>
      </c>
      <c r="AL4" s="506" t="s">
        <v>197</v>
      </c>
    </row>
    <row r="5" spans="1:38" ht="13">
      <c r="A5" s="1398"/>
      <c r="B5" s="1397"/>
      <c r="C5" s="503" t="s">
        <v>2484</v>
      </c>
      <c r="D5" s="504"/>
      <c r="E5" s="504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04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04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04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04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04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04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04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04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04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04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04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04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04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04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04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04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04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04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04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04"/>
      <c r="Z5" s="504"/>
      <c r="AA5" s="504"/>
      <c r="AB5" s="504"/>
      <c r="AC5" s="511"/>
      <c r="AD5" s="511"/>
      <c r="AE5" s="696">
        <f>SUM(E5:X5)</f>
        <v>34</v>
      </c>
      <c r="AF5" s="503"/>
      <c r="AG5" s="506"/>
      <c r="AH5" s="534"/>
      <c r="AI5" s="506"/>
      <c r="AJ5" s="506"/>
      <c r="AK5" s="506"/>
      <c r="AL5" s="506"/>
    </row>
    <row r="6" spans="1:38" ht="13">
      <c r="A6" s="1398"/>
      <c r="B6" s="1397" t="s">
        <v>105</v>
      </c>
      <c r="C6" s="503" t="s">
        <v>2481</v>
      </c>
      <c r="D6" s="504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250</v>
      </c>
      <c r="E6" s="504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04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04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04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04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04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04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04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04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04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04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04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04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04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04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04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04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48</v>
      </c>
      <c r="V6" s="504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39</v>
      </c>
      <c r="W6" s="504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50</v>
      </c>
      <c r="X6" s="504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17</v>
      </c>
      <c r="Y6" s="504"/>
      <c r="Z6" s="504"/>
      <c r="AA6" s="504"/>
      <c r="AB6" s="504"/>
      <c r="AC6" s="505" t="s">
        <v>197</v>
      </c>
      <c r="AD6" s="505" t="s">
        <v>197</v>
      </c>
      <c r="AE6" s="696">
        <f>SUM(E6:X6)</f>
        <v>692.78964644051598</v>
      </c>
      <c r="AF6" s="503" t="s">
        <v>197</v>
      </c>
      <c r="AG6" s="506"/>
      <c r="AH6" s="506">
        <f t="shared" ref="AH6:AH76" si="2">SUM(G6:J6)</f>
        <v>127.78964644051601</v>
      </c>
      <c r="AI6" s="506"/>
      <c r="AJ6" s="506" t="s">
        <v>197</v>
      </c>
      <c r="AK6" s="506" t="s">
        <v>197</v>
      </c>
      <c r="AL6" s="506" t="s">
        <v>197</v>
      </c>
    </row>
    <row r="7" spans="1:38" ht="13">
      <c r="A7" s="1398"/>
      <c r="B7" s="1398"/>
      <c r="C7" s="509" t="s">
        <v>2482</v>
      </c>
      <c r="D7" s="509"/>
      <c r="E7" s="510">
        <v>54</v>
      </c>
      <c r="F7" s="510">
        <v>24</v>
      </c>
      <c r="G7" s="510">
        <f>16+1</f>
        <v>17</v>
      </c>
      <c r="H7" s="510">
        <v>29</v>
      </c>
      <c r="I7" s="510">
        <f>29+3</f>
        <v>32</v>
      </c>
      <c r="J7" s="510">
        <f>22+1</f>
        <v>23</v>
      </c>
      <c r="K7" s="510">
        <f>11+8+5</f>
        <v>24</v>
      </c>
      <c r="L7" s="510">
        <f>11+5+8+5+9+9</f>
        <v>47</v>
      </c>
      <c r="M7" s="510">
        <f>5</f>
        <v>5</v>
      </c>
      <c r="N7" s="510">
        <f>8+7+5+38</f>
        <v>58</v>
      </c>
      <c r="O7" s="510">
        <f>11+5</f>
        <v>16</v>
      </c>
      <c r="P7" s="510">
        <f>11+5+8+21+15</f>
        <v>60</v>
      </c>
      <c r="Q7" s="510">
        <f>5+8+11+7+19</f>
        <v>50</v>
      </c>
      <c r="R7" s="510">
        <f>8+11+2+8+20</f>
        <v>49</v>
      </c>
      <c r="S7" s="510">
        <f>11+8+20</f>
        <v>39</v>
      </c>
      <c r="T7" s="510">
        <f>5+8+11+5+7</f>
        <v>36</v>
      </c>
      <c r="U7" s="510">
        <f>11+5+8+20</f>
        <v>44</v>
      </c>
      <c r="V7" s="510">
        <f>11+8+5+2+10</f>
        <v>36</v>
      </c>
      <c r="W7" s="510">
        <f>11+8+5+12+20</f>
        <v>56</v>
      </c>
      <c r="X7" s="510">
        <f>11+8+5</f>
        <v>24</v>
      </c>
      <c r="Y7" s="510">
        <v>11</v>
      </c>
      <c r="Z7" s="510">
        <f>11+5+8</f>
        <v>24</v>
      </c>
      <c r="AA7" s="510">
        <f>11+5+8</f>
        <v>24</v>
      </c>
      <c r="AB7" s="510">
        <f>11+5+8</f>
        <v>24</v>
      </c>
      <c r="AC7" s="505" t="s">
        <v>197</v>
      </c>
      <c r="AD7" s="505" t="s">
        <v>197</v>
      </c>
      <c r="AE7" s="696"/>
      <c r="AF7" s="503" t="s">
        <v>197</v>
      </c>
      <c r="AG7" s="506"/>
      <c r="AH7" s="506">
        <f t="shared" si="2"/>
        <v>101</v>
      </c>
      <c r="AI7" s="506"/>
      <c r="AJ7" s="506" t="s">
        <v>197</v>
      </c>
      <c r="AK7" s="506" t="s">
        <v>197</v>
      </c>
      <c r="AL7" s="506" t="s">
        <v>197</v>
      </c>
    </row>
    <row r="8" spans="1:38" ht="13">
      <c r="A8" s="1398"/>
      <c r="B8" s="1398"/>
      <c r="C8" s="520" t="s">
        <v>2483</v>
      </c>
      <c r="D8" s="522"/>
      <c r="E8" s="522">
        <f t="shared" ref="E8:T8" si="3">E7-E6</f>
        <v>16</v>
      </c>
      <c r="F8" s="522">
        <f t="shared" si="3"/>
        <v>24</v>
      </c>
      <c r="G8" s="522">
        <f t="shared" si="3"/>
        <v>-20</v>
      </c>
      <c r="H8" s="522">
        <f t="shared" si="3"/>
        <v>0</v>
      </c>
      <c r="I8" s="522">
        <f t="shared" si="3"/>
        <v>-0.91255613951265957</v>
      </c>
      <c r="J8" s="522">
        <f t="shared" si="3"/>
        <v>-5.8770903010033457</v>
      </c>
      <c r="K8" s="522">
        <f t="shared" si="3"/>
        <v>-47</v>
      </c>
      <c r="L8" s="522">
        <f t="shared" si="3"/>
        <v>8</v>
      </c>
      <c r="M8" s="522">
        <f t="shared" si="3"/>
        <v>-45</v>
      </c>
      <c r="N8" s="522">
        <f t="shared" si="3"/>
        <v>52</v>
      </c>
      <c r="O8" s="522">
        <f t="shared" si="3"/>
        <v>16</v>
      </c>
      <c r="P8" s="522">
        <f t="shared" si="3"/>
        <v>9</v>
      </c>
      <c r="Q8" s="522">
        <f t="shared" si="3"/>
        <v>20</v>
      </c>
      <c r="R8" s="522">
        <f t="shared" si="3"/>
        <v>14</v>
      </c>
      <c r="S8" s="522">
        <f>S7-S6</f>
        <v>-16</v>
      </c>
      <c r="T8" s="522">
        <f t="shared" si="3"/>
        <v>0</v>
      </c>
      <c r="U8" s="522">
        <f t="shared" ref="U8:AB8" si="4">U7-U6</f>
        <v>-4</v>
      </c>
      <c r="V8" s="522">
        <f t="shared" si="4"/>
        <v>-3</v>
      </c>
      <c r="W8" s="522">
        <f t="shared" si="4"/>
        <v>6</v>
      </c>
      <c r="X8" s="522">
        <f t="shared" si="4"/>
        <v>7</v>
      </c>
      <c r="Y8" s="522">
        <f t="shared" si="4"/>
        <v>11</v>
      </c>
      <c r="Z8" s="522">
        <f t="shared" si="4"/>
        <v>24</v>
      </c>
      <c r="AA8" s="522">
        <f t="shared" si="4"/>
        <v>24</v>
      </c>
      <c r="AB8" s="522">
        <f t="shared" si="4"/>
        <v>24</v>
      </c>
      <c r="AC8" s="511">
        <f>SUMIF($E8:$X8,"&gt;0")</f>
        <v>172</v>
      </c>
      <c r="AD8" s="511">
        <f>SUMIF($E8:$X8,"&lt;0")</f>
        <v>-141.78964644051601</v>
      </c>
      <c r="AE8" s="696"/>
      <c r="AF8" s="503"/>
      <c r="AG8" s="506"/>
      <c r="AH8" s="506">
        <f t="shared" si="2"/>
        <v>-26.789646440516005</v>
      </c>
      <c r="AI8" s="506"/>
      <c r="AJ8" s="506" t="s">
        <v>197</v>
      </c>
      <c r="AK8" s="506" t="s">
        <v>197</v>
      </c>
      <c r="AL8" s="506" t="s">
        <v>197</v>
      </c>
    </row>
    <row r="9" spans="1:38" ht="13">
      <c r="A9" s="1398"/>
      <c r="B9" s="1399"/>
      <c r="C9" s="503" t="s">
        <v>2484</v>
      </c>
      <c r="D9" s="522"/>
      <c r="E9" s="504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04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04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04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04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04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04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04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04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04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04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04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04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04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04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04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36</v>
      </c>
      <c r="U9" s="504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48</v>
      </c>
      <c r="V9" s="504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39</v>
      </c>
      <c r="W9" s="504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50</v>
      </c>
      <c r="X9" s="504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17</v>
      </c>
      <c r="Y9" s="504"/>
      <c r="Z9" s="504"/>
      <c r="AA9" s="504"/>
      <c r="AB9" s="504"/>
      <c r="AC9" s="511"/>
      <c r="AD9" s="511"/>
      <c r="AE9" s="696">
        <f>SUM(E9:X9)</f>
        <v>692.78964644051598</v>
      </c>
      <c r="AF9" s="503"/>
      <c r="AG9" s="506"/>
      <c r="AH9" s="506"/>
      <c r="AI9" s="506"/>
      <c r="AJ9" s="506"/>
      <c r="AK9" s="506"/>
      <c r="AL9" s="506"/>
    </row>
    <row r="10" spans="1:38" ht="13">
      <c r="A10" s="1398"/>
      <c r="B10" s="1397" t="s">
        <v>356</v>
      </c>
      <c r="C10" s="503" t="s">
        <v>2481</v>
      </c>
      <c r="D10" s="504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2</v>
      </c>
      <c r="E10" s="504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04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04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04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04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04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04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04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04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04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04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04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04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04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04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04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04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04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04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04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04"/>
      <c r="Z10" s="504"/>
      <c r="AA10" s="504"/>
      <c r="AB10" s="504"/>
      <c r="AC10" s="505" t="s">
        <v>197</v>
      </c>
      <c r="AD10" s="505" t="s">
        <v>197</v>
      </c>
      <c r="AE10" s="696">
        <f>SUM(E10:X10)</f>
        <v>3</v>
      </c>
      <c r="AF10" s="503" t="s">
        <v>197</v>
      </c>
      <c r="AG10" s="506"/>
      <c r="AH10" s="506">
        <f t="shared" si="2"/>
        <v>1</v>
      </c>
      <c r="AI10" s="506"/>
      <c r="AJ10" s="506" t="s">
        <v>197</v>
      </c>
      <c r="AK10" s="506" t="s">
        <v>197</v>
      </c>
      <c r="AL10" s="506" t="s">
        <v>197</v>
      </c>
    </row>
    <row r="11" spans="1:38" ht="13">
      <c r="A11" s="1398"/>
      <c r="B11" s="1398"/>
      <c r="C11" s="509" t="s">
        <v>2482</v>
      </c>
      <c r="D11" s="509"/>
      <c r="E11" s="512"/>
      <c r="F11" s="512"/>
      <c r="G11" s="512">
        <v>1</v>
      </c>
      <c r="H11" s="512"/>
      <c r="I11" s="513"/>
      <c r="J11" s="512"/>
      <c r="K11" s="513"/>
      <c r="L11" s="513"/>
      <c r="M11" s="513"/>
      <c r="N11" s="513"/>
      <c r="O11" s="513"/>
      <c r="P11" s="513"/>
      <c r="Q11" s="513"/>
      <c r="R11" s="513"/>
      <c r="S11" s="513">
        <v>2</v>
      </c>
      <c r="T11" s="513"/>
      <c r="U11" s="513"/>
      <c r="V11" s="513"/>
      <c r="W11" s="513"/>
      <c r="X11" s="513"/>
      <c r="Y11" s="513"/>
      <c r="Z11" s="513"/>
      <c r="AA11" s="513"/>
      <c r="AB11" s="513"/>
      <c r="AC11" s="505" t="s">
        <v>197</v>
      </c>
      <c r="AD11" s="505" t="s">
        <v>197</v>
      </c>
      <c r="AE11" s="696"/>
      <c r="AF11" s="503" t="s">
        <v>197</v>
      </c>
      <c r="AG11" s="506"/>
      <c r="AH11" s="506">
        <f t="shared" si="2"/>
        <v>1</v>
      </c>
      <c r="AI11" s="506"/>
      <c r="AJ11" s="506" t="s">
        <v>197</v>
      </c>
      <c r="AK11" s="506" t="s">
        <v>197</v>
      </c>
      <c r="AL11" s="506" t="s">
        <v>197</v>
      </c>
    </row>
    <row r="12" spans="1:38" ht="13">
      <c r="A12" s="1398"/>
      <c r="B12" s="1398"/>
      <c r="C12" s="520" t="s">
        <v>2483</v>
      </c>
      <c r="D12" s="522"/>
      <c r="E12" s="522">
        <f t="shared" ref="E12:X12" si="5">E11-E10</f>
        <v>0</v>
      </c>
      <c r="F12" s="522">
        <f t="shared" si="5"/>
        <v>0</v>
      </c>
      <c r="G12" s="522">
        <f t="shared" si="5"/>
        <v>0</v>
      </c>
      <c r="H12" s="522">
        <f t="shared" si="5"/>
        <v>0</v>
      </c>
      <c r="I12" s="522">
        <f t="shared" si="5"/>
        <v>0</v>
      </c>
      <c r="J12" s="522">
        <f t="shared" si="5"/>
        <v>0</v>
      </c>
      <c r="K12" s="522">
        <f t="shared" si="5"/>
        <v>0</v>
      </c>
      <c r="L12" s="522">
        <f t="shared" si="5"/>
        <v>0</v>
      </c>
      <c r="M12" s="522">
        <f t="shared" si="5"/>
        <v>0</v>
      </c>
      <c r="N12" s="522">
        <f t="shared" si="5"/>
        <v>0</v>
      </c>
      <c r="O12" s="522">
        <f t="shared" si="5"/>
        <v>0</v>
      </c>
      <c r="P12" s="522">
        <f t="shared" si="5"/>
        <v>0</v>
      </c>
      <c r="Q12" s="522">
        <f t="shared" si="5"/>
        <v>-2</v>
      </c>
      <c r="R12" s="522">
        <f t="shared" si="5"/>
        <v>0</v>
      </c>
      <c r="S12" s="522">
        <f t="shared" si="5"/>
        <v>2</v>
      </c>
      <c r="T12" s="522">
        <f t="shared" si="5"/>
        <v>0</v>
      </c>
      <c r="U12" s="522">
        <f t="shared" si="5"/>
        <v>0</v>
      </c>
      <c r="V12" s="522">
        <f t="shared" si="5"/>
        <v>0</v>
      </c>
      <c r="W12" s="522">
        <f t="shared" si="5"/>
        <v>0</v>
      </c>
      <c r="X12" s="522">
        <f t="shared" si="5"/>
        <v>0</v>
      </c>
      <c r="Y12" s="522">
        <f>Y11-Y10</f>
        <v>0</v>
      </c>
      <c r="Z12" s="522">
        <f>Z11-Z10</f>
        <v>0</v>
      </c>
      <c r="AA12" s="522">
        <f>AA11-AA10</f>
        <v>0</v>
      </c>
      <c r="AB12" s="522">
        <f>AB11-AB10</f>
        <v>0</v>
      </c>
      <c r="AC12" s="511">
        <f>SUMIF($E12:$X12,"&gt;0")</f>
        <v>2</v>
      </c>
      <c r="AD12" s="511">
        <f>SUMIF($E12:$X12,"&lt;0")</f>
        <v>-2</v>
      </c>
      <c r="AE12" s="696"/>
      <c r="AF12" s="503" t="s">
        <v>197</v>
      </c>
      <c r="AG12" s="506"/>
      <c r="AH12" s="506">
        <f t="shared" si="2"/>
        <v>0</v>
      </c>
      <c r="AI12" s="506"/>
      <c r="AJ12" s="506" t="s">
        <v>197</v>
      </c>
      <c r="AK12" s="506" t="s">
        <v>197</v>
      </c>
      <c r="AL12" s="506" t="s">
        <v>197</v>
      </c>
    </row>
    <row r="13" spans="1:38" ht="13">
      <c r="A13" s="1398"/>
      <c r="B13" s="1399"/>
      <c r="C13" s="503" t="s">
        <v>2484</v>
      </c>
      <c r="D13" s="522"/>
      <c r="E13" s="504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04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04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04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04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04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04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04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04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04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04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04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04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04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04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04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04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04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04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04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04"/>
      <c r="Z13" s="504"/>
      <c r="AA13" s="504"/>
      <c r="AB13" s="504"/>
      <c r="AC13" s="511"/>
      <c r="AD13" s="511"/>
      <c r="AE13" s="696">
        <f>SUM(E13:X13)</f>
        <v>3</v>
      </c>
      <c r="AF13" s="503"/>
      <c r="AG13" s="506"/>
      <c r="AH13" s="506"/>
      <c r="AI13" s="506"/>
      <c r="AJ13" s="506"/>
      <c r="AK13" s="506"/>
      <c r="AL13" s="506"/>
    </row>
    <row r="14" spans="1:38" ht="12.75" customHeight="1">
      <c r="A14" s="1398"/>
      <c r="B14" s="1397" t="s">
        <v>541</v>
      </c>
      <c r="C14" s="503" t="s">
        <v>2481</v>
      </c>
      <c r="D14" s="504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04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04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04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04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04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04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04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04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04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04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04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04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04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04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04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04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04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04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04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04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04"/>
      <c r="Z14" s="504"/>
      <c r="AA14" s="504"/>
      <c r="AB14" s="504"/>
      <c r="AC14" s="505" t="s">
        <v>197</v>
      </c>
      <c r="AD14" s="505" t="s">
        <v>197</v>
      </c>
      <c r="AE14" s="696">
        <f>SUM(E14:X14)</f>
        <v>11</v>
      </c>
      <c r="AF14" s="503" t="s">
        <v>197</v>
      </c>
      <c r="AG14" s="506"/>
      <c r="AH14" s="506"/>
      <c r="AI14" s="506"/>
      <c r="AJ14" s="506"/>
      <c r="AK14" s="506"/>
      <c r="AL14" s="506"/>
    </row>
    <row r="15" spans="1:38" ht="12.75" customHeight="1">
      <c r="A15" s="1398"/>
      <c r="B15" s="1398"/>
      <c r="C15" s="509" t="s">
        <v>2482</v>
      </c>
      <c r="D15" s="509"/>
      <c r="E15" s="512"/>
      <c r="F15" s="512"/>
      <c r="G15" s="512"/>
      <c r="H15" s="512"/>
      <c r="I15" s="513"/>
      <c r="J15" s="512"/>
      <c r="K15" s="513">
        <v>3</v>
      </c>
      <c r="L15" s="513">
        <v>4</v>
      </c>
      <c r="M15" s="513"/>
      <c r="N15" s="513"/>
      <c r="O15" s="513"/>
      <c r="P15" s="513"/>
      <c r="Q15" s="513"/>
      <c r="R15" s="513"/>
      <c r="S15" s="513"/>
      <c r="T15" s="513"/>
      <c r="U15" s="513"/>
      <c r="V15" s="513"/>
      <c r="W15" s="513"/>
      <c r="X15" s="513"/>
      <c r="Y15" s="513"/>
      <c r="Z15" s="513"/>
      <c r="AA15" s="513"/>
      <c r="AB15" s="513"/>
      <c r="AC15" s="505" t="s">
        <v>197</v>
      </c>
      <c r="AD15" s="505" t="s">
        <v>197</v>
      </c>
      <c r="AE15" s="696"/>
      <c r="AF15" s="503" t="s">
        <v>197</v>
      </c>
      <c r="AG15" s="506"/>
      <c r="AH15" s="506"/>
      <c r="AI15" s="506"/>
      <c r="AJ15" s="506"/>
      <c r="AK15" s="506"/>
      <c r="AL15" s="506"/>
    </row>
    <row r="16" spans="1:38" ht="12.75" customHeight="1">
      <c r="A16" s="1398"/>
      <c r="B16" s="1398"/>
      <c r="C16" s="520" t="s">
        <v>2483</v>
      </c>
      <c r="D16" s="522"/>
      <c r="E16" s="522">
        <f t="shared" ref="E16:X16" si="6">E15-E14</f>
        <v>0</v>
      </c>
      <c r="F16" s="522">
        <f t="shared" si="6"/>
        <v>0</v>
      </c>
      <c r="G16" s="522">
        <f t="shared" si="6"/>
        <v>0</v>
      </c>
      <c r="H16" s="522">
        <f t="shared" si="6"/>
        <v>0</v>
      </c>
      <c r="I16" s="522">
        <f t="shared" si="6"/>
        <v>0</v>
      </c>
      <c r="J16" s="522">
        <f t="shared" si="6"/>
        <v>0</v>
      </c>
      <c r="K16" s="522">
        <f t="shared" si="6"/>
        <v>3</v>
      </c>
      <c r="L16" s="522">
        <f t="shared" si="6"/>
        <v>4</v>
      </c>
      <c r="M16" s="522">
        <f t="shared" si="6"/>
        <v>0</v>
      </c>
      <c r="N16" s="522">
        <f t="shared" si="6"/>
        <v>0</v>
      </c>
      <c r="O16" s="522">
        <f t="shared" si="6"/>
        <v>0</v>
      </c>
      <c r="P16" s="522">
        <f t="shared" si="6"/>
        <v>0</v>
      </c>
      <c r="Q16" s="522">
        <f t="shared" si="6"/>
        <v>-11</v>
      </c>
      <c r="R16" s="522">
        <f t="shared" si="6"/>
        <v>0</v>
      </c>
      <c r="S16" s="522">
        <f t="shared" si="6"/>
        <v>0</v>
      </c>
      <c r="T16" s="522">
        <f t="shared" si="6"/>
        <v>0</v>
      </c>
      <c r="U16" s="522">
        <f t="shared" si="6"/>
        <v>0</v>
      </c>
      <c r="V16" s="522">
        <f t="shared" si="6"/>
        <v>0</v>
      </c>
      <c r="W16" s="522">
        <f t="shared" si="6"/>
        <v>0</v>
      </c>
      <c r="X16" s="522">
        <f t="shared" si="6"/>
        <v>0</v>
      </c>
      <c r="Y16" s="522">
        <f>Y15-Y14</f>
        <v>0</v>
      </c>
      <c r="Z16" s="522">
        <f>Z15-Z14</f>
        <v>0</v>
      </c>
      <c r="AA16" s="522">
        <f>AA15-AA14</f>
        <v>0</v>
      </c>
      <c r="AB16" s="522">
        <f>AB15-AB14</f>
        <v>0</v>
      </c>
      <c r="AC16" s="511">
        <f>SUMIF($E16:$X16,"&gt;0")</f>
        <v>7</v>
      </c>
      <c r="AD16" s="511">
        <f>SUMIF($E16:$X16,"&lt;0")</f>
        <v>-11</v>
      </c>
      <c r="AE16" s="696"/>
      <c r="AF16" s="503" t="s">
        <v>197</v>
      </c>
      <c r="AG16" s="506"/>
      <c r="AH16" s="506"/>
      <c r="AI16" s="506"/>
      <c r="AJ16" s="506"/>
      <c r="AK16" s="506"/>
      <c r="AL16" s="506"/>
    </row>
    <row r="17" spans="1:38" ht="12.75" customHeight="1">
      <c r="A17" s="1398"/>
      <c r="B17" s="1399"/>
      <c r="C17" s="503" t="s">
        <v>2484</v>
      </c>
      <c r="D17" s="522"/>
      <c r="E17" s="504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04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04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04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04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04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04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04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04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04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04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04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04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04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04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04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04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04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04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04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04"/>
      <c r="Z17" s="504"/>
      <c r="AA17" s="504"/>
      <c r="AB17" s="504"/>
      <c r="AC17" s="511"/>
      <c r="AD17" s="511"/>
      <c r="AE17" s="696">
        <f>SUM(E17:X17)</f>
        <v>11</v>
      </c>
      <c r="AF17" s="503"/>
      <c r="AG17" s="506"/>
      <c r="AH17" s="506"/>
      <c r="AI17" s="506"/>
      <c r="AJ17" s="506"/>
      <c r="AK17" s="506"/>
      <c r="AL17" s="506"/>
    </row>
    <row r="18" spans="1:38" ht="13">
      <c r="A18" s="1398"/>
      <c r="B18" s="1397" t="s">
        <v>888</v>
      </c>
      <c r="C18" s="503" t="s">
        <v>2481</v>
      </c>
      <c r="D18" s="504">
        <f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10</v>
      </c>
      <c r="E18" s="504">
        <f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04">
        <f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04">
        <f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04">
        <f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04">
        <f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04">
        <f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04">
        <f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04">
        <f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04">
        <f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04">
        <f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04">
        <f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04">
        <f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04">
        <f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04">
        <f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04">
        <f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04">
        <f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04">
        <f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5</v>
      </c>
      <c r="V18" s="504">
        <f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5</v>
      </c>
      <c r="W18" s="504">
        <f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5</v>
      </c>
      <c r="X18" s="504">
        <f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04"/>
      <c r="Z18" s="504"/>
      <c r="AA18" s="504"/>
      <c r="AB18" s="504"/>
      <c r="AC18" s="505" t="s">
        <v>197</v>
      </c>
      <c r="AD18" s="505" t="s">
        <v>197</v>
      </c>
      <c r="AE18" s="696">
        <f>SUM(E18:X18)</f>
        <v>26</v>
      </c>
      <c r="AF18" s="503" t="s">
        <v>197</v>
      </c>
      <c r="AG18" s="506"/>
      <c r="AH18" s="506">
        <f t="shared" si="2"/>
        <v>0</v>
      </c>
      <c r="AI18" s="506"/>
      <c r="AJ18" s="506"/>
      <c r="AK18" s="506"/>
      <c r="AL18" s="506"/>
    </row>
    <row r="19" spans="1:38" ht="13">
      <c r="A19" s="1398"/>
      <c r="B19" s="1398"/>
      <c r="C19" s="509" t="s">
        <v>2482</v>
      </c>
      <c r="D19" s="509"/>
      <c r="E19" s="512"/>
      <c r="F19" s="512"/>
      <c r="G19" s="512"/>
      <c r="H19" s="512"/>
      <c r="I19" s="513"/>
      <c r="J19" s="512"/>
      <c r="K19" s="513">
        <v>3</v>
      </c>
      <c r="L19" s="513">
        <v>4</v>
      </c>
      <c r="M19" s="513"/>
      <c r="N19" s="513"/>
      <c r="O19" s="513"/>
      <c r="P19" s="513">
        <v>1</v>
      </c>
      <c r="Q19" s="513"/>
      <c r="R19" s="513">
        <v>5</v>
      </c>
      <c r="S19" s="513">
        <v>0</v>
      </c>
      <c r="T19" s="513"/>
      <c r="U19" s="513">
        <v>5</v>
      </c>
      <c r="V19" s="513">
        <v>5</v>
      </c>
      <c r="W19" s="513">
        <v>5</v>
      </c>
      <c r="X19" s="513"/>
      <c r="Y19" s="513"/>
      <c r="Z19" s="513"/>
      <c r="AA19" s="513"/>
      <c r="AB19" s="513"/>
      <c r="AC19" s="505" t="s">
        <v>197</v>
      </c>
      <c r="AD19" s="505" t="s">
        <v>197</v>
      </c>
      <c r="AE19" s="696"/>
      <c r="AF19" s="503" t="s">
        <v>197</v>
      </c>
      <c r="AG19" s="506"/>
      <c r="AH19" s="506">
        <f t="shared" si="2"/>
        <v>0</v>
      </c>
      <c r="AI19" s="506"/>
      <c r="AJ19" s="506"/>
      <c r="AK19" s="506"/>
      <c r="AL19" s="506"/>
    </row>
    <row r="20" spans="1:38" ht="13">
      <c r="A20" s="1398"/>
      <c r="B20" s="1398"/>
      <c r="C20" s="520" t="s">
        <v>2483</v>
      </c>
      <c r="D20" s="522"/>
      <c r="E20" s="522">
        <f t="shared" ref="E20:X20" si="7">E19-E18</f>
        <v>0</v>
      </c>
      <c r="F20" s="522">
        <f t="shared" si="7"/>
        <v>0</v>
      </c>
      <c r="G20" s="522">
        <f t="shared" si="7"/>
        <v>0</v>
      </c>
      <c r="H20" s="522">
        <f t="shared" si="7"/>
        <v>0</v>
      </c>
      <c r="I20" s="522">
        <f t="shared" si="7"/>
        <v>0</v>
      </c>
      <c r="J20" s="522">
        <f t="shared" si="7"/>
        <v>0</v>
      </c>
      <c r="K20" s="522">
        <f t="shared" si="7"/>
        <v>0</v>
      </c>
      <c r="L20" s="522">
        <f t="shared" si="7"/>
        <v>0</v>
      </c>
      <c r="M20" s="522">
        <f t="shared" si="7"/>
        <v>0</v>
      </c>
      <c r="N20" s="522">
        <f t="shared" si="7"/>
        <v>0</v>
      </c>
      <c r="O20" s="522">
        <f t="shared" si="7"/>
        <v>0</v>
      </c>
      <c r="P20" s="522">
        <f t="shared" si="7"/>
        <v>-3</v>
      </c>
      <c r="Q20" s="522">
        <f t="shared" si="7"/>
        <v>0</v>
      </c>
      <c r="R20" s="522">
        <f t="shared" si="7"/>
        <v>5</v>
      </c>
      <c r="S20" s="522">
        <f t="shared" si="7"/>
        <v>0</v>
      </c>
      <c r="T20" s="522">
        <f t="shared" si="7"/>
        <v>0</v>
      </c>
      <c r="U20" s="522">
        <f t="shared" si="7"/>
        <v>0</v>
      </c>
      <c r="V20" s="522">
        <f t="shared" si="7"/>
        <v>0</v>
      </c>
      <c r="W20" s="522">
        <f t="shared" si="7"/>
        <v>0</v>
      </c>
      <c r="X20" s="522">
        <f t="shared" si="7"/>
        <v>0</v>
      </c>
      <c r="Y20" s="522">
        <f>Y19-Y18</f>
        <v>0</v>
      </c>
      <c r="Z20" s="522">
        <f>Z19-Z18</f>
        <v>0</v>
      </c>
      <c r="AA20" s="522">
        <f>AA19-AA18</f>
        <v>0</v>
      </c>
      <c r="AB20" s="522">
        <f>AB19-AB18</f>
        <v>0</v>
      </c>
      <c r="AC20" s="511">
        <f>SUMIF($E20:$X20,"&gt;0")</f>
        <v>5</v>
      </c>
      <c r="AD20" s="511">
        <f>SUMIF($E20:$X20,"&lt;0")</f>
        <v>-3</v>
      </c>
      <c r="AE20" s="696"/>
      <c r="AF20" s="503" t="s">
        <v>197</v>
      </c>
      <c r="AG20" s="506"/>
      <c r="AH20" s="506">
        <f t="shared" si="2"/>
        <v>0</v>
      </c>
      <c r="AI20" s="506"/>
      <c r="AJ20" s="506"/>
      <c r="AK20" s="506"/>
      <c r="AL20" s="506"/>
    </row>
    <row r="21" spans="1:38" ht="13">
      <c r="A21" s="1399"/>
      <c r="B21" s="1399"/>
      <c r="C21" s="503" t="s">
        <v>2484</v>
      </c>
      <c r="D21" s="522"/>
      <c r="E21" s="504">
        <f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04">
        <f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04">
        <f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04">
        <f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04">
        <f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04">
        <f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04">
        <f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04">
        <f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04">
        <f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04">
        <f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04">
        <f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04">
        <f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04">
        <f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04">
        <f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04">
        <f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04">
        <f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04">
        <f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5</v>
      </c>
      <c r="V21" s="504">
        <f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5</v>
      </c>
      <c r="W21" s="504">
        <f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5</v>
      </c>
      <c r="X21" s="504">
        <f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04"/>
      <c r="Z21" s="504"/>
      <c r="AA21" s="504"/>
      <c r="AB21" s="504"/>
      <c r="AC21" s="511"/>
      <c r="AD21" s="511"/>
      <c r="AE21" s="696">
        <f>SUM(E21:X21)</f>
        <v>26</v>
      </c>
      <c r="AF21" s="503"/>
      <c r="AG21" s="506"/>
      <c r="AH21" s="506"/>
      <c r="AI21" s="506"/>
      <c r="AJ21" s="506"/>
      <c r="AK21" s="506"/>
      <c r="AL21" s="506"/>
    </row>
    <row r="22" spans="1:38" ht="27" customHeight="1">
      <c r="A22" s="1391" t="s">
        <v>2485</v>
      </c>
      <c r="B22" s="1392"/>
      <c r="C22" s="694" t="s">
        <v>2481</v>
      </c>
      <c r="D22" s="515">
        <f>D2+D6++D10+D18+D14</f>
        <v>279</v>
      </c>
      <c r="E22" s="515">
        <f t="shared" ref="E22:N22" si="8">E2+E6++E10+E18</f>
        <v>38</v>
      </c>
      <c r="F22" s="515">
        <f t="shared" si="8"/>
        <v>0</v>
      </c>
      <c r="G22" s="515">
        <f t="shared" si="8"/>
        <v>38</v>
      </c>
      <c r="H22" s="515">
        <f t="shared" si="8"/>
        <v>32</v>
      </c>
      <c r="I22" s="515">
        <f t="shared" si="8"/>
        <v>32.91255613951266</v>
      </c>
      <c r="J22" s="515">
        <f t="shared" si="8"/>
        <v>31.877090301003346</v>
      </c>
      <c r="K22" s="515">
        <f t="shared" si="8"/>
        <v>74</v>
      </c>
      <c r="L22" s="515">
        <f t="shared" si="8"/>
        <v>44</v>
      </c>
      <c r="M22" s="515">
        <f t="shared" si="8"/>
        <v>55</v>
      </c>
      <c r="N22" s="515">
        <f t="shared" si="8"/>
        <v>6</v>
      </c>
      <c r="O22" s="515">
        <f t="shared" ref="O22:X22" si="9">O2+O6++O10+O18+O14</f>
        <v>5</v>
      </c>
      <c r="P22" s="515">
        <f t="shared" si="9"/>
        <v>56</v>
      </c>
      <c r="Q22" s="515">
        <f t="shared" si="9"/>
        <v>47</v>
      </c>
      <c r="R22" s="515">
        <f t="shared" si="9"/>
        <v>44</v>
      </c>
      <c r="S22" s="515">
        <f t="shared" si="9"/>
        <v>55</v>
      </c>
      <c r="T22" s="515">
        <f t="shared" si="9"/>
        <v>39</v>
      </c>
      <c r="U22" s="515">
        <f t="shared" si="9"/>
        <v>53</v>
      </c>
      <c r="V22" s="515">
        <f t="shared" si="9"/>
        <v>44</v>
      </c>
      <c r="W22" s="515">
        <f t="shared" si="9"/>
        <v>55</v>
      </c>
      <c r="X22" s="515">
        <f t="shared" si="9"/>
        <v>17</v>
      </c>
      <c r="Y22" s="515"/>
      <c r="Z22" s="515"/>
      <c r="AA22" s="515"/>
      <c r="AB22" s="515"/>
      <c r="AC22" s="505" t="s">
        <v>197</v>
      </c>
      <c r="AD22" s="505" t="s">
        <v>197</v>
      </c>
      <c r="AE22" s="697">
        <f>SUM(E22:X22)</f>
        <v>766.78964644051598</v>
      </c>
      <c r="AF22" s="503" t="s">
        <v>197</v>
      </c>
      <c r="AG22" s="696">
        <f>SUM(T22:X22)</f>
        <v>208</v>
      </c>
      <c r="AH22" s="506">
        <f t="shared" si="2"/>
        <v>134.78964644051601</v>
      </c>
      <c r="AI22" s="506"/>
      <c r="AJ22" s="506"/>
      <c r="AK22" s="506"/>
      <c r="AL22" s="506"/>
    </row>
    <row r="23" spans="1:38" ht="13">
      <c r="A23" s="1393"/>
      <c r="B23" s="1394"/>
      <c r="C23" s="694" t="s">
        <v>2482</v>
      </c>
      <c r="D23" s="515"/>
      <c r="E23" s="515">
        <f t="shared" ref="E23:N23" si="10">E3+E7++E11+E19</f>
        <v>57</v>
      </c>
      <c r="F23" s="515">
        <f t="shared" si="10"/>
        <v>27</v>
      </c>
      <c r="G23" s="515">
        <f t="shared" si="10"/>
        <v>21</v>
      </c>
      <c r="H23" s="515">
        <f t="shared" si="10"/>
        <v>32</v>
      </c>
      <c r="I23" s="515">
        <f t="shared" si="10"/>
        <v>32</v>
      </c>
      <c r="J23" s="515">
        <f t="shared" si="10"/>
        <v>26</v>
      </c>
      <c r="K23" s="515">
        <f t="shared" si="10"/>
        <v>27</v>
      </c>
      <c r="L23" s="515">
        <f t="shared" si="10"/>
        <v>52</v>
      </c>
      <c r="M23" s="515">
        <f t="shared" si="10"/>
        <v>10</v>
      </c>
      <c r="N23" s="515">
        <f t="shared" si="10"/>
        <v>58</v>
      </c>
      <c r="O23" s="515">
        <f t="shared" ref="O23:X23" si="11">O3+O7+O11+O19+O15</f>
        <v>21</v>
      </c>
      <c r="P23" s="515">
        <f t="shared" si="11"/>
        <v>65</v>
      </c>
      <c r="Q23" s="515">
        <f t="shared" si="11"/>
        <v>50</v>
      </c>
      <c r="R23" s="515">
        <f t="shared" si="11"/>
        <v>59</v>
      </c>
      <c r="S23" s="515">
        <f t="shared" si="11"/>
        <v>44</v>
      </c>
      <c r="T23" s="515">
        <f t="shared" si="11"/>
        <v>41</v>
      </c>
      <c r="U23" s="515">
        <f t="shared" si="11"/>
        <v>49</v>
      </c>
      <c r="V23" s="515">
        <f t="shared" si="11"/>
        <v>41</v>
      </c>
      <c r="W23" s="515">
        <f t="shared" si="11"/>
        <v>61</v>
      </c>
      <c r="X23" s="515">
        <f t="shared" si="11"/>
        <v>24</v>
      </c>
      <c r="Y23" s="515">
        <f t="shared" ref="Y23:AB24" si="12">Y3+Y7+Y11+Y19+Y15</f>
        <v>16</v>
      </c>
      <c r="Z23" s="515">
        <f t="shared" si="12"/>
        <v>29</v>
      </c>
      <c r="AA23" s="515">
        <f t="shared" si="12"/>
        <v>29</v>
      </c>
      <c r="AB23" s="515">
        <f t="shared" si="12"/>
        <v>29</v>
      </c>
      <c r="AC23" s="505" t="s">
        <v>197</v>
      </c>
      <c r="AD23" s="505" t="s">
        <v>197</v>
      </c>
      <c r="AE23" s="505"/>
      <c r="AF23" s="503" t="s">
        <v>197</v>
      </c>
      <c r="AG23" s="506"/>
      <c r="AH23" s="506">
        <f t="shared" si="2"/>
        <v>111</v>
      </c>
      <c r="AI23" s="506"/>
      <c r="AJ23" s="506"/>
      <c r="AK23" s="506"/>
      <c r="AL23" s="506"/>
    </row>
    <row r="24" spans="1:38" ht="13">
      <c r="A24" s="1393"/>
      <c r="B24" s="1394"/>
      <c r="C24" s="695" t="s">
        <v>2483</v>
      </c>
      <c r="D24" s="523"/>
      <c r="E24" s="523">
        <f t="shared" ref="E24:J25" si="13">E4+E8++E12+E20</f>
        <v>19</v>
      </c>
      <c r="F24" s="523">
        <f t="shared" si="13"/>
        <v>27</v>
      </c>
      <c r="G24" s="523">
        <f t="shared" si="13"/>
        <v>-17</v>
      </c>
      <c r="H24" s="523">
        <f t="shared" si="13"/>
        <v>0</v>
      </c>
      <c r="I24" s="523">
        <f t="shared" si="13"/>
        <v>-0.91255613951265957</v>
      </c>
      <c r="J24" s="523">
        <f t="shared" si="13"/>
        <v>-5.8770903010033457</v>
      </c>
      <c r="K24" s="523">
        <f>K4+K8+K12+K20</f>
        <v>-47</v>
      </c>
      <c r="L24" s="523">
        <f>L4+L8+L12+L20</f>
        <v>8</v>
      </c>
      <c r="M24" s="523">
        <f>M4+M8++M12+M20</f>
        <v>-45</v>
      </c>
      <c r="N24" s="523">
        <f>N4+N8++N12+N20</f>
        <v>52</v>
      </c>
      <c r="O24" s="523">
        <f t="shared" ref="O24:X24" si="14">O4+O8+O12+O20+O16</f>
        <v>16</v>
      </c>
      <c r="P24" s="523">
        <f t="shared" si="14"/>
        <v>9</v>
      </c>
      <c r="Q24" s="523">
        <f t="shared" si="14"/>
        <v>3</v>
      </c>
      <c r="R24" s="523">
        <f t="shared" si="14"/>
        <v>15</v>
      </c>
      <c r="S24" s="523">
        <f t="shared" si="14"/>
        <v>-11</v>
      </c>
      <c r="T24" s="523">
        <f t="shared" si="14"/>
        <v>2</v>
      </c>
      <c r="U24" s="523">
        <f t="shared" si="14"/>
        <v>-4</v>
      </c>
      <c r="V24" s="523">
        <f t="shared" si="14"/>
        <v>-3</v>
      </c>
      <c r="W24" s="523">
        <f t="shared" si="14"/>
        <v>6</v>
      </c>
      <c r="X24" s="523">
        <f t="shared" si="14"/>
        <v>7</v>
      </c>
      <c r="Y24" s="523">
        <f t="shared" si="12"/>
        <v>16</v>
      </c>
      <c r="Z24" s="523">
        <f t="shared" si="12"/>
        <v>29</v>
      </c>
      <c r="AA24" s="523">
        <f t="shared" si="12"/>
        <v>29</v>
      </c>
      <c r="AB24" s="523">
        <f t="shared" si="12"/>
        <v>29</v>
      </c>
      <c r="AC24" s="511">
        <f>SUMIF($E24:$X24,"&gt;0")</f>
        <v>164</v>
      </c>
      <c r="AD24" s="511">
        <f>SUMIF($E24:$X24,"&lt;0")</f>
        <v>-133.78964644051601</v>
      </c>
      <c r="AE24" s="511"/>
      <c r="AF24" s="503" t="s">
        <v>197</v>
      </c>
      <c r="AG24" s="506"/>
      <c r="AH24" s="931">
        <f>SUM(G24:J24)</f>
        <v>-23.789646440516005</v>
      </c>
      <c r="AI24" s="506"/>
      <c r="AJ24" s="506"/>
      <c r="AK24" s="506"/>
      <c r="AL24" s="506"/>
    </row>
    <row r="25" spans="1:38" ht="13">
      <c r="A25" s="1395"/>
      <c r="B25" s="1396"/>
      <c r="C25" s="694" t="s">
        <v>2484</v>
      </c>
      <c r="D25" s="523"/>
      <c r="E25" s="523">
        <f t="shared" si="13"/>
        <v>38</v>
      </c>
      <c r="F25" s="523">
        <f t="shared" si="13"/>
        <v>0</v>
      </c>
      <c r="G25" s="523">
        <f t="shared" si="13"/>
        <v>38</v>
      </c>
      <c r="H25" s="523">
        <f t="shared" si="13"/>
        <v>32</v>
      </c>
      <c r="I25" s="523">
        <f t="shared" si="13"/>
        <v>32.91255613951266</v>
      </c>
      <c r="J25" s="523">
        <f t="shared" si="13"/>
        <v>31.877090301003346</v>
      </c>
      <c r="K25" s="523">
        <f>K5+K9++K13+K21</f>
        <v>74</v>
      </c>
      <c r="L25" s="523">
        <f>L5+L9++L13+L21</f>
        <v>44</v>
      </c>
      <c r="M25" s="523">
        <f>M5+M9++M13+M21</f>
        <v>55</v>
      </c>
      <c r="N25" s="523">
        <f>N5+N9++N13+N21</f>
        <v>6</v>
      </c>
      <c r="O25" s="523">
        <f t="shared" ref="O25:X25" si="15">O5+O9+O13+O21+O17</f>
        <v>5</v>
      </c>
      <c r="P25" s="523">
        <f t="shared" si="15"/>
        <v>56</v>
      </c>
      <c r="Q25" s="523">
        <f t="shared" si="15"/>
        <v>47</v>
      </c>
      <c r="R25" s="523">
        <f t="shared" si="15"/>
        <v>44</v>
      </c>
      <c r="S25" s="523">
        <f t="shared" si="15"/>
        <v>55</v>
      </c>
      <c r="T25" s="523">
        <f t="shared" si="15"/>
        <v>39</v>
      </c>
      <c r="U25" s="523">
        <f t="shared" si="15"/>
        <v>53</v>
      </c>
      <c r="V25" s="523">
        <f t="shared" si="15"/>
        <v>44</v>
      </c>
      <c r="W25" s="523">
        <f t="shared" si="15"/>
        <v>55</v>
      </c>
      <c r="X25" s="523">
        <f t="shared" si="15"/>
        <v>17</v>
      </c>
      <c r="Y25" s="523"/>
      <c r="Z25" s="523"/>
      <c r="AA25" s="523"/>
      <c r="AB25" s="523"/>
      <c r="AC25" s="511"/>
      <c r="AD25" s="511"/>
      <c r="AE25" s="697">
        <f>SUM(E25:X25)</f>
        <v>766.78964644051598</v>
      </c>
      <c r="AF25" s="503"/>
      <c r="AG25" s="696">
        <f>SUM(T25:X25)</f>
        <v>208</v>
      </c>
      <c r="AH25" s="693"/>
      <c r="AI25" s="506"/>
      <c r="AJ25" s="506"/>
      <c r="AK25" s="506"/>
      <c r="AL25" s="506"/>
    </row>
    <row r="26" spans="1:38" ht="13">
      <c r="A26" s="1397" t="s">
        <v>86</v>
      </c>
      <c r="B26" s="1397" t="s">
        <v>78</v>
      </c>
      <c r="C26" s="503" t="s">
        <v>2481</v>
      </c>
      <c r="D26" s="504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114.00178571428572</v>
      </c>
      <c r="E26" s="504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04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04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04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04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04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04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04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04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04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04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04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04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04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21</v>
      </c>
      <c r="S26" s="504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15</v>
      </c>
      <c r="T26" s="504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04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16</v>
      </c>
      <c r="V26" s="504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04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7</v>
      </c>
      <c r="X26" s="504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10</v>
      </c>
      <c r="Y26" s="504"/>
      <c r="Z26" s="504"/>
      <c r="AA26" s="504"/>
      <c r="AB26" s="504"/>
      <c r="AC26" s="505" t="s">
        <v>197</v>
      </c>
      <c r="AD26" s="505" t="s">
        <v>197</v>
      </c>
      <c r="AE26" s="696">
        <f>SUM(E26:X26)</f>
        <v>330.85785714285714</v>
      </c>
      <c r="AF26" s="503" t="s">
        <v>197</v>
      </c>
      <c r="AG26" s="506"/>
      <c r="AH26" s="506">
        <f t="shared" si="2"/>
        <v>93</v>
      </c>
      <c r="AI26" s="506"/>
      <c r="AJ26" s="506"/>
      <c r="AK26" s="506"/>
      <c r="AL26" s="506"/>
    </row>
    <row r="27" spans="1:38" ht="13">
      <c r="A27" s="1398"/>
      <c r="B27" s="1398"/>
      <c r="C27" s="509" t="s">
        <v>2482</v>
      </c>
      <c r="D27" s="509"/>
      <c r="E27" s="510"/>
      <c r="F27" s="510">
        <v>9</v>
      </c>
      <c r="G27" s="510">
        <v>5</v>
      </c>
      <c r="H27" s="510">
        <v>20</v>
      </c>
      <c r="I27" s="510">
        <v>39</v>
      </c>
      <c r="J27" s="510">
        <v>27</v>
      </c>
      <c r="K27" s="510">
        <f>22+1</f>
        <v>23</v>
      </c>
      <c r="L27" s="510">
        <f>20+6+1+2</f>
        <v>29</v>
      </c>
      <c r="M27" s="510">
        <f>20-1-3-1+1</f>
        <v>16</v>
      </c>
      <c r="N27" s="510">
        <f>5+2</f>
        <v>7</v>
      </c>
      <c r="O27" s="510">
        <f>12+2</f>
        <v>14</v>
      </c>
      <c r="P27" s="510">
        <f>5-3+4+14</f>
        <v>20</v>
      </c>
      <c r="Q27" s="510">
        <f>5+10-5+4+2+5+17</f>
        <v>38</v>
      </c>
      <c r="R27" s="510">
        <f>10-5+24+2</f>
        <v>31</v>
      </c>
      <c r="S27" s="510">
        <f>5-2+10-6+6+2</f>
        <v>15</v>
      </c>
      <c r="T27" s="510">
        <f>10+5-1+2</f>
        <v>16</v>
      </c>
      <c r="U27" s="510">
        <f>5+3+2</f>
        <v>10</v>
      </c>
      <c r="V27" s="510">
        <f>12-4-2+5</f>
        <v>11</v>
      </c>
      <c r="W27" s="510">
        <f>12-4-4+4</f>
        <v>8</v>
      </c>
      <c r="X27" s="510">
        <f>10+5</f>
        <v>15</v>
      </c>
      <c r="Y27" s="510">
        <v>12</v>
      </c>
      <c r="Z27" s="510">
        <f>12+5</f>
        <v>17</v>
      </c>
      <c r="AA27" s="510">
        <f>5+12</f>
        <v>17</v>
      </c>
      <c r="AB27" s="510">
        <v>17</v>
      </c>
      <c r="AC27" s="505" t="s">
        <v>197</v>
      </c>
      <c r="AD27" s="505" t="s">
        <v>197</v>
      </c>
      <c r="AE27" s="696"/>
      <c r="AF27" s="503" t="s">
        <v>197</v>
      </c>
      <c r="AG27" s="506"/>
      <c r="AH27" s="506">
        <f t="shared" si="2"/>
        <v>91</v>
      </c>
      <c r="AI27" s="506"/>
      <c r="AJ27" s="506"/>
      <c r="AK27" s="506"/>
      <c r="AL27" s="506"/>
    </row>
    <row r="28" spans="1:38" ht="13">
      <c r="A28" s="1398"/>
      <c r="B28" s="1398"/>
      <c r="C28" s="520" t="s">
        <v>2483</v>
      </c>
      <c r="D28" s="522"/>
      <c r="E28" s="522">
        <f t="shared" ref="E28:X28" si="16">E27-E26</f>
        <v>0</v>
      </c>
      <c r="F28" s="522">
        <f t="shared" si="16"/>
        <v>9</v>
      </c>
      <c r="G28" s="522">
        <f t="shared" si="16"/>
        <v>2</v>
      </c>
      <c r="H28" s="522">
        <f t="shared" si="16"/>
        <v>-6</v>
      </c>
      <c r="I28" s="522">
        <f t="shared" si="16"/>
        <v>12</v>
      </c>
      <c r="J28" s="522">
        <f t="shared" si="16"/>
        <v>-10</v>
      </c>
      <c r="K28" s="522">
        <f t="shared" si="16"/>
        <v>6.0028571428571418</v>
      </c>
      <c r="L28" s="522">
        <f t="shared" si="16"/>
        <v>0</v>
      </c>
      <c r="M28" s="522">
        <f t="shared" si="16"/>
        <v>-1</v>
      </c>
      <c r="N28" s="522">
        <f t="shared" si="16"/>
        <v>-11</v>
      </c>
      <c r="O28" s="522">
        <f t="shared" si="16"/>
        <v>-13.858928571428571</v>
      </c>
      <c r="P28" s="522">
        <f t="shared" si="16"/>
        <v>-6</v>
      </c>
      <c r="Q28" s="522">
        <f t="shared" si="16"/>
        <v>18.998214285714287</v>
      </c>
      <c r="R28" s="522">
        <f t="shared" si="16"/>
        <v>10</v>
      </c>
      <c r="S28" s="522">
        <f t="shared" si="16"/>
        <v>0</v>
      </c>
      <c r="T28" s="522">
        <f t="shared" si="16"/>
        <v>2</v>
      </c>
      <c r="U28" s="522">
        <f t="shared" si="16"/>
        <v>-6</v>
      </c>
      <c r="V28" s="522">
        <f t="shared" si="16"/>
        <v>10</v>
      </c>
      <c r="W28" s="522">
        <f t="shared" si="16"/>
        <v>1</v>
      </c>
      <c r="X28" s="522">
        <f t="shared" si="16"/>
        <v>5</v>
      </c>
      <c r="Y28" s="522">
        <f>Y27-Y26</f>
        <v>12</v>
      </c>
      <c r="Z28" s="522">
        <f>Z27-Z26</f>
        <v>17</v>
      </c>
      <c r="AA28" s="522">
        <f>AA27-AA26</f>
        <v>17</v>
      </c>
      <c r="AB28" s="522">
        <f>AB27-AB26</f>
        <v>17</v>
      </c>
      <c r="AC28" s="511">
        <f>SUMIF($E28:$X28,"&gt;0")</f>
        <v>76.001071428571436</v>
      </c>
      <c r="AD28" s="511">
        <f>SUMIF($E28:$X28,"&lt;0")</f>
        <v>-53.858928571428571</v>
      </c>
      <c r="AE28" s="696"/>
      <c r="AF28" s="503"/>
      <c r="AG28" s="506"/>
      <c r="AH28" s="506">
        <f t="shared" si="2"/>
        <v>-2</v>
      </c>
      <c r="AI28" s="506"/>
      <c r="AJ28" s="506"/>
      <c r="AK28" s="506"/>
      <c r="AL28" s="506"/>
    </row>
    <row r="29" spans="1:38" ht="13">
      <c r="A29" s="1398"/>
      <c r="B29" s="1399"/>
      <c r="C29" s="503" t="s">
        <v>2484</v>
      </c>
      <c r="D29" s="522"/>
      <c r="E29" s="504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04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04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04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04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04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04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04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04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04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04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04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04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04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04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15</v>
      </c>
      <c r="T29" s="504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14</v>
      </c>
      <c r="U29" s="504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16</v>
      </c>
      <c r="V29" s="504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1</v>
      </c>
      <c r="W29" s="504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7</v>
      </c>
      <c r="X29" s="504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10</v>
      </c>
      <c r="Y29" s="504"/>
      <c r="Z29" s="504"/>
      <c r="AA29" s="504"/>
      <c r="AB29" s="504"/>
      <c r="AC29" s="511"/>
      <c r="AD29" s="511"/>
      <c r="AE29" s="696">
        <f>SUM(E29:X29)</f>
        <v>330.85785714285714</v>
      </c>
      <c r="AF29" s="503"/>
      <c r="AG29" s="506"/>
      <c r="AH29" s="506"/>
      <c r="AI29" s="506"/>
      <c r="AJ29" s="506"/>
      <c r="AK29" s="506"/>
      <c r="AL29" s="506"/>
    </row>
    <row r="30" spans="1:38" ht="13">
      <c r="A30" s="1398"/>
      <c r="B30" s="1397" t="s">
        <v>314</v>
      </c>
      <c r="C30" s="503" t="s">
        <v>2481</v>
      </c>
      <c r="D30" s="504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13</v>
      </c>
      <c r="E30" s="504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04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04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04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04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04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04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04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04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04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04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04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04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04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04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04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04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04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4</v>
      </c>
      <c r="W30" s="504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0</v>
      </c>
      <c r="X30" s="504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4</v>
      </c>
      <c r="Y30" s="504"/>
      <c r="Z30" s="504"/>
      <c r="AA30" s="504"/>
      <c r="AB30" s="504"/>
      <c r="AC30" s="505" t="s">
        <v>197</v>
      </c>
      <c r="AD30" s="505" t="s">
        <v>197</v>
      </c>
      <c r="AE30" s="696">
        <f>SUM(E30:X30)</f>
        <v>25</v>
      </c>
      <c r="AF30" s="503" t="s">
        <v>197</v>
      </c>
      <c r="AG30" s="506"/>
      <c r="AH30" s="506">
        <f t="shared" si="2"/>
        <v>0</v>
      </c>
      <c r="AI30" s="506"/>
      <c r="AJ30" s="506"/>
      <c r="AK30" s="506"/>
      <c r="AL30" s="506"/>
    </row>
    <row r="31" spans="1:38" ht="13">
      <c r="A31" s="1398"/>
      <c r="B31" s="1398"/>
      <c r="C31" s="509" t="s">
        <v>2482</v>
      </c>
      <c r="D31" s="509"/>
      <c r="E31" s="510">
        <v>7</v>
      </c>
      <c r="F31" s="510">
        <v>9</v>
      </c>
      <c r="G31" s="510">
        <v>10</v>
      </c>
      <c r="H31" s="510"/>
      <c r="I31" s="510"/>
      <c r="J31" s="510"/>
      <c r="K31" s="510">
        <v>5</v>
      </c>
      <c r="L31" s="510"/>
      <c r="M31" s="510">
        <v>3</v>
      </c>
      <c r="N31" s="510">
        <v>0</v>
      </c>
      <c r="O31" s="510">
        <v>3</v>
      </c>
      <c r="P31" s="510"/>
      <c r="Q31" s="510"/>
      <c r="R31" s="510"/>
      <c r="S31" s="510">
        <v>6</v>
      </c>
      <c r="T31" s="510"/>
      <c r="U31" s="510">
        <v>0</v>
      </c>
      <c r="V31" s="510">
        <v>4</v>
      </c>
      <c r="W31" s="510">
        <v>4</v>
      </c>
      <c r="X31" s="510">
        <v>0</v>
      </c>
      <c r="Y31" s="510"/>
      <c r="Z31" s="510"/>
      <c r="AA31" s="510"/>
      <c r="AB31" s="510"/>
      <c r="AC31" s="505" t="s">
        <v>197</v>
      </c>
      <c r="AD31" s="505" t="s">
        <v>197</v>
      </c>
      <c r="AE31" s="696"/>
      <c r="AF31" s="503" t="s">
        <v>197</v>
      </c>
      <c r="AG31" s="506"/>
      <c r="AH31" s="506">
        <f t="shared" si="2"/>
        <v>10</v>
      </c>
      <c r="AI31" s="506"/>
      <c r="AJ31" s="506"/>
      <c r="AK31" s="506"/>
      <c r="AL31" s="506"/>
    </row>
    <row r="32" spans="1:38" ht="13">
      <c r="A32" s="1398"/>
      <c r="B32" s="1398"/>
      <c r="C32" s="520" t="s">
        <v>2483</v>
      </c>
      <c r="D32" s="522"/>
      <c r="E32" s="522">
        <f t="shared" ref="E32:X32" si="17">E31-E30</f>
        <v>7</v>
      </c>
      <c r="F32" s="522">
        <f t="shared" si="17"/>
        <v>9</v>
      </c>
      <c r="G32" s="522">
        <f t="shared" si="17"/>
        <v>10</v>
      </c>
      <c r="H32" s="522">
        <f t="shared" si="17"/>
        <v>0</v>
      </c>
      <c r="I32" s="522">
        <f t="shared" si="17"/>
        <v>0</v>
      </c>
      <c r="J32" s="522">
        <f t="shared" si="17"/>
        <v>0</v>
      </c>
      <c r="K32" s="522">
        <f t="shared" si="17"/>
        <v>0</v>
      </c>
      <c r="L32" s="522">
        <f t="shared" si="17"/>
        <v>0</v>
      </c>
      <c r="M32" s="522">
        <f t="shared" si="17"/>
        <v>0</v>
      </c>
      <c r="N32" s="522">
        <f t="shared" si="17"/>
        <v>-3</v>
      </c>
      <c r="O32" s="522">
        <f t="shared" si="17"/>
        <v>3</v>
      </c>
      <c r="P32" s="522">
        <f t="shared" si="17"/>
        <v>0</v>
      </c>
      <c r="Q32" s="522">
        <f t="shared" si="17"/>
        <v>0</v>
      </c>
      <c r="R32" s="522">
        <f t="shared" si="17"/>
        <v>-6</v>
      </c>
      <c r="S32" s="522">
        <f t="shared" si="17"/>
        <v>6</v>
      </c>
      <c r="T32" s="522">
        <f t="shared" si="17"/>
        <v>0</v>
      </c>
      <c r="U32" s="522">
        <f t="shared" si="17"/>
        <v>0</v>
      </c>
      <c r="V32" s="522">
        <f t="shared" si="17"/>
        <v>0</v>
      </c>
      <c r="W32" s="522">
        <f t="shared" si="17"/>
        <v>4</v>
      </c>
      <c r="X32" s="522">
        <f t="shared" si="17"/>
        <v>-4</v>
      </c>
      <c r="Y32" s="522">
        <f>Y31-Y30</f>
        <v>0</v>
      </c>
      <c r="Z32" s="522">
        <f>Z31-Z30</f>
        <v>0</v>
      </c>
      <c r="AA32" s="522">
        <f>AA31-AA30</f>
        <v>0</v>
      </c>
      <c r="AB32" s="522">
        <f>AB31-AB30</f>
        <v>0</v>
      </c>
      <c r="AC32" s="511">
        <f>SUMIF($E32:$X32,"&gt;0")</f>
        <v>39</v>
      </c>
      <c r="AD32" s="511">
        <f>SUMIF($E32:$X32,"&lt;0")</f>
        <v>-13</v>
      </c>
      <c r="AE32" s="696"/>
      <c r="AF32" s="503" t="s">
        <v>197</v>
      </c>
      <c r="AG32" s="506"/>
      <c r="AH32" s="506">
        <f t="shared" si="2"/>
        <v>10</v>
      </c>
      <c r="AI32" s="506"/>
      <c r="AJ32" s="506"/>
      <c r="AK32" s="506"/>
      <c r="AL32" s="506"/>
    </row>
    <row r="33" spans="1:38" ht="13">
      <c r="A33" s="1398"/>
      <c r="B33" s="1399"/>
      <c r="C33" s="503" t="s">
        <v>2484</v>
      </c>
      <c r="D33" s="522"/>
      <c r="E33" s="504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04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04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04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04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04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04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04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04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04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04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04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04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04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04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04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04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04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4</v>
      </c>
      <c r="W33" s="504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04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4</v>
      </c>
      <c r="Y33" s="504"/>
      <c r="Z33" s="504"/>
      <c r="AA33" s="504"/>
      <c r="AB33" s="504"/>
      <c r="AC33" s="511"/>
      <c r="AD33" s="511"/>
      <c r="AE33" s="696">
        <f>SUM(E33:X33)</f>
        <v>25</v>
      </c>
      <c r="AF33" s="503"/>
      <c r="AG33" s="506"/>
      <c r="AH33" s="506"/>
      <c r="AI33" s="506"/>
      <c r="AJ33" s="506"/>
      <c r="AK33" s="506"/>
      <c r="AL33" s="506"/>
    </row>
    <row r="34" spans="1:38" ht="13">
      <c r="A34" s="1398"/>
      <c r="B34" s="1397" t="s">
        <v>1561</v>
      </c>
      <c r="C34" s="503" t="s">
        <v>2481</v>
      </c>
      <c r="D34" s="504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4</v>
      </c>
      <c r="E34" s="504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04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04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04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04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04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04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04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04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04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04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04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04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04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04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04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04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04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04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4</v>
      </c>
      <c r="X34" s="504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04"/>
      <c r="Z34" s="504"/>
      <c r="AA34" s="504"/>
      <c r="AB34" s="504"/>
      <c r="AC34" s="505" t="s">
        <v>197</v>
      </c>
      <c r="AD34" s="505" t="s">
        <v>197</v>
      </c>
      <c r="AE34" s="696">
        <f>SUM(E34:X34)</f>
        <v>23</v>
      </c>
      <c r="AF34" s="503" t="s">
        <v>197</v>
      </c>
      <c r="AG34" s="506"/>
      <c r="AH34" s="506">
        <f t="shared" si="2"/>
        <v>13</v>
      </c>
      <c r="AI34" s="506"/>
      <c r="AJ34" s="506"/>
      <c r="AK34" s="506"/>
      <c r="AL34" s="506"/>
    </row>
    <row r="35" spans="1:38" ht="13">
      <c r="A35" s="1398"/>
      <c r="B35" s="1398"/>
      <c r="C35" s="509" t="s">
        <v>2482</v>
      </c>
      <c r="D35" s="509"/>
      <c r="E35" s="510">
        <v>13</v>
      </c>
      <c r="F35" s="510"/>
      <c r="G35" s="510">
        <v>5</v>
      </c>
      <c r="H35" s="510">
        <v>5</v>
      </c>
      <c r="I35" s="510">
        <v>5</v>
      </c>
      <c r="J35" s="510">
        <v>3</v>
      </c>
      <c r="K35" s="510"/>
      <c r="L35" s="510"/>
      <c r="M35" s="510"/>
      <c r="N35" s="510">
        <v>0</v>
      </c>
      <c r="O35" s="510">
        <v>0</v>
      </c>
      <c r="P35" s="510">
        <v>2</v>
      </c>
      <c r="Q35" s="510">
        <v>2</v>
      </c>
      <c r="R35" s="510">
        <v>2</v>
      </c>
      <c r="S35" s="510">
        <v>0</v>
      </c>
      <c r="T35" s="510"/>
      <c r="U35" s="510">
        <v>0</v>
      </c>
      <c r="V35" s="510">
        <v>0</v>
      </c>
      <c r="W35" s="510">
        <v>4</v>
      </c>
      <c r="X35" s="510">
        <v>0</v>
      </c>
      <c r="Y35" s="510"/>
      <c r="Z35" s="510"/>
      <c r="AA35" s="510"/>
      <c r="AB35" s="510"/>
      <c r="AC35" s="505" t="s">
        <v>197</v>
      </c>
      <c r="AD35" s="505" t="s">
        <v>197</v>
      </c>
      <c r="AE35" s="696"/>
      <c r="AF35" s="503" t="s">
        <v>197</v>
      </c>
      <c r="AG35" s="506"/>
      <c r="AH35" s="506">
        <f t="shared" si="2"/>
        <v>18</v>
      </c>
      <c r="AI35" s="506"/>
      <c r="AJ35" s="506"/>
      <c r="AK35" s="506"/>
      <c r="AL35" s="506"/>
    </row>
    <row r="36" spans="1:38" ht="13">
      <c r="A36" s="1398"/>
      <c r="B36" s="1398"/>
      <c r="C36" s="520" t="s">
        <v>2483</v>
      </c>
      <c r="D36" s="522"/>
      <c r="E36" s="522">
        <f t="shared" ref="E36:X36" si="18">E35-E34</f>
        <v>13</v>
      </c>
      <c r="F36" s="522">
        <f t="shared" si="18"/>
        <v>0</v>
      </c>
      <c r="G36" s="522">
        <f t="shared" si="18"/>
        <v>5</v>
      </c>
      <c r="H36" s="522">
        <f t="shared" si="18"/>
        <v>0</v>
      </c>
      <c r="I36" s="522">
        <f t="shared" si="18"/>
        <v>0</v>
      </c>
      <c r="J36" s="522">
        <f t="shared" si="18"/>
        <v>0</v>
      </c>
      <c r="K36" s="522">
        <f t="shared" si="18"/>
        <v>0</v>
      </c>
      <c r="L36" s="522">
        <f t="shared" si="18"/>
        <v>0</v>
      </c>
      <c r="M36" s="522">
        <f t="shared" si="18"/>
        <v>0</v>
      </c>
      <c r="N36" s="522">
        <f t="shared" si="18"/>
        <v>0</v>
      </c>
      <c r="O36" s="522">
        <f t="shared" si="18"/>
        <v>0</v>
      </c>
      <c r="P36" s="522">
        <f t="shared" si="18"/>
        <v>-1</v>
      </c>
      <c r="Q36" s="522">
        <f t="shared" si="18"/>
        <v>1</v>
      </c>
      <c r="R36" s="522">
        <f t="shared" si="18"/>
        <v>2</v>
      </c>
      <c r="S36" s="522">
        <f t="shared" si="18"/>
        <v>-2</v>
      </c>
      <c r="T36" s="522">
        <f t="shared" si="18"/>
        <v>0</v>
      </c>
      <c r="U36" s="522">
        <f t="shared" si="18"/>
        <v>0</v>
      </c>
      <c r="V36" s="522">
        <f t="shared" si="18"/>
        <v>0</v>
      </c>
      <c r="W36" s="522">
        <f t="shared" si="18"/>
        <v>0</v>
      </c>
      <c r="X36" s="522">
        <f t="shared" si="18"/>
        <v>0</v>
      </c>
      <c r="Y36" s="522">
        <f>Y35-Y34</f>
        <v>0</v>
      </c>
      <c r="Z36" s="522">
        <f>Z35-Z34</f>
        <v>0</v>
      </c>
      <c r="AA36" s="522">
        <f>AA35-AA34</f>
        <v>0</v>
      </c>
      <c r="AB36" s="522">
        <f>AB35-AB34</f>
        <v>0</v>
      </c>
      <c r="AC36" s="511">
        <f>SUMIF($E36:$X36,"&gt;0")</f>
        <v>21</v>
      </c>
      <c r="AD36" s="511">
        <f>SUMIF($E36:$X36,"&lt;0")</f>
        <v>-3</v>
      </c>
      <c r="AE36" s="696"/>
      <c r="AF36" s="503"/>
      <c r="AG36" s="506"/>
      <c r="AH36" s="506">
        <f t="shared" si="2"/>
        <v>5</v>
      </c>
      <c r="AI36" s="506"/>
      <c r="AJ36" s="506"/>
      <c r="AK36" s="506"/>
      <c r="AL36" s="506"/>
    </row>
    <row r="37" spans="1:38" ht="13">
      <c r="A37" s="1398"/>
      <c r="B37" s="1399"/>
      <c r="C37" s="503" t="s">
        <v>2484</v>
      </c>
      <c r="D37" s="522"/>
      <c r="E37" s="504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04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04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04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04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04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04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04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04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04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04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04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04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04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04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04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04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04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04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4</v>
      </c>
      <c r="X37" s="504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04"/>
      <c r="Z37" s="504"/>
      <c r="AA37" s="504"/>
      <c r="AB37" s="504"/>
      <c r="AC37" s="511"/>
      <c r="AD37" s="511"/>
      <c r="AE37" s="696">
        <f>SUM(E37:X37)</f>
        <v>23</v>
      </c>
      <c r="AF37" s="503"/>
      <c r="AG37" s="506"/>
      <c r="AH37" s="506"/>
      <c r="AI37" s="506"/>
      <c r="AJ37" s="506"/>
      <c r="AK37" s="506"/>
      <c r="AL37" s="506"/>
    </row>
    <row r="38" spans="1:38" ht="13">
      <c r="A38" s="1398"/>
      <c r="B38" s="1397" t="s">
        <v>124</v>
      </c>
      <c r="C38" s="503" t="s">
        <v>2481</v>
      </c>
      <c r="D38" s="504">
        <f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23</v>
      </c>
      <c r="E38" s="504">
        <f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04">
        <f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04">
        <f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04">
        <f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04">
        <f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04">
        <f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04">
        <f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04">
        <f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04">
        <f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04">
        <f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04">
        <f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04">
        <f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04">
        <f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04">
        <f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04">
        <f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04">
        <f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04">
        <f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04">
        <f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04">
        <f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1</v>
      </c>
      <c r="X38" s="504">
        <f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1</v>
      </c>
      <c r="Y38" s="504"/>
      <c r="Z38" s="504"/>
      <c r="AA38" s="504"/>
      <c r="AB38" s="504"/>
      <c r="AC38" s="505" t="s">
        <v>197</v>
      </c>
      <c r="AD38" s="505" t="s">
        <v>197</v>
      </c>
      <c r="AE38" s="696">
        <f>SUM(E38:X38)</f>
        <v>38.06818181818182</v>
      </c>
      <c r="AF38" s="503" t="s">
        <v>197</v>
      </c>
      <c r="AG38" s="506"/>
      <c r="AH38" s="506">
        <f t="shared" si="2"/>
        <v>3.07</v>
      </c>
      <c r="AI38" s="506"/>
      <c r="AJ38" s="506"/>
      <c r="AK38" s="506"/>
      <c r="AL38" s="506"/>
    </row>
    <row r="39" spans="1:38" ht="13">
      <c r="A39" s="1398"/>
      <c r="B39" s="1398"/>
      <c r="C39" s="509" t="s">
        <v>2482</v>
      </c>
      <c r="D39" s="509"/>
      <c r="E39" s="510">
        <v>7</v>
      </c>
      <c r="F39" s="510">
        <v>5</v>
      </c>
      <c r="G39" s="510">
        <v>12</v>
      </c>
      <c r="H39" s="510"/>
      <c r="I39" s="510"/>
      <c r="J39" s="510">
        <v>2</v>
      </c>
      <c r="K39" s="510">
        <v>5</v>
      </c>
      <c r="L39" s="510">
        <v>0</v>
      </c>
      <c r="M39" s="510">
        <v>6</v>
      </c>
      <c r="N39" s="510">
        <v>0</v>
      </c>
      <c r="O39" s="510">
        <v>2</v>
      </c>
      <c r="P39" s="510">
        <v>3</v>
      </c>
      <c r="Q39" s="510">
        <v>5</v>
      </c>
      <c r="R39" s="510">
        <v>5</v>
      </c>
      <c r="S39" s="510">
        <v>2</v>
      </c>
      <c r="T39" s="510">
        <v>3</v>
      </c>
      <c r="U39" s="510">
        <v>0</v>
      </c>
      <c r="V39" s="510">
        <v>2</v>
      </c>
      <c r="W39" s="510">
        <v>1</v>
      </c>
      <c r="X39" s="510">
        <v>0</v>
      </c>
      <c r="Y39" s="510"/>
      <c r="Z39" s="510"/>
      <c r="AA39" s="510"/>
      <c r="AB39" s="510"/>
      <c r="AC39" s="505" t="s">
        <v>197</v>
      </c>
      <c r="AD39" s="505" t="s">
        <v>197</v>
      </c>
      <c r="AE39" s="696"/>
      <c r="AF39" s="503" t="s">
        <v>197</v>
      </c>
      <c r="AG39" s="506"/>
      <c r="AH39" s="506">
        <f t="shared" si="2"/>
        <v>14</v>
      </c>
      <c r="AI39" s="506"/>
      <c r="AJ39" s="506"/>
      <c r="AK39" s="506"/>
      <c r="AL39" s="506"/>
    </row>
    <row r="40" spans="1:38" ht="13">
      <c r="A40" s="1398"/>
      <c r="B40" s="1398"/>
      <c r="C40" s="520" t="s">
        <v>2483</v>
      </c>
      <c r="D40" s="522"/>
      <c r="E40" s="522">
        <f t="shared" ref="E40:X40" si="19">E39-E38</f>
        <v>7</v>
      </c>
      <c r="F40" s="522">
        <f t="shared" si="19"/>
        <v>5</v>
      </c>
      <c r="G40" s="522">
        <f t="shared" si="19"/>
        <v>12</v>
      </c>
      <c r="H40" s="522">
        <f t="shared" si="19"/>
        <v>0</v>
      </c>
      <c r="I40" s="522">
        <f t="shared" si="19"/>
        <v>-1</v>
      </c>
      <c r="J40" s="522">
        <f t="shared" si="19"/>
        <v>-6.999999999999984E-2</v>
      </c>
      <c r="K40" s="522">
        <f t="shared" si="19"/>
        <v>0</v>
      </c>
      <c r="L40" s="522">
        <f t="shared" si="19"/>
        <v>0</v>
      </c>
      <c r="M40" s="522">
        <f t="shared" si="19"/>
        <v>1.0018181818181819</v>
      </c>
      <c r="N40" s="522">
        <f t="shared" si="19"/>
        <v>0</v>
      </c>
      <c r="O40" s="522">
        <f t="shared" si="19"/>
        <v>0</v>
      </c>
      <c r="P40" s="522">
        <f t="shared" si="19"/>
        <v>-2</v>
      </c>
      <c r="Q40" s="522">
        <f t="shared" si="19"/>
        <v>2</v>
      </c>
      <c r="R40" s="522">
        <f t="shared" si="19"/>
        <v>0</v>
      </c>
      <c r="S40" s="522">
        <f t="shared" si="19"/>
        <v>0</v>
      </c>
      <c r="T40" s="522">
        <f t="shared" si="19"/>
        <v>-1</v>
      </c>
      <c r="U40" s="522">
        <f t="shared" si="19"/>
        <v>0</v>
      </c>
      <c r="V40" s="522">
        <f t="shared" si="19"/>
        <v>0</v>
      </c>
      <c r="W40" s="522">
        <f t="shared" si="19"/>
        <v>0</v>
      </c>
      <c r="X40" s="522">
        <f t="shared" si="19"/>
        <v>-1</v>
      </c>
      <c r="Y40" s="522">
        <f>Y39-Y38</f>
        <v>0</v>
      </c>
      <c r="Z40" s="522">
        <f>Z39-Z38</f>
        <v>0</v>
      </c>
      <c r="AA40" s="522">
        <f>AA39-AA38</f>
        <v>0</v>
      </c>
      <c r="AB40" s="522">
        <f>AB39-AB38</f>
        <v>0</v>
      </c>
      <c r="AC40" s="511">
        <f>SUMIF($E40:$X40,"&gt;0")</f>
        <v>27.00181818181818</v>
      </c>
      <c r="AD40" s="511">
        <f>SUMIF($E40:$X40,"&lt;0")</f>
        <v>-5.07</v>
      </c>
      <c r="AE40" s="696"/>
      <c r="AF40" s="503" t="s">
        <v>197</v>
      </c>
      <c r="AG40" s="506"/>
      <c r="AH40" s="506">
        <f t="shared" si="2"/>
        <v>10.93</v>
      </c>
      <c r="AI40" s="506"/>
      <c r="AJ40" s="506"/>
      <c r="AK40" s="506"/>
      <c r="AL40" s="506"/>
    </row>
    <row r="41" spans="1:38" ht="13">
      <c r="A41" s="1398"/>
      <c r="B41" s="1399"/>
      <c r="C41" s="503" t="s">
        <v>2484</v>
      </c>
      <c r="D41" s="522"/>
      <c r="E41" s="504">
        <f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04">
        <f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04">
        <f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04">
        <f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04">
        <f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04">
        <f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04">
        <f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04">
        <f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04">
        <f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04">
        <f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04">
        <f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04">
        <f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04">
        <f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04">
        <f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04">
        <f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04">
        <f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04">
        <f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04">
        <f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2</v>
      </c>
      <c r="W41" s="504">
        <f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1</v>
      </c>
      <c r="X41" s="504">
        <f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1</v>
      </c>
      <c r="Y41" s="504"/>
      <c r="Z41" s="504"/>
      <c r="AA41" s="504"/>
      <c r="AB41" s="504"/>
      <c r="AC41" s="511"/>
      <c r="AD41" s="511"/>
      <c r="AE41" s="696">
        <f>SUM(E41:X41)</f>
        <v>38.06818181818182</v>
      </c>
      <c r="AF41" s="503"/>
      <c r="AG41" s="506"/>
      <c r="AH41" s="506"/>
      <c r="AI41" s="506"/>
      <c r="AJ41" s="506"/>
      <c r="AK41" s="506"/>
      <c r="AL41" s="506"/>
    </row>
    <row r="42" spans="1:38" ht="13">
      <c r="A42" s="1398"/>
      <c r="B42" s="1397" t="s">
        <v>2486</v>
      </c>
      <c r="C42" s="503" t="s">
        <v>2481</v>
      </c>
      <c r="D42" s="504">
        <f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33</v>
      </c>
      <c r="E42" s="504">
        <f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04">
        <f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04">
        <f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04">
        <f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04">
        <f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04">
        <f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04">
        <f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04">
        <f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04">
        <f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04">
        <f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04">
        <f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04">
        <f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04">
        <f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04">
        <f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04">
        <f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04">
        <f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8</v>
      </c>
      <c r="U42" s="504">
        <f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14</v>
      </c>
      <c r="V42" s="504">
        <f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22</v>
      </c>
      <c r="W42" s="504">
        <f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04">
        <f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04"/>
      <c r="Z42" s="504"/>
      <c r="AA42" s="504"/>
      <c r="AB42" s="504"/>
      <c r="AC42" s="505" t="s">
        <v>197</v>
      </c>
      <c r="AD42" s="505" t="s">
        <v>197</v>
      </c>
      <c r="AE42" s="696">
        <f>SUM(E42:X42)</f>
        <v>55</v>
      </c>
      <c r="AF42" s="503" t="s">
        <v>197</v>
      </c>
      <c r="AG42" s="506"/>
      <c r="AH42" s="506">
        <f>SUM(G42:J42)</f>
        <v>0</v>
      </c>
      <c r="AI42" s="506"/>
      <c r="AJ42" s="506"/>
      <c r="AK42" s="506"/>
      <c r="AL42" s="506"/>
    </row>
    <row r="43" spans="1:38" ht="13">
      <c r="A43" s="1398"/>
      <c r="B43" s="1398"/>
      <c r="C43" s="509" t="s">
        <v>2482</v>
      </c>
      <c r="D43" s="509"/>
      <c r="E43" s="510"/>
      <c r="F43" s="510"/>
      <c r="G43" s="510"/>
      <c r="H43" s="510"/>
      <c r="I43" s="510"/>
      <c r="J43" s="510"/>
      <c r="K43" s="510"/>
      <c r="L43" s="510"/>
      <c r="M43" s="510"/>
      <c r="N43" s="510"/>
      <c r="O43" s="510"/>
      <c r="P43" s="510"/>
      <c r="Q43" s="510"/>
      <c r="R43" s="510"/>
      <c r="S43" s="510"/>
      <c r="T43" s="510">
        <v>8</v>
      </c>
      <c r="U43" s="510">
        <v>14</v>
      </c>
      <c r="V43" s="510">
        <v>22</v>
      </c>
      <c r="W43" s="510"/>
      <c r="X43" s="510"/>
      <c r="Y43" s="510"/>
      <c r="Z43" s="510"/>
      <c r="AA43" s="510"/>
      <c r="AB43" s="510"/>
      <c r="AC43" s="505" t="s">
        <v>197</v>
      </c>
      <c r="AD43" s="505" t="s">
        <v>197</v>
      </c>
      <c r="AE43" s="696"/>
      <c r="AF43" s="503" t="s">
        <v>197</v>
      </c>
      <c r="AG43" s="506"/>
      <c r="AH43" s="506">
        <f>SUM(G43:J43)</f>
        <v>0</v>
      </c>
      <c r="AI43" s="506"/>
      <c r="AJ43" s="506"/>
      <c r="AK43" s="506"/>
      <c r="AL43" s="506"/>
    </row>
    <row r="44" spans="1:38" ht="13">
      <c r="A44" s="1398"/>
      <c r="B44" s="1398"/>
      <c r="C44" s="520" t="s">
        <v>2483</v>
      </c>
      <c r="D44" s="522"/>
      <c r="E44" s="522">
        <f t="shared" ref="E44:X44" si="20">E43-E42</f>
        <v>0</v>
      </c>
      <c r="F44" s="522">
        <f t="shared" si="20"/>
        <v>0</v>
      </c>
      <c r="G44" s="522">
        <f t="shared" si="20"/>
        <v>0</v>
      </c>
      <c r="H44" s="522">
        <f t="shared" si="20"/>
        <v>0</v>
      </c>
      <c r="I44" s="522">
        <f t="shared" si="20"/>
        <v>0</v>
      </c>
      <c r="J44" s="522">
        <f t="shared" si="20"/>
        <v>0</v>
      </c>
      <c r="K44" s="522">
        <f t="shared" si="20"/>
        <v>0</v>
      </c>
      <c r="L44" s="522">
        <f t="shared" si="20"/>
        <v>0</v>
      </c>
      <c r="M44" s="522">
        <f t="shared" si="20"/>
        <v>0</v>
      </c>
      <c r="N44" s="522">
        <f t="shared" si="20"/>
        <v>0</v>
      </c>
      <c r="O44" s="522">
        <f t="shared" si="20"/>
        <v>0</v>
      </c>
      <c r="P44" s="522">
        <f t="shared" si="20"/>
        <v>0</v>
      </c>
      <c r="Q44" s="522">
        <f t="shared" si="20"/>
        <v>0</v>
      </c>
      <c r="R44" s="522">
        <f t="shared" si="20"/>
        <v>0</v>
      </c>
      <c r="S44" s="522">
        <f t="shared" si="20"/>
        <v>-11</v>
      </c>
      <c r="T44" s="522">
        <f t="shared" si="20"/>
        <v>0</v>
      </c>
      <c r="U44" s="522">
        <f t="shared" si="20"/>
        <v>0</v>
      </c>
      <c r="V44" s="522">
        <f t="shared" si="20"/>
        <v>0</v>
      </c>
      <c r="W44" s="522">
        <f t="shared" si="20"/>
        <v>0</v>
      </c>
      <c r="X44" s="522">
        <f t="shared" si="20"/>
        <v>0</v>
      </c>
      <c r="Y44" s="522">
        <f>Y43-Y42</f>
        <v>0</v>
      </c>
      <c r="Z44" s="522">
        <f>Z43-Z42</f>
        <v>0</v>
      </c>
      <c r="AA44" s="522">
        <f>AA43-AA42</f>
        <v>0</v>
      </c>
      <c r="AB44" s="522">
        <f>AB43-AB42</f>
        <v>0</v>
      </c>
      <c r="AC44" s="511">
        <f>SUMIF($E44:$X44,"&gt;0")</f>
        <v>0</v>
      </c>
      <c r="AD44" s="511">
        <f>SUMIF($E44:$X44,"&lt;0")</f>
        <v>-11</v>
      </c>
      <c r="AE44" s="696"/>
      <c r="AF44" s="503" t="s">
        <v>197</v>
      </c>
      <c r="AG44" s="506"/>
      <c r="AH44" s="506">
        <f>SUM(G44:J44)</f>
        <v>0</v>
      </c>
      <c r="AI44" s="506"/>
      <c r="AJ44" s="506"/>
      <c r="AK44" s="506"/>
      <c r="AL44" s="506"/>
    </row>
    <row r="45" spans="1:38" ht="13">
      <c r="A45" s="1399"/>
      <c r="B45" s="1399"/>
      <c r="C45" s="503" t="s">
        <v>2484</v>
      </c>
      <c r="D45" s="522"/>
      <c r="E45" s="504">
        <f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04">
        <f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04">
        <f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04">
        <f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04">
        <f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04">
        <f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04">
        <f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04">
        <f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04">
        <f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04">
        <f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04">
        <f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04">
        <f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04">
        <f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04">
        <f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04">
        <f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04">
        <f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8</v>
      </c>
      <c r="U45" s="504">
        <f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14</v>
      </c>
      <c r="V45" s="504">
        <f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22</v>
      </c>
      <c r="W45" s="504">
        <f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04">
        <f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04"/>
      <c r="Z45" s="504"/>
      <c r="AA45" s="504"/>
      <c r="AB45" s="504"/>
      <c r="AC45" s="511"/>
      <c r="AD45" s="511"/>
      <c r="AE45" s="696">
        <f>SUM(E45:X45)</f>
        <v>55</v>
      </c>
      <c r="AF45" s="503"/>
      <c r="AG45" s="506"/>
      <c r="AH45" s="506"/>
      <c r="AI45" s="506"/>
      <c r="AJ45" s="506"/>
      <c r="AK45" s="506"/>
      <c r="AL45" s="506"/>
    </row>
    <row r="46" spans="1:38" ht="14.25" customHeight="1">
      <c r="A46" s="1391" t="s">
        <v>2487</v>
      </c>
      <c r="B46" s="1392"/>
      <c r="C46" s="514" t="s">
        <v>2481</v>
      </c>
      <c r="D46" s="515">
        <f t="shared" ref="D46:R46" si="21">D26+D30++D34+D38</f>
        <v>154.00178571428572</v>
      </c>
      <c r="E46" s="515">
        <f t="shared" si="21"/>
        <v>0</v>
      </c>
      <c r="F46" s="515">
        <f t="shared" si="21"/>
        <v>0</v>
      </c>
      <c r="G46" s="515">
        <f t="shared" si="21"/>
        <v>3</v>
      </c>
      <c r="H46" s="515">
        <f t="shared" si="21"/>
        <v>31</v>
      </c>
      <c r="I46" s="515">
        <f t="shared" si="21"/>
        <v>33</v>
      </c>
      <c r="J46" s="515">
        <f t="shared" si="21"/>
        <v>42.07</v>
      </c>
      <c r="K46" s="515">
        <f t="shared" si="21"/>
        <v>26.997142857142858</v>
      </c>
      <c r="L46" s="515">
        <f t="shared" si="21"/>
        <v>29</v>
      </c>
      <c r="M46" s="515">
        <f t="shared" si="21"/>
        <v>24.99818181818182</v>
      </c>
      <c r="N46" s="515">
        <f t="shared" si="21"/>
        <v>21</v>
      </c>
      <c r="O46" s="515">
        <f t="shared" si="21"/>
        <v>29.858928571428571</v>
      </c>
      <c r="P46" s="515">
        <f>P26+P30++P34+P38</f>
        <v>34</v>
      </c>
      <c r="Q46" s="515">
        <f t="shared" si="21"/>
        <v>23.001785714285713</v>
      </c>
      <c r="R46" s="515">
        <f t="shared" si="21"/>
        <v>32</v>
      </c>
      <c r="S46" s="515">
        <f t="shared" ref="S46:X49" si="22">S26+S30++S34+S38+S42</f>
        <v>30</v>
      </c>
      <c r="T46" s="515">
        <f t="shared" si="22"/>
        <v>26</v>
      </c>
      <c r="U46" s="515">
        <f t="shared" si="22"/>
        <v>30</v>
      </c>
      <c r="V46" s="515">
        <f t="shared" si="22"/>
        <v>29</v>
      </c>
      <c r="W46" s="515">
        <f t="shared" si="22"/>
        <v>12</v>
      </c>
      <c r="X46" s="515">
        <f t="shared" si="22"/>
        <v>15</v>
      </c>
      <c r="Y46" s="515"/>
      <c r="Z46" s="515"/>
      <c r="AA46" s="515"/>
      <c r="AB46" s="515"/>
      <c r="AC46" s="505" t="s">
        <v>197</v>
      </c>
      <c r="AD46" s="505" t="s">
        <v>197</v>
      </c>
      <c r="AE46" s="697">
        <f>SUM(E46:X46)</f>
        <v>471.9260389610389</v>
      </c>
      <c r="AF46" s="503" t="s">
        <v>197</v>
      </c>
      <c r="AG46" s="696">
        <f>SUM(T46:X46)</f>
        <v>112</v>
      </c>
      <c r="AH46" s="506">
        <f t="shared" si="2"/>
        <v>109.07</v>
      </c>
      <c r="AI46" s="506"/>
      <c r="AJ46" s="506"/>
      <c r="AK46" s="506"/>
      <c r="AL46" s="506"/>
    </row>
    <row r="47" spans="1:38" ht="13">
      <c r="A47" s="1393"/>
      <c r="B47" s="1394"/>
      <c r="C47" s="516" t="s">
        <v>2482</v>
      </c>
      <c r="D47" s="515"/>
      <c r="E47" s="515">
        <f t="shared" ref="E47:R47" si="23">E27+E31++E35+E39</f>
        <v>27</v>
      </c>
      <c r="F47" s="515">
        <f t="shared" si="23"/>
        <v>23</v>
      </c>
      <c r="G47" s="515">
        <f t="shared" si="23"/>
        <v>32</v>
      </c>
      <c r="H47" s="515">
        <f t="shared" si="23"/>
        <v>25</v>
      </c>
      <c r="I47" s="515">
        <f t="shared" si="23"/>
        <v>44</v>
      </c>
      <c r="J47" s="515">
        <f t="shared" si="23"/>
        <v>32</v>
      </c>
      <c r="K47" s="515">
        <f t="shared" si="23"/>
        <v>33</v>
      </c>
      <c r="L47" s="515">
        <f t="shared" si="23"/>
        <v>29</v>
      </c>
      <c r="M47" s="515">
        <f t="shared" si="23"/>
        <v>25</v>
      </c>
      <c r="N47" s="515">
        <f t="shared" si="23"/>
        <v>7</v>
      </c>
      <c r="O47" s="515">
        <f t="shared" si="23"/>
        <v>19</v>
      </c>
      <c r="P47" s="515">
        <f t="shared" si="23"/>
        <v>25</v>
      </c>
      <c r="Q47" s="515">
        <f t="shared" si="23"/>
        <v>45</v>
      </c>
      <c r="R47" s="515">
        <f t="shared" si="23"/>
        <v>38</v>
      </c>
      <c r="S47" s="515">
        <f t="shared" si="22"/>
        <v>23</v>
      </c>
      <c r="T47" s="515">
        <f t="shared" si="22"/>
        <v>27</v>
      </c>
      <c r="U47" s="515">
        <f t="shared" si="22"/>
        <v>24</v>
      </c>
      <c r="V47" s="515">
        <f t="shared" si="22"/>
        <v>39</v>
      </c>
      <c r="W47" s="515">
        <f t="shared" si="22"/>
        <v>17</v>
      </c>
      <c r="X47" s="515">
        <f t="shared" si="22"/>
        <v>15</v>
      </c>
      <c r="Y47" s="515">
        <f t="shared" ref="Y47:AB48" si="24">Y27+Y31++Y35+Y39+Y43</f>
        <v>12</v>
      </c>
      <c r="Z47" s="515">
        <f t="shared" si="24"/>
        <v>17</v>
      </c>
      <c r="AA47" s="515">
        <f t="shared" si="24"/>
        <v>17</v>
      </c>
      <c r="AB47" s="515">
        <f t="shared" si="24"/>
        <v>17</v>
      </c>
      <c r="AC47" s="505" t="s">
        <v>197</v>
      </c>
      <c r="AD47" s="505" t="s">
        <v>197</v>
      </c>
      <c r="AE47" s="505"/>
      <c r="AF47" s="503" t="s">
        <v>197</v>
      </c>
      <c r="AG47" s="506"/>
      <c r="AH47" s="506">
        <f t="shared" si="2"/>
        <v>133</v>
      </c>
      <c r="AI47" s="506"/>
      <c r="AJ47" s="506"/>
      <c r="AK47" s="506"/>
      <c r="AL47" s="506"/>
    </row>
    <row r="48" spans="1:38" ht="13">
      <c r="A48" s="1393"/>
      <c r="B48" s="1394"/>
      <c r="C48" s="521" t="s">
        <v>2483</v>
      </c>
      <c r="D48" s="523"/>
      <c r="E48" s="523">
        <f t="shared" ref="E48:R48" si="25">E28+E32++E36+E40</f>
        <v>27</v>
      </c>
      <c r="F48" s="523">
        <f t="shared" si="25"/>
        <v>23</v>
      </c>
      <c r="G48" s="523">
        <f t="shared" si="25"/>
        <v>29</v>
      </c>
      <c r="H48" s="523">
        <f t="shared" si="25"/>
        <v>-6</v>
      </c>
      <c r="I48" s="523">
        <f t="shared" si="25"/>
        <v>11</v>
      </c>
      <c r="J48" s="523">
        <f t="shared" si="25"/>
        <v>-10.07</v>
      </c>
      <c r="K48" s="523">
        <f t="shared" si="25"/>
        <v>6.0028571428571418</v>
      </c>
      <c r="L48" s="523">
        <f t="shared" si="25"/>
        <v>0</v>
      </c>
      <c r="M48" s="523">
        <f t="shared" si="25"/>
        <v>1.8181818181819409E-3</v>
      </c>
      <c r="N48" s="523">
        <f t="shared" si="25"/>
        <v>-14</v>
      </c>
      <c r="O48" s="523">
        <f t="shared" si="25"/>
        <v>-10.858928571428571</v>
      </c>
      <c r="P48" s="523">
        <f t="shared" si="25"/>
        <v>-9</v>
      </c>
      <c r="Q48" s="523">
        <f t="shared" si="25"/>
        <v>21.998214285714287</v>
      </c>
      <c r="R48" s="523">
        <f t="shared" si="25"/>
        <v>6</v>
      </c>
      <c r="S48" s="523">
        <f t="shared" si="22"/>
        <v>-7</v>
      </c>
      <c r="T48" s="523">
        <f t="shared" si="22"/>
        <v>1</v>
      </c>
      <c r="U48" s="523">
        <f t="shared" si="22"/>
        <v>-6</v>
      </c>
      <c r="V48" s="523">
        <f t="shared" si="22"/>
        <v>10</v>
      </c>
      <c r="W48" s="523">
        <f t="shared" si="22"/>
        <v>5</v>
      </c>
      <c r="X48" s="523">
        <f t="shared" si="22"/>
        <v>0</v>
      </c>
      <c r="Y48" s="523">
        <f t="shared" si="24"/>
        <v>12</v>
      </c>
      <c r="Z48" s="523">
        <f t="shared" si="24"/>
        <v>17</v>
      </c>
      <c r="AA48" s="523">
        <f t="shared" si="24"/>
        <v>17</v>
      </c>
      <c r="AB48" s="523">
        <f t="shared" si="24"/>
        <v>17</v>
      </c>
      <c r="AC48" s="511">
        <f>SUMIF($E48:$X48,"&gt;0")</f>
        <v>140.00288961038962</v>
      </c>
      <c r="AD48" s="511">
        <f>SUMIF($E48:$X48,"&lt;0")</f>
        <v>-62.928928571428571</v>
      </c>
      <c r="AE48" s="511"/>
      <c r="AF48" s="503" t="s">
        <v>197</v>
      </c>
      <c r="AG48" s="506"/>
      <c r="AH48" s="517">
        <f t="shared" si="2"/>
        <v>23.93</v>
      </c>
      <c r="AI48" s="506"/>
      <c r="AJ48" s="506"/>
      <c r="AK48" s="506"/>
      <c r="AL48" s="506"/>
    </row>
    <row r="49" spans="1:38" ht="13">
      <c r="A49" s="1395"/>
      <c r="B49" s="1396"/>
      <c r="C49" s="694" t="s">
        <v>2484</v>
      </c>
      <c r="D49" s="523"/>
      <c r="E49" s="515">
        <f t="shared" ref="E49:R49" si="26">E29+E33++E37+E41</f>
        <v>0</v>
      </c>
      <c r="F49" s="515">
        <f t="shared" si="26"/>
        <v>0</v>
      </c>
      <c r="G49" s="515">
        <f t="shared" si="26"/>
        <v>3</v>
      </c>
      <c r="H49" s="515">
        <f t="shared" si="26"/>
        <v>31</v>
      </c>
      <c r="I49" s="515">
        <f t="shared" si="26"/>
        <v>33</v>
      </c>
      <c r="J49" s="515">
        <f t="shared" si="26"/>
        <v>42.07</v>
      </c>
      <c r="K49" s="515">
        <f t="shared" si="26"/>
        <v>26.997142857142855</v>
      </c>
      <c r="L49" s="515">
        <f t="shared" si="26"/>
        <v>29</v>
      </c>
      <c r="M49" s="515">
        <f t="shared" si="26"/>
        <v>24.99818181818182</v>
      </c>
      <c r="N49" s="515">
        <f t="shared" si="26"/>
        <v>21</v>
      </c>
      <c r="O49" s="515">
        <f t="shared" si="26"/>
        <v>29.858928571428571</v>
      </c>
      <c r="P49" s="515">
        <f t="shared" si="26"/>
        <v>34</v>
      </c>
      <c r="Q49" s="515">
        <f t="shared" si="26"/>
        <v>23.001785714285713</v>
      </c>
      <c r="R49" s="515">
        <f t="shared" si="26"/>
        <v>32</v>
      </c>
      <c r="S49" s="515">
        <f t="shared" si="22"/>
        <v>30</v>
      </c>
      <c r="T49" s="515">
        <f t="shared" si="22"/>
        <v>26</v>
      </c>
      <c r="U49" s="515">
        <f t="shared" si="22"/>
        <v>30</v>
      </c>
      <c r="V49" s="515">
        <f t="shared" si="22"/>
        <v>29</v>
      </c>
      <c r="W49" s="515">
        <f t="shared" si="22"/>
        <v>12</v>
      </c>
      <c r="X49" s="515">
        <f t="shared" si="22"/>
        <v>15</v>
      </c>
      <c r="Y49" s="515"/>
      <c r="Z49" s="515"/>
      <c r="AA49" s="515"/>
      <c r="AB49" s="515"/>
      <c r="AC49" s="511"/>
      <c r="AD49" s="511"/>
      <c r="AE49" s="697">
        <f>SUM(E49:X49)</f>
        <v>471.9260389610389</v>
      </c>
      <c r="AF49" s="503"/>
      <c r="AG49" s="696">
        <f>SUM(T49:W49)</f>
        <v>97</v>
      </c>
      <c r="AH49" s="693"/>
      <c r="AI49" s="506"/>
      <c r="AJ49" s="506"/>
      <c r="AK49" s="506"/>
      <c r="AL49" s="506"/>
    </row>
    <row r="50" spans="1:38" ht="13">
      <c r="A50" s="1390" t="s">
        <v>2479</v>
      </c>
      <c r="B50" s="1390"/>
      <c r="C50" s="503" t="s">
        <v>197</v>
      </c>
      <c r="D50" s="503"/>
      <c r="E50" s="508"/>
      <c r="F50" s="508"/>
      <c r="G50" s="508"/>
      <c r="H50" s="508"/>
      <c r="I50" s="508"/>
      <c r="J50" s="508"/>
      <c r="K50" s="508"/>
      <c r="L50" s="508"/>
      <c r="M50" s="508"/>
      <c r="N50" s="508"/>
      <c r="O50" s="508"/>
      <c r="P50" s="508"/>
      <c r="Q50" s="508"/>
      <c r="R50" s="508"/>
      <c r="S50" s="508"/>
      <c r="T50" s="508"/>
      <c r="U50" s="508"/>
      <c r="V50" s="508"/>
      <c r="W50" s="508"/>
      <c r="X50" s="508"/>
      <c r="Y50" s="508"/>
      <c r="Z50" s="508"/>
      <c r="AA50" s="508"/>
      <c r="AB50" s="508"/>
      <c r="AC50" s="508" t="s">
        <v>197</v>
      </c>
      <c r="AD50" s="508" t="s">
        <v>197</v>
      </c>
      <c r="AE50" s="508"/>
      <c r="AF50" s="503" t="s">
        <v>197</v>
      </c>
      <c r="AG50" s="506"/>
      <c r="AH50" s="506">
        <f t="shared" si="2"/>
        <v>0</v>
      </c>
      <c r="AI50" s="506"/>
      <c r="AJ50" s="506"/>
      <c r="AK50" s="506"/>
      <c r="AL50" s="506"/>
    </row>
    <row r="51" spans="1:38" s="502" customFormat="1" ht="26">
      <c r="A51" s="496" t="s">
        <v>61</v>
      </c>
      <c r="B51" s="496"/>
      <c r="C51" s="496" t="s">
        <v>197</v>
      </c>
      <c r="D51" s="496" t="s">
        <v>951</v>
      </c>
      <c r="E51" s="519" t="s">
        <v>2452</v>
      </c>
      <c r="F51" s="519" t="s">
        <v>2453</v>
      </c>
      <c r="G51" s="519" t="s">
        <v>2454</v>
      </c>
      <c r="H51" s="519" t="s">
        <v>2455</v>
      </c>
      <c r="I51" s="519" t="s">
        <v>2456</v>
      </c>
      <c r="J51" s="519" t="s">
        <v>2457</v>
      </c>
      <c r="K51" s="519" t="s">
        <v>2458</v>
      </c>
      <c r="L51" s="519" t="s">
        <v>2459</v>
      </c>
      <c r="M51" s="519" t="s">
        <v>2460</v>
      </c>
      <c r="N51" s="519" t="s">
        <v>2461</v>
      </c>
      <c r="O51" s="519" t="s">
        <v>2462</v>
      </c>
      <c r="P51" s="519" t="s">
        <v>2463</v>
      </c>
      <c r="Q51" s="496" t="s">
        <v>2464</v>
      </c>
      <c r="R51" s="496" t="s">
        <v>2465</v>
      </c>
      <c r="S51" s="496" t="s">
        <v>2466</v>
      </c>
      <c r="T51" s="496" t="s">
        <v>2467</v>
      </c>
      <c r="U51" s="496" t="s">
        <v>2468</v>
      </c>
      <c r="V51" s="496" t="s">
        <v>2469</v>
      </c>
      <c r="W51" s="496" t="s">
        <v>2470</v>
      </c>
      <c r="X51" s="496" t="s">
        <v>2471</v>
      </c>
      <c r="Y51" s="496"/>
      <c r="Z51" s="496"/>
      <c r="AA51" s="496"/>
      <c r="AB51" s="496"/>
      <c r="AC51" s="498" t="s">
        <v>2476</v>
      </c>
      <c r="AD51" s="499" t="s">
        <v>2477</v>
      </c>
      <c r="AE51" s="500" t="s">
        <v>2478</v>
      </c>
      <c r="AF51" s="520" t="s">
        <v>197</v>
      </c>
      <c r="AG51" s="501"/>
      <c r="AH51" s="501">
        <f t="shared" si="2"/>
        <v>0</v>
      </c>
      <c r="AI51" s="501"/>
      <c r="AJ51" s="501"/>
      <c r="AK51" s="501"/>
      <c r="AL51" s="501"/>
    </row>
    <row r="52" spans="1:38" ht="13">
      <c r="A52" s="1397" t="s">
        <v>109</v>
      </c>
      <c r="B52" s="1397" t="s">
        <v>1084</v>
      </c>
      <c r="C52" s="503" t="s">
        <v>2481</v>
      </c>
      <c r="D52" s="504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04">
        <f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04">
        <f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04">
        <f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04">
        <f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04">
        <f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04">
        <f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04">
        <f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04">
        <f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04">
        <f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04">
        <f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04">
        <f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04">
        <f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04">
        <f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04">
        <f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04">
        <f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04">
        <f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04">
        <f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04">
        <f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04">
        <f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04">
        <f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04">
        <f>SUMIFS('PV SUPPLY DATA'!$X:$X,'PV SUPPLY DATA'!$AH:$AH,'CT capacity tracker'!$B52,'PV SUPPLY DATA'!$AG:$AG,$A$51,'PV SUPPLY DATA'!$Y:$Y,'CT capacity tracker'!Y$1)+SUMIFS('ESS SUPPLY DATA'!$U:$U,'ESS SUPPLY DATA'!$AF:$AF,'CT capacity tracker'!$B52,'ESS SUPPLY DATA'!$AE:$AE,'CT capacity tracker'!$A$51,'ESS SUPPLY DATA'!$W:$W,'CT capacity tracker'!Y$1)</f>
        <v>0</v>
      </c>
      <c r="Z52" s="504">
        <f>SUMIFS('PV SUPPLY DATA'!$X:$X,'PV SUPPLY DATA'!$AH:$AH,'CT capacity tracker'!$B52,'PV SUPPLY DATA'!$AG:$AG,$A$51,'PV SUPPLY DATA'!$Y:$Y,'CT capacity tracker'!Z$1)+SUMIFS('ESS SUPPLY DATA'!$U:$U,'ESS SUPPLY DATA'!$AF:$AF,'CT capacity tracker'!$B52,'ESS SUPPLY DATA'!$AE:$AE,'CT capacity tracker'!$A$51,'ESS SUPPLY DATA'!$W:$W,'CT capacity tracker'!Z$1)</f>
        <v>0</v>
      </c>
      <c r="AA52" s="504">
        <f>SUMIFS('PV SUPPLY DATA'!$X:$X,'PV SUPPLY DATA'!$AH:$AH,'CT capacity tracker'!$B52,'PV SUPPLY DATA'!$AG:$AG,$A$51,'PV SUPPLY DATA'!$Y:$Y,'CT capacity tracker'!AA$1)+SUMIFS('ESS SUPPLY DATA'!$U:$U,'ESS SUPPLY DATA'!$AF:$AF,'CT capacity tracker'!$B52,'ESS SUPPLY DATA'!$AE:$AE,'CT capacity tracker'!$A$51,'ESS SUPPLY DATA'!$W:$W,'CT capacity tracker'!AA$1)</f>
        <v>0</v>
      </c>
      <c r="AB52" s="504">
        <f>SUMIFS('PV SUPPLY DATA'!$X:$X,'PV SUPPLY DATA'!$AH:$AH,'CT capacity tracker'!$B52,'PV SUPPLY DATA'!$AG:$AG,$A$51,'PV SUPPLY DATA'!$Y:$Y,'CT capacity tracker'!AB$1)+SUMIFS('ESS SUPPLY DATA'!$U:$U,'ESS SUPPLY DATA'!$AF:$AF,'CT capacity tracker'!$B52,'ESS SUPPLY DATA'!$AE:$AE,'CT capacity tracker'!$A$51,'ESS SUPPLY DATA'!$W:$W,'CT capacity tracker'!AB$1)</f>
        <v>0</v>
      </c>
      <c r="AC52" s="505" t="s">
        <v>197</v>
      </c>
      <c r="AD52" s="505" t="s">
        <v>197</v>
      </c>
      <c r="AE52" s="696">
        <f>SUM(E52:X52)</f>
        <v>4</v>
      </c>
      <c r="AF52" s="503" t="s">
        <v>197</v>
      </c>
      <c r="AG52" s="506"/>
      <c r="AH52" s="506">
        <f t="shared" si="2"/>
        <v>2</v>
      </c>
      <c r="AI52" s="506"/>
      <c r="AJ52" s="506"/>
      <c r="AK52" s="506"/>
      <c r="AL52" s="506"/>
    </row>
    <row r="53" spans="1:38" ht="13">
      <c r="A53" s="1398"/>
      <c r="B53" s="1398"/>
      <c r="C53" s="509" t="s">
        <v>2482</v>
      </c>
      <c r="D53" s="509"/>
      <c r="E53" s="510"/>
      <c r="F53" s="510"/>
      <c r="G53" s="510">
        <v>2</v>
      </c>
      <c r="H53" s="510"/>
      <c r="I53" s="510"/>
      <c r="J53" s="510">
        <v>0</v>
      </c>
      <c r="K53" s="510"/>
      <c r="L53" s="510"/>
      <c r="M53" s="510"/>
      <c r="N53" s="510"/>
      <c r="O53" s="510">
        <v>2</v>
      </c>
      <c r="P53" s="510"/>
      <c r="Q53" s="510"/>
      <c r="R53" s="510"/>
      <c r="S53" s="510"/>
      <c r="T53" s="510"/>
      <c r="U53" s="510"/>
      <c r="V53" s="510"/>
      <c r="W53" s="510"/>
      <c r="X53" s="510"/>
      <c r="Y53" s="510"/>
      <c r="Z53" s="510"/>
      <c r="AA53" s="510"/>
      <c r="AB53" s="510"/>
      <c r="AC53" s="505" t="s">
        <v>197</v>
      </c>
      <c r="AD53" s="505" t="s">
        <v>197</v>
      </c>
      <c r="AE53" s="696"/>
      <c r="AF53" s="503" t="s">
        <v>197</v>
      </c>
      <c r="AG53" s="506"/>
      <c r="AH53" s="506">
        <f t="shared" si="2"/>
        <v>2</v>
      </c>
      <c r="AI53" s="506"/>
      <c r="AJ53" s="506"/>
      <c r="AK53" s="506"/>
      <c r="AL53" s="506"/>
    </row>
    <row r="54" spans="1:38" ht="13">
      <c r="A54" s="1398"/>
      <c r="B54" s="1398"/>
      <c r="C54" s="520" t="s">
        <v>2483</v>
      </c>
      <c r="D54" s="522"/>
      <c r="E54" s="522">
        <f t="shared" ref="E54:X54" si="27">E53-E52</f>
        <v>0</v>
      </c>
      <c r="F54" s="522">
        <f t="shared" si="27"/>
        <v>0</v>
      </c>
      <c r="G54" s="522">
        <f t="shared" si="27"/>
        <v>0</v>
      </c>
      <c r="H54" s="522">
        <f t="shared" si="27"/>
        <v>0</v>
      </c>
      <c r="I54" s="522">
        <f t="shared" si="27"/>
        <v>0</v>
      </c>
      <c r="J54" s="522">
        <f t="shared" si="27"/>
        <v>0</v>
      </c>
      <c r="K54" s="522">
        <f t="shared" si="27"/>
        <v>0</v>
      </c>
      <c r="L54" s="522">
        <f t="shared" si="27"/>
        <v>0</v>
      </c>
      <c r="M54" s="522">
        <f t="shared" si="27"/>
        <v>0</v>
      </c>
      <c r="N54" s="522">
        <f t="shared" si="27"/>
        <v>0</v>
      </c>
      <c r="O54" s="522">
        <f t="shared" si="27"/>
        <v>0</v>
      </c>
      <c r="P54" s="522">
        <f t="shared" si="27"/>
        <v>0</v>
      </c>
      <c r="Q54" s="522">
        <f t="shared" si="27"/>
        <v>0</v>
      </c>
      <c r="R54" s="522">
        <f t="shared" si="27"/>
        <v>0</v>
      </c>
      <c r="S54" s="522">
        <f t="shared" si="27"/>
        <v>0</v>
      </c>
      <c r="T54" s="522">
        <f t="shared" si="27"/>
        <v>0</v>
      </c>
      <c r="U54" s="522">
        <f t="shared" si="27"/>
        <v>0</v>
      </c>
      <c r="V54" s="522">
        <f t="shared" si="27"/>
        <v>0</v>
      </c>
      <c r="W54" s="522">
        <f t="shared" si="27"/>
        <v>0</v>
      </c>
      <c r="X54" s="522">
        <f t="shared" si="27"/>
        <v>0</v>
      </c>
      <c r="Y54" s="522">
        <f>Y53-Y52</f>
        <v>0</v>
      </c>
      <c r="Z54" s="522">
        <f>Z53-Z52</f>
        <v>0</v>
      </c>
      <c r="AA54" s="522">
        <f>AA53-AA52</f>
        <v>0</v>
      </c>
      <c r="AB54" s="522">
        <f>AB53-AB52</f>
        <v>0</v>
      </c>
      <c r="AC54" s="511">
        <f>SUMIF($E54:$X54,"&gt;0")</f>
        <v>0</v>
      </c>
      <c r="AD54" s="511">
        <f>SUMIF($E54:$X54,"&lt;0")</f>
        <v>0</v>
      </c>
      <c r="AE54" s="696"/>
      <c r="AF54" s="503" t="s">
        <v>197</v>
      </c>
      <c r="AG54" s="506"/>
      <c r="AH54" s="506">
        <f t="shared" si="2"/>
        <v>0</v>
      </c>
      <c r="AI54" s="506"/>
      <c r="AJ54" s="506"/>
      <c r="AK54" s="506"/>
      <c r="AL54" s="506"/>
    </row>
    <row r="55" spans="1:38" ht="13">
      <c r="A55" s="1398"/>
      <c r="B55" s="1399"/>
      <c r="C55" s="503" t="s">
        <v>2484</v>
      </c>
      <c r="D55" s="522"/>
      <c r="E55" s="504">
        <f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04">
        <f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04">
        <f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04">
        <f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04">
        <f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04">
        <f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04">
        <f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04">
        <f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04">
        <f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04">
        <f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04">
        <f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04">
        <f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04">
        <f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04">
        <f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04">
        <f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04">
        <f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04">
        <f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04">
        <f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04">
        <f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04">
        <f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04">
        <f>SUMIFS('PV SUPPLY DATA'!$X:$X,'PV SUPPLY DATA'!$AH:$AH,'CT capacity tracker'!$B52,'PV SUPPLY DATA'!$AG:$AG,'CT capacity tracker'!$A$51,'PV SUPPLY DATA'!$Y:$Y,Y$1,'PV SUPPLY DATA'!$AQ:$AQ,"cosco")+SUMIFS('PV SUPPLY DATA'!$X:$X,'PV SUPPLY DATA'!$AH:$AH,'CT capacity tracker'!$B52,'PV SUPPLY DATA'!$AG:$AG,'CT capacity tracker'!$A$51,'PV SUPPLY DATA'!$Y:$Y,Y$1,'PV SUPPLY DATA'!$AQ:$AQ,"other")+SUMIFS('ESS SUPPLY DATA'!$U:$U,'ESS SUPPLY DATA'!$AF:$AF,'CT capacity tracker'!$B52,'ESS SUPPLY DATA'!$AE:$AE,'CT capacity tracker'!$A$51,'ESS SUPPLY DATA'!$W:$W,'CT capacity tracker'!Y$1,'ESS SUPPLY DATA'!$AO:$AO,"cosco")+SUMIFS('ESS SUPPLY DATA'!$U:$U,'ESS SUPPLY DATA'!$AF:$AF,'CT capacity tracker'!$B52,'ESS SUPPLY DATA'!$AE:$AE,'CT capacity tracker'!$A$51,'ESS SUPPLY DATA'!$W:$W,'CT capacity tracker'!Y$1,'ESS SUPPLY DATA'!$AO:$AO,"other")</f>
        <v>0</v>
      </c>
      <c r="Z55" s="504">
        <f>SUMIFS('PV SUPPLY DATA'!$X:$X,'PV SUPPLY DATA'!$AH:$AH,'CT capacity tracker'!$B52,'PV SUPPLY DATA'!$AG:$AG,'CT capacity tracker'!$A$51,'PV SUPPLY DATA'!$Y:$Y,Z$1,'PV SUPPLY DATA'!$AQ:$AQ,"cosco")+SUMIFS('PV SUPPLY DATA'!$X:$X,'PV SUPPLY DATA'!$AH:$AH,'CT capacity tracker'!$B52,'PV SUPPLY DATA'!$AG:$AG,'CT capacity tracker'!$A$51,'PV SUPPLY DATA'!$Y:$Y,Z$1,'PV SUPPLY DATA'!$AQ:$AQ,"other")+SUMIFS('ESS SUPPLY DATA'!$U:$U,'ESS SUPPLY DATA'!$AF:$AF,'CT capacity tracker'!$B52,'ESS SUPPLY DATA'!$AE:$AE,'CT capacity tracker'!$A$51,'ESS SUPPLY DATA'!$W:$W,'CT capacity tracker'!Z$1,'ESS SUPPLY DATA'!$AO:$AO,"cosco")+SUMIFS('ESS SUPPLY DATA'!$U:$U,'ESS SUPPLY DATA'!$AF:$AF,'CT capacity tracker'!$B52,'ESS SUPPLY DATA'!$AE:$AE,'CT capacity tracker'!$A$51,'ESS SUPPLY DATA'!$W:$W,'CT capacity tracker'!Z$1,'ESS SUPPLY DATA'!$AO:$AO,"other")</f>
        <v>0</v>
      </c>
      <c r="AA55" s="504">
        <f>SUMIFS('PV SUPPLY DATA'!$X:$X,'PV SUPPLY DATA'!$AH:$AH,'CT capacity tracker'!$B52,'PV SUPPLY DATA'!$AG:$AG,'CT capacity tracker'!$A$51,'PV SUPPLY DATA'!$Y:$Y,AA$1,'PV SUPPLY DATA'!$AQ:$AQ,"cosco")+SUMIFS('PV SUPPLY DATA'!$X:$X,'PV SUPPLY DATA'!$AH:$AH,'CT capacity tracker'!$B52,'PV SUPPLY DATA'!$AG:$AG,'CT capacity tracker'!$A$51,'PV SUPPLY DATA'!$Y:$Y,AA$1,'PV SUPPLY DATA'!$AQ:$AQ,"other")+SUMIFS('ESS SUPPLY DATA'!$U:$U,'ESS SUPPLY DATA'!$AF:$AF,'CT capacity tracker'!$B52,'ESS SUPPLY DATA'!$AE:$AE,'CT capacity tracker'!$A$51,'ESS SUPPLY DATA'!$W:$W,'CT capacity tracker'!AA$1,'ESS SUPPLY DATA'!$AO:$AO,"cosco")+SUMIFS('ESS SUPPLY DATA'!$U:$U,'ESS SUPPLY DATA'!$AF:$AF,'CT capacity tracker'!$B52,'ESS SUPPLY DATA'!$AE:$AE,'CT capacity tracker'!$A$51,'ESS SUPPLY DATA'!$W:$W,'CT capacity tracker'!AA$1,'ESS SUPPLY DATA'!$AO:$AO,"other")</f>
        <v>0</v>
      </c>
      <c r="AB55" s="504">
        <f>SUMIFS('PV SUPPLY DATA'!$X:$X,'PV SUPPLY DATA'!$AH:$AH,'CT capacity tracker'!$B52,'PV SUPPLY DATA'!$AG:$AG,'CT capacity tracker'!$A$51,'PV SUPPLY DATA'!$Y:$Y,AB$1,'PV SUPPLY DATA'!$AQ:$AQ,"cosco")+SUMIFS('PV SUPPLY DATA'!$X:$X,'PV SUPPLY DATA'!$AH:$AH,'CT capacity tracker'!$B52,'PV SUPPLY DATA'!$AG:$AG,'CT capacity tracker'!$A$51,'PV SUPPLY DATA'!$Y:$Y,AB$1,'PV SUPPLY DATA'!$AQ:$AQ,"other")+SUMIFS('ESS SUPPLY DATA'!$U:$U,'ESS SUPPLY DATA'!$AF:$AF,'CT capacity tracker'!$B52,'ESS SUPPLY DATA'!$AE:$AE,'CT capacity tracker'!$A$51,'ESS SUPPLY DATA'!$W:$W,'CT capacity tracker'!AB$1,'ESS SUPPLY DATA'!$AO:$AO,"cosco")+SUMIFS('ESS SUPPLY DATA'!$U:$U,'ESS SUPPLY DATA'!$AF:$AF,'CT capacity tracker'!$B52,'ESS SUPPLY DATA'!$AE:$AE,'CT capacity tracker'!$A$51,'ESS SUPPLY DATA'!$W:$W,'CT capacity tracker'!AB$1,'ESS SUPPLY DATA'!$AO:$AO,"other")</f>
        <v>0</v>
      </c>
      <c r="AC55" s="511"/>
      <c r="AD55" s="511"/>
      <c r="AE55" s="696">
        <f>SUM(E55:X55)</f>
        <v>4</v>
      </c>
      <c r="AF55" s="503"/>
      <c r="AG55" s="506"/>
      <c r="AH55" s="506"/>
      <c r="AI55" s="506"/>
      <c r="AJ55" s="506"/>
      <c r="AK55" s="506"/>
      <c r="AL55" s="506"/>
    </row>
    <row r="56" spans="1:38" ht="13">
      <c r="A56" s="1398"/>
      <c r="B56" s="1397" t="s">
        <v>456</v>
      </c>
      <c r="C56" s="503" t="s">
        <v>2481</v>
      </c>
      <c r="D56" s="504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6</v>
      </c>
      <c r="E56" s="504">
        <f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04">
        <f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04">
        <f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04">
        <f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04">
        <f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04">
        <f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04">
        <f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04">
        <f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04">
        <f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04">
        <f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04">
        <f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04">
        <f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04">
        <f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04">
        <f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04">
        <f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04">
        <f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04">
        <f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04">
        <f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5</v>
      </c>
      <c r="W56" s="504">
        <f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1</v>
      </c>
      <c r="X56" s="504">
        <f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0</v>
      </c>
      <c r="Y56" s="504">
        <f>SUMIFS('PV SUPPLY DATA'!$X:$X,'PV SUPPLY DATA'!$AH:$AH,'CT capacity tracker'!$B56,'PV SUPPLY DATA'!$AG:$AG,$A$51,'PV SUPPLY DATA'!$Y:$Y,'CT capacity tracker'!Y$1)+SUMIFS('ESS SUPPLY DATA'!$U:$U,'ESS SUPPLY DATA'!$AF:$AF,'CT capacity tracker'!$B56,'ESS SUPPLY DATA'!$AE:$AE,'CT capacity tracker'!$A$51,'ESS SUPPLY DATA'!$W:$W,'CT capacity tracker'!Y$1)</f>
        <v>4</v>
      </c>
      <c r="Z56" s="504">
        <f>SUMIFS('PV SUPPLY DATA'!$X:$X,'PV SUPPLY DATA'!$AH:$AH,'CT capacity tracker'!$B56,'PV SUPPLY DATA'!$AG:$AG,$A$51,'PV SUPPLY DATA'!$Y:$Y,'CT capacity tracker'!Z$1)+SUMIFS('ESS SUPPLY DATA'!$U:$U,'ESS SUPPLY DATA'!$AF:$AF,'CT capacity tracker'!$B56,'ESS SUPPLY DATA'!$AE:$AE,'CT capacity tracker'!$A$51,'ESS SUPPLY DATA'!$W:$W,'CT capacity tracker'!Z$1)</f>
        <v>0</v>
      </c>
      <c r="AA56" s="504">
        <f>SUMIFS('PV SUPPLY DATA'!$X:$X,'PV SUPPLY DATA'!$AH:$AH,'CT capacity tracker'!$B56,'PV SUPPLY DATA'!$AG:$AG,$A$51,'PV SUPPLY DATA'!$Y:$Y,'CT capacity tracker'!AA$1)+SUMIFS('ESS SUPPLY DATA'!$U:$U,'ESS SUPPLY DATA'!$AF:$AF,'CT capacity tracker'!$B56,'ESS SUPPLY DATA'!$AE:$AE,'CT capacity tracker'!$A$51,'ESS SUPPLY DATA'!$W:$W,'CT capacity tracker'!AA$1)</f>
        <v>0</v>
      </c>
      <c r="AB56" s="504">
        <f>SUMIFS('PV SUPPLY DATA'!$X:$X,'PV SUPPLY DATA'!$AH:$AH,'CT capacity tracker'!$B56,'PV SUPPLY DATA'!$AG:$AG,$A$51,'PV SUPPLY DATA'!$Y:$Y,'CT capacity tracker'!AB$1)+SUMIFS('ESS SUPPLY DATA'!$U:$U,'ESS SUPPLY DATA'!$AF:$AF,'CT capacity tracker'!$B56,'ESS SUPPLY DATA'!$AE:$AE,'CT capacity tracker'!$A$51,'ESS SUPPLY DATA'!$W:$W,'CT capacity tracker'!AB$1)</f>
        <v>4</v>
      </c>
      <c r="AC56" s="505" t="s">
        <v>197</v>
      </c>
      <c r="AD56" s="505" t="s">
        <v>197</v>
      </c>
      <c r="AE56" s="696">
        <f>SUM(E56:X56)</f>
        <v>23</v>
      </c>
      <c r="AF56" s="503" t="s">
        <v>197</v>
      </c>
      <c r="AG56" s="506"/>
      <c r="AH56" s="506">
        <f t="shared" si="2"/>
        <v>8</v>
      </c>
      <c r="AI56" s="506"/>
      <c r="AJ56" s="506"/>
      <c r="AK56" s="506"/>
      <c r="AL56" s="506"/>
    </row>
    <row r="57" spans="1:38" ht="13">
      <c r="A57" s="1398"/>
      <c r="B57" s="1398"/>
      <c r="C57" s="509" t="s">
        <v>2482</v>
      </c>
      <c r="D57" s="509"/>
      <c r="E57" s="510">
        <v>1</v>
      </c>
      <c r="F57" s="510">
        <v>4</v>
      </c>
      <c r="G57" s="510">
        <v>4</v>
      </c>
      <c r="H57" s="510">
        <v>0</v>
      </c>
      <c r="I57" s="510">
        <v>1</v>
      </c>
      <c r="J57" s="510">
        <v>2</v>
      </c>
      <c r="K57" s="510"/>
      <c r="L57" s="510"/>
      <c r="M57" s="510"/>
      <c r="N57" s="510">
        <v>1</v>
      </c>
      <c r="O57" s="510">
        <v>1</v>
      </c>
      <c r="P57" s="510">
        <v>1</v>
      </c>
      <c r="Q57" s="510">
        <v>1</v>
      </c>
      <c r="R57" s="510">
        <v>1</v>
      </c>
      <c r="S57" s="510">
        <v>0</v>
      </c>
      <c r="T57" s="510">
        <v>0</v>
      </c>
      <c r="U57" s="510">
        <v>0</v>
      </c>
      <c r="V57" s="510">
        <v>0</v>
      </c>
      <c r="W57" s="510">
        <v>1</v>
      </c>
      <c r="X57" s="510">
        <v>1</v>
      </c>
      <c r="Y57" s="510">
        <v>1</v>
      </c>
      <c r="Z57" s="510">
        <v>0</v>
      </c>
      <c r="AA57" s="510">
        <v>1</v>
      </c>
      <c r="AB57" s="510">
        <v>1</v>
      </c>
      <c r="AC57" s="505" t="s">
        <v>197</v>
      </c>
      <c r="AD57" s="505" t="s">
        <v>197</v>
      </c>
      <c r="AE57" s="696"/>
      <c r="AF57" s="503" t="s">
        <v>197</v>
      </c>
      <c r="AG57" s="506"/>
      <c r="AH57" s="506">
        <f t="shared" si="2"/>
        <v>7</v>
      </c>
      <c r="AI57" s="506"/>
      <c r="AJ57" s="506"/>
      <c r="AK57" s="506"/>
      <c r="AL57" s="506"/>
    </row>
    <row r="58" spans="1:38" ht="13">
      <c r="A58" s="1398"/>
      <c r="B58" s="1398"/>
      <c r="C58" s="520" t="s">
        <v>2483</v>
      </c>
      <c r="D58" s="522"/>
      <c r="E58" s="522">
        <f>E57-E56</f>
        <v>1</v>
      </c>
      <c r="F58" s="522">
        <f t="shared" ref="F58:X58" si="28">F57-F56</f>
        <v>0</v>
      </c>
      <c r="G58" s="522">
        <f t="shared" si="28"/>
        <v>0</v>
      </c>
      <c r="H58" s="522">
        <f t="shared" si="28"/>
        <v>-1</v>
      </c>
      <c r="I58" s="522">
        <f t="shared" si="28"/>
        <v>0</v>
      </c>
      <c r="J58" s="522">
        <f t="shared" si="28"/>
        <v>0</v>
      </c>
      <c r="K58" s="522">
        <f t="shared" si="28"/>
        <v>0</v>
      </c>
      <c r="L58" s="522">
        <f t="shared" si="28"/>
        <v>-2</v>
      </c>
      <c r="M58" s="522">
        <f t="shared" si="28"/>
        <v>0</v>
      </c>
      <c r="N58" s="522">
        <f t="shared" si="28"/>
        <v>1</v>
      </c>
      <c r="O58" s="522">
        <f t="shared" si="28"/>
        <v>0</v>
      </c>
      <c r="P58" s="522">
        <f t="shared" si="28"/>
        <v>1</v>
      </c>
      <c r="Q58" s="522">
        <f t="shared" si="28"/>
        <v>1</v>
      </c>
      <c r="R58" s="522">
        <f t="shared" si="28"/>
        <v>1</v>
      </c>
      <c r="S58" s="522">
        <f t="shared" si="28"/>
        <v>-2</v>
      </c>
      <c r="T58" s="522">
        <f t="shared" si="28"/>
        <v>0</v>
      </c>
      <c r="U58" s="522">
        <f t="shared" si="28"/>
        <v>0</v>
      </c>
      <c r="V58" s="522">
        <f t="shared" si="28"/>
        <v>-5</v>
      </c>
      <c r="W58" s="522">
        <f t="shared" si="28"/>
        <v>0</v>
      </c>
      <c r="X58" s="522">
        <f t="shared" si="28"/>
        <v>1</v>
      </c>
      <c r="Y58" s="522">
        <f>Y57-Y56</f>
        <v>-3</v>
      </c>
      <c r="Z58" s="522">
        <f>Z57-Z56</f>
        <v>0</v>
      </c>
      <c r="AA58" s="522">
        <f>AA57-AA56</f>
        <v>1</v>
      </c>
      <c r="AB58" s="522">
        <f>AB57-AB56</f>
        <v>-3</v>
      </c>
      <c r="AC58" s="511">
        <f>SUMIF($E58:$X58,"&gt;0")</f>
        <v>6</v>
      </c>
      <c r="AD58" s="511">
        <f>SUMIF($E58:$X58,"&lt;0")</f>
        <v>-10</v>
      </c>
      <c r="AE58" s="696"/>
      <c r="AF58" s="503" t="s">
        <v>197</v>
      </c>
      <c r="AG58" s="506"/>
      <c r="AH58" s="506">
        <f t="shared" si="2"/>
        <v>-1</v>
      </c>
      <c r="AI58" s="506"/>
      <c r="AJ58" s="506"/>
      <c r="AK58" s="506"/>
      <c r="AL58" s="506"/>
    </row>
    <row r="59" spans="1:38" ht="13">
      <c r="A59" s="1398"/>
      <c r="B59" s="1399"/>
      <c r="C59" s="503" t="s">
        <v>2484</v>
      </c>
      <c r="D59" s="522"/>
      <c r="E59" s="504">
        <f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04">
        <f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04">
        <f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04">
        <f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04">
        <f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04">
        <f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04">
        <f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04">
        <f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04">
        <f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04">
        <f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04">
        <f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04">
        <f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04">
        <f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04">
        <f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04">
        <f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04">
        <f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04">
        <f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04">
        <f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2</v>
      </c>
      <c r="W59" s="504">
        <f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1</v>
      </c>
      <c r="X59" s="504">
        <f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04">
        <f>SUMIFS('PV SUPPLY DATA'!$X:$X,'PV SUPPLY DATA'!$AH:$AH,'CT capacity tracker'!$B56,'PV SUPPLY DATA'!$AG:$AG,'CT capacity tracker'!$A$51,'PV SUPPLY DATA'!$Y:$Y,Y$1,'PV SUPPLY DATA'!$AQ:$AQ,"cosco")+SUMIFS('PV SUPPLY DATA'!$X:$X,'PV SUPPLY DATA'!$AH:$AH,'CT capacity tracker'!$B56,'PV SUPPLY DATA'!$AG:$AG,'CT capacity tracker'!$A$51,'PV SUPPLY DATA'!$Y:$Y,Y$1,'PV SUPPLY DATA'!$AQ:$AQ,"other")+SUMIFS('ESS SUPPLY DATA'!$U:$U,'ESS SUPPLY DATA'!$AF:$AF,'CT capacity tracker'!$B56,'ESS SUPPLY DATA'!$AE:$AE,'CT capacity tracker'!$A$51,'ESS SUPPLY DATA'!$W:$W,'CT capacity tracker'!Y$1,'ESS SUPPLY DATA'!$AO:$AO,"cosco")+SUMIFS('ESS SUPPLY DATA'!$U:$U,'ESS SUPPLY DATA'!$AF:$AF,'CT capacity tracker'!$B56,'ESS SUPPLY DATA'!$AE:$AE,'CT capacity tracker'!$A$51,'ESS SUPPLY DATA'!$W:$W,'CT capacity tracker'!Y$1,'ESS SUPPLY DATA'!$AO:$AO,"other")</f>
        <v>0</v>
      </c>
      <c r="Z59" s="504">
        <f>SUMIFS('PV SUPPLY DATA'!$X:$X,'PV SUPPLY DATA'!$AH:$AH,'CT capacity tracker'!$B56,'PV SUPPLY DATA'!$AG:$AG,'CT capacity tracker'!$A$51,'PV SUPPLY DATA'!$Y:$Y,Z$1,'PV SUPPLY DATA'!$AQ:$AQ,"cosco")+SUMIFS('PV SUPPLY DATA'!$X:$X,'PV SUPPLY DATA'!$AH:$AH,'CT capacity tracker'!$B56,'PV SUPPLY DATA'!$AG:$AG,'CT capacity tracker'!$A$51,'PV SUPPLY DATA'!$Y:$Y,Z$1,'PV SUPPLY DATA'!$AQ:$AQ,"other")+SUMIFS('ESS SUPPLY DATA'!$U:$U,'ESS SUPPLY DATA'!$AF:$AF,'CT capacity tracker'!$B56,'ESS SUPPLY DATA'!$AE:$AE,'CT capacity tracker'!$A$51,'ESS SUPPLY DATA'!$W:$W,'CT capacity tracker'!Z$1,'ESS SUPPLY DATA'!$AO:$AO,"cosco")+SUMIFS('ESS SUPPLY DATA'!$U:$U,'ESS SUPPLY DATA'!$AF:$AF,'CT capacity tracker'!$B56,'ESS SUPPLY DATA'!$AE:$AE,'CT capacity tracker'!$A$51,'ESS SUPPLY DATA'!$W:$W,'CT capacity tracker'!Z$1,'ESS SUPPLY DATA'!$AO:$AO,"other")</f>
        <v>0</v>
      </c>
      <c r="AA59" s="504">
        <f>SUMIFS('PV SUPPLY DATA'!$X:$X,'PV SUPPLY DATA'!$AH:$AH,'CT capacity tracker'!$B56,'PV SUPPLY DATA'!$AG:$AG,'CT capacity tracker'!$A$51,'PV SUPPLY DATA'!$Y:$Y,AA$1,'PV SUPPLY DATA'!$AQ:$AQ,"cosco")+SUMIFS('PV SUPPLY DATA'!$X:$X,'PV SUPPLY DATA'!$AH:$AH,'CT capacity tracker'!$B56,'PV SUPPLY DATA'!$AG:$AG,'CT capacity tracker'!$A$51,'PV SUPPLY DATA'!$Y:$Y,AA$1,'PV SUPPLY DATA'!$AQ:$AQ,"other")+SUMIFS('ESS SUPPLY DATA'!$U:$U,'ESS SUPPLY DATA'!$AF:$AF,'CT capacity tracker'!$B56,'ESS SUPPLY DATA'!$AE:$AE,'CT capacity tracker'!$A$51,'ESS SUPPLY DATA'!$W:$W,'CT capacity tracker'!AA$1,'ESS SUPPLY DATA'!$AO:$AO,"cosco")+SUMIFS('ESS SUPPLY DATA'!$U:$U,'ESS SUPPLY DATA'!$AF:$AF,'CT capacity tracker'!$B56,'ESS SUPPLY DATA'!$AE:$AE,'CT capacity tracker'!$A$51,'ESS SUPPLY DATA'!$W:$W,'CT capacity tracker'!AA$1,'ESS SUPPLY DATA'!$AO:$AO,"other")</f>
        <v>0</v>
      </c>
      <c r="AB59" s="504">
        <f>SUMIFS('PV SUPPLY DATA'!$X:$X,'PV SUPPLY DATA'!$AH:$AH,'CT capacity tracker'!$B56,'PV SUPPLY DATA'!$AG:$AG,'CT capacity tracker'!$A$51,'PV SUPPLY DATA'!$Y:$Y,AB$1,'PV SUPPLY DATA'!$AQ:$AQ,"cosco")+SUMIFS('PV SUPPLY DATA'!$X:$X,'PV SUPPLY DATA'!$AH:$AH,'CT capacity tracker'!$B56,'PV SUPPLY DATA'!$AG:$AG,'CT capacity tracker'!$A$51,'PV SUPPLY DATA'!$Y:$Y,AB$1,'PV SUPPLY DATA'!$AQ:$AQ,"other")+SUMIFS('ESS SUPPLY DATA'!$U:$U,'ESS SUPPLY DATA'!$AF:$AF,'CT capacity tracker'!$B56,'ESS SUPPLY DATA'!$AE:$AE,'CT capacity tracker'!$A$51,'ESS SUPPLY DATA'!$W:$W,'CT capacity tracker'!AB$1,'ESS SUPPLY DATA'!$AO:$AO,"cosco")+SUMIFS('ESS SUPPLY DATA'!$U:$U,'ESS SUPPLY DATA'!$AF:$AF,'CT capacity tracker'!$B56,'ESS SUPPLY DATA'!$AE:$AE,'CT capacity tracker'!$A$51,'ESS SUPPLY DATA'!$W:$W,'CT capacity tracker'!AB$1,'ESS SUPPLY DATA'!$AO:$AO,"other")</f>
        <v>0</v>
      </c>
      <c r="AC59" s="511"/>
      <c r="AD59" s="511"/>
      <c r="AE59" s="696">
        <f>SUM(E59:X59)</f>
        <v>20</v>
      </c>
      <c r="AF59" s="503"/>
      <c r="AG59" s="506"/>
      <c r="AH59" s="506"/>
      <c r="AI59" s="506"/>
      <c r="AJ59" s="506"/>
      <c r="AK59" s="506"/>
      <c r="AL59" s="506"/>
    </row>
    <row r="60" spans="1:38" ht="13">
      <c r="A60" s="1398"/>
      <c r="B60" s="1397" t="s">
        <v>888</v>
      </c>
      <c r="C60" s="503" t="s">
        <v>2481</v>
      </c>
      <c r="D60" s="504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10</v>
      </c>
      <c r="E60" s="504">
        <f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04">
        <f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04">
        <f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04">
        <f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04">
        <f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04">
        <f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04">
        <f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04">
        <f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04">
        <f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04">
        <f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04">
        <f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04">
        <f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04">
        <f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04">
        <f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04">
        <f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04">
        <f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04">
        <f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04">
        <f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04">
        <f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0</v>
      </c>
      <c r="X60" s="504">
        <f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04">
        <f>SUMIFS('PV SUPPLY DATA'!$X:$X,'PV SUPPLY DATA'!$AH:$AH,'CT capacity tracker'!$B60,'PV SUPPLY DATA'!$AG:$AG,$A$51,'PV SUPPLY DATA'!$Y:$Y,'CT capacity tracker'!Y$1)+SUMIFS('ESS SUPPLY DATA'!$U:$U,'ESS SUPPLY DATA'!$AF:$AF,'CT capacity tracker'!$B60,'ESS SUPPLY DATA'!$AE:$AE,'CT capacity tracker'!$A$51,'ESS SUPPLY DATA'!$W:$W,'CT capacity tracker'!Y$1)</f>
        <v>0</v>
      </c>
      <c r="Z60" s="504">
        <f>SUMIFS('PV SUPPLY DATA'!$X:$X,'PV SUPPLY DATA'!$AH:$AH,'CT capacity tracker'!$B60,'PV SUPPLY DATA'!$AG:$AG,$A$51,'PV SUPPLY DATA'!$Y:$Y,'CT capacity tracker'!Z$1)+SUMIFS('ESS SUPPLY DATA'!$U:$U,'ESS SUPPLY DATA'!$AF:$AF,'CT capacity tracker'!$B60,'ESS SUPPLY DATA'!$AE:$AE,'CT capacity tracker'!$A$51,'ESS SUPPLY DATA'!$W:$W,'CT capacity tracker'!Z$1)</f>
        <v>0</v>
      </c>
      <c r="AA60" s="504">
        <f>SUMIFS('PV SUPPLY DATA'!$X:$X,'PV SUPPLY DATA'!$AH:$AH,'CT capacity tracker'!$B60,'PV SUPPLY DATA'!$AG:$AG,$A$51,'PV SUPPLY DATA'!$Y:$Y,'CT capacity tracker'!AA$1)+SUMIFS('ESS SUPPLY DATA'!$U:$U,'ESS SUPPLY DATA'!$AF:$AF,'CT capacity tracker'!$B60,'ESS SUPPLY DATA'!$AE:$AE,'CT capacity tracker'!$A$51,'ESS SUPPLY DATA'!$W:$W,'CT capacity tracker'!AA$1)</f>
        <v>0</v>
      </c>
      <c r="AB60" s="504">
        <f>SUMIFS('PV SUPPLY DATA'!$X:$X,'PV SUPPLY DATA'!$AH:$AH,'CT capacity tracker'!$B60,'PV SUPPLY DATA'!$AG:$AG,$A$51,'PV SUPPLY DATA'!$Y:$Y,'CT capacity tracker'!AB$1)+SUMIFS('ESS SUPPLY DATA'!$U:$U,'ESS SUPPLY DATA'!$AF:$AF,'CT capacity tracker'!$B60,'ESS SUPPLY DATA'!$AE:$AE,'CT capacity tracker'!$A$51,'ESS SUPPLY DATA'!$W:$W,'CT capacity tracker'!AB$1)</f>
        <v>0</v>
      </c>
      <c r="AC60" s="505" t="s">
        <v>197</v>
      </c>
      <c r="AD60" s="505" t="s">
        <v>197</v>
      </c>
      <c r="AE60" s="696">
        <f>SUM(E60:X60)</f>
        <v>0</v>
      </c>
      <c r="AF60" s="503" t="s">
        <v>197</v>
      </c>
      <c r="AG60" s="506"/>
      <c r="AH60" s="506">
        <f t="shared" si="2"/>
        <v>0</v>
      </c>
      <c r="AI60" s="506"/>
      <c r="AJ60" s="506"/>
      <c r="AK60" s="506"/>
      <c r="AL60" s="506"/>
    </row>
    <row r="61" spans="1:38" ht="13">
      <c r="A61" s="1398"/>
      <c r="B61" s="1398"/>
      <c r="C61" s="509" t="s">
        <v>2482</v>
      </c>
      <c r="D61" s="509"/>
      <c r="E61" s="510">
        <v>5</v>
      </c>
      <c r="F61" s="510">
        <v>12</v>
      </c>
      <c r="G61" s="510">
        <v>14</v>
      </c>
      <c r="H61" s="510"/>
      <c r="I61" s="510"/>
      <c r="J61" s="510"/>
      <c r="K61" s="510"/>
      <c r="L61" s="510"/>
      <c r="M61" s="510"/>
      <c r="N61" s="510"/>
      <c r="O61" s="510"/>
      <c r="P61" s="510"/>
      <c r="Q61" s="510"/>
      <c r="R61" s="510"/>
      <c r="S61" s="510"/>
      <c r="T61" s="510"/>
      <c r="U61" s="510"/>
      <c r="V61" s="510"/>
      <c r="W61" s="510"/>
      <c r="X61" s="510"/>
      <c r="Y61" s="510"/>
      <c r="Z61" s="510"/>
      <c r="AA61" s="510"/>
      <c r="AB61" s="510"/>
      <c r="AC61" s="505" t="s">
        <v>197</v>
      </c>
      <c r="AD61" s="505" t="s">
        <v>197</v>
      </c>
      <c r="AE61" s="696"/>
      <c r="AF61" s="503" t="s">
        <v>197</v>
      </c>
      <c r="AG61" s="506"/>
      <c r="AH61" s="506">
        <f t="shared" si="2"/>
        <v>14</v>
      </c>
      <c r="AI61" s="506"/>
      <c r="AJ61" s="506"/>
      <c r="AK61" s="506"/>
      <c r="AL61" s="506"/>
    </row>
    <row r="62" spans="1:38" ht="13">
      <c r="A62" s="1398"/>
      <c r="B62" s="1398"/>
      <c r="C62" s="520" t="s">
        <v>2483</v>
      </c>
      <c r="D62" s="522"/>
      <c r="E62" s="522">
        <f>E61-E60</f>
        <v>5</v>
      </c>
      <c r="F62" s="522">
        <f t="shared" ref="F62:X62" si="29">F61-F60</f>
        <v>12</v>
      </c>
      <c r="G62" s="522">
        <f t="shared" si="29"/>
        <v>14</v>
      </c>
      <c r="H62" s="522">
        <f t="shared" si="29"/>
        <v>0</v>
      </c>
      <c r="I62" s="522">
        <f t="shared" si="29"/>
        <v>0</v>
      </c>
      <c r="J62" s="522">
        <f t="shared" si="29"/>
        <v>0</v>
      </c>
      <c r="K62" s="522">
        <f t="shared" si="29"/>
        <v>0</v>
      </c>
      <c r="L62" s="522">
        <f t="shared" si="29"/>
        <v>0</v>
      </c>
      <c r="M62" s="522">
        <f t="shared" si="29"/>
        <v>0</v>
      </c>
      <c r="N62" s="522">
        <f t="shared" si="29"/>
        <v>0</v>
      </c>
      <c r="O62" s="522">
        <f t="shared" si="29"/>
        <v>0</v>
      </c>
      <c r="P62" s="522">
        <f t="shared" si="29"/>
        <v>0</v>
      </c>
      <c r="Q62" s="522">
        <f t="shared" si="29"/>
        <v>0</v>
      </c>
      <c r="R62" s="522">
        <f t="shared" si="29"/>
        <v>0</v>
      </c>
      <c r="S62" s="522">
        <f t="shared" si="29"/>
        <v>0</v>
      </c>
      <c r="T62" s="522">
        <f t="shared" si="29"/>
        <v>0</v>
      </c>
      <c r="U62" s="522">
        <f t="shared" si="29"/>
        <v>0</v>
      </c>
      <c r="V62" s="522">
        <f t="shared" si="29"/>
        <v>0</v>
      </c>
      <c r="W62" s="522">
        <f t="shared" si="29"/>
        <v>0</v>
      </c>
      <c r="X62" s="522">
        <f t="shared" si="29"/>
        <v>0</v>
      </c>
      <c r="Y62" s="522">
        <f>Y61-Y60</f>
        <v>0</v>
      </c>
      <c r="Z62" s="522">
        <f>Z61-Z60</f>
        <v>0</v>
      </c>
      <c r="AA62" s="522">
        <f>AA61-AA60</f>
        <v>0</v>
      </c>
      <c r="AB62" s="522">
        <f>AB61-AB60</f>
        <v>0</v>
      </c>
      <c r="AC62" s="511">
        <f>SUMIF($E62:$X62,"&gt;0")</f>
        <v>31</v>
      </c>
      <c r="AD62" s="511">
        <f>SUMIF($E62:$X62,"&lt;0")</f>
        <v>0</v>
      </c>
      <c r="AE62" s="696"/>
      <c r="AF62" s="503" t="s">
        <v>197</v>
      </c>
      <c r="AG62" s="506"/>
      <c r="AH62" s="506">
        <f t="shared" si="2"/>
        <v>14</v>
      </c>
      <c r="AI62" s="506"/>
      <c r="AJ62" s="506"/>
      <c r="AK62" s="506"/>
      <c r="AL62" s="506"/>
    </row>
    <row r="63" spans="1:38" ht="13">
      <c r="A63" s="1398"/>
      <c r="B63" s="1399"/>
      <c r="C63" s="503" t="s">
        <v>2484</v>
      </c>
      <c r="D63" s="522"/>
      <c r="E63" s="504">
        <f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04">
        <f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04">
        <f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04">
        <f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04">
        <f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04">
        <f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04">
        <f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04">
        <f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04">
        <f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04">
        <f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04">
        <f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04">
        <f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04">
        <f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04">
        <f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04">
        <f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04">
        <f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04">
        <f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04">
        <f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04">
        <f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04">
        <f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04">
        <f>SUMIFS('PV SUPPLY DATA'!$X:$X,'PV SUPPLY DATA'!$AH:$AH,'CT capacity tracker'!$B60,'PV SUPPLY DATA'!$AG:$AG,'CT capacity tracker'!$A$51,'PV SUPPLY DATA'!$Y:$Y,Y$1,'PV SUPPLY DATA'!$AQ:$AQ,"cosco")+SUMIFS('PV SUPPLY DATA'!$X:$X,'PV SUPPLY DATA'!$AH:$AH,'CT capacity tracker'!$B60,'PV SUPPLY DATA'!$AG:$AG,'CT capacity tracker'!$A$51,'PV SUPPLY DATA'!$Y:$Y,Y$1,'PV SUPPLY DATA'!$AQ:$AQ,"other")+SUMIFS('ESS SUPPLY DATA'!$U:$U,'ESS SUPPLY DATA'!$AF:$AF,'CT capacity tracker'!$B60,'ESS SUPPLY DATA'!$AE:$AE,'CT capacity tracker'!$A$51,'ESS SUPPLY DATA'!$W:$W,'CT capacity tracker'!Y$1,'ESS SUPPLY DATA'!$AO:$AO,"cosco")+SUMIFS('ESS SUPPLY DATA'!$U:$U,'ESS SUPPLY DATA'!$AF:$AF,'CT capacity tracker'!$B60,'ESS SUPPLY DATA'!$AE:$AE,'CT capacity tracker'!$A$51,'ESS SUPPLY DATA'!$W:$W,'CT capacity tracker'!Y$1,'ESS SUPPLY DATA'!$AO:$AO,"other")</f>
        <v>0</v>
      </c>
      <c r="Z63" s="504">
        <f>SUMIFS('PV SUPPLY DATA'!$X:$X,'PV SUPPLY DATA'!$AH:$AH,'CT capacity tracker'!$B60,'PV SUPPLY DATA'!$AG:$AG,'CT capacity tracker'!$A$51,'PV SUPPLY DATA'!$Y:$Y,Z$1,'PV SUPPLY DATA'!$AQ:$AQ,"cosco")+SUMIFS('PV SUPPLY DATA'!$X:$X,'PV SUPPLY DATA'!$AH:$AH,'CT capacity tracker'!$B60,'PV SUPPLY DATA'!$AG:$AG,'CT capacity tracker'!$A$51,'PV SUPPLY DATA'!$Y:$Y,Z$1,'PV SUPPLY DATA'!$AQ:$AQ,"other")+SUMIFS('ESS SUPPLY DATA'!$U:$U,'ESS SUPPLY DATA'!$AF:$AF,'CT capacity tracker'!$B60,'ESS SUPPLY DATA'!$AE:$AE,'CT capacity tracker'!$A$51,'ESS SUPPLY DATA'!$W:$W,'CT capacity tracker'!Z$1,'ESS SUPPLY DATA'!$AO:$AO,"cosco")+SUMIFS('ESS SUPPLY DATA'!$U:$U,'ESS SUPPLY DATA'!$AF:$AF,'CT capacity tracker'!$B60,'ESS SUPPLY DATA'!$AE:$AE,'CT capacity tracker'!$A$51,'ESS SUPPLY DATA'!$W:$W,'CT capacity tracker'!Z$1,'ESS SUPPLY DATA'!$AO:$AO,"other")</f>
        <v>0</v>
      </c>
      <c r="AA63" s="504">
        <f>SUMIFS('PV SUPPLY DATA'!$X:$X,'PV SUPPLY DATA'!$AH:$AH,'CT capacity tracker'!$B60,'PV SUPPLY DATA'!$AG:$AG,'CT capacity tracker'!$A$51,'PV SUPPLY DATA'!$Y:$Y,AA$1,'PV SUPPLY DATA'!$AQ:$AQ,"cosco")+SUMIFS('PV SUPPLY DATA'!$X:$X,'PV SUPPLY DATA'!$AH:$AH,'CT capacity tracker'!$B60,'PV SUPPLY DATA'!$AG:$AG,'CT capacity tracker'!$A$51,'PV SUPPLY DATA'!$Y:$Y,AA$1,'PV SUPPLY DATA'!$AQ:$AQ,"other")+SUMIFS('ESS SUPPLY DATA'!$U:$U,'ESS SUPPLY DATA'!$AF:$AF,'CT capacity tracker'!$B60,'ESS SUPPLY DATA'!$AE:$AE,'CT capacity tracker'!$A$51,'ESS SUPPLY DATA'!$W:$W,'CT capacity tracker'!AA$1,'ESS SUPPLY DATA'!$AO:$AO,"cosco")+SUMIFS('ESS SUPPLY DATA'!$U:$U,'ESS SUPPLY DATA'!$AF:$AF,'CT capacity tracker'!$B60,'ESS SUPPLY DATA'!$AE:$AE,'CT capacity tracker'!$A$51,'ESS SUPPLY DATA'!$W:$W,'CT capacity tracker'!AA$1,'ESS SUPPLY DATA'!$AO:$AO,"other")</f>
        <v>0</v>
      </c>
      <c r="AB63" s="504">
        <f>SUMIFS('PV SUPPLY DATA'!$X:$X,'PV SUPPLY DATA'!$AH:$AH,'CT capacity tracker'!$B60,'PV SUPPLY DATA'!$AG:$AG,'CT capacity tracker'!$A$51,'PV SUPPLY DATA'!$Y:$Y,AB$1,'PV SUPPLY DATA'!$AQ:$AQ,"cosco")+SUMIFS('PV SUPPLY DATA'!$X:$X,'PV SUPPLY DATA'!$AH:$AH,'CT capacity tracker'!$B60,'PV SUPPLY DATA'!$AG:$AG,'CT capacity tracker'!$A$51,'PV SUPPLY DATA'!$Y:$Y,AB$1,'PV SUPPLY DATA'!$AQ:$AQ,"other")+SUMIFS('ESS SUPPLY DATA'!$U:$U,'ESS SUPPLY DATA'!$AF:$AF,'CT capacity tracker'!$B60,'ESS SUPPLY DATA'!$AE:$AE,'CT capacity tracker'!$A$51,'ESS SUPPLY DATA'!$W:$W,'CT capacity tracker'!AB$1,'ESS SUPPLY DATA'!$AO:$AO,"cosco")+SUMIFS('ESS SUPPLY DATA'!$U:$U,'ESS SUPPLY DATA'!$AF:$AF,'CT capacity tracker'!$B60,'ESS SUPPLY DATA'!$AE:$AE,'CT capacity tracker'!$A$51,'ESS SUPPLY DATA'!$W:$W,'CT capacity tracker'!AB$1,'ESS SUPPLY DATA'!$AO:$AO,"other")</f>
        <v>0</v>
      </c>
      <c r="AC63" s="511"/>
      <c r="AD63" s="511"/>
      <c r="AE63" s="696">
        <f>SUM(E63:X63)</f>
        <v>0</v>
      </c>
      <c r="AF63" s="503"/>
      <c r="AG63" s="506"/>
      <c r="AH63" s="506"/>
      <c r="AI63" s="506"/>
      <c r="AJ63" s="506"/>
      <c r="AK63" s="506"/>
      <c r="AL63" s="506"/>
    </row>
    <row r="64" spans="1:38" ht="13">
      <c r="A64" s="1398"/>
      <c r="B64" s="1397" t="s">
        <v>105</v>
      </c>
      <c r="C64" s="503" t="s">
        <v>2481</v>
      </c>
      <c r="D64" s="504">
        <f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250</v>
      </c>
      <c r="E64" s="504">
        <f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04">
        <f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04">
        <f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04">
        <f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04">
        <f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04">
        <f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04">
        <f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04">
        <f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04">
        <f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04">
        <f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04">
        <f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04">
        <f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04">
        <f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04">
        <f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04">
        <f>SUMIFS('PV SUPPLY DATA'!$X:$X,'PV SUPPLY DATA'!$AH:$AH,'CT capacity tracker'!$B64,'PV SUPPLY DATA'!$AG:$AG,$A$51,'PV SUPPLY DATA'!$Y:$Y,'CT capacity tracker'!S$1,'PV SUPPLY DATA'!F:F,"&lt;&gt;FOB")+SUMIFS('ESS SUPPLY DATA'!$U:$U,'ESS SUPPLY DATA'!$AF:$AF,'CT capacity tracker'!$B64,'ESS SUPPLY DATA'!$AE:$AE,'CT capacity tracker'!$A$51,'ESS SUPPLY DATA'!$W:$W,'CT capacity tracker'!S$1)</f>
        <v>6</v>
      </c>
      <c r="T64" s="504">
        <f>SUMIFS('PV SUPPLY DATA'!$X:$X,'PV SUPPLY DATA'!$AH:$AH,'CT capacity tracker'!$B64,'PV SUPPLY DATA'!$AG:$AG,$A$51,'PV SUPPLY DATA'!$Y:$Y,'CT capacity tracker'!T$1,'PV SUPPLY DATA'!$G:$G,"&lt;&gt;FOB")+SUMIFS('ESS SUPPLY DATA'!$U:$U,'ESS SUPPLY DATA'!$AF:$AF,'CT capacity tracker'!$B64,'ESS SUPPLY DATA'!$AE:$AE,'CT capacity tracker'!$A$51,'ESS SUPPLY DATA'!$W:$W,'CT capacity tracker'!T$1)</f>
        <v>32</v>
      </c>
      <c r="U64" s="504">
        <f>SUMIFS('PV SUPPLY DATA'!$X:$X,'PV SUPPLY DATA'!$AH:$AH,'CT capacity tracker'!$B64,'PV SUPPLY DATA'!$AG:$AG,$A$51,'PV SUPPLY DATA'!$Y:$Y,'CT capacity tracker'!U$1,'PV SUPPLY DATA'!$G:$G,"&lt;&gt;FOB")+SUMIFS('ESS SUPPLY DATA'!$U:$U,'ESS SUPPLY DATA'!$AF:$AF,'CT capacity tracker'!$B64,'ESS SUPPLY DATA'!$AE:$AE,'CT capacity tracker'!$A$51,'ESS SUPPLY DATA'!$W:$W,'CT capacity tracker'!U$1)</f>
        <v>2</v>
      </c>
      <c r="V64" s="504">
        <f>SUMIFS('PV SUPPLY DATA'!$X:$X,'PV SUPPLY DATA'!$AH:$AH,'CT capacity tracker'!$B64,'PV SUPPLY DATA'!$AG:$AG,$A$51,'PV SUPPLY DATA'!$Y:$Y,'CT capacity tracker'!V$1,'PV SUPPLY DATA'!$G:$G,"&lt;&gt;FOB")+SUMIFS('ESS SUPPLY DATA'!$U:$U,'ESS SUPPLY DATA'!$AF:$AF,'CT capacity tracker'!$B64,'ESS SUPPLY DATA'!$AE:$AE,'CT capacity tracker'!$A$51,'ESS SUPPLY DATA'!$W:$W,'CT capacity tracker'!V$1)</f>
        <v>5</v>
      </c>
      <c r="W64" s="504">
        <f>SUMIFS('PV SUPPLY DATA'!$X:$X,'PV SUPPLY DATA'!$AH:$AH,'CT capacity tracker'!$B64,'PV SUPPLY DATA'!$AG:$AG,$A$51,'PV SUPPLY DATA'!$Y:$Y,'CT capacity tracker'!W$1,'PV SUPPLY DATA'!$G:$G,"&lt;&gt;FOB")+SUMIFS('ESS SUPPLY DATA'!$U:$U,'ESS SUPPLY DATA'!$AF:$AF,'CT capacity tracker'!$B64,'ESS SUPPLY DATA'!$AE:$AE,'CT capacity tracker'!$A$51,'ESS SUPPLY DATA'!$W:$W,'CT capacity tracker'!W$1)</f>
        <v>0</v>
      </c>
      <c r="X64" s="504">
        <f>SUMIFS('PV SUPPLY DATA'!$X:$X,'PV SUPPLY DATA'!$AH:$AH,'CT capacity tracker'!$B64,'PV SUPPLY DATA'!$AG:$AG,$A$51,'PV SUPPLY DATA'!$Y:$Y,'CT capacity tracker'!X$1,'PV SUPPLY DATA'!$G:$G,"&lt;&gt;FOB")+SUMIFS('ESS SUPPLY DATA'!$U:$U,'ESS SUPPLY DATA'!$AF:$AF,'CT capacity tracker'!$B64,'ESS SUPPLY DATA'!$AE:$AE,'CT capacity tracker'!$A$51,'ESS SUPPLY DATA'!$W:$W,'CT capacity tracker'!X$1)</f>
        <v>2</v>
      </c>
      <c r="Y64" s="504">
        <f>SUMIFS('PV SUPPLY DATA'!$X:$X,'PV SUPPLY DATA'!$AH:$AH,'CT capacity tracker'!$B64,'PV SUPPLY DATA'!$AG:$AG,$A$51,'PV SUPPLY DATA'!$Y:$Y,'CT capacity tracker'!Y$1,'PV SUPPLY DATA'!$G:$G,"&lt;&gt;FOB")+SUMIFS('ESS SUPPLY DATA'!$U:$U,'ESS SUPPLY DATA'!$AF:$AF,'CT capacity tracker'!$B64,'ESS SUPPLY DATA'!$AE:$AE,'CT capacity tracker'!$A$51,'ESS SUPPLY DATA'!$W:$W,'CT capacity tracker'!Y$1)</f>
        <v>8</v>
      </c>
      <c r="Z64" s="504">
        <f>SUMIFS('PV SUPPLY DATA'!$X:$X,'PV SUPPLY DATA'!$AH:$AH,'CT capacity tracker'!$B64,'PV SUPPLY DATA'!$AG:$AG,$A$51,'PV SUPPLY DATA'!$Y:$Y,'CT capacity tracker'!Z$1,'PV SUPPLY DATA'!$G:$G,"&lt;&gt;FOB")+SUMIFS('ESS SUPPLY DATA'!$U:$U,'ESS SUPPLY DATA'!$AF:$AF,'CT capacity tracker'!$B64,'ESS SUPPLY DATA'!$AE:$AE,'CT capacity tracker'!$A$51,'ESS SUPPLY DATA'!$W:$W,'CT capacity tracker'!Z$1)</f>
        <v>8</v>
      </c>
      <c r="AA64" s="504">
        <f>SUMIFS('PV SUPPLY DATA'!$X:$X,'PV SUPPLY DATA'!$AH:$AH,'CT capacity tracker'!$B64,'PV SUPPLY DATA'!$AG:$AG,$A$51,'PV SUPPLY DATA'!$Y:$Y,'CT capacity tracker'!AA$1,'PV SUPPLY DATA'!$G:$G,"&lt;&gt;FOB")+SUMIFS('ESS SUPPLY DATA'!$U:$U,'ESS SUPPLY DATA'!$AF:$AF,'CT capacity tracker'!$B64,'ESS SUPPLY DATA'!$AE:$AE,'CT capacity tracker'!$A$51,'ESS SUPPLY DATA'!$W:$W,'CT capacity tracker'!AA$1)</f>
        <v>8</v>
      </c>
      <c r="AB64" s="504">
        <f>SUMIFS('PV SUPPLY DATA'!$X:$X,'PV SUPPLY DATA'!$AH:$AH,'CT capacity tracker'!$B64,'PV SUPPLY DATA'!$AG:$AG,$A$51,'PV SUPPLY DATA'!$Y:$Y,'CT capacity tracker'!AB$1,'PV SUPPLY DATA'!$G:$G,"&lt;&gt;FOB")+SUMIFS('ESS SUPPLY DATA'!$U:$U,'ESS SUPPLY DATA'!$AF:$AF,'CT capacity tracker'!$B64,'ESS SUPPLY DATA'!$AE:$AE,'CT capacity tracker'!$A$51,'ESS SUPPLY DATA'!$W:$W,'CT capacity tracker'!AB$1)</f>
        <v>0</v>
      </c>
      <c r="AC64" s="505" t="s">
        <v>197</v>
      </c>
      <c r="AD64" s="505" t="s">
        <v>197</v>
      </c>
      <c r="AE64" s="696">
        <f>SUM(E64:X64)</f>
        <v>196</v>
      </c>
      <c r="AF64" s="503" t="s">
        <v>197</v>
      </c>
      <c r="AG64" s="506"/>
      <c r="AH64" s="506">
        <f t="shared" si="2"/>
        <v>21</v>
      </c>
      <c r="AI64" s="506"/>
      <c r="AJ64" s="506"/>
      <c r="AK64" s="506"/>
      <c r="AL64" s="506"/>
    </row>
    <row r="65" spans="1:38" ht="13">
      <c r="A65" s="1398"/>
      <c r="B65" s="1398"/>
      <c r="C65" s="509" t="s">
        <v>2482</v>
      </c>
      <c r="D65" s="509"/>
      <c r="E65" s="510">
        <v>9</v>
      </c>
      <c r="F65" s="510">
        <v>5</v>
      </c>
      <c r="G65" s="510">
        <v>15</v>
      </c>
      <c r="H65" s="510">
        <v>6</v>
      </c>
      <c r="I65" s="510">
        <v>6</v>
      </c>
      <c r="J65" s="510"/>
      <c r="K65" s="510">
        <v>5</v>
      </c>
      <c r="L65" s="510"/>
      <c r="M65" s="510">
        <v>4</v>
      </c>
      <c r="N65" s="510">
        <f>8+11</f>
        <v>19</v>
      </c>
      <c r="O65" s="510">
        <v>8</v>
      </c>
      <c r="P65" s="510">
        <f>8+16</f>
        <v>24</v>
      </c>
      <c r="Q65" s="510">
        <f>8+17+14</f>
        <v>39</v>
      </c>
      <c r="R65" s="510">
        <f>8+1+2</f>
        <v>11</v>
      </c>
      <c r="S65" s="510">
        <f>8+3</f>
        <v>11</v>
      </c>
      <c r="T65" s="510">
        <v>8</v>
      </c>
      <c r="U65" s="510">
        <v>8</v>
      </c>
      <c r="V65" s="510">
        <v>8</v>
      </c>
      <c r="W65" s="510">
        <v>8</v>
      </c>
      <c r="X65" s="510">
        <v>8</v>
      </c>
      <c r="Y65" s="510">
        <v>8</v>
      </c>
      <c r="Z65" s="510">
        <v>8</v>
      </c>
      <c r="AA65" s="510">
        <v>8</v>
      </c>
      <c r="AB65" s="510">
        <v>8</v>
      </c>
      <c r="AC65" s="505" t="s">
        <v>197</v>
      </c>
      <c r="AD65" s="505" t="s">
        <v>197</v>
      </c>
      <c r="AE65" s="696"/>
      <c r="AF65" s="503" t="s">
        <v>197</v>
      </c>
      <c r="AG65" s="506"/>
      <c r="AH65" s="506">
        <f t="shared" si="2"/>
        <v>27</v>
      </c>
      <c r="AI65" s="506"/>
      <c r="AJ65" s="506"/>
      <c r="AK65" s="506"/>
      <c r="AL65" s="506"/>
    </row>
    <row r="66" spans="1:38" ht="13">
      <c r="A66" s="1398"/>
      <c r="B66" s="1398"/>
      <c r="C66" s="520" t="s">
        <v>2483</v>
      </c>
      <c r="D66" s="522"/>
      <c r="E66" s="522">
        <f>E65-E64</f>
        <v>9</v>
      </c>
      <c r="F66" s="522">
        <f t="shared" ref="F66:X66" si="30">F65-F64</f>
        <v>5</v>
      </c>
      <c r="G66" s="522">
        <f t="shared" si="30"/>
        <v>0</v>
      </c>
      <c r="H66" s="522">
        <f t="shared" si="30"/>
        <v>5</v>
      </c>
      <c r="I66" s="522">
        <f t="shared" si="30"/>
        <v>1</v>
      </c>
      <c r="J66" s="522">
        <f t="shared" si="30"/>
        <v>0</v>
      </c>
      <c r="K66" s="522">
        <f t="shared" si="30"/>
        <v>-3</v>
      </c>
      <c r="L66" s="522">
        <f t="shared" si="30"/>
        <v>-8</v>
      </c>
      <c r="M66" s="522">
        <f t="shared" si="30"/>
        <v>-24</v>
      </c>
      <c r="N66" s="522">
        <f t="shared" si="30"/>
        <v>-6</v>
      </c>
      <c r="O66" s="522">
        <f t="shared" si="30"/>
        <v>-11</v>
      </c>
      <c r="P66" s="522">
        <f t="shared" si="30"/>
        <v>7</v>
      </c>
      <c r="Q66" s="522">
        <f t="shared" si="30"/>
        <v>30</v>
      </c>
      <c r="R66" s="522">
        <f t="shared" si="30"/>
        <v>-3</v>
      </c>
      <c r="S66" s="522">
        <f t="shared" si="30"/>
        <v>5</v>
      </c>
      <c r="T66" s="522">
        <f t="shared" si="30"/>
        <v>-24</v>
      </c>
      <c r="U66" s="522">
        <f t="shared" si="30"/>
        <v>6</v>
      </c>
      <c r="V66" s="522">
        <f t="shared" si="30"/>
        <v>3</v>
      </c>
      <c r="W66" s="522">
        <f t="shared" si="30"/>
        <v>8</v>
      </c>
      <c r="X66" s="522">
        <f t="shared" si="30"/>
        <v>6</v>
      </c>
      <c r="Y66" s="522">
        <f>Y65-Y64</f>
        <v>0</v>
      </c>
      <c r="Z66" s="522">
        <f>Z65-Z64</f>
        <v>0</v>
      </c>
      <c r="AA66" s="522">
        <f>AA65-AA64</f>
        <v>0</v>
      </c>
      <c r="AB66" s="522">
        <f>AB65-AB64</f>
        <v>8</v>
      </c>
      <c r="AC66" s="511">
        <f>SUMIF($E66:$X66,"&gt;0")</f>
        <v>85</v>
      </c>
      <c r="AD66" s="511">
        <f>SUMIF($E66:$X66,"&lt;0")</f>
        <v>-79</v>
      </c>
      <c r="AE66" s="696"/>
      <c r="AF66" s="503" t="s">
        <v>197</v>
      </c>
      <c r="AG66" s="506"/>
      <c r="AH66" s="506">
        <f t="shared" si="2"/>
        <v>6</v>
      </c>
      <c r="AI66" s="506"/>
      <c r="AJ66" s="506"/>
      <c r="AK66" s="506"/>
      <c r="AL66" s="506"/>
    </row>
    <row r="67" spans="1:38" ht="13">
      <c r="A67" s="1398"/>
      <c r="B67" s="1399"/>
      <c r="C67" s="503" t="s">
        <v>2484</v>
      </c>
      <c r="D67" s="522"/>
      <c r="E67" s="504">
        <f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04">
        <f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04">
        <f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04">
        <f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04">
        <f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04">
        <f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04">
        <f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04">
        <f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04">
        <f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04">
        <f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04">
        <f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04">
        <f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04">
        <f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04">
        <f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04">
        <f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04">
        <f>SUMIFS('PV SUPPLY DATA'!$X:$X,'PV SUPPLY DATA'!$AH:$AH,'CT capacity tracker'!$B64,'PV SUPPLY DATA'!$AG:$AG,'CT capacity tracker'!$A$51,'PV SUPPLY DATA'!$Y:$Y,T$1,'PV SUPPLY DATA'!$AQ:$AQ,"cosco",'PV SUPPLY DATA'!$G:$G,"&lt;&gt;FOB")+SUMIFS('PV SUPPLY DATA'!$X:$X,'PV SUPPLY DATA'!$AH:$AH,'CT capacity tracker'!$B64,'PV SUPPLY DATA'!$AG:$AG,'CT capacity tracker'!$A$51,'PV SUPPLY DATA'!$Y:$Y,T$1,'PV SUPPLY DATA'!$AQ:$AQ,"other",'PV SUPPLY DATA'!$G:$G,"&lt;&gt;FOB")+SUMIFS('ESS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32</v>
      </c>
      <c r="U67" s="504">
        <f>SUMIFS('PV SUPPLY DATA'!$X:$X,'PV SUPPLY DATA'!$AH:$AH,'CT capacity tracker'!$B64,'PV SUPPLY DATA'!$AG:$AG,'CT capacity tracker'!$A$51,'PV SUPPLY DATA'!$Y:$Y,U$1,'PV SUPPLY DATA'!$AQ:$AQ,"cosco",'PV SUPPLY DATA'!$G:$G,"&lt;&gt;FOB")+SUMIFS('PV SUPPLY DATA'!$X:$X,'PV SUPPLY DATA'!$AH:$AH,'CT capacity tracker'!$B64,'PV SUPPLY DATA'!$AG:$AG,'CT capacity tracker'!$A$51,'PV SUPPLY DATA'!$Y:$Y,U$1,'PV SUPPLY DATA'!$AQ:$AQ,"other",'PV SUPPLY DATA'!$G:$G,"&lt;&gt;FOB")+SUMIFS('ESS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2</v>
      </c>
      <c r="V67" s="504">
        <f>SUMIFS('PV SUPPLY DATA'!$X:$X,'PV SUPPLY DATA'!$AH:$AH,'CT capacity tracker'!$B64,'PV SUPPLY DATA'!$AG:$AG,'CT capacity tracker'!$A$51,'PV SUPPLY DATA'!$Y:$Y,V$1,'PV SUPPLY DATA'!$AQ:$AQ,"cosco",'PV SUPPLY DATA'!$G:$G,"&lt;&gt;FOB")+SUMIFS('PV SUPPLY DATA'!$X:$X,'PV SUPPLY DATA'!$AH:$AH,'CT capacity tracker'!$B64,'PV SUPPLY DATA'!$AG:$AG,'CT capacity tracker'!$A$51,'PV SUPPLY DATA'!$Y:$Y,V$1,'PV SUPPLY DATA'!$AQ:$AQ,"other",'PV SUPPLY DATA'!$G:$G,"&lt;&gt;FOB")+SUMIFS('ESS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5</v>
      </c>
      <c r="W67" s="504">
        <f>SUMIFS('PV SUPPLY DATA'!$X:$X,'PV SUPPLY DATA'!$AH:$AH,'CT capacity tracker'!$B64,'PV SUPPLY DATA'!$AG:$AG,'CT capacity tracker'!$A$51,'PV SUPPLY DATA'!$Y:$Y,W$1,'PV SUPPLY DATA'!$AQ:$AQ,"cosco",'PV SUPPLY DATA'!$G:$G,"&lt;&gt;FOB")+SUMIFS('PV SUPPLY DATA'!$X:$X,'PV SUPPLY DATA'!$AH:$AH,'CT capacity tracker'!$B64,'PV SUPPLY DATA'!$AG:$AG,'CT capacity tracker'!$A$51,'PV SUPPLY DATA'!$Y:$Y,W$1,'PV SUPPLY DATA'!$AQ:$AQ,"other",'PV SUPPLY DATA'!$G:$G,"&lt;&gt;FOB")+SUMIFS('ESS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0</v>
      </c>
      <c r="X67" s="504">
        <f>SUMIFS('PV SUPPLY DATA'!$X:$X,'PV SUPPLY DATA'!$AH:$AH,'CT capacity tracker'!$B64,'PV SUPPLY DATA'!$AG:$AG,'CT capacity tracker'!$A$51,'PV SUPPLY DATA'!$Y:$Y,X$1,'PV SUPPLY DATA'!$AQ:$AQ,"cosco",'PV SUPPLY DATA'!$G:$G,"&lt;&gt;FOB")+SUMIFS('PV SUPPLY DATA'!$X:$X,'PV SUPPLY DATA'!$AH:$AH,'CT capacity tracker'!$B64,'PV SUPPLY DATA'!$AG:$AG,'CT capacity tracker'!$A$51,'PV SUPPLY DATA'!$Y:$Y,X$1,'PV SUPPLY DATA'!$AQ:$AQ,"other",'PV SUPPLY DATA'!$G:$G,"&lt;&gt;FOB")+SUMIFS('ESS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2</v>
      </c>
      <c r="Y67" s="504">
        <f>SUMIFS('PV SUPPLY DATA'!$X:$X,'PV SUPPLY DATA'!$AH:$AH,'CT capacity tracker'!$B64,'PV SUPPLY DATA'!$AG:$AG,'CT capacity tracker'!$A$51,'PV SUPPLY DATA'!$Y:$Y,Y$1,'PV SUPPLY DATA'!$AQ:$AQ,"cosco",'PV SUPPLY DATA'!$G:$G,"&lt;&gt;FOB")+SUMIFS('PV SUPPLY DATA'!$X:$X,'PV SUPPLY DATA'!$AH:$AH,'CT capacity tracker'!$B64,'PV SUPPLY DATA'!$AG:$AG,'CT capacity tracker'!$A$51,'PV SUPPLY DATA'!$Y:$Y,Y$1,'PV SUPPLY DATA'!$AQ:$AQ,"other",'PV SUPPLY DATA'!$G:$G,"&lt;&gt;FOB")+SUMIFS('ESS SUPPLY DATA'!$U:$U,'ESS SUPPLY DATA'!$AF:$AF,'CT capacity tracker'!$B64,'ESS SUPPLY DATA'!$AE:$AE,'CT capacity tracker'!$A$51,'ESS SUPPLY DATA'!$W:$W,'CT capacity tracker'!Y$1,'ESS SUPPLY DATA'!$AO:$AO,"cosco")+SUMIFS('ESS SUPPLY DATA'!$U:$U,'ESS SUPPLY DATA'!$AF:$AF,'CT capacity tracker'!$B64,'ESS SUPPLY DATA'!$AE:$AE,'CT capacity tracker'!$A$51,'ESS SUPPLY DATA'!$W:$W,'CT capacity tracker'!Y$1,'ESS SUPPLY DATA'!$AO:$AO,"other")</f>
        <v>7</v>
      </c>
      <c r="Z67" s="504">
        <f>SUMIFS('PV SUPPLY DATA'!$X:$X,'PV SUPPLY DATA'!$AH:$AH,'CT capacity tracker'!$B64,'PV SUPPLY DATA'!$AG:$AG,'CT capacity tracker'!$A$51,'PV SUPPLY DATA'!$Y:$Y,Z$1,'PV SUPPLY DATA'!$AQ:$AQ,"cosco",'PV SUPPLY DATA'!$G:$G,"&lt;&gt;FOB")+SUMIFS('PV SUPPLY DATA'!$X:$X,'PV SUPPLY DATA'!$AH:$AH,'CT capacity tracker'!$B64,'PV SUPPLY DATA'!$AG:$AG,'CT capacity tracker'!$A$51,'PV SUPPLY DATA'!$Y:$Y,Z$1,'PV SUPPLY DATA'!$AQ:$AQ,"other",'PV SUPPLY DATA'!$G:$G,"&lt;&gt;FOB")+SUMIFS('ESS SUPPLY DATA'!$U:$U,'ESS SUPPLY DATA'!$AF:$AF,'CT capacity tracker'!$B64,'ESS SUPPLY DATA'!$AE:$AE,'CT capacity tracker'!$A$51,'ESS SUPPLY DATA'!$W:$W,'CT capacity tracker'!Z$1,'ESS SUPPLY DATA'!$AO:$AO,"cosco")+SUMIFS('ESS SUPPLY DATA'!$U:$U,'ESS SUPPLY DATA'!$AF:$AF,'CT capacity tracker'!$B64,'ESS SUPPLY DATA'!$AE:$AE,'CT capacity tracker'!$A$51,'ESS SUPPLY DATA'!$W:$W,'CT capacity tracker'!Z$1,'ESS SUPPLY DATA'!$AO:$AO,"other")</f>
        <v>8</v>
      </c>
      <c r="AA67" s="504">
        <f>SUMIFS('PV SUPPLY DATA'!$X:$X,'PV SUPPLY DATA'!$AH:$AH,'CT capacity tracker'!$B64,'PV SUPPLY DATA'!$AG:$AG,'CT capacity tracker'!$A$51,'PV SUPPLY DATA'!$Y:$Y,AA$1,'PV SUPPLY DATA'!$AQ:$AQ,"cosco",'PV SUPPLY DATA'!$G:$G,"&lt;&gt;FOB")+SUMIFS('PV SUPPLY DATA'!$X:$X,'PV SUPPLY DATA'!$AH:$AH,'CT capacity tracker'!$B64,'PV SUPPLY DATA'!$AG:$AG,'CT capacity tracker'!$A$51,'PV SUPPLY DATA'!$Y:$Y,AA$1,'PV SUPPLY DATA'!$AQ:$AQ,"other",'PV SUPPLY DATA'!$G:$G,"&lt;&gt;FOB")+SUMIFS('ESS SUPPLY DATA'!$U:$U,'ESS SUPPLY DATA'!$AF:$AF,'CT capacity tracker'!$B64,'ESS SUPPLY DATA'!$AE:$AE,'CT capacity tracker'!$A$51,'ESS SUPPLY DATA'!$W:$W,'CT capacity tracker'!AA$1,'ESS SUPPLY DATA'!$AO:$AO,"cosco")+SUMIFS('ESS SUPPLY DATA'!$U:$U,'ESS SUPPLY DATA'!$AF:$AF,'CT capacity tracker'!$B64,'ESS SUPPLY DATA'!$AE:$AE,'CT capacity tracker'!$A$51,'ESS SUPPLY DATA'!$W:$W,'CT capacity tracker'!AA$1,'ESS SUPPLY DATA'!$AO:$AO,"other")</f>
        <v>0</v>
      </c>
      <c r="AB67" s="504">
        <f>SUMIFS('PV SUPPLY DATA'!$X:$X,'PV SUPPLY DATA'!$AH:$AH,'CT capacity tracker'!$B64,'PV SUPPLY DATA'!$AG:$AG,'CT capacity tracker'!$A$51,'PV SUPPLY DATA'!$Y:$Y,AB$1,'PV SUPPLY DATA'!$AQ:$AQ,"cosco",'PV SUPPLY DATA'!$G:$G,"&lt;&gt;FOB")+SUMIFS('PV SUPPLY DATA'!$X:$X,'PV SUPPLY DATA'!$AH:$AH,'CT capacity tracker'!$B64,'PV SUPPLY DATA'!$AG:$AG,'CT capacity tracker'!$A$51,'PV SUPPLY DATA'!$Y:$Y,AB$1,'PV SUPPLY DATA'!$AQ:$AQ,"other",'PV SUPPLY DATA'!$G:$G,"&lt;&gt;FOB")+SUMIFS('ESS SUPPLY DATA'!$U:$U,'ESS SUPPLY DATA'!$AF:$AF,'CT capacity tracker'!$B64,'ESS SUPPLY DATA'!$AE:$AE,'CT capacity tracker'!$A$51,'ESS SUPPLY DATA'!$W:$W,'CT capacity tracker'!AB$1,'ESS SUPPLY DATA'!$AO:$AO,"cosco")+SUMIFS('ESS SUPPLY DATA'!$U:$U,'ESS SUPPLY DATA'!$AF:$AF,'CT capacity tracker'!$B64,'ESS SUPPLY DATA'!$AE:$AE,'CT capacity tracker'!$A$51,'ESS SUPPLY DATA'!$W:$W,'CT capacity tracker'!AB$1,'ESS SUPPLY DATA'!$AO:$AO,"other")</f>
        <v>0</v>
      </c>
      <c r="AC67" s="511"/>
      <c r="AD67" s="511"/>
      <c r="AE67" s="696">
        <f>SUM(E67:X67)</f>
        <v>196</v>
      </c>
      <c r="AF67" s="503"/>
      <c r="AG67" s="506"/>
      <c r="AH67" s="506"/>
      <c r="AI67" s="506"/>
      <c r="AJ67" s="506"/>
      <c r="AK67" s="506"/>
      <c r="AL67" s="506"/>
    </row>
    <row r="68" spans="1:38" ht="13">
      <c r="A68" s="1398"/>
      <c r="B68" s="1397" t="s">
        <v>356</v>
      </c>
      <c r="C68" s="503" t="s">
        <v>2481</v>
      </c>
      <c r="D68" s="504">
        <f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2</v>
      </c>
      <c r="E68" s="504">
        <f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04">
        <f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04">
        <f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04">
        <f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04">
        <f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04">
        <f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24">
        <f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04">
        <f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04">
        <f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04">
        <f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04">
        <f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04">
        <f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04">
        <f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04">
        <f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04">
        <f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04">
        <f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04">
        <f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04">
        <f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04">
        <f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04">
        <f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04">
        <f>SUMIFS('PV SUPPLY DATA'!$X:$X,'PV SUPPLY DATA'!$AH:$AH,'CT capacity tracker'!$B68,'PV SUPPLY DATA'!$AG:$AG,$A$51,'PV SUPPLY DATA'!$Y:$Y,'CT capacity tracker'!Y$1)+SUMIFS('ESS SUPPLY DATA'!$U:$U,'ESS SUPPLY DATA'!$AF:$AF,'CT capacity tracker'!$B68,'ESS SUPPLY DATA'!$AE:$AE,'CT capacity tracker'!$A$51,'ESS SUPPLY DATA'!$W:$W,'CT capacity tracker'!Y$1)</f>
        <v>0</v>
      </c>
      <c r="Z68" s="504">
        <f>SUMIFS('PV SUPPLY DATA'!$X:$X,'PV SUPPLY DATA'!$AH:$AH,'CT capacity tracker'!$B68,'PV SUPPLY DATA'!$AG:$AG,$A$51,'PV SUPPLY DATA'!$Y:$Y,'CT capacity tracker'!Z$1)+SUMIFS('ESS SUPPLY DATA'!$U:$U,'ESS SUPPLY DATA'!$AF:$AF,'CT capacity tracker'!$B68,'ESS SUPPLY DATA'!$AE:$AE,'CT capacity tracker'!$A$51,'ESS SUPPLY DATA'!$W:$W,'CT capacity tracker'!Z$1)</f>
        <v>0</v>
      </c>
      <c r="AA68" s="504">
        <f>SUMIFS('PV SUPPLY DATA'!$X:$X,'PV SUPPLY DATA'!$AH:$AH,'CT capacity tracker'!$B68,'PV SUPPLY DATA'!$AG:$AG,$A$51,'PV SUPPLY DATA'!$Y:$Y,'CT capacity tracker'!AA$1)+SUMIFS('ESS SUPPLY DATA'!$U:$U,'ESS SUPPLY DATA'!$AF:$AF,'CT capacity tracker'!$B68,'ESS SUPPLY DATA'!$AE:$AE,'CT capacity tracker'!$A$51,'ESS SUPPLY DATA'!$W:$W,'CT capacity tracker'!AA$1)</f>
        <v>0</v>
      </c>
      <c r="AB68" s="504">
        <f>SUMIFS('PV SUPPLY DATA'!$X:$X,'PV SUPPLY DATA'!$AH:$AH,'CT capacity tracker'!$B68,'PV SUPPLY DATA'!$AG:$AG,$A$51,'PV SUPPLY DATA'!$Y:$Y,'CT capacity tracker'!AB$1)+SUMIFS('ESS SUPPLY DATA'!$U:$U,'ESS SUPPLY DATA'!$AF:$AF,'CT capacity tracker'!$B68,'ESS SUPPLY DATA'!$AE:$AE,'CT capacity tracker'!$A$51,'ESS SUPPLY DATA'!$W:$W,'CT capacity tracker'!AB$1)</f>
        <v>0</v>
      </c>
      <c r="AC68" s="505" t="s">
        <v>197</v>
      </c>
      <c r="AD68" s="505" t="s">
        <v>197</v>
      </c>
      <c r="AE68" s="696">
        <f>SUM(E68:X68)</f>
        <v>1</v>
      </c>
      <c r="AF68" s="503" t="s">
        <v>197</v>
      </c>
      <c r="AG68" s="506"/>
      <c r="AH68" s="506">
        <f t="shared" si="2"/>
        <v>1</v>
      </c>
      <c r="AI68" s="506"/>
      <c r="AJ68" s="506"/>
      <c r="AK68" s="506"/>
      <c r="AL68" s="506"/>
    </row>
    <row r="69" spans="1:38" ht="13">
      <c r="A69" s="1398"/>
      <c r="B69" s="1398"/>
      <c r="C69" s="509" t="s">
        <v>2482</v>
      </c>
      <c r="D69" s="509"/>
      <c r="E69" s="510"/>
      <c r="F69" s="510"/>
      <c r="G69" s="510"/>
      <c r="H69" s="510"/>
      <c r="I69" s="510"/>
      <c r="J69" s="510">
        <v>1</v>
      </c>
      <c r="K69" s="510"/>
      <c r="L69" s="510"/>
      <c r="M69" s="510">
        <v>0</v>
      </c>
      <c r="N69" s="510">
        <v>0</v>
      </c>
      <c r="O69" s="510">
        <v>0</v>
      </c>
      <c r="P69" s="510">
        <v>0</v>
      </c>
      <c r="Q69" s="510"/>
      <c r="R69" s="510"/>
      <c r="S69" s="510"/>
      <c r="T69" s="510"/>
      <c r="U69" s="510"/>
      <c r="V69" s="510"/>
      <c r="W69" s="510"/>
      <c r="X69" s="510"/>
      <c r="Y69" s="510"/>
      <c r="Z69" s="510"/>
      <c r="AA69" s="510"/>
      <c r="AB69" s="510"/>
      <c r="AC69" s="505" t="s">
        <v>197</v>
      </c>
      <c r="AD69" s="505" t="s">
        <v>197</v>
      </c>
      <c r="AE69" s="696"/>
      <c r="AF69" s="503" t="s">
        <v>197</v>
      </c>
      <c r="AG69" s="506"/>
      <c r="AH69" s="506">
        <f t="shared" si="2"/>
        <v>1</v>
      </c>
      <c r="AI69" s="506"/>
      <c r="AJ69" s="506"/>
      <c r="AK69" s="506"/>
      <c r="AL69" s="506"/>
    </row>
    <row r="70" spans="1:38" ht="13">
      <c r="A70" s="1398"/>
      <c r="B70" s="1398"/>
      <c r="C70" s="520" t="s">
        <v>2483</v>
      </c>
      <c r="D70" s="522"/>
      <c r="E70" s="522">
        <f>E69-E68</f>
        <v>0</v>
      </c>
      <c r="F70" s="522">
        <f t="shared" ref="F70:X70" si="31">F69-F68</f>
        <v>0</v>
      </c>
      <c r="G70" s="522">
        <f t="shared" si="31"/>
        <v>0</v>
      </c>
      <c r="H70" s="522">
        <f t="shared" si="31"/>
        <v>0</v>
      </c>
      <c r="I70" s="522">
        <f t="shared" si="31"/>
        <v>0</v>
      </c>
      <c r="J70" s="522">
        <f t="shared" si="31"/>
        <v>0</v>
      </c>
      <c r="K70" s="522">
        <f t="shared" si="31"/>
        <v>0</v>
      </c>
      <c r="L70" s="522">
        <f t="shared" si="31"/>
        <v>0</v>
      </c>
      <c r="M70" s="522">
        <f t="shared" si="31"/>
        <v>0</v>
      </c>
      <c r="N70" s="522">
        <f t="shared" si="31"/>
        <v>0</v>
      </c>
      <c r="O70" s="522">
        <f t="shared" si="31"/>
        <v>0</v>
      </c>
      <c r="P70" s="522">
        <f t="shared" si="31"/>
        <v>0</v>
      </c>
      <c r="Q70" s="522">
        <f t="shared" si="31"/>
        <v>0</v>
      </c>
      <c r="R70" s="522">
        <f t="shared" si="31"/>
        <v>0</v>
      </c>
      <c r="S70" s="522">
        <f t="shared" si="31"/>
        <v>0</v>
      </c>
      <c r="T70" s="522">
        <f t="shared" si="31"/>
        <v>0</v>
      </c>
      <c r="U70" s="522">
        <f t="shared" si="31"/>
        <v>0</v>
      </c>
      <c r="V70" s="522">
        <f t="shared" si="31"/>
        <v>0</v>
      </c>
      <c r="W70" s="522">
        <f t="shared" si="31"/>
        <v>0</v>
      </c>
      <c r="X70" s="522">
        <f t="shared" si="31"/>
        <v>0</v>
      </c>
      <c r="Y70" s="522">
        <f>Y69-Y68</f>
        <v>0</v>
      </c>
      <c r="Z70" s="522">
        <f>Z69-Z68</f>
        <v>0</v>
      </c>
      <c r="AA70" s="522">
        <f>AA69-AA68</f>
        <v>0</v>
      </c>
      <c r="AB70" s="522">
        <f>AB69-AB68</f>
        <v>0</v>
      </c>
      <c r="AC70" s="511">
        <f>SUMIF($E70:$X70,"&gt;0")</f>
        <v>0</v>
      </c>
      <c r="AD70" s="511">
        <f>SUMIF($E70:$X70,"&lt;0")</f>
        <v>0</v>
      </c>
      <c r="AE70" s="696"/>
      <c r="AF70" s="503" t="s">
        <v>197</v>
      </c>
      <c r="AG70" s="506"/>
      <c r="AH70" s="506">
        <f t="shared" si="2"/>
        <v>0</v>
      </c>
      <c r="AI70" s="506"/>
      <c r="AJ70" s="506"/>
      <c r="AK70" s="506"/>
      <c r="AL70" s="506"/>
    </row>
    <row r="71" spans="1:38" ht="11.25" customHeight="1">
      <c r="A71" s="1399"/>
      <c r="B71" s="1399"/>
      <c r="C71" s="503" t="s">
        <v>2484</v>
      </c>
      <c r="D71" s="522"/>
      <c r="E71" s="504">
        <f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04">
        <f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04">
        <f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04">
        <f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04">
        <f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04">
        <f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04">
        <f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04">
        <f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04">
        <f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04">
        <f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04">
        <f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04">
        <f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04">
        <f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04">
        <f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04">
        <f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04">
        <f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04">
        <f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04">
        <f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04">
        <f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04">
        <f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04">
        <f>SUMIFS('PV SUPPLY DATA'!$X:$X,'PV SUPPLY DATA'!$AH:$AH,'CT capacity tracker'!$B68,'PV SUPPLY DATA'!$AG:$AG,'CT capacity tracker'!$A$51,'PV SUPPLY DATA'!$Y:$Y,Y$1,'PV SUPPLY DATA'!$AQ:$AQ,"cosco")+SUMIFS('PV SUPPLY DATA'!$X:$X,'PV SUPPLY DATA'!$AH:$AH,'CT capacity tracker'!$B68,'PV SUPPLY DATA'!$AG:$AG,'CT capacity tracker'!$A$51,'PV SUPPLY DATA'!$Y:$Y,Y$1,'PV SUPPLY DATA'!$AQ:$AQ,"other")+SUMIFS('ESS SUPPLY DATA'!$U:$U,'ESS SUPPLY DATA'!$AF:$AF,'CT capacity tracker'!$B68,'ESS SUPPLY DATA'!$AE:$AE,'CT capacity tracker'!$A$51,'ESS SUPPLY DATA'!$W:$W,'CT capacity tracker'!Y$1,'ESS SUPPLY DATA'!$AO:$AO,"cosco")+SUMIFS('ESS SUPPLY DATA'!$U:$U,'ESS SUPPLY DATA'!$AF:$AF,'CT capacity tracker'!$B68,'ESS SUPPLY DATA'!$AE:$AE,'CT capacity tracker'!$A$51,'ESS SUPPLY DATA'!$W:$W,'CT capacity tracker'!Y$1,'ESS SUPPLY DATA'!$AO:$AO,"other")</f>
        <v>0</v>
      </c>
      <c r="Z71" s="504">
        <f>SUMIFS('PV SUPPLY DATA'!$X:$X,'PV SUPPLY DATA'!$AH:$AH,'CT capacity tracker'!$B68,'PV SUPPLY DATA'!$AG:$AG,'CT capacity tracker'!$A$51,'PV SUPPLY DATA'!$Y:$Y,Z$1,'PV SUPPLY DATA'!$AQ:$AQ,"cosco")+SUMIFS('PV SUPPLY DATA'!$X:$X,'PV SUPPLY DATA'!$AH:$AH,'CT capacity tracker'!$B68,'PV SUPPLY DATA'!$AG:$AG,'CT capacity tracker'!$A$51,'PV SUPPLY DATA'!$Y:$Y,Z$1,'PV SUPPLY DATA'!$AQ:$AQ,"other")+SUMIFS('ESS SUPPLY DATA'!$U:$U,'ESS SUPPLY DATA'!$AF:$AF,'CT capacity tracker'!$B68,'ESS SUPPLY DATA'!$AE:$AE,'CT capacity tracker'!$A$51,'ESS SUPPLY DATA'!$W:$W,'CT capacity tracker'!Z$1,'ESS SUPPLY DATA'!$AO:$AO,"cosco")+SUMIFS('ESS SUPPLY DATA'!$U:$U,'ESS SUPPLY DATA'!$AF:$AF,'CT capacity tracker'!$B68,'ESS SUPPLY DATA'!$AE:$AE,'CT capacity tracker'!$A$51,'ESS SUPPLY DATA'!$W:$W,'CT capacity tracker'!Z$1,'ESS SUPPLY DATA'!$AO:$AO,"other")</f>
        <v>0</v>
      </c>
      <c r="AA71" s="504">
        <f>SUMIFS('PV SUPPLY DATA'!$X:$X,'PV SUPPLY DATA'!$AH:$AH,'CT capacity tracker'!$B68,'PV SUPPLY DATA'!$AG:$AG,'CT capacity tracker'!$A$51,'PV SUPPLY DATA'!$Y:$Y,AA$1,'PV SUPPLY DATA'!$AQ:$AQ,"cosco")+SUMIFS('PV SUPPLY DATA'!$X:$X,'PV SUPPLY DATA'!$AH:$AH,'CT capacity tracker'!$B68,'PV SUPPLY DATA'!$AG:$AG,'CT capacity tracker'!$A$51,'PV SUPPLY DATA'!$Y:$Y,AA$1,'PV SUPPLY DATA'!$AQ:$AQ,"other")+SUMIFS('ESS SUPPLY DATA'!$U:$U,'ESS SUPPLY DATA'!$AF:$AF,'CT capacity tracker'!$B68,'ESS SUPPLY DATA'!$AE:$AE,'CT capacity tracker'!$A$51,'ESS SUPPLY DATA'!$W:$W,'CT capacity tracker'!AA$1,'ESS SUPPLY DATA'!$AO:$AO,"cosco")+SUMIFS('ESS SUPPLY DATA'!$U:$U,'ESS SUPPLY DATA'!$AF:$AF,'CT capacity tracker'!$B68,'ESS SUPPLY DATA'!$AE:$AE,'CT capacity tracker'!$A$51,'ESS SUPPLY DATA'!$W:$W,'CT capacity tracker'!AA$1,'ESS SUPPLY DATA'!$AO:$AO,"other")</f>
        <v>0</v>
      </c>
      <c r="AB71" s="504">
        <f>SUMIFS('PV SUPPLY DATA'!$X:$X,'PV SUPPLY DATA'!$AH:$AH,'CT capacity tracker'!$B68,'PV SUPPLY DATA'!$AG:$AG,'CT capacity tracker'!$A$51,'PV SUPPLY DATA'!$Y:$Y,AB$1,'PV SUPPLY DATA'!$AQ:$AQ,"cosco")+SUMIFS('PV SUPPLY DATA'!$X:$X,'PV SUPPLY DATA'!$AH:$AH,'CT capacity tracker'!$B68,'PV SUPPLY DATA'!$AG:$AG,'CT capacity tracker'!$A$51,'PV SUPPLY DATA'!$Y:$Y,AB$1,'PV SUPPLY DATA'!$AQ:$AQ,"other")+SUMIFS('ESS SUPPLY DATA'!$U:$U,'ESS SUPPLY DATA'!$AF:$AF,'CT capacity tracker'!$B68,'ESS SUPPLY DATA'!$AE:$AE,'CT capacity tracker'!$A$51,'ESS SUPPLY DATA'!$W:$W,'CT capacity tracker'!AB$1,'ESS SUPPLY DATA'!$AO:$AO,"cosco")+SUMIFS('ESS SUPPLY DATA'!$U:$U,'ESS SUPPLY DATA'!$AF:$AF,'CT capacity tracker'!$B68,'ESS SUPPLY DATA'!$AE:$AE,'CT capacity tracker'!$A$51,'ESS SUPPLY DATA'!$W:$W,'CT capacity tracker'!AB$1,'ESS SUPPLY DATA'!$AO:$AO,"other")</f>
        <v>0</v>
      </c>
      <c r="AC71" s="511"/>
      <c r="AD71" s="511"/>
      <c r="AE71" s="696">
        <f>SUM(E71:X71)</f>
        <v>1</v>
      </c>
      <c r="AF71" s="503"/>
      <c r="AG71" s="506"/>
      <c r="AH71" s="506"/>
      <c r="AI71" s="506"/>
      <c r="AJ71" s="506"/>
      <c r="AK71" s="506"/>
      <c r="AL71" s="506"/>
    </row>
    <row r="72" spans="1:38" ht="13">
      <c r="A72" s="1391" t="s">
        <v>2488</v>
      </c>
      <c r="B72" s="1392"/>
      <c r="C72" s="514" t="s">
        <v>2481</v>
      </c>
      <c r="D72" s="515">
        <f t="shared" ref="D72:X72" si="32">D52+D56+D60+D64+D68</f>
        <v>268</v>
      </c>
      <c r="E72" s="515">
        <f t="shared" si="32"/>
        <v>0</v>
      </c>
      <c r="F72" s="515">
        <f t="shared" si="32"/>
        <v>4</v>
      </c>
      <c r="G72" s="515">
        <f t="shared" si="32"/>
        <v>21</v>
      </c>
      <c r="H72" s="515">
        <f t="shared" si="32"/>
        <v>2</v>
      </c>
      <c r="I72" s="515">
        <f t="shared" si="32"/>
        <v>6</v>
      </c>
      <c r="J72" s="515">
        <f t="shared" si="32"/>
        <v>3</v>
      </c>
      <c r="K72" s="515">
        <f t="shared" si="32"/>
        <v>8</v>
      </c>
      <c r="L72" s="515">
        <f t="shared" si="32"/>
        <v>10</v>
      </c>
      <c r="M72" s="515">
        <f t="shared" si="32"/>
        <v>28</v>
      </c>
      <c r="N72" s="515">
        <f t="shared" si="32"/>
        <v>25</v>
      </c>
      <c r="O72" s="515">
        <f t="shared" si="32"/>
        <v>22</v>
      </c>
      <c r="P72" s="515">
        <f t="shared" si="32"/>
        <v>17</v>
      </c>
      <c r="Q72" s="515">
        <f t="shared" si="32"/>
        <v>9</v>
      </c>
      <c r="R72" s="515">
        <f t="shared" si="32"/>
        <v>14</v>
      </c>
      <c r="S72" s="515">
        <f t="shared" si="32"/>
        <v>8</v>
      </c>
      <c r="T72" s="515">
        <f t="shared" si="32"/>
        <v>32</v>
      </c>
      <c r="U72" s="515">
        <f t="shared" si="32"/>
        <v>2</v>
      </c>
      <c r="V72" s="515">
        <f t="shared" si="32"/>
        <v>10</v>
      </c>
      <c r="W72" s="515">
        <f t="shared" si="32"/>
        <v>1</v>
      </c>
      <c r="X72" s="515">
        <f t="shared" si="32"/>
        <v>2</v>
      </c>
      <c r="Y72" s="515">
        <f t="shared" ref="Y72:AB75" si="33">Y52+Y56+Y60+Y64+Y68</f>
        <v>12</v>
      </c>
      <c r="Z72" s="515">
        <f t="shared" si="33"/>
        <v>8</v>
      </c>
      <c r="AA72" s="515">
        <f t="shared" si="33"/>
        <v>8</v>
      </c>
      <c r="AB72" s="515">
        <f t="shared" si="33"/>
        <v>4</v>
      </c>
      <c r="AC72" s="505" t="s">
        <v>197</v>
      </c>
      <c r="AD72" s="505" t="s">
        <v>197</v>
      </c>
      <c r="AE72" s="697">
        <f>SUM(E72:X72)</f>
        <v>224</v>
      </c>
      <c r="AF72" s="503" t="s">
        <v>197</v>
      </c>
      <c r="AG72" s="696">
        <f>SUM(T72:X72)</f>
        <v>47</v>
      </c>
      <c r="AH72" s="506">
        <f t="shared" si="2"/>
        <v>32</v>
      </c>
      <c r="AI72" s="506"/>
      <c r="AJ72" s="506"/>
      <c r="AK72" s="506"/>
      <c r="AL72" s="506"/>
    </row>
    <row r="73" spans="1:38" ht="13">
      <c r="A73" s="1393"/>
      <c r="B73" s="1394"/>
      <c r="C73" s="516" t="s">
        <v>2482</v>
      </c>
      <c r="D73" s="515"/>
      <c r="E73" s="515">
        <f t="shared" ref="E73:X73" si="34">E53+E57+E61+E65+E69</f>
        <v>15</v>
      </c>
      <c r="F73" s="515">
        <f t="shared" si="34"/>
        <v>21</v>
      </c>
      <c r="G73" s="515">
        <f t="shared" si="34"/>
        <v>35</v>
      </c>
      <c r="H73" s="515">
        <f t="shared" si="34"/>
        <v>6</v>
      </c>
      <c r="I73" s="515">
        <f t="shared" si="34"/>
        <v>7</v>
      </c>
      <c r="J73" s="515">
        <f t="shared" si="34"/>
        <v>3</v>
      </c>
      <c r="K73" s="515">
        <f t="shared" si="34"/>
        <v>5</v>
      </c>
      <c r="L73" s="515">
        <f t="shared" si="34"/>
        <v>0</v>
      </c>
      <c r="M73" s="515">
        <f t="shared" si="34"/>
        <v>4</v>
      </c>
      <c r="N73" s="515">
        <f t="shared" si="34"/>
        <v>20</v>
      </c>
      <c r="O73" s="515">
        <f t="shared" si="34"/>
        <v>11</v>
      </c>
      <c r="P73" s="515">
        <f t="shared" si="34"/>
        <v>25</v>
      </c>
      <c r="Q73" s="515">
        <f t="shared" si="34"/>
        <v>40</v>
      </c>
      <c r="R73" s="515">
        <f t="shared" si="34"/>
        <v>12</v>
      </c>
      <c r="S73" s="515">
        <f t="shared" si="34"/>
        <v>11</v>
      </c>
      <c r="T73" s="515">
        <f t="shared" si="34"/>
        <v>8</v>
      </c>
      <c r="U73" s="515">
        <f t="shared" si="34"/>
        <v>8</v>
      </c>
      <c r="V73" s="515">
        <f t="shared" si="34"/>
        <v>8</v>
      </c>
      <c r="W73" s="515">
        <f t="shared" si="34"/>
        <v>9</v>
      </c>
      <c r="X73" s="515">
        <f t="shared" si="34"/>
        <v>9</v>
      </c>
      <c r="Y73" s="515">
        <f t="shared" si="33"/>
        <v>9</v>
      </c>
      <c r="Z73" s="515">
        <f t="shared" si="33"/>
        <v>8</v>
      </c>
      <c r="AA73" s="515">
        <f t="shared" si="33"/>
        <v>9</v>
      </c>
      <c r="AB73" s="515">
        <f t="shared" si="33"/>
        <v>9</v>
      </c>
      <c r="AC73" s="505" t="s">
        <v>197</v>
      </c>
      <c r="AD73" s="505" t="s">
        <v>197</v>
      </c>
      <c r="AE73" s="505"/>
      <c r="AF73" s="503" t="s">
        <v>197</v>
      </c>
      <c r="AG73" s="506"/>
      <c r="AH73" s="506">
        <f t="shared" si="2"/>
        <v>51</v>
      </c>
      <c r="AI73" s="506"/>
      <c r="AJ73" s="506"/>
      <c r="AK73" s="506"/>
      <c r="AL73" s="506"/>
    </row>
    <row r="74" spans="1:38" ht="13">
      <c r="A74" s="1393"/>
      <c r="B74" s="1394"/>
      <c r="C74" s="521" t="s">
        <v>2483</v>
      </c>
      <c r="D74" s="523"/>
      <c r="E74" s="523">
        <f t="shared" ref="E74:X74" si="35">E54+E58+E62+E66+E70</f>
        <v>15</v>
      </c>
      <c r="F74" s="523">
        <f t="shared" si="35"/>
        <v>17</v>
      </c>
      <c r="G74" s="523">
        <f t="shared" si="35"/>
        <v>14</v>
      </c>
      <c r="H74" s="523">
        <f t="shared" si="35"/>
        <v>4</v>
      </c>
      <c r="I74" s="523">
        <f t="shared" si="35"/>
        <v>1</v>
      </c>
      <c r="J74" s="523">
        <f t="shared" si="35"/>
        <v>0</v>
      </c>
      <c r="K74" s="523">
        <f t="shared" si="35"/>
        <v>-3</v>
      </c>
      <c r="L74" s="523">
        <f t="shared" si="35"/>
        <v>-10</v>
      </c>
      <c r="M74" s="523">
        <f t="shared" si="35"/>
        <v>-24</v>
      </c>
      <c r="N74" s="523">
        <f t="shared" si="35"/>
        <v>-5</v>
      </c>
      <c r="O74" s="523">
        <f t="shared" si="35"/>
        <v>-11</v>
      </c>
      <c r="P74" s="523">
        <f t="shared" si="35"/>
        <v>8</v>
      </c>
      <c r="Q74" s="523">
        <f t="shared" si="35"/>
        <v>31</v>
      </c>
      <c r="R74" s="523">
        <f t="shared" si="35"/>
        <v>-2</v>
      </c>
      <c r="S74" s="523">
        <f t="shared" si="35"/>
        <v>3</v>
      </c>
      <c r="T74" s="523">
        <f t="shared" si="35"/>
        <v>-24</v>
      </c>
      <c r="U74" s="523">
        <f t="shared" si="35"/>
        <v>6</v>
      </c>
      <c r="V74" s="523">
        <f t="shared" si="35"/>
        <v>-2</v>
      </c>
      <c r="W74" s="523">
        <f t="shared" si="35"/>
        <v>8</v>
      </c>
      <c r="X74" s="523">
        <f t="shared" si="35"/>
        <v>7</v>
      </c>
      <c r="Y74" s="523">
        <f t="shared" si="33"/>
        <v>-3</v>
      </c>
      <c r="Z74" s="523">
        <f t="shared" si="33"/>
        <v>0</v>
      </c>
      <c r="AA74" s="523">
        <f t="shared" si="33"/>
        <v>1</v>
      </c>
      <c r="AB74" s="523">
        <f t="shared" si="33"/>
        <v>5</v>
      </c>
      <c r="AC74" s="511">
        <f>SUMIF($E74:$X74,"&gt;0")</f>
        <v>114</v>
      </c>
      <c r="AD74" s="511">
        <f>SUMIF($E74:$X74,"&lt;0")</f>
        <v>-81</v>
      </c>
      <c r="AE74" s="511"/>
      <c r="AF74" s="503" t="s">
        <v>197</v>
      </c>
      <c r="AG74" s="506"/>
      <c r="AH74" s="517">
        <f t="shared" si="2"/>
        <v>19</v>
      </c>
      <c r="AI74" s="506"/>
      <c r="AJ74" s="506"/>
      <c r="AK74" s="506"/>
      <c r="AL74" s="506"/>
    </row>
    <row r="75" spans="1:38" ht="13">
      <c r="A75" s="1395"/>
      <c r="B75" s="1396"/>
      <c r="C75" s="694" t="s">
        <v>2484</v>
      </c>
      <c r="D75" s="523"/>
      <c r="E75" s="523">
        <f>E55+E59+E63+E67+E71</f>
        <v>0</v>
      </c>
      <c r="F75" s="523">
        <f t="shared" ref="F75:X75" si="36">F55+F59+F63+F67+F71</f>
        <v>4</v>
      </c>
      <c r="G75" s="523">
        <f t="shared" si="36"/>
        <v>21</v>
      </c>
      <c r="H75" s="523">
        <f t="shared" si="36"/>
        <v>2</v>
      </c>
      <c r="I75" s="523">
        <f t="shared" si="36"/>
        <v>6</v>
      </c>
      <c r="J75" s="523">
        <f t="shared" si="36"/>
        <v>3</v>
      </c>
      <c r="K75" s="523">
        <f t="shared" si="36"/>
        <v>8</v>
      </c>
      <c r="L75" s="523">
        <f t="shared" si="36"/>
        <v>10</v>
      </c>
      <c r="M75" s="523">
        <f t="shared" si="36"/>
        <v>28</v>
      </c>
      <c r="N75" s="523">
        <f t="shared" si="36"/>
        <v>25</v>
      </c>
      <c r="O75" s="523">
        <f t="shared" si="36"/>
        <v>22</v>
      </c>
      <c r="P75" s="523">
        <f t="shared" si="36"/>
        <v>17</v>
      </c>
      <c r="Q75" s="523">
        <f t="shared" si="36"/>
        <v>9</v>
      </c>
      <c r="R75" s="523">
        <f t="shared" si="36"/>
        <v>14</v>
      </c>
      <c r="S75" s="523">
        <f t="shared" si="36"/>
        <v>8</v>
      </c>
      <c r="T75" s="523">
        <f t="shared" si="36"/>
        <v>32</v>
      </c>
      <c r="U75" s="523">
        <f t="shared" si="36"/>
        <v>2</v>
      </c>
      <c r="V75" s="523">
        <f t="shared" si="36"/>
        <v>7</v>
      </c>
      <c r="W75" s="523">
        <f t="shared" si="36"/>
        <v>1</v>
      </c>
      <c r="X75" s="523">
        <f t="shared" si="36"/>
        <v>2</v>
      </c>
      <c r="Y75" s="523">
        <f t="shared" si="33"/>
        <v>7</v>
      </c>
      <c r="Z75" s="523">
        <f t="shared" si="33"/>
        <v>8</v>
      </c>
      <c r="AA75" s="523">
        <f t="shared" si="33"/>
        <v>0</v>
      </c>
      <c r="AB75" s="523">
        <f t="shared" si="33"/>
        <v>0</v>
      </c>
      <c r="AC75" s="511"/>
      <c r="AD75" s="511"/>
      <c r="AE75" s="697">
        <f>SUM(E75:X75)</f>
        <v>221</v>
      </c>
      <c r="AF75" s="503"/>
      <c r="AG75" s="696">
        <f>SUM(T75:W75)</f>
        <v>42</v>
      </c>
      <c r="AH75" s="693"/>
      <c r="AI75" s="506"/>
      <c r="AJ75" s="506"/>
      <c r="AK75" s="506"/>
      <c r="AL75" s="506"/>
    </row>
    <row r="76" spans="1:38" ht="13">
      <c r="A76" s="1397" t="s">
        <v>86</v>
      </c>
      <c r="B76" s="1397" t="s">
        <v>78</v>
      </c>
      <c r="C76" s="503" t="s">
        <v>2481</v>
      </c>
      <c r="D76" s="504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114.00178571428572</v>
      </c>
      <c r="E76" s="504">
        <f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04">
        <f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04">
        <f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04">
        <f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04">
        <f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04">
        <f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04">
        <f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04">
        <f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04">
        <f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04">
        <f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04">
        <f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04">
        <f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04">
        <f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04">
        <f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4</v>
      </c>
      <c r="S76" s="504">
        <f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8</v>
      </c>
      <c r="T76" s="504">
        <f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11</v>
      </c>
      <c r="U76" s="504">
        <f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7</v>
      </c>
      <c r="V76" s="504">
        <f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0</v>
      </c>
      <c r="W76" s="504">
        <f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11</v>
      </c>
      <c r="X76" s="504">
        <f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04">
        <f>SUMIFS('PV SUPPLY DATA'!$X:$X,'PV SUPPLY DATA'!$AH:$AH,'CT capacity tracker'!$B76,'PV SUPPLY DATA'!$AG:$AG,$A$51,'PV SUPPLY DATA'!$Y:$Y,'CT capacity tracker'!Y$1)+SUMIFS('ESS SUPPLY DATA'!$U:$U,'ESS SUPPLY DATA'!$AF:$AF,'CT capacity tracker'!$B76,'ESS SUPPLY DATA'!$AE:$AE,'CT capacity tracker'!$A$51,'ESS SUPPLY DATA'!$W:$W,'CT capacity tracker'!Y$1)</f>
        <v>5</v>
      </c>
      <c r="Z76" s="504">
        <f>SUMIFS('PV SUPPLY DATA'!$X:$X,'PV SUPPLY DATA'!$AH:$AH,'CT capacity tracker'!$B76,'PV SUPPLY DATA'!$AG:$AG,$A$51,'PV SUPPLY DATA'!$Y:$Y,'CT capacity tracker'!Z$1)+SUMIFS('ESS SUPPLY DATA'!$U:$U,'ESS SUPPLY DATA'!$AF:$AF,'CT capacity tracker'!$B76,'ESS SUPPLY DATA'!$AE:$AE,'CT capacity tracker'!$A$51,'ESS SUPPLY DATA'!$W:$W,'CT capacity tracker'!Z$1)</f>
        <v>0</v>
      </c>
      <c r="AA76" s="504">
        <f>SUMIFS('PV SUPPLY DATA'!$X:$X,'PV SUPPLY DATA'!$AH:$AH,'CT capacity tracker'!$B76,'PV SUPPLY DATA'!$AG:$AG,$A$51,'PV SUPPLY DATA'!$Y:$Y,'CT capacity tracker'!AA$1)+SUMIFS('ESS SUPPLY DATA'!$U:$U,'ESS SUPPLY DATA'!$AF:$AF,'CT capacity tracker'!$B76,'ESS SUPPLY DATA'!$AE:$AE,'CT capacity tracker'!$A$51,'ESS SUPPLY DATA'!$W:$W,'CT capacity tracker'!AA$1)</f>
        <v>0</v>
      </c>
      <c r="AB76" s="504">
        <f>SUMIFS('PV SUPPLY DATA'!$X:$X,'PV SUPPLY DATA'!$AH:$AH,'CT capacity tracker'!$B76,'PV SUPPLY DATA'!$AG:$AG,$A$51,'PV SUPPLY DATA'!$Y:$Y,'CT capacity tracker'!AB$1)+SUMIFS('ESS SUPPLY DATA'!$U:$U,'ESS SUPPLY DATA'!$AF:$AF,'CT capacity tracker'!$B76,'ESS SUPPLY DATA'!$AE:$AE,'CT capacity tracker'!$A$51,'ESS SUPPLY DATA'!$W:$W,'CT capacity tracker'!AB$1)</f>
        <v>0</v>
      </c>
      <c r="AC76" s="505" t="s">
        <v>197</v>
      </c>
      <c r="AD76" s="505" t="s">
        <v>197</v>
      </c>
      <c r="AE76" s="696">
        <f>SUM(E76:X76)</f>
        <v>87</v>
      </c>
      <c r="AF76" s="503" t="s">
        <v>197</v>
      </c>
      <c r="AG76" s="506"/>
      <c r="AH76" s="506">
        <f t="shared" si="2"/>
        <v>18</v>
      </c>
      <c r="AI76" s="506"/>
      <c r="AJ76" s="506"/>
      <c r="AK76" s="506"/>
      <c r="AL76" s="506"/>
    </row>
    <row r="77" spans="1:38" ht="13">
      <c r="A77" s="1398"/>
      <c r="B77" s="1398"/>
      <c r="C77" s="509" t="s">
        <v>2482</v>
      </c>
      <c r="D77" s="509"/>
      <c r="E77" s="510">
        <v>2</v>
      </c>
      <c r="F77" s="510"/>
      <c r="G77" s="510">
        <v>5</v>
      </c>
      <c r="H77" s="510">
        <v>5</v>
      </c>
      <c r="I77" s="510">
        <v>7</v>
      </c>
      <c r="J77" s="510">
        <v>6</v>
      </c>
      <c r="K77" s="510">
        <v>0</v>
      </c>
      <c r="L77" s="510">
        <v>6</v>
      </c>
      <c r="M77" s="510">
        <v>6</v>
      </c>
      <c r="N77" s="510">
        <v>0</v>
      </c>
      <c r="O77" s="510">
        <v>3</v>
      </c>
      <c r="P77" s="510">
        <v>1</v>
      </c>
      <c r="Q77" s="510">
        <v>6</v>
      </c>
      <c r="R77" s="510">
        <v>6</v>
      </c>
      <c r="S77" s="510">
        <v>6</v>
      </c>
      <c r="T77" s="510">
        <v>6</v>
      </c>
      <c r="U77" s="510">
        <v>6</v>
      </c>
      <c r="V77" s="510">
        <v>2</v>
      </c>
      <c r="W77" s="510">
        <v>7</v>
      </c>
      <c r="X77" s="510">
        <v>7</v>
      </c>
      <c r="Y77" s="510">
        <v>5</v>
      </c>
      <c r="Z77" s="510">
        <v>7</v>
      </c>
      <c r="AA77" s="510">
        <v>7</v>
      </c>
      <c r="AB77" s="510">
        <v>7</v>
      </c>
      <c r="AC77" s="505" t="s">
        <v>197</v>
      </c>
      <c r="AD77" s="505" t="s">
        <v>197</v>
      </c>
      <c r="AE77" s="696"/>
      <c r="AF77" s="503" t="s">
        <v>197</v>
      </c>
      <c r="AG77" s="506"/>
      <c r="AH77" s="506">
        <f t="shared" ref="AH77:AH94" si="37">SUM(G77:J77)</f>
        <v>23</v>
      </c>
      <c r="AI77" s="506"/>
      <c r="AJ77" s="506"/>
      <c r="AK77" s="506"/>
      <c r="AL77" s="506"/>
    </row>
    <row r="78" spans="1:38" ht="13">
      <c r="A78" s="1398"/>
      <c r="B78" s="1398"/>
      <c r="C78" s="520" t="s">
        <v>2483</v>
      </c>
      <c r="D78" s="522"/>
      <c r="E78" s="522">
        <f t="shared" ref="E78:X78" si="38">E77-E76</f>
        <v>2</v>
      </c>
      <c r="F78" s="522">
        <f t="shared" si="38"/>
        <v>0</v>
      </c>
      <c r="G78" s="522">
        <f t="shared" si="38"/>
        <v>5</v>
      </c>
      <c r="H78" s="522">
        <f t="shared" si="38"/>
        <v>0</v>
      </c>
      <c r="I78" s="522">
        <f t="shared" si="38"/>
        <v>0</v>
      </c>
      <c r="J78" s="522">
        <f t="shared" si="38"/>
        <v>0</v>
      </c>
      <c r="K78" s="522">
        <f t="shared" si="38"/>
        <v>0</v>
      </c>
      <c r="L78" s="522">
        <f t="shared" si="38"/>
        <v>0</v>
      </c>
      <c r="M78" s="522">
        <f t="shared" si="38"/>
        <v>0</v>
      </c>
      <c r="N78" s="522">
        <f t="shared" si="38"/>
        <v>-1</v>
      </c>
      <c r="O78" s="522">
        <f t="shared" si="38"/>
        <v>-9</v>
      </c>
      <c r="P78" s="522">
        <f t="shared" si="38"/>
        <v>0</v>
      </c>
      <c r="Q78" s="522">
        <f t="shared" si="38"/>
        <v>4</v>
      </c>
      <c r="R78" s="522">
        <f t="shared" si="38"/>
        <v>2</v>
      </c>
      <c r="S78" s="522">
        <f t="shared" si="38"/>
        <v>-2</v>
      </c>
      <c r="T78" s="522">
        <f t="shared" si="38"/>
        <v>-5</v>
      </c>
      <c r="U78" s="522">
        <f t="shared" si="38"/>
        <v>-1</v>
      </c>
      <c r="V78" s="522">
        <f t="shared" si="38"/>
        <v>2</v>
      </c>
      <c r="W78" s="522">
        <f t="shared" si="38"/>
        <v>-4</v>
      </c>
      <c r="X78" s="522">
        <f t="shared" si="38"/>
        <v>7</v>
      </c>
      <c r="Y78" s="522">
        <f>Y77-Y76</f>
        <v>0</v>
      </c>
      <c r="Z78" s="522">
        <f>Z77-Z76</f>
        <v>7</v>
      </c>
      <c r="AA78" s="522">
        <f>AA77-AA76</f>
        <v>7</v>
      </c>
      <c r="AB78" s="522">
        <f>AB77-AB76</f>
        <v>7</v>
      </c>
      <c r="AC78" s="511">
        <f>SUMIF($E78:$X78,"&gt;0")</f>
        <v>22</v>
      </c>
      <c r="AD78" s="511">
        <f>SUMIF($E78:$X78,"&lt;0")</f>
        <v>-22</v>
      </c>
      <c r="AE78" s="696"/>
      <c r="AF78" s="503"/>
      <c r="AG78" s="506"/>
      <c r="AH78" s="506">
        <f t="shared" si="37"/>
        <v>5</v>
      </c>
      <c r="AI78" s="506"/>
      <c r="AJ78" s="506"/>
      <c r="AK78" s="506"/>
      <c r="AL78" s="506"/>
    </row>
    <row r="79" spans="1:38" ht="13">
      <c r="A79" s="1398"/>
      <c r="B79" s="1399"/>
      <c r="C79" s="503" t="s">
        <v>2484</v>
      </c>
      <c r="D79" s="522"/>
      <c r="E79" s="504">
        <f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04">
        <f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04">
        <f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04">
        <f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04">
        <f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04">
        <f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04">
        <f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04">
        <f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04">
        <f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04">
        <f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04">
        <f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04">
        <f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04">
        <f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04">
        <f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4</v>
      </c>
      <c r="S79" s="504">
        <f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8</v>
      </c>
      <c r="T79" s="504">
        <f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11</v>
      </c>
      <c r="U79" s="504">
        <f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7</v>
      </c>
      <c r="V79" s="504">
        <f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0</v>
      </c>
      <c r="W79" s="504">
        <f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11</v>
      </c>
      <c r="X79" s="504">
        <f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04">
        <f>SUMIFS('PV SUPPLY DATA'!$X:$X,'PV SUPPLY DATA'!$AH:$AH,'CT capacity tracker'!$B76,'PV SUPPLY DATA'!$AG:$AG,'CT capacity tracker'!$A$51,'PV SUPPLY DATA'!$Y:$Y,Y$1,'PV SUPPLY DATA'!$AQ:$AQ,"cosco")+SUMIFS('PV SUPPLY DATA'!$X:$X,'PV SUPPLY DATA'!$AH:$AH,'CT capacity tracker'!$B76,'PV SUPPLY DATA'!$AG:$AG,'CT capacity tracker'!$A$51,'PV SUPPLY DATA'!$Y:$Y,Y$1,'PV SUPPLY DATA'!$AQ:$AQ,"other")+SUMIFS('ESS SUPPLY DATA'!$U:$U,'ESS SUPPLY DATA'!$AF:$AF,'CT capacity tracker'!$B76,'ESS SUPPLY DATA'!$AE:$AE,'CT capacity tracker'!$A$51,'ESS SUPPLY DATA'!$W:$W,'CT capacity tracker'!Y$1,'ESS SUPPLY DATA'!$AO:$AO,"cosco")+SUMIFS('ESS SUPPLY DATA'!$U:$U,'ESS SUPPLY DATA'!$AF:$AF,'CT capacity tracker'!$B76,'ESS SUPPLY DATA'!$AE:$AE,'CT capacity tracker'!$A$51,'ESS SUPPLY DATA'!$W:$W,'CT capacity tracker'!Y$1,'ESS SUPPLY DATA'!$AO:$AO,"other")</f>
        <v>5</v>
      </c>
      <c r="Z79" s="504">
        <f>SUMIFS('PV SUPPLY DATA'!$X:$X,'PV SUPPLY DATA'!$AH:$AH,'CT capacity tracker'!$B76,'PV SUPPLY DATA'!$AG:$AG,'CT capacity tracker'!$A$51,'PV SUPPLY DATA'!$Y:$Y,Z$1,'PV SUPPLY DATA'!$AQ:$AQ,"cosco")+SUMIFS('PV SUPPLY DATA'!$X:$X,'PV SUPPLY DATA'!$AH:$AH,'CT capacity tracker'!$B76,'PV SUPPLY DATA'!$AG:$AG,'CT capacity tracker'!$A$51,'PV SUPPLY DATA'!$Y:$Y,Z$1,'PV SUPPLY DATA'!$AQ:$AQ,"other")+SUMIFS('ESS SUPPLY DATA'!$U:$U,'ESS SUPPLY DATA'!$AF:$AF,'CT capacity tracker'!$B76,'ESS SUPPLY DATA'!$AE:$AE,'CT capacity tracker'!$A$51,'ESS SUPPLY DATA'!$W:$W,'CT capacity tracker'!Z$1,'ESS SUPPLY DATA'!$AO:$AO,"cosco")+SUMIFS('ESS SUPPLY DATA'!$U:$U,'ESS SUPPLY DATA'!$AF:$AF,'CT capacity tracker'!$B76,'ESS SUPPLY DATA'!$AE:$AE,'CT capacity tracker'!$A$51,'ESS SUPPLY DATA'!$W:$W,'CT capacity tracker'!Z$1,'ESS SUPPLY DATA'!$AO:$AO,"other")</f>
        <v>0</v>
      </c>
      <c r="AA79" s="504">
        <f>SUMIFS('PV SUPPLY DATA'!$X:$X,'PV SUPPLY DATA'!$AH:$AH,'CT capacity tracker'!$B76,'PV SUPPLY DATA'!$AG:$AG,'CT capacity tracker'!$A$51,'PV SUPPLY DATA'!$Y:$Y,AA$1,'PV SUPPLY DATA'!$AQ:$AQ,"cosco")+SUMIFS('PV SUPPLY DATA'!$X:$X,'PV SUPPLY DATA'!$AH:$AH,'CT capacity tracker'!$B76,'PV SUPPLY DATA'!$AG:$AG,'CT capacity tracker'!$A$51,'PV SUPPLY DATA'!$Y:$Y,AA$1,'PV SUPPLY DATA'!$AQ:$AQ,"other")+SUMIFS('ESS SUPPLY DATA'!$U:$U,'ESS SUPPLY DATA'!$AF:$AF,'CT capacity tracker'!$B76,'ESS SUPPLY DATA'!$AE:$AE,'CT capacity tracker'!$A$51,'ESS SUPPLY DATA'!$W:$W,'CT capacity tracker'!AA$1,'ESS SUPPLY DATA'!$AO:$AO,"cosco")+SUMIFS('ESS SUPPLY DATA'!$U:$U,'ESS SUPPLY DATA'!$AF:$AF,'CT capacity tracker'!$B76,'ESS SUPPLY DATA'!$AE:$AE,'CT capacity tracker'!$A$51,'ESS SUPPLY DATA'!$W:$W,'CT capacity tracker'!AA$1,'ESS SUPPLY DATA'!$AO:$AO,"other")</f>
        <v>0</v>
      </c>
      <c r="AB79" s="504">
        <f>SUMIFS('PV SUPPLY DATA'!$X:$X,'PV SUPPLY DATA'!$AH:$AH,'CT capacity tracker'!$B76,'PV SUPPLY DATA'!$AG:$AG,'CT capacity tracker'!$A$51,'PV SUPPLY DATA'!$Y:$Y,AB$1,'PV SUPPLY DATA'!$AQ:$AQ,"cosco")+SUMIFS('PV SUPPLY DATA'!$X:$X,'PV SUPPLY DATA'!$AH:$AH,'CT capacity tracker'!$B76,'PV SUPPLY DATA'!$AG:$AG,'CT capacity tracker'!$A$51,'PV SUPPLY DATA'!$Y:$Y,AB$1,'PV SUPPLY DATA'!$AQ:$AQ,"other")+SUMIFS('ESS SUPPLY DATA'!$U:$U,'ESS SUPPLY DATA'!$AF:$AF,'CT capacity tracker'!$B76,'ESS SUPPLY DATA'!$AE:$AE,'CT capacity tracker'!$A$51,'ESS SUPPLY DATA'!$W:$W,'CT capacity tracker'!AB$1,'ESS SUPPLY DATA'!$AO:$AO,"cosco")+SUMIFS('ESS SUPPLY DATA'!$U:$U,'ESS SUPPLY DATA'!$AF:$AF,'CT capacity tracker'!$B76,'ESS SUPPLY DATA'!$AE:$AE,'CT capacity tracker'!$A$51,'ESS SUPPLY DATA'!$W:$W,'CT capacity tracker'!AB$1,'ESS SUPPLY DATA'!$AO:$AO,"other")</f>
        <v>0</v>
      </c>
      <c r="AC79" s="511"/>
      <c r="AD79" s="511"/>
      <c r="AE79" s="696">
        <f>SUM(E79:X79)</f>
        <v>87</v>
      </c>
      <c r="AF79" s="503"/>
      <c r="AG79" s="506"/>
      <c r="AH79" s="506"/>
      <c r="AI79" s="506"/>
      <c r="AJ79" s="506"/>
      <c r="AK79" s="506"/>
      <c r="AL79" s="506"/>
    </row>
    <row r="80" spans="1:38" ht="13">
      <c r="A80" s="1398"/>
      <c r="B80" s="1397" t="s">
        <v>314</v>
      </c>
      <c r="C80" s="503" t="s">
        <v>2481</v>
      </c>
      <c r="D80" s="504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13</v>
      </c>
      <c r="E80" s="504">
        <f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04">
        <f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04">
        <f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04">
        <f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04">
        <f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04">
        <f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04">
        <f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04">
        <f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04">
        <f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04">
        <f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04">
        <f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04">
        <f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04">
        <f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04">
        <f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04">
        <f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04">
        <f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04">
        <f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04">
        <f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04">
        <f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04">
        <f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04">
        <f>SUMIFS('PV SUPPLY DATA'!$X:$X,'PV SUPPLY DATA'!$AH:$AH,'CT capacity tracker'!$B80,'PV SUPPLY DATA'!$AG:$AG,$A$51,'PV SUPPLY DATA'!$Y:$Y,'CT capacity tracker'!Y$1)+SUMIFS('ESS SUPPLY DATA'!$U:$U,'ESS SUPPLY DATA'!$AF:$AF,'CT capacity tracker'!$B80,'ESS SUPPLY DATA'!$AE:$AE,'CT capacity tracker'!$A$51,'ESS SUPPLY DATA'!$W:$W,'CT capacity tracker'!Y$1)</f>
        <v>0</v>
      </c>
      <c r="Z80" s="504">
        <f>SUMIFS('PV SUPPLY DATA'!$X:$X,'PV SUPPLY DATA'!$AH:$AH,'CT capacity tracker'!$B80,'PV SUPPLY DATA'!$AG:$AG,$A$51,'PV SUPPLY DATA'!$Y:$Y,'CT capacity tracker'!Z$1)+SUMIFS('ESS SUPPLY DATA'!$U:$U,'ESS SUPPLY DATA'!$AF:$AF,'CT capacity tracker'!$B80,'ESS SUPPLY DATA'!$AE:$AE,'CT capacity tracker'!$A$51,'ESS SUPPLY DATA'!$W:$W,'CT capacity tracker'!Z$1)</f>
        <v>0</v>
      </c>
      <c r="AA80" s="504">
        <f>SUMIFS('PV SUPPLY DATA'!$X:$X,'PV SUPPLY DATA'!$AH:$AH,'CT capacity tracker'!$B80,'PV SUPPLY DATA'!$AG:$AG,$A$51,'PV SUPPLY DATA'!$Y:$Y,'CT capacity tracker'!AA$1)+SUMIFS('ESS SUPPLY DATA'!$U:$U,'ESS SUPPLY DATA'!$AF:$AF,'CT capacity tracker'!$B80,'ESS SUPPLY DATA'!$AE:$AE,'CT capacity tracker'!$A$51,'ESS SUPPLY DATA'!$W:$W,'CT capacity tracker'!AA$1)</f>
        <v>0</v>
      </c>
      <c r="AB80" s="504">
        <f>SUMIFS('PV SUPPLY DATA'!$X:$X,'PV SUPPLY DATA'!$AH:$AH,'CT capacity tracker'!$B80,'PV SUPPLY DATA'!$AG:$AG,$A$51,'PV SUPPLY DATA'!$Y:$Y,'CT capacity tracker'!AB$1)+SUMIFS('ESS SUPPLY DATA'!$U:$U,'ESS SUPPLY DATA'!$AF:$AF,'CT capacity tracker'!$B80,'ESS SUPPLY DATA'!$AE:$AE,'CT capacity tracker'!$A$51,'ESS SUPPLY DATA'!$W:$W,'CT capacity tracker'!AB$1)</f>
        <v>0</v>
      </c>
      <c r="AC80" s="505" t="s">
        <v>197</v>
      </c>
      <c r="AD80" s="505" t="s">
        <v>197</v>
      </c>
      <c r="AE80" s="696">
        <f>SUM(E80:X80)</f>
        <v>0</v>
      </c>
      <c r="AF80" s="503" t="s">
        <v>197</v>
      </c>
      <c r="AG80" s="506"/>
      <c r="AH80" s="506">
        <f t="shared" si="37"/>
        <v>0</v>
      </c>
      <c r="AI80" s="506"/>
      <c r="AJ80" s="506"/>
      <c r="AK80" s="506"/>
      <c r="AL80" s="506"/>
    </row>
    <row r="81" spans="1:38" ht="13">
      <c r="A81" s="1398"/>
      <c r="B81" s="1398"/>
      <c r="C81" s="509" t="s">
        <v>2482</v>
      </c>
      <c r="D81" s="509"/>
      <c r="E81" s="510">
        <v>4</v>
      </c>
      <c r="F81" s="510"/>
      <c r="G81" s="510"/>
      <c r="H81" s="510"/>
      <c r="I81" s="510"/>
      <c r="J81" s="510"/>
      <c r="K81" s="510"/>
      <c r="L81" s="510"/>
      <c r="M81" s="510"/>
      <c r="N81" s="510"/>
      <c r="O81" s="510"/>
      <c r="P81" s="510"/>
      <c r="Q81" s="510"/>
      <c r="R81" s="510"/>
      <c r="S81" s="510"/>
      <c r="T81" s="510"/>
      <c r="U81" s="510"/>
      <c r="V81" s="510"/>
      <c r="W81" s="510"/>
      <c r="X81" s="510"/>
      <c r="Y81" s="510"/>
      <c r="Z81" s="510"/>
      <c r="AA81" s="510"/>
      <c r="AB81" s="510"/>
      <c r="AC81" s="505" t="s">
        <v>197</v>
      </c>
      <c r="AD81" s="505" t="s">
        <v>197</v>
      </c>
      <c r="AE81" s="696"/>
      <c r="AF81" s="503" t="s">
        <v>197</v>
      </c>
      <c r="AG81" s="506"/>
      <c r="AH81" s="506">
        <f t="shared" si="37"/>
        <v>0</v>
      </c>
      <c r="AI81" s="506"/>
      <c r="AJ81" s="506"/>
      <c r="AK81" s="506"/>
      <c r="AL81" s="506"/>
    </row>
    <row r="82" spans="1:38" ht="13">
      <c r="A82" s="1398"/>
      <c r="B82" s="1398"/>
      <c r="C82" s="520" t="s">
        <v>2483</v>
      </c>
      <c r="D82" s="522"/>
      <c r="E82" s="522">
        <f t="shared" ref="E82:X82" si="39">E81-E80</f>
        <v>4</v>
      </c>
      <c r="F82" s="522">
        <f t="shared" si="39"/>
        <v>0</v>
      </c>
      <c r="G82" s="522">
        <f t="shared" si="39"/>
        <v>0</v>
      </c>
      <c r="H82" s="522">
        <f t="shared" si="39"/>
        <v>0</v>
      </c>
      <c r="I82" s="522">
        <f t="shared" si="39"/>
        <v>0</v>
      </c>
      <c r="J82" s="522">
        <f t="shared" si="39"/>
        <v>0</v>
      </c>
      <c r="K82" s="522">
        <f t="shared" si="39"/>
        <v>0</v>
      </c>
      <c r="L82" s="522">
        <f t="shared" si="39"/>
        <v>0</v>
      </c>
      <c r="M82" s="522">
        <f t="shared" si="39"/>
        <v>0</v>
      </c>
      <c r="N82" s="522">
        <f t="shared" si="39"/>
        <v>0</v>
      </c>
      <c r="O82" s="522">
        <f t="shared" si="39"/>
        <v>0</v>
      </c>
      <c r="P82" s="522">
        <f t="shared" si="39"/>
        <v>0</v>
      </c>
      <c r="Q82" s="522">
        <f t="shared" si="39"/>
        <v>0</v>
      </c>
      <c r="R82" s="522">
        <f t="shared" si="39"/>
        <v>0</v>
      </c>
      <c r="S82" s="522">
        <f t="shared" si="39"/>
        <v>0</v>
      </c>
      <c r="T82" s="522">
        <f t="shared" si="39"/>
        <v>0</v>
      </c>
      <c r="U82" s="522">
        <f t="shared" si="39"/>
        <v>0</v>
      </c>
      <c r="V82" s="522">
        <f t="shared" si="39"/>
        <v>0</v>
      </c>
      <c r="W82" s="522">
        <f t="shared" si="39"/>
        <v>0</v>
      </c>
      <c r="X82" s="522">
        <f t="shared" si="39"/>
        <v>0</v>
      </c>
      <c r="Y82" s="522">
        <f>Y81-Y80</f>
        <v>0</v>
      </c>
      <c r="Z82" s="522">
        <f>Z81-Z80</f>
        <v>0</v>
      </c>
      <c r="AA82" s="522">
        <f>AA81-AA80</f>
        <v>0</v>
      </c>
      <c r="AB82" s="522">
        <f>AB81-AB80</f>
        <v>0</v>
      </c>
      <c r="AC82" s="511">
        <f>SUMIF($E82:$X82,"&gt;0")</f>
        <v>4</v>
      </c>
      <c r="AD82" s="511">
        <f>SUMIF($E82:$X82,"&lt;0")</f>
        <v>0</v>
      </c>
      <c r="AE82" s="696"/>
      <c r="AF82" s="503" t="s">
        <v>197</v>
      </c>
      <c r="AG82" s="506"/>
      <c r="AH82" s="506">
        <f t="shared" si="37"/>
        <v>0</v>
      </c>
      <c r="AI82" s="506"/>
      <c r="AJ82" s="506"/>
      <c r="AK82" s="506"/>
      <c r="AL82" s="506"/>
    </row>
    <row r="83" spans="1:38" ht="13">
      <c r="A83" s="1398"/>
      <c r="B83" s="1399"/>
      <c r="C83" s="503" t="s">
        <v>2484</v>
      </c>
      <c r="D83" s="522"/>
      <c r="E83" s="504">
        <f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04">
        <f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04">
        <f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04">
        <f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04">
        <f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04">
        <f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04">
        <f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04">
        <f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04">
        <f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04">
        <f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04">
        <f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04">
        <f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04">
        <f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04">
        <f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04">
        <f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04">
        <f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04">
        <f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04">
        <f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04">
        <f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04">
        <f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04">
        <f>SUMIFS('PV SUPPLY DATA'!$X:$X,'PV SUPPLY DATA'!$AH:$AH,'CT capacity tracker'!$B80,'PV SUPPLY DATA'!$AG:$AG,'CT capacity tracker'!$A$51,'PV SUPPLY DATA'!$Y:$Y,Y$1,'PV SUPPLY DATA'!$AQ:$AQ,"cosco")+SUMIFS('PV SUPPLY DATA'!$X:$X,'PV SUPPLY DATA'!$AH:$AH,'CT capacity tracker'!$B80,'PV SUPPLY DATA'!$AG:$AG,'CT capacity tracker'!$A$51,'PV SUPPLY DATA'!$Y:$Y,Y$1,'PV SUPPLY DATA'!$AQ:$AQ,"other")+SUMIFS('ESS SUPPLY DATA'!$U:$U,'ESS SUPPLY DATA'!$AF:$AF,'CT capacity tracker'!$B80,'ESS SUPPLY DATA'!$AE:$AE,'CT capacity tracker'!$A$51,'ESS SUPPLY DATA'!$W:$W,'CT capacity tracker'!Y$1,'ESS SUPPLY DATA'!$AO:$AO,"cosco")+SUMIFS('ESS SUPPLY DATA'!$U:$U,'ESS SUPPLY DATA'!$AF:$AF,'CT capacity tracker'!$B80,'ESS SUPPLY DATA'!$AE:$AE,'CT capacity tracker'!$A$51,'ESS SUPPLY DATA'!$W:$W,'CT capacity tracker'!Y$1,'ESS SUPPLY DATA'!$AO:$AO,"other")</f>
        <v>0</v>
      </c>
      <c r="Z83" s="504">
        <f>SUMIFS('PV SUPPLY DATA'!$X:$X,'PV SUPPLY DATA'!$AH:$AH,'CT capacity tracker'!$B80,'PV SUPPLY DATA'!$AG:$AG,'CT capacity tracker'!$A$51,'PV SUPPLY DATA'!$Y:$Y,Z$1,'PV SUPPLY DATA'!$AQ:$AQ,"cosco")+SUMIFS('PV SUPPLY DATA'!$X:$X,'PV SUPPLY DATA'!$AH:$AH,'CT capacity tracker'!$B80,'PV SUPPLY DATA'!$AG:$AG,'CT capacity tracker'!$A$51,'PV SUPPLY DATA'!$Y:$Y,Z$1,'PV SUPPLY DATA'!$AQ:$AQ,"other")+SUMIFS('ESS SUPPLY DATA'!$U:$U,'ESS SUPPLY DATA'!$AF:$AF,'CT capacity tracker'!$B80,'ESS SUPPLY DATA'!$AE:$AE,'CT capacity tracker'!$A$51,'ESS SUPPLY DATA'!$W:$W,'CT capacity tracker'!Z$1,'ESS SUPPLY DATA'!$AO:$AO,"cosco")+SUMIFS('ESS SUPPLY DATA'!$U:$U,'ESS SUPPLY DATA'!$AF:$AF,'CT capacity tracker'!$B80,'ESS SUPPLY DATA'!$AE:$AE,'CT capacity tracker'!$A$51,'ESS SUPPLY DATA'!$W:$W,'CT capacity tracker'!Z$1,'ESS SUPPLY DATA'!$AO:$AO,"other")</f>
        <v>0</v>
      </c>
      <c r="AA83" s="504">
        <f>SUMIFS('PV SUPPLY DATA'!$X:$X,'PV SUPPLY DATA'!$AH:$AH,'CT capacity tracker'!$B80,'PV SUPPLY DATA'!$AG:$AG,'CT capacity tracker'!$A$51,'PV SUPPLY DATA'!$Y:$Y,AA$1,'PV SUPPLY DATA'!$AQ:$AQ,"cosco")+SUMIFS('PV SUPPLY DATA'!$X:$X,'PV SUPPLY DATA'!$AH:$AH,'CT capacity tracker'!$B80,'PV SUPPLY DATA'!$AG:$AG,'CT capacity tracker'!$A$51,'PV SUPPLY DATA'!$Y:$Y,AA$1,'PV SUPPLY DATA'!$AQ:$AQ,"other")+SUMIFS('ESS SUPPLY DATA'!$U:$U,'ESS SUPPLY DATA'!$AF:$AF,'CT capacity tracker'!$B80,'ESS SUPPLY DATA'!$AE:$AE,'CT capacity tracker'!$A$51,'ESS SUPPLY DATA'!$W:$W,'CT capacity tracker'!AA$1,'ESS SUPPLY DATA'!$AO:$AO,"cosco")+SUMIFS('ESS SUPPLY DATA'!$U:$U,'ESS SUPPLY DATA'!$AF:$AF,'CT capacity tracker'!$B80,'ESS SUPPLY DATA'!$AE:$AE,'CT capacity tracker'!$A$51,'ESS SUPPLY DATA'!$W:$W,'CT capacity tracker'!AA$1,'ESS SUPPLY DATA'!$AO:$AO,"other")</f>
        <v>0</v>
      </c>
      <c r="AB83" s="504">
        <f>SUMIFS('PV SUPPLY DATA'!$X:$X,'PV SUPPLY DATA'!$AH:$AH,'CT capacity tracker'!$B80,'PV SUPPLY DATA'!$AG:$AG,'CT capacity tracker'!$A$51,'PV SUPPLY DATA'!$Y:$Y,AB$1,'PV SUPPLY DATA'!$AQ:$AQ,"cosco")+SUMIFS('PV SUPPLY DATA'!$X:$X,'PV SUPPLY DATA'!$AH:$AH,'CT capacity tracker'!$B80,'PV SUPPLY DATA'!$AG:$AG,'CT capacity tracker'!$A$51,'PV SUPPLY DATA'!$Y:$Y,AB$1,'PV SUPPLY DATA'!$AQ:$AQ,"other")+SUMIFS('ESS SUPPLY DATA'!$U:$U,'ESS SUPPLY DATA'!$AF:$AF,'CT capacity tracker'!$B80,'ESS SUPPLY DATA'!$AE:$AE,'CT capacity tracker'!$A$51,'ESS SUPPLY DATA'!$W:$W,'CT capacity tracker'!AB$1,'ESS SUPPLY DATA'!$AO:$AO,"cosco")+SUMIFS('ESS SUPPLY DATA'!$U:$U,'ESS SUPPLY DATA'!$AF:$AF,'CT capacity tracker'!$B80,'ESS SUPPLY DATA'!$AE:$AE,'CT capacity tracker'!$A$51,'ESS SUPPLY DATA'!$W:$W,'CT capacity tracker'!AB$1,'ESS SUPPLY DATA'!$AO:$AO,"other")</f>
        <v>0</v>
      </c>
      <c r="AC83" s="511"/>
      <c r="AD83" s="511"/>
      <c r="AE83" s="696">
        <f>SUM(E83:X83)</f>
        <v>0</v>
      </c>
      <c r="AF83" s="503"/>
      <c r="AG83" s="506"/>
      <c r="AH83" s="506"/>
      <c r="AI83" s="506"/>
      <c r="AJ83" s="506"/>
      <c r="AK83" s="506"/>
      <c r="AL83" s="506"/>
    </row>
    <row r="84" spans="1:38" ht="13">
      <c r="A84" s="1398"/>
      <c r="B84" s="1397" t="s">
        <v>124</v>
      </c>
      <c r="C84" s="503" t="s">
        <v>2481</v>
      </c>
      <c r="D84" s="504">
        <f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23</v>
      </c>
      <c r="E84" s="504">
        <f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04">
        <f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04">
        <f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04">
        <f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04">
        <f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04">
        <f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04">
        <f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04">
        <f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04">
        <f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04">
        <f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04">
        <f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04">
        <f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04">
        <f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04">
        <f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04">
        <f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04">
        <f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04">
        <f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04">
        <f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04">
        <f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04">
        <f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04">
        <f>SUMIFS('PV SUPPLY DATA'!$X:$X,'PV SUPPLY DATA'!$AH:$AH,'CT capacity tracker'!$B84,'PV SUPPLY DATA'!$AG:$AG,$A$51,'PV SUPPLY DATA'!$Y:$Y,'CT capacity tracker'!Y$1)+SUMIFS('ESS SUPPLY DATA'!$U:$U,'ESS SUPPLY DATA'!$AF:$AF,'CT capacity tracker'!$B84,'ESS SUPPLY DATA'!$AE:$AE,'CT capacity tracker'!$A$51,'ESS SUPPLY DATA'!$W:$W,'CT capacity tracker'!Y$1)</f>
        <v>0</v>
      </c>
      <c r="Z84" s="504">
        <f>SUMIFS('PV SUPPLY DATA'!$X:$X,'PV SUPPLY DATA'!$AH:$AH,'CT capacity tracker'!$B84,'PV SUPPLY DATA'!$AG:$AG,$A$51,'PV SUPPLY DATA'!$Y:$Y,'CT capacity tracker'!Z$1)+SUMIFS('ESS SUPPLY DATA'!$U:$U,'ESS SUPPLY DATA'!$AF:$AF,'CT capacity tracker'!$B84,'ESS SUPPLY DATA'!$AE:$AE,'CT capacity tracker'!$A$51,'ESS SUPPLY DATA'!$W:$W,'CT capacity tracker'!Z$1)</f>
        <v>0</v>
      </c>
      <c r="AA84" s="504">
        <f>SUMIFS('PV SUPPLY DATA'!$X:$X,'PV SUPPLY DATA'!$AH:$AH,'CT capacity tracker'!$B84,'PV SUPPLY DATA'!$AG:$AG,$A$51,'PV SUPPLY DATA'!$Y:$Y,'CT capacity tracker'!AA$1)+SUMIFS('ESS SUPPLY DATA'!$U:$U,'ESS SUPPLY DATA'!$AF:$AF,'CT capacity tracker'!$B84,'ESS SUPPLY DATA'!$AE:$AE,'CT capacity tracker'!$A$51,'ESS SUPPLY DATA'!$W:$W,'CT capacity tracker'!AA$1)</f>
        <v>0</v>
      </c>
      <c r="AB84" s="504">
        <f>SUMIFS('PV SUPPLY DATA'!$X:$X,'PV SUPPLY DATA'!$AH:$AH,'CT capacity tracker'!$B84,'PV SUPPLY DATA'!$AG:$AG,$A$51,'PV SUPPLY DATA'!$Y:$Y,'CT capacity tracker'!AB$1)+SUMIFS('ESS SUPPLY DATA'!$U:$U,'ESS SUPPLY DATA'!$AF:$AF,'CT capacity tracker'!$B84,'ESS SUPPLY DATA'!$AE:$AE,'CT capacity tracker'!$A$51,'ESS SUPPLY DATA'!$W:$W,'CT capacity tracker'!AB$1)</f>
        <v>0</v>
      </c>
      <c r="AC84" s="505" t="s">
        <v>197</v>
      </c>
      <c r="AD84" s="505" t="s">
        <v>197</v>
      </c>
      <c r="AE84" s="696">
        <f>SUM(E84:X84)</f>
        <v>2</v>
      </c>
      <c r="AF84" s="503" t="s">
        <v>197</v>
      </c>
      <c r="AG84" s="506"/>
      <c r="AH84" s="506">
        <f t="shared" si="37"/>
        <v>2</v>
      </c>
      <c r="AI84" s="506"/>
      <c r="AJ84" s="506"/>
      <c r="AK84" s="506"/>
      <c r="AL84" s="506"/>
    </row>
    <row r="85" spans="1:38" ht="13">
      <c r="A85" s="1398"/>
      <c r="B85" s="1398"/>
      <c r="C85" s="509" t="s">
        <v>2482</v>
      </c>
      <c r="D85" s="509"/>
      <c r="E85" s="510">
        <v>1</v>
      </c>
      <c r="F85" s="510">
        <v>7</v>
      </c>
      <c r="G85" s="510">
        <v>2</v>
      </c>
      <c r="H85" s="510">
        <v>2</v>
      </c>
      <c r="I85" s="510">
        <v>0</v>
      </c>
      <c r="J85" s="510"/>
      <c r="K85" s="510"/>
      <c r="L85" s="510"/>
      <c r="M85" s="510"/>
      <c r="N85" s="510"/>
      <c r="O85" s="510"/>
      <c r="P85" s="510"/>
      <c r="Q85" s="510"/>
      <c r="R85" s="510"/>
      <c r="S85" s="510"/>
      <c r="T85" s="510"/>
      <c r="U85" s="510"/>
      <c r="V85" s="510"/>
      <c r="W85" s="510"/>
      <c r="X85" s="510"/>
      <c r="Y85" s="510"/>
      <c r="Z85" s="510"/>
      <c r="AA85" s="510"/>
      <c r="AB85" s="510"/>
      <c r="AC85" s="505" t="s">
        <v>197</v>
      </c>
      <c r="AD85" s="505" t="s">
        <v>197</v>
      </c>
      <c r="AE85" s="696"/>
      <c r="AF85" s="503" t="s">
        <v>197</v>
      </c>
      <c r="AG85" s="506"/>
      <c r="AH85" s="506">
        <f t="shared" si="37"/>
        <v>4</v>
      </c>
      <c r="AI85" s="506"/>
      <c r="AJ85" s="506"/>
      <c r="AK85" s="506"/>
      <c r="AL85" s="506"/>
    </row>
    <row r="86" spans="1:38" ht="13">
      <c r="A86" s="1398"/>
      <c r="B86" s="1398"/>
      <c r="C86" s="520" t="s">
        <v>2483</v>
      </c>
      <c r="D86" s="522"/>
      <c r="E86" s="522">
        <f t="shared" ref="E86:X86" si="40">E85-E84</f>
        <v>1</v>
      </c>
      <c r="F86" s="522">
        <f t="shared" si="40"/>
        <v>7</v>
      </c>
      <c r="G86" s="522">
        <f t="shared" si="40"/>
        <v>2</v>
      </c>
      <c r="H86" s="522">
        <f t="shared" si="40"/>
        <v>0</v>
      </c>
      <c r="I86" s="522">
        <f t="shared" si="40"/>
        <v>0</v>
      </c>
      <c r="J86" s="522">
        <f t="shared" si="40"/>
        <v>0</v>
      </c>
      <c r="K86" s="522">
        <f t="shared" si="40"/>
        <v>0</v>
      </c>
      <c r="L86" s="522">
        <f t="shared" si="40"/>
        <v>0</v>
      </c>
      <c r="M86" s="522">
        <f t="shared" si="40"/>
        <v>0</v>
      </c>
      <c r="N86" s="522">
        <f t="shared" si="40"/>
        <v>0</v>
      </c>
      <c r="O86" s="522">
        <f t="shared" si="40"/>
        <v>0</v>
      </c>
      <c r="P86" s="522">
        <f t="shared" si="40"/>
        <v>0</v>
      </c>
      <c r="Q86" s="522">
        <f t="shared" si="40"/>
        <v>0</v>
      </c>
      <c r="R86" s="522">
        <f t="shared" si="40"/>
        <v>0</v>
      </c>
      <c r="S86" s="522">
        <f t="shared" si="40"/>
        <v>0</v>
      </c>
      <c r="T86" s="522">
        <f t="shared" si="40"/>
        <v>0</v>
      </c>
      <c r="U86" s="522">
        <f t="shared" si="40"/>
        <v>0</v>
      </c>
      <c r="V86" s="522">
        <f t="shared" si="40"/>
        <v>0</v>
      </c>
      <c r="W86" s="522">
        <f t="shared" si="40"/>
        <v>0</v>
      </c>
      <c r="X86" s="522">
        <f t="shared" si="40"/>
        <v>0</v>
      </c>
      <c r="Y86" s="522">
        <f>Y85-Y84</f>
        <v>0</v>
      </c>
      <c r="Z86" s="522">
        <f>Z85-Z84</f>
        <v>0</v>
      </c>
      <c r="AA86" s="522">
        <f>AA85-AA84</f>
        <v>0</v>
      </c>
      <c r="AB86" s="522">
        <f>AB85-AB84</f>
        <v>0</v>
      </c>
      <c r="AC86" s="511">
        <f>SUMIF($E86:$X86,"&gt;0")</f>
        <v>10</v>
      </c>
      <c r="AD86" s="511">
        <f>SUMIF($E86:$X86,"&lt;0")</f>
        <v>0</v>
      </c>
      <c r="AE86" s="696"/>
      <c r="AF86" s="503"/>
      <c r="AG86" s="506"/>
      <c r="AH86" s="506">
        <f t="shared" si="37"/>
        <v>2</v>
      </c>
      <c r="AI86" s="506"/>
      <c r="AJ86" s="506"/>
      <c r="AK86" s="506"/>
      <c r="AL86" s="506"/>
    </row>
    <row r="87" spans="1:38" ht="13">
      <c r="A87" s="1398"/>
      <c r="B87" s="1399"/>
      <c r="C87" s="503" t="s">
        <v>2484</v>
      </c>
      <c r="D87" s="522"/>
      <c r="E87" s="504">
        <f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04">
        <f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04">
        <f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04">
        <f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04">
        <f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04">
        <f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04">
        <f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04">
        <f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04">
        <f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04">
        <f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04">
        <f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04">
        <f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04">
        <f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04">
        <f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04">
        <f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04">
        <f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04">
        <f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04">
        <f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04">
        <f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04">
        <f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04">
        <f>SUMIFS('PV SUPPLY DATA'!$X:$X,'PV SUPPLY DATA'!$AH:$AH,'CT capacity tracker'!$B84,'PV SUPPLY DATA'!$AG:$AG,'CT capacity tracker'!$A$51,'PV SUPPLY DATA'!$Y:$Y,Y$1,'PV SUPPLY DATA'!$AQ:$AQ,"cosco")+SUMIFS('PV SUPPLY DATA'!$X:$X,'PV SUPPLY DATA'!$AH:$AH,'CT capacity tracker'!$B84,'PV SUPPLY DATA'!$AG:$AG,'CT capacity tracker'!$A$51,'PV SUPPLY DATA'!$Y:$Y,Y$1,'PV SUPPLY DATA'!$AQ:$AQ,"other")+SUMIFS('ESS SUPPLY DATA'!$U:$U,'ESS SUPPLY DATA'!$AF:$AF,'CT capacity tracker'!$B84,'ESS SUPPLY DATA'!$AE:$AE,'CT capacity tracker'!$A$51,'ESS SUPPLY DATA'!$W:$W,'CT capacity tracker'!Y$1,'ESS SUPPLY DATA'!$AO:$AO,"cosco")+SUMIFS('ESS SUPPLY DATA'!$U:$U,'ESS SUPPLY DATA'!$AF:$AF,'CT capacity tracker'!$B84,'ESS SUPPLY DATA'!$AE:$AE,'CT capacity tracker'!$A$51,'ESS SUPPLY DATA'!$W:$W,'CT capacity tracker'!Y$1,'ESS SUPPLY DATA'!$AO:$AO,"other")</f>
        <v>0</v>
      </c>
      <c r="Z87" s="504">
        <f>SUMIFS('PV SUPPLY DATA'!$X:$X,'PV SUPPLY DATA'!$AH:$AH,'CT capacity tracker'!$B84,'PV SUPPLY DATA'!$AG:$AG,'CT capacity tracker'!$A$51,'PV SUPPLY DATA'!$Y:$Y,Z$1,'PV SUPPLY DATA'!$AQ:$AQ,"cosco")+SUMIFS('PV SUPPLY DATA'!$X:$X,'PV SUPPLY DATA'!$AH:$AH,'CT capacity tracker'!$B84,'PV SUPPLY DATA'!$AG:$AG,'CT capacity tracker'!$A$51,'PV SUPPLY DATA'!$Y:$Y,Z$1,'PV SUPPLY DATA'!$AQ:$AQ,"other")+SUMIFS('ESS SUPPLY DATA'!$U:$U,'ESS SUPPLY DATA'!$AF:$AF,'CT capacity tracker'!$B84,'ESS SUPPLY DATA'!$AE:$AE,'CT capacity tracker'!$A$51,'ESS SUPPLY DATA'!$W:$W,'CT capacity tracker'!Z$1,'ESS SUPPLY DATA'!$AO:$AO,"cosco")+SUMIFS('ESS SUPPLY DATA'!$U:$U,'ESS SUPPLY DATA'!$AF:$AF,'CT capacity tracker'!$B84,'ESS SUPPLY DATA'!$AE:$AE,'CT capacity tracker'!$A$51,'ESS SUPPLY DATA'!$W:$W,'CT capacity tracker'!Z$1,'ESS SUPPLY DATA'!$AO:$AO,"other")</f>
        <v>0</v>
      </c>
      <c r="AA87" s="504">
        <f>SUMIFS('PV SUPPLY DATA'!$X:$X,'PV SUPPLY DATA'!$AH:$AH,'CT capacity tracker'!$B84,'PV SUPPLY DATA'!$AG:$AG,'CT capacity tracker'!$A$51,'PV SUPPLY DATA'!$Y:$Y,AA$1,'PV SUPPLY DATA'!$AQ:$AQ,"cosco")+SUMIFS('PV SUPPLY DATA'!$X:$X,'PV SUPPLY DATA'!$AH:$AH,'CT capacity tracker'!$B84,'PV SUPPLY DATA'!$AG:$AG,'CT capacity tracker'!$A$51,'PV SUPPLY DATA'!$Y:$Y,AA$1,'PV SUPPLY DATA'!$AQ:$AQ,"other")+SUMIFS('ESS SUPPLY DATA'!$U:$U,'ESS SUPPLY DATA'!$AF:$AF,'CT capacity tracker'!$B84,'ESS SUPPLY DATA'!$AE:$AE,'CT capacity tracker'!$A$51,'ESS SUPPLY DATA'!$W:$W,'CT capacity tracker'!AA$1,'ESS SUPPLY DATA'!$AO:$AO,"cosco")+SUMIFS('ESS SUPPLY DATA'!$U:$U,'ESS SUPPLY DATA'!$AF:$AF,'CT capacity tracker'!$B84,'ESS SUPPLY DATA'!$AE:$AE,'CT capacity tracker'!$A$51,'ESS SUPPLY DATA'!$W:$W,'CT capacity tracker'!AA$1,'ESS SUPPLY DATA'!$AO:$AO,"other")</f>
        <v>0</v>
      </c>
      <c r="AB87" s="504">
        <f>SUMIFS('PV SUPPLY DATA'!$X:$X,'PV SUPPLY DATA'!$AH:$AH,'CT capacity tracker'!$B84,'PV SUPPLY DATA'!$AG:$AG,'CT capacity tracker'!$A$51,'PV SUPPLY DATA'!$Y:$Y,AB$1,'PV SUPPLY DATA'!$AQ:$AQ,"cosco")+SUMIFS('PV SUPPLY DATA'!$X:$X,'PV SUPPLY DATA'!$AH:$AH,'CT capacity tracker'!$B84,'PV SUPPLY DATA'!$AG:$AG,'CT capacity tracker'!$A$51,'PV SUPPLY DATA'!$Y:$Y,AB$1,'PV SUPPLY DATA'!$AQ:$AQ,"other")+SUMIFS('ESS SUPPLY DATA'!$U:$U,'ESS SUPPLY DATA'!$AF:$AF,'CT capacity tracker'!$B84,'ESS SUPPLY DATA'!$AE:$AE,'CT capacity tracker'!$A$51,'ESS SUPPLY DATA'!$W:$W,'CT capacity tracker'!AB$1,'ESS SUPPLY DATA'!$AO:$AO,"cosco")+SUMIFS('ESS SUPPLY DATA'!$U:$U,'ESS SUPPLY DATA'!$AF:$AF,'CT capacity tracker'!$B84,'ESS SUPPLY DATA'!$AE:$AE,'CT capacity tracker'!$A$51,'ESS SUPPLY DATA'!$W:$W,'CT capacity tracker'!AB$1,'ESS SUPPLY DATA'!$AO:$AO,"other")</f>
        <v>0</v>
      </c>
      <c r="AC87" s="511"/>
      <c r="AD87" s="511"/>
      <c r="AE87" s="696">
        <f>SUM(E87:X87)</f>
        <v>2</v>
      </c>
      <c r="AF87" s="503"/>
      <c r="AG87" s="506"/>
      <c r="AH87" s="506"/>
      <c r="AI87" s="506"/>
      <c r="AJ87" s="506"/>
      <c r="AK87" s="506"/>
      <c r="AL87" s="506"/>
    </row>
    <row r="88" spans="1:38" ht="13">
      <c r="A88" s="1398"/>
      <c r="B88" s="1397" t="s">
        <v>1561</v>
      </c>
      <c r="C88" s="503" t="s">
        <v>2481</v>
      </c>
      <c r="D88" s="504">
        <f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4</v>
      </c>
      <c r="E88" s="504">
        <f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04">
        <f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04">
        <f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04">
        <f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04">
        <f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04">
        <f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04">
        <f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04">
        <f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04">
        <f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04">
        <f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04">
        <f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04">
        <f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04">
        <f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04">
        <f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04">
        <f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04">
        <f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04">
        <f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04">
        <f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04">
        <f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04">
        <f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04">
        <f>SUMIFS('PV SUPPLY DATA'!$X:$X,'PV SUPPLY DATA'!$AH:$AH,'CT capacity tracker'!$B88,'PV SUPPLY DATA'!$AG:$AG,$A$51,'PV SUPPLY DATA'!$Y:$Y,'CT capacity tracker'!Y$1)+SUMIFS('ESS SUPPLY DATA'!$U:$U,'ESS SUPPLY DATA'!$AF:$AF,'CT capacity tracker'!$B88,'ESS SUPPLY DATA'!$AE:$AE,'CT capacity tracker'!$A$51,'ESS SUPPLY DATA'!$W:$W,'CT capacity tracker'!Y$1)</f>
        <v>0</v>
      </c>
      <c r="Z88" s="504">
        <f>SUMIFS('PV SUPPLY DATA'!$X:$X,'PV SUPPLY DATA'!$AH:$AH,'CT capacity tracker'!$B88,'PV SUPPLY DATA'!$AG:$AG,$A$51,'PV SUPPLY DATA'!$Y:$Y,'CT capacity tracker'!Z$1)+SUMIFS('ESS SUPPLY DATA'!$U:$U,'ESS SUPPLY DATA'!$AF:$AF,'CT capacity tracker'!$B88,'ESS SUPPLY DATA'!$AE:$AE,'CT capacity tracker'!$A$51,'ESS SUPPLY DATA'!$W:$W,'CT capacity tracker'!Z$1)</f>
        <v>0</v>
      </c>
      <c r="AA88" s="504">
        <f>SUMIFS('PV SUPPLY DATA'!$X:$X,'PV SUPPLY DATA'!$AH:$AH,'CT capacity tracker'!$B88,'PV SUPPLY DATA'!$AG:$AG,$A$51,'PV SUPPLY DATA'!$Y:$Y,'CT capacity tracker'!AA$1)+SUMIFS('ESS SUPPLY DATA'!$U:$U,'ESS SUPPLY DATA'!$AF:$AF,'CT capacity tracker'!$B88,'ESS SUPPLY DATA'!$AE:$AE,'CT capacity tracker'!$A$51,'ESS SUPPLY DATA'!$W:$W,'CT capacity tracker'!AA$1)</f>
        <v>0</v>
      </c>
      <c r="AB88" s="504">
        <f>SUMIFS('PV SUPPLY DATA'!$X:$X,'PV SUPPLY DATA'!$AH:$AH,'CT capacity tracker'!$B88,'PV SUPPLY DATA'!$AG:$AG,$A$51,'PV SUPPLY DATA'!$Y:$Y,'CT capacity tracker'!AB$1)+SUMIFS('ESS SUPPLY DATA'!$U:$U,'ESS SUPPLY DATA'!$AF:$AF,'CT capacity tracker'!$B88,'ESS SUPPLY DATA'!$AE:$AE,'CT capacity tracker'!$A$51,'ESS SUPPLY DATA'!$W:$W,'CT capacity tracker'!AB$1)</f>
        <v>0</v>
      </c>
      <c r="AC88" s="505" t="s">
        <v>197</v>
      </c>
      <c r="AD88" s="505" t="s">
        <v>197</v>
      </c>
      <c r="AE88" s="696">
        <f>SUM(E88:X88)</f>
        <v>13</v>
      </c>
      <c r="AF88" s="503" t="s">
        <v>197</v>
      </c>
      <c r="AG88" s="506"/>
      <c r="AH88" s="506">
        <f t="shared" si="37"/>
        <v>0</v>
      </c>
      <c r="AI88" s="506"/>
      <c r="AJ88" s="506"/>
      <c r="AK88" s="506"/>
      <c r="AL88" s="506"/>
    </row>
    <row r="89" spans="1:38" ht="13">
      <c r="A89" s="1398"/>
      <c r="B89" s="1398"/>
      <c r="C89" s="509" t="s">
        <v>2482</v>
      </c>
      <c r="D89" s="509"/>
      <c r="E89" s="510"/>
      <c r="F89" s="510"/>
      <c r="G89" s="510"/>
      <c r="H89" s="510"/>
      <c r="I89" s="510"/>
      <c r="J89" s="510"/>
      <c r="K89" s="510">
        <v>1</v>
      </c>
      <c r="L89" s="510">
        <v>1</v>
      </c>
      <c r="M89" s="510">
        <v>1</v>
      </c>
      <c r="N89" s="510">
        <v>0</v>
      </c>
      <c r="O89" s="510">
        <v>4</v>
      </c>
      <c r="P89" s="510">
        <v>4</v>
      </c>
      <c r="Q89" s="510">
        <v>1</v>
      </c>
      <c r="R89" s="510">
        <v>0</v>
      </c>
      <c r="S89" s="510">
        <v>1</v>
      </c>
      <c r="T89" s="510">
        <v>0</v>
      </c>
      <c r="U89" s="510">
        <v>0</v>
      </c>
      <c r="V89" s="510">
        <v>0</v>
      </c>
      <c r="W89" s="510"/>
      <c r="X89" s="510"/>
      <c r="Y89" s="510"/>
      <c r="Z89" s="510"/>
      <c r="AA89" s="510"/>
      <c r="AB89" s="510"/>
      <c r="AC89" s="505" t="s">
        <v>197</v>
      </c>
      <c r="AD89" s="505" t="s">
        <v>197</v>
      </c>
      <c r="AE89" s="696"/>
      <c r="AF89" s="503" t="s">
        <v>197</v>
      </c>
      <c r="AG89" s="506"/>
      <c r="AH89" s="506">
        <f t="shared" si="37"/>
        <v>0</v>
      </c>
      <c r="AI89" s="506"/>
      <c r="AJ89" s="506"/>
      <c r="AK89" s="506"/>
      <c r="AL89" s="506"/>
    </row>
    <row r="90" spans="1:38" ht="13">
      <c r="A90" s="1398"/>
      <c r="B90" s="1398"/>
      <c r="C90" s="520" t="s">
        <v>2483</v>
      </c>
      <c r="D90" s="522"/>
      <c r="E90" s="522">
        <f>E89-E88</f>
        <v>0</v>
      </c>
      <c r="F90" s="522">
        <f t="shared" ref="F90:X90" si="41">F89-F88</f>
        <v>0</v>
      </c>
      <c r="G90" s="522">
        <f t="shared" si="41"/>
        <v>0</v>
      </c>
      <c r="H90" s="522">
        <f t="shared" si="41"/>
        <v>0</v>
      </c>
      <c r="I90" s="522">
        <f t="shared" si="41"/>
        <v>0</v>
      </c>
      <c r="J90" s="522">
        <f t="shared" si="41"/>
        <v>0</v>
      </c>
      <c r="K90" s="522">
        <f t="shared" si="41"/>
        <v>0</v>
      </c>
      <c r="L90" s="522">
        <f t="shared" si="41"/>
        <v>1</v>
      </c>
      <c r="M90" s="522">
        <f t="shared" si="41"/>
        <v>-1</v>
      </c>
      <c r="N90" s="522">
        <f t="shared" si="41"/>
        <v>-5</v>
      </c>
      <c r="O90" s="522">
        <f t="shared" si="41"/>
        <v>3</v>
      </c>
      <c r="P90" s="522">
        <f t="shared" si="41"/>
        <v>0</v>
      </c>
      <c r="Q90" s="522">
        <f t="shared" si="41"/>
        <v>1</v>
      </c>
      <c r="R90" s="522">
        <f t="shared" si="41"/>
        <v>0</v>
      </c>
      <c r="S90" s="522">
        <f t="shared" si="41"/>
        <v>1</v>
      </c>
      <c r="T90" s="522">
        <f t="shared" si="41"/>
        <v>0</v>
      </c>
      <c r="U90" s="522">
        <f t="shared" si="41"/>
        <v>0</v>
      </c>
      <c r="V90" s="522">
        <f t="shared" si="41"/>
        <v>0</v>
      </c>
      <c r="W90" s="522">
        <f t="shared" si="41"/>
        <v>0</v>
      </c>
      <c r="X90" s="522">
        <f t="shared" si="41"/>
        <v>0</v>
      </c>
      <c r="Y90" s="522">
        <f>Y89-Y88</f>
        <v>0</v>
      </c>
      <c r="Z90" s="522">
        <f>Z89-Z88</f>
        <v>0</v>
      </c>
      <c r="AA90" s="522">
        <f>AA89-AA88</f>
        <v>0</v>
      </c>
      <c r="AB90" s="522">
        <f>AB89-AB88</f>
        <v>0</v>
      </c>
      <c r="AC90" s="511">
        <f>SUMIF($E90:$X90,"&gt;0")</f>
        <v>6</v>
      </c>
      <c r="AD90" s="511">
        <f>SUMIF($E90:$X90,"&lt;0")</f>
        <v>-6</v>
      </c>
      <c r="AE90" s="696"/>
      <c r="AF90" s="503" t="s">
        <v>197</v>
      </c>
      <c r="AG90" s="506"/>
      <c r="AH90" s="506">
        <f t="shared" si="37"/>
        <v>0</v>
      </c>
      <c r="AI90" s="506"/>
      <c r="AJ90" s="506"/>
      <c r="AK90" s="506"/>
      <c r="AL90" s="506"/>
    </row>
    <row r="91" spans="1:38" ht="13">
      <c r="A91" s="1399"/>
      <c r="B91" s="1399"/>
      <c r="C91" s="503" t="s">
        <v>2484</v>
      </c>
      <c r="D91" s="522"/>
      <c r="E91" s="504">
        <f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04">
        <f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04">
        <f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04">
        <f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04">
        <f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04">
        <f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04">
        <f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04">
        <f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04">
        <f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04">
        <f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04">
        <f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04">
        <f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04">
        <f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04">
        <f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04">
        <f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04">
        <f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04">
        <f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04">
        <f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04">
        <f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04">
        <f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04">
        <f>SUMIFS('PV SUPPLY DATA'!$X:$X,'PV SUPPLY DATA'!$AH:$AH,'CT capacity tracker'!$B88,'PV SUPPLY DATA'!$AG:$AG,'CT capacity tracker'!$A$51,'PV SUPPLY DATA'!$Y:$Y,Y$1,'PV SUPPLY DATA'!$AQ:$AQ,"cosco")+SUMIFS('PV SUPPLY DATA'!$X:$X,'PV SUPPLY DATA'!$AH:$AH,'CT capacity tracker'!$B88,'PV SUPPLY DATA'!$AG:$AG,'CT capacity tracker'!$A$51,'PV SUPPLY DATA'!$Y:$Y,Y$1,'PV SUPPLY DATA'!$AQ:$AQ,"other")+SUMIFS('ESS SUPPLY DATA'!$U:$U,'ESS SUPPLY DATA'!$AF:$AF,'CT capacity tracker'!$B88,'ESS SUPPLY DATA'!$AE:$AE,'CT capacity tracker'!$A$51,'ESS SUPPLY DATA'!$W:$W,'CT capacity tracker'!Y$1,'ESS SUPPLY DATA'!$AO:$AO,"cosco")+SUMIFS('ESS SUPPLY DATA'!$U:$U,'ESS SUPPLY DATA'!$AF:$AF,'CT capacity tracker'!$B88,'ESS SUPPLY DATA'!$AE:$AE,'CT capacity tracker'!$A$51,'ESS SUPPLY DATA'!$W:$W,'CT capacity tracker'!Y$1,'ESS SUPPLY DATA'!$AO:$AO,"other")</f>
        <v>0</v>
      </c>
      <c r="Z91" s="504">
        <f>SUMIFS('PV SUPPLY DATA'!$X:$X,'PV SUPPLY DATA'!$AH:$AH,'CT capacity tracker'!$B88,'PV SUPPLY DATA'!$AG:$AG,'CT capacity tracker'!$A$51,'PV SUPPLY DATA'!$Y:$Y,Z$1,'PV SUPPLY DATA'!$AQ:$AQ,"cosco")+SUMIFS('PV SUPPLY DATA'!$X:$X,'PV SUPPLY DATA'!$AH:$AH,'CT capacity tracker'!$B88,'PV SUPPLY DATA'!$AG:$AG,'CT capacity tracker'!$A$51,'PV SUPPLY DATA'!$Y:$Y,Z$1,'PV SUPPLY DATA'!$AQ:$AQ,"other")+SUMIFS('ESS SUPPLY DATA'!$U:$U,'ESS SUPPLY DATA'!$AF:$AF,'CT capacity tracker'!$B88,'ESS SUPPLY DATA'!$AE:$AE,'CT capacity tracker'!$A$51,'ESS SUPPLY DATA'!$W:$W,'CT capacity tracker'!Z$1,'ESS SUPPLY DATA'!$AO:$AO,"cosco")+SUMIFS('ESS SUPPLY DATA'!$U:$U,'ESS SUPPLY DATA'!$AF:$AF,'CT capacity tracker'!$B88,'ESS SUPPLY DATA'!$AE:$AE,'CT capacity tracker'!$A$51,'ESS SUPPLY DATA'!$W:$W,'CT capacity tracker'!Z$1,'ESS SUPPLY DATA'!$AO:$AO,"other")</f>
        <v>0</v>
      </c>
      <c r="AA91" s="504">
        <f>SUMIFS('PV SUPPLY DATA'!$X:$X,'PV SUPPLY DATA'!$AH:$AH,'CT capacity tracker'!$B88,'PV SUPPLY DATA'!$AG:$AG,'CT capacity tracker'!$A$51,'PV SUPPLY DATA'!$Y:$Y,AA$1,'PV SUPPLY DATA'!$AQ:$AQ,"cosco")+SUMIFS('PV SUPPLY DATA'!$X:$X,'PV SUPPLY DATA'!$AH:$AH,'CT capacity tracker'!$B88,'PV SUPPLY DATA'!$AG:$AG,'CT capacity tracker'!$A$51,'PV SUPPLY DATA'!$Y:$Y,AA$1,'PV SUPPLY DATA'!$AQ:$AQ,"other")+SUMIFS('ESS SUPPLY DATA'!$U:$U,'ESS SUPPLY DATA'!$AF:$AF,'CT capacity tracker'!$B88,'ESS SUPPLY DATA'!$AE:$AE,'CT capacity tracker'!$A$51,'ESS SUPPLY DATA'!$W:$W,'CT capacity tracker'!AA$1,'ESS SUPPLY DATA'!$AO:$AO,"cosco")+SUMIFS('ESS SUPPLY DATA'!$U:$U,'ESS SUPPLY DATA'!$AF:$AF,'CT capacity tracker'!$B88,'ESS SUPPLY DATA'!$AE:$AE,'CT capacity tracker'!$A$51,'ESS SUPPLY DATA'!$W:$W,'CT capacity tracker'!AA$1,'ESS SUPPLY DATA'!$AO:$AO,"other")</f>
        <v>0</v>
      </c>
      <c r="AB91" s="504">
        <f>SUMIFS('PV SUPPLY DATA'!$X:$X,'PV SUPPLY DATA'!$AH:$AH,'CT capacity tracker'!$B88,'PV SUPPLY DATA'!$AG:$AG,'CT capacity tracker'!$A$51,'PV SUPPLY DATA'!$Y:$Y,AB$1,'PV SUPPLY DATA'!$AQ:$AQ,"cosco")+SUMIFS('PV SUPPLY DATA'!$X:$X,'PV SUPPLY DATA'!$AH:$AH,'CT capacity tracker'!$B88,'PV SUPPLY DATA'!$AG:$AG,'CT capacity tracker'!$A$51,'PV SUPPLY DATA'!$Y:$Y,AB$1,'PV SUPPLY DATA'!$AQ:$AQ,"other")+SUMIFS('ESS SUPPLY DATA'!$U:$U,'ESS SUPPLY DATA'!$AF:$AF,'CT capacity tracker'!$B88,'ESS SUPPLY DATA'!$AE:$AE,'CT capacity tracker'!$A$51,'ESS SUPPLY DATA'!$W:$W,'CT capacity tracker'!AB$1,'ESS SUPPLY DATA'!$AO:$AO,"cosco")+SUMIFS('ESS SUPPLY DATA'!$U:$U,'ESS SUPPLY DATA'!$AF:$AF,'CT capacity tracker'!$B88,'ESS SUPPLY DATA'!$AE:$AE,'CT capacity tracker'!$A$51,'ESS SUPPLY DATA'!$W:$W,'CT capacity tracker'!AB$1,'ESS SUPPLY DATA'!$AO:$AO,"other")</f>
        <v>0</v>
      </c>
      <c r="AC91" s="511"/>
      <c r="AD91" s="511"/>
      <c r="AE91" s="696">
        <f>SUM(E91:X91)</f>
        <v>13</v>
      </c>
      <c r="AF91" s="503"/>
      <c r="AG91" s="506"/>
      <c r="AH91" s="506"/>
      <c r="AI91" s="506"/>
      <c r="AJ91" s="506"/>
      <c r="AK91" s="506"/>
      <c r="AL91" s="506"/>
    </row>
    <row r="92" spans="1:38" ht="14.25" customHeight="1">
      <c r="A92" s="1391" t="s">
        <v>2489</v>
      </c>
      <c r="B92" s="1392"/>
      <c r="C92" s="514" t="s">
        <v>2481</v>
      </c>
      <c r="D92" s="515">
        <f t="shared" ref="D92:X92" si="42">D76+D80++D84+D88</f>
        <v>154.00178571428572</v>
      </c>
      <c r="E92" s="515">
        <f t="shared" si="42"/>
        <v>0</v>
      </c>
      <c r="F92" s="515">
        <f t="shared" si="42"/>
        <v>0</v>
      </c>
      <c r="G92" s="515">
        <f t="shared" si="42"/>
        <v>0</v>
      </c>
      <c r="H92" s="515">
        <f t="shared" si="42"/>
        <v>7</v>
      </c>
      <c r="I92" s="515">
        <f t="shared" si="42"/>
        <v>7</v>
      </c>
      <c r="J92" s="515">
        <f t="shared" si="42"/>
        <v>6</v>
      </c>
      <c r="K92" s="515">
        <f t="shared" si="42"/>
        <v>1</v>
      </c>
      <c r="L92" s="515">
        <f t="shared" si="42"/>
        <v>6</v>
      </c>
      <c r="M92" s="515">
        <f t="shared" si="42"/>
        <v>8</v>
      </c>
      <c r="N92" s="515">
        <f t="shared" si="42"/>
        <v>6</v>
      </c>
      <c r="O92" s="515">
        <f t="shared" si="42"/>
        <v>13</v>
      </c>
      <c r="P92" s="515">
        <f t="shared" si="42"/>
        <v>5</v>
      </c>
      <c r="Q92" s="515">
        <f t="shared" si="42"/>
        <v>2</v>
      </c>
      <c r="R92" s="515">
        <f t="shared" si="42"/>
        <v>4</v>
      </c>
      <c r="S92" s="515">
        <f t="shared" si="42"/>
        <v>8</v>
      </c>
      <c r="T92" s="515">
        <f t="shared" si="42"/>
        <v>11</v>
      </c>
      <c r="U92" s="515">
        <f t="shared" si="42"/>
        <v>7</v>
      </c>
      <c r="V92" s="515">
        <f t="shared" si="42"/>
        <v>0</v>
      </c>
      <c r="W92" s="515">
        <f t="shared" si="42"/>
        <v>11</v>
      </c>
      <c r="X92" s="515">
        <f t="shared" si="42"/>
        <v>0</v>
      </c>
      <c r="Y92" s="515">
        <f t="shared" ref="Y92:AB95" si="43">Y76+Y80++Y84+Y88</f>
        <v>5</v>
      </c>
      <c r="Z92" s="515">
        <f t="shared" si="43"/>
        <v>0</v>
      </c>
      <c r="AA92" s="515">
        <f t="shared" si="43"/>
        <v>0</v>
      </c>
      <c r="AB92" s="515">
        <f t="shared" si="43"/>
        <v>0</v>
      </c>
      <c r="AC92" s="505" t="s">
        <v>197</v>
      </c>
      <c r="AD92" s="505" t="s">
        <v>197</v>
      </c>
      <c r="AE92" s="697">
        <f>SUM(E92:X92)</f>
        <v>102</v>
      </c>
      <c r="AF92" s="503" t="s">
        <v>197</v>
      </c>
      <c r="AG92" s="696">
        <f>SUM(T92:X92)</f>
        <v>29</v>
      </c>
      <c r="AH92" s="506">
        <f t="shared" si="37"/>
        <v>20</v>
      </c>
      <c r="AI92" s="506"/>
      <c r="AJ92" s="506"/>
      <c r="AK92" s="506"/>
      <c r="AL92" s="506"/>
    </row>
    <row r="93" spans="1:38" ht="13">
      <c r="A93" s="1393"/>
      <c r="B93" s="1394"/>
      <c r="C93" s="516" t="s">
        <v>2482</v>
      </c>
      <c r="D93" s="515"/>
      <c r="E93" s="515">
        <f t="shared" ref="E93:X93" si="44">E77+E81++E85+E89</f>
        <v>7</v>
      </c>
      <c r="F93" s="515">
        <f t="shared" si="44"/>
        <v>7</v>
      </c>
      <c r="G93" s="515">
        <f t="shared" si="44"/>
        <v>7</v>
      </c>
      <c r="H93" s="515">
        <f t="shared" si="44"/>
        <v>7</v>
      </c>
      <c r="I93" s="515">
        <f t="shared" si="44"/>
        <v>7</v>
      </c>
      <c r="J93" s="515">
        <f t="shared" si="44"/>
        <v>6</v>
      </c>
      <c r="K93" s="515">
        <f t="shared" si="44"/>
        <v>1</v>
      </c>
      <c r="L93" s="515">
        <f t="shared" si="44"/>
        <v>7</v>
      </c>
      <c r="M93" s="515">
        <f t="shared" si="44"/>
        <v>7</v>
      </c>
      <c r="N93" s="515">
        <f t="shared" si="44"/>
        <v>0</v>
      </c>
      <c r="O93" s="515">
        <f t="shared" si="44"/>
        <v>7</v>
      </c>
      <c r="P93" s="515">
        <f t="shared" si="44"/>
        <v>5</v>
      </c>
      <c r="Q93" s="515">
        <f t="shared" si="44"/>
        <v>7</v>
      </c>
      <c r="R93" s="515">
        <f t="shared" si="44"/>
        <v>6</v>
      </c>
      <c r="S93" s="515">
        <f t="shared" si="44"/>
        <v>7</v>
      </c>
      <c r="T93" s="515">
        <f t="shared" si="44"/>
        <v>6</v>
      </c>
      <c r="U93" s="515">
        <f t="shared" si="44"/>
        <v>6</v>
      </c>
      <c r="V93" s="515">
        <f t="shared" si="44"/>
        <v>2</v>
      </c>
      <c r="W93" s="515">
        <f>W77+W81++W85+W89</f>
        <v>7</v>
      </c>
      <c r="X93" s="515">
        <f t="shared" si="44"/>
        <v>7</v>
      </c>
      <c r="Y93" s="515">
        <f t="shared" si="43"/>
        <v>5</v>
      </c>
      <c r="Z93" s="515">
        <f t="shared" si="43"/>
        <v>7</v>
      </c>
      <c r="AA93" s="515">
        <f t="shared" si="43"/>
        <v>7</v>
      </c>
      <c r="AB93" s="515">
        <f t="shared" si="43"/>
        <v>7</v>
      </c>
      <c r="AC93" s="505" t="s">
        <v>197</v>
      </c>
      <c r="AD93" s="505" t="s">
        <v>197</v>
      </c>
      <c r="AE93" s="505"/>
      <c r="AF93" s="503" t="s">
        <v>197</v>
      </c>
      <c r="AG93" s="506"/>
      <c r="AH93" s="506">
        <f t="shared" si="37"/>
        <v>27</v>
      </c>
      <c r="AI93" s="506"/>
      <c r="AJ93" s="506"/>
      <c r="AK93" s="506"/>
      <c r="AL93" s="506"/>
    </row>
    <row r="94" spans="1:38" ht="13">
      <c r="A94" s="1393"/>
      <c r="B94" s="1394"/>
      <c r="C94" s="521" t="s">
        <v>2483</v>
      </c>
      <c r="D94" s="523"/>
      <c r="E94" s="523">
        <f t="shared" ref="E94:S94" si="45">E78+E82++E86+E90</f>
        <v>7</v>
      </c>
      <c r="F94" s="523">
        <f t="shared" si="45"/>
        <v>7</v>
      </c>
      <c r="G94" s="523">
        <f t="shared" si="45"/>
        <v>7</v>
      </c>
      <c r="H94" s="523">
        <f t="shared" si="45"/>
        <v>0</v>
      </c>
      <c r="I94" s="523">
        <f t="shared" si="45"/>
        <v>0</v>
      </c>
      <c r="J94" s="523">
        <f t="shared" si="45"/>
        <v>0</v>
      </c>
      <c r="K94" s="523">
        <f t="shared" si="45"/>
        <v>0</v>
      </c>
      <c r="L94" s="523">
        <f t="shared" si="45"/>
        <v>1</v>
      </c>
      <c r="M94" s="523">
        <f t="shared" si="45"/>
        <v>-1</v>
      </c>
      <c r="N94" s="523">
        <f t="shared" si="45"/>
        <v>-6</v>
      </c>
      <c r="O94" s="523">
        <f t="shared" si="45"/>
        <v>-6</v>
      </c>
      <c r="P94" s="523">
        <f t="shared" si="45"/>
        <v>0</v>
      </c>
      <c r="Q94" s="523">
        <f t="shared" si="45"/>
        <v>5</v>
      </c>
      <c r="R94" s="523">
        <f t="shared" si="45"/>
        <v>2</v>
      </c>
      <c r="S94" s="523">
        <f t="shared" si="45"/>
        <v>-1</v>
      </c>
      <c r="T94" s="523">
        <f>T78+T82++T86+T90</f>
        <v>-5</v>
      </c>
      <c r="U94" s="523">
        <f t="shared" ref="U94:X94" si="46">U78+U82++U86+U90</f>
        <v>-1</v>
      </c>
      <c r="V94" s="523">
        <f t="shared" si="46"/>
        <v>2</v>
      </c>
      <c r="W94" s="523">
        <f t="shared" si="46"/>
        <v>-4</v>
      </c>
      <c r="X94" s="523">
        <f t="shared" si="46"/>
        <v>7</v>
      </c>
      <c r="Y94" s="523">
        <f t="shared" si="43"/>
        <v>0</v>
      </c>
      <c r="Z94" s="523">
        <f t="shared" si="43"/>
        <v>7</v>
      </c>
      <c r="AA94" s="523">
        <f t="shared" si="43"/>
        <v>7</v>
      </c>
      <c r="AB94" s="523">
        <f t="shared" si="43"/>
        <v>7</v>
      </c>
      <c r="AC94" s="511">
        <f>SUMIF($E94:$X94,"&gt;0")</f>
        <v>38</v>
      </c>
      <c r="AD94" s="511">
        <f>SUMIF($E94:$X94,"&lt;0")</f>
        <v>-24</v>
      </c>
      <c r="AE94" s="511"/>
      <c r="AF94" s="503" t="s">
        <v>197</v>
      </c>
      <c r="AG94" s="506"/>
      <c r="AH94" s="517">
        <f t="shared" si="37"/>
        <v>7</v>
      </c>
      <c r="AI94" s="506"/>
      <c r="AJ94" s="506"/>
      <c r="AK94" s="506"/>
      <c r="AL94" s="506"/>
    </row>
    <row r="95" spans="1:38" ht="13">
      <c r="A95" s="1395"/>
      <c r="B95" s="1396"/>
      <c r="C95" s="514" t="s">
        <v>2484</v>
      </c>
      <c r="D95" s="523"/>
      <c r="E95" s="523">
        <f>E79+E83++E87+E91</f>
        <v>0</v>
      </c>
      <c r="F95" s="523">
        <f t="shared" ref="F95:X95" si="47">F79+F83++F87+F91</f>
        <v>0</v>
      </c>
      <c r="G95" s="523">
        <f t="shared" si="47"/>
        <v>0</v>
      </c>
      <c r="H95" s="523">
        <f t="shared" si="47"/>
        <v>7</v>
      </c>
      <c r="I95" s="523">
        <f t="shared" si="47"/>
        <v>7</v>
      </c>
      <c r="J95" s="523">
        <f t="shared" si="47"/>
        <v>6</v>
      </c>
      <c r="K95" s="523">
        <f t="shared" si="47"/>
        <v>1</v>
      </c>
      <c r="L95" s="523">
        <f t="shared" si="47"/>
        <v>6</v>
      </c>
      <c r="M95" s="523">
        <f t="shared" si="47"/>
        <v>8</v>
      </c>
      <c r="N95" s="523">
        <f t="shared" si="47"/>
        <v>6</v>
      </c>
      <c r="O95" s="523">
        <f>O79+O83++O87+O91</f>
        <v>13</v>
      </c>
      <c r="P95" s="523">
        <f t="shared" si="47"/>
        <v>5</v>
      </c>
      <c r="Q95" s="523">
        <f t="shared" si="47"/>
        <v>2</v>
      </c>
      <c r="R95" s="523">
        <f t="shared" si="47"/>
        <v>4</v>
      </c>
      <c r="S95" s="523">
        <f t="shared" si="47"/>
        <v>8</v>
      </c>
      <c r="T95" s="523">
        <f t="shared" si="47"/>
        <v>11</v>
      </c>
      <c r="U95" s="523">
        <f t="shared" si="47"/>
        <v>7</v>
      </c>
      <c r="V95" s="523">
        <f t="shared" si="47"/>
        <v>0</v>
      </c>
      <c r="W95" s="523">
        <f t="shared" si="47"/>
        <v>11</v>
      </c>
      <c r="X95" s="523">
        <f t="shared" si="47"/>
        <v>0</v>
      </c>
      <c r="Y95" s="523">
        <f t="shared" si="43"/>
        <v>5</v>
      </c>
      <c r="Z95" s="523">
        <f t="shared" si="43"/>
        <v>0</v>
      </c>
      <c r="AA95" s="523">
        <f t="shared" si="43"/>
        <v>0</v>
      </c>
      <c r="AB95" s="523">
        <f t="shared" si="43"/>
        <v>0</v>
      </c>
      <c r="AC95" s="511"/>
      <c r="AD95" s="511"/>
      <c r="AE95" s="697">
        <f>SUM(E95:X95)</f>
        <v>102</v>
      </c>
      <c r="AF95" s="503"/>
      <c r="AG95" s="696">
        <f>SUM(T95:W95)</f>
        <v>29</v>
      </c>
      <c r="AH95" s="693"/>
      <c r="AI95" s="506"/>
      <c r="AJ95" s="506"/>
      <c r="AK95" s="506"/>
      <c r="AL95" s="506"/>
    </row>
    <row r="96" spans="1:38" ht="13">
      <c r="A96" s="1390" t="s">
        <v>2479</v>
      </c>
      <c r="B96" s="1390"/>
      <c r="C96" s="503" t="s">
        <v>197</v>
      </c>
      <c r="D96" s="503"/>
      <c r="E96" s="503"/>
      <c r="F96" s="503"/>
      <c r="G96" s="503"/>
      <c r="H96" s="503"/>
      <c r="I96" s="503"/>
      <c r="J96" s="503"/>
      <c r="K96" s="503"/>
      <c r="L96" s="503"/>
      <c r="M96" s="503"/>
      <c r="N96" s="503"/>
      <c r="O96" s="503"/>
      <c r="P96" s="503"/>
      <c r="Q96" s="503"/>
      <c r="R96" s="503"/>
      <c r="S96" s="503"/>
      <c r="T96" s="503"/>
      <c r="U96" s="503"/>
      <c r="V96" s="503"/>
      <c r="W96" s="503"/>
      <c r="X96" s="503"/>
      <c r="Y96" s="503"/>
      <c r="Z96" s="503"/>
      <c r="AA96" s="503"/>
      <c r="AB96" s="503"/>
      <c r="AC96" s="503" t="s">
        <v>197</v>
      </c>
      <c r="AD96" s="503" t="s">
        <v>197</v>
      </c>
      <c r="AE96" s="503"/>
      <c r="AF96" s="503" t="s">
        <v>197</v>
      </c>
      <c r="AG96" s="506"/>
      <c r="AH96" s="506"/>
      <c r="AI96" s="506"/>
      <c r="AJ96" s="506"/>
      <c r="AK96" s="506"/>
      <c r="AL96" s="506"/>
    </row>
    <row r="97" spans="1:38" ht="26">
      <c r="A97" s="496" t="s">
        <v>1525</v>
      </c>
      <c r="B97" s="496"/>
      <c r="C97" s="496" t="s">
        <v>197</v>
      </c>
      <c r="D97" s="496" t="s">
        <v>951</v>
      </c>
      <c r="E97" s="496" t="s">
        <v>2452</v>
      </c>
      <c r="F97" s="496" t="s">
        <v>2453</v>
      </c>
      <c r="G97" s="496" t="s">
        <v>2454</v>
      </c>
      <c r="H97" s="496" t="s">
        <v>2455</v>
      </c>
      <c r="I97" s="496" t="s">
        <v>2456</v>
      </c>
      <c r="J97" s="497" t="s">
        <v>2457</v>
      </c>
      <c r="K97" s="496" t="s">
        <v>2458</v>
      </c>
      <c r="L97" s="496" t="s">
        <v>2459</v>
      </c>
      <c r="M97" s="496" t="s">
        <v>2460</v>
      </c>
      <c r="N97" s="496" t="s">
        <v>2461</v>
      </c>
      <c r="O97" s="496" t="s">
        <v>2462</v>
      </c>
      <c r="P97" s="496" t="s">
        <v>2463</v>
      </c>
      <c r="Q97" s="496" t="s">
        <v>2464</v>
      </c>
      <c r="R97" s="496" t="s">
        <v>2465</v>
      </c>
      <c r="S97" s="496" t="s">
        <v>2466</v>
      </c>
      <c r="T97" s="496" t="s">
        <v>2467</v>
      </c>
      <c r="U97" s="496" t="s">
        <v>2468</v>
      </c>
      <c r="V97" s="496" t="s">
        <v>2469</v>
      </c>
      <c r="W97" s="496" t="s">
        <v>2470</v>
      </c>
      <c r="X97" s="496" t="s">
        <v>2471</v>
      </c>
      <c r="Y97" s="496" t="s">
        <v>2472</v>
      </c>
      <c r="Z97" s="496" t="s">
        <v>2473</v>
      </c>
      <c r="AA97" s="496" t="s">
        <v>2474</v>
      </c>
      <c r="AB97" s="496" t="s">
        <v>2475</v>
      </c>
      <c r="AC97" s="498" t="s">
        <v>2476</v>
      </c>
      <c r="AD97" s="499" t="s">
        <v>2477</v>
      </c>
      <c r="AE97" s="500" t="s">
        <v>2478</v>
      </c>
      <c r="AF97" s="500" t="s">
        <v>2479</v>
      </c>
      <c r="AG97" s="501"/>
      <c r="AH97" s="501" t="s">
        <v>2480</v>
      </c>
      <c r="AI97" s="501"/>
      <c r="AJ97" s="501"/>
      <c r="AK97" s="501"/>
      <c r="AL97" s="501"/>
    </row>
    <row r="98" spans="1:38" ht="13">
      <c r="A98" s="1397" t="s">
        <v>109</v>
      </c>
      <c r="B98" s="1397" t="s">
        <v>456</v>
      </c>
      <c r="C98" s="503" t="s">
        <v>2481</v>
      </c>
      <c r="D98" s="504">
        <f>SUMIFS('PV SUPPLY DATA'!$X:$X,'PV SUPPLY DATA'!$AH:$AH,'CT capacity tracker'!$B98,'PV SUPPLY DATA'!$AG:$AG,'CT capacity tracker'!$A$97,'PV SUPPLY DATA'!$Y:$Y,'CT capacity tracker'!D$1)</f>
        <v>0</v>
      </c>
      <c r="E98" s="504">
        <f>SUMIFS('PV SUPPLY DATA'!$X:$X,'PV SUPPLY DATA'!$Y:$Y,'CT capacity tracker'!E$1,'PV SUPPLY DATA'!$AG:$AG,'CT capacity tracker'!$A$97,'PV SUPPLY DATA'!$AH:$AH,'CT capacity tracker'!$B$98)</f>
        <v>0</v>
      </c>
      <c r="F98" s="504">
        <f>SUMIFS('PV SUPPLY DATA'!$X:$X,'PV SUPPLY DATA'!$Y:$Y,'CT capacity tracker'!F$1,'PV SUPPLY DATA'!$AG:$AG,'CT capacity tracker'!$A$97,'PV SUPPLY DATA'!$AH:$AH,'CT capacity tracker'!$B$98)</f>
        <v>0</v>
      </c>
      <c r="G98" s="504">
        <f>SUMIFS('PV SUPPLY DATA'!$X:$X,'PV SUPPLY DATA'!$Y:$Y,'CT capacity tracker'!G$1,'PV SUPPLY DATA'!$AG:$AG,'CT capacity tracker'!$A$97,'PV SUPPLY DATA'!$AH:$AH,'CT capacity tracker'!$B$98)</f>
        <v>0</v>
      </c>
      <c r="H98" s="504">
        <f>SUMIFS('PV SUPPLY DATA'!$X:$X,'PV SUPPLY DATA'!$Y:$Y,'CT capacity tracker'!H$1,'PV SUPPLY DATA'!$AG:$AG,'CT capacity tracker'!$A$97,'PV SUPPLY DATA'!$AH:$AH,'CT capacity tracker'!$B$98)</f>
        <v>0</v>
      </c>
      <c r="I98" s="504">
        <f>SUMIFS('PV SUPPLY DATA'!$X:$X,'PV SUPPLY DATA'!$Y:$Y,'CT capacity tracker'!I$1,'PV SUPPLY DATA'!$AG:$AG,'CT capacity tracker'!$A$97,'PV SUPPLY DATA'!$AH:$AH,'CT capacity tracker'!$B$98)</f>
        <v>0</v>
      </c>
      <c r="J98" s="504">
        <f>SUMIFS('PV SUPPLY DATA'!$X:$X,'PV SUPPLY DATA'!$Y:$Y,'CT capacity tracker'!J$1,'PV SUPPLY DATA'!$AG:$AG,'CT capacity tracker'!$A$97,'PV SUPPLY DATA'!$AH:$AH,'CT capacity tracker'!$B$98)</f>
        <v>0</v>
      </c>
      <c r="K98" s="504">
        <f>SUMIFS('PV SUPPLY DATA'!$X:$X,'PV SUPPLY DATA'!$Y:$Y,'CT capacity tracker'!K$1,'PV SUPPLY DATA'!$AG:$AG,'CT capacity tracker'!$A$97,'PV SUPPLY DATA'!$AH:$AH,'CT capacity tracker'!$B$98)</f>
        <v>0</v>
      </c>
      <c r="L98" s="504">
        <f>SUMIFS('PV SUPPLY DATA'!$X:$X,'PV SUPPLY DATA'!$Y:$Y,'CT capacity tracker'!L$1,'PV SUPPLY DATA'!$AG:$AG,'CT capacity tracker'!$A$97,'PV SUPPLY DATA'!$AH:$AH,'CT capacity tracker'!$B$98)</f>
        <v>0</v>
      </c>
      <c r="M98" s="504">
        <f>SUMIFS('PV SUPPLY DATA'!$X:$X,'PV SUPPLY DATA'!$Y:$Y,'CT capacity tracker'!M$1,'PV SUPPLY DATA'!$AG:$AG,'CT capacity tracker'!$A$97,'PV SUPPLY DATA'!$AH:$AH,'CT capacity tracker'!$B$98)</f>
        <v>0</v>
      </c>
      <c r="N98" s="504">
        <f>SUMIFS('PV SUPPLY DATA'!$X:$X,'PV SUPPLY DATA'!$Y:$Y,'CT capacity tracker'!N$1,'PV SUPPLY DATA'!$AG:$AG,'CT capacity tracker'!$A$97,'PV SUPPLY DATA'!$AH:$AH,'CT capacity tracker'!$B$98)</f>
        <v>0</v>
      </c>
      <c r="O98" s="504">
        <f>SUMIFS('PV SUPPLY DATA'!$X:$X,'PV SUPPLY DATA'!$Y:$Y,'CT capacity tracker'!O$1,'PV SUPPLY DATA'!$AG:$AG,'CT capacity tracker'!$A$97,'PV SUPPLY DATA'!$AH:$AH,'CT capacity tracker'!$B$98)</f>
        <v>2</v>
      </c>
      <c r="P98" s="504">
        <f>SUMIFS('PV SUPPLY DATA'!$X:$X,'PV SUPPLY DATA'!$Y:$Y,'CT capacity tracker'!P$1,'PV SUPPLY DATA'!$AG:$AG,'CT capacity tracker'!$A$97,'PV SUPPLY DATA'!$AH:$AH,'CT capacity tracker'!$B$98)</f>
        <v>1</v>
      </c>
      <c r="Q98" s="504">
        <f>SUMIFS('PV SUPPLY DATA'!$X:$X,'PV SUPPLY DATA'!$Y:$Y,'CT capacity tracker'!Q$1,'PV SUPPLY DATA'!$AG:$AG,'CT capacity tracker'!$A$97,'PV SUPPLY DATA'!$AH:$AH,'CT capacity tracker'!$B$98)</f>
        <v>12</v>
      </c>
      <c r="R98" s="504">
        <f>SUMIFS('PV SUPPLY DATA'!$X:$X,'PV SUPPLY DATA'!$Y:$Y,'CT capacity tracker'!R$1,'PV SUPPLY DATA'!$AG:$AG,'CT capacity tracker'!$A$97,'PV SUPPLY DATA'!$AH:$AH,'CT capacity tracker'!$B$98)</f>
        <v>5</v>
      </c>
      <c r="S98" s="504">
        <f>SUMIFS('PV SUPPLY DATA'!$X:$X,'PV SUPPLY DATA'!$Y:$Y,'CT capacity tracker'!S$1,'PV SUPPLY DATA'!$AG:$AG,'CT capacity tracker'!$A$97,'PV SUPPLY DATA'!$AH:$AH,'CT capacity tracker'!$B$98)</f>
        <v>0</v>
      </c>
      <c r="T98" s="504">
        <f>SUMIFS('PV SUPPLY DATA'!$X:$X,'PV SUPPLY DATA'!$Y:$Y,'CT capacity tracker'!T$1,'PV SUPPLY DATA'!$AG:$AG,'CT capacity tracker'!$A$97,'PV SUPPLY DATA'!$AH:$AH,'CT capacity tracker'!$B$98)</f>
        <v>0</v>
      </c>
      <c r="U98" s="504">
        <f>SUMIFS('PV SUPPLY DATA'!$X:$X,'PV SUPPLY DATA'!$Y:$Y,'CT capacity tracker'!U$1,'PV SUPPLY DATA'!$AG:$AG,'CT capacity tracker'!$A$97,'PV SUPPLY DATA'!$AH:$AH,'CT capacity tracker'!$B$98)</f>
        <v>0</v>
      </c>
      <c r="V98" s="504">
        <f>SUMIFS('PV SUPPLY DATA'!$X:$X,'PV SUPPLY DATA'!$Y:$Y,'CT capacity tracker'!V$1,'PV SUPPLY DATA'!$AG:$AG,'CT capacity tracker'!$A$97,'PV SUPPLY DATA'!$AH:$AH,'CT capacity tracker'!$B$98)</f>
        <v>2</v>
      </c>
      <c r="W98" s="504">
        <f>SUMIFS('PV SUPPLY DATA'!$X:$X,'PV SUPPLY DATA'!$Y:$Y,'CT capacity tracker'!W$1,'PV SUPPLY DATA'!$AG:$AG,'CT capacity tracker'!$A$97,'PV SUPPLY DATA'!$AH:$AH,'CT capacity tracker'!$B$98)</f>
        <v>0</v>
      </c>
      <c r="X98" s="504">
        <f>SUMIFS('PV SUPPLY DATA'!$X:$X,'PV SUPPLY DATA'!$Y:$Y,'CT capacity tracker'!X$1,'PV SUPPLY DATA'!$AG:$AG,'CT capacity tracker'!$A$97,'PV SUPPLY DATA'!$AH:$AH,'CT capacity tracker'!$B$98)</f>
        <v>0</v>
      </c>
      <c r="Y98" s="504">
        <f>SUMIFS('PV SUPPLY DATA'!$X:$X,'PV SUPPLY DATA'!$Y:$Y,'CT capacity tracker'!Y$1,'PV SUPPLY DATA'!$AG:$AG,'CT capacity tracker'!$A$97,'PV SUPPLY DATA'!$AH:$AH,'CT capacity tracker'!$B$98)</f>
        <v>0</v>
      </c>
      <c r="Z98" s="504">
        <f>SUMIFS('PV SUPPLY DATA'!$X:$X,'PV SUPPLY DATA'!$Y:$Y,'CT capacity tracker'!Z$1,'PV SUPPLY DATA'!$AG:$AG,'CT capacity tracker'!$A$97,'PV SUPPLY DATA'!$AH:$AH,'CT capacity tracker'!$B$98)</f>
        <v>2</v>
      </c>
      <c r="AA98" s="504">
        <f>SUMIFS('PV SUPPLY DATA'!$X:$X,'PV SUPPLY DATA'!$Y:$Y,'CT capacity tracker'!AA$1,'PV SUPPLY DATA'!$AG:$AG,'CT capacity tracker'!$A$97,'PV SUPPLY DATA'!$AH:$AH,'CT capacity tracker'!$B$98)</f>
        <v>0</v>
      </c>
      <c r="AB98" s="504">
        <f>SUMIFS('PV SUPPLY DATA'!$X:$X,'PV SUPPLY DATA'!$Y:$Y,'CT capacity tracker'!AB$1,'PV SUPPLY DATA'!$AG:$AG,'CT capacity tracker'!$A$97,'PV SUPPLY DATA'!$AH:$AH,'CT capacity tracker'!$B$98)</f>
        <v>0</v>
      </c>
      <c r="AC98" s="505" t="s">
        <v>197</v>
      </c>
      <c r="AD98" s="505" t="s">
        <v>197</v>
      </c>
      <c r="AE98" s="696">
        <f>SUM(E98:X98)</f>
        <v>22</v>
      </c>
      <c r="AF98" s="503" t="s">
        <v>197</v>
      </c>
      <c r="AG98" s="506"/>
      <c r="AH98" s="506"/>
      <c r="AI98" s="506"/>
      <c r="AJ98" s="506"/>
      <c r="AK98" s="506"/>
      <c r="AL98" s="506"/>
    </row>
    <row r="99" spans="1:38" ht="13">
      <c r="A99" s="1398"/>
      <c r="B99" s="1398"/>
      <c r="C99" s="509" t="s">
        <v>2482</v>
      </c>
      <c r="D99" s="509"/>
      <c r="E99" s="510"/>
      <c r="F99" s="510"/>
      <c r="G99" s="510"/>
      <c r="H99" s="510"/>
      <c r="I99" s="510"/>
      <c r="J99" s="510"/>
      <c r="K99" s="510"/>
      <c r="L99" s="510"/>
      <c r="M99" s="510">
        <v>2</v>
      </c>
      <c r="N99" s="510">
        <v>0</v>
      </c>
      <c r="O99" s="510">
        <v>2</v>
      </c>
      <c r="P99" s="510">
        <v>0</v>
      </c>
      <c r="Q99" s="510">
        <v>1</v>
      </c>
      <c r="R99" s="510">
        <v>2</v>
      </c>
      <c r="S99" s="510">
        <f>2+2</f>
        <v>4</v>
      </c>
      <c r="T99" s="510"/>
      <c r="U99" s="510">
        <v>2</v>
      </c>
      <c r="V99" s="510">
        <v>2</v>
      </c>
      <c r="W99" s="510">
        <v>2</v>
      </c>
      <c r="X99" s="510">
        <v>0</v>
      </c>
      <c r="Y99" s="510">
        <v>2</v>
      </c>
      <c r="Z99" s="510">
        <v>2</v>
      </c>
      <c r="AA99" s="510">
        <v>2</v>
      </c>
      <c r="AB99" s="510">
        <v>2</v>
      </c>
      <c r="AC99" s="505" t="s">
        <v>197</v>
      </c>
      <c r="AD99" s="505" t="s">
        <v>197</v>
      </c>
      <c r="AE99" s="696"/>
      <c r="AF99" s="503" t="s">
        <v>197</v>
      </c>
      <c r="AG99" s="506"/>
      <c r="AH99" s="506"/>
      <c r="AI99" s="506"/>
      <c r="AJ99" s="506" t="s">
        <v>197</v>
      </c>
      <c r="AK99" s="506" t="s">
        <v>197</v>
      </c>
      <c r="AL99" s="506" t="s">
        <v>197</v>
      </c>
    </row>
    <row r="100" spans="1:38" ht="13">
      <c r="A100" s="1398"/>
      <c r="B100" s="1398"/>
      <c r="C100" s="520" t="s">
        <v>2483</v>
      </c>
      <c r="D100" s="522"/>
      <c r="E100" s="522">
        <f>E99-E98</f>
        <v>0</v>
      </c>
      <c r="F100" s="522">
        <f t="shared" ref="F100:X100" si="48">F99-F98</f>
        <v>0</v>
      </c>
      <c r="G100" s="522">
        <f t="shared" si="48"/>
        <v>0</v>
      </c>
      <c r="H100" s="522">
        <f t="shared" si="48"/>
        <v>0</v>
      </c>
      <c r="I100" s="522">
        <f t="shared" si="48"/>
        <v>0</v>
      </c>
      <c r="J100" s="522">
        <f t="shared" si="48"/>
        <v>0</v>
      </c>
      <c r="K100" s="522">
        <f t="shared" si="48"/>
        <v>0</v>
      </c>
      <c r="L100" s="522">
        <f t="shared" si="48"/>
        <v>0</v>
      </c>
      <c r="M100" s="522">
        <f t="shared" si="48"/>
        <v>2</v>
      </c>
      <c r="N100" s="522">
        <f t="shared" si="48"/>
        <v>0</v>
      </c>
      <c r="O100" s="522">
        <f t="shared" si="48"/>
        <v>0</v>
      </c>
      <c r="P100" s="522">
        <f t="shared" si="48"/>
        <v>-1</v>
      </c>
      <c r="Q100" s="522">
        <f t="shared" si="48"/>
        <v>-11</v>
      </c>
      <c r="R100" s="522">
        <f t="shared" si="48"/>
        <v>-3</v>
      </c>
      <c r="S100" s="522">
        <f t="shared" si="48"/>
        <v>4</v>
      </c>
      <c r="T100" s="522">
        <f t="shared" si="48"/>
        <v>0</v>
      </c>
      <c r="U100" s="522">
        <f t="shared" si="48"/>
        <v>2</v>
      </c>
      <c r="V100" s="522">
        <f t="shared" si="48"/>
        <v>0</v>
      </c>
      <c r="W100" s="522">
        <f t="shared" si="48"/>
        <v>2</v>
      </c>
      <c r="X100" s="522">
        <f t="shared" si="48"/>
        <v>0</v>
      </c>
      <c r="Y100" s="522">
        <f>Y99-Y98</f>
        <v>2</v>
      </c>
      <c r="Z100" s="522">
        <f>Z99-Z98</f>
        <v>0</v>
      </c>
      <c r="AA100" s="522">
        <f>AA99-AA98</f>
        <v>2</v>
      </c>
      <c r="AB100" s="522">
        <f>AB99-AB98</f>
        <v>2</v>
      </c>
      <c r="AC100" s="511">
        <f>SUMIF($E100:$X100,"&gt;0")</f>
        <v>10</v>
      </c>
      <c r="AD100" s="511">
        <f>SUMIF($E100:$X100,"&lt;0")</f>
        <v>-15</v>
      </c>
      <c r="AE100" s="696"/>
      <c r="AF100" s="503" t="s">
        <v>2490</v>
      </c>
      <c r="AG100" s="506"/>
      <c r="AH100" s="534">
        <f>SUM(G100:J100)</f>
        <v>0</v>
      </c>
      <c r="AI100" s="506"/>
      <c r="AJ100" s="506" t="s">
        <v>197</v>
      </c>
      <c r="AK100" s="506" t="s">
        <v>197</v>
      </c>
      <c r="AL100" s="506" t="s">
        <v>197</v>
      </c>
    </row>
    <row r="101" spans="1:38" ht="13">
      <c r="A101" s="1398"/>
      <c r="B101" s="1399"/>
      <c r="C101" s="503" t="s">
        <v>2484</v>
      </c>
      <c r="D101" s="522"/>
      <c r="E101" s="504">
        <f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04">
        <f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04">
        <f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04">
        <f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04">
        <f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04">
        <f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04">
        <f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04">
        <f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04">
        <f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04">
        <f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04">
        <f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04">
        <f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04">
        <f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04">
        <f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04">
        <f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04">
        <f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04">
        <f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04">
        <f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2</v>
      </c>
      <c r="W101" s="504">
        <f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04">
        <f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04">
        <f>SUMIFS('PV SUPPLY DATA'!$X:$X,'PV SUPPLY DATA'!$AH:$AH,'CT capacity tracker'!$B98,'PV SUPPLY DATA'!$AG:$AG,'CT capacity tracker'!$A$97,'PV SUPPLY DATA'!$Y:$Y,Y$1,'PV SUPPLY DATA'!$AQ:$AQ,"cosco")+SUMIFS('PV SUPPLY DATA'!$X:$X,'PV SUPPLY DATA'!$AH:$AH,'CT capacity tracker'!$B98,'PV SUPPLY DATA'!$AG:$AG,'CT capacity tracker'!$A$97,'PV SUPPLY DATA'!$Y:$Y,Y$1,'PV SUPPLY DATA'!$AQ:$AQ,"other")+SUMIFS('ESS SUPPLY DATA'!$U:$U,'ESS SUPPLY DATA'!$AF:$AF,'CT capacity tracker'!$B98,'ESS SUPPLY DATA'!$AE:$AE,'CT capacity tracker'!$A$97,'ESS SUPPLY DATA'!$W:$W,'CT capacity tracker'!Y$1,'ESS SUPPLY DATA'!$AO:$AO,"cosco")+SUMIFS('ESS SUPPLY DATA'!$U:$U,'ESS SUPPLY DATA'!$AF:$AF,'CT capacity tracker'!$B98,'ESS SUPPLY DATA'!$AE:$AE,'CT capacity tracker'!$A$97,'ESS SUPPLY DATA'!$W:$W,'CT capacity tracker'!Y$1,'ESS SUPPLY DATA'!$AO:$AO,"other")</f>
        <v>0</v>
      </c>
      <c r="Z101" s="504">
        <f>SUMIFS('PV SUPPLY DATA'!$X:$X,'PV SUPPLY DATA'!$AH:$AH,'CT capacity tracker'!$B98,'PV SUPPLY DATA'!$AG:$AG,'CT capacity tracker'!$A$97,'PV SUPPLY DATA'!$Y:$Y,Z$1,'PV SUPPLY DATA'!$AQ:$AQ,"cosco")+SUMIFS('PV SUPPLY DATA'!$X:$X,'PV SUPPLY DATA'!$AH:$AH,'CT capacity tracker'!$B98,'PV SUPPLY DATA'!$AG:$AG,'CT capacity tracker'!$A$97,'PV SUPPLY DATA'!$Y:$Y,Z$1,'PV SUPPLY DATA'!$AQ:$AQ,"other")+SUMIFS('ESS SUPPLY DATA'!$U:$U,'ESS SUPPLY DATA'!$AF:$AF,'CT capacity tracker'!$B98,'ESS SUPPLY DATA'!$AE:$AE,'CT capacity tracker'!$A$97,'ESS SUPPLY DATA'!$W:$W,'CT capacity tracker'!Z$1,'ESS SUPPLY DATA'!$AO:$AO,"cosco")+SUMIFS('ESS SUPPLY DATA'!$U:$U,'ESS SUPPLY DATA'!$AF:$AF,'CT capacity tracker'!$B98,'ESS SUPPLY DATA'!$AE:$AE,'CT capacity tracker'!$A$97,'ESS SUPPLY DATA'!$W:$W,'CT capacity tracker'!Z$1,'ESS SUPPLY DATA'!$AO:$AO,"other")</f>
        <v>2</v>
      </c>
      <c r="AA101" s="504">
        <f>SUMIFS('PV SUPPLY DATA'!$X:$X,'PV SUPPLY DATA'!$AH:$AH,'CT capacity tracker'!$B98,'PV SUPPLY DATA'!$AG:$AG,'CT capacity tracker'!$A$97,'PV SUPPLY DATA'!$Y:$Y,AA$1,'PV SUPPLY DATA'!$AQ:$AQ,"cosco")+SUMIFS('PV SUPPLY DATA'!$X:$X,'PV SUPPLY DATA'!$AH:$AH,'CT capacity tracker'!$B98,'PV SUPPLY DATA'!$AG:$AG,'CT capacity tracker'!$A$97,'PV SUPPLY DATA'!$Y:$Y,AA$1,'PV SUPPLY DATA'!$AQ:$AQ,"other")+SUMIFS('ESS SUPPLY DATA'!$U:$U,'ESS SUPPLY DATA'!$AF:$AF,'CT capacity tracker'!$B98,'ESS SUPPLY DATA'!$AE:$AE,'CT capacity tracker'!$A$97,'ESS SUPPLY DATA'!$W:$W,'CT capacity tracker'!AA$1,'ESS SUPPLY DATA'!$AO:$AO,"cosco")+SUMIFS('ESS SUPPLY DATA'!$U:$U,'ESS SUPPLY DATA'!$AF:$AF,'CT capacity tracker'!$B98,'ESS SUPPLY DATA'!$AE:$AE,'CT capacity tracker'!$A$97,'ESS SUPPLY DATA'!$W:$W,'CT capacity tracker'!AA$1,'ESS SUPPLY DATA'!$AO:$AO,"other")</f>
        <v>0</v>
      </c>
      <c r="AB101" s="504">
        <f>SUMIFS('PV SUPPLY DATA'!$X:$X,'PV SUPPLY DATA'!$AH:$AH,'CT capacity tracker'!$B98,'PV SUPPLY DATA'!$AG:$AG,'CT capacity tracker'!$A$97,'PV SUPPLY DATA'!$Y:$Y,AB$1,'PV SUPPLY DATA'!$AQ:$AQ,"cosco")+SUMIFS('PV SUPPLY DATA'!$X:$X,'PV SUPPLY DATA'!$AH:$AH,'CT capacity tracker'!$B98,'PV SUPPLY DATA'!$AG:$AG,'CT capacity tracker'!$A$97,'PV SUPPLY DATA'!$Y:$Y,AB$1,'PV SUPPLY DATA'!$AQ:$AQ,"other")+SUMIFS('ESS SUPPLY DATA'!$U:$U,'ESS SUPPLY DATA'!$AF:$AF,'CT capacity tracker'!$B98,'ESS SUPPLY DATA'!$AE:$AE,'CT capacity tracker'!$A$97,'ESS SUPPLY DATA'!$W:$W,'CT capacity tracker'!AB$1,'ESS SUPPLY DATA'!$AO:$AO,"cosco")+SUMIFS('ESS SUPPLY DATA'!$U:$U,'ESS SUPPLY DATA'!$AF:$AF,'CT capacity tracker'!$B98,'ESS SUPPLY DATA'!$AE:$AE,'CT capacity tracker'!$A$97,'ESS SUPPLY DATA'!$W:$W,'CT capacity tracker'!AB$1,'ESS SUPPLY DATA'!$AO:$AO,"other")</f>
        <v>0</v>
      </c>
      <c r="AC101" s="511"/>
      <c r="AD101" s="511"/>
      <c r="AE101" s="696">
        <f>SUM(E101:X101)</f>
        <v>22</v>
      </c>
      <c r="AF101" s="503"/>
      <c r="AG101" s="506"/>
      <c r="AH101" s="534"/>
      <c r="AI101" s="506"/>
      <c r="AJ101" s="506"/>
      <c r="AK101" s="506"/>
      <c r="AL101" s="506"/>
    </row>
    <row r="102" spans="1:38" ht="13">
      <c r="A102" s="1398"/>
      <c r="B102" s="1397" t="s">
        <v>105</v>
      </c>
      <c r="C102" s="503" t="s">
        <v>2481</v>
      </c>
      <c r="D102" s="504">
        <f>SUMIFS('PV SUPPLY DATA'!$X:$X,'PV SUPPLY DATA'!$AH:$AH,'CT capacity tracker'!$B102,'PV SUPPLY DATA'!$AG:$AG,'CT capacity tracker'!$A$97,'PV SUPPLY DATA'!$Y:$Y,'CT capacity tracker'!D$1)</f>
        <v>0</v>
      </c>
      <c r="E102" s="504">
        <f>SUMIFS('PV SUPPLY DATA'!$X:$X,'PV SUPPLY DATA'!$Y:$Y,'CT capacity tracker'!E$1,'PV SUPPLY DATA'!$AG:$AG,'CT capacity tracker'!$A$97,'PV SUPPLY DATA'!$AH:$AH,'CT capacity tracker'!$B$102)</f>
        <v>0</v>
      </c>
      <c r="F102" s="504">
        <f>SUMIFS('PV SUPPLY DATA'!$X:$X,'PV SUPPLY DATA'!$Y:$Y,'CT capacity tracker'!F$1,'PV SUPPLY DATA'!$AG:$AG,'CT capacity tracker'!$A$97,'PV SUPPLY DATA'!$AH:$AH,'CT capacity tracker'!$B$102)</f>
        <v>0</v>
      </c>
      <c r="G102" s="504">
        <f>SUMIFS('PV SUPPLY DATA'!$X:$X,'PV SUPPLY DATA'!$Y:$Y,'CT capacity tracker'!G$1,'PV SUPPLY DATA'!$AG:$AG,'CT capacity tracker'!$A$97,'PV SUPPLY DATA'!$AH:$AH,'CT capacity tracker'!$B$102)</f>
        <v>0</v>
      </c>
      <c r="H102" s="504">
        <f>SUMIFS('PV SUPPLY DATA'!$X:$X,'PV SUPPLY DATA'!$Y:$Y,'CT capacity tracker'!H$1,'PV SUPPLY DATA'!$AG:$AG,'CT capacity tracker'!$A$97,'PV SUPPLY DATA'!$AH:$AH,'CT capacity tracker'!$B$102)</f>
        <v>0</v>
      </c>
      <c r="I102" s="504">
        <f>SUMIFS('PV SUPPLY DATA'!$X:$X,'PV SUPPLY DATA'!$Y:$Y,'CT capacity tracker'!I$1,'PV SUPPLY DATA'!$AG:$AG,'CT capacity tracker'!$A$97,'PV SUPPLY DATA'!$AH:$AH,'CT capacity tracker'!$B$102)</f>
        <v>0</v>
      </c>
      <c r="J102" s="504">
        <f>SUMIFS('PV SUPPLY DATA'!$X:$X,'PV SUPPLY DATA'!$Y:$Y,'CT capacity tracker'!J$1,'PV SUPPLY DATA'!$AG:$AG,'CT capacity tracker'!$A$97,'PV SUPPLY DATA'!$AH:$AH,'CT capacity tracker'!$B$102)</f>
        <v>0</v>
      </c>
      <c r="K102" s="504">
        <f>SUMIFS('PV SUPPLY DATA'!$X:$X,'PV SUPPLY DATA'!$Y:$Y,'CT capacity tracker'!K$1,'PV SUPPLY DATA'!$AG:$AG,'CT capacity tracker'!$A$97,'PV SUPPLY DATA'!$AH:$AH,'CT capacity tracker'!$B$102)</f>
        <v>0</v>
      </c>
      <c r="L102" s="504">
        <f>SUMIFS('PV SUPPLY DATA'!$X:$X,'PV SUPPLY DATA'!$Y:$Y,'CT capacity tracker'!L$1,'PV SUPPLY DATA'!$AG:$AG,'CT capacity tracker'!$A$97,'PV SUPPLY DATA'!$AH:$AH,'CT capacity tracker'!$B$102)</f>
        <v>0</v>
      </c>
      <c r="M102" s="504">
        <f>SUMIFS('PV SUPPLY DATA'!$X:$X,'PV SUPPLY DATA'!$Y:$Y,'CT capacity tracker'!M$1,'PV SUPPLY DATA'!$AG:$AG,'CT capacity tracker'!$A$97,'PV SUPPLY DATA'!$AH:$AH,'CT capacity tracker'!$B$102)</f>
        <v>9</v>
      </c>
      <c r="N102" s="504">
        <f>SUMIFS('PV SUPPLY DATA'!$X:$X,'PV SUPPLY DATA'!$Y:$Y,'CT capacity tracker'!N$1,'PV SUPPLY DATA'!$AG:$AG,'CT capacity tracker'!$A$97,'PV SUPPLY DATA'!$AH:$AH,'CT capacity tracker'!$B$102)</f>
        <v>6</v>
      </c>
      <c r="O102" s="504">
        <f>SUMIFS('PV SUPPLY DATA'!$X:$X,'PV SUPPLY DATA'!$Y:$Y,'CT capacity tracker'!O$1,'PV SUPPLY DATA'!$AG:$AG,'CT capacity tracker'!$A$97,'PV SUPPLY DATA'!$AH:$AH,'CT capacity tracker'!$B$102)</f>
        <v>0</v>
      </c>
      <c r="P102" s="504">
        <f>SUMIFS('PV SUPPLY DATA'!$X:$X,'PV SUPPLY DATA'!$Y:$Y,'CT capacity tracker'!P$1,'PV SUPPLY DATA'!$AG:$AG,'CT capacity tracker'!$A$97,'PV SUPPLY DATA'!$AH:$AH,'CT capacity tracker'!$B$102)</f>
        <v>4</v>
      </c>
      <c r="Q102" s="504">
        <f>SUMIFS('PV SUPPLY DATA'!$X:$X,'PV SUPPLY DATA'!$Y:$Y,'CT capacity tracker'!Q$1,'PV SUPPLY DATA'!$AG:$AG,'CT capacity tracker'!$A$97,'PV SUPPLY DATA'!$AH:$AH,'CT capacity tracker'!$B$102)</f>
        <v>10</v>
      </c>
      <c r="R102" s="504">
        <f>SUMIFS('PV SUPPLY DATA'!$X:$X,'PV SUPPLY DATA'!$Y:$Y,'CT capacity tracker'!R$1,'PV SUPPLY DATA'!$AG:$AG,'CT capacity tracker'!$A$97,'PV SUPPLY DATA'!$AH:$AH,'CT capacity tracker'!$B$102)</f>
        <v>0</v>
      </c>
      <c r="S102" s="504">
        <f>SUMIFS('PV SUPPLY DATA'!$X:$X,'PV SUPPLY DATA'!$Y:$Y,'CT capacity tracker'!S$1,'PV SUPPLY DATA'!$AG:$AG,'CT capacity tracker'!$A$97,'PV SUPPLY DATA'!$AH:$AH,'CT capacity tracker'!$B$102)</f>
        <v>0</v>
      </c>
      <c r="T102" s="504">
        <f>SUMIFS('PV SUPPLY DATA'!$X:$X,'PV SUPPLY DATA'!$Y:$Y,'CT capacity tracker'!T$1,'PV SUPPLY DATA'!$AG:$AG,'CT capacity tracker'!$A$97,'PV SUPPLY DATA'!$AH:$AH,'CT capacity tracker'!$B$102)</f>
        <v>6</v>
      </c>
      <c r="U102" s="504">
        <f>SUMIFS('PV SUPPLY DATA'!$X:$X,'PV SUPPLY DATA'!$Y:$Y,'CT capacity tracker'!U$1,'PV SUPPLY DATA'!$AG:$AG,'CT capacity tracker'!$A$97,'PV SUPPLY DATA'!$AH:$AH,'CT capacity tracker'!$B$102)</f>
        <v>4</v>
      </c>
      <c r="V102" s="504">
        <f>SUMIFS('PV SUPPLY DATA'!$X:$X,'PV SUPPLY DATA'!$Y:$Y,'CT capacity tracker'!V$1,'PV SUPPLY DATA'!$AG:$AG,'CT capacity tracker'!$A$97,'PV SUPPLY DATA'!$AH:$AH,'CT capacity tracker'!$B$102)</f>
        <v>10</v>
      </c>
      <c r="W102" s="504">
        <f>SUMIFS('PV SUPPLY DATA'!$X:$X,'PV SUPPLY DATA'!$Y:$Y,'CT capacity tracker'!W$1,'PV SUPPLY DATA'!$AG:$AG,'CT capacity tracker'!$A$97,'PV SUPPLY DATA'!$AH:$AH,'CT capacity tracker'!$B$102)</f>
        <v>4</v>
      </c>
      <c r="X102" s="504">
        <f>SUMIFS('PV SUPPLY DATA'!$X:$X,'PV SUPPLY DATA'!$Y:$Y,'CT capacity tracker'!X$1,'PV SUPPLY DATA'!$AG:$AG,'CT capacity tracker'!$A$97,'PV SUPPLY DATA'!$AH:$AH,'CT capacity tracker'!$B$102)</f>
        <v>2</v>
      </c>
      <c r="Y102" s="504">
        <f>SUMIFS('PV SUPPLY DATA'!$X:$X,'PV SUPPLY DATA'!$Y:$Y,'CT capacity tracker'!Y$1,'PV SUPPLY DATA'!$AG:$AG,'CT capacity tracker'!$A$97,'PV SUPPLY DATA'!$AH:$AH,'CT capacity tracker'!$B$102)</f>
        <v>0</v>
      </c>
      <c r="Z102" s="504">
        <f>SUMIFS('PV SUPPLY DATA'!$X:$X,'PV SUPPLY DATA'!$Y:$Y,'CT capacity tracker'!Z$1,'PV SUPPLY DATA'!$AG:$AG,'CT capacity tracker'!$A$97,'PV SUPPLY DATA'!$AH:$AH,'CT capacity tracker'!$B$102)</f>
        <v>6</v>
      </c>
      <c r="AA102" s="504">
        <f>SUMIFS('PV SUPPLY DATA'!$X:$X,'PV SUPPLY DATA'!$Y:$Y,'CT capacity tracker'!AA$1,'PV SUPPLY DATA'!$AG:$AG,'CT capacity tracker'!$A$97,'PV SUPPLY DATA'!$AH:$AH,'CT capacity tracker'!$B$102)</f>
        <v>8</v>
      </c>
      <c r="AB102" s="504">
        <f>SUMIFS('PV SUPPLY DATA'!$X:$X,'PV SUPPLY DATA'!$Y:$Y,'CT capacity tracker'!AB$1,'PV SUPPLY DATA'!$AG:$AG,'CT capacity tracker'!$A$97,'PV SUPPLY DATA'!$AH:$AH,'CT capacity tracker'!$B$102)</f>
        <v>8</v>
      </c>
      <c r="AC102" s="505" t="s">
        <v>197</v>
      </c>
      <c r="AD102" s="505" t="s">
        <v>197</v>
      </c>
      <c r="AE102" s="696">
        <f>SUM(E102:X102)</f>
        <v>55</v>
      </c>
      <c r="AF102" s="503" t="s">
        <v>197</v>
      </c>
      <c r="AG102" s="506"/>
      <c r="AH102" s="506">
        <f t="shared" ref="AH102:AH142" si="49">SUM(G102:J102)</f>
        <v>0</v>
      </c>
      <c r="AI102" s="506"/>
      <c r="AJ102" s="506" t="s">
        <v>197</v>
      </c>
      <c r="AK102" s="506" t="s">
        <v>197</v>
      </c>
      <c r="AL102" s="506" t="s">
        <v>197</v>
      </c>
    </row>
    <row r="103" spans="1:38" ht="13">
      <c r="A103" s="1398"/>
      <c r="B103" s="1398"/>
      <c r="C103" s="509" t="s">
        <v>2482</v>
      </c>
      <c r="D103" s="509"/>
      <c r="E103" s="510"/>
      <c r="F103" s="510"/>
      <c r="G103" s="510"/>
      <c r="H103" s="510"/>
      <c r="I103" s="510"/>
      <c r="J103" s="510"/>
      <c r="K103" s="510"/>
      <c r="L103" s="510"/>
      <c r="M103" s="510">
        <v>3</v>
      </c>
      <c r="N103" s="510">
        <v>5</v>
      </c>
      <c r="O103" s="510">
        <v>8</v>
      </c>
      <c r="P103" s="510">
        <v>8</v>
      </c>
      <c r="Q103" s="510">
        <v>3</v>
      </c>
      <c r="R103" s="510">
        <v>3</v>
      </c>
      <c r="S103" s="510">
        <v>8</v>
      </c>
      <c r="T103" s="510">
        <v>8</v>
      </c>
      <c r="U103" s="510">
        <v>8</v>
      </c>
      <c r="V103" s="510">
        <v>8</v>
      </c>
      <c r="W103" s="510">
        <v>2</v>
      </c>
      <c r="X103" s="510">
        <v>5</v>
      </c>
      <c r="Y103" s="510">
        <v>5</v>
      </c>
      <c r="Z103" s="510">
        <v>8</v>
      </c>
      <c r="AA103" s="510">
        <v>8</v>
      </c>
      <c r="AB103" s="510">
        <v>8</v>
      </c>
      <c r="AC103" s="505" t="s">
        <v>197</v>
      </c>
      <c r="AD103" s="505" t="s">
        <v>197</v>
      </c>
      <c r="AE103" s="696"/>
      <c r="AF103" s="503" t="s">
        <v>197</v>
      </c>
      <c r="AG103" s="506"/>
      <c r="AH103" s="506">
        <f t="shared" si="49"/>
        <v>0</v>
      </c>
      <c r="AI103" s="506"/>
      <c r="AJ103" s="506" t="s">
        <v>197</v>
      </c>
      <c r="AK103" s="506" t="s">
        <v>197</v>
      </c>
      <c r="AL103" s="506" t="s">
        <v>197</v>
      </c>
    </row>
    <row r="104" spans="1:38" ht="13">
      <c r="A104" s="1398"/>
      <c r="B104" s="1398"/>
      <c r="C104" s="520" t="s">
        <v>2483</v>
      </c>
      <c r="D104" s="522"/>
      <c r="E104" s="522">
        <f>E103-E102</f>
        <v>0</v>
      </c>
      <c r="F104" s="522">
        <f t="shared" ref="F104:X104" si="50">F103-F102</f>
        <v>0</v>
      </c>
      <c r="G104" s="522">
        <f t="shared" si="50"/>
        <v>0</v>
      </c>
      <c r="H104" s="522">
        <f t="shared" si="50"/>
        <v>0</v>
      </c>
      <c r="I104" s="522">
        <f t="shared" si="50"/>
        <v>0</v>
      </c>
      <c r="J104" s="522">
        <f t="shared" si="50"/>
        <v>0</v>
      </c>
      <c r="K104" s="522">
        <f t="shared" si="50"/>
        <v>0</v>
      </c>
      <c r="L104" s="522">
        <f t="shared" si="50"/>
        <v>0</v>
      </c>
      <c r="M104" s="522">
        <f t="shared" si="50"/>
        <v>-6</v>
      </c>
      <c r="N104" s="522">
        <f t="shared" si="50"/>
        <v>-1</v>
      </c>
      <c r="O104" s="522">
        <f t="shared" si="50"/>
        <v>8</v>
      </c>
      <c r="P104" s="522">
        <f t="shared" si="50"/>
        <v>4</v>
      </c>
      <c r="Q104" s="522">
        <f t="shared" si="50"/>
        <v>-7</v>
      </c>
      <c r="R104" s="522">
        <f t="shared" si="50"/>
        <v>3</v>
      </c>
      <c r="S104" s="522">
        <f t="shared" si="50"/>
        <v>8</v>
      </c>
      <c r="T104" s="522">
        <f t="shared" si="50"/>
        <v>2</v>
      </c>
      <c r="U104" s="522">
        <f t="shared" si="50"/>
        <v>4</v>
      </c>
      <c r="V104" s="522">
        <f t="shared" si="50"/>
        <v>-2</v>
      </c>
      <c r="W104" s="522">
        <f t="shared" si="50"/>
        <v>-2</v>
      </c>
      <c r="X104" s="522">
        <f t="shared" si="50"/>
        <v>3</v>
      </c>
      <c r="Y104" s="522">
        <f>Y103-Y102</f>
        <v>5</v>
      </c>
      <c r="Z104" s="522">
        <f>Z103-Z102</f>
        <v>2</v>
      </c>
      <c r="AA104" s="522">
        <f>AA103-AA102</f>
        <v>0</v>
      </c>
      <c r="AB104" s="522">
        <f>AB103-AB102</f>
        <v>0</v>
      </c>
      <c r="AC104" s="511">
        <f>SUMIF($E104:$X104,"&gt;0")</f>
        <v>32</v>
      </c>
      <c r="AD104" s="511">
        <f>SUMIF($E104:$X104,"&lt;0")</f>
        <v>-18</v>
      </c>
      <c r="AE104" s="696"/>
      <c r="AF104" s="503"/>
      <c r="AG104" s="506"/>
      <c r="AH104" s="506">
        <f t="shared" si="49"/>
        <v>0</v>
      </c>
      <c r="AI104" s="506"/>
      <c r="AJ104" s="506" t="s">
        <v>197</v>
      </c>
      <c r="AK104" s="506" t="s">
        <v>197</v>
      </c>
      <c r="AL104" s="506" t="s">
        <v>197</v>
      </c>
    </row>
    <row r="105" spans="1:38" ht="13">
      <c r="A105" s="1398"/>
      <c r="B105" s="1399"/>
      <c r="C105" s="503" t="s">
        <v>2484</v>
      </c>
      <c r="D105" s="522"/>
      <c r="E105" s="504">
        <f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04">
        <f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04">
        <f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04">
        <f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04">
        <f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04">
        <f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04">
        <f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04">
        <f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04">
        <f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04">
        <f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04">
        <f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04">
        <f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4</v>
      </c>
      <c r="Q105" s="504">
        <f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10</v>
      </c>
      <c r="R105" s="504">
        <f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04">
        <f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04">
        <f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6</v>
      </c>
      <c r="U105" s="504">
        <f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4</v>
      </c>
      <c r="V105" s="504">
        <f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10</v>
      </c>
      <c r="W105" s="504">
        <f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4</v>
      </c>
      <c r="X105" s="504">
        <f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2</v>
      </c>
      <c r="Y105" s="504">
        <f>SUMIFS('PV SUPPLY DATA'!$X:$X,'PV SUPPLY DATA'!$AH:$AH,'CT capacity tracker'!$B102,'PV SUPPLY DATA'!$AG:$AG,'CT capacity tracker'!$A$97,'PV SUPPLY DATA'!$Y:$Y,Y$1,'PV SUPPLY DATA'!$AQ:$AQ,"cosco")+SUMIFS('PV SUPPLY DATA'!$X:$X,'PV SUPPLY DATA'!$AH:$AH,'CT capacity tracker'!$B102,'PV SUPPLY DATA'!$AG:$AG,'CT capacity tracker'!$A$97,'PV SUPPLY DATA'!$Y:$Y,Y$1,'PV SUPPLY DATA'!$AQ:$AQ,"other")+SUMIFS('ESS SUPPLY DATA'!$U:$U,'ESS SUPPLY DATA'!$AF:$AF,'CT capacity tracker'!$B102,'ESS SUPPLY DATA'!$AE:$AE,'CT capacity tracker'!$A$97,'ESS SUPPLY DATA'!$W:$W,'CT capacity tracker'!Y$1,'ESS SUPPLY DATA'!$AO:$AO,"cosco")+SUMIFS('ESS SUPPLY DATA'!$U:$U,'ESS SUPPLY DATA'!$AF:$AF,'CT capacity tracker'!$B102,'ESS SUPPLY DATA'!$AE:$AE,'CT capacity tracker'!$A$97,'ESS SUPPLY DATA'!$W:$W,'CT capacity tracker'!Y$1,'ESS SUPPLY DATA'!$AO:$AO,"other")</f>
        <v>0</v>
      </c>
      <c r="Z105" s="504">
        <f>SUMIFS('PV SUPPLY DATA'!$X:$X,'PV SUPPLY DATA'!$AH:$AH,'CT capacity tracker'!$B102,'PV SUPPLY DATA'!$AG:$AG,'CT capacity tracker'!$A$97,'PV SUPPLY DATA'!$Y:$Y,Z$1,'PV SUPPLY DATA'!$AQ:$AQ,"cosco")+SUMIFS('PV SUPPLY DATA'!$X:$X,'PV SUPPLY DATA'!$AH:$AH,'CT capacity tracker'!$B102,'PV SUPPLY DATA'!$AG:$AG,'CT capacity tracker'!$A$97,'PV SUPPLY DATA'!$Y:$Y,Z$1,'PV SUPPLY DATA'!$AQ:$AQ,"other")+SUMIFS('ESS SUPPLY DATA'!$U:$U,'ESS SUPPLY DATA'!$AF:$AF,'CT capacity tracker'!$B102,'ESS SUPPLY DATA'!$AE:$AE,'CT capacity tracker'!$A$97,'ESS SUPPLY DATA'!$W:$W,'CT capacity tracker'!Z$1,'ESS SUPPLY DATA'!$AO:$AO,"cosco")+SUMIFS('ESS SUPPLY DATA'!$U:$U,'ESS SUPPLY DATA'!$AF:$AF,'CT capacity tracker'!$B102,'ESS SUPPLY DATA'!$AE:$AE,'CT capacity tracker'!$A$97,'ESS SUPPLY DATA'!$W:$W,'CT capacity tracker'!Z$1,'ESS SUPPLY DATA'!$AO:$AO,"other")</f>
        <v>5</v>
      </c>
      <c r="AA105" s="504">
        <f>SUMIFS('PV SUPPLY DATA'!$X:$X,'PV SUPPLY DATA'!$AH:$AH,'CT capacity tracker'!$B102,'PV SUPPLY DATA'!$AG:$AG,'CT capacity tracker'!$A$97,'PV SUPPLY DATA'!$Y:$Y,AA$1,'PV SUPPLY DATA'!$AQ:$AQ,"cosco")+SUMIFS('PV SUPPLY DATA'!$X:$X,'PV SUPPLY DATA'!$AH:$AH,'CT capacity tracker'!$B102,'PV SUPPLY DATA'!$AG:$AG,'CT capacity tracker'!$A$97,'PV SUPPLY DATA'!$Y:$Y,AA$1,'PV SUPPLY DATA'!$AQ:$AQ,"other")+SUMIFS('ESS SUPPLY DATA'!$U:$U,'ESS SUPPLY DATA'!$AF:$AF,'CT capacity tracker'!$B102,'ESS SUPPLY DATA'!$AE:$AE,'CT capacity tracker'!$A$97,'ESS SUPPLY DATA'!$W:$W,'CT capacity tracker'!AA$1,'ESS SUPPLY DATA'!$AO:$AO,"cosco")+SUMIFS('ESS SUPPLY DATA'!$U:$U,'ESS SUPPLY DATA'!$AF:$AF,'CT capacity tracker'!$B102,'ESS SUPPLY DATA'!$AE:$AE,'CT capacity tracker'!$A$97,'ESS SUPPLY DATA'!$W:$W,'CT capacity tracker'!AA$1,'ESS SUPPLY DATA'!$AO:$AO,"other")</f>
        <v>0</v>
      </c>
      <c r="AB105" s="504">
        <f>SUMIFS('PV SUPPLY DATA'!$X:$X,'PV SUPPLY DATA'!$AH:$AH,'CT capacity tracker'!$B102,'PV SUPPLY DATA'!$AG:$AG,'CT capacity tracker'!$A$97,'PV SUPPLY DATA'!$Y:$Y,AB$1,'PV SUPPLY DATA'!$AQ:$AQ,"cosco")+SUMIFS('PV SUPPLY DATA'!$X:$X,'PV SUPPLY DATA'!$AH:$AH,'CT capacity tracker'!$B102,'PV SUPPLY DATA'!$AG:$AG,'CT capacity tracker'!$A$97,'PV SUPPLY DATA'!$Y:$Y,AB$1,'PV SUPPLY DATA'!$AQ:$AQ,"other")+SUMIFS('ESS SUPPLY DATA'!$U:$U,'ESS SUPPLY DATA'!$AF:$AF,'CT capacity tracker'!$B102,'ESS SUPPLY DATA'!$AE:$AE,'CT capacity tracker'!$A$97,'ESS SUPPLY DATA'!$W:$W,'CT capacity tracker'!AB$1,'ESS SUPPLY DATA'!$AO:$AO,"cosco")+SUMIFS('ESS SUPPLY DATA'!$U:$U,'ESS SUPPLY DATA'!$AF:$AF,'CT capacity tracker'!$B102,'ESS SUPPLY DATA'!$AE:$AE,'CT capacity tracker'!$A$97,'ESS SUPPLY DATA'!$W:$W,'CT capacity tracker'!AB$1,'ESS SUPPLY DATA'!$AO:$AO,"other")</f>
        <v>0</v>
      </c>
      <c r="AC105" s="511"/>
      <c r="AD105" s="511"/>
      <c r="AE105" s="696">
        <f>SUM(E105:X105)</f>
        <v>55</v>
      </c>
      <c r="AF105" s="503"/>
      <c r="AG105" s="506"/>
      <c r="AH105" s="506"/>
      <c r="AI105" s="506"/>
      <c r="AJ105" s="506"/>
      <c r="AK105" s="506"/>
      <c r="AL105" s="506"/>
    </row>
    <row r="106" spans="1:38" ht="13">
      <c r="A106" s="1398"/>
      <c r="B106" s="1397" t="s">
        <v>356</v>
      </c>
      <c r="C106" s="503" t="s">
        <v>2481</v>
      </c>
      <c r="D106" s="504">
        <f>SUMIFS('PV SUPPLY DATA'!$X:$X,'PV SUPPLY DATA'!$AH:$AH,'CT capacity tracker'!$B106,'PV SUPPLY DATA'!$AG:$AG,'CT capacity tracker'!$A$97,'PV SUPPLY DATA'!$Y:$Y,'CT capacity tracker'!D$1)</f>
        <v>0</v>
      </c>
      <c r="E106" s="504">
        <f>SUMIFS('PV SUPPLY DATA'!$X:$X,'PV SUPPLY DATA'!$Y:$Y,'CT capacity tracker'!E$1,'PV SUPPLY DATA'!$AG:$AG,'CT capacity tracker'!$A$97,'PV SUPPLY DATA'!$AH:$AH,'CT capacity tracker'!$B$106)</f>
        <v>0</v>
      </c>
      <c r="F106" s="504">
        <f>SUMIFS('PV SUPPLY DATA'!$X:$X,'PV SUPPLY DATA'!$Y:$Y,'CT capacity tracker'!F$1,'PV SUPPLY DATA'!$AG:$AG,'CT capacity tracker'!$A$97,'PV SUPPLY DATA'!$AH:$AH,'CT capacity tracker'!$B$106)</f>
        <v>0</v>
      </c>
      <c r="G106" s="504">
        <f>SUMIFS('PV SUPPLY DATA'!$X:$X,'PV SUPPLY DATA'!$Y:$Y,'CT capacity tracker'!G$1,'PV SUPPLY DATA'!$AG:$AG,'CT capacity tracker'!$A$97,'PV SUPPLY DATA'!$AH:$AH,'CT capacity tracker'!$B$106)</f>
        <v>0</v>
      </c>
      <c r="H106" s="504">
        <f>SUMIFS('PV SUPPLY DATA'!$X:$X,'PV SUPPLY DATA'!$Y:$Y,'CT capacity tracker'!H$1,'PV SUPPLY DATA'!$AG:$AG,'CT capacity tracker'!$A$97,'PV SUPPLY DATA'!$AH:$AH,'CT capacity tracker'!$B$106)</f>
        <v>0</v>
      </c>
      <c r="I106" s="504">
        <f>SUMIFS('PV SUPPLY DATA'!$X:$X,'PV SUPPLY DATA'!$Y:$Y,'CT capacity tracker'!I$1,'PV SUPPLY DATA'!$AG:$AG,'CT capacity tracker'!$A$97,'PV SUPPLY DATA'!$AH:$AH,'CT capacity tracker'!$B$106)</f>
        <v>0</v>
      </c>
      <c r="J106" s="504">
        <f>SUMIFS('PV SUPPLY DATA'!$X:$X,'PV SUPPLY DATA'!$Y:$Y,'CT capacity tracker'!J$1,'PV SUPPLY DATA'!$AG:$AG,'CT capacity tracker'!$A$97,'PV SUPPLY DATA'!$AH:$AH,'CT capacity tracker'!$B$106)</f>
        <v>0</v>
      </c>
      <c r="K106" s="504">
        <f>SUMIFS('PV SUPPLY DATA'!$X:$X,'PV SUPPLY DATA'!$Y:$Y,'CT capacity tracker'!K$1,'PV SUPPLY DATA'!$AG:$AG,'CT capacity tracker'!$A$97,'PV SUPPLY DATA'!$AH:$AH,'CT capacity tracker'!$B$106)</f>
        <v>0</v>
      </c>
      <c r="L106" s="504">
        <f>SUMIFS('PV SUPPLY DATA'!$X:$X,'PV SUPPLY DATA'!$Y:$Y,'CT capacity tracker'!L$1,'PV SUPPLY DATA'!$AG:$AG,'CT capacity tracker'!$A$97,'PV SUPPLY DATA'!$AH:$AH,'CT capacity tracker'!$B$106)</f>
        <v>0</v>
      </c>
      <c r="M106" s="504">
        <f>SUMIFS('PV SUPPLY DATA'!$X:$X,'PV SUPPLY DATA'!$Y:$Y,'CT capacity tracker'!M$1,'PV SUPPLY DATA'!$AG:$AG,'CT capacity tracker'!$A$97,'PV SUPPLY DATA'!$AH:$AH,'CT capacity tracker'!$B$106)</f>
        <v>0</v>
      </c>
      <c r="N106" s="504">
        <f>SUMIFS('PV SUPPLY DATA'!$X:$X,'PV SUPPLY DATA'!$Y:$Y,'CT capacity tracker'!N$1,'PV SUPPLY DATA'!$AG:$AG,'CT capacity tracker'!$A$97,'PV SUPPLY DATA'!$AH:$AH,'CT capacity tracker'!$B$106)</f>
        <v>0</v>
      </c>
      <c r="O106" s="504">
        <f>SUMIFS('PV SUPPLY DATA'!$X:$X,'PV SUPPLY DATA'!$Y:$Y,'CT capacity tracker'!O$1,'PV SUPPLY DATA'!$AG:$AG,'CT capacity tracker'!$A$97,'PV SUPPLY DATA'!$AH:$AH,'CT capacity tracker'!$B$106)</f>
        <v>0</v>
      </c>
      <c r="P106" s="504">
        <f>SUMIFS('PV SUPPLY DATA'!$X:$X,'PV SUPPLY DATA'!$Y:$Y,'CT capacity tracker'!P$1,'PV SUPPLY DATA'!$AG:$AG,'CT capacity tracker'!$A$97,'PV SUPPLY DATA'!$AH:$AH,'CT capacity tracker'!$B$106)</f>
        <v>0</v>
      </c>
      <c r="Q106" s="504">
        <f>SUMIFS('PV SUPPLY DATA'!$X:$X,'PV SUPPLY DATA'!$Y:$Y,'CT capacity tracker'!Q$1,'PV SUPPLY DATA'!$AG:$AG,'CT capacity tracker'!$A$97,'PV SUPPLY DATA'!$AH:$AH,'CT capacity tracker'!$B$106)</f>
        <v>0</v>
      </c>
      <c r="R106" s="504">
        <f>SUMIFS('PV SUPPLY DATA'!$X:$X,'PV SUPPLY DATA'!$Y:$Y,'CT capacity tracker'!R$1,'PV SUPPLY DATA'!$AG:$AG,'CT capacity tracker'!$A$97,'PV SUPPLY DATA'!$AH:$AH,'CT capacity tracker'!$B$106)</f>
        <v>0</v>
      </c>
      <c r="S106" s="504">
        <f>SUMIFS('PV SUPPLY DATA'!$X:$X,'PV SUPPLY DATA'!$Y:$Y,'CT capacity tracker'!S$1,'PV SUPPLY DATA'!$AG:$AG,'CT capacity tracker'!$A$97,'PV SUPPLY DATA'!$AH:$AH,'CT capacity tracker'!$B$106)</f>
        <v>0</v>
      </c>
      <c r="T106" s="504">
        <f>SUMIFS('PV SUPPLY DATA'!$X:$X,'PV SUPPLY DATA'!$Y:$Y,'CT capacity tracker'!T$1,'PV SUPPLY DATA'!$AG:$AG,'CT capacity tracker'!$A$97,'PV SUPPLY DATA'!$AH:$AH,'CT capacity tracker'!$B$106)</f>
        <v>0</v>
      </c>
      <c r="U106" s="504">
        <f>SUMIFS('PV SUPPLY DATA'!$X:$X,'PV SUPPLY DATA'!$Y:$Y,'CT capacity tracker'!U$1,'PV SUPPLY DATA'!$AG:$AG,'CT capacity tracker'!$A$97,'PV SUPPLY DATA'!$AH:$AH,'CT capacity tracker'!$B$106)</f>
        <v>0</v>
      </c>
      <c r="V106" s="504">
        <f>SUMIFS('PV SUPPLY DATA'!$X:$X,'PV SUPPLY DATA'!$Y:$Y,'CT capacity tracker'!V$1,'PV SUPPLY DATA'!$AG:$AG,'CT capacity tracker'!$A$97,'PV SUPPLY DATA'!$AH:$AH,'CT capacity tracker'!$B$106)</f>
        <v>0</v>
      </c>
      <c r="W106" s="504">
        <f>SUMIFS('PV SUPPLY DATA'!$X:$X,'PV SUPPLY DATA'!$Y:$Y,'CT capacity tracker'!W$1,'PV SUPPLY DATA'!$AG:$AG,'CT capacity tracker'!$A$97,'PV SUPPLY DATA'!$AH:$AH,'CT capacity tracker'!$B$106)</f>
        <v>0</v>
      </c>
      <c r="X106" s="504">
        <f>SUMIFS('PV SUPPLY DATA'!$X:$X,'PV SUPPLY DATA'!$Y:$Y,'CT capacity tracker'!X$1,'PV SUPPLY DATA'!$AG:$AG,'CT capacity tracker'!$A$97,'PV SUPPLY DATA'!$AH:$AH,'CT capacity tracker'!$B$106)</f>
        <v>0</v>
      </c>
      <c r="Y106" s="504">
        <f>SUMIFS('PV SUPPLY DATA'!$X:$X,'PV SUPPLY DATA'!$Y:$Y,'CT capacity tracker'!Y$1,'PV SUPPLY DATA'!$AG:$AG,'CT capacity tracker'!$A$97,'PV SUPPLY DATA'!$AH:$AH,'CT capacity tracker'!$B$106)</f>
        <v>0</v>
      </c>
      <c r="Z106" s="504">
        <f>SUMIFS('PV SUPPLY DATA'!$X:$X,'PV SUPPLY DATA'!$Y:$Y,'CT capacity tracker'!Z$1,'PV SUPPLY DATA'!$AG:$AG,'CT capacity tracker'!$A$97,'PV SUPPLY DATA'!$AH:$AH,'CT capacity tracker'!$B$106)</f>
        <v>0</v>
      </c>
      <c r="AA106" s="504">
        <f>SUMIFS('PV SUPPLY DATA'!$X:$X,'PV SUPPLY DATA'!$Y:$Y,'CT capacity tracker'!AA$1,'PV SUPPLY DATA'!$AG:$AG,'CT capacity tracker'!$A$97,'PV SUPPLY DATA'!$AH:$AH,'CT capacity tracker'!$B$106)</f>
        <v>0</v>
      </c>
      <c r="AB106" s="504">
        <f>SUMIFS('PV SUPPLY DATA'!$X:$X,'PV SUPPLY DATA'!$Y:$Y,'CT capacity tracker'!AB$1,'PV SUPPLY DATA'!$AG:$AG,'CT capacity tracker'!$A$97,'PV SUPPLY DATA'!$AH:$AH,'CT capacity tracker'!$B$106)</f>
        <v>0</v>
      </c>
      <c r="AC106" s="505" t="s">
        <v>197</v>
      </c>
      <c r="AD106" s="505" t="s">
        <v>197</v>
      </c>
      <c r="AE106" s="696">
        <f>SUM(E106:X106)</f>
        <v>0</v>
      </c>
      <c r="AF106" s="503" t="s">
        <v>197</v>
      </c>
      <c r="AG106" s="506"/>
      <c r="AH106" s="506">
        <f t="shared" si="49"/>
        <v>0</v>
      </c>
      <c r="AI106" s="506"/>
      <c r="AJ106" s="506" t="s">
        <v>197</v>
      </c>
      <c r="AK106" s="506" t="s">
        <v>197</v>
      </c>
      <c r="AL106" s="506" t="s">
        <v>197</v>
      </c>
    </row>
    <row r="107" spans="1:38" ht="13">
      <c r="A107" s="1398"/>
      <c r="B107" s="1398"/>
      <c r="C107" s="509" t="s">
        <v>2482</v>
      </c>
      <c r="D107" s="509"/>
      <c r="E107" s="512"/>
      <c r="F107" s="512"/>
      <c r="G107" s="512"/>
      <c r="H107" s="512"/>
      <c r="I107" s="513"/>
      <c r="J107" s="512"/>
      <c r="K107" s="513"/>
      <c r="L107" s="513"/>
      <c r="M107" s="513"/>
      <c r="N107" s="513"/>
      <c r="O107" s="513"/>
      <c r="P107" s="513"/>
      <c r="Q107" s="513"/>
      <c r="R107" s="513"/>
      <c r="S107" s="513"/>
      <c r="T107" s="513"/>
      <c r="U107" s="513"/>
      <c r="V107" s="513"/>
      <c r="W107" s="513"/>
      <c r="X107" s="513"/>
      <c r="Y107" s="513"/>
      <c r="Z107" s="513"/>
      <c r="AA107" s="513"/>
      <c r="AB107" s="513"/>
      <c r="AC107" s="505" t="s">
        <v>197</v>
      </c>
      <c r="AD107" s="505" t="s">
        <v>197</v>
      </c>
      <c r="AE107" s="696"/>
      <c r="AF107" s="503" t="s">
        <v>197</v>
      </c>
      <c r="AG107" s="506"/>
      <c r="AH107" s="506">
        <f t="shared" si="49"/>
        <v>0</v>
      </c>
      <c r="AI107" s="506"/>
      <c r="AJ107" s="506" t="s">
        <v>197</v>
      </c>
      <c r="AK107" s="506" t="s">
        <v>197</v>
      </c>
      <c r="AL107" s="506" t="s">
        <v>197</v>
      </c>
    </row>
    <row r="108" spans="1:38" ht="13">
      <c r="A108" s="1398"/>
      <c r="B108" s="1398"/>
      <c r="C108" s="520" t="s">
        <v>2483</v>
      </c>
      <c r="D108" s="522"/>
      <c r="E108" s="522">
        <f>E107-E106</f>
        <v>0</v>
      </c>
      <c r="F108" s="522">
        <f t="shared" ref="F108:X108" si="51">F107-F106</f>
        <v>0</v>
      </c>
      <c r="G108" s="522">
        <f t="shared" si="51"/>
        <v>0</v>
      </c>
      <c r="H108" s="522">
        <f t="shared" si="51"/>
        <v>0</v>
      </c>
      <c r="I108" s="522">
        <f t="shared" si="51"/>
        <v>0</v>
      </c>
      <c r="J108" s="522">
        <f t="shared" si="51"/>
        <v>0</v>
      </c>
      <c r="K108" s="522">
        <f t="shared" si="51"/>
        <v>0</v>
      </c>
      <c r="L108" s="522">
        <f t="shared" si="51"/>
        <v>0</v>
      </c>
      <c r="M108" s="522">
        <f t="shared" si="51"/>
        <v>0</v>
      </c>
      <c r="N108" s="522">
        <f t="shared" si="51"/>
        <v>0</v>
      </c>
      <c r="O108" s="522">
        <f t="shared" si="51"/>
        <v>0</v>
      </c>
      <c r="P108" s="522">
        <f t="shared" si="51"/>
        <v>0</v>
      </c>
      <c r="Q108" s="522">
        <f t="shared" si="51"/>
        <v>0</v>
      </c>
      <c r="R108" s="522">
        <f t="shared" si="51"/>
        <v>0</v>
      </c>
      <c r="S108" s="522">
        <f t="shared" si="51"/>
        <v>0</v>
      </c>
      <c r="T108" s="522">
        <f t="shared" si="51"/>
        <v>0</v>
      </c>
      <c r="U108" s="522">
        <f t="shared" si="51"/>
        <v>0</v>
      </c>
      <c r="V108" s="522">
        <f t="shared" si="51"/>
        <v>0</v>
      </c>
      <c r="W108" s="522">
        <f t="shared" si="51"/>
        <v>0</v>
      </c>
      <c r="X108" s="522">
        <f t="shared" si="51"/>
        <v>0</v>
      </c>
      <c r="Y108" s="522">
        <f>Y107-Y106</f>
        <v>0</v>
      </c>
      <c r="Z108" s="522">
        <f>Z107-Z106</f>
        <v>0</v>
      </c>
      <c r="AA108" s="522">
        <f>AA107-AA106</f>
        <v>0</v>
      </c>
      <c r="AB108" s="522">
        <f>AB107-AB106</f>
        <v>0</v>
      </c>
      <c r="AC108" s="511">
        <f>SUMIF($E108:$X108,"&gt;0")</f>
        <v>0</v>
      </c>
      <c r="AD108" s="511">
        <f>SUMIF($E108:$X108,"&lt;0")</f>
        <v>0</v>
      </c>
      <c r="AE108" s="696"/>
      <c r="AF108" s="503" t="s">
        <v>197</v>
      </c>
      <c r="AG108" s="506"/>
      <c r="AH108" s="506">
        <f t="shared" si="49"/>
        <v>0</v>
      </c>
      <c r="AI108" s="506"/>
      <c r="AJ108" s="506" t="s">
        <v>197</v>
      </c>
      <c r="AK108" s="506" t="s">
        <v>197</v>
      </c>
      <c r="AL108" s="506" t="s">
        <v>197</v>
      </c>
    </row>
    <row r="109" spans="1:38" ht="13">
      <c r="A109" s="1398"/>
      <c r="B109" s="1399"/>
      <c r="C109" s="503" t="s">
        <v>2484</v>
      </c>
      <c r="D109" s="522"/>
      <c r="E109" s="504">
        <f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04">
        <f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04">
        <f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04">
        <f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04">
        <f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04">
        <f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04">
        <f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04">
        <f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04">
        <f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04">
        <f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04">
        <f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04">
        <f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04">
        <f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04">
        <f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04">
        <f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04">
        <f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04">
        <f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04">
        <f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04">
        <f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04">
        <f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04">
        <f>SUMIFS('PV SUPPLY DATA'!$X:$X,'PV SUPPLY DATA'!$AH:$AH,'CT capacity tracker'!$B106,'PV SUPPLY DATA'!$AG:$AG,'CT capacity tracker'!$A$97,'PV SUPPLY DATA'!$Y:$Y,Y$1,'PV SUPPLY DATA'!$AQ:$AQ,"cosco")+SUMIFS('PV SUPPLY DATA'!$X:$X,'PV SUPPLY DATA'!$AH:$AH,'CT capacity tracker'!$B106,'PV SUPPLY DATA'!$AG:$AG,'CT capacity tracker'!$A$97,'PV SUPPLY DATA'!$Y:$Y,Y$1,'PV SUPPLY DATA'!$AQ:$AQ,"other")+SUMIFS('ESS SUPPLY DATA'!$U:$U,'ESS SUPPLY DATA'!$AF:$AF,'CT capacity tracker'!$B106,'ESS SUPPLY DATA'!$AE:$AE,'CT capacity tracker'!$A$97,'ESS SUPPLY DATA'!$W:$W,'CT capacity tracker'!Y$1,'ESS SUPPLY DATA'!$AO:$AO,"cosco")+SUMIFS('ESS SUPPLY DATA'!$U:$U,'ESS SUPPLY DATA'!$AF:$AF,'CT capacity tracker'!$B106,'ESS SUPPLY DATA'!$AE:$AE,'CT capacity tracker'!$A$97,'ESS SUPPLY DATA'!$W:$W,'CT capacity tracker'!Y$1,'ESS SUPPLY DATA'!$AO:$AO,"other")</f>
        <v>0</v>
      </c>
      <c r="Z109" s="504">
        <f>SUMIFS('PV SUPPLY DATA'!$X:$X,'PV SUPPLY DATA'!$AH:$AH,'CT capacity tracker'!$B106,'PV SUPPLY DATA'!$AG:$AG,'CT capacity tracker'!$A$97,'PV SUPPLY DATA'!$Y:$Y,Z$1,'PV SUPPLY DATA'!$AQ:$AQ,"cosco")+SUMIFS('PV SUPPLY DATA'!$X:$X,'PV SUPPLY DATA'!$AH:$AH,'CT capacity tracker'!$B106,'PV SUPPLY DATA'!$AG:$AG,'CT capacity tracker'!$A$97,'PV SUPPLY DATA'!$Y:$Y,Z$1,'PV SUPPLY DATA'!$AQ:$AQ,"other")+SUMIFS('ESS SUPPLY DATA'!$U:$U,'ESS SUPPLY DATA'!$AF:$AF,'CT capacity tracker'!$B106,'ESS SUPPLY DATA'!$AE:$AE,'CT capacity tracker'!$A$97,'ESS SUPPLY DATA'!$W:$W,'CT capacity tracker'!Z$1,'ESS SUPPLY DATA'!$AO:$AO,"cosco")+SUMIFS('ESS SUPPLY DATA'!$U:$U,'ESS SUPPLY DATA'!$AF:$AF,'CT capacity tracker'!$B106,'ESS SUPPLY DATA'!$AE:$AE,'CT capacity tracker'!$A$97,'ESS SUPPLY DATA'!$W:$W,'CT capacity tracker'!Z$1,'ESS SUPPLY DATA'!$AO:$AO,"other")</f>
        <v>0</v>
      </c>
      <c r="AA109" s="504">
        <f>SUMIFS('PV SUPPLY DATA'!$X:$X,'PV SUPPLY DATA'!$AH:$AH,'CT capacity tracker'!$B106,'PV SUPPLY DATA'!$AG:$AG,'CT capacity tracker'!$A$97,'PV SUPPLY DATA'!$Y:$Y,AA$1,'PV SUPPLY DATA'!$AQ:$AQ,"cosco")+SUMIFS('PV SUPPLY DATA'!$X:$X,'PV SUPPLY DATA'!$AH:$AH,'CT capacity tracker'!$B106,'PV SUPPLY DATA'!$AG:$AG,'CT capacity tracker'!$A$97,'PV SUPPLY DATA'!$Y:$Y,AA$1,'PV SUPPLY DATA'!$AQ:$AQ,"other")+SUMIFS('ESS SUPPLY DATA'!$U:$U,'ESS SUPPLY DATA'!$AF:$AF,'CT capacity tracker'!$B106,'ESS SUPPLY DATA'!$AE:$AE,'CT capacity tracker'!$A$97,'ESS SUPPLY DATA'!$W:$W,'CT capacity tracker'!AA$1,'ESS SUPPLY DATA'!$AO:$AO,"cosco")+SUMIFS('ESS SUPPLY DATA'!$U:$U,'ESS SUPPLY DATA'!$AF:$AF,'CT capacity tracker'!$B106,'ESS SUPPLY DATA'!$AE:$AE,'CT capacity tracker'!$A$97,'ESS SUPPLY DATA'!$W:$W,'CT capacity tracker'!AA$1,'ESS SUPPLY DATA'!$AO:$AO,"other")</f>
        <v>0</v>
      </c>
      <c r="AB109" s="504">
        <f>SUMIFS('PV SUPPLY DATA'!$X:$X,'PV SUPPLY DATA'!$AH:$AH,'CT capacity tracker'!$B106,'PV SUPPLY DATA'!$AG:$AG,'CT capacity tracker'!$A$97,'PV SUPPLY DATA'!$Y:$Y,AB$1,'PV SUPPLY DATA'!$AQ:$AQ,"cosco")+SUMIFS('PV SUPPLY DATA'!$X:$X,'PV SUPPLY DATA'!$AH:$AH,'CT capacity tracker'!$B106,'PV SUPPLY DATA'!$AG:$AG,'CT capacity tracker'!$A$97,'PV SUPPLY DATA'!$Y:$Y,AB$1,'PV SUPPLY DATA'!$AQ:$AQ,"other")+SUMIFS('ESS SUPPLY DATA'!$U:$U,'ESS SUPPLY DATA'!$AF:$AF,'CT capacity tracker'!$B106,'ESS SUPPLY DATA'!$AE:$AE,'CT capacity tracker'!$A$97,'ESS SUPPLY DATA'!$W:$W,'CT capacity tracker'!AB$1,'ESS SUPPLY DATA'!$AO:$AO,"cosco")+SUMIFS('ESS SUPPLY DATA'!$U:$U,'ESS SUPPLY DATA'!$AF:$AF,'CT capacity tracker'!$B106,'ESS SUPPLY DATA'!$AE:$AE,'CT capacity tracker'!$A$97,'ESS SUPPLY DATA'!$W:$W,'CT capacity tracker'!AB$1,'ESS SUPPLY DATA'!$AO:$AO,"other")</f>
        <v>0</v>
      </c>
      <c r="AC109" s="511"/>
      <c r="AD109" s="511"/>
      <c r="AE109" s="696">
        <f>SUM(E109:X109)</f>
        <v>0</v>
      </c>
      <c r="AF109" s="503"/>
      <c r="AG109" s="506"/>
      <c r="AH109" s="506"/>
      <c r="AI109" s="506"/>
      <c r="AJ109" s="506"/>
      <c r="AK109" s="506"/>
      <c r="AL109" s="506"/>
    </row>
    <row r="110" spans="1:38" ht="12.75" customHeight="1">
      <c r="A110" s="1398"/>
      <c r="B110" s="1397" t="s">
        <v>541</v>
      </c>
      <c r="C110" s="503" t="s">
        <v>2481</v>
      </c>
      <c r="D110" s="504">
        <f>SUMIFS('PV SUPPLY DATA'!$X:$X,'PV SUPPLY DATA'!$AH:$AH,'CT capacity tracker'!$B110,'PV SUPPLY DATA'!$AG:$AG,'CT capacity tracker'!$A$97,'PV SUPPLY DATA'!$Y:$Y,'CT capacity tracker'!D$1)</f>
        <v>0</v>
      </c>
      <c r="E110" s="504">
        <f>SUMIFS('PV SUPPLY DATA'!$X:$X,'PV SUPPLY DATA'!$Y:$Y,'CT capacity tracker'!E$1,'PV SUPPLY DATA'!$AG:$AG,'CT capacity tracker'!$A$97,'PV SUPPLY DATA'!$AH:$AH,'CT capacity tracker'!$B$114)</f>
        <v>0</v>
      </c>
      <c r="F110" s="504">
        <f>SUMIFS('PV SUPPLY DATA'!$X:$X,'PV SUPPLY DATA'!$Y:$Y,'CT capacity tracker'!F$1,'PV SUPPLY DATA'!$AG:$AG,'CT capacity tracker'!$A$97,'PV SUPPLY DATA'!$AH:$AH,'CT capacity tracker'!$B$114)</f>
        <v>0</v>
      </c>
      <c r="G110" s="504">
        <f>SUMIFS('PV SUPPLY DATA'!$X:$X,'PV SUPPLY DATA'!$Y:$Y,'CT capacity tracker'!G$1,'PV SUPPLY DATA'!$AG:$AG,'CT capacity tracker'!$A$97,'PV SUPPLY DATA'!$AH:$AH,'CT capacity tracker'!$B$114)</f>
        <v>0</v>
      </c>
      <c r="H110" s="504">
        <f>SUMIFS('PV SUPPLY DATA'!$X:$X,'PV SUPPLY DATA'!$Y:$Y,'CT capacity tracker'!H$1,'PV SUPPLY DATA'!$AG:$AG,'CT capacity tracker'!$A$97,'PV SUPPLY DATA'!$AH:$AH,'CT capacity tracker'!$B$114)</f>
        <v>0</v>
      </c>
      <c r="I110" s="504">
        <f>SUMIFS('PV SUPPLY DATA'!$X:$X,'PV SUPPLY DATA'!$Y:$Y,'CT capacity tracker'!I$1,'PV SUPPLY DATA'!$AG:$AG,'CT capacity tracker'!$A$97,'PV SUPPLY DATA'!$AH:$AH,'CT capacity tracker'!$B$114)</f>
        <v>0</v>
      </c>
      <c r="J110" s="504">
        <f>SUMIFS('PV SUPPLY DATA'!$X:$X,'PV SUPPLY DATA'!$Y:$Y,'CT capacity tracker'!J$1,'PV SUPPLY DATA'!$AG:$AG,'CT capacity tracker'!$A$97,'PV SUPPLY DATA'!$AH:$AH,'CT capacity tracker'!$B$114)</f>
        <v>9</v>
      </c>
      <c r="K110" s="504">
        <f>SUMIFS('PV SUPPLY DATA'!$X:$X,'PV SUPPLY DATA'!$Y:$Y,'CT capacity tracker'!K$1,'PV SUPPLY DATA'!$AG:$AG,'CT capacity tracker'!$A$97,'PV SUPPLY DATA'!$AH:$AH,'CT capacity tracker'!$B$114)</f>
        <v>0</v>
      </c>
      <c r="L110" s="504">
        <f>SUMIFS('PV SUPPLY DATA'!$X:$X,'PV SUPPLY DATA'!$Y:$Y,'CT capacity tracker'!L$1,'PV SUPPLY DATA'!$AG:$AG,'CT capacity tracker'!$A$97,'PV SUPPLY DATA'!$AH:$AH,'CT capacity tracker'!$B$114)</f>
        <v>0</v>
      </c>
      <c r="M110" s="504">
        <f>SUMIFS('PV SUPPLY DATA'!$X:$X,'PV SUPPLY DATA'!$Y:$Y,'CT capacity tracker'!M$1,'PV SUPPLY DATA'!$AG:$AG,'CT capacity tracker'!$A$97,'PV SUPPLY DATA'!$AH:$AH,'CT capacity tracker'!$B$114)</f>
        <v>0</v>
      </c>
      <c r="N110" s="504">
        <f>SUMIFS('PV SUPPLY DATA'!$X:$X,'PV SUPPLY DATA'!$Y:$Y,'CT capacity tracker'!N$1,'PV SUPPLY DATA'!$AG:$AG,'CT capacity tracker'!$A$97,'PV SUPPLY DATA'!$AH:$AH,'CT capacity tracker'!$B$114)</f>
        <v>0</v>
      </c>
      <c r="O110" s="504">
        <f>SUMIFS('PV SUPPLY DATA'!$X:$X,'PV SUPPLY DATA'!$Y:$Y,'CT capacity tracker'!O$1,'PV SUPPLY DATA'!$AG:$AG,'CT capacity tracker'!$A$97,'PV SUPPLY DATA'!$AH:$AH,'CT capacity tracker'!$B$110)</f>
        <v>0</v>
      </c>
      <c r="P110" s="504">
        <f>SUMIFS('PV SUPPLY DATA'!$X:$X,'PV SUPPLY DATA'!$Y:$Y,'CT capacity tracker'!P$1,'PV SUPPLY DATA'!$AG:$AG,'CT capacity tracker'!$A$97,'PV SUPPLY DATA'!$AH:$AH,'CT capacity tracker'!$B$110)</f>
        <v>0</v>
      </c>
      <c r="Q110" s="504">
        <f>SUMIFS('PV SUPPLY DATA'!$X:$X,'PV SUPPLY DATA'!$Y:$Y,'CT capacity tracker'!Q$1,'PV SUPPLY DATA'!$AG:$AG,'CT capacity tracker'!$A$97,'PV SUPPLY DATA'!$AH:$AH,'CT capacity tracker'!$B$110)</f>
        <v>5</v>
      </c>
      <c r="R110" s="504">
        <f>SUMIFS('PV SUPPLY DATA'!$X:$X,'PV SUPPLY DATA'!$Y:$Y,'CT capacity tracker'!R$1,'PV SUPPLY DATA'!$AG:$AG,'CT capacity tracker'!$A$97,'PV SUPPLY DATA'!$AH:$AH,'CT capacity tracker'!$B$110)</f>
        <v>6</v>
      </c>
      <c r="S110" s="504">
        <f>SUMIFS('PV SUPPLY DATA'!$X:$X,'PV SUPPLY DATA'!$Y:$Y,'CT capacity tracker'!S$1,'PV SUPPLY DATA'!$AG:$AG,'CT capacity tracker'!$A$97,'PV SUPPLY DATA'!$AH:$AH,'CT capacity tracker'!$B$110)</f>
        <v>0</v>
      </c>
      <c r="T110" s="504">
        <f>SUMIFS('PV SUPPLY DATA'!$X:$X,'PV SUPPLY DATA'!$Y:$Y,'CT capacity tracker'!T$1,'PV SUPPLY DATA'!$AG:$AG,'CT capacity tracker'!$A$97,'PV SUPPLY DATA'!$AH:$AH,'CT capacity tracker'!$B$110)</f>
        <v>0</v>
      </c>
      <c r="U110" s="504">
        <f>SUMIFS('PV SUPPLY DATA'!$X:$X,'PV SUPPLY DATA'!$Y:$Y,'CT capacity tracker'!U$1,'PV SUPPLY DATA'!$AG:$AG,'CT capacity tracker'!$A$97,'PV SUPPLY DATA'!$AH:$AH,'CT capacity tracker'!$B$110)</f>
        <v>0</v>
      </c>
      <c r="V110" s="504">
        <f>SUMIFS('PV SUPPLY DATA'!$X:$X,'PV SUPPLY DATA'!$Y:$Y,'CT capacity tracker'!V$1,'PV SUPPLY DATA'!$AG:$AG,'CT capacity tracker'!$A$97,'PV SUPPLY DATA'!$AH:$AH,'CT capacity tracker'!$B$110)</f>
        <v>0</v>
      </c>
      <c r="W110" s="504">
        <f>SUMIFS('PV SUPPLY DATA'!$X:$X,'PV SUPPLY DATA'!$Y:$Y,'CT capacity tracker'!W$1,'PV SUPPLY DATA'!$AG:$AG,'CT capacity tracker'!$A$97,'PV SUPPLY DATA'!$AH:$AH,'CT capacity tracker'!$B$110)</f>
        <v>0</v>
      </c>
      <c r="X110" s="504">
        <f>SUMIFS('PV SUPPLY DATA'!$X:$X,'PV SUPPLY DATA'!$Y:$Y,'CT capacity tracker'!X$1,'PV SUPPLY DATA'!$AG:$AG,'CT capacity tracker'!$A$97,'PV SUPPLY DATA'!$AH:$AH,'CT capacity tracker'!$B$110)</f>
        <v>0</v>
      </c>
      <c r="Y110" s="504">
        <f>SUMIFS('PV SUPPLY DATA'!$X:$X,'PV SUPPLY DATA'!$Y:$Y,'CT capacity tracker'!Y$1,'PV SUPPLY DATA'!$AG:$AG,'CT capacity tracker'!$A$97,'PV SUPPLY DATA'!$AH:$AH,'CT capacity tracker'!$B$110)</f>
        <v>0</v>
      </c>
      <c r="Z110" s="504">
        <f>SUMIFS('PV SUPPLY DATA'!$X:$X,'PV SUPPLY DATA'!$Y:$Y,'CT capacity tracker'!Z$1,'PV SUPPLY DATA'!$AG:$AG,'CT capacity tracker'!$A$97,'PV SUPPLY DATA'!$AH:$AH,'CT capacity tracker'!$B$110)</f>
        <v>0</v>
      </c>
      <c r="AA110" s="504">
        <f>SUMIFS('PV SUPPLY DATA'!$X:$X,'PV SUPPLY DATA'!$Y:$Y,'CT capacity tracker'!AA$1,'PV SUPPLY DATA'!$AG:$AG,'CT capacity tracker'!$A$97,'PV SUPPLY DATA'!$AH:$AH,'CT capacity tracker'!$B$110)</f>
        <v>0</v>
      </c>
      <c r="AB110" s="504">
        <f>SUMIFS('PV SUPPLY DATA'!$X:$X,'PV SUPPLY DATA'!$Y:$Y,'CT capacity tracker'!AB$1,'PV SUPPLY DATA'!$AG:$AG,'CT capacity tracker'!$A$97,'PV SUPPLY DATA'!$AH:$AH,'CT capacity tracker'!$B$110)</f>
        <v>0</v>
      </c>
      <c r="AC110" s="505" t="s">
        <v>197</v>
      </c>
      <c r="AD110" s="505" t="s">
        <v>197</v>
      </c>
      <c r="AE110" s="696">
        <f>SUM(E110:X110)</f>
        <v>20</v>
      </c>
      <c r="AF110" s="503" t="s">
        <v>197</v>
      </c>
      <c r="AG110" s="506"/>
      <c r="AH110" s="506">
        <f>SUM(G110:J110)</f>
        <v>9</v>
      </c>
      <c r="AI110" s="506"/>
      <c r="AJ110" s="506"/>
      <c r="AK110" s="506"/>
      <c r="AL110" s="506"/>
    </row>
    <row r="111" spans="1:38" ht="12.75" customHeight="1">
      <c r="A111" s="1398"/>
      <c r="B111" s="1398"/>
      <c r="C111" s="509" t="s">
        <v>2482</v>
      </c>
      <c r="D111" s="509"/>
      <c r="E111" s="512"/>
      <c r="F111" s="512"/>
      <c r="G111" s="512"/>
      <c r="H111" s="512"/>
      <c r="I111" s="513"/>
      <c r="J111" s="512"/>
      <c r="K111" s="513"/>
      <c r="L111" s="513"/>
      <c r="M111" s="513"/>
      <c r="N111" s="513"/>
      <c r="O111" s="513"/>
      <c r="P111" s="513"/>
      <c r="Q111" s="513">
        <v>6</v>
      </c>
      <c r="R111" s="513">
        <v>5</v>
      </c>
      <c r="S111" s="513"/>
      <c r="T111" s="513"/>
      <c r="U111" s="513"/>
      <c r="V111" s="513"/>
      <c r="W111" s="513"/>
      <c r="X111" s="513"/>
      <c r="Y111" s="513"/>
      <c r="Z111" s="513"/>
      <c r="AA111" s="513"/>
      <c r="AB111" s="513"/>
      <c r="AC111" s="505" t="s">
        <v>197</v>
      </c>
      <c r="AD111" s="505" t="s">
        <v>197</v>
      </c>
      <c r="AE111" s="696"/>
      <c r="AF111" s="503" t="s">
        <v>197</v>
      </c>
      <c r="AG111" s="506"/>
      <c r="AH111" s="506">
        <f>SUM(G111:J111)</f>
        <v>0</v>
      </c>
      <c r="AI111" s="506"/>
      <c r="AJ111" s="506"/>
      <c r="AK111" s="506"/>
      <c r="AL111" s="506"/>
    </row>
    <row r="112" spans="1:38" ht="12.75" customHeight="1">
      <c r="A112" s="1398"/>
      <c r="B112" s="1398"/>
      <c r="C112" s="520" t="s">
        <v>2483</v>
      </c>
      <c r="D112" s="522"/>
      <c r="E112" s="522">
        <f t="shared" ref="E112:X112" si="52">E111-E110</f>
        <v>0</v>
      </c>
      <c r="F112" s="522">
        <f t="shared" si="52"/>
        <v>0</v>
      </c>
      <c r="G112" s="522">
        <f t="shared" si="52"/>
        <v>0</v>
      </c>
      <c r="H112" s="522">
        <f t="shared" si="52"/>
        <v>0</v>
      </c>
      <c r="I112" s="522">
        <f t="shared" si="52"/>
        <v>0</v>
      </c>
      <c r="J112" s="522">
        <f t="shared" si="52"/>
        <v>-9</v>
      </c>
      <c r="K112" s="522">
        <f t="shared" si="52"/>
        <v>0</v>
      </c>
      <c r="L112" s="522">
        <f t="shared" si="52"/>
        <v>0</v>
      </c>
      <c r="M112" s="522">
        <f t="shared" si="52"/>
        <v>0</v>
      </c>
      <c r="N112" s="522">
        <f t="shared" si="52"/>
        <v>0</v>
      </c>
      <c r="O112" s="522">
        <f t="shared" si="52"/>
        <v>0</v>
      </c>
      <c r="P112" s="522">
        <f t="shared" si="52"/>
        <v>0</v>
      </c>
      <c r="Q112" s="522">
        <f t="shared" si="52"/>
        <v>1</v>
      </c>
      <c r="R112" s="522">
        <f t="shared" si="52"/>
        <v>-1</v>
      </c>
      <c r="S112" s="522">
        <f t="shared" si="52"/>
        <v>0</v>
      </c>
      <c r="T112" s="522">
        <f t="shared" si="52"/>
        <v>0</v>
      </c>
      <c r="U112" s="522">
        <f t="shared" si="52"/>
        <v>0</v>
      </c>
      <c r="V112" s="522">
        <f t="shared" si="52"/>
        <v>0</v>
      </c>
      <c r="W112" s="522">
        <f t="shared" si="52"/>
        <v>0</v>
      </c>
      <c r="X112" s="522">
        <f t="shared" si="52"/>
        <v>0</v>
      </c>
      <c r="Y112" s="522">
        <f>Y111-Y110</f>
        <v>0</v>
      </c>
      <c r="Z112" s="522">
        <f>Z111-Z110</f>
        <v>0</v>
      </c>
      <c r="AA112" s="522">
        <f>AA111-AA110</f>
        <v>0</v>
      </c>
      <c r="AB112" s="522">
        <f>AB111-AB110</f>
        <v>0</v>
      </c>
      <c r="AC112" s="511">
        <f>SUMIF($E112:$X112,"&gt;0")</f>
        <v>1</v>
      </c>
      <c r="AD112" s="511">
        <f>SUMIF($E112:$X112,"&lt;0")</f>
        <v>-10</v>
      </c>
      <c r="AE112" s="696"/>
      <c r="AF112" s="503" t="s">
        <v>197</v>
      </c>
      <c r="AG112" s="506"/>
      <c r="AH112" s="506">
        <f>SUM(G112:J112)</f>
        <v>-9</v>
      </c>
      <c r="AI112" s="506"/>
      <c r="AJ112" s="506"/>
      <c r="AK112" s="506"/>
      <c r="AL112" s="506"/>
    </row>
    <row r="113" spans="1:38" ht="12.75" customHeight="1">
      <c r="A113" s="1398"/>
      <c r="B113" s="1399"/>
      <c r="C113" s="503" t="s">
        <v>2484</v>
      </c>
      <c r="D113" s="522"/>
      <c r="E113" s="504">
        <f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04">
        <f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04">
        <f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04">
        <f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04">
        <f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04">
        <f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04">
        <f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04">
        <f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04">
        <f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04">
        <f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04">
        <f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04">
        <f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04">
        <f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04">
        <f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04">
        <f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04">
        <f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04">
        <f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04">
        <f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04">
        <f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04">
        <f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04">
        <f>SUMIFS('PV SUPPLY DATA'!$X:$X,'PV SUPPLY DATA'!$AH:$AH,'CT capacity tracker'!$B110,'PV SUPPLY DATA'!$AG:$AG,'CT capacity tracker'!$A$97,'PV SUPPLY DATA'!$Y:$Y,Y$1,'PV SUPPLY DATA'!$AQ:$AQ,"cosco")+SUMIFS('PV SUPPLY DATA'!$X:$X,'PV SUPPLY DATA'!$AH:$AH,'CT capacity tracker'!$B110,'PV SUPPLY DATA'!$AG:$AG,'CT capacity tracker'!$A$97,'PV SUPPLY DATA'!$Y:$Y,Y$1,'PV SUPPLY DATA'!$AQ:$AQ,"other")+SUMIFS('ESS SUPPLY DATA'!$U:$U,'ESS SUPPLY DATA'!$AF:$AF,'CT capacity tracker'!$B110,'ESS SUPPLY DATA'!$AE:$AE,'CT capacity tracker'!$A$97,'ESS SUPPLY DATA'!$W:$W,'CT capacity tracker'!Y$1,'ESS SUPPLY DATA'!$AO:$AO,"cosco")+SUMIFS('ESS SUPPLY DATA'!$U:$U,'ESS SUPPLY DATA'!$AF:$AF,'CT capacity tracker'!$B110,'ESS SUPPLY DATA'!$AE:$AE,'CT capacity tracker'!$A$97,'ESS SUPPLY DATA'!$W:$W,'CT capacity tracker'!Y$1,'ESS SUPPLY DATA'!$AO:$AO,"other")</f>
        <v>0</v>
      </c>
      <c r="Z113" s="504">
        <f>SUMIFS('PV SUPPLY DATA'!$X:$X,'PV SUPPLY DATA'!$AH:$AH,'CT capacity tracker'!$B110,'PV SUPPLY DATA'!$AG:$AG,'CT capacity tracker'!$A$97,'PV SUPPLY DATA'!$Y:$Y,Z$1,'PV SUPPLY DATA'!$AQ:$AQ,"cosco")+SUMIFS('PV SUPPLY DATA'!$X:$X,'PV SUPPLY DATA'!$AH:$AH,'CT capacity tracker'!$B110,'PV SUPPLY DATA'!$AG:$AG,'CT capacity tracker'!$A$97,'PV SUPPLY DATA'!$Y:$Y,Z$1,'PV SUPPLY DATA'!$AQ:$AQ,"other")+SUMIFS('ESS SUPPLY DATA'!$U:$U,'ESS SUPPLY DATA'!$AF:$AF,'CT capacity tracker'!$B110,'ESS SUPPLY DATA'!$AE:$AE,'CT capacity tracker'!$A$97,'ESS SUPPLY DATA'!$W:$W,'CT capacity tracker'!Z$1,'ESS SUPPLY DATA'!$AO:$AO,"cosco")+SUMIFS('ESS SUPPLY DATA'!$U:$U,'ESS SUPPLY DATA'!$AF:$AF,'CT capacity tracker'!$B110,'ESS SUPPLY DATA'!$AE:$AE,'CT capacity tracker'!$A$97,'ESS SUPPLY DATA'!$W:$W,'CT capacity tracker'!Z$1,'ESS SUPPLY DATA'!$AO:$AO,"other")</f>
        <v>0</v>
      </c>
      <c r="AA113" s="504">
        <f>SUMIFS('PV SUPPLY DATA'!$X:$X,'PV SUPPLY DATA'!$AH:$AH,'CT capacity tracker'!$B110,'PV SUPPLY DATA'!$AG:$AG,'CT capacity tracker'!$A$97,'PV SUPPLY DATA'!$Y:$Y,AA$1,'PV SUPPLY DATA'!$AQ:$AQ,"cosco")+SUMIFS('PV SUPPLY DATA'!$X:$X,'PV SUPPLY DATA'!$AH:$AH,'CT capacity tracker'!$B110,'PV SUPPLY DATA'!$AG:$AG,'CT capacity tracker'!$A$97,'PV SUPPLY DATA'!$Y:$Y,AA$1,'PV SUPPLY DATA'!$AQ:$AQ,"other")+SUMIFS('ESS SUPPLY DATA'!$U:$U,'ESS SUPPLY DATA'!$AF:$AF,'CT capacity tracker'!$B110,'ESS SUPPLY DATA'!$AE:$AE,'CT capacity tracker'!$A$97,'ESS SUPPLY DATA'!$W:$W,'CT capacity tracker'!AA$1,'ESS SUPPLY DATA'!$AO:$AO,"cosco")+SUMIFS('ESS SUPPLY DATA'!$U:$U,'ESS SUPPLY DATA'!$AF:$AF,'CT capacity tracker'!$B110,'ESS SUPPLY DATA'!$AE:$AE,'CT capacity tracker'!$A$97,'ESS SUPPLY DATA'!$W:$W,'CT capacity tracker'!AA$1,'ESS SUPPLY DATA'!$AO:$AO,"other")</f>
        <v>0</v>
      </c>
      <c r="AB113" s="504">
        <f>SUMIFS('PV SUPPLY DATA'!$X:$X,'PV SUPPLY DATA'!$AH:$AH,'CT capacity tracker'!$B110,'PV SUPPLY DATA'!$AG:$AG,'CT capacity tracker'!$A$97,'PV SUPPLY DATA'!$Y:$Y,AB$1,'PV SUPPLY DATA'!$AQ:$AQ,"cosco")+SUMIFS('PV SUPPLY DATA'!$X:$X,'PV SUPPLY DATA'!$AH:$AH,'CT capacity tracker'!$B110,'PV SUPPLY DATA'!$AG:$AG,'CT capacity tracker'!$A$97,'PV SUPPLY DATA'!$Y:$Y,AB$1,'PV SUPPLY DATA'!$AQ:$AQ,"other")+SUMIFS('ESS SUPPLY DATA'!$U:$U,'ESS SUPPLY DATA'!$AF:$AF,'CT capacity tracker'!$B110,'ESS SUPPLY DATA'!$AE:$AE,'CT capacity tracker'!$A$97,'ESS SUPPLY DATA'!$W:$W,'CT capacity tracker'!AB$1,'ESS SUPPLY DATA'!$AO:$AO,"cosco")+SUMIFS('ESS SUPPLY DATA'!$U:$U,'ESS SUPPLY DATA'!$AF:$AF,'CT capacity tracker'!$B110,'ESS SUPPLY DATA'!$AE:$AE,'CT capacity tracker'!$A$97,'ESS SUPPLY DATA'!$W:$W,'CT capacity tracker'!AB$1,'ESS SUPPLY DATA'!$AO:$AO,"other")</f>
        <v>0</v>
      </c>
      <c r="AC113" s="511"/>
      <c r="AD113" s="511"/>
      <c r="AE113" s="696">
        <f>SUM(E113:X113)</f>
        <v>11</v>
      </c>
      <c r="AF113" s="503"/>
      <c r="AG113" s="506"/>
      <c r="AH113" s="506"/>
      <c r="AI113" s="506"/>
      <c r="AJ113" s="506"/>
      <c r="AK113" s="506"/>
      <c r="AL113" s="506"/>
    </row>
    <row r="114" spans="1:38" ht="13">
      <c r="A114" s="1398"/>
      <c r="B114" s="1397" t="s">
        <v>888</v>
      </c>
      <c r="C114" s="503" t="s">
        <v>2481</v>
      </c>
      <c r="D114" s="504">
        <f>SUMIFS('PV SUPPLY DATA'!$X:$X,'PV SUPPLY DATA'!$AH:$AH,'CT capacity tracker'!$B114,'PV SUPPLY DATA'!$AG:$AG,'CT capacity tracker'!$A$97,'PV SUPPLY DATA'!$Y:$Y,'CT capacity tracker'!D$1)</f>
        <v>0</v>
      </c>
      <c r="E114" s="504">
        <f>SUMIFS('PV SUPPLY DATA'!$X:$X,'PV SUPPLY DATA'!$Y:$Y,'CT capacity tracker'!E$1,'PV SUPPLY DATA'!$AG:$AG,'CT capacity tracker'!$A$97,'PV SUPPLY DATA'!$AH:$AH,'CT capacity tracker'!$B$114)</f>
        <v>0</v>
      </c>
      <c r="F114" s="504">
        <f>SUMIFS('PV SUPPLY DATA'!$X:$X,'PV SUPPLY DATA'!$Y:$Y,'CT capacity tracker'!F$1,'PV SUPPLY DATA'!$AG:$AG,'CT capacity tracker'!$A$97,'PV SUPPLY DATA'!$AH:$AH,'CT capacity tracker'!$B$114)</f>
        <v>0</v>
      </c>
      <c r="G114" s="504">
        <f>SUMIFS('PV SUPPLY DATA'!$X:$X,'PV SUPPLY DATA'!$Y:$Y,'CT capacity tracker'!G$1,'PV SUPPLY DATA'!$AG:$AG,'CT capacity tracker'!$A$97,'PV SUPPLY DATA'!$AH:$AH,'CT capacity tracker'!$B$114)</f>
        <v>0</v>
      </c>
      <c r="H114" s="504">
        <f>SUMIFS('PV SUPPLY DATA'!$X:$X,'PV SUPPLY DATA'!$Y:$Y,'CT capacity tracker'!H$1,'PV SUPPLY DATA'!$AG:$AG,'CT capacity tracker'!$A$97,'PV SUPPLY DATA'!$AH:$AH,'CT capacity tracker'!$B$114)</f>
        <v>0</v>
      </c>
      <c r="I114" s="504">
        <f>SUMIFS('PV SUPPLY DATA'!$X:$X,'PV SUPPLY DATA'!$Y:$Y,'CT capacity tracker'!I$1,'PV SUPPLY DATA'!$AG:$AG,'CT capacity tracker'!$A$97,'PV SUPPLY DATA'!$AH:$AH,'CT capacity tracker'!$B$114)</f>
        <v>0</v>
      </c>
      <c r="J114" s="504">
        <f>SUMIFS('PV SUPPLY DATA'!$X:$X,'PV SUPPLY DATA'!$Y:$Y,'CT capacity tracker'!J$1,'PV SUPPLY DATA'!$AG:$AG,'CT capacity tracker'!$A$97,'PV SUPPLY DATA'!$AH:$AH,'CT capacity tracker'!$B$114)</f>
        <v>9</v>
      </c>
      <c r="K114" s="504">
        <f>SUMIFS('PV SUPPLY DATA'!$X:$X,'PV SUPPLY DATA'!$Y:$Y,'CT capacity tracker'!K$1,'PV SUPPLY DATA'!$AG:$AG,'CT capacity tracker'!$A$97,'PV SUPPLY DATA'!$AH:$AH,'CT capacity tracker'!$B$114)</f>
        <v>0</v>
      </c>
      <c r="L114" s="504">
        <f>SUMIFS('PV SUPPLY DATA'!$X:$X,'PV SUPPLY DATA'!$Y:$Y,'CT capacity tracker'!L$1,'PV SUPPLY DATA'!$AG:$AG,'CT capacity tracker'!$A$97,'PV SUPPLY DATA'!$AH:$AH,'CT capacity tracker'!$B$114)</f>
        <v>0</v>
      </c>
      <c r="M114" s="504">
        <f>SUMIFS('PV SUPPLY DATA'!$X:$X,'PV SUPPLY DATA'!$Y:$Y,'CT capacity tracker'!M$1,'PV SUPPLY DATA'!$AG:$AG,'CT capacity tracker'!$A$97,'PV SUPPLY DATA'!$AH:$AH,'CT capacity tracker'!$B$114)</f>
        <v>0</v>
      </c>
      <c r="N114" s="504">
        <f>SUMIFS('PV SUPPLY DATA'!$X:$X,'PV SUPPLY DATA'!$Y:$Y,'CT capacity tracker'!N$1,'PV SUPPLY DATA'!$AG:$AG,'CT capacity tracker'!$A$97,'PV SUPPLY DATA'!$AH:$AH,'CT capacity tracker'!$B$114)</f>
        <v>0</v>
      </c>
      <c r="O114" s="504">
        <f>SUMIFS('PV SUPPLY DATA'!$X:$X,'PV SUPPLY DATA'!$Y:$Y,'CT capacity tracker'!O$1,'PV SUPPLY DATA'!$AG:$AG,'CT capacity tracker'!$A$97,'PV SUPPLY DATA'!$AH:$AH,'CT capacity tracker'!$B$114)</f>
        <v>0</v>
      </c>
      <c r="P114" s="504">
        <f>SUMIFS('PV SUPPLY DATA'!$X:$X,'PV SUPPLY DATA'!$Y:$Y,'CT capacity tracker'!P$1,'PV SUPPLY DATA'!$AG:$AG,'CT capacity tracker'!$A$97,'PV SUPPLY DATA'!$AH:$AH,'CT capacity tracker'!$B$114)</f>
        <v>0</v>
      </c>
      <c r="Q114" s="504">
        <f>SUMIFS('PV SUPPLY DATA'!$X:$X,'PV SUPPLY DATA'!$Y:$Y,'CT capacity tracker'!Q$1,'PV SUPPLY DATA'!$AG:$AG,'CT capacity tracker'!$A$97,'PV SUPPLY DATA'!$AH:$AH,'CT capacity tracker'!$B$114)</f>
        <v>0</v>
      </c>
      <c r="R114" s="504">
        <f>SUMIFS('PV SUPPLY DATA'!$X:$X,'PV SUPPLY DATA'!$Y:$Y,'CT capacity tracker'!R$1,'PV SUPPLY DATA'!$AG:$AG,'CT capacity tracker'!$A$97,'PV SUPPLY DATA'!$AH:$AH,'CT capacity tracker'!$B$114)</f>
        <v>0</v>
      </c>
      <c r="S114" s="504">
        <f>SUMIFS('PV SUPPLY DATA'!$X:$X,'PV SUPPLY DATA'!$Y:$Y,'CT capacity tracker'!S$1,'PV SUPPLY DATA'!$AG:$AG,'CT capacity tracker'!$A$97,'PV SUPPLY DATA'!$AH:$AH,'CT capacity tracker'!$B$114)</f>
        <v>0</v>
      </c>
      <c r="T114" s="504">
        <f>SUMIFS('PV SUPPLY DATA'!$X:$X,'PV SUPPLY DATA'!$Y:$Y,'CT capacity tracker'!T$1,'PV SUPPLY DATA'!$AG:$AG,'CT capacity tracker'!$A$97,'PV SUPPLY DATA'!$AH:$AH,'CT capacity tracker'!$B$114)</f>
        <v>2</v>
      </c>
      <c r="U114" s="504">
        <f>SUMIFS('PV SUPPLY DATA'!$X:$X,'PV SUPPLY DATA'!$Y:$Y,'CT capacity tracker'!U$1,'PV SUPPLY DATA'!$AG:$AG,'CT capacity tracker'!$A$97,'PV SUPPLY DATA'!$AH:$AH,'CT capacity tracker'!$B$114)</f>
        <v>0</v>
      </c>
      <c r="V114" s="504">
        <f>SUMIFS('PV SUPPLY DATA'!$X:$X,'PV SUPPLY DATA'!$Y:$Y,'CT capacity tracker'!V$1,'PV SUPPLY DATA'!$AG:$AG,'CT capacity tracker'!$A$97,'PV SUPPLY DATA'!$AH:$AH,'CT capacity tracker'!$B$114)</f>
        <v>0</v>
      </c>
      <c r="W114" s="504">
        <f>SUMIFS('PV SUPPLY DATA'!$X:$X,'PV SUPPLY DATA'!$Y:$Y,'CT capacity tracker'!W$1,'PV SUPPLY DATA'!$AG:$AG,'CT capacity tracker'!$A$97,'PV SUPPLY DATA'!$AH:$AH,'CT capacity tracker'!$B$114)</f>
        <v>0</v>
      </c>
      <c r="X114" s="504">
        <f>SUMIFS('PV SUPPLY DATA'!$X:$X,'PV SUPPLY DATA'!$Y:$Y,'CT capacity tracker'!X$1,'PV SUPPLY DATA'!$AG:$AG,'CT capacity tracker'!$A$97,'PV SUPPLY DATA'!$AH:$AH,'CT capacity tracker'!$B$114)</f>
        <v>0</v>
      </c>
      <c r="Y114" s="504">
        <f>SUMIFS('PV SUPPLY DATA'!$X:$X,'PV SUPPLY DATA'!$Y:$Y,'CT capacity tracker'!Y$1,'PV SUPPLY DATA'!$AG:$AG,'CT capacity tracker'!$A$97,'PV SUPPLY DATA'!$AH:$AH,'CT capacity tracker'!$B$114)</f>
        <v>0</v>
      </c>
      <c r="Z114" s="504">
        <f>SUMIFS('PV SUPPLY DATA'!$X:$X,'PV SUPPLY DATA'!$Y:$Y,'CT capacity tracker'!Z$1,'PV SUPPLY DATA'!$AG:$AG,'CT capacity tracker'!$A$97,'PV SUPPLY DATA'!$AH:$AH,'CT capacity tracker'!$B$114)</f>
        <v>0</v>
      </c>
      <c r="AA114" s="504">
        <f>SUMIFS('PV SUPPLY DATA'!$X:$X,'PV SUPPLY DATA'!$Y:$Y,'CT capacity tracker'!AA$1,'PV SUPPLY DATA'!$AG:$AG,'CT capacity tracker'!$A$97,'PV SUPPLY DATA'!$AH:$AH,'CT capacity tracker'!$B$114)</f>
        <v>0</v>
      </c>
      <c r="AB114" s="504">
        <f>SUMIFS('PV SUPPLY DATA'!$X:$X,'PV SUPPLY DATA'!$Y:$Y,'CT capacity tracker'!AB$1,'PV SUPPLY DATA'!$AG:$AG,'CT capacity tracker'!$A$97,'PV SUPPLY DATA'!$AH:$AH,'CT capacity tracker'!$B$114)</f>
        <v>0</v>
      </c>
      <c r="AC114" s="505" t="s">
        <v>197</v>
      </c>
      <c r="AD114" s="505" t="s">
        <v>197</v>
      </c>
      <c r="AE114" s="696">
        <f>SUM(E114:X114)</f>
        <v>11</v>
      </c>
      <c r="AF114" s="503" t="s">
        <v>197</v>
      </c>
      <c r="AG114" s="506"/>
      <c r="AH114" s="506">
        <f t="shared" si="49"/>
        <v>9</v>
      </c>
      <c r="AI114" s="506"/>
      <c r="AJ114" s="506"/>
      <c r="AK114" s="506"/>
      <c r="AL114" s="506"/>
    </row>
    <row r="115" spans="1:38" ht="13">
      <c r="A115" s="1398"/>
      <c r="B115" s="1398"/>
      <c r="C115" s="509" t="s">
        <v>2482</v>
      </c>
      <c r="D115" s="509"/>
      <c r="E115" s="512"/>
      <c r="F115" s="512"/>
      <c r="G115" s="512"/>
      <c r="H115" s="512"/>
      <c r="I115" s="513"/>
      <c r="J115" s="512"/>
      <c r="K115" s="513"/>
      <c r="L115" s="513"/>
      <c r="M115" s="513"/>
      <c r="N115" s="513"/>
      <c r="O115" s="513"/>
      <c r="P115" s="513"/>
      <c r="Q115" s="513"/>
      <c r="R115" s="513"/>
      <c r="S115" s="513"/>
      <c r="T115" s="513">
        <v>2</v>
      </c>
      <c r="U115" s="513"/>
      <c r="V115" s="513"/>
      <c r="W115" s="513"/>
      <c r="X115" s="513"/>
      <c r="Y115" s="513"/>
      <c r="Z115" s="513"/>
      <c r="AA115" s="513"/>
      <c r="AB115" s="513"/>
      <c r="AC115" s="505" t="s">
        <v>197</v>
      </c>
      <c r="AD115" s="505" t="s">
        <v>197</v>
      </c>
      <c r="AE115" s="696"/>
      <c r="AF115" s="503" t="s">
        <v>197</v>
      </c>
      <c r="AG115" s="506"/>
      <c r="AH115" s="506">
        <f t="shared" si="49"/>
        <v>0</v>
      </c>
      <c r="AI115" s="506"/>
      <c r="AJ115" s="506"/>
      <c r="AK115" s="506"/>
      <c r="AL115" s="506"/>
    </row>
    <row r="116" spans="1:38" ht="13">
      <c r="A116" s="1398"/>
      <c r="B116" s="1398"/>
      <c r="C116" s="520" t="s">
        <v>2483</v>
      </c>
      <c r="D116" s="522"/>
      <c r="E116" s="522">
        <f>E115-E114</f>
        <v>0</v>
      </c>
      <c r="F116" s="522">
        <f t="shared" ref="F116:X116" si="53">F115-F114</f>
        <v>0</v>
      </c>
      <c r="G116" s="522">
        <f t="shared" si="53"/>
        <v>0</v>
      </c>
      <c r="H116" s="522">
        <f t="shared" si="53"/>
        <v>0</v>
      </c>
      <c r="I116" s="522">
        <f t="shared" si="53"/>
        <v>0</v>
      </c>
      <c r="J116" s="522">
        <f t="shared" si="53"/>
        <v>-9</v>
      </c>
      <c r="K116" s="522">
        <f t="shared" si="53"/>
        <v>0</v>
      </c>
      <c r="L116" s="522">
        <f t="shared" si="53"/>
        <v>0</v>
      </c>
      <c r="M116" s="522">
        <f t="shared" si="53"/>
        <v>0</v>
      </c>
      <c r="N116" s="522">
        <f t="shared" si="53"/>
        <v>0</v>
      </c>
      <c r="O116" s="522">
        <f t="shared" si="53"/>
        <v>0</v>
      </c>
      <c r="P116" s="522">
        <f t="shared" si="53"/>
        <v>0</v>
      </c>
      <c r="Q116" s="522">
        <f t="shared" si="53"/>
        <v>0</v>
      </c>
      <c r="R116" s="522">
        <f t="shared" si="53"/>
        <v>0</v>
      </c>
      <c r="S116" s="522">
        <f t="shared" si="53"/>
        <v>0</v>
      </c>
      <c r="T116" s="522">
        <f t="shared" si="53"/>
        <v>0</v>
      </c>
      <c r="U116" s="522">
        <f t="shared" si="53"/>
        <v>0</v>
      </c>
      <c r="V116" s="522">
        <f t="shared" si="53"/>
        <v>0</v>
      </c>
      <c r="W116" s="522">
        <f t="shared" si="53"/>
        <v>0</v>
      </c>
      <c r="X116" s="522">
        <f t="shared" si="53"/>
        <v>0</v>
      </c>
      <c r="Y116" s="522">
        <f>Y115-Y114</f>
        <v>0</v>
      </c>
      <c r="Z116" s="522">
        <f>Z115-Z114</f>
        <v>0</v>
      </c>
      <c r="AA116" s="522">
        <f>AA115-AA114</f>
        <v>0</v>
      </c>
      <c r="AB116" s="522">
        <f>AB115-AB114</f>
        <v>0</v>
      </c>
      <c r="AC116" s="511">
        <f>SUMIF($E116:$X116,"&gt;0")</f>
        <v>0</v>
      </c>
      <c r="AD116" s="511">
        <f>SUMIF($E116:$X116,"&lt;0")</f>
        <v>-9</v>
      </c>
      <c r="AE116" s="696"/>
      <c r="AF116" s="503" t="s">
        <v>197</v>
      </c>
      <c r="AG116" s="506"/>
      <c r="AH116" s="506">
        <f t="shared" si="49"/>
        <v>-9</v>
      </c>
      <c r="AI116" s="506"/>
      <c r="AJ116" s="506"/>
      <c r="AK116" s="506"/>
      <c r="AL116" s="506"/>
    </row>
    <row r="117" spans="1:38" ht="13">
      <c r="A117" s="1399"/>
      <c r="B117" s="1399"/>
      <c r="C117" s="503" t="s">
        <v>2484</v>
      </c>
      <c r="D117" s="522"/>
      <c r="E117" s="504">
        <f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04">
        <f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04">
        <f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04">
        <f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04">
        <f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04">
        <f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04">
        <f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04">
        <f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04">
        <f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04">
        <f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04">
        <f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04">
        <f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04">
        <f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04">
        <f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04">
        <f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04">
        <f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2</v>
      </c>
      <c r="U117" s="504">
        <f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04">
        <f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04">
        <f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04">
        <f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04">
        <f>SUMIFS('PV SUPPLY DATA'!$X:$X,'PV SUPPLY DATA'!$AH:$AH,'CT capacity tracker'!$B114,'PV SUPPLY DATA'!$AG:$AG,'CT capacity tracker'!$A$97,'PV SUPPLY DATA'!$Y:$Y,Y$1,'PV SUPPLY DATA'!$AQ:$AQ,"cosco")+SUMIFS('PV SUPPLY DATA'!$X:$X,'PV SUPPLY DATA'!$AH:$AH,'CT capacity tracker'!$B114,'PV SUPPLY DATA'!$AG:$AG,'CT capacity tracker'!$A$97,'PV SUPPLY DATA'!$Y:$Y,Y$1,'PV SUPPLY DATA'!$AQ:$AQ,"other")+SUMIFS('ESS SUPPLY DATA'!$U:$U,'ESS SUPPLY DATA'!$AF:$AF,'CT capacity tracker'!$B114,'ESS SUPPLY DATA'!$AE:$AE,'CT capacity tracker'!$A$97,'ESS SUPPLY DATA'!$W:$W,'CT capacity tracker'!Y$1,'ESS SUPPLY DATA'!$AO:$AO,"cosco")+SUMIFS('ESS SUPPLY DATA'!$U:$U,'ESS SUPPLY DATA'!$AF:$AF,'CT capacity tracker'!$B114,'ESS SUPPLY DATA'!$AE:$AE,'CT capacity tracker'!$A$97,'ESS SUPPLY DATA'!$W:$W,'CT capacity tracker'!Y$1,'ESS SUPPLY DATA'!$AO:$AO,"other")</f>
        <v>0</v>
      </c>
      <c r="Z117" s="504">
        <f>SUMIFS('PV SUPPLY DATA'!$X:$X,'PV SUPPLY DATA'!$AH:$AH,'CT capacity tracker'!$B114,'PV SUPPLY DATA'!$AG:$AG,'CT capacity tracker'!$A$97,'PV SUPPLY DATA'!$Y:$Y,Z$1,'PV SUPPLY DATA'!$AQ:$AQ,"cosco")+SUMIFS('PV SUPPLY DATA'!$X:$X,'PV SUPPLY DATA'!$AH:$AH,'CT capacity tracker'!$B114,'PV SUPPLY DATA'!$AG:$AG,'CT capacity tracker'!$A$97,'PV SUPPLY DATA'!$Y:$Y,Z$1,'PV SUPPLY DATA'!$AQ:$AQ,"other")+SUMIFS('ESS SUPPLY DATA'!$U:$U,'ESS SUPPLY DATA'!$AF:$AF,'CT capacity tracker'!$B114,'ESS SUPPLY DATA'!$AE:$AE,'CT capacity tracker'!$A$97,'ESS SUPPLY DATA'!$W:$W,'CT capacity tracker'!Z$1,'ESS SUPPLY DATA'!$AO:$AO,"cosco")+SUMIFS('ESS SUPPLY DATA'!$U:$U,'ESS SUPPLY DATA'!$AF:$AF,'CT capacity tracker'!$B114,'ESS SUPPLY DATA'!$AE:$AE,'CT capacity tracker'!$A$97,'ESS SUPPLY DATA'!$W:$W,'CT capacity tracker'!Z$1,'ESS SUPPLY DATA'!$AO:$AO,"other")</f>
        <v>0</v>
      </c>
      <c r="AA117" s="504">
        <f>SUMIFS('PV SUPPLY DATA'!$X:$X,'PV SUPPLY DATA'!$AH:$AH,'CT capacity tracker'!$B114,'PV SUPPLY DATA'!$AG:$AG,'CT capacity tracker'!$A$97,'PV SUPPLY DATA'!$Y:$Y,AA$1,'PV SUPPLY DATA'!$AQ:$AQ,"cosco")+SUMIFS('PV SUPPLY DATA'!$X:$X,'PV SUPPLY DATA'!$AH:$AH,'CT capacity tracker'!$B114,'PV SUPPLY DATA'!$AG:$AG,'CT capacity tracker'!$A$97,'PV SUPPLY DATA'!$Y:$Y,AA$1,'PV SUPPLY DATA'!$AQ:$AQ,"other")+SUMIFS('ESS SUPPLY DATA'!$U:$U,'ESS SUPPLY DATA'!$AF:$AF,'CT capacity tracker'!$B114,'ESS SUPPLY DATA'!$AE:$AE,'CT capacity tracker'!$A$97,'ESS SUPPLY DATA'!$W:$W,'CT capacity tracker'!AA$1,'ESS SUPPLY DATA'!$AO:$AO,"cosco")+SUMIFS('ESS SUPPLY DATA'!$U:$U,'ESS SUPPLY DATA'!$AF:$AF,'CT capacity tracker'!$B114,'ESS SUPPLY DATA'!$AE:$AE,'CT capacity tracker'!$A$97,'ESS SUPPLY DATA'!$W:$W,'CT capacity tracker'!AA$1,'ESS SUPPLY DATA'!$AO:$AO,"other")</f>
        <v>0</v>
      </c>
      <c r="AB117" s="504">
        <f>SUMIFS('PV SUPPLY DATA'!$X:$X,'PV SUPPLY DATA'!$AH:$AH,'CT capacity tracker'!$B114,'PV SUPPLY DATA'!$AG:$AG,'CT capacity tracker'!$A$97,'PV SUPPLY DATA'!$Y:$Y,AB$1,'PV SUPPLY DATA'!$AQ:$AQ,"cosco")+SUMIFS('PV SUPPLY DATA'!$X:$X,'PV SUPPLY DATA'!$AH:$AH,'CT capacity tracker'!$B114,'PV SUPPLY DATA'!$AG:$AG,'CT capacity tracker'!$A$97,'PV SUPPLY DATA'!$Y:$Y,AB$1,'PV SUPPLY DATA'!$AQ:$AQ,"other")+SUMIFS('ESS SUPPLY DATA'!$U:$U,'ESS SUPPLY DATA'!$AF:$AF,'CT capacity tracker'!$B114,'ESS SUPPLY DATA'!$AE:$AE,'CT capacity tracker'!$A$97,'ESS SUPPLY DATA'!$W:$W,'CT capacity tracker'!AB$1,'ESS SUPPLY DATA'!$AO:$AO,"cosco")+SUMIFS('ESS SUPPLY DATA'!$U:$U,'ESS SUPPLY DATA'!$AF:$AF,'CT capacity tracker'!$B114,'ESS SUPPLY DATA'!$AE:$AE,'CT capacity tracker'!$A$97,'ESS SUPPLY DATA'!$W:$W,'CT capacity tracker'!AB$1,'ESS SUPPLY DATA'!$AO:$AO,"other")</f>
        <v>0</v>
      </c>
      <c r="AC117" s="511"/>
      <c r="AD117" s="511"/>
      <c r="AE117" s="696">
        <f>SUM(E117:X117)</f>
        <v>11</v>
      </c>
      <c r="AF117" s="503"/>
      <c r="AG117" s="506"/>
      <c r="AH117" s="506"/>
      <c r="AI117" s="506"/>
      <c r="AJ117" s="506"/>
      <c r="AK117" s="506"/>
      <c r="AL117" s="506"/>
    </row>
    <row r="118" spans="1:38" ht="14.25" customHeight="1">
      <c r="A118" s="1391" t="s">
        <v>2491</v>
      </c>
      <c r="B118" s="1392"/>
      <c r="C118" s="514" t="s">
        <v>2481</v>
      </c>
      <c r="D118" s="515">
        <f>D98+D102++D106+D114+D110</f>
        <v>0</v>
      </c>
      <c r="E118" s="515">
        <f t="shared" ref="E118:N118" si="54">E98+E102++E106+E114</f>
        <v>0</v>
      </c>
      <c r="F118" s="515">
        <f t="shared" si="54"/>
        <v>0</v>
      </c>
      <c r="G118" s="515">
        <f t="shared" si="54"/>
        <v>0</v>
      </c>
      <c r="H118" s="515">
        <f t="shared" si="54"/>
        <v>0</v>
      </c>
      <c r="I118" s="515">
        <f t="shared" si="54"/>
        <v>0</v>
      </c>
      <c r="J118" s="515">
        <f t="shared" si="54"/>
        <v>9</v>
      </c>
      <c r="K118" s="515">
        <f t="shared" si="54"/>
        <v>0</v>
      </c>
      <c r="L118" s="515">
        <f t="shared" si="54"/>
        <v>0</v>
      </c>
      <c r="M118" s="515">
        <f t="shared" si="54"/>
        <v>9</v>
      </c>
      <c r="N118" s="515">
        <f t="shared" si="54"/>
        <v>6</v>
      </c>
      <c r="O118" s="515">
        <f t="shared" ref="O118:X118" si="55">O98+O102+O110+O106+O114</f>
        <v>2</v>
      </c>
      <c r="P118" s="515">
        <f t="shared" si="55"/>
        <v>5</v>
      </c>
      <c r="Q118" s="515">
        <f t="shared" si="55"/>
        <v>27</v>
      </c>
      <c r="R118" s="515">
        <f t="shared" si="55"/>
        <v>11</v>
      </c>
      <c r="S118" s="515">
        <f t="shared" si="55"/>
        <v>0</v>
      </c>
      <c r="T118" s="515">
        <f t="shared" si="55"/>
        <v>8</v>
      </c>
      <c r="U118" s="515">
        <f t="shared" si="55"/>
        <v>4</v>
      </c>
      <c r="V118" s="515">
        <f t="shared" si="55"/>
        <v>12</v>
      </c>
      <c r="W118" s="515">
        <f t="shared" si="55"/>
        <v>4</v>
      </c>
      <c r="X118" s="515">
        <f t="shared" si="55"/>
        <v>2</v>
      </c>
      <c r="Y118" s="515">
        <f t="shared" ref="Y118:AB121" si="56">Y98+Y102+Y110+Y106+Y114</f>
        <v>0</v>
      </c>
      <c r="Z118" s="515">
        <f t="shared" si="56"/>
        <v>8</v>
      </c>
      <c r="AA118" s="515">
        <f t="shared" si="56"/>
        <v>8</v>
      </c>
      <c r="AB118" s="515">
        <f t="shared" si="56"/>
        <v>8</v>
      </c>
      <c r="AC118" s="505" t="s">
        <v>197</v>
      </c>
      <c r="AD118" s="505" t="s">
        <v>197</v>
      </c>
      <c r="AE118" s="697">
        <f>SUM(E118:X118)</f>
        <v>99</v>
      </c>
      <c r="AF118" s="503" t="s">
        <v>197</v>
      </c>
      <c r="AG118" s="696">
        <f>SUM(T118:X118)</f>
        <v>30</v>
      </c>
      <c r="AH118" s="506">
        <f t="shared" si="49"/>
        <v>9</v>
      </c>
      <c r="AI118" s="506"/>
      <c r="AJ118" s="506"/>
      <c r="AK118" s="506"/>
      <c r="AL118" s="506"/>
    </row>
    <row r="119" spans="1:38" ht="13">
      <c r="A119" s="1393"/>
      <c r="B119" s="1394"/>
      <c r="C119" s="516" t="s">
        <v>2482</v>
      </c>
      <c r="D119" s="515"/>
      <c r="E119" s="515">
        <f t="shared" ref="E119:N119" si="57">E99+E103++E107+E115</f>
        <v>0</v>
      </c>
      <c r="F119" s="515">
        <f t="shared" si="57"/>
        <v>0</v>
      </c>
      <c r="G119" s="515">
        <f t="shared" si="57"/>
        <v>0</v>
      </c>
      <c r="H119" s="515">
        <f t="shared" si="57"/>
        <v>0</v>
      </c>
      <c r="I119" s="515">
        <f t="shared" si="57"/>
        <v>0</v>
      </c>
      <c r="J119" s="515">
        <f t="shared" si="57"/>
        <v>0</v>
      </c>
      <c r="K119" s="515">
        <f t="shared" si="57"/>
        <v>0</v>
      </c>
      <c r="L119" s="515">
        <f t="shared" si="57"/>
        <v>0</v>
      </c>
      <c r="M119" s="515">
        <f t="shared" si="57"/>
        <v>5</v>
      </c>
      <c r="N119" s="515">
        <f t="shared" si="57"/>
        <v>5</v>
      </c>
      <c r="O119" s="515">
        <f t="shared" ref="O119:X119" si="58">O99+O103+O111+O107+O115</f>
        <v>10</v>
      </c>
      <c r="P119" s="515">
        <f t="shared" si="58"/>
        <v>8</v>
      </c>
      <c r="Q119" s="515">
        <f>Q99+Q103+Q111+Q107+Q115</f>
        <v>10</v>
      </c>
      <c r="R119" s="515">
        <f t="shared" si="58"/>
        <v>10</v>
      </c>
      <c r="S119" s="515">
        <f t="shared" si="58"/>
        <v>12</v>
      </c>
      <c r="T119" s="515">
        <f t="shared" si="58"/>
        <v>10</v>
      </c>
      <c r="U119" s="515">
        <f t="shared" si="58"/>
        <v>10</v>
      </c>
      <c r="V119" s="515">
        <f t="shared" si="58"/>
        <v>10</v>
      </c>
      <c r="W119" s="515">
        <f t="shared" si="58"/>
        <v>4</v>
      </c>
      <c r="X119" s="515">
        <f t="shared" si="58"/>
        <v>5</v>
      </c>
      <c r="Y119" s="515">
        <f t="shared" si="56"/>
        <v>7</v>
      </c>
      <c r="Z119" s="515">
        <f t="shared" si="56"/>
        <v>10</v>
      </c>
      <c r="AA119" s="515">
        <f t="shared" si="56"/>
        <v>10</v>
      </c>
      <c r="AB119" s="515">
        <f t="shared" si="56"/>
        <v>10</v>
      </c>
      <c r="AC119" s="505" t="s">
        <v>197</v>
      </c>
      <c r="AD119" s="505" t="s">
        <v>197</v>
      </c>
      <c r="AE119" s="505"/>
      <c r="AF119" s="503" t="s">
        <v>197</v>
      </c>
      <c r="AG119" s="506"/>
      <c r="AH119" s="506">
        <f t="shared" si="49"/>
        <v>0</v>
      </c>
      <c r="AI119" s="506"/>
      <c r="AJ119" s="506"/>
      <c r="AK119" s="506"/>
      <c r="AL119" s="506"/>
    </row>
    <row r="120" spans="1:38" ht="13">
      <c r="A120" s="1393"/>
      <c r="B120" s="1394"/>
      <c r="C120" s="521" t="s">
        <v>2483</v>
      </c>
      <c r="D120" s="523"/>
      <c r="E120" s="523">
        <f t="shared" ref="E120:J120" si="59">E100+E104++E108+E116</f>
        <v>0</v>
      </c>
      <c r="F120" s="523">
        <f t="shared" si="59"/>
        <v>0</v>
      </c>
      <c r="G120" s="523">
        <f t="shared" si="59"/>
        <v>0</v>
      </c>
      <c r="H120" s="523">
        <f t="shared" si="59"/>
        <v>0</v>
      </c>
      <c r="I120" s="523">
        <f t="shared" si="59"/>
        <v>0</v>
      </c>
      <c r="J120" s="523">
        <f t="shared" si="59"/>
        <v>-9</v>
      </c>
      <c r="K120" s="523">
        <f>K100+K104+K108+K116</f>
        <v>0</v>
      </c>
      <c r="L120" s="523">
        <f>L100+L104+L108+L116</f>
        <v>0</v>
      </c>
      <c r="M120" s="523">
        <f t="shared" ref="M120:N120" si="60">M100+M104++M108+M116</f>
        <v>-4</v>
      </c>
      <c r="N120" s="523">
        <f t="shared" si="60"/>
        <v>-1</v>
      </c>
      <c r="O120" s="523">
        <f t="shared" ref="O120:X120" si="61">O100+O104+O112+O108+O116</f>
        <v>8</v>
      </c>
      <c r="P120" s="523">
        <f t="shared" si="61"/>
        <v>3</v>
      </c>
      <c r="Q120" s="523">
        <f t="shared" si="61"/>
        <v>-17</v>
      </c>
      <c r="R120" s="523">
        <f t="shared" si="61"/>
        <v>-1</v>
      </c>
      <c r="S120" s="523">
        <f t="shared" si="61"/>
        <v>12</v>
      </c>
      <c r="T120" s="523">
        <f t="shared" si="61"/>
        <v>2</v>
      </c>
      <c r="U120" s="523">
        <f t="shared" si="61"/>
        <v>6</v>
      </c>
      <c r="V120" s="523">
        <f t="shared" si="61"/>
        <v>-2</v>
      </c>
      <c r="W120" s="523">
        <f t="shared" si="61"/>
        <v>0</v>
      </c>
      <c r="X120" s="523">
        <f t="shared" si="61"/>
        <v>3</v>
      </c>
      <c r="Y120" s="523">
        <f t="shared" si="56"/>
        <v>7</v>
      </c>
      <c r="Z120" s="523">
        <f t="shared" si="56"/>
        <v>2</v>
      </c>
      <c r="AA120" s="523">
        <f t="shared" si="56"/>
        <v>2</v>
      </c>
      <c r="AB120" s="523">
        <f t="shared" si="56"/>
        <v>2</v>
      </c>
      <c r="AC120" s="511">
        <f>SUMIF($E120:$X120,"&gt;0")</f>
        <v>34</v>
      </c>
      <c r="AD120" s="511">
        <f>SUMIF($E120:$X120,"&lt;0")</f>
        <v>-34</v>
      </c>
      <c r="AE120" s="511"/>
      <c r="AF120" s="503" t="s">
        <v>197</v>
      </c>
      <c r="AG120" s="506"/>
      <c r="AH120" s="517">
        <f t="shared" si="49"/>
        <v>-9</v>
      </c>
      <c r="AI120" s="506"/>
      <c r="AJ120" s="506"/>
      <c r="AK120" s="506"/>
      <c r="AL120" s="506"/>
    </row>
    <row r="121" spans="1:38" ht="13">
      <c r="A121" s="1395"/>
      <c r="B121" s="1396"/>
      <c r="C121" s="514" t="s">
        <v>2484</v>
      </c>
      <c r="D121" s="523"/>
      <c r="E121" s="523">
        <f>E101+E105++E109+E117</f>
        <v>0</v>
      </c>
      <c r="F121" s="523">
        <f t="shared" ref="F121:N121" si="62">F101+F105++F109+F117</f>
        <v>0</v>
      </c>
      <c r="G121" s="523">
        <f t="shared" si="62"/>
        <v>0</v>
      </c>
      <c r="H121" s="523">
        <f t="shared" si="62"/>
        <v>0</v>
      </c>
      <c r="I121" s="523">
        <f t="shared" si="62"/>
        <v>0</v>
      </c>
      <c r="J121" s="523">
        <f t="shared" si="62"/>
        <v>9</v>
      </c>
      <c r="K121" s="523">
        <f t="shared" si="62"/>
        <v>0</v>
      </c>
      <c r="L121" s="523">
        <f t="shared" si="62"/>
        <v>0</v>
      </c>
      <c r="M121" s="523">
        <f t="shared" si="62"/>
        <v>9</v>
      </c>
      <c r="N121" s="523">
        <f t="shared" si="62"/>
        <v>6</v>
      </c>
      <c r="O121" s="523">
        <f t="shared" ref="O121:X121" si="63">O101+O105+O113+O109+O117</f>
        <v>2</v>
      </c>
      <c r="P121" s="523">
        <f t="shared" si="63"/>
        <v>5</v>
      </c>
      <c r="Q121" s="523">
        <f t="shared" si="63"/>
        <v>27</v>
      </c>
      <c r="R121" s="523">
        <f t="shared" si="63"/>
        <v>11</v>
      </c>
      <c r="S121" s="523">
        <f t="shared" si="63"/>
        <v>0</v>
      </c>
      <c r="T121" s="523">
        <f t="shared" si="63"/>
        <v>8</v>
      </c>
      <c r="U121" s="523">
        <f t="shared" si="63"/>
        <v>4</v>
      </c>
      <c r="V121" s="523">
        <f t="shared" si="63"/>
        <v>12</v>
      </c>
      <c r="W121" s="523">
        <f t="shared" si="63"/>
        <v>4</v>
      </c>
      <c r="X121" s="523">
        <f t="shared" si="63"/>
        <v>2</v>
      </c>
      <c r="Y121" s="523">
        <f t="shared" si="56"/>
        <v>0</v>
      </c>
      <c r="Z121" s="523">
        <f t="shared" si="56"/>
        <v>7</v>
      </c>
      <c r="AA121" s="523">
        <f t="shared" si="56"/>
        <v>0</v>
      </c>
      <c r="AB121" s="523">
        <f t="shared" si="56"/>
        <v>0</v>
      </c>
      <c r="AC121" s="511"/>
      <c r="AD121" s="511"/>
      <c r="AE121" s="697">
        <f>SUM(E121:X121)</f>
        <v>99</v>
      </c>
      <c r="AF121" s="503"/>
      <c r="AG121" s="696">
        <f>SUM(T121:W121)</f>
        <v>28</v>
      </c>
      <c r="AH121" s="693"/>
      <c r="AI121" s="506"/>
      <c r="AJ121" s="506"/>
      <c r="AK121" s="506"/>
      <c r="AL121" s="506"/>
    </row>
    <row r="122" spans="1:38" ht="13">
      <c r="A122" s="1397" t="s">
        <v>86</v>
      </c>
      <c r="B122" s="1397" t="s">
        <v>78</v>
      </c>
      <c r="C122" s="503" t="s">
        <v>2481</v>
      </c>
      <c r="D122" s="504">
        <f>SUMIFS('PV SUPPLY DATA'!$X:$X,'PV SUPPLY DATA'!$AH:$AH,'CT capacity tracker'!$B122,'PV SUPPLY DATA'!$AG:$AG,'CT capacity tracker'!$A$97,'PV SUPPLY DATA'!$Y:$Y,'CT capacity tracker'!D$1)</f>
        <v>0</v>
      </c>
      <c r="E122" s="504">
        <f>SUMIFS('PV SUPPLY DATA'!$X:$X,'PV SUPPLY DATA'!$Y:$Y,'CT capacity tracker'!E$1,'PV SUPPLY DATA'!$AG:$AG,'CT capacity tracker'!$A$97,'PV SUPPLY DATA'!$AH:$AH,'CT capacity tracker'!$B$122)</f>
        <v>0</v>
      </c>
      <c r="F122" s="504">
        <f>SUMIFS('PV SUPPLY DATA'!$X:$X,'PV SUPPLY DATA'!$Y:$Y,'CT capacity tracker'!F$1,'PV SUPPLY DATA'!$AG:$AG,'CT capacity tracker'!$A$97,'PV SUPPLY DATA'!$AH:$AH,'CT capacity tracker'!$B$122)</f>
        <v>0</v>
      </c>
      <c r="G122" s="504">
        <f>SUMIFS('PV SUPPLY DATA'!$X:$X,'PV SUPPLY DATA'!$Y:$Y,'CT capacity tracker'!G$1,'PV SUPPLY DATA'!$AG:$AG,'CT capacity tracker'!$A$97,'PV SUPPLY DATA'!$AH:$AH,'CT capacity tracker'!$B$122)</f>
        <v>0</v>
      </c>
      <c r="H122" s="504">
        <f>SUMIFS('PV SUPPLY DATA'!$X:$X,'PV SUPPLY DATA'!$Y:$Y,'CT capacity tracker'!H$1,'PV SUPPLY DATA'!$AG:$AG,'CT capacity tracker'!$A$97,'PV SUPPLY DATA'!$AH:$AH,'CT capacity tracker'!$B$122)</f>
        <v>0</v>
      </c>
      <c r="I122" s="504">
        <f>SUMIFS('PV SUPPLY DATA'!$X:$X,'PV SUPPLY DATA'!$Y:$Y,'CT capacity tracker'!I$1,'PV SUPPLY DATA'!$AG:$AG,'CT capacity tracker'!$A$97,'PV SUPPLY DATA'!$AH:$AH,'CT capacity tracker'!$B$122)</f>
        <v>0</v>
      </c>
      <c r="J122" s="504">
        <f>SUMIFS('PV SUPPLY DATA'!$X:$X,'PV SUPPLY DATA'!$Y:$Y,'CT capacity tracker'!J$1,'PV SUPPLY DATA'!$AG:$AG,'CT capacity tracker'!$A$97,'PV SUPPLY DATA'!$AH:$AH,'CT capacity tracker'!$B$122)</f>
        <v>0</v>
      </c>
      <c r="K122" s="504">
        <f>SUMIFS('PV SUPPLY DATA'!$X:$X,'PV SUPPLY DATA'!$Y:$Y,'CT capacity tracker'!K$1,'PV SUPPLY DATA'!$AG:$AG,'CT capacity tracker'!$A$97,'PV SUPPLY DATA'!$AH:$AH,'CT capacity tracker'!$B$122)</f>
        <v>0</v>
      </c>
      <c r="L122" s="504">
        <f>SUMIFS('PV SUPPLY DATA'!$X:$X,'PV SUPPLY DATA'!$Y:$Y,'CT capacity tracker'!L$1,'PV SUPPLY DATA'!$AG:$AG,'CT capacity tracker'!$A$97,'PV SUPPLY DATA'!$AH:$AH,'CT capacity tracker'!$B$122)</f>
        <v>0</v>
      </c>
      <c r="M122" s="504">
        <f>SUMIFS('PV SUPPLY DATA'!$X:$X,'PV SUPPLY DATA'!$Y:$Y,'CT capacity tracker'!M$1,'PV SUPPLY DATA'!$AG:$AG,'CT capacity tracker'!$A$97,'PV SUPPLY DATA'!$AH:$AH,'CT capacity tracker'!$B$122)</f>
        <v>0</v>
      </c>
      <c r="N122" s="504">
        <f>SUMIFS('PV SUPPLY DATA'!$X:$X,'PV SUPPLY DATA'!$Y:$Y,'CT capacity tracker'!N$1,'PV SUPPLY DATA'!$AG:$AG,'CT capacity tracker'!$A$97,'PV SUPPLY DATA'!$AH:$AH,'CT capacity tracker'!$B$122)</f>
        <v>6</v>
      </c>
      <c r="O122" s="504">
        <f>SUMIFS('PV SUPPLY DATA'!$X:$X,'PV SUPPLY DATA'!$Y:$Y,'CT capacity tracker'!O$1,'PV SUPPLY DATA'!$AG:$AG,'CT capacity tracker'!$A$97,'PV SUPPLY DATA'!$AH:$AH,'CT capacity tracker'!$B$122)</f>
        <v>2</v>
      </c>
      <c r="P122" s="504">
        <f>SUMIFS('PV SUPPLY DATA'!$X:$X,'PV SUPPLY DATA'!$Y:$Y,'CT capacity tracker'!P$1,'PV SUPPLY DATA'!$AG:$AG,'CT capacity tracker'!$A$97,'PV SUPPLY DATA'!$AH:$AH,'CT capacity tracker'!$B$122)</f>
        <v>2</v>
      </c>
      <c r="Q122" s="504">
        <f>SUMIFS('PV SUPPLY DATA'!$X:$X,'PV SUPPLY DATA'!$Y:$Y,'CT capacity tracker'!Q$1,'PV SUPPLY DATA'!$AG:$AG,'CT capacity tracker'!$A$97,'PV SUPPLY DATA'!$AH:$AH,'CT capacity tracker'!$B$122)</f>
        <v>1</v>
      </c>
      <c r="R122" s="504">
        <f>SUMIFS('PV SUPPLY DATA'!$X:$X,'PV SUPPLY DATA'!$Y:$Y,'CT capacity tracker'!R$1,'PV SUPPLY DATA'!$AG:$AG,'CT capacity tracker'!$A$97,'PV SUPPLY DATA'!$AH:$AH,'CT capacity tracker'!$B$122)</f>
        <v>1</v>
      </c>
      <c r="S122" s="504">
        <f>SUMIFS('PV SUPPLY DATA'!$X:$X,'PV SUPPLY DATA'!$Y:$Y,'CT capacity tracker'!S$1,'PV SUPPLY DATA'!$AG:$AG,'CT capacity tracker'!$A$97,'PV SUPPLY DATA'!$AH:$AH,'CT capacity tracker'!$B$122)</f>
        <v>2</v>
      </c>
      <c r="T122" s="504">
        <f>SUMIFS('PV SUPPLY DATA'!$X:$X,'PV SUPPLY DATA'!$Y:$Y,'CT capacity tracker'!T$1,'PV SUPPLY DATA'!$AG:$AG,'CT capacity tracker'!$A$97,'PV SUPPLY DATA'!$AH:$AH,'CT capacity tracker'!$B$122)</f>
        <v>1</v>
      </c>
      <c r="U122" s="504">
        <f>SUMIFS('PV SUPPLY DATA'!$X:$X,'PV SUPPLY DATA'!$Y:$Y,'CT capacity tracker'!U$1,'PV SUPPLY DATA'!$AG:$AG,'CT capacity tracker'!$A$97,'PV SUPPLY DATA'!$AH:$AH,'CT capacity tracker'!$B$122)</f>
        <v>1</v>
      </c>
      <c r="V122" s="504">
        <f>SUMIFS('PV SUPPLY DATA'!$X:$X,'PV SUPPLY DATA'!$Y:$Y,'CT capacity tracker'!V$1,'PV SUPPLY DATA'!$AG:$AG,'CT capacity tracker'!$A$97,'PV SUPPLY DATA'!$AH:$AH,'CT capacity tracker'!$B$122)</f>
        <v>0</v>
      </c>
      <c r="W122" s="504">
        <f>SUMIFS('PV SUPPLY DATA'!$X:$X,'PV SUPPLY DATA'!$Y:$Y,'CT capacity tracker'!W$1,'PV SUPPLY DATA'!$AG:$AG,'CT capacity tracker'!$A$97,'PV SUPPLY DATA'!$AH:$AH,'CT capacity tracker'!$B$122)</f>
        <v>2</v>
      </c>
      <c r="X122" s="504">
        <f>SUMIFS('PV SUPPLY DATA'!$X:$X,'PV SUPPLY DATA'!$Y:$Y,'CT capacity tracker'!X$1,'PV SUPPLY DATA'!$AG:$AG,'CT capacity tracker'!$A$97,'PV SUPPLY DATA'!$AH:$AH,'CT capacity tracker'!$B$122)</f>
        <v>0</v>
      </c>
      <c r="Y122" s="504">
        <f>SUMIFS('PV SUPPLY DATA'!$X:$X,'PV SUPPLY DATA'!$Y:$Y,'CT capacity tracker'!Y$1,'PV SUPPLY DATA'!$AG:$AG,'CT capacity tracker'!$A$97,'PV SUPPLY DATA'!$AH:$AH,'CT capacity tracker'!$B$122)</f>
        <v>2</v>
      </c>
      <c r="Z122" s="504">
        <f>SUMIFS('PV SUPPLY DATA'!$X:$X,'PV SUPPLY DATA'!$Y:$Y,'CT capacity tracker'!Z$1,'PV SUPPLY DATA'!$AG:$AG,'CT capacity tracker'!$A$97,'PV SUPPLY DATA'!$AH:$AH,'CT capacity tracker'!$B$122)</f>
        <v>0</v>
      </c>
      <c r="AA122" s="504">
        <f>SUMIFS('PV SUPPLY DATA'!$X:$X,'PV SUPPLY DATA'!$Y:$Y,'CT capacity tracker'!AA$1,'PV SUPPLY DATA'!$AG:$AG,'CT capacity tracker'!$A$97,'PV SUPPLY DATA'!$AH:$AH,'CT capacity tracker'!$B$122)</f>
        <v>0</v>
      </c>
      <c r="AB122" s="504">
        <f>SUMIFS('PV SUPPLY DATA'!$X:$X,'PV SUPPLY DATA'!$Y:$Y,'CT capacity tracker'!AB$1,'PV SUPPLY DATA'!$AG:$AG,'CT capacity tracker'!$A$97,'PV SUPPLY DATA'!$AH:$AH,'CT capacity tracker'!$B$122)</f>
        <v>0</v>
      </c>
      <c r="AC122" s="505" t="s">
        <v>197</v>
      </c>
      <c r="AD122" s="505" t="s">
        <v>197</v>
      </c>
      <c r="AE122" s="696">
        <f>SUM(E122:X122)</f>
        <v>18</v>
      </c>
      <c r="AF122" s="503" t="s">
        <v>197</v>
      </c>
      <c r="AG122" s="506"/>
      <c r="AH122" s="506">
        <f t="shared" si="49"/>
        <v>0</v>
      </c>
      <c r="AI122" s="506"/>
      <c r="AJ122" s="506"/>
      <c r="AK122" s="506"/>
      <c r="AL122" s="506"/>
    </row>
    <row r="123" spans="1:38" ht="13">
      <c r="A123" s="1398"/>
      <c r="B123" s="1398"/>
      <c r="C123" s="509" t="s">
        <v>2482</v>
      </c>
      <c r="D123" s="509"/>
      <c r="E123" s="510"/>
      <c r="F123" s="510"/>
      <c r="G123" s="510"/>
      <c r="H123" s="510"/>
      <c r="I123" s="510"/>
      <c r="J123" s="510"/>
      <c r="K123" s="510"/>
      <c r="L123" s="510"/>
      <c r="M123" s="510">
        <v>1</v>
      </c>
      <c r="N123" s="510">
        <v>2</v>
      </c>
      <c r="O123" s="510">
        <v>2</v>
      </c>
      <c r="P123" s="510">
        <v>1</v>
      </c>
      <c r="Q123" s="510">
        <v>2</v>
      </c>
      <c r="R123" s="510">
        <v>1</v>
      </c>
      <c r="S123" s="510">
        <v>2</v>
      </c>
      <c r="T123" s="510">
        <v>1</v>
      </c>
      <c r="U123" s="510">
        <v>2</v>
      </c>
      <c r="V123" s="510">
        <v>2</v>
      </c>
      <c r="W123" s="510">
        <v>2</v>
      </c>
      <c r="X123" s="510">
        <v>1</v>
      </c>
      <c r="Y123" s="513">
        <v>1</v>
      </c>
      <c r="Z123" s="513">
        <v>2</v>
      </c>
      <c r="AA123" s="513">
        <v>2</v>
      </c>
      <c r="AB123" s="513">
        <v>2</v>
      </c>
      <c r="AC123" s="505" t="s">
        <v>197</v>
      </c>
      <c r="AD123" s="505" t="s">
        <v>197</v>
      </c>
      <c r="AE123" s="696"/>
      <c r="AF123" s="503" t="s">
        <v>197</v>
      </c>
      <c r="AG123" s="506"/>
      <c r="AH123" s="506">
        <f t="shared" si="49"/>
        <v>0</v>
      </c>
      <c r="AI123" s="506"/>
      <c r="AJ123" s="506"/>
      <c r="AK123" s="506"/>
      <c r="AL123" s="506"/>
    </row>
    <row r="124" spans="1:38" ht="13">
      <c r="A124" s="1398"/>
      <c r="B124" s="1398"/>
      <c r="C124" s="520" t="s">
        <v>2483</v>
      </c>
      <c r="D124" s="522"/>
      <c r="E124" s="522">
        <f>E123-E122</f>
        <v>0</v>
      </c>
      <c r="F124" s="522">
        <f t="shared" ref="F124:X124" si="64">F123-F122</f>
        <v>0</v>
      </c>
      <c r="G124" s="522">
        <f t="shared" si="64"/>
        <v>0</v>
      </c>
      <c r="H124" s="522">
        <f t="shared" si="64"/>
        <v>0</v>
      </c>
      <c r="I124" s="522">
        <f t="shared" si="64"/>
        <v>0</v>
      </c>
      <c r="J124" s="522">
        <f t="shared" si="64"/>
        <v>0</v>
      </c>
      <c r="K124" s="522">
        <f t="shared" si="64"/>
        <v>0</v>
      </c>
      <c r="L124" s="522">
        <f t="shared" si="64"/>
        <v>0</v>
      </c>
      <c r="M124" s="522">
        <f t="shared" si="64"/>
        <v>1</v>
      </c>
      <c r="N124" s="522">
        <f t="shared" si="64"/>
        <v>-4</v>
      </c>
      <c r="O124" s="522">
        <f t="shared" si="64"/>
        <v>0</v>
      </c>
      <c r="P124" s="522">
        <f t="shared" si="64"/>
        <v>-1</v>
      </c>
      <c r="Q124" s="522">
        <f t="shared" si="64"/>
        <v>1</v>
      </c>
      <c r="R124" s="522">
        <f t="shared" si="64"/>
        <v>0</v>
      </c>
      <c r="S124" s="522">
        <f t="shared" si="64"/>
        <v>0</v>
      </c>
      <c r="T124" s="522">
        <f t="shared" si="64"/>
        <v>0</v>
      </c>
      <c r="U124" s="522">
        <f t="shared" si="64"/>
        <v>1</v>
      </c>
      <c r="V124" s="522">
        <f t="shared" si="64"/>
        <v>2</v>
      </c>
      <c r="W124" s="522">
        <f t="shared" si="64"/>
        <v>0</v>
      </c>
      <c r="X124" s="522">
        <f t="shared" si="64"/>
        <v>1</v>
      </c>
      <c r="Y124" s="522">
        <f>Y123-Y122</f>
        <v>-1</v>
      </c>
      <c r="Z124" s="522">
        <f>Z123-Z122</f>
        <v>2</v>
      </c>
      <c r="AA124" s="522">
        <f>AA123-AA122</f>
        <v>2</v>
      </c>
      <c r="AB124" s="522">
        <f>AB123-AB122</f>
        <v>2</v>
      </c>
      <c r="AC124" s="511">
        <f>SUMIF($E124:$X124,"&gt;0")</f>
        <v>6</v>
      </c>
      <c r="AD124" s="511">
        <f>SUMIF($E124:$X124,"&lt;0")</f>
        <v>-5</v>
      </c>
      <c r="AE124" s="696"/>
      <c r="AF124" s="503"/>
      <c r="AG124" s="506"/>
      <c r="AH124" s="506">
        <f t="shared" si="49"/>
        <v>0</v>
      </c>
      <c r="AI124" s="506"/>
      <c r="AJ124" s="506"/>
      <c r="AK124" s="506"/>
      <c r="AL124" s="506"/>
    </row>
    <row r="125" spans="1:38" ht="13">
      <c r="A125" s="1398"/>
      <c r="B125" s="1399"/>
      <c r="C125" s="503" t="s">
        <v>2484</v>
      </c>
      <c r="D125" s="522"/>
      <c r="E125" s="504">
        <f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04">
        <f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04">
        <f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04">
        <f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04">
        <f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04">
        <f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04">
        <f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04">
        <f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04">
        <f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04">
        <f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04">
        <f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04">
        <f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04">
        <f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04">
        <f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1</v>
      </c>
      <c r="S125" s="504">
        <f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2</v>
      </c>
      <c r="T125" s="504">
        <f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04">
        <f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1</v>
      </c>
      <c r="V125" s="504">
        <f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04">
        <f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2</v>
      </c>
      <c r="X125" s="504">
        <f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04">
        <f>SUMIFS('PV SUPPLY DATA'!$X:$X,'PV SUPPLY DATA'!$AH:$AH,'CT capacity tracker'!$B122,'PV SUPPLY DATA'!$AG:$AG,'CT capacity tracker'!$A$97,'PV SUPPLY DATA'!$Y:$Y,Y$1,'PV SUPPLY DATA'!$AQ:$AQ,"cosco")+SUMIFS('PV SUPPLY DATA'!$X:$X,'PV SUPPLY DATA'!$AH:$AH,'CT capacity tracker'!$B122,'PV SUPPLY DATA'!$AG:$AG,'CT capacity tracker'!$A$97,'PV SUPPLY DATA'!$Y:$Y,Y$1,'PV SUPPLY DATA'!$AQ:$AQ,"other")+SUMIFS('ESS SUPPLY DATA'!$U:$U,'ESS SUPPLY DATA'!$AF:$AF,'CT capacity tracker'!$B122,'ESS SUPPLY DATA'!$AE:$AE,'CT capacity tracker'!$A$97,'ESS SUPPLY DATA'!$W:$W,'CT capacity tracker'!Y$1,'ESS SUPPLY DATA'!$AO:$AO,"cosco")+SUMIFS('ESS SUPPLY DATA'!$U:$U,'ESS SUPPLY DATA'!$AF:$AF,'CT capacity tracker'!$B122,'ESS SUPPLY DATA'!$AE:$AE,'CT capacity tracker'!$A$97,'ESS SUPPLY DATA'!$W:$W,'CT capacity tracker'!Y$1,'ESS SUPPLY DATA'!$AO:$AO,"other")</f>
        <v>2</v>
      </c>
      <c r="Z125" s="504">
        <f>SUMIFS('PV SUPPLY DATA'!$X:$X,'PV SUPPLY DATA'!$AH:$AH,'CT capacity tracker'!$B122,'PV SUPPLY DATA'!$AG:$AG,'CT capacity tracker'!$A$97,'PV SUPPLY DATA'!$Y:$Y,Z$1,'PV SUPPLY DATA'!$AQ:$AQ,"cosco")+SUMIFS('PV SUPPLY DATA'!$X:$X,'PV SUPPLY DATA'!$AH:$AH,'CT capacity tracker'!$B122,'PV SUPPLY DATA'!$AG:$AG,'CT capacity tracker'!$A$97,'PV SUPPLY DATA'!$Y:$Y,Z$1,'PV SUPPLY DATA'!$AQ:$AQ,"other")+SUMIFS('ESS SUPPLY DATA'!$U:$U,'ESS SUPPLY DATA'!$AF:$AF,'CT capacity tracker'!$B122,'ESS SUPPLY DATA'!$AE:$AE,'CT capacity tracker'!$A$97,'ESS SUPPLY DATA'!$W:$W,'CT capacity tracker'!Z$1,'ESS SUPPLY DATA'!$AO:$AO,"cosco")+SUMIFS('ESS SUPPLY DATA'!$U:$U,'ESS SUPPLY DATA'!$AF:$AF,'CT capacity tracker'!$B122,'ESS SUPPLY DATA'!$AE:$AE,'CT capacity tracker'!$A$97,'ESS SUPPLY DATA'!$W:$W,'CT capacity tracker'!Z$1,'ESS SUPPLY DATA'!$AO:$AO,"other")</f>
        <v>0</v>
      </c>
      <c r="AA125" s="504">
        <f>SUMIFS('PV SUPPLY DATA'!$X:$X,'PV SUPPLY DATA'!$AH:$AH,'CT capacity tracker'!$B122,'PV SUPPLY DATA'!$AG:$AG,'CT capacity tracker'!$A$97,'PV SUPPLY DATA'!$Y:$Y,AA$1,'PV SUPPLY DATA'!$AQ:$AQ,"cosco")+SUMIFS('PV SUPPLY DATA'!$X:$X,'PV SUPPLY DATA'!$AH:$AH,'CT capacity tracker'!$B122,'PV SUPPLY DATA'!$AG:$AG,'CT capacity tracker'!$A$97,'PV SUPPLY DATA'!$Y:$Y,AA$1,'PV SUPPLY DATA'!$AQ:$AQ,"other")+SUMIFS('ESS SUPPLY DATA'!$U:$U,'ESS SUPPLY DATA'!$AF:$AF,'CT capacity tracker'!$B122,'ESS SUPPLY DATA'!$AE:$AE,'CT capacity tracker'!$A$97,'ESS SUPPLY DATA'!$W:$W,'CT capacity tracker'!AA$1,'ESS SUPPLY DATA'!$AO:$AO,"cosco")+SUMIFS('ESS SUPPLY DATA'!$U:$U,'ESS SUPPLY DATA'!$AF:$AF,'CT capacity tracker'!$B122,'ESS SUPPLY DATA'!$AE:$AE,'CT capacity tracker'!$A$97,'ESS SUPPLY DATA'!$W:$W,'CT capacity tracker'!AA$1,'ESS SUPPLY DATA'!$AO:$AO,"other")</f>
        <v>0</v>
      </c>
      <c r="AB125" s="504">
        <f>SUMIFS('PV SUPPLY DATA'!$X:$X,'PV SUPPLY DATA'!$AH:$AH,'CT capacity tracker'!$B122,'PV SUPPLY DATA'!$AG:$AG,'CT capacity tracker'!$A$97,'PV SUPPLY DATA'!$Y:$Y,AB$1,'PV SUPPLY DATA'!$AQ:$AQ,"cosco")+SUMIFS('PV SUPPLY DATA'!$X:$X,'PV SUPPLY DATA'!$AH:$AH,'CT capacity tracker'!$B122,'PV SUPPLY DATA'!$AG:$AG,'CT capacity tracker'!$A$97,'PV SUPPLY DATA'!$Y:$Y,AB$1,'PV SUPPLY DATA'!$AQ:$AQ,"other")+SUMIFS('ESS SUPPLY DATA'!$U:$U,'ESS SUPPLY DATA'!$AF:$AF,'CT capacity tracker'!$B122,'ESS SUPPLY DATA'!$AE:$AE,'CT capacity tracker'!$A$97,'ESS SUPPLY DATA'!$W:$W,'CT capacity tracker'!AB$1,'ESS SUPPLY DATA'!$AO:$AO,"cosco")+SUMIFS('ESS SUPPLY DATA'!$U:$U,'ESS SUPPLY DATA'!$AF:$AF,'CT capacity tracker'!$B122,'ESS SUPPLY DATA'!$AE:$AE,'CT capacity tracker'!$A$97,'ESS SUPPLY DATA'!$W:$W,'CT capacity tracker'!AB$1,'ESS SUPPLY DATA'!$AO:$AO,"other")</f>
        <v>0</v>
      </c>
      <c r="AC125" s="511"/>
      <c r="AD125" s="511"/>
      <c r="AE125" s="696">
        <f>SUM(E125:X125)</f>
        <v>18</v>
      </c>
      <c r="AF125" s="503"/>
      <c r="AG125" s="506"/>
      <c r="AH125" s="506"/>
      <c r="AI125" s="506"/>
      <c r="AJ125" s="506"/>
      <c r="AK125" s="506"/>
      <c r="AL125" s="506"/>
    </row>
    <row r="126" spans="1:38" ht="13">
      <c r="A126" s="1398"/>
      <c r="B126" s="1397" t="s">
        <v>314</v>
      </c>
      <c r="C126" s="503" t="s">
        <v>2481</v>
      </c>
      <c r="D126" s="504">
        <f>SUMIFS('PV SUPPLY DATA'!$X:$X,'PV SUPPLY DATA'!$AH:$AH,'CT capacity tracker'!$B126,'PV SUPPLY DATA'!$AG:$AG,'CT capacity tracker'!$A$97,'PV SUPPLY DATA'!$Y:$Y,'CT capacity tracker'!D$1)</f>
        <v>0</v>
      </c>
      <c r="E126" s="504">
        <f>SUMIFS('PV SUPPLY DATA'!$X:$X,'PV SUPPLY DATA'!$Y:$Y,'CT capacity tracker'!E$1,'PV SUPPLY DATA'!$AG:$AG,'CT capacity tracker'!$A$97,'PV SUPPLY DATA'!$AH:$AH,'CT capacity tracker'!$B$126)</f>
        <v>0</v>
      </c>
      <c r="F126" s="504">
        <f>SUMIFS('PV SUPPLY DATA'!$X:$X,'PV SUPPLY DATA'!$Y:$Y,'CT capacity tracker'!F$1,'PV SUPPLY DATA'!$AG:$AG,'CT capacity tracker'!$A$97,'PV SUPPLY DATA'!$AH:$AH,'CT capacity tracker'!$B$126)</f>
        <v>0</v>
      </c>
      <c r="G126" s="504">
        <f>SUMIFS('PV SUPPLY DATA'!$X:$X,'PV SUPPLY DATA'!$Y:$Y,'CT capacity tracker'!G$1,'PV SUPPLY DATA'!$AG:$AG,'CT capacity tracker'!$A$97,'PV SUPPLY DATA'!$AH:$AH,'CT capacity tracker'!$B$126)</f>
        <v>0</v>
      </c>
      <c r="H126" s="504">
        <f>SUMIFS('PV SUPPLY DATA'!$X:$X,'PV SUPPLY DATA'!$Y:$Y,'CT capacity tracker'!H$1,'PV SUPPLY DATA'!$AG:$AG,'CT capacity tracker'!$A$97,'PV SUPPLY DATA'!$AH:$AH,'CT capacity tracker'!$B$126)</f>
        <v>0</v>
      </c>
      <c r="I126" s="504">
        <f>SUMIFS('PV SUPPLY DATA'!$X:$X,'PV SUPPLY DATA'!$Y:$Y,'CT capacity tracker'!I$1,'PV SUPPLY DATA'!$AG:$AG,'CT capacity tracker'!$A$97,'PV SUPPLY DATA'!$AH:$AH,'CT capacity tracker'!$B$126)</f>
        <v>0</v>
      </c>
      <c r="J126" s="504">
        <f>SUMIFS('PV SUPPLY DATA'!$X:$X,'PV SUPPLY DATA'!$Y:$Y,'CT capacity tracker'!J$1,'PV SUPPLY DATA'!$AG:$AG,'CT capacity tracker'!$A$97,'PV SUPPLY DATA'!$AH:$AH,'CT capacity tracker'!$B$126)</f>
        <v>0</v>
      </c>
      <c r="K126" s="504">
        <f>SUMIFS('PV SUPPLY DATA'!$X:$X,'PV SUPPLY DATA'!$Y:$Y,'CT capacity tracker'!K$1,'PV SUPPLY DATA'!$AG:$AG,'CT capacity tracker'!$A$97,'PV SUPPLY DATA'!$AH:$AH,'CT capacity tracker'!$B$126)</f>
        <v>0</v>
      </c>
      <c r="L126" s="504">
        <f>SUMIFS('PV SUPPLY DATA'!$X:$X,'PV SUPPLY DATA'!$Y:$Y,'CT capacity tracker'!L$1,'PV SUPPLY DATA'!$AG:$AG,'CT capacity tracker'!$A$97,'PV SUPPLY DATA'!$AH:$AH,'CT capacity tracker'!$B$126)</f>
        <v>0</v>
      </c>
      <c r="M126" s="504">
        <f>SUMIFS('PV SUPPLY DATA'!$X:$X,'PV SUPPLY DATA'!$Y:$Y,'CT capacity tracker'!M$1,'PV SUPPLY DATA'!$AG:$AG,'CT capacity tracker'!$A$97,'PV SUPPLY DATA'!$AH:$AH,'CT capacity tracker'!$B$126)</f>
        <v>0</v>
      </c>
      <c r="N126" s="504">
        <f>SUMIFS('PV SUPPLY DATA'!$X:$X,'PV SUPPLY DATA'!$Y:$Y,'CT capacity tracker'!N$1,'PV SUPPLY DATA'!$AG:$AG,'CT capacity tracker'!$A$97,'PV SUPPLY DATA'!$AH:$AH,'CT capacity tracker'!$B$126)</f>
        <v>0</v>
      </c>
      <c r="O126" s="504">
        <f>SUMIFS('PV SUPPLY DATA'!$X:$X,'PV SUPPLY DATA'!$Y:$Y,'CT capacity tracker'!O$1,'PV SUPPLY DATA'!$AG:$AG,'CT capacity tracker'!$A$97,'PV SUPPLY DATA'!$AH:$AH,'CT capacity tracker'!$B$126)</f>
        <v>0</v>
      </c>
      <c r="P126" s="504">
        <f>SUMIFS('PV SUPPLY DATA'!$X:$X,'PV SUPPLY DATA'!$Y:$Y,'CT capacity tracker'!P$1,'PV SUPPLY DATA'!$AG:$AG,'CT capacity tracker'!$A$97,'PV SUPPLY DATA'!$AH:$AH,'CT capacity tracker'!$B$126)</f>
        <v>0</v>
      </c>
      <c r="Q126" s="504">
        <f>SUMIFS('PV SUPPLY DATA'!$X:$X,'PV SUPPLY DATA'!$Y:$Y,'CT capacity tracker'!Q$1,'PV SUPPLY DATA'!$AG:$AG,'CT capacity tracker'!$A$97,'PV SUPPLY DATA'!$AH:$AH,'CT capacity tracker'!$B$126)</f>
        <v>0</v>
      </c>
      <c r="R126" s="504">
        <f>SUMIFS('PV SUPPLY DATA'!$X:$X,'PV SUPPLY DATA'!$Y:$Y,'CT capacity tracker'!R$1,'PV SUPPLY DATA'!$AG:$AG,'CT capacity tracker'!$A$97,'PV SUPPLY DATA'!$AH:$AH,'CT capacity tracker'!$B$126)</f>
        <v>1</v>
      </c>
      <c r="S126" s="504">
        <f>SUMIFS('PV SUPPLY DATA'!$X:$X,'PV SUPPLY DATA'!$Y:$Y,'CT capacity tracker'!S$1,'PV SUPPLY DATA'!$AG:$AG,'CT capacity tracker'!$A$97,'PV SUPPLY DATA'!$AH:$AH,'CT capacity tracker'!$B$126)</f>
        <v>0</v>
      </c>
      <c r="T126" s="504">
        <f>SUMIFS('PV SUPPLY DATA'!$X:$X,'PV SUPPLY DATA'!$Y:$Y,'CT capacity tracker'!T$1,'PV SUPPLY DATA'!$AG:$AG,'CT capacity tracker'!$A$97,'PV SUPPLY DATA'!$AH:$AH,'CT capacity tracker'!$B$126)</f>
        <v>0</v>
      </c>
      <c r="U126" s="504">
        <f>SUMIFS('PV SUPPLY DATA'!$X:$X,'PV SUPPLY DATA'!$Y:$Y,'CT capacity tracker'!U$1,'PV SUPPLY DATA'!$AG:$AG,'CT capacity tracker'!$A$97,'PV SUPPLY DATA'!$AH:$AH,'CT capacity tracker'!$B$126)</f>
        <v>0</v>
      </c>
      <c r="V126" s="504">
        <f>SUMIFS('PV SUPPLY DATA'!$X:$X,'PV SUPPLY DATA'!$Y:$Y,'CT capacity tracker'!V$1,'PV SUPPLY DATA'!$AG:$AG,'CT capacity tracker'!$A$97,'PV SUPPLY DATA'!$AH:$AH,'CT capacity tracker'!$B$126)</f>
        <v>0</v>
      </c>
      <c r="W126" s="504">
        <f>SUMIFS('PV SUPPLY DATA'!$X:$X,'PV SUPPLY DATA'!$Y:$Y,'CT capacity tracker'!W$1,'PV SUPPLY DATA'!$AG:$AG,'CT capacity tracker'!$A$97,'PV SUPPLY DATA'!$AH:$AH,'CT capacity tracker'!$B$126)</f>
        <v>0</v>
      </c>
      <c r="X126" s="504">
        <f>SUMIFS('PV SUPPLY DATA'!$X:$X,'PV SUPPLY DATA'!$Y:$Y,'CT capacity tracker'!X$1,'PV SUPPLY DATA'!$AG:$AG,'CT capacity tracker'!$A$97,'PV SUPPLY DATA'!$AH:$AH,'CT capacity tracker'!$B$126)</f>
        <v>3</v>
      </c>
      <c r="Y126" s="504">
        <f>SUMIFS('PV SUPPLY DATA'!$X:$X,'PV SUPPLY DATA'!$Y:$Y,'CT capacity tracker'!Y$1,'PV SUPPLY DATA'!$AG:$AG,'CT capacity tracker'!$A$97,'PV SUPPLY DATA'!$AH:$AH,'CT capacity tracker'!$B$126)</f>
        <v>0</v>
      </c>
      <c r="Z126" s="504">
        <f>SUMIFS('PV SUPPLY DATA'!$X:$X,'PV SUPPLY DATA'!$Y:$Y,'CT capacity tracker'!Z$1,'PV SUPPLY DATA'!$AG:$AG,'CT capacity tracker'!$A$97,'PV SUPPLY DATA'!$AH:$AH,'CT capacity tracker'!$B$126)</f>
        <v>0</v>
      </c>
      <c r="AA126" s="504">
        <f>SUMIFS('PV SUPPLY DATA'!$X:$X,'PV SUPPLY DATA'!$Y:$Y,'CT capacity tracker'!AA$1,'PV SUPPLY DATA'!$AG:$AG,'CT capacity tracker'!$A$97,'PV SUPPLY DATA'!$AH:$AH,'CT capacity tracker'!$B$126)</f>
        <v>0</v>
      </c>
      <c r="AB126" s="504">
        <f>SUMIFS('PV SUPPLY DATA'!$X:$X,'PV SUPPLY DATA'!$Y:$Y,'CT capacity tracker'!AB$1,'PV SUPPLY DATA'!$AG:$AG,'CT capacity tracker'!$A$97,'PV SUPPLY DATA'!$AH:$AH,'CT capacity tracker'!$B$126)</f>
        <v>0</v>
      </c>
      <c r="AC126" s="505" t="s">
        <v>197</v>
      </c>
      <c r="AD126" s="505" t="s">
        <v>197</v>
      </c>
      <c r="AE126" s="696">
        <f>SUM(E126:X126)</f>
        <v>4</v>
      </c>
      <c r="AF126" s="503" t="s">
        <v>197</v>
      </c>
      <c r="AG126" s="506"/>
      <c r="AH126" s="506">
        <f t="shared" si="49"/>
        <v>0</v>
      </c>
      <c r="AI126" s="506"/>
      <c r="AJ126" s="506"/>
      <c r="AK126" s="506"/>
      <c r="AL126" s="506"/>
    </row>
    <row r="127" spans="1:38" ht="13">
      <c r="A127" s="1398"/>
      <c r="B127" s="1398"/>
      <c r="C127" s="509" t="s">
        <v>2482</v>
      </c>
      <c r="D127" s="509"/>
      <c r="E127" s="510"/>
      <c r="F127" s="510"/>
      <c r="G127" s="510"/>
      <c r="H127" s="510"/>
      <c r="I127" s="510"/>
      <c r="J127" s="510"/>
      <c r="K127" s="510"/>
      <c r="L127" s="510"/>
      <c r="M127" s="510"/>
      <c r="N127" s="510"/>
      <c r="O127" s="510"/>
      <c r="P127" s="510"/>
      <c r="Q127" s="510"/>
      <c r="R127" s="510"/>
      <c r="S127" s="510"/>
      <c r="T127" s="510"/>
      <c r="U127" s="510"/>
      <c r="V127" s="510"/>
      <c r="W127" s="510">
        <v>1</v>
      </c>
      <c r="X127" s="510"/>
      <c r="Y127" s="510">
        <v>1</v>
      </c>
      <c r="Z127" s="510"/>
      <c r="AA127" s="510"/>
      <c r="AB127" s="510"/>
      <c r="AC127" s="505" t="s">
        <v>197</v>
      </c>
      <c r="AD127" s="505" t="s">
        <v>197</v>
      </c>
      <c r="AE127" s="696"/>
      <c r="AF127" s="503" t="s">
        <v>197</v>
      </c>
      <c r="AG127" s="506"/>
      <c r="AH127" s="506">
        <f t="shared" si="49"/>
        <v>0</v>
      </c>
      <c r="AI127" s="506"/>
      <c r="AJ127" s="506"/>
      <c r="AK127" s="506"/>
      <c r="AL127" s="506"/>
    </row>
    <row r="128" spans="1:38" ht="13">
      <c r="A128" s="1398"/>
      <c r="B128" s="1398"/>
      <c r="C128" s="520" t="s">
        <v>2483</v>
      </c>
      <c r="D128" s="522"/>
      <c r="E128" s="522">
        <f>E127-E126</f>
        <v>0</v>
      </c>
      <c r="F128" s="522">
        <f t="shared" ref="F128:X128" si="65">F127-F126</f>
        <v>0</v>
      </c>
      <c r="G128" s="522">
        <f t="shared" si="65"/>
        <v>0</v>
      </c>
      <c r="H128" s="522">
        <f t="shared" si="65"/>
        <v>0</v>
      </c>
      <c r="I128" s="522">
        <f t="shared" si="65"/>
        <v>0</v>
      </c>
      <c r="J128" s="522">
        <f t="shared" si="65"/>
        <v>0</v>
      </c>
      <c r="K128" s="522">
        <f t="shared" si="65"/>
        <v>0</v>
      </c>
      <c r="L128" s="522">
        <f t="shared" si="65"/>
        <v>0</v>
      </c>
      <c r="M128" s="522">
        <f t="shared" si="65"/>
        <v>0</v>
      </c>
      <c r="N128" s="522">
        <f t="shared" si="65"/>
        <v>0</v>
      </c>
      <c r="O128" s="522">
        <f t="shared" si="65"/>
        <v>0</v>
      </c>
      <c r="P128" s="522">
        <f t="shared" si="65"/>
        <v>0</v>
      </c>
      <c r="Q128" s="522">
        <f t="shared" si="65"/>
        <v>0</v>
      </c>
      <c r="R128" s="522">
        <f t="shared" si="65"/>
        <v>-1</v>
      </c>
      <c r="S128" s="522">
        <f t="shared" si="65"/>
        <v>0</v>
      </c>
      <c r="T128" s="522">
        <f t="shared" si="65"/>
        <v>0</v>
      </c>
      <c r="U128" s="522">
        <f t="shared" si="65"/>
        <v>0</v>
      </c>
      <c r="V128" s="522">
        <f t="shared" si="65"/>
        <v>0</v>
      </c>
      <c r="W128" s="522">
        <f t="shared" si="65"/>
        <v>1</v>
      </c>
      <c r="X128" s="522">
        <f t="shared" si="65"/>
        <v>-3</v>
      </c>
      <c r="Y128" s="522">
        <f>Y127-Y126</f>
        <v>1</v>
      </c>
      <c r="Z128" s="522">
        <f>Z127-Z126</f>
        <v>0</v>
      </c>
      <c r="AA128" s="522">
        <f>AA127-AA126</f>
        <v>0</v>
      </c>
      <c r="AB128" s="522">
        <f>AB127-AB126</f>
        <v>0</v>
      </c>
      <c r="AC128" s="511">
        <f>SUMIF($E128:$X128,"&gt;0")</f>
        <v>1</v>
      </c>
      <c r="AD128" s="511">
        <f>SUMIF($E128:$X128,"&lt;0")</f>
        <v>-4</v>
      </c>
      <c r="AE128" s="696"/>
      <c r="AF128" s="503" t="s">
        <v>197</v>
      </c>
      <c r="AG128" s="506"/>
      <c r="AH128" s="506">
        <f t="shared" si="49"/>
        <v>0</v>
      </c>
      <c r="AI128" s="506"/>
      <c r="AJ128" s="506"/>
      <c r="AK128" s="506"/>
      <c r="AL128" s="506"/>
    </row>
    <row r="129" spans="1:38" ht="13">
      <c r="A129" s="1398"/>
      <c r="B129" s="1399"/>
      <c r="C129" s="503" t="s">
        <v>2484</v>
      </c>
      <c r="D129" s="522"/>
      <c r="E129" s="504">
        <f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04">
        <f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04">
        <f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04">
        <f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04">
        <f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04">
        <f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04">
        <f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04">
        <f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04">
        <f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04">
        <f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04">
        <f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04">
        <f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04">
        <f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04">
        <f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1</v>
      </c>
      <c r="S129" s="504">
        <f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04">
        <f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04">
        <f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04">
        <f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04">
        <f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04">
        <f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3</v>
      </c>
      <c r="Y129" s="504">
        <f>SUMIFS('PV SUPPLY DATA'!$X:$X,'PV SUPPLY DATA'!$AH:$AH,'CT capacity tracker'!$B126,'PV SUPPLY DATA'!$AG:$AG,'CT capacity tracker'!$A$97,'PV SUPPLY DATA'!$Y:$Y,Y$1,'PV SUPPLY DATA'!$AQ:$AQ,"cosco")+SUMIFS('PV SUPPLY DATA'!$X:$X,'PV SUPPLY DATA'!$AH:$AH,'CT capacity tracker'!$B126,'PV SUPPLY DATA'!$AG:$AG,'CT capacity tracker'!$A$97,'PV SUPPLY DATA'!$Y:$Y,Y$1,'PV SUPPLY DATA'!$AQ:$AQ,"other")+SUMIFS('ESS SUPPLY DATA'!$U:$U,'ESS SUPPLY DATA'!$AF:$AF,'CT capacity tracker'!$B126,'ESS SUPPLY DATA'!$AE:$AE,'CT capacity tracker'!$A$97,'ESS SUPPLY DATA'!$W:$W,'CT capacity tracker'!Y$1,'ESS SUPPLY DATA'!$AO:$AO,"cosco")+SUMIFS('ESS SUPPLY DATA'!$U:$U,'ESS SUPPLY DATA'!$AF:$AF,'CT capacity tracker'!$B126,'ESS SUPPLY DATA'!$AE:$AE,'CT capacity tracker'!$A$97,'ESS SUPPLY DATA'!$W:$W,'CT capacity tracker'!Y$1,'ESS SUPPLY DATA'!$AO:$AO,"other")</f>
        <v>0</v>
      </c>
      <c r="Z129" s="504">
        <f>SUMIFS('PV SUPPLY DATA'!$X:$X,'PV SUPPLY DATA'!$AH:$AH,'CT capacity tracker'!$B126,'PV SUPPLY DATA'!$AG:$AG,'CT capacity tracker'!$A$97,'PV SUPPLY DATA'!$Y:$Y,Z$1,'PV SUPPLY DATA'!$AQ:$AQ,"cosco")+SUMIFS('PV SUPPLY DATA'!$X:$X,'PV SUPPLY DATA'!$AH:$AH,'CT capacity tracker'!$B126,'PV SUPPLY DATA'!$AG:$AG,'CT capacity tracker'!$A$97,'PV SUPPLY DATA'!$Y:$Y,Z$1,'PV SUPPLY DATA'!$AQ:$AQ,"other")+SUMIFS('ESS SUPPLY DATA'!$U:$U,'ESS SUPPLY DATA'!$AF:$AF,'CT capacity tracker'!$B126,'ESS SUPPLY DATA'!$AE:$AE,'CT capacity tracker'!$A$97,'ESS SUPPLY DATA'!$W:$W,'CT capacity tracker'!Z$1,'ESS SUPPLY DATA'!$AO:$AO,"cosco")+SUMIFS('ESS SUPPLY DATA'!$U:$U,'ESS SUPPLY DATA'!$AF:$AF,'CT capacity tracker'!$B126,'ESS SUPPLY DATA'!$AE:$AE,'CT capacity tracker'!$A$97,'ESS SUPPLY DATA'!$W:$W,'CT capacity tracker'!Z$1,'ESS SUPPLY DATA'!$AO:$AO,"other")</f>
        <v>0</v>
      </c>
      <c r="AA129" s="504">
        <f>SUMIFS('PV SUPPLY DATA'!$X:$X,'PV SUPPLY DATA'!$AH:$AH,'CT capacity tracker'!$B126,'PV SUPPLY DATA'!$AG:$AG,'CT capacity tracker'!$A$97,'PV SUPPLY DATA'!$Y:$Y,AA$1,'PV SUPPLY DATA'!$AQ:$AQ,"cosco")+SUMIFS('PV SUPPLY DATA'!$X:$X,'PV SUPPLY DATA'!$AH:$AH,'CT capacity tracker'!$B126,'PV SUPPLY DATA'!$AG:$AG,'CT capacity tracker'!$A$97,'PV SUPPLY DATA'!$Y:$Y,AA$1,'PV SUPPLY DATA'!$AQ:$AQ,"other")+SUMIFS('ESS SUPPLY DATA'!$U:$U,'ESS SUPPLY DATA'!$AF:$AF,'CT capacity tracker'!$B126,'ESS SUPPLY DATA'!$AE:$AE,'CT capacity tracker'!$A$97,'ESS SUPPLY DATA'!$W:$W,'CT capacity tracker'!AA$1,'ESS SUPPLY DATA'!$AO:$AO,"cosco")+SUMIFS('ESS SUPPLY DATA'!$U:$U,'ESS SUPPLY DATA'!$AF:$AF,'CT capacity tracker'!$B126,'ESS SUPPLY DATA'!$AE:$AE,'CT capacity tracker'!$A$97,'ESS SUPPLY DATA'!$W:$W,'CT capacity tracker'!AA$1,'ESS SUPPLY DATA'!$AO:$AO,"other")</f>
        <v>0</v>
      </c>
      <c r="AB129" s="504">
        <f>SUMIFS('PV SUPPLY DATA'!$X:$X,'PV SUPPLY DATA'!$AH:$AH,'CT capacity tracker'!$B126,'PV SUPPLY DATA'!$AG:$AG,'CT capacity tracker'!$A$97,'PV SUPPLY DATA'!$Y:$Y,AB$1,'PV SUPPLY DATA'!$AQ:$AQ,"cosco")+SUMIFS('PV SUPPLY DATA'!$X:$X,'PV SUPPLY DATA'!$AH:$AH,'CT capacity tracker'!$B126,'PV SUPPLY DATA'!$AG:$AG,'CT capacity tracker'!$A$97,'PV SUPPLY DATA'!$Y:$Y,AB$1,'PV SUPPLY DATA'!$AQ:$AQ,"other")+SUMIFS('ESS SUPPLY DATA'!$U:$U,'ESS SUPPLY DATA'!$AF:$AF,'CT capacity tracker'!$B126,'ESS SUPPLY DATA'!$AE:$AE,'CT capacity tracker'!$A$97,'ESS SUPPLY DATA'!$W:$W,'CT capacity tracker'!AB$1,'ESS SUPPLY DATA'!$AO:$AO,"cosco")+SUMIFS('ESS SUPPLY DATA'!$U:$U,'ESS SUPPLY DATA'!$AF:$AF,'CT capacity tracker'!$B126,'ESS SUPPLY DATA'!$AE:$AE,'CT capacity tracker'!$A$97,'ESS SUPPLY DATA'!$W:$W,'CT capacity tracker'!AB$1,'ESS SUPPLY DATA'!$AO:$AO,"other")</f>
        <v>0</v>
      </c>
      <c r="AC129" s="511"/>
      <c r="AD129" s="511"/>
      <c r="AE129" s="696">
        <f>SUM(E129:X129)</f>
        <v>4</v>
      </c>
      <c r="AF129" s="503"/>
      <c r="AG129" s="506"/>
      <c r="AH129" s="506"/>
      <c r="AI129" s="506"/>
      <c r="AJ129" s="506"/>
      <c r="AK129" s="506"/>
      <c r="AL129" s="506"/>
    </row>
    <row r="130" spans="1:38" ht="13">
      <c r="A130" s="1398"/>
      <c r="B130" s="1397" t="s">
        <v>1561</v>
      </c>
      <c r="C130" s="503" t="s">
        <v>2481</v>
      </c>
      <c r="D130" s="504">
        <f>SUMIFS('PV SUPPLY DATA'!$X:$X,'PV SUPPLY DATA'!$AH:$AH,'CT capacity tracker'!$B130,'PV SUPPLY DATA'!$AG:$AG,'CT capacity tracker'!$A$97,'PV SUPPLY DATA'!$Y:$Y,'CT capacity tracker'!D$1)</f>
        <v>0</v>
      </c>
      <c r="E130" s="504">
        <f>SUMIFS('PV SUPPLY DATA'!$X:$X,'PV SUPPLY DATA'!$Y:$Y,'CT capacity tracker'!E$1,'PV SUPPLY DATA'!$AG:$AG,'CT capacity tracker'!$A$97,'PV SUPPLY DATA'!$AH:$AH,'CT capacity tracker'!$B$130)</f>
        <v>0</v>
      </c>
      <c r="F130" s="504">
        <f>SUMIFS('PV SUPPLY DATA'!$X:$X,'PV SUPPLY DATA'!$Y:$Y,'CT capacity tracker'!F$1,'PV SUPPLY DATA'!$AG:$AG,'CT capacity tracker'!$A$97,'PV SUPPLY DATA'!$AH:$AH,'CT capacity tracker'!$B$130)</f>
        <v>0</v>
      </c>
      <c r="G130" s="504">
        <f>SUMIFS('PV SUPPLY DATA'!$X:$X,'PV SUPPLY DATA'!$Y:$Y,'CT capacity tracker'!G$1,'PV SUPPLY DATA'!$AG:$AG,'CT capacity tracker'!$A$97,'PV SUPPLY DATA'!$AH:$AH,'CT capacity tracker'!$B$130)</f>
        <v>0</v>
      </c>
      <c r="H130" s="504">
        <f>SUMIFS('PV SUPPLY DATA'!$X:$X,'PV SUPPLY DATA'!$Y:$Y,'CT capacity tracker'!H$1,'PV SUPPLY DATA'!$AG:$AG,'CT capacity tracker'!$A$97,'PV SUPPLY DATA'!$AH:$AH,'CT capacity tracker'!$B$130)</f>
        <v>0</v>
      </c>
      <c r="I130" s="504">
        <f>SUMIFS('PV SUPPLY DATA'!$X:$X,'PV SUPPLY DATA'!$Y:$Y,'CT capacity tracker'!I$1,'PV SUPPLY DATA'!$AG:$AG,'CT capacity tracker'!$A$97,'PV SUPPLY DATA'!$AH:$AH,'CT capacity tracker'!$B$130)</f>
        <v>0</v>
      </c>
      <c r="J130" s="504">
        <f>SUMIFS('PV SUPPLY DATA'!$X:$X,'PV SUPPLY DATA'!$Y:$Y,'CT capacity tracker'!J$1,'PV SUPPLY DATA'!$AG:$AG,'CT capacity tracker'!$A$97,'PV SUPPLY DATA'!$AH:$AH,'CT capacity tracker'!$B$130)</f>
        <v>0</v>
      </c>
      <c r="K130" s="504">
        <f>SUMIFS('PV SUPPLY DATA'!$X:$X,'PV SUPPLY DATA'!$Y:$Y,'CT capacity tracker'!K$1,'PV SUPPLY DATA'!$AG:$AG,'CT capacity tracker'!$A$97,'PV SUPPLY DATA'!$AH:$AH,'CT capacity tracker'!$B$130)</f>
        <v>0</v>
      </c>
      <c r="L130" s="504">
        <f>SUMIFS('PV SUPPLY DATA'!$X:$X,'PV SUPPLY DATA'!$Y:$Y,'CT capacity tracker'!L$1,'PV SUPPLY DATA'!$AG:$AG,'CT capacity tracker'!$A$97,'PV SUPPLY DATA'!$AH:$AH,'CT capacity tracker'!$B$130)</f>
        <v>0</v>
      </c>
      <c r="M130" s="504">
        <f>SUMIFS('PV SUPPLY DATA'!$X:$X,'PV SUPPLY DATA'!$Y:$Y,'CT capacity tracker'!M$1,'PV SUPPLY DATA'!$AG:$AG,'CT capacity tracker'!$A$97,'PV SUPPLY DATA'!$AH:$AH,'CT capacity tracker'!$B$130)</f>
        <v>0</v>
      </c>
      <c r="N130" s="504">
        <f>SUMIFS('PV SUPPLY DATA'!$X:$X,'PV SUPPLY DATA'!$Y:$Y,'CT capacity tracker'!N$1,'PV SUPPLY DATA'!$AG:$AG,'CT capacity tracker'!$A$97,'PV SUPPLY DATA'!$AH:$AH,'CT capacity tracker'!$B$130)</f>
        <v>0</v>
      </c>
      <c r="O130" s="504">
        <f>SUMIFS('PV SUPPLY DATA'!$X:$X,'PV SUPPLY DATA'!$Y:$Y,'CT capacity tracker'!O$1,'PV SUPPLY DATA'!$AG:$AG,'CT capacity tracker'!$A$97,'PV SUPPLY DATA'!$AH:$AH,'CT capacity tracker'!$B$130)</f>
        <v>0</v>
      </c>
      <c r="P130" s="504">
        <f>SUMIFS('PV SUPPLY DATA'!$X:$X,'PV SUPPLY DATA'!$Y:$Y,'CT capacity tracker'!P$1,'PV SUPPLY DATA'!$AG:$AG,'CT capacity tracker'!$A$97,'PV SUPPLY DATA'!$AH:$AH,'CT capacity tracker'!$B$130)</f>
        <v>0</v>
      </c>
      <c r="Q130" s="504">
        <f>SUMIFS('PV SUPPLY DATA'!$X:$X,'PV SUPPLY DATA'!$Y:$Y,'CT capacity tracker'!Q$1,'PV SUPPLY DATA'!$AG:$AG,'CT capacity tracker'!$A$97,'PV SUPPLY DATA'!$AH:$AH,'CT capacity tracker'!$B$130)</f>
        <v>1</v>
      </c>
      <c r="R130" s="504">
        <f>SUMIFS('PV SUPPLY DATA'!$X:$X,'PV SUPPLY DATA'!$Y:$Y,'CT capacity tracker'!R$1,'PV SUPPLY DATA'!$AG:$AG,'CT capacity tracker'!$A$97,'PV SUPPLY DATA'!$AH:$AH,'CT capacity tracker'!$B$130)</f>
        <v>2</v>
      </c>
      <c r="S130" s="504">
        <f>SUMIFS('PV SUPPLY DATA'!$X:$X,'PV SUPPLY DATA'!$Y:$Y,'CT capacity tracker'!S$1,'PV SUPPLY DATA'!$AG:$AG,'CT capacity tracker'!$A$97,'PV SUPPLY DATA'!$AH:$AH,'CT capacity tracker'!$B$130)</f>
        <v>0</v>
      </c>
      <c r="T130" s="504">
        <f>SUMIFS('PV SUPPLY DATA'!$X:$X,'PV SUPPLY DATA'!$Y:$Y,'CT capacity tracker'!T$1,'PV SUPPLY DATA'!$AG:$AG,'CT capacity tracker'!$A$97,'PV SUPPLY DATA'!$AH:$AH,'CT capacity tracker'!$B$130)</f>
        <v>0</v>
      </c>
      <c r="U130" s="504">
        <f>SUMIFS('PV SUPPLY DATA'!$X:$X,'PV SUPPLY DATA'!$Y:$Y,'CT capacity tracker'!U$1,'PV SUPPLY DATA'!$AG:$AG,'CT capacity tracker'!$A$97,'PV SUPPLY DATA'!$AH:$AH,'CT capacity tracker'!$B$130)</f>
        <v>0</v>
      </c>
      <c r="V130" s="504">
        <f>SUMIFS('PV SUPPLY DATA'!$X:$X,'PV SUPPLY DATA'!$Y:$Y,'CT capacity tracker'!V$1,'PV SUPPLY DATA'!$AG:$AG,'CT capacity tracker'!$A$97,'PV SUPPLY DATA'!$AH:$AH,'CT capacity tracker'!$B$130)</f>
        <v>0</v>
      </c>
      <c r="W130" s="504">
        <f>SUMIFS('PV SUPPLY DATA'!$X:$X,'PV SUPPLY DATA'!$Y:$Y,'CT capacity tracker'!W$1,'PV SUPPLY DATA'!$AG:$AG,'CT capacity tracker'!$A$97,'PV SUPPLY DATA'!$AH:$AH,'CT capacity tracker'!$B$130)</f>
        <v>0</v>
      </c>
      <c r="X130" s="504">
        <f>SUMIFS('PV SUPPLY DATA'!$X:$X,'PV SUPPLY DATA'!$Y:$Y,'CT capacity tracker'!X$1,'PV SUPPLY DATA'!$AG:$AG,'CT capacity tracker'!$A$97,'PV SUPPLY DATA'!$AH:$AH,'CT capacity tracker'!$B$130)</f>
        <v>0</v>
      </c>
      <c r="Y130" s="504">
        <f>SUMIFS('PV SUPPLY DATA'!$X:$X,'PV SUPPLY DATA'!$Y:$Y,'CT capacity tracker'!Y$1,'PV SUPPLY DATA'!$AG:$AG,'CT capacity tracker'!$A$97,'PV SUPPLY DATA'!$AH:$AH,'CT capacity tracker'!$B$130)</f>
        <v>0</v>
      </c>
      <c r="Z130" s="504">
        <f>SUMIFS('PV SUPPLY DATA'!$X:$X,'PV SUPPLY DATA'!$Y:$Y,'CT capacity tracker'!Z$1,'PV SUPPLY DATA'!$AG:$AG,'CT capacity tracker'!$A$97,'PV SUPPLY DATA'!$AH:$AH,'CT capacity tracker'!$B$130)</f>
        <v>0</v>
      </c>
      <c r="AA130" s="504">
        <f>SUMIFS('PV SUPPLY DATA'!$X:$X,'PV SUPPLY DATA'!$Y:$Y,'CT capacity tracker'!AA$1,'PV SUPPLY DATA'!$AG:$AG,'CT capacity tracker'!$A$97,'PV SUPPLY DATA'!$AH:$AH,'CT capacity tracker'!$B$130)</f>
        <v>0</v>
      </c>
      <c r="AB130" s="504">
        <f>SUMIFS('PV SUPPLY DATA'!$X:$X,'PV SUPPLY DATA'!$Y:$Y,'CT capacity tracker'!AB$1,'PV SUPPLY DATA'!$AG:$AG,'CT capacity tracker'!$A$97,'PV SUPPLY DATA'!$AH:$AH,'CT capacity tracker'!$B$130)</f>
        <v>0</v>
      </c>
      <c r="AC130" s="505" t="s">
        <v>197</v>
      </c>
      <c r="AD130" s="505" t="s">
        <v>197</v>
      </c>
      <c r="AE130" s="696">
        <f>SUM(E130:X130)</f>
        <v>3</v>
      </c>
      <c r="AF130" s="503" t="s">
        <v>197</v>
      </c>
      <c r="AG130" s="506"/>
      <c r="AH130" s="506">
        <f t="shared" si="49"/>
        <v>0</v>
      </c>
      <c r="AI130" s="506"/>
      <c r="AJ130" s="506"/>
      <c r="AK130" s="506"/>
      <c r="AL130" s="506"/>
    </row>
    <row r="131" spans="1:38" ht="13">
      <c r="A131" s="1398"/>
      <c r="B131" s="1398"/>
      <c r="C131" s="509" t="s">
        <v>2482</v>
      </c>
      <c r="D131" s="509"/>
      <c r="E131" s="510"/>
      <c r="F131" s="510"/>
      <c r="G131" s="510"/>
      <c r="H131" s="510"/>
      <c r="I131" s="510"/>
      <c r="J131" s="510"/>
      <c r="K131" s="510"/>
      <c r="L131" s="510"/>
      <c r="M131" s="510"/>
      <c r="N131" s="510">
        <v>0</v>
      </c>
      <c r="O131" s="510"/>
      <c r="P131" s="510">
        <v>1</v>
      </c>
      <c r="Q131" s="510">
        <v>1</v>
      </c>
      <c r="R131" s="510">
        <v>1</v>
      </c>
      <c r="S131" s="510"/>
      <c r="T131" s="510"/>
      <c r="U131" s="510">
        <v>1</v>
      </c>
      <c r="V131" s="510">
        <v>1</v>
      </c>
      <c r="W131" s="510"/>
      <c r="X131" s="510"/>
      <c r="Y131" s="510">
        <v>0</v>
      </c>
      <c r="Z131" s="510">
        <v>1</v>
      </c>
      <c r="AA131" s="510">
        <v>1</v>
      </c>
      <c r="AB131" s="510">
        <v>1</v>
      </c>
      <c r="AC131" s="505" t="s">
        <v>197</v>
      </c>
      <c r="AD131" s="505" t="s">
        <v>197</v>
      </c>
      <c r="AE131" s="696"/>
      <c r="AF131" s="503" t="s">
        <v>197</v>
      </c>
      <c r="AG131" s="506"/>
      <c r="AH131" s="506">
        <f t="shared" si="49"/>
        <v>0</v>
      </c>
      <c r="AI131" s="506"/>
      <c r="AJ131" s="506"/>
      <c r="AK131" s="506"/>
      <c r="AL131" s="506"/>
    </row>
    <row r="132" spans="1:38" ht="13">
      <c r="A132" s="1398"/>
      <c r="B132" s="1398"/>
      <c r="C132" s="520" t="s">
        <v>2483</v>
      </c>
      <c r="D132" s="522"/>
      <c r="E132" s="522">
        <f>E131-E130</f>
        <v>0</v>
      </c>
      <c r="F132" s="522">
        <f t="shared" ref="F132:X132" si="66">F131-F130</f>
        <v>0</v>
      </c>
      <c r="G132" s="522">
        <f t="shared" si="66"/>
        <v>0</v>
      </c>
      <c r="H132" s="522">
        <f t="shared" si="66"/>
        <v>0</v>
      </c>
      <c r="I132" s="522">
        <f t="shared" si="66"/>
        <v>0</v>
      </c>
      <c r="J132" s="522">
        <f t="shared" si="66"/>
        <v>0</v>
      </c>
      <c r="K132" s="522">
        <f t="shared" si="66"/>
        <v>0</v>
      </c>
      <c r="L132" s="522">
        <f t="shared" si="66"/>
        <v>0</v>
      </c>
      <c r="M132" s="522">
        <f t="shared" si="66"/>
        <v>0</v>
      </c>
      <c r="N132" s="522">
        <f t="shared" si="66"/>
        <v>0</v>
      </c>
      <c r="O132" s="522">
        <f t="shared" si="66"/>
        <v>0</v>
      </c>
      <c r="P132" s="522">
        <f t="shared" si="66"/>
        <v>1</v>
      </c>
      <c r="Q132" s="522">
        <f t="shared" si="66"/>
        <v>0</v>
      </c>
      <c r="R132" s="522">
        <f t="shared" si="66"/>
        <v>-1</v>
      </c>
      <c r="S132" s="522">
        <f t="shared" si="66"/>
        <v>0</v>
      </c>
      <c r="T132" s="522">
        <f t="shared" si="66"/>
        <v>0</v>
      </c>
      <c r="U132" s="522">
        <f t="shared" si="66"/>
        <v>1</v>
      </c>
      <c r="V132" s="522">
        <f t="shared" si="66"/>
        <v>1</v>
      </c>
      <c r="W132" s="522">
        <f t="shared" si="66"/>
        <v>0</v>
      </c>
      <c r="X132" s="522">
        <f t="shared" si="66"/>
        <v>0</v>
      </c>
      <c r="Y132" s="522">
        <f>Y131-Y130</f>
        <v>0</v>
      </c>
      <c r="Z132" s="522">
        <f>Z131-Z130</f>
        <v>1</v>
      </c>
      <c r="AA132" s="522">
        <f>AA131-AA130</f>
        <v>1</v>
      </c>
      <c r="AB132" s="522">
        <f>AB131-AB130</f>
        <v>1</v>
      </c>
      <c r="AC132" s="511">
        <f>SUMIF($E132:$X132,"&gt;0")</f>
        <v>3</v>
      </c>
      <c r="AD132" s="511">
        <f>SUMIF($E132:$X132,"&lt;0")</f>
        <v>-1</v>
      </c>
      <c r="AE132" s="696"/>
      <c r="AF132" s="503"/>
      <c r="AG132" s="506"/>
      <c r="AH132" s="506">
        <f t="shared" si="49"/>
        <v>0</v>
      </c>
      <c r="AI132" s="506"/>
      <c r="AJ132" s="506"/>
      <c r="AK132" s="506"/>
      <c r="AL132" s="506"/>
    </row>
    <row r="133" spans="1:38" ht="13">
      <c r="A133" s="1398"/>
      <c r="B133" s="1399"/>
      <c r="C133" s="503" t="s">
        <v>2484</v>
      </c>
      <c r="D133" s="522"/>
      <c r="E133" s="504">
        <f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04">
        <f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04">
        <f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04">
        <f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04">
        <f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04">
        <f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04">
        <f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04">
        <f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04">
        <f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04">
        <f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04">
        <f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04">
        <f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04">
        <f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04">
        <f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04">
        <f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04">
        <f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04">
        <f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04">
        <f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04">
        <f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04">
        <f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04">
        <f>SUMIFS('PV SUPPLY DATA'!$X:$X,'PV SUPPLY DATA'!$AH:$AH,'CT capacity tracker'!$B130,'PV SUPPLY DATA'!$AG:$AG,'CT capacity tracker'!$A$97,'PV SUPPLY DATA'!$Y:$Y,Y$1,'PV SUPPLY DATA'!$AQ:$AQ,"cosco")+SUMIFS('PV SUPPLY DATA'!$X:$X,'PV SUPPLY DATA'!$AH:$AH,'CT capacity tracker'!$B130,'PV SUPPLY DATA'!$AG:$AG,'CT capacity tracker'!$A$97,'PV SUPPLY DATA'!$Y:$Y,Y$1,'PV SUPPLY DATA'!$AQ:$AQ,"other")+SUMIFS('ESS SUPPLY DATA'!$U:$U,'ESS SUPPLY DATA'!$AF:$AF,'CT capacity tracker'!$B130,'ESS SUPPLY DATA'!$AE:$AE,'CT capacity tracker'!$A$97,'ESS SUPPLY DATA'!$W:$W,'CT capacity tracker'!Y$1,'ESS SUPPLY DATA'!$AO:$AO,"cosco")+SUMIFS('ESS SUPPLY DATA'!$U:$U,'ESS SUPPLY DATA'!$AF:$AF,'CT capacity tracker'!$B130,'ESS SUPPLY DATA'!$AE:$AE,'CT capacity tracker'!$A$97,'ESS SUPPLY DATA'!$W:$W,'CT capacity tracker'!Y$1,'ESS SUPPLY DATA'!$AO:$AO,"other")</f>
        <v>0</v>
      </c>
      <c r="Z133" s="504">
        <f>SUMIFS('PV SUPPLY DATA'!$X:$X,'PV SUPPLY DATA'!$AH:$AH,'CT capacity tracker'!$B130,'PV SUPPLY DATA'!$AG:$AG,'CT capacity tracker'!$A$97,'PV SUPPLY DATA'!$Y:$Y,Z$1,'PV SUPPLY DATA'!$AQ:$AQ,"cosco")+SUMIFS('PV SUPPLY DATA'!$X:$X,'PV SUPPLY DATA'!$AH:$AH,'CT capacity tracker'!$B130,'PV SUPPLY DATA'!$AG:$AG,'CT capacity tracker'!$A$97,'PV SUPPLY DATA'!$Y:$Y,Z$1,'PV SUPPLY DATA'!$AQ:$AQ,"other")+SUMIFS('ESS SUPPLY DATA'!$U:$U,'ESS SUPPLY DATA'!$AF:$AF,'CT capacity tracker'!$B130,'ESS SUPPLY DATA'!$AE:$AE,'CT capacity tracker'!$A$97,'ESS SUPPLY DATA'!$W:$W,'CT capacity tracker'!Z$1,'ESS SUPPLY DATA'!$AO:$AO,"cosco")+SUMIFS('ESS SUPPLY DATA'!$U:$U,'ESS SUPPLY DATA'!$AF:$AF,'CT capacity tracker'!$B130,'ESS SUPPLY DATA'!$AE:$AE,'CT capacity tracker'!$A$97,'ESS SUPPLY DATA'!$W:$W,'CT capacity tracker'!Z$1,'ESS SUPPLY DATA'!$AO:$AO,"other")</f>
        <v>0</v>
      </c>
      <c r="AA133" s="504">
        <f>SUMIFS('PV SUPPLY DATA'!$X:$X,'PV SUPPLY DATA'!$AH:$AH,'CT capacity tracker'!$B130,'PV SUPPLY DATA'!$AG:$AG,'CT capacity tracker'!$A$97,'PV SUPPLY DATA'!$Y:$Y,AA$1,'PV SUPPLY DATA'!$AQ:$AQ,"cosco")+SUMIFS('PV SUPPLY DATA'!$X:$X,'PV SUPPLY DATA'!$AH:$AH,'CT capacity tracker'!$B130,'PV SUPPLY DATA'!$AG:$AG,'CT capacity tracker'!$A$97,'PV SUPPLY DATA'!$Y:$Y,AA$1,'PV SUPPLY DATA'!$AQ:$AQ,"other")+SUMIFS('ESS SUPPLY DATA'!$U:$U,'ESS SUPPLY DATA'!$AF:$AF,'CT capacity tracker'!$B130,'ESS SUPPLY DATA'!$AE:$AE,'CT capacity tracker'!$A$97,'ESS SUPPLY DATA'!$W:$W,'CT capacity tracker'!AA$1,'ESS SUPPLY DATA'!$AO:$AO,"cosco")+SUMIFS('ESS SUPPLY DATA'!$U:$U,'ESS SUPPLY DATA'!$AF:$AF,'CT capacity tracker'!$B130,'ESS SUPPLY DATA'!$AE:$AE,'CT capacity tracker'!$A$97,'ESS SUPPLY DATA'!$W:$W,'CT capacity tracker'!AA$1,'ESS SUPPLY DATA'!$AO:$AO,"other")</f>
        <v>0</v>
      </c>
      <c r="AB133" s="504">
        <f>SUMIFS('PV SUPPLY DATA'!$X:$X,'PV SUPPLY DATA'!$AH:$AH,'CT capacity tracker'!$B130,'PV SUPPLY DATA'!$AG:$AG,'CT capacity tracker'!$A$97,'PV SUPPLY DATA'!$Y:$Y,AB$1,'PV SUPPLY DATA'!$AQ:$AQ,"cosco")+SUMIFS('PV SUPPLY DATA'!$X:$X,'PV SUPPLY DATA'!$AH:$AH,'CT capacity tracker'!$B130,'PV SUPPLY DATA'!$AG:$AG,'CT capacity tracker'!$A$97,'PV SUPPLY DATA'!$Y:$Y,AB$1,'PV SUPPLY DATA'!$AQ:$AQ,"other")+SUMIFS('ESS SUPPLY DATA'!$U:$U,'ESS SUPPLY DATA'!$AF:$AF,'CT capacity tracker'!$B130,'ESS SUPPLY DATA'!$AE:$AE,'CT capacity tracker'!$A$97,'ESS SUPPLY DATA'!$W:$W,'CT capacity tracker'!AB$1,'ESS SUPPLY DATA'!$AO:$AO,"cosco")+SUMIFS('ESS SUPPLY DATA'!$U:$U,'ESS SUPPLY DATA'!$AF:$AF,'CT capacity tracker'!$B130,'ESS SUPPLY DATA'!$AE:$AE,'CT capacity tracker'!$A$97,'ESS SUPPLY DATA'!$W:$W,'CT capacity tracker'!AB$1,'ESS SUPPLY DATA'!$AO:$AO,"other")</f>
        <v>0</v>
      </c>
      <c r="AC133" s="511"/>
      <c r="AD133" s="511"/>
      <c r="AE133" s="696">
        <f>SUM(E133:X133)</f>
        <v>3</v>
      </c>
      <c r="AF133" s="503"/>
      <c r="AG133" s="506"/>
      <c r="AH133" s="506"/>
      <c r="AI133" s="506"/>
      <c r="AJ133" s="506"/>
      <c r="AK133" s="506"/>
      <c r="AL133" s="506"/>
    </row>
    <row r="134" spans="1:38" ht="13">
      <c r="A134" s="1398"/>
      <c r="B134" s="1397" t="s">
        <v>124</v>
      </c>
      <c r="C134" s="503" t="s">
        <v>2481</v>
      </c>
      <c r="D134" s="504">
        <f>SUMIFS('PV SUPPLY DATA'!$X:$X,'PV SUPPLY DATA'!$AH:$AH,'CT capacity tracker'!$B134,'PV SUPPLY DATA'!$AG:$AG,'CT capacity tracker'!$A$97,'PV SUPPLY DATA'!$Y:$Y,'CT capacity tracker'!D$1)</f>
        <v>0</v>
      </c>
      <c r="E134" s="504">
        <f>SUMIFS('PV SUPPLY DATA'!$X:$X,'PV SUPPLY DATA'!$Y:$Y,'CT capacity tracker'!E$1,'PV SUPPLY DATA'!$AG:$AG,'CT capacity tracker'!$A$97,'PV SUPPLY DATA'!$AH:$AH,'CT capacity tracker'!$B$134)</f>
        <v>0</v>
      </c>
      <c r="F134" s="504">
        <f>SUMIFS('PV SUPPLY DATA'!$X:$X,'PV SUPPLY DATA'!$Y:$Y,'CT capacity tracker'!F$1,'PV SUPPLY DATA'!$AG:$AG,'CT capacity tracker'!$A$97,'PV SUPPLY DATA'!$AH:$AH,'CT capacity tracker'!$B$134)</f>
        <v>0</v>
      </c>
      <c r="G134" s="504">
        <f>SUMIFS('PV SUPPLY DATA'!$X:$X,'PV SUPPLY DATA'!$Y:$Y,'CT capacity tracker'!G$1,'PV SUPPLY DATA'!$AG:$AG,'CT capacity tracker'!$A$97,'PV SUPPLY DATA'!$AH:$AH,'CT capacity tracker'!$B$134)</f>
        <v>0</v>
      </c>
      <c r="H134" s="504">
        <f>SUMIFS('PV SUPPLY DATA'!$X:$X,'PV SUPPLY DATA'!$Y:$Y,'CT capacity tracker'!H$1,'PV SUPPLY DATA'!$AG:$AG,'CT capacity tracker'!$A$97,'PV SUPPLY DATA'!$AH:$AH,'CT capacity tracker'!$B$134)</f>
        <v>0</v>
      </c>
      <c r="I134" s="504">
        <f>SUMIFS('PV SUPPLY DATA'!$X:$X,'PV SUPPLY DATA'!$Y:$Y,'CT capacity tracker'!I$1,'PV SUPPLY DATA'!$AG:$AG,'CT capacity tracker'!$A$97,'PV SUPPLY DATA'!$AH:$AH,'CT capacity tracker'!$B$134)</f>
        <v>0</v>
      </c>
      <c r="J134" s="504">
        <f>SUMIFS('PV SUPPLY DATA'!$X:$X,'PV SUPPLY DATA'!$Y:$Y,'CT capacity tracker'!J$1,'PV SUPPLY DATA'!$AG:$AG,'CT capacity tracker'!$A$97,'PV SUPPLY DATA'!$AH:$AH,'CT capacity tracker'!$B$134)</f>
        <v>0</v>
      </c>
      <c r="K134" s="504">
        <f>SUMIFS('PV SUPPLY DATA'!$X:$X,'PV SUPPLY DATA'!$Y:$Y,'CT capacity tracker'!K$1,'PV SUPPLY DATA'!$AG:$AG,'CT capacity tracker'!$A$97,'PV SUPPLY DATA'!$AH:$AH,'CT capacity tracker'!$B$134)</f>
        <v>0</v>
      </c>
      <c r="L134" s="504">
        <f>SUMIFS('PV SUPPLY DATA'!$X:$X,'PV SUPPLY DATA'!$Y:$Y,'CT capacity tracker'!L$1,'PV SUPPLY DATA'!$AG:$AG,'CT capacity tracker'!$A$97,'PV SUPPLY DATA'!$AH:$AH,'CT capacity tracker'!$B$134)</f>
        <v>0</v>
      </c>
      <c r="M134" s="504">
        <f>SUMIFS('PV SUPPLY DATA'!$X:$X,'PV SUPPLY DATA'!$Y:$Y,'CT capacity tracker'!M$1,'PV SUPPLY DATA'!$AG:$AG,'CT capacity tracker'!$A$97,'PV SUPPLY DATA'!$AH:$AH,'CT capacity tracker'!$B$134)</f>
        <v>1</v>
      </c>
      <c r="N134" s="504">
        <f>SUMIFS('PV SUPPLY DATA'!$X:$X,'PV SUPPLY DATA'!$Y:$Y,'CT capacity tracker'!N$1,'PV SUPPLY DATA'!$AG:$AG,'CT capacity tracker'!$A$97,'PV SUPPLY DATA'!$AH:$AH,'CT capacity tracker'!$B$134)</f>
        <v>0</v>
      </c>
      <c r="O134" s="504">
        <f>SUMIFS('PV SUPPLY DATA'!$X:$X,'PV SUPPLY DATA'!$Y:$Y,'CT capacity tracker'!O$1,'PV SUPPLY DATA'!$AG:$AG,'CT capacity tracker'!$A$97,'PV SUPPLY DATA'!$AH:$AH,'CT capacity tracker'!$B$134)</f>
        <v>1</v>
      </c>
      <c r="P134" s="504">
        <f>SUMIFS('PV SUPPLY DATA'!$X:$X,'PV SUPPLY DATA'!$Y:$Y,'CT capacity tracker'!P$1,'PV SUPPLY DATA'!$AG:$AG,'CT capacity tracker'!$A$97,'PV SUPPLY DATA'!$AH:$AH,'CT capacity tracker'!$B$134)</f>
        <v>0</v>
      </c>
      <c r="Q134" s="504">
        <f>SUMIFS('PV SUPPLY DATA'!$X:$X,'PV SUPPLY DATA'!$Y:$Y,'CT capacity tracker'!Q$1,'PV SUPPLY DATA'!$AG:$AG,'CT capacity tracker'!$A$97,'PV SUPPLY DATA'!$AH:$AH,'CT capacity tracker'!$B$134)</f>
        <v>0</v>
      </c>
      <c r="R134" s="504">
        <f>SUMIFS('PV SUPPLY DATA'!$X:$X,'PV SUPPLY DATA'!$Y:$Y,'CT capacity tracker'!R$1,'PV SUPPLY DATA'!$AG:$AG,'CT capacity tracker'!$A$97,'PV SUPPLY DATA'!$AH:$AH,'CT capacity tracker'!$B$134)</f>
        <v>0</v>
      </c>
      <c r="S134" s="504">
        <f>SUMIFS('PV SUPPLY DATA'!$X:$X,'PV SUPPLY DATA'!$Y:$Y,'CT capacity tracker'!S$1,'PV SUPPLY DATA'!$AG:$AG,'CT capacity tracker'!$A$97,'PV SUPPLY DATA'!$AH:$AH,'CT capacity tracker'!$B$134)</f>
        <v>0</v>
      </c>
      <c r="T134" s="504">
        <f>SUMIFS('PV SUPPLY DATA'!$X:$X,'PV SUPPLY DATA'!$Y:$Y,'CT capacity tracker'!T$1,'PV SUPPLY DATA'!$AG:$AG,'CT capacity tracker'!$A$97,'PV SUPPLY DATA'!$AH:$AH,'CT capacity tracker'!$B$134)</f>
        <v>0</v>
      </c>
      <c r="U134" s="504">
        <f>SUMIFS('PV SUPPLY DATA'!$X:$X,'PV SUPPLY DATA'!$Y:$Y,'CT capacity tracker'!U$1,'PV SUPPLY DATA'!$AG:$AG,'CT capacity tracker'!$A$97,'PV SUPPLY DATA'!$AH:$AH,'CT capacity tracker'!$B$134)</f>
        <v>0</v>
      </c>
      <c r="V134" s="504">
        <f>SUMIFS('PV SUPPLY DATA'!$X:$X,'PV SUPPLY DATA'!$Y:$Y,'CT capacity tracker'!V$1,'PV SUPPLY DATA'!$AG:$AG,'CT capacity tracker'!$A$97,'PV SUPPLY DATA'!$AH:$AH,'CT capacity tracker'!$B$134)</f>
        <v>0</v>
      </c>
      <c r="W134" s="504">
        <f>SUMIFS('PV SUPPLY DATA'!$X:$X,'PV SUPPLY DATA'!$Y:$Y,'CT capacity tracker'!W$1,'PV SUPPLY DATA'!$AG:$AG,'CT capacity tracker'!$A$97,'PV SUPPLY DATA'!$AH:$AH,'CT capacity tracker'!$B$134)</f>
        <v>0</v>
      </c>
      <c r="X134" s="504">
        <f>SUMIFS('PV SUPPLY DATA'!$X:$X,'PV SUPPLY DATA'!$Y:$Y,'CT capacity tracker'!X$1,'PV SUPPLY DATA'!$AG:$AG,'CT capacity tracker'!$A$97,'PV SUPPLY DATA'!$AH:$AH,'CT capacity tracker'!$B$134)</f>
        <v>0</v>
      </c>
      <c r="Y134" s="504">
        <f>SUMIFS('PV SUPPLY DATA'!$X:$X,'PV SUPPLY DATA'!$Y:$Y,'CT capacity tracker'!Y$1,'PV SUPPLY DATA'!$AG:$AG,'CT capacity tracker'!$A$97,'PV SUPPLY DATA'!$AH:$AH,'CT capacity tracker'!$B$134)</f>
        <v>0</v>
      </c>
      <c r="Z134" s="504">
        <f>SUMIFS('PV SUPPLY DATA'!$X:$X,'PV SUPPLY DATA'!$Y:$Y,'CT capacity tracker'!Z$1,'PV SUPPLY DATA'!$AG:$AG,'CT capacity tracker'!$A$97,'PV SUPPLY DATA'!$AH:$AH,'CT capacity tracker'!$B$134)</f>
        <v>0</v>
      </c>
      <c r="AA134" s="504">
        <f>SUMIFS('PV SUPPLY DATA'!$X:$X,'PV SUPPLY DATA'!$Y:$Y,'CT capacity tracker'!AA$1,'PV SUPPLY DATA'!$AG:$AG,'CT capacity tracker'!$A$97,'PV SUPPLY DATA'!$AH:$AH,'CT capacity tracker'!$B$134)</f>
        <v>0.82499999999999996</v>
      </c>
      <c r="AB134" s="504">
        <f>SUMIFS('PV SUPPLY DATA'!$X:$X,'PV SUPPLY DATA'!$Y:$Y,'CT capacity tracker'!AB$1,'PV SUPPLY DATA'!$AG:$AG,'CT capacity tracker'!$A$97,'PV SUPPLY DATA'!$AH:$AH,'CT capacity tracker'!$B$134)</f>
        <v>0</v>
      </c>
      <c r="AC134" s="505" t="s">
        <v>197</v>
      </c>
      <c r="AD134" s="505" t="s">
        <v>197</v>
      </c>
      <c r="AE134" s="696">
        <f>SUM(E134:X134)</f>
        <v>2</v>
      </c>
      <c r="AF134" s="503" t="s">
        <v>197</v>
      </c>
      <c r="AG134" s="506"/>
      <c r="AH134" s="506">
        <f t="shared" si="49"/>
        <v>0</v>
      </c>
      <c r="AI134" s="506"/>
      <c r="AJ134" s="506"/>
      <c r="AK134" s="506"/>
      <c r="AL134" s="506"/>
    </row>
    <row r="135" spans="1:38" ht="13">
      <c r="A135" s="1398"/>
      <c r="B135" s="1398"/>
      <c r="C135" s="509" t="s">
        <v>2482</v>
      </c>
      <c r="D135" s="509"/>
      <c r="E135" s="510"/>
      <c r="F135" s="510"/>
      <c r="G135" s="510"/>
      <c r="H135" s="510"/>
      <c r="I135" s="510"/>
      <c r="J135" s="510"/>
      <c r="K135" s="510"/>
      <c r="L135" s="510"/>
      <c r="M135" s="510">
        <v>1</v>
      </c>
      <c r="N135" s="510">
        <v>0</v>
      </c>
      <c r="O135" s="510">
        <v>1</v>
      </c>
      <c r="P135" s="510"/>
      <c r="Q135" s="510"/>
      <c r="R135" s="510"/>
      <c r="S135" s="510">
        <v>0</v>
      </c>
      <c r="T135" s="510"/>
      <c r="U135" s="510"/>
      <c r="V135" s="510"/>
      <c r="W135" s="510"/>
      <c r="X135" s="510"/>
      <c r="Y135" s="510"/>
      <c r="Z135" s="510"/>
      <c r="AA135" s="510"/>
      <c r="AB135" s="510"/>
      <c r="AC135" s="505" t="s">
        <v>197</v>
      </c>
      <c r="AD135" s="505" t="s">
        <v>197</v>
      </c>
      <c r="AE135" s="696"/>
      <c r="AF135" s="503" t="s">
        <v>197</v>
      </c>
      <c r="AG135" s="506"/>
      <c r="AH135" s="506">
        <f t="shared" si="49"/>
        <v>0</v>
      </c>
      <c r="AI135" s="506"/>
      <c r="AJ135" s="506"/>
      <c r="AK135" s="506"/>
      <c r="AL135" s="506"/>
    </row>
    <row r="136" spans="1:38" ht="13">
      <c r="A136" s="1398"/>
      <c r="B136" s="1398"/>
      <c r="C136" s="520" t="s">
        <v>2483</v>
      </c>
      <c r="D136" s="522"/>
      <c r="E136" s="522">
        <f>E135-E134</f>
        <v>0</v>
      </c>
      <c r="F136" s="522">
        <f t="shared" ref="F136:X136" si="67">F135-F134</f>
        <v>0</v>
      </c>
      <c r="G136" s="522">
        <f t="shared" si="67"/>
        <v>0</v>
      </c>
      <c r="H136" s="522">
        <f t="shared" si="67"/>
        <v>0</v>
      </c>
      <c r="I136" s="522">
        <f t="shared" si="67"/>
        <v>0</v>
      </c>
      <c r="J136" s="522">
        <f t="shared" si="67"/>
        <v>0</v>
      </c>
      <c r="K136" s="522">
        <f t="shared" si="67"/>
        <v>0</v>
      </c>
      <c r="L136" s="522">
        <f t="shared" si="67"/>
        <v>0</v>
      </c>
      <c r="M136" s="522">
        <f t="shared" si="67"/>
        <v>0</v>
      </c>
      <c r="N136" s="522">
        <f t="shared" si="67"/>
        <v>0</v>
      </c>
      <c r="O136" s="522">
        <f t="shared" si="67"/>
        <v>0</v>
      </c>
      <c r="P136" s="522">
        <f t="shared" si="67"/>
        <v>0</v>
      </c>
      <c r="Q136" s="522">
        <f t="shared" si="67"/>
        <v>0</v>
      </c>
      <c r="R136" s="522">
        <f t="shared" si="67"/>
        <v>0</v>
      </c>
      <c r="S136" s="522">
        <f t="shared" si="67"/>
        <v>0</v>
      </c>
      <c r="T136" s="522">
        <f t="shared" si="67"/>
        <v>0</v>
      </c>
      <c r="U136" s="522">
        <f t="shared" si="67"/>
        <v>0</v>
      </c>
      <c r="V136" s="522">
        <f t="shared" si="67"/>
        <v>0</v>
      </c>
      <c r="W136" s="522">
        <f t="shared" si="67"/>
        <v>0</v>
      </c>
      <c r="X136" s="522">
        <f t="shared" si="67"/>
        <v>0</v>
      </c>
      <c r="Y136" s="522">
        <f>Y135-Y134</f>
        <v>0</v>
      </c>
      <c r="Z136" s="522">
        <f>Z135-Z134</f>
        <v>0</v>
      </c>
      <c r="AA136" s="522">
        <f>AA135-AA134</f>
        <v>-0.82499999999999996</v>
      </c>
      <c r="AB136" s="522">
        <f>AB135-AB134</f>
        <v>0</v>
      </c>
      <c r="AC136" s="511">
        <f>SUMIF($E136:$X136,"&gt;0")</f>
        <v>0</v>
      </c>
      <c r="AD136" s="511">
        <f>SUMIF($E136:$X136,"&lt;0")</f>
        <v>0</v>
      </c>
      <c r="AE136" s="696"/>
      <c r="AF136" s="503" t="s">
        <v>197</v>
      </c>
      <c r="AG136" s="506"/>
      <c r="AH136" s="506">
        <f t="shared" si="49"/>
        <v>0</v>
      </c>
      <c r="AI136" s="506"/>
      <c r="AJ136" s="506"/>
      <c r="AK136" s="506"/>
      <c r="AL136" s="506"/>
    </row>
    <row r="137" spans="1:38" ht="13">
      <c r="A137" s="1399"/>
      <c r="B137" s="1399"/>
      <c r="C137" s="503" t="s">
        <v>2484</v>
      </c>
      <c r="D137" s="522"/>
      <c r="E137" s="504">
        <f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04">
        <f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04">
        <f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04">
        <f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04">
        <f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04">
        <f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04">
        <f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04">
        <f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04">
        <f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04">
        <f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04">
        <f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04">
        <f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04">
        <f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04">
        <f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04">
        <f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04">
        <f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04">
        <f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04">
        <f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04">
        <f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04">
        <f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04">
        <f>SUMIFS('PV SUPPLY DATA'!$X:$X,'PV SUPPLY DATA'!$AH:$AH,'CT capacity tracker'!$B134,'PV SUPPLY DATA'!$AG:$AG,'CT capacity tracker'!$A$97,'PV SUPPLY DATA'!$Y:$Y,Y$1,'PV SUPPLY DATA'!$AQ:$AQ,"cosco")+SUMIFS('PV SUPPLY DATA'!$X:$X,'PV SUPPLY DATA'!$AH:$AH,'CT capacity tracker'!$B134,'PV SUPPLY DATA'!$AG:$AG,'CT capacity tracker'!$A$97,'PV SUPPLY DATA'!$Y:$Y,Y$1,'PV SUPPLY DATA'!$AQ:$AQ,"other")+SUMIFS('ESS SUPPLY DATA'!$U:$U,'ESS SUPPLY DATA'!$AF:$AF,'CT capacity tracker'!$B134,'ESS SUPPLY DATA'!$AE:$AE,'CT capacity tracker'!$A$97,'ESS SUPPLY DATA'!$W:$W,'CT capacity tracker'!Y$1,'ESS SUPPLY DATA'!$AO:$AO,"cosco")+SUMIFS('ESS SUPPLY DATA'!$U:$U,'ESS SUPPLY DATA'!$AF:$AF,'CT capacity tracker'!$B134,'ESS SUPPLY DATA'!$AE:$AE,'CT capacity tracker'!$A$97,'ESS SUPPLY DATA'!$W:$W,'CT capacity tracker'!Y$1,'ESS SUPPLY DATA'!$AO:$AO,"other")</f>
        <v>0</v>
      </c>
      <c r="Z137" s="504">
        <f>SUMIFS('PV SUPPLY DATA'!$X:$X,'PV SUPPLY DATA'!$AH:$AH,'CT capacity tracker'!$B134,'PV SUPPLY DATA'!$AG:$AG,'CT capacity tracker'!$A$97,'PV SUPPLY DATA'!$Y:$Y,Z$1,'PV SUPPLY DATA'!$AQ:$AQ,"cosco")+SUMIFS('PV SUPPLY DATA'!$X:$X,'PV SUPPLY DATA'!$AH:$AH,'CT capacity tracker'!$B134,'PV SUPPLY DATA'!$AG:$AG,'CT capacity tracker'!$A$97,'PV SUPPLY DATA'!$Y:$Y,Z$1,'PV SUPPLY DATA'!$AQ:$AQ,"other")+SUMIFS('ESS SUPPLY DATA'!$U:$U,'ESS SUPPLY DATA'!$AF:$AF,'CT capacity tracker'!$B134,'ESS SUPPLY DATA'!$AE:$AE,'CT capacity tracker'!$A$97,'ESS SUPPLY DATA'!$W:$W,'CT capacity tracker'!Z$1,'ESS SUPPLY DATA'!$AO:$AO,"cosco")+SUMIFS('ESS SUPPLY DATA'!$U:$U,'ESS SUPPLY DATA'!$AF:$AF,'CT capacity tracker'!$B134,'ESS SUPPLY DATA'!$AE:$AE,'CT capacity tracker'!$A$97,'ESS SUPPLY DATA'!$W:$W,'CT capacity tracker'!Z$1,'ESS SUPPLY DATA'!$AO:$AO,"other")</f>
        <v>0</v>
      </c>
      <c r="AA137" s="504">
        <f>SUMIFS('PV SUPPLY DATA'!$X:$X,'PV SUPPLY DATA'!$AH:$AH,'CT capacity tracker'!$B134,'PV SUPPLY DATA'!$AG:$AG,'CT capacity tracker'!$A$97,'PV SUPPLY DATA'!$Y:$Y,AA$1,'PV SUPPLY DATA'!$AQ:$AQ,"cosco")+SUMIFS('PV SUPPLY DATA'!$X:$X,'PV SUPPLY DATA'!$AH:$AH,'CT capacity tracker'!$B134,'PV SUPPLY DATA'!$AG:$AG,'CT capacity tracker'!$A$97,'PV SUPPLY DATA'!$Y:$Y,AA$1,'PV SUPPLY DATA'!$AQ:$AQ,"other")+SUMIFS('ESS SUPPLY DATA'!$U:$U,'ESS SUPPLY DATA'!$AF:$AF,'CT capacity tracker'!$B134,'ESS SUPPLY DATA'!$AE:$AE,'CT capacity tracker'!$A$97,'ESS SUPPLY DATA'!$W:$W,'CT capacity tracker'!AA$1,'ESS SUPPLY DATA'!$AO:$AO,"cosco")+SUMIFS('ESS SUPPLY DATA'!$U:$U,'ESS SUPPLY DATA'!$AF:$AF,'CT capacity tracker'!$B134,'ESS SUPPLY DATA'!$AE:$AE,'CT capacity tracker'!$A$97,'ESS SUPPLY DATA'!$W:$W,'CT capacity tracker'!AA$1,'ESS SUPPLY DATA'!$AO:$AO,"other")</f>
        <v>0</v>
      </c>
      <c r="AB137" s="504">
        <f>SUMIFS('PV SUPPLY DATA'!$X:$X,'PV SUPPLY DATA'!$AH:$AH,'CT capacity tracker'!$B134,'PV SUPPLY DATA'!$AG:$AG,'CT capacity tracker'!$A$97,'PV SUPPLY DATA'!$Y:$Y,AB$1,'PV SUPPLY DATA'!$AQ:$AQ,"cosco")+SUMIFS('PV SUPPLY DATA'!$X:$X,'PV SUPPLY DATA'!$AH:$AH,'CT capacity tracker'!$B134,'PV SUPPLY DATA'!$AG:$AG,'CT capacity tracker'!$A$97,'PV SUPPLY DATA'!$Y:$Y,AB$1,'PV SUPPLY DATA'!$AQ:$AQ,"other")+SUMIFS('ESS SUPPLY DATA'!$U:$U,'ESS SUPPLY DATA'!$AF:$AF,'CT capacity tracker'!$B134,'ESS SUPPLY DATA'!$AE:$AE,'CT capacity tracker'!$A$97,'ESS SUPPLY DATA'!$W:$W,'CT capacity tracker'!AB$1,'ESS SUPPLY DATA'!$AO:$AO,"cosco")+SUMIFS('ESS SUPPLY DATA'!$U:$U,'ESS SUPPLY DATA'!$AF:$AF,'CT capacity tracker'!$B134,'ESS SUPPLY DATA'!$AE:$AE,'CT capacity tracker'!$A$97,'ESS SUPPLY DATA'!$W:$W,'CT capacity tracker'!AB$1,'ESS SUPPLY DATA'!$AO:$AO,"other")</f>
        <v>0</v>
      </c>
      <c r="AC137" s="511"/>
      <c r="AD137" s="511"/>
      <c r="AE137" s="696">
        <f>SUM(E137:X137)</f>
        <v>2</v>
      </c>
      <c r="AF137" s="503"/>
      <c r="AG137" s="506"/>
      <c r="AH137" s="506"/>
      <c r="AI137" s="506"/>
      <c r="AJ137" s="506"/>
      <c r="AK137" s="506"/>
      <c r="AL137" s="506"/>
    </row>
    <row r="138" spans="1:38" ht="14.25" customHeight="1">
      <c r="A138" s="1391" t="s">
        <v>2492</v>
      </c>
      <c r="B138" s="1392"/>
      <c r="C138" s="514" t="s">
        <v>2481</v>
      </c>
      <c r="D138" s="515">
        <f t="shared" ref="D138:X138" si="68">D122+D126++D130+D134</f>
        <v>0</v>
      </c>
      <c r="E138" s="515">
        <f t="shared" si="68"/>
        <v>0</v>
      </c>
      <c r="F138" s="515">
        <f t="shared" si="68"/>
        <v>0</v>
      </c>
      <c r="G138" s="515">
        <f t="shared" si="68"/>
        <v>0</v>
      </c>
      <c r="H138" s="515">
        <f t="shared" si="68"/>
        <v>0</v>
      </c>
      <c r="I138" s="515">
        <f t="shared" si="68"/>
        <v>0</v>
      </c>
      <c r="J138" s="515">
        <f t="shared" si="68"/>
        <v>0</v>
      </c>
      <c r="K138" s="515">
        <f t="shared" si="68"/>
        <v>0</v>
      </c>
      <c r="L138" s="515">
        <f t="shared" si="68"/>
        <v>0</v>
      </c>
      <c r="M138" s="515">
        <f t="shared" si="68"/>
        <v>1</v>
      </c>
      <c r="N138" s="515">
        <f t="shared" si="68"/>
        <v>6</v>
      </c>
      <c r="O138" s="515">
        <f>O122+O126++O130+O134</f>
        <v>3</v>
      </c>
      <c r="P138" s="515">
        <f t="shared" si="68"/>
        <v>2</v>
      </c>
      <c r="Q138" s="515">
        <f t="shared" si="68"/>
        <v>2</v>
      </c>
      <c r="R138" s="515">
        <f t="shared" si="68"/>
        <v>4</v>
      </c>
      <c r="S138" s="515">
        <f t="shared" si="68"/>
        <v>2</v>
      </c>
      <c r="T138" s="515">
        <f t="shared" si="68"/>
        <v>1</v>
      </c>
      <c r="U138" s="515">
        <f t="shared" si="68"/>
        <v>1</v>
      </c>
      <c r="V138" s="515">
        <f t="shared" si="68"/>
        <v>0</v>
      </c>
      <c r="W138" s="515">
        <f t="shared" si="68"/>
        <v>2</v>
      </c>
      <c r="X138" s="515">
        <f t="shared" si="68"/>
        <v>3</v>
      </c>
      <c r="Y138" s="515">
        <f t="shared" ref="Y138:AB141" si="69">Y122+Y126++Y130+Y134</f>
        <v>2</v>
      </c>
      <c r="Z138" s="515">
        <f t="shared" si="69"/>
        <v>0</v>
      </c>
      <c r="AA138" s="515">
        <f t="shared" si="69"/>
        <v>0.82499999999999996</v>
      </c>
      <c r="AB138" s="515">
        <f t="shared" si="69"/>
        <v>0</v>
      </c>
      <c r="AC138" s="505" t="s">
        <v>197</v>
      </c>
      <c r="AD138" s="505" t="s">
        <v>197</v>
      </c>
      <c r="AE138" s="697">
        <f>SUM(E138:X138)</f>
        <v>27</v>
      </c>
      <c r="AF138" s="503" t="s">
        <v>197</v>
      </c>
      <c r="AG138" s="696">
        <f>SUM(T138:X138)</f>
        <v>7</v>
      </c>
      <c r="AH138" s="506">
        <f t="shared" si="49"/>
        <v>0</v>
      </c>
      <c r="AI138" s="506"/>
      <c r="AJ138" s="506"/>
      <c r="AK138" s="506"/>
      <c r="AL138" s="506"/>
    </row>
    <row r="139" spans="1:38" ht="13">
      <c r="A139" s="1393"/>
      <c r="B139" s="1394"/>
      <c r="C139" s="516" t="s">
        <v>2482</v>
      </c>
      <c r="D139" s="515"/>
      <c r="E139" s="515">
        <f t="shared" ref="E139:X139" si="70">E123+E127++E131+E135</f>
        <v>0</v>
      </c>
      <c r="F139" s="515">
        <f t="shared" si="70"/>
        <v>0</v>
      </c>
      <c r="G139" s="515">
        <f t="shared" si="70"/>
        <v>0</v>
      </c>
      <c r="H139" s="515">
        <f t="shared" si="70"/>
        <v>0</v>
      </c>
      <c r="I139" s="515">
        <f t="shared" si="70"/>
        <v>0</v>
      </c>
      <c r="J139" s="515">
        <f t="shared" si="70"/>
        <v>0</v>
      </c>
      <c r="K139" s="515">
        <f t="shared" si="70"/>
        <v>0</v>
      </c>
      <c r="L139" s="515">
        <f t="shared" si="70"/>
        <v>0</v>
      </c>
      <c r="M139" s="515">
        <f t="shared" si="70"/>
        <v>2</v>
      </c>
      <c r="N139" s="515">
        <f t="shared" si="70"/>
        <v>2</v>
      </c>
      <c r="O139" s="515">
        <f>O123+O127++O131+O135</f>
        <v>3</v>
      </c>
      <c r="P139" s="515">
        <f t="shared" si="70"/>
        <v>2</v>
      </c>
      <c r="Q139" s="515">
        <f t="shared" si="70"/>
        <v>3</v>
      </c>
      <c r="R139" s="515">
        <f t="shared" si="70"/>
        <v>2</v>
      </c>
      <c r="S139" s="515">
        <f t="shared" si="70"/>
        <v>2</v>
      </c>
      <c r="T139" s="515">
        <f>T123+T127++T131+T135</f>
        <v>1</v>
      </c>
      <c r="U139" s="515">
        <f t="shared" si="70"/>
        <v>3</v>
      </c>
      <c r="V139" s="515">
        <f t="shared" si="70"/>
        <v>3</v>
      </c>
      <c r="W139" s="515">
        <f>W123+W127++W131+W135</f>
        <v>3</v>
      </c>
      <c r="X139" s="515">
        <f t="shared" si="70"/>
        <v>1</v>
      </c>
      <c r="Y139" s="515">
        <f t="shared" si="69"/>
        <v>2</v>
      </c>
      <c r="Z139" s="515">
        <f t="shared" si="69"/>
        <v>3</v>
      </c>
      <c r="AA139" s="515">
        <f t="shared" si="69"/>
        <v>3</v>
      </c>
      <c r="AB139" s="515">
        <f t="shared" si="69"/>
        <v>3</v>
      </c>
      <c r="AC139" s="505" t="s">
        <v>197</v>
      </c>
      <c r="AD139" s="505" t="s">
        <v>197</v>
      </c>
      <c r="AE139" s="505"/>
      <c r="AF139" s="503" t="s">
        <v>197</v>
      </c>
      <c r="AG139" s="506"/>
      <c r="AH139" s="506">
        <f t="shared" si="49"/>
        <v>0</v>
      </c>
      <c r="AI139" s="506"/>
      <c r="AJ139" s="506"/>
      <c r="AK139" s="506"/>
      <c r="AL139" s="506"/>
    </row>
    <row r="140" spans="1:38" ht="13">
      <c r="A140" s="1393"/>
      <c r="B140" s="1394"/>
      <c r="C140" s="521" t="s">
        <v>2483</v>
      </c>
      <c r="D140" s="523"/>
      <c r="E140" s="523">
        <f t="shared" ref="E140:S140" si="71">E124+E128++E132+E136</f>
        <v>0</v>
      </c>
      <c r="F140" s="523">
        <f t="shared" si="71"/>
        <v>0</v>
      </c>
      <c r="G140" s="523">
        <f t="shared" si="71"/>
        <v>0</v>
      </c>
      <c r="H140" s="523">
        <f t="shared" si="71"/>
        <v>0</v>
      </c>
      <c r="I140" s="523">
        <f t="shared" si="71"/>
        <v>0</v>
      </c>
      <c r="J140" s="523">
        <f t="shared" si="71"/>
        <v>0</v>
      </c>
      <c r="K140" s="523">
        <f t="shared" si="71"/>
        <v>0</v>
      </c>
      <c r="L140" s="523">
        <f t="shared" si="71"/>
        <v>0</v>
      </c>
      <c r="M140" s="523">
        <f t="shared" si="71"/>
        <v>1</v>
      </c>
      <c r="N140" s="523">
        <f t="shared" si="71"/>
        <v>-4</v>
      </c>
      <c r="O140" s="523">
        <f t="shared" si="71"/>
        <v>0</v>
      </c>
      <c r="P140" s="523">
        <f t="shared" si="71"/>
        <v>0</v>
      </c>
      <c r="Q140" s="523">
        <f t="shared" si="71"/>
        <v>1</v>
      </c>
      <c r="R140" s="523">
        <f t="shared" si="71"/>
        <v>-2</v>
      </c>
      <c r="S140" s="523">
        <f t="shared" si="71"/>
        <v>0</v>
      </c>
      <c r="T140" s="523">
        <f>T124+T128++T132+T136</f>
        <v>0</v>
      </c>
      <c r="U140" s="523">
        <f t="shared" ref="U140:X140" si="72">U124+U128++U132+U136</f>
        <v>2</v>
      </c>
      <c r="V140" s="523">
        <f t="shared" si="72"/>
        <v>3</v>
      </c>
      <c r="W140" s="523">
        <f t="shared" si="72"/>
        <v>1</v>
      </c>
      <c r="X140" s="523">
        <f t="shared" si="72"/>
        <v>-2</v>
      </c>
      <c r="Y140" s="523">
        <f t="shared" si="69"/>
        <v>0</v>
      </c>
      <c r="Z140" s="523">
        <f t="shared" si="69"/>
        <v>3</v>
      </c>
      <c r="AA140" s="523">
        <f t="shared" si="69"/>
        <v>2.1749999999999998</v>
      </c>
      <c r="AB140" s="523">
        <f t="shared" si="69"/>
        <v>3</v>
      </c>
      <c r="AC140" s="511">
        <f>SUMIF($E140:$X140,"&gt;0")</f>
        <v>8</v>
      </c>
      <c r="AD140" s="511">
        <f>SUMIF($E140:$X140,"&lt;0")</f>
        <v>-8</v>
      </c>
      <c r="AE140" s="511"/>
      <c r="AF140" s="503" t="s">
        <v>197</v>
      </c>
      <c r="AG140" s="506"/>
      <c r="AH140" s="517">
        <f t="shared" si="49"/>
        <v>0</v>
      </c>
      <c r="AI140" s="506"/>
      <c r="AJ140" s="506"/>
      <c r="AK140" s="506"/>
      <c r="AL140" s="506"/>
    </row>
    <row r="141" spans="1:38" ht="13">
      <c r="A141" s="1395"/>
      <c r="B141" s="1396"/>
      <c r="C141" s="514" t="s">
        <v>2484</v>
      </c>
      <c r="D141" s="523"/>
      <c r="E141" s="515">
        <f>E125+E129++E133+E137</f>
        <v>0</v>
      </c>
      <c r="F141" s="515">
        <f t="shared" ref="F141:X141" si="73">F125+F129++F133+F137</f>
        <v>0</v>
      </c>
      <c r="G141" s="515">
        <f t="shared" si="73"/>
        <v>0</v>
      </c>
      <c r="H141" s="515">
        <f t="shared" si="73"/>
        <v>0</v>
      </c>
      <c r="I141" s="515">
        <f t="shared" si="73"/>
        <v>0</v>
      </c>
      <c r="J141" s="515">
        <f t="shared" si="73"/>
        <v>0</v>
      </c>
      <c r="K141" s="515">
        <f t="shared" si="73"/>
        <v>0</v>
      </c>
      <c r="L141" s="515">
        <f t="shared" si="73"/>
        <v>0</v>
      </c>
      <c r="M141" s="515">
        <f t="shared" si="73"/>
        <v>1</v>
      </c>
      <c r="N141" s="515">
        <f t="shared" si="73"/>
        <v>6</v>
      </c>
      <c r="O141" s="515">
        <f t="shared" si="73"/>
        <v>3</v>
      </c>
      <c r="P141" s="515">
        <f t="shared" si="73"/>
        <v>2</v>
      </c>
      <c r="Q141" s="515">
        <f t="shared" si="73"/>
        <v>2</v>
      </c>
      <c r="R141" s="515">
        <f t="shared" si="73"/>
        <v>4</v>
      </c>
      <c r="S141" s="515">
        <f t="shared" si="73"/>
        <v>2</v>
      </c>
      <c r="T141" s="515">
        <f t="shared" si="73"/>
        <v>1</v>
      </c>
      <c r="U141" s="515">
        <f t="shared" si="73"/>
        <v>1</v>
      </c>
      <c r="V141" s="515">
        <f t="shared" si="73"/>
        <v>0</v>
      </c>
      <c r="W141" s="515">
        <f t="shared" si="73"/>
        <v>2</v>
      </c>
      <c r="X141" s="515">
        <f t="shared" si="73"/>
        <v>3</v>
      </c>
      <c r="Y141" s="515">
        <f t="shared" si="69"/>
        <v>2</v>
      </c>
      <c r="Z141" s="515">
        <f t="shared" si="69"/>
        <v>0</v>
      </c>
      <c r="AA141" s="515">
        <f t="shared" si="69"/>
        <v>0</v>
      </c>
      <c r="AB141" s="515">
        <f t="shared" si="69"/>
        <v>0</v>
      </c>
      <c r="AC141" s="511"/>
      <c r="AD141" s="511"/>
      <c r="AE141" s="697">
        <f>SUM(E141:X141)</f>
        <v>27</v>
      </c>
      <c r="AF141" s="503"/>
      <c r="AG141" s="696">
        <f>SUM(T141:W141)</f>
        <v>4</v>
      </c>
      <c r="AH141" s="693"/>
      <c r="AI141" s="506"/>
      <c r="AJ141" s="506"/>
      <c r="AK141" s="506"/>
      <c r="AL141" s="506"/>
    </row>
    <row r="142" spans="1:38" ht="13">
      <c r="A142" s="1390" t="s">
        <v>2479</v>
      </c>
      <c r="B142" s="1390"/>
      <c r="C142" s="503" t="s">
        <v>197</v>
      </c>
      <c r="D142" s="503"/>
      <c r="E142" s="508"/>
      <c r="F142" s="508"/>
      <c r="G142" s="508"/>
      <c r="H142" s="508"/>
      <c r="I142" s="508"/>
      <c r="J142" s="508"/>
      <c r="K142" s="508"/>
      <c r="L142" s="508"/>
      <c r="M142" s="508"/>
      <c r="N142" s="508"/>
      <c r="O142" s="508"/>
      <c r="P142" s="508"/>
      <c r="Q142" s="508"/>
      <c r="R142" s="508"/>
      <c r="S142" s="508"/>
      <c r="T142" s="508"/>
      <c r="U142" s="508"/>
      <c r="V142" s="508"/>
      <c r="W142" s="508"/>
      <c r="X142" s="508"/>
      <c r="Y142" s="508"/>
      <c r="Z142" s="508"/>
      <c r="AA142" s="508"/>
      <c r="AB142" s="508"/>
      <c r="AC142" s="518" t="s">
        <v>197</v>
      </c>
      <c r="AD142" s="518" t="s">
        <v>197</v>
      </c>
      <c r="AE142" s="518"/>
      <c r="AF142" s="503" t="s">
        <v>197</v>
      </c>
      <c r="AG142" s="506"/>
      <c r="AH142" s="506">
        <f t="shared" si="49"/>
        <v>0</v>
      </c>
      <c r="AI142" s="506"/>
      <c r="AJ142" s="506"/>
      <c r="AK142" s="506"/>
      <c r="AL142" s="506"/>
    </row>
    <row r="154" spans="2:13" ht="13">
      <c r="B154" s="507" t="s">
        <v>2493</v>
      </c>
      <c r="G154" s="507">
        <f>40-9</f>
        <v>31</v>
      </c>
      <c r="H154" s="507">
        <v>30</v>
      </c>
      <c r="I154" s="507">
        <v>39</v>
      </c>
      <c r="J154" s="507">
        <v>20</v>
      </c>
      <c r="K154" s="507">
        <v>20</v>
      </c>
      <c r="L154" s="507">
        <v>20</v>
      </c>
      <c r="M154" s="507">
        <v>18</v>
      </c>
    </row>
    <row r="155" spans="2:13" ht="13">
      <c r="C155" s="507" t="s">
        <v>2494</v>
      </c>
      <c r="G155" s="507">
        <v>9</v>
      </c>
    </row>
    <row r="156" spans="2:13" ht="13"/>
    <row r="157" spans="2:13" ht="13">
      <c r="B157" s="507" t="s">
        <v>2495</v>
      </c>
      <c r="C157" s="507" t="s">
        <v>2496</v>
      </c>
      <c r="G157" s="507">
        <v>31</v>
      </c>
      <c r="H157" s="507">
        <v>19</v>
      </c>
      <c r="I157" s="507">
        <v>39</v>
      </c>
      <c r="J157" s="507">
        <v>20</v>
      </c>
      <c r="K157" s="507">
        <v>20</v>
      </c>
      <c r="L157" s="507">
        <v>20</v>
      </c>
      <c r="M157" s="507">
        <v>18</v>
      </c>
    </row>
  </sheetData>
  <autoFilter ref="A1:AH142" xr:uid="{B0E0EAF1-7E5F-41A9-BC03-4EEE1EDDD02F}"/>
  <mergeCells count="43">
    <mergeCell ref="A142:B142"/>
    <mergeCell ref="A118:B121"/>
    <mergeCell ref="A138:B141"/>
    <mergeCell ref="A122:A137"/>
    <mergeCell ref="B126:B129"/>
    <mergeCell ref="B122:B125"/>
    <mergeCell ref="B130:B133"/>
    <mergeCell ref="B134:B137"/>
    <mergeCell ref="A98:A117"/>
    <mergeCell ref="B98:B101"/>
    <mergeCell ref="B102:B105"/>
    <mergeCell ref="B106:B109"/>
    <mergeCell ref="B114:B117"/>
    <mergeCell ref="B110:B113"/>
    <mergeCell ref="B2:B5"/>
    <mergeCell ref="B6:B9"/>
    <mergeCell ref="B10:B13"/>
    <mergeCell ref="A2:A21"/>
    <mergeCell ref="B18:B21"/>
    <mergeCell ref="B14:B17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A96:B96"/>
    <mergeCell ref="A72:B75"/>
    <mergeCell ref="B76:B79"/>
    <mergeCell ref="B80:B83"/>
    <mergeCell ref="B84:B87"/>
    <mergeCell ref="B88:B91"/>
    <mergeCell ref="A76:A91"/>
    <mergeCell ref="A92:B95"/>
  </mergeCells>
  <phoneticPr fontId="64" type="noConversion"/>
  <conditionalFormatting sqref="D9">
    <cfRule type="cellIs" dxfId="172" priority="79" operator="greaterThan">
      <formula>0</formula>
    </cfRule>
    <cfRule type="cellIs" dxfId="171" priority="80" operator="lessThan">
      <formula>0</formula>
    </cfRule>
  </conditionalFormatting>
  <conditionalFormatting sqref="D13">
    <cfRule type="cellIs" dxfId="170" priority="77" operator="greaterThan">
      <formula>0</formula>
    </cfRule>
    <cfRule type="cellIs" dxfId="169" priority="78" operator="lessThan">
      <formula>0</formula>
    </cfRule>
  </conditionalFormatting>
  <conditionalFormatting sqref="D17">
    <cfRule type="cellIs" dxfId="168" priority="23" operator="greaterThan">
      <formula>0</formula>
    </cfRule>
    <cfRule type="cellIs" dxfId="167" priority="24" operator="lessThan">
      <formula>0</formula>
    </cfRule>
  </conditionalFormatting>
  <conditionalFormatting sqref="D21">
    <cfRule type="cellIs" dxfId="166" priority="75" operator="greaterThan">
      <formula>0</formula>
    </cfRule>
    <cfRule type="cellIs" dxfId="165" priority="76" operator="lessThan">
      <formula>0</formula>
    </cfRule>
  </conditionalFormatting>
  <conditionalFormatting sqref="D29">
    <cfRule type="cellIs" dxfId="164" priority="73" operator="greaterThan">
      <formula>0</formula>
    </cfRule>
    <cfRule type="cellIs" dxfId="163" priority="74" operator="lessThan">
      <formula>0</formula>
    </cfRule>
  </conditionalFormatting>
  <conditionalFormatting sqref="D33">
    <cfRule type="cellIs" dxfId="162" priority="71" operator="greaterThan">
      <formula>0</formula>
    </cfRule>
    <cfRule type="cellIs" dxfId="161" priority="72" operator="lessThan">
      <formula>0</formula>
    </cfRule>
  </conditionalFormatting>
  <conditionalFormatting sqref="D37">
    <cfRule type="cellIs" dxfId="160" priority="69" operator="greaterThan">
      <formula>0</formula>
    </cfRule>
    <cfRule type="cellIs" dxfId="159" priority="70" operator="lessThan">
      <formula>0</formula>
    </cfRule>
  </conditionalFormatting>
  <conditionalFormatting sqref="D41 D45">
    <cfRule type="cellIs" dxfId="158" priority="67" operator="greaterThan">
      <formula>0</formula>
    </cfRule>
    <cfRule type="cellIs" dxfId="157" priority="68" operator="lessThan">
      <formula>0</formula>
    </cfRule>
  </conditionalFormatting>
  <conditionalFormatting sqref="D4:AB4">
    <cfRule type="cellIs" dxfId="156" priority="81" operator="greaterThan">
      <formula>0</formula>
    </cfRule>
    <cfRule type="cellIs" dxfId="155" priority="82" operator="lessThan">
      <formula>0</formula>
    </cfRule>
  </conditionalFormatting>
  <conditionalFormatting sqref="D8:AB8">
    <cfRule type="cellIs" dxfId="154" priority="17" operator="greaterThan">
      <formula>0</formula>
    </cfRule>
    <cfRule type="cellIs" dxfId="153" priority="18" operator="lessThan">
      <formula>0</formula>
    </cfRule>
  </conditionalFormatting>
  <conditionalFormatting sqref="D12:AB12">
    <cfRule type="cellIs" dxfId="152" priority="15" operator="greaterThan">
      <formula>0</formula>
    </cfRule>
    <cfRule type="cellIs" dxfId="151" priority="16" operator="lessThan">
      <formula>0</formula>
    </cfRule>
  </conditionalFormatting>
  <conditionalFormatting sqref="D16:AB16">
    <cfRule type="cellIs" dxfId="150" priority="13" operator="greaterThan">
      <formula>0</formula>
    </cfRule>
    <cfRule type="cellIs" dxfId="149" priority="14" operator="lessThan">
      <formula>0</formula>
    </cfRule>
  </conditionalFormatting>
  <conditionalFormatting sqref="D20:AB20">
    <cfRule type="cellIs" dxfId="148" priority="11" operator="greaterThan">
      <formula>0</formula>
    </cfRule>
    <cfRule type="cellIs" dxfId="147" priority="12" operator="lessThan">
      <formula>0</formula>
    </cfRule>
  </conditionalFormatting>
  <conditionalFormatting sqref="D28:AB28">
    <cfRule type="cellIs" dxfId="146" priority="9" operator="greaterThan">
      <formula>0</formula>
    </cfRule>
    <cfRule type="cellIs" dxfId="145" priority="10" operator="lessThan">
      <formula>0</formula>
    </cfRule>
  </conditionalFormatting>
  <conditionalFormatting sqref="D32:AB32">
    <cfRule type="cellIs" dxfId="144" priority="7" operator="greaterThan">
      <formula>0</formula>
    </cfRule>
    <cfRule type="cellIs" dxfId="143" priority="8" operator="lessThan">
      <formula>0</formula>
    </cfRule>
  </conditionalFormatting>
  <conditionalFormatting sqref="D36:AB36">
    <cfRule type="cellIs" dxfId="142" priority="5" operator="greaterThan">
      <formula>0</formula>
    </cfRule>
    <cfRule type="cellIs" dxfId="141" priority="6" operator="lessThan">
      <formula>0</formula>
    </cfRule>
  </conditionalFormatting>
  <conditionalFormatting sqref="D40:AB40">
    <cfRule type="cellIs" dxfId="140" priority="3" operator="greaterThan">
      <formula>0</formula>
    </cfRule>
    <cfRule type="cellIs" dxfId="139" priority="4" operator="lessThan">
      <formula>0</formula>
    </cfRule>
  </conditionalFormatting>
  <conditionalFormatting sqref="D44:AB44">
    <cfRule type="cellIs" dxfId="138" priority="1" operator="greaterThan">
      <formula>0</formula>
    </cfRule>
    <cfRule type="cellIs" dxfId="137" priority="2" operator="lessThan">
      <formula>0</formula>
    </cfRule>
  </conditionalFormatting>
  <conditionalFormatting sqref="D54:AB54 D55">
    <cfRule type="cellIs" dxfId="136" priority="65" operator="greaterThan">
      <formula>0</formula>
    </cfRule>
    <cfRule type="cellIs" dxfId="135" priority="66" operator="lessThan">
      <formula>0</formula>
    </cfRule>
  </conditionalFormatting>
  <conditionalFormatting sqref="D58:AB58 D59">
    <cfRule type="cellIs" dxfId="134" priority="63" operator="greaterThan">
      <formula>0</formula>
    </cfRule>
    <cfRule type="cellIs" dxfId="133" priority="64" operator="lessThan">
      <formula>0</formula>
    </cfRule>
  </conditionalFormatting>
  <conditionalFormatting sqref="D62:AB62 D63">
    <cfRule type="cellIs" dxfId="132" priority="61" operator="greaterThan">
      <formula>0</formula>
    </cfRule>
    <cfRule type="cellIs" dxfId="131" priority="62" operator="lessThan">
      <formula>0</formula>
    </cfRule>
  </conditionalFormatting>
  <conditionalFormatting sqref="D66:AB66 D67">
    <cfRule type="cellIs" dxfId="130" priority="59" operator="greaterThan">
      <formula>0</formula>
    </cfRule>
    <cfRule type="cellIs" dxfId="129" priority="60" operator="lessThan">
      <formula>0</formula>
    </cfRule>
  </conditionalFormatting>
  <conditionalFormatting sqref="D70:AB70 D71">
    <cfRule type="cellIs" dxfId="128" priority="57" operator="greaterThan">
      <formula>0</formula>
    </cfRule>
    <cfRule type="cellIs" dxfId="127" priority="58" operator="lessThan">
      <formula>0</formula>
    </cfRule>
  </conditionalFormatting>
  <conditionalFormatting sqref="D78:AB78 D79">
    <cfRule type="cellIs" dxfId="126" priority="55" operator="greaterThan">
      <formula>0</formula>
    </cfRule>
    <cfRule type="cellIs" dxfId="125" priority="56" operator="lessThan">
      <formula>0</formula>
    </cfRule>
  </conditionalFormatting>
  <conditionalFormatting sqref="D82:AB82 D83">
    <cfRule type="cellIs" dxfId="124" priority="53" operator="greaterThan">
      <formula>0</formula>
    </cfRule>
    <cfRule type="cellIs" dxfId="123" priority="54" operator="lessThan">
      <formula>0</formula>
    </cfRule>
  </conditionalFormatting>
  <conditionalFormatting sqref="D86:AB86 D87">
    <cfRule type="cellIs" dxfId="122" priority="51" operator="greaterThan">
      <formula>0</formula>
    </cfRule>
    <cfRule type="cellIs" dxfId="121" priority="52" operator="lessThan">
      <formula>0</formula>
    </cfRule>
  </conditionalFormatting>
  <conditionalFormatting sqref="D90:AB90 D91">
    <cfRule type="cellIs" dxfId="120" priority="49" operator="greaterThan">
      <formula>0</formula>
    </cfRule>
    <cfRule type="cellIs" dxfId="119" priority="50" operator="lessThan">
      <formula>0</formula>
    </cfRule>
  </conditionalFormatting>
  <conditionalFormatting sqref="D100:AB100 D101">
    <cfRule type="cellIs" dxfId="118" priority="47" operator="greaterThan">
      <formula>0</formula>
    </cfRule>
    <cfRule type="cellIs" dxfId="117" priority="48" operator="lessThan">
      <formula>0</formula>
    </cfRule>
  </conditionalFormatting>
  <conditionalFormatting sqref="D104:AB104 D105">
    <cfRule type="cellIs" dxfId="116" priority="45" operator="greaterThan">
      <formula>0</formula>
    </cfRule>
    <cfRule type="cellIs" dxfId="115" priority="46" operator="lessThan">
      <formula>0</formula>
    </cfRule>
  </conditionalFormatting>
  <conditionalFormatting sqref="D108:AB108 D109">
    <cfRule type="cellIs" dxfId="114" priority="43" operator="greaterThan">
      <formula>0</formula>
    </cfRule>
    <cfRule type="cellIs" dxfId="113" priority="44" operator="lessThan">
      <formula>0</formula>
    </cfRule>
  </conditionalFormatting>
  <conditionalFormatting sqref="D112:AB112 D113">
    <cfRule type="cellIs" dxfId="112" priority="20" operator="greaterThan">
      <formula>0</formula>
    </cfRule>
    <cfRule type="cellIs" dxfId="111" priority="21" operator="lessThan">
      <formula>0</formula>
    </cfRule>
  </conditionalFormatting>
  <conditionalFormatting sqref="D116:AB116 D117">
    <cfRule type="cellIs" dxfId="110" priority="41" operator="greaterThan">
      <formula>0</formula>
    </cfRule>
    <cfRule type="cellIs" dxfId="109" priority="42" operator="lessThan">
      <formula>0</formula>
    </cfRule>
  </conditionalFormatting>
  <conditionalFormatting sqref="D124:AB124 D125">
    <cfRule type="cellIs" dxfId="108" priority="39" operator="greaterThan">
      <formula>0</formula>
    </cfRule>
    <cfRule type="cellIs" dxfId="107" priority="40" operator="lessThan">
      <formula>0</formula>
    </cfRule>
  </conditionalFormatting>
  <conditionalFormatting sqref="D128:AB128 D129">
    <cfRule type="cellIs" dxfId="106" priority="37" operator="greaterThan">
      <formula>0</formula>
    </cfRule>
    <cfRule type="cellIs" dxfId="105" priority="38" operator="lessThan">
      <formula>0</formula>
    </cfRule>
  </conditionalFormatting>
  <conditionalFormatting sqref="D132:AB132 D133">
    <cfRule type="cellIs" dxfId="104" priority="35" operator="greaterThan">
      <formula>0</formula>
    </cfRule>
    <cfRule type="cellIs" dxfId="103" priority="36" operator="lessThan">
      <formula>0</formula>
    </cfRule>
  </conditionalFormatting>
  <conditionalFormatting sqref="D136:AB136 D137">
    <cfRule type="cellIs" dxfId="102" priority="33" operator="greaterThan">
      <formula>0</formula>
    </cfRule>
    <cfRule type="cellIs" dxfId="101" priority="34" operator="lessThan">
      <formula>0</formula>
    </cfRule>
  </conditionalFormatting>
  <conditionalFormatting sqref="E5:AB5">
    <cfRule type="expression" dxfId="100" priority="27" stopIfTrue="1">
      <formula>E$2&lt;&gt;E$5</formula>
    </cfRule>
    <cfRule type="expression" dxfId="99" priority="30" stopIfTrue="1">
      <formula>E5&lt;&gt;E2</formula>
    </cfRule>
    <cfRule type="expression" dxfId="98" priority="4813" stopIfTrue="1">
      <formula>E1048573&lt;&gt;E1048570</formula>
    </cfRule>
  </conditionalFormatting>
  <conditionalFormatting sqref="E9:AB9">
    <cfRule type="expression" dxfId="97" priority="4835" stopIfTrue="1">
      <formula>#REF!&lt;&gt;E1048574</formula>
    </cfRule>
  </conditionalFormatting>
  <conditionalFormatting sqref="E13:AB13 E21:AB21 E29:AB29 E33:AB33 E37:AB37 E41:AB41 E45:AB45 E55:AB55 E59:AB59 E63:AB63 E67:AB67 E71:AB71 E79:AB79 E83:AB83 E87:AB87 E91:AB91 E109:AB109">
    <cfRule type="expression" dxfId="96" priority="29" stopIfTrue="1">
      <formula>E13&lt;&gt;E10</formula>
    </cfRule>
  </conditionalFormatting>
  <conditionalFormatting sqref="E13:AB13">
    <cfRule type="expression" dxfId="95" priority="4836" stopIfTrue="1">
      <formula>#REF!&lt;&gt;#REF!</formula>
    </cfRule>
  </conditionalFormatting>
  <conditionalFormatting sqref="E17:AB17">
    <cfRule type="expression" dxfId="94" priority="4837" stopIfTrue="1">
      <formula>E17&lt;&gt;E14</formula>
    </cfRule>
    <cfRule type="expression" dxfId="93" priority="4838" stopIfTrue="1">
      <formula>#REF!&lt;&gt;#REF!</formula>
    </cfRule>
  </conditionalFormatting>
  <conditionalFormatting sqref="E21:AB21">
    <cfRule type="expression" dxfId="92" priority="4831" stopIfTrue="1">
      <formula>#REF!&lt;&gt;#REF!</formula>
    </cfRule>
  </conditionalFormatting>
  <conditionalFormatting sqref="E29:AB29">
    <cfRule type="expression" dxfId="91" priority="4815" stopIfTrue="1">
      <formula>E5&lt;&gt;E2</formula>
    </cfRule>
  </conditionalFormatting>
  <conditionalFormatting sqref="E101:AB101 E105:AB105 E117:AB117 E125:AB125 E129:AB129 E133:AB133 E137:AB137">
    <cfRule type="expression" dxfId="90" priority="26" stopIfTrue="1">
      <formula>E101&lt;&gt;E98</formula>
    </cfRule>
  </conditionalFormatting>
  <conditionalFormatting sqref="E113:AB113">
    <cfRule type="expression" dxfId="89" priority="19" stopIfTrue="1">
      <formula>E113&lt;&gt;E110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71"/>
  <sheetViews>
    <sheetView zoomScaleNormal="100" workbookViewId="0">
      <pane ySplit="1" topLeftCell="A146" activePane="bottomLeft" state="frozen"/>
      <selection activeCell="AA474" sqref="AA474"/>
      <selection pane="bottomLeft" activeCell="S471" sqref="S471:U471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09765625" style="21" hidden="1" customWidth="1" outlineLevel="2"/>
    <col min="4" max="5" width="9.09765625" style="21" hidden="1" customWidth="1" outlineLevel="1"/>
    <col min="6" max="6" width="16.8984375" style="21" hidden="1" customWidth="1" outlineLevel="1"/>
    <col min="7" max="7" width="33.8984375" hidden="1" customWidth="1" outlineLevel="1"/>
    <col min="8" max="8" width="9.09765625" hidden="1" customWidth="1" outlineLevel="1"/>
    <col min="9" max="9" width="30.8984375" hidden="1" customWidth="1" collapsed="1"/>
    <col min="10" max="10" width="9" hidden="1" customWidth="1"/>
    <col min="11" max="11" width="15.59765625" hidden="1" customWidth="1" outlineLevel="1"/>
    <col min="12" max="12" width="12.09765625" style="21" hidden="1" customWidth="1" outlineLevel="1"/>
    <col min="13" max="13" width="7.09765625" hidden="1" customWidth="1" outlineLevel="1"/>
    <col min="14" max="14" width="9.09765625" hidden="1" customWidth="1" outlineLevel="1"/>
    <col min="15" max="15" width="9.09765625" style="21" hidden="1" customWidth="1" outlineLevel="1"/>
    <col min="16" max="16" width="12.3984375" customWidth="1" collapsed="1"/>
    <col min="17" max="17" width="14.0976562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59" customWidth="1"/>
    <col min="25" max="25" width="11.59765625" style="21" customWidth="1" outlineLevel="1"/>
    <col min="26" max="26" width="12.8984375" style="21" customWidth="1" outlineLevel="1"/>
    <col min="27" max="27" width="12.3984375" style="21" customWidth="1"/>
    <col min="28" max="28" width="10.09765625" style="211" customWidth="1"/>
    <col min="29" max="29" width="9.09765625" style="211" customWidth="1"/>
    <col min="30" max="30" width="12" style="21" customWidth="1"/>
    <col min="31" max="31" width="14.09765625" style="292" customWidth="1"/>
    <col min="32" max="32" width="15" style="204" customWidth="1"/>
    <col min="33" max="33" width="15.3984375" style="21" bestFit="1" customWidth="1" outlineLevel="1"/>
    <col min="34" max="34" width="17.09765625" customWidth="1"/>
    <col min="35" max="36" width="9.09765625" style="21" customWidth="1"/>
    <col min="37" max="37" width="9.09765625" style="101" customWidth="1"/>
    <col min="38" max="39" width="9.09765625" style="101" customWidth="1" outlineLevel="1"/>
    <col min="40" max="40" width="9.09765625" style="192" customWidth="1"/>
    <col min="41" max="41" width="9.09765625" customWidth="1"/>
    <col min="42" max="42" width="33" customWidth="1"/>
    <col min="43" max="43" width="9.09765625" style="21" customWidth="1"/>
    <col min="44" max="44" width="17.8984375" style="21" customWidth="1"/>
    <col min="45" max="46" width="16.09765625" style="21" customWidth="1"/>
    <col min="47" max="47" width="9.09765625" style="193" customWidth="1"/>
    <col min="48" max="48" width="9.09765625" style="223" customWidth="1"/>
    <col min="49" max="49" width="9.09765625" style="194" customWidth="1"/>
    <col min="50" max="50" width="9.09765625" style="193" customWidth="1"/>
    <col min="51" max="52" width="9.09765625" style="194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52.5" outlineLevel="1">
      <c r="A1" s="1" t="s">
        <v>2497</v>
      </c>
      <c r="B1" s="3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7</v>
      </c>
      <c r="H1" s="26" t="s">
        <v>6</v>
      </c>
      <c r="I1" s="26" t="s">
        <v>9</v>
      </c>
      <c r="J1" s="26" t="s">
        <v>8</v>
      </c>
      <c r="K1" s="26" t="s">
        <v>10</v>
      </c>
      <c r="L1" s="286" t="s">
        <v>2498</v>
      </c>
      <c r="M1" s="217" t="s">
        <v>2499</v>
      </c>
      <c r="N1" s="26" t="s">
        <v>13</v>
      </c>
      <c r="O1" s="26" t="s">
        <v>2500</v>
      </c>
      <c r="P1" s="2" t="s">
        <v>14</v>
      </c>
      <c r="Q1" s="2" t="s">
        <v>15</v>
      </c>
      <c r="R1" s="2" t="s">
        <v>2501</v>
      </c>
      <c r="S1" s="2" t="s">
        <v>2502</v>
      </c>
      <c r="T1" s="205" t="s">
        <v>19</v>
      </c>
      <c r="U1" s="205" t="s">
        <v>20</v>
      </c>
      <c r="V1" s="2" t="s">
        <v>21</v>
      </c>
      <c r="W1" s="197" t="s">
        <v>22</v>
      </c>
      <c r="X1" s="258" t="s">
        <v>23</v>
      </c>
      <c r="Y1" s="2" t="s">
        <v>24</v>
      </c>
      <c r="Z1" s="2" t="s">
        <v>2503</v>
      </c>
      <c r="AA1" s="248" t="s">
        <v>58</v>
      </c>
      <c r="AB1" s="3" t="s">
        <v>18</v>
      </c>
      <c r="AC1" s="27" t="s">
        <v>27</v>
      </c>
      <c r="AD1" s="28" t="s">
        <v>28</v>
      </c>
      <c r="AE1" s="2" t="s">
        <v>29</v>
      </c>
      <c r="AF1" s="2" t="s">
        <v>30</v>
      </c>
      <c r="AG1" s="26" t="s">
        <v>31</v>
      </c>
      <c r="AH1" s="26" t="s">
        <v>33</v>
      </c>
      <c r="AI1" s="4" t="s">
        <v>2504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222" t="s">
        <v>2505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2506</v>
      </c>
      <c r="AU1" s="2" t="s">
        <v>46</v>
      </c>
      <c r="AV1" s="2" t="s">
        <v>47</v>
      </c>
      <c r="AW1" s="244" t="s">
        <v>2507</v>
      </c>
      <c r="AX1" s="29" t="s">
        <v>2508</v>
      </c>
      <c r="AY1" s="29" t="s">
        <v>2509</v>
      </c>
      <c r="AZ1" s="29" t="s">
        <v>2510</v>
      </c>
      <c r="BA1" s="29" t="s">
        <v>2511</v>
      </c>
      <c r="BB1" s="29" t="s">
        <v>2512</v>
      </c>
      <c r="BC1" s="29" t="s">
        <v>2513</v>
      </c>
      <c r="BD1" s="245" t="s">
        <v>2514</v>
      </c>
      <c r="BE1" s="245" t="s">
        <v>2515</v>
      </c>
      <c r="BF1" s="29" t="s">
        <v>2516</v>
      </c>
      <c r="BG1" s="196" t="s">
        <v>56</v>
      </c>
      <c r="BH1" s="196" t="s">
        <v>57</v>
      </c>
    </row>
    <row r="2" spans="1:60" s="23" customFormat="1" ht="10">
      <c r="A2" s="11" t="s">
        <v>2517</v>
      </c>
      <c r="B2" s="12"/>
      <c r="C2" s="12" t="s">
        <v>2518</v>
      </c>
      <c r="D2" s="12" t="s">
        <v>63</v>
      </c>
      <c r="E2" s="12" t="s">
        <v>64</v>
      </c>
      <c r="F2" s="12" t="s">
        <v>65</v>
      </c>
      <c r="G2" s="12" t="s">
        <v>67</v>
      </c>
      <c r="H2" s="12" t="s">
        <v>66</v>
      </c>
      <c r="I2" s="12" t="s">
        <v>96</v>
      </c>
      <c r="J2" s="13" t="s">
        <v>68</v>
      </c>
      <c r="K2" s="12"/>
      <c r="L2" s="13" t="s">
        <v>2519</v>
      </c>
      <c r="M2" s="213" t="s">
        <v>68</v>
      </c>
      <c r="N2" s="182"/>
      <c r="O2" s="12" t="s">
        <v>2520</v>
      </c>
      <c r="P2" s="12" t="s">
        <v>170</v>
      </c>
      <c r="Q2" s="12" t="s">
        <v>171</v>
      </c>
      <c r="R2" s="12">
        <v>552045</v>
      </c>
      <c r="S2" s="12" t="s">
        <v>172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75</v>
      </c>
      <c r="Z2" s="12"/>
      <c r="AA2" s="13" t="s">
        <v>108</v>
      </c>
      <c r="AB2" s="13" t="s">
        <v>992</v>
      </c>
      <c r="AC2" s="14">
        <v>45814</v>
      </c>
      <c r="AD2" s="15">
        <v>23</v>
      </c>
      <c r="AE2" s="176" t="s">
        <v>2521</v>
      </c>
      <c r="AF2" s="12">
        <v>371008554</v>
      </c>
      <c r="AG2" s="12" t="s">
        <v>122</v>
      </c>
      <c r="AH2" s="12" t="s">
        <v>78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66</v>
      </c>
      <c r="AP2" s="12" t="s">
        <v>2522</v>
      </c>
      <c r="AQ2" s="12"/>
      <c r="AR2" s="12" t="s">
        <v>2523</v>
      </c>
      <c r="AS2" s="12" t="s">
        <v>2524</v>
      </c>
      <c r="AT2" s="12" t="s">
        <v>2524</v>
      </c>
      <c r="AU2" s="12">
        <v>51</v>
      </c>
      <c r="AV2" s="12" t="s">
        <v>83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2525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2526</v>
      </c>
      <c r="B3" s="12"/>
      <c r="C3" s="12" t="s">
        <v>2518</v>
      </c>
      <c r="D3" s="12" t="s">
        <v>63</v>
      </c>
      <c r="E3" s="12" t="s">
        <v>68</v>
      </c>
      <c r="F3" s="12" t="s">
        <v>68</v>
      </c>
      <c r="G3" s="12"/>
      <c r="H3" s="17" t="s">
        <v>66</v>
      </c>
      <c r="I3" s="12" t="s">
        <v>96</v>
      </c>
      <c r="J3" s="13" t="s">
        <v>68</v>
      </c>
      <c r="K3" s="12"/>
      <c r="L3" s="13" t="s">
        <v>2527</v>
      </c>
      <c r="M3" s="12" t="s">
        <v>68</v>
      </c>
      <c r="N3" s="182"/>
      <c r="O3" s="12" t="s">
        <v>2520</v>
      </c>
      <c r="P3" s="12" t="s">
        <v>170</v>
      </c>
      <c r="Q3" s="12" t="s">
        <v>171</v>
      </c>
      <c r="R3" s="12">
        <v>552045</v>
      </c>
      <c r="S3" s="12" t="s">
        <v>172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75</v>
      </c>
      <c r="Z3" s="12"/>
      <c r="AA3" s="13" t="s">
        <v>108</v>
      </c>
      <c r="AB3" s="13" t="s">
        <v>992</v>
      </c>
      <c r="AC3" s="14">
        <v>45814</v>
      </c>
      <c r="AD3" s="15">
        <v>23</v>
      </c>
      <c r="AE3" s="176" t="s">
        <v>2528</v>
      </c>
      <c r="AF3" s="12">
        <v>371008559</v>
      </c>
      <c r="AG3" s="12" t="s">
        <v>122</v>
      </c>
      <c r="AH3" s="12" t="s">
        <v>124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66</v>
      </c>
      <c r="AP3" s="12" t="s">
        <v>2529</v>
      </c>
      <c r="AQ3" s="12"/>
      <c r="AR3" s="12" t="s">
        <v>2530</v>
      </c>
      <c r="AS3" s="12" t="s">
        <v>2531</v>
      </c>
      <c r="AT3" s="12" t="s">
        <v>2531</v>
      </c>
      <c r="AU3" s="12">
        <v>48</v>
      </c>
      <c r="AV3" s="12" t="s">
        <v>83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2525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2532</v>
      </c>
      <c r="B4" s="12"/>
      <c r="C4" s="12" t="s">
        <v>2518</v>
      </c>
      <c r="D4" s="12" t="s">
        <v>63</v>
      </c>
      <c r="E4" s="12" t="s">
        <v>68</v>
      </c>
      <c r="F4" s="12" t="s">
        <v>68</v>
      </c>
      <c r="G4" s="12"/>
      <c r="H4" s="17" t="s">
        <v>146</v>
      </c>
      <c r="I4" s="12" t="s">
        <v>2533</v>
      </c>
      <c r="J4" s="13" t="s">
        <v>68</v>
      </c>
      <c r="K4" s="12"/>
      <c r="L4" s="13" t="s">
        <v>2534</v>
      </c>
      <c r="M4" s="12" t="s">
        <v>68</v>
      </c>
      <c r="N4" s="182"/>
      <c r="O4" s="12" t="s">
        <v>2520</v>
      </c>
      <c r="P4" s="12" t="s">
        <v>170</v>
      </c>
      <c r="Q4" s="12" t="s">
        <v>171</v>
      </c>
      <c r="R4" s="12">
        <v>552045</v>
      </c>
      <c r="S4" s="12" t="s">
        <v>172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75</v>
      </c>
      <c r="Z4" s="12"/>
      <c r="AA4" s="13" t="s">
        <v>108</v>
      </c>
      <c r="AB4" s="13" t="s">
        <v>992</v>
      </c>
      <c r="AC4" s="14">
        <v>45815</v>
      </c>
      <c r="AD4" s="15">
        <v>23</v>
      </c>
      <c r="AE4" s="176" t="s">
        <v>2535</v>
      </c>
      <c r="AF4" s="12">
        <v>371008556</v>
      </c>
      <c r="AG4" s="12" t="s">
        <v>122</v>
      </c>
      <c r="AH4" s="12" t="s">
        <v>159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146</v>
      </c>
      <c r="AP4" s="12" t="s">
        <v>2536</v>
      </c>
      <c r="AQ4" s="12"/>
      <c r="AR4" s="12" t="s">
        <v>2537</v>
      </c>
      <c r="AS4" s="12">
        <v>254396324</v>
      </c>
      <c r="AT4" s="12">
        <v>254396324</v>
      </c>
      <c r="AU4" s="12">
        <v>63</v>
      </c>
      <c r="AV4" s="12" t="s">
        <v>2538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2525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10">
      <c r="A5" s="11" t="s">
        <v>2539</v>
      </c>
      <c r="B5" s="12"/>
      <c r="C5" s="12" t="s">
        <v>2540</v>
      </c>
      <c r="D5" s="12" t="s">
        <v>63</v>
      </c>
      <c r="E5" s="12" t="s">
        <v>68</v>
      </c>
      <c r="F5" s="12" t="s">
        <v>68</v>
      </c>
      <c r="G5" s="12"/>
      <c r="H5" s="12" t="s">
        <v>66</v>
      </c>
      <c r="I5" s="12" t="s">
        <v>2541</v>
      </c>
      <c r="J5" s="13" t="s">
        <v>68</v>
      </c>
      <c r="K5" s="12"/>
      <c r="L5" s="13" t="s">
        <v>2542</v>
      </c>
      <c r="M5" s="12" t="s">
        <v>68</v>
      </c>
      <c r="N5" s="182"/>
      <c r="O5" s="12" t="s">
        <v>2520</v>
      </c>
      <c r="P5" s="12" t="s">
        <v>132</v>
      </c>
      <c r="Q5" s="12" t="s">
        <v>453</v>
      </c>
      <c r="R5" s="12">
        <v>554541</v>
      </c>
      <c r="S5" s="12" t="s">
        <v>454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75</v>
      </c>
      <c r="Z5" s="12"/>
      <c r="AA5" s="13" t="s">
        <v>108</v>
      </c>
      <c r="AB5" s="13" t="s">
        <v>967</v>
      </c>
      <c r="AC5" s="14">
        <v>45814</v>
      </c>
      <c r="AD5" s="15">
        <v>23</v>
      </c>
      <c r="AE5" s="176" t="s">
        <v>2543</v>
      </c>
      <c r="AF5" s="12">
        <v>371008562</v>
      </c>
      <c r="AG5" s="12" t="s">
        <v>122</v>
      </c>
      <c r="AH5" s="12" t="s">
        <v>314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66</v>
      </c>
      <c r="AP5" s="12" t="s">
        <v>2544</v>
      </c>
      <c r="AQ5" s="12"/>
      <c r="AR5" s="12" t="s">
        <v>2545</v>
      </c>
      <c r="AS5" s="12" t="s">
        <v>2546</v>
      </c>
      <c r="AT5" s="12" t="s">
        <v>2546</v>
      </c>
      <c r="AU5" s="12">
        <v>57</v>
      </c>
      <c r="AV5" s="12" t="s">
        <v>83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2525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10">
      <c r="A6" s="11" t="s">
        <v>2547</v>
      </c>
      <c r="B6" s="12" t="s">
        <v>111</v>
      </c>
      <c r="C6" s="12" t="s">
        <v>2548</v>
      </c>
      <c r="D6" s="12" t="s">
        <v>63</v>
      </c>
      <c r="E6" s="12" t="s">
        <v>68</v>
      </c>
      <c r="F6" s="12" t="s">
        <v>68</v>
      </c>
      <c r="G6" s="12"/>
      <c r="H6" s="12" t="s">
        <v>66</v>
      </c>
      <c r="I6" s="12" t="s">
        <v>2549</v>
      </c>
      <c r="J6" s="13" t="s">
        <v>68</v>
      </c>
      <c r="K6" s="12">
        <v>19142931</v>
      </c>
      <c r="L6" s="13" t="s">
        <v>2542</v>
      </c>
      <c r="M6" s="12" t="s">
        <v>68</v>
      </c>
      <c r="N6" s="182"/>
      <c r="O6" s="12" t="s">
        <v>2520</v>
      </c>
      <c r="P6" s="12" t="s">
        <v>132</v>
      </c>
      <c r="Q6" s="12" t="s">
        <v>1104</v>
      </c>
      <c r="R6" s="12">
        <v>554431</v>
      </c>
      <c r="S6" s="12" t="s">
        <v>1105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75</v>
      </c>
      <c r="Z6" s="12"/>
      <c r="AA6" s="13" t="s">
        <v>108</v>
      </c>
      <c r="AB6" s="13" t="s">
        <v>992</v>
      </c>
      <c r="AC6" s="14">
        <v>45816</v>
      </c>
      <c r="AD6" s="15">
        <v>23</v>
      </c>
      <c r="AE6" s="176" t="s">
        <v>2550</v>
      </c>
      <c r="AF6" s="12">
        <v>371008573</v>
      </c>
      <c r="AG6" s="12" t="s">
        <v>122</v>
      </c>
      <c r="AH6" s="12" t="s">
        <v>314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66</v>
      </c>
      <c r="AP6" s="12" t="s">
        <v>2544</v>
      </c>
      <c r="AQ6" s="12"/>
      <c r="AR6" s="12" t="s">
        <v>2551</v>
      </c>
      <c r="AS6" s="12" t="s">
        <v>2552</v>
      </c>
      <c r="AT6" s="12" t="s">
        <v>2552</v>
      </c>
      <c r="AU6" s="12">
        <v>57</v>
      </c>
      <c r="AV6" s="12" t="s">
        <v>83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2525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10">
      <c r="A7" s="11" t="s">
        <v>2553</v>
      </c>
      <c r="B7" s="12" t="s">
        <v>111</v>
      </c>
      <c r="C7" s="12" t="s">
        <v>2554</v>
      </c>
      <c r="D7" s="12" t="s">
        <v>63</v>
      </c>
      <c r="E7" s="12" t="s">
        <v>64</v>
      </c>
      <c r="F7" s="12" t="s">
        <v>65</v>
      </c>
      <c r="G7" s="12" t="s">
        <v>67</v>
      </c>
      <c r="H7" s="12" t="s">
        <v>66</v>
      </c>
      <c r="I7" s="12" t="s">
        <v>96</v>
      </c>
      <c r="J7" s="13" t="s">
        <v>68</v>
      </c>
      <c r="K7" s="12"/>
      <c r="L7" s="13" t="s">
        <v>2519</v>
      </c>
      <c r="M7" s="213" t="s">
        <v>68</v>
      </c>
      <c r="N7" s="182"/>
      <c r="O7" s="12" t="s">
        <v>2520</v>
      </c>
      <c r="P7" s="12" t="s">
        <v>132</v>
      </c>
      <c r="Q7" s="12" t="s">
        <v>462</v>
      </c>
      <c r="R7" s="12">
        <v>552026</v>
      </c>
      <c r="S7" s="12" t="s">
        <v>463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75</v>
      </c>
      <c r="Z7" s="12"/>
      <c r="AA7" s="13" t="s">
        <v>108</v>
      </c>
      <c r="AB7" s="13" t="s">
        <v>1187</v>
      </c>
      <c r="AC7" s="14">
        <v>45814</v>
      </c>
      <c r="AD7" s="15">
        <v>23</v>
      </c>
      <c r="AE7" s="176" t="s">
        <v>2521</v>
      </c>
      <c r="AF7" s="12">
        <v>371008554</v>
      </c>
      <c r="AG7" s="12" t="s">
        <v>122</v>
      </c>
      <c r="AH7" s="12" t="s">
        <v>78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66</v>
      </c>
      <c r="AP7" s="12" t="s">
        <v>2522</v>
      </c>
      <c r="AQ7" s="12"/>
      <c r="AR7" s="12" t="s">
        <v>2523</v>
      </c>
      <c r="AS7" s="12" t="s">
        <v>2524</v>
      </c>
      <c r="AT7" s="12" t="s">
        <v>2524</v>
      </c>
      <c r="AU7" s="12">
        <v>51</v>
      </c>
      <c r="AV7" s="12" t="s">
        <v>83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2525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2555</v>
      </c>
      <c r="B8" s="12"/>
      <c r="C8" s="12" t="s">
        <v>2518</v>
      </c>
      <c r="D8" s="12" t="s">
        <v>63</v>
      </c>
      <c r="E8" s="12" t="s">
        <v>68</v>
      </c>
      <c r="F8" s="12" t="s">
        <v>68</v>
      </c>
      <c r="G8" s="12"/>
      <c r="H8" s="17" t="s">
        <v>66</v>
      </c>
      <c r="I8" s="12" t="s">
        <v>1342</v>
      </c>
      <c r="J8" s="13" t="s">
        <v>68</v>
      </c>
      <c r="K8" s="12"/>
      <c r="L8" s="13" t="s">
        <v>2542</v>
      </c>
      <c r="M8" s="12" t="s">
        <v>68</v>
      </c>
      <c r="N8" s="182"/>
      <c r="O8" s="12" t="s">
        <v>2520</v>
      </c>
      <c r="P8" s="12" t="s">
        <v>170</v>
      </c>
      <c r="Q8" s="12" t="s">
        <v>171</v>
      </c>
      <c r="R8" s="12">
        <v>552045</v>
      </c>
      <c r="S8" s="12" t="s">
        <v>172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75</v>
      </c>
      <c r="Z8" s="12"/>
      <c r="AA8" s="13" t="s">
        <v>108</v>
      </c>
      <c r="AB8" s="13" t="s">
        <v>992</v>
      </c>
      <c r="AC8" s="14">
        <v>45822</v>
      </c>
      <c r="AD8" s="15">
        <v>24</v>
      </c>
      <c r="AE8" s="176" t="s">
        <v>2556</v>
      </c>
      <c r="AF8" s="12">
        <v>371008563</v>
      </c>
      <c r="AG8" s="12" t="s">
        <v>122</v>
      </c>
      <c r="AH8" s="12" t="s">
        <v>314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66</v>
      </c>
      <c r="AP8" s="12" t="s">
        <v>2557</v>
      </c>
      <c r="AQ8" s="12"/>
      <c r="AR8" s="12" t="s">
        <v>2558</v>
      </c>
      <c r="AS8" s="12" t="s">
        <v>2559</v>
      </c>
      <c r="AT8" s="12" t="s">
        <v>2559</v>
      </c>
      <c r="AU8" s="12">
        <v>57</v>
      </c>
      <c r="AV8" s="12" t="s">
        <v>83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2525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2560</v>
      </c>
      <c r="B9" s="12"/>
      <c r="C9" s="12" t="s">
        <v>2518</v>
      </c>
      <c r="D9" s="12" t="s">
        <v>63</v>
      </c>
      <c r="E9" s="12" t="s">
        <v>68</v>
      </c>
      <c r="F9" s="12" t="s">
        <v>68</v>
      </c>
      <c r="G9" s="12"/>
      <c r="H9" s="17" t="s">
        <v>146</v>
      </c>
      <c r="I9" s="12" t="s">
        <v>2533</v>
      </c>
      <c r="J9" s="13" t="s">
        <v>68</v>
      </c>
      <c r="K9" s="12"/>
      <c r="L9" s="13" t="s">
        <v>2534</v>
      </c>
      <c r="M9" s="12" t="s">
        <v>68</v>
      </c>
      <c r="N9" s="182"/>
      <c r="O9" s="12" t="s">
        <v>2520</v>
      </c>
      <c r="P9" s="12" t="s">
        <v>170</v>
      </c>
      <c r="Q9" s="12" t="s">
        <v>171</v>
      </c>
      <c r="R9" s="12">
        <v>552045</v>
      </c>
      <c r="S9" s="12" t="s">
        <v>172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75</v>
      </c>
      <c r="Z9" s="12"/>
      <c r="AA9" s="13" t="s">
        <v>108</v>
      </c>
      <c r="AB9" s="13" t="s">
        <v>992</v>
      </c>
      <c r="AC9" s="14">
        <v>45822</v>
      </c>
      <c r="AD9" s="15">
        <v>24</v>
      </c>
      <c r="AE9" s="176" t="s">
        <v>2561</v>
      </c>
      <c r="AF9" s="12">
        <v>371008564</v>
      </c>
      <c r="AG9" s="12" t="s">
        <v>122</v>
      </c>
      <c r="AH9" s="12" t="s">
        <v>159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146</v>
      </c>
      <c r="AP9" s="12" t="s">
        <v>2562</v>
      </c>
      <c r="AQ9" s="12"/>
      <c r="AR9" s="12" t="s">
        <v>2563</v>
      </c>
      <c r="AS9" s="12">
        <v>255195702</v>
      </c>
      <c r="AT9" s="12">
        <v>254738544</v>
      </c>
      <c r="AU9" s="12">
        <v>56</v>
      </c>
      <c r="AV9" s="12" t="s">
        <v>2538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2525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10">
      <c r="A10" s="11" t="s">
        <v>2564</v>
      </c>
      <c r="B10" s="12"/>
      <c r="C10" s="12" t="s">
        <v>2540</v>
      </c>
      <c r="D10" s="12" t="s">
        <v>63</v>
      </c>
      <c r="E10" s="12" t="s">
        <v>68</v>
      </c>
      <c r="F10" s="12" t="s">
        <v>68</v>
      </c>
      <c r="G10" s="12"/>
      <c r="H10" s="12" t="s">
        <v>66</v>
      </c>
      <c r="I10" s="12" t="s">
        <v>2541</v>
      </c>
      <c r="J10" s="13" t="s">
        <v>68</v>
      </c>
      <c r="K10" s="12"/>
      <c r="L10" s="13" t="s">
        <v>2542</v>
      </c>
      <c r="M10" s="12" t="s">
        <v>68</v>
      </c>
      <c r="N10" s="182"/>
      <c r="O10" s="12" t="s">
        <v>2520</v>
      </c>
      <c r="P10" s="12" t="s">
        <v>132</v>
      </c>
      <c r="Q10" s="12" t="s">
        <v>453</v>
      </c>
      <c r="R10" s="12">
        <v>554541</v>
      </c>
      <c r="S10" s="12" t="s">
        <v>454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75</v>
      </c>
      <c r="Z10" s="12"/>
      <c r="AA10" s="13" t="s">
        <v>108</v>
      </c>
      <c r="AB10" s="13" t="s">
        <v>967</v>
      </c>
      <c r="AC10" s="14">
        <v>45817</v>
      </c>
      <c r="AD10" s="15">
        <v>24</v>
      </c>
      <c r="AE10" s="176" t="s">
        <v>2565</v>
      </c>
      <c r="AF10" s="12">
        <v>371008571</v>
      </c>
      <c r="AG10" s="12" t="s">
        <v>122</v>
      </c>
      <c r="AH10" s="12" t="s">
        <v>314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66</v>
      </c>
      <c r="AP10" s="12" t="s">
        <v>2544</v>
      </c>
      <c r="AQ10" s="12"/>
      <c r="AR10" s="12" t="s">
        <v>2566</v>
      </c>
      <c r="AS10" s="12" t="s">
        <v>2567</v>
      </c>
      <c r="AT10" s="12" t="s">
        <v>2567</v>
      </c>
      <c r="AU10" s="12">
        <v>57</v>
      </c>
      <c r="AV10" s="12" t="s">
        <v>83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2525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10">
      <c r="A11" s="11" t="s">
        <v>2568</v>
      </c>
      <c r="B11" s="12"/>
      <c r="C11" s="12" t="s">
        <v>2540</v>
      </c>
      <c r="D11" s="12" t="s">
        <v>63</v>
      </c>
      <c r="E11" s="12" t="s">
        <v>68</v>
      </c>
      <c r="F11" s="12" t="s">
        <v>68</v>
      </c>
      <c r="G11" s="12"/>
      <c r="H11" s="12" t="s">
        <v>66</v>
      </c>
      <c r="I11" s="12" t="s">
        <v>1559</v>
      </c>
      <c r="J11" s="13" t="s">
        <v>68</v>
      </c>
      <c r="K11" s="12"/>
      <c r="L11" s="13" t="s">
        <v>2542</v>
      </c>
      <c r="M11" s="12" t="s">
        <v>68</v>
      </c>
      <c r="N11" s="182"/>
      <c r="O11" s="12" t="s">
        <v>2520</v>
      </c>
      <c r="P11" s="12" t="s">
        <v>132</v>
      </c>
      <c r="Q11" s="12" t="s">
        <v>453</v>
      </c>
      <c r="R11" s="12">
        <v>554541</v>
      </c>
      <c r="S11" s="12" t="s">
        <v>454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75</v>
      </c>
      <c r="Z11" s="12"/>
      <c r="AA11" s="13" t="s">
        <v>108</v>
      </c>
      <c r="AB11" s="13" t="s">
        <v>967</v>
      </c>
      <c r="AC11" s="14">
        <v>45823</v>
      </c>
      <c r="AD11" s="15">
        <v>24</v>
      </c>
      <c r="AE11" s="176" t="s">
        <v>2569</v>
      </c>
      <c r="AF11" s="12">
        <v>371008572</v>
      </c>
      <c r="AG11" s="12" t="s">
        <v>122</v>
      </c>
      <c r="AH11" s="12" t="s">
        <v>1561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66</v>
      </c>
      <c r="AP11" s="12" t="s">
        <v>2557</v>
      </c>
      <c r="AQ11" s="12"/>
      <c r="AR11" s="12" t="s">
        <v>2570</v>
      </c>
      <c r="AS11" s="12" t="s">
        <v>2571</v>
      </c>
      <c r="AT11" s="12" t="s">
        <v>2571</v>
      </c>
      <c r="AU11" s="12">
        <v>48</v>
      </c>
      <c r="AV11" s="12" t="s">
        <v>83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2525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10">
      <c r="A12" s="11" t="s">
        <v>2572</v>
      </c>
      <c r="B12" s="12"/>
      <c r="C12" s="12" t="s">
        <v>838</v>
      </c>
      <c r="D12" s="12" t="s">
        <v>63</v>
      </c>
      <c r="E12" s="12" t="s">
        <v>68</v>
      </c>
      <c r="F12" s="12" t="s">
        <v>68</v>
      </c>
      <c r="G12" s="12"/>
      <c r="H12" s="12" t="s">
        <v>402</v>
      </c>
      <c r="I12" s="12" t="s">
        <v>594</v>
      </c>
      <c r="J12" s="13" t="s">
        <v>68</v>
      </c>
      <c r="K12" s="12"/>
      <c r="L12" s="13" t="s">
        <v>2573</v>
      </c>
      <c r="M12" s="12" t="s">
        <v>68</v>
      </c>
      <c r="N12" s="182"/>
      <c r="O12" s="12" t="s">
        <v>2574</v>
      </c>
      <c r="P12" s="12" t="s">
        <v>132</v>
      </c>
      <c r="Q12" s="12" t="s">
        <v>841</v>
      </c>
      <c r="R12" s="12">
        <v>554542</v>
      </c>
      <c r="S12" s="12" t="s">
        <v>842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75</v>
      </c>
      <c r="Z12" s="12"/>
      <c r="AA12" s="13" t="s">
        <v>108</v>
      </c>
      <c r="AB12" s="32" t="s">
        <v>992</v>
      </c>
      <c r="AC12" s="14">
        <v>45821</v>
      </c>
      <c r="AD12" s="15">
        <v>24</v>
      </c>
      <c r="AE12" s="176" t="s">
        <v>2575</v>
      </c>
      <c r="AF12" s="12" t="s">
        <v>2576</v>
      </c>
      <c r="AG12" s="12" t="s">
        <v>122</v>
      </c>
      <c r="AH12" s="12" t="s">
        <v>124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402</v>
      </c>
      <c r="AP12" s="12" t="s">
        <v>2577</v>
      </c>
      <c r="AQ12" s="12"/>
      <c r="AR12" s="12" t="s">
        <v>2578</v>
      </c>
      <c r="AS12" s="12" t="s">
        <v>2579</v>
      </c>
      <c r="AT12" s="12" t="s">
        <v>2579</v>
      </c>
      <c r="AU12" s="12">
        <v>45</v>
      </c>
      <c r="AV12" s="12" t="s">
        <v>2538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2525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10">
      <c r="A13" s="11" t="s">
        <v>2580</v>
      </c>
      <c r="B13" s="12"/>
      <c r="C13" s="12" t="s">
        <v>838</v>
      </c>
      <c r="D13" s="12" t="s">
        <v>63</v>
      </c>
      <c r="E13" s="12" t="s">
        <v>68</v>
      </c>
      <c r="F13" s="12" t="s">
        <v>68</v>
      </c>
      <c r="G13" s="12"/>
      <c r="H13" s="12" t="s">
        <v>146</v>
      </c>
      <c r="I13" s="12" t="s">
        <v>2533</v>
      </c>
      <c r="J13" s="13" t="s">
        <v>68</v>
      </c>
      <c r="K13" s="12"/>
      <c r="L13" s="13" t="s">
        <v>2534</v>
      </c>
      <c r="M13" s="12" t="s">
        <v>68</v>
      </c>
      <c r="N13" s="182"/>
      <c r="O13" s="12" t="s">
        <v>2520</v>
      </c>
      <c r="P13" s="12" t="s">
        <v>132</v>
      </c>
      <c r="Q13" s="12" t="s">
        <v>841</v>
      </c>
      <c r="R13" s="12">
        <v>554542</v>
      </c>
      <c r="S13" s="12" t="s">
        <v>842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75</v>
      </c>
      <c r="Z13" s="12"/>
      <c r="AA13" s="13" t="s">
        <v>108</v>
      </c>
      <c r="AB13" s="32" t="s">
        <v>992</v>
      </c>
      <c r="AC13" s="14">
        <v>45822</v>
      </c>
      <c r="AD13" s="15">
        <v>24</v>
      </c>
      <c r="AE13" s="176" t="s">
        <v>2581</v>
      </c>
      <c r="AF13" s="12">
        <v>371008611</v>
      </c>
      <c r="AG13" s="12" t="s">
        <v>122</v>
      </c>
      <c r="AH13" s="12" t="s">
        <v>159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146</v>
      </c>
      <c r="AP13" s="12" t="s">
        <v>2562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2538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2525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10">
      <c r="A14" s="11" t="s">
        <v>2582</v>
      </c>
      <c r="B14" s="12" t="s">
        <v>111</v>
      </c>
      <c r="C14" s="12" t="s">
        <v>940</v>
      </c>
      <c r="D14" s="12" t="s">
        <v>63</v>
      </c>
      <c r="E14" s="12" t="s">
        <v>68</v>
      </c>
      <c r="F14" s="12" t="s">
        <v>68</v>
      </c>
      <c r="G14" s="12"/>
      <c r="H14" s="12" t="s">
        <v>66</v>
      </c>
      <c r="I14" s="12" t="s">
        <v>2583</v>
      </c>
      <c r="J14" s="34" t="s">
        <v>68</v>
      </c>
      <c r="K14" s="12">
        <v>19143069</v>
      </c>
      <c r="L14" s="13" t="s">
        <v>2542</v>
      </c>
      <c r="M14" s="12" t="s">
        <v>68</v>
      </c>
      <c r="N14" s="182"/>
      <c r="O14" s="12" t="s">
        <v>2520</v>
      </c>
      <c r="P14" s="12" t="s">
        <v>70</v>
      </c>
      <c r="Q14" s="12" t="s">
        <v>943</v>
      </c>
      <c r="R14" s="12">
        <v>554244</v>
      </c>
      <c r="S14" s="12" t="s">
        <v>886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75</v>
      </c>
      <c r="Z14" s="12"/>
      <c r="AA14" s="13" t="s">
        <v>108</v>
      </c>
      <c r="AB14" s="32" t="s">
        <v>967</v>
      </c>
      <c r="AC14" s="14">
        <v>45817</v>
      </c>
      <c r="AD14" s="15">
        <v>24</v>
      </c>
      <c r="AE14" s="176" t="s">
        <v>2584</v>
      </c>
      <c r="AF14" s="12">
        <v>371008567</v>
      </c>
      <c r="AG14" s="12" t="s">
        <v>122</v>
      </c>
      <c r="AH14" s="12" t="s">
        <v>314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66</v>
      </c>
      <c r="AP14" s="12" t="s">
        <v>2544</v>
      </c>
      <c r="AQ14" s="12"/>
      <c r="AR14" s="12" t="s">
        <v>2566</v>
      </c>
      <c r="AS14" s="12" t="s">
        <v>2567</v>
      </c>
      <c r="AT14" s="12" t="s">
        <v>2567</v>
      </c>
      <c r="AU14" s="12">
        <v>57</v>
      </c>
      <c r="AV14" s="12" t="s">
        <v>83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2525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2585</v>
      </c>
      <c r="B15" s="12" t="s">
        <v>111</v>
      </c>
      <c r="C15" s="12" t="s">
        <v>940</v>
      </c>
      <c r="D15" s="12" t="s">
        <v>63</v>
      </c>
      <c r="E15" s="12" t="s">
        <v>68</v>
      </c>
      <c r="F15" s="12" t="s">
        <v>68</v>
      </c>
      <c r="G15" s="12"/>
      <c r="H15" s="17" t="s">
        <v>402</v>
      </c>
      <c r="I15" s="12" t="s">
        <v>594</v>
      </c>
      <c r="J15" s="34" t="s">
        <v>68</v>
      </c>
      <c r="K15" s="12"/>
      <c r="L15" s="13" t="s">
        <v>2573</v>
      </c>
      <c r="M15" s="12" t="s">
        <v>68</v>
      </c>
      <c r="N15" s="182"/>
      <c r="O15" s="12" t="s">
        <v>2574</v>
      </c>
      <c r="P15" s="12" t="s">
        <v>70</v>
      </c>
      <c r="Q15" s="12" t="s">
        <v>943</v>
      </c>
      <c r="R15" s="12">
        <v>554244</v>
      </c>
      <c r="S15" s="12" t="s">
        <v>886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75</v>
      </c>
      <c r="Z15" s="12"/>
      <c r="AA15" s="13" t="s">
        <v>108</v>
      </c>
      <c r="AB15" s="32" t="s">
        <v>967</v>
      </c>
      <c r="AC15" s="14">
        <v>45820</v>
      </c>
      <c r="AD15" s="15">
        <v>24</v>
      </c>
      <c r="AE15" s="176" t="s">
        <v>2575</v>
      </c>
      <c r="AF15" s="12" t="s">
        <v>2586</v>
      </c>
      <c r="AG15" s="12" t="s">
        <v>122</v>
      </c>
      <c r="AH15" s="12" t="s">
        <v>124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402</v>
      </c>
      <c r="AP15" s="12" t="s">
        <v>2577</v>
      </c>
      <c r="AQ15" s="12"/>
      <c r="AR15" s="12" t="s">
        <v>2578</v>
      </c>
      <c r="AS15" s="12" t="s">
        <v>2579</v>
      </c>
      <c r="AT15" s="12" t="s">
        <v>2579</v>
      </c>
      <c r="AU15" s="12">
        <v>45</v>
      </c>
      <c r="AV15" s="12" t="s">
        <v>2538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2525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10">
      <c r="A16" s="11" t="s">
        <v>2587</v>
      </c>
      <c r="B16" s="12"/>
      <c r="C16" s="12" t="s">
        <v>2588</v>
      </c>
      <c r="D16" s="12" t="s">
        <v>63</v>
      </c>
      <c r="E16" s="12" t="s">
        <v>68</v>
      </c>
      <c r="F16" s="12" t="s">
        <v>68</v>
      </c>
      <c r="G16" s="12"/>
      <c r="H16" s="12" t="s">
        <v>66</v>
      </c>
      <c r="I16" s="12" t="s">
        <v>1559</v>
      </c>
      <c r="J16" s="34" t="s">
        <v>68</v>
      </c>
      <c r="K16" s="12"/>
      <c r="L16" s="13" t="s">
        <v>2542</v>
      </c>
      <c r="M16" s="12" t="s">
        <v>68</v>
      </c>
      <c r="N16" s="182"/>
      <c r="O16" s="12" t="s">
        <v>2520</v>
      </c>
      <c r="P16" s="12" t="s">
        <v>70</v>
      </c>
      <c r="Q16" s="12" t="s">
        <v>102</v>
      </c>
      <c r="R16" s="12">
        <v>554245</v>
      </c>
      <c r="S16" s="12" t="s">
        <v>103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75</v>
      </c>
      <c r="Z16" s="12"/>
      <c r="AA16" s="13" t="s">
        <v>108</v>
      </c>
      <c r="AB16" s="32" t="s">
        <v>967</v>
      </c>
      <c r="AC16" s="14">
        <v>45823</v>
      </c>
      <c r="AD16" s="15">
        <v>24</v>
      </c>
      <c r="AE16" s="176" t="s">
        <v>2589</v>
      </c>
      <c r="AF16" s="12">
        <v>371008568</v>
      </c>
      <c r="AG16" s="12" t="s">
        <v>122</v>
      </c>
      <c r="AH16" s="12" t="s">
        <v>1561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66</v>
      </c>
      <c r="AP16" s="12" t="s">
        <v>2557</v>
      </c>
      <c r="AQ16" s="12"/>
      <c r="AR16" s="12" t="s">
        <v>2570</v>
      </c>
      <c r="AS16" s="12" t="s">
        <v>2571</v>
      </c>
      <c r="AT16" s="12" t="s">
        <v>2571</v>
      </c>
      <c r="AU16" s="12">
        <v>48</v>
      </c>
      <c r="AV16" s="12" t="s">
        <v>83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2525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10">
      <c r="A17" s="11" t="s">
        <v>2590</v>
      </c>
      <c r="B17" s="12"/>
      <c r="C17" s="12" t="s">
        <v>2588</v>
      </c>
      <c r="D17" s="12" t="s">
        <v>63</v>
      </c>
      <c r="E17" s="12" t="s">
        <v>68</v>
      </c>
      <c r="F17" s="12" t="s">
        <v>68</v>
      </c>
      <c r="G17" s="12"/>
      <c r="H17" s="12" t="s">
        <v>402</v>
      </c>
      <c r="I17" s="12" t="s">
        <v>594</v>
      </c>
      <c r="J17" s="34" t="s">
        <v>68</v>
      </c>
      <c r="K17" s="12"/>
      <c r="L17" s="13" t="s">
        <v>2573</v>
      </c>
      <c r="M17" s="12" t="s">
        <v>68</v>
      </c>
      <c r="N17" s="182"/>
      <c r="O17" s="12" t="s">
        <v>2574</v>
      </c>
      <c r="P17" s="12" t="s">
        <v>70</v>
      </c>
      <c r="Q17" s="12" t="s">
        <v>102</v>
      </c>
      <c r="R17" s="12">
        <v>554245</v>
      </c>
      <c r="S17" s="12" t="s">
        <v>103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75</v>
      </c>
      <c r="Z17" s="12"/>
      <c r="AA17" s="13" t="s">
        <v>108</v>
      </c>
      <c r="AB17" s="32" t="s">
        <v>967</v>
      </c>
      <c r="AC17" s="14">
        <v>45820</v>
      </c>
      <c r="AD17" s="15">
        <v>24</v>
      </c>
      <c r="AE17" s="176" t="s">
        <v>2575</v>
      </c>
      <c r="AF17" s="12" t="s">
        <v>2586</v>
      </c>
      <c r="AG17" s="12" t="s">
        <v>122</v>
      </c>
      <c r="AH17" s="12" t="s">
        <v>124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402</v>
      </c>
      <c r="AP17" s="12" t="s">
        <v>2577</v>
      </c>
      <c r="AQ17" s="12"/>
      <c r="AR17" s="12" t="s">
        <v>2578</v>
      </c>
      <c r="AS17" s="12" t="s">
        <v>2579</v>
      </c>
      <c r="AT17" s="12" t="s">
        <v>2579</v>
      </c>
      <c r="AU17" s="12">
        <v>45</v>
      </c>
      <c r="AV17" s="12" t="s">
        <v>2538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2525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10">
      <c r="A18" s="11" t="s">
        <v>2591</v>
      </c>
      <c r="B18" s="12" t="s">
        <v>111</v>
      </c>
      <c r="C18" s="12" t="s">
        <v>401</v>
      </c>
      <c r="D18" s="12" t="s">
        <v>63</v>
      </c>
      <c r="E18" s="12" t="s">
        <v>68</v>
      </c>
      <c r="F18" s="12" t="s">
        <v>68</v>
      </c>
      <c r="G18" s="12"/>
      <c r="H18" s="12" t="s">
        <v>66</v>
      </c>
      <c r="I18" s="12" t="s">
        <v>2592</v>
      </c>
      <c r="J18" s="34" t="s">
        <v>68</v>
      </c>
      <c r="K18" s="12"/>
      <c r="L18" s="13" t="s">
        <v>2534</v>
      </c>
      <c r="M18" s="12" t="s">
        <v>68</v>
      </c>
      <c r="N18" s="182"/>
      <c r="O18" s="12" t="s">
        <v>2520</v>
      </c>
      <c r="P18" s="12" t="s">
        <v>132</v>
      </c>
      <c r="Q18" s="12" t="s">
        <v>405</v>
      </c>
      <c r="R18" s="12">
        <v>554433</v>
      </c>
      <c r="S18" s="12" t="s">
        <v>406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75</v>
      </c>
      <c r="Z18" s="12"/>
      <c r="AA18" s="13" t="s">
        <v>108</v>
      </c>
      <c r="AB18" s="32" t="s">
        <v>992</v>
      </c>
      <c r="AC18" s="14">
        <v>45830</v>
      </c>
      <c r="AD18" s="15">
        <v>25</v>
      </c>
      <c r="AE18" s="176" t="s">
        <v>2593</v>
      </c>
      <c r="AF18" s="12">
        <v>371008577</v>
      </c>
      <c r="AG18" s="12" t="s">
        <v>122</v>
      </c>
      <c r="AH18" s="12" t="s">
        <v>888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66</v>
      </c>
      <c r="AP18" s="12" t="s">
        <v>2594</v>
      </c>
      <c r="AQ18" s="12"/>
      <c r="AR18" s="12">
        <v>46010671</v>
      </c>
      <c r="AS18" s="12" t="s">
        <v>2595</v>
      </c>
      <c r="AT18" s="12">
        <v>254941683</v>
      </c>
      <c r="AU18" s="12">
        <v>49</v>
      </c>
      <c r="AV18" s="12" t="s">
        <v>83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2525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10">
      <c r="A19" s="11" t="s">
        <v>2596</v>
      </c>
      <c r="B19" s="12"/>
      <c r="C19" s="12" t="s">
        <v>2518</v>
      </c>
      <c r="D19" s="12" t="s">
        <v>63</v>
      </c>
      <c r="E19" s="12" t="s">
        <v>64</v>
      </c>
      <c r="F19" s="12" t="s">
        <v>65</v>
      </c>
      <c r="G19" s="12" t="s">
        <v>67</v>
      </c>
      <c r="H19" s="12" t="s">
        <v>66</v>
      </c>
      <c r="I19" s="12" t="s">
        <v>96</v>
      </c>
      <c r="J19" s="34" t="s">
        <v>68</v>
      </c>
      <c r="K19" s="12"/>
      <c r="L19" s="13" t="s">
        <v>2519</v>
      </c>
      <c r="M19" s="213" t="s">
        <v>68</v>
      </c>
      <c r="N19" s="182"/>
      <c r="O19" s="12" t="s">
        <v>2520</v>
      </c>
      <c r="P19" s="12" t="s">
        <v>170</v>
      </c>
      <c r="Q19" s="12" t="s">
        <v>171</v>
      </c>
      <c r="R19" s="12">
        <v>552045</v>
      </c>
      <c r="S19" s="12" t="s">
        <v>172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75</v>
      </c>
      <c r="Z19" s="12"/>
      <c r="AA19" s="13" t="s">
        <v>108</v>
      </c>
      <c r="AB19" s="13" t="s">
        <v>992</v>
      </c>
      <c r="AC19" s="14">
        <v>45826</v>
      </c>
      <c r="AD19" s="15">
        <v>25</v>
      </c>
      <c r="AE19" s="176" t="s">
        <v>2597</v>
      </c>
      <c r="AF19" s="12">
        <v>371008584</v>
      </c>
      <c r="AG19" s="12" t="s">
        <v>122</v>
      </c>
      <c r="AH19" s="12" t="s">
        <v>78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66</v>
      </c>
      <c r="AP19" s="12" t="s">
        <v>2598</v>
      </c>
      <c r="AQ19" s="12"/>
      <c r="AR19" s="12" t="s">
        <v>2599</v>
      </c>
      <c r="AS19" s="12" t="s">
        <v>2600</v>
      </c>
      <c r="AT19" s="12" t="s">
        <v>2601</v>
      </c>
      <c r="AU19" s="12">
        <v>55</v>
      </c>
      <c r="AV19" s="12" t="s">
        <v>83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2525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10">
      <c r="A20" s="172" t="s">
        <v>2602</v>
      </c>
      <c r="B20" s="41"/>
      <c r="C20" s="41" t="s">
        <v>2518</v>
      </c>
      <c r="D20" s="41" t="s">
        <v>63</v>
      </c>
      <c r="E20" s="12" t="s">
        <v>68</v>
      </c>
      <c r="F20" s="12" t="s">
        <v>68</v>
      </c>
      <c r="G20" s="41"/>
      <c r="H20" s="41" t="s">
        <v>66</v>
      </c>
      <c r="I20" s="41" t="s">
        <v>1342</v>
      </c>
      <c r="J20" s="34" t="s">
        <v>68</v>
      </c>
      <c r="K20" s="41"/>
      <c r="L20" s="13" t="s">
        <v>2542</v>
      </c>
      <c r="M20" s="41" t="s">
        <v>68</v>
      </c>
      <c r="N20" s="184"/>
      <c r="O20" s="41" t="s">
        <v>2520</v>
      </c>
      <c r="P20" s="41" t="s">
        <v>170</v>
      </c>
      <c r="Q20" s="41" t="s">
        <v>171</v>
      </c>
      <c r="R20" s="41">
        <v>552045</v>
      </c>
      <c r="S20" s="41" t="s">
        <v>172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75</v>
      </c>
      <c r="Z20" s="41"/>
      <c r="AA20" s="13" t="s">
        <v>108</v>
      </c>
      <c r="AB20" s="13" t="s">
        <v>992</v>
      </c>
      <c r="AC20" s="37">
        <v>45830</v>
      </c>
      <c r="AD20" s="174">
        <v>25</v>
      </c>
      <c r="AE20" s="287" t="s">
        <v>2603</v>
      </c>
      <c r="AF20" s="41">
        <v>371008585</v>
      </c>
      <c r="AG20" s="41" t="s">
        <v>122</v>
      </c>
      <c r="AH20" s="41" t="s">
        <v>314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66</v>
      </c>
      <c r="AP20" s="41" t="s">
        <v>2598</v>
      </c>
      <c r="AQ20" s="41"/>
      <c r="AR20" s="41" t="s">
        <v>2604</v>
      </c>
      <c r="AS20" s="41" t="s">
        <v>2605</v>
      </c>
      <c r="AT20" s="41" t="s">
        <v>2605</v>
      </c>
      <c r="AU20" s="41">
        <v>51</v>
      </c>
      <c r="AV20" s="41" t="s">
        <v>83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2525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10">
      <c r="A21" s="11" t="s">
        <v>2606</v>
      </c>
      <c r="B21" s="12"/>
      <c r="C21" s="12" t="s">
        <v>2518</v>
      </c>
      <c r="D21" s="12" t="s">
        <v>63</v>
      </c>
      <c r="E21" s="12" t="s">
        <v>68</v>
      </c>
      <c r="F21" s="12" t="s">
        <v>68</v>
      </c>
      <c r="G21" s="12"/>
      <c r="H21" s="12" t="s">
        <v>66</v>
      </c>
      <c r="I21" s="12" t="s">
        <v>1559</v>
      </c>
      <c r="J21" s="34" t="s">
        <v>68</v>
      </c>
      <c r="K21" s="12"/>
      <c r="L21" s="13" t="s">
        <v>2542</v>
      </c>
      <c r="M21" s="12" t="s">
        <v>68</v>
      </c>
      <c r="N21" s="182"/>
      <c r="O21" s="12" t="s">
        <v>2520</v>
      </c>
      <c r="P21" s="12" t="s">
        <v>170</v>
      </c>
      <c r="Q21" s="12" t="s">
        <v>171</v>
      </c>
      <c r="R21" s="12">
        <v>552045</v>
      </c>
      <c r="S21" s="12" t="s">
        <v>172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75</v>
      </c>
      <c r="Z21" s="12"/>
      <c r="AA21" s="13" t="s">
        <v>108</v>
      </c>
      <c r="AB21" s="13" t="s">
        <v>992</v>
      </c>
      <c r="AC21" s="14">
        <v>45826</v>
      </c>
      <c r="AD21" s="15">
        <v>25</v>
      </c>
      <c r="AE21" s="176" t="s">
        <v>2607</v>
      </c>
      <c r="AF21" s="12">
        <v>371008586</v>
      </c>
      <c r="AG21" s="12" t="s">
        <v>122</v>
      </c>
      <c r="AH21" s="12" t="s">
        <v>1561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66</v>
      </c>
      <c r="AP21" s="12" t="s">
        <v>2598</v>
      </c>
      <c r="AQ21" s="12"/>
      <c r="AR21" s="12" t="s">
        <v>2608</v>
      </c>
      <c r="AS21" s="12" t="s">
        <v>2609</v>
      </c>
      <c r="AT21" s="12" t="s">
        <v>2610</v>
      </c>
      <c r="AU21" s="12">
        <v>51</v>
      </c>
      <c r="AV21" s="12" t="s">
        <v>83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2525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10">
      <c r="A22" s="11" t="s">
        <v>2611</v>
      </c>
      <c r="B22" s="12"/>
      <c r="C22" s="12" t="s">
        <v>2518</v>
      </c>
      <c r="D22" s="12" t="s">
        <v>63</v>
      </c>
      <c r="E22" s="12" t="s">
        <v>68</v>
      </c>
      <c r="F22" s="12" t="s">
        <v>68</v>
      </c>
      <c r="G22" s="12"/>
      <c r="H22" s="12" t="s">
        <v>66</v>
      </c>
      <c r="I22" s="12" t="s">
        <v>96</v>
      </c>
      <c r="J22" s="34" t="s">
        <v>68</v>
      </c>
      <c r="K22" s="12"/>
      <c r="L22" s="13" t="s">
        <v>2527</v>
      </c>
      <c r="M22" s="12" t="s">
        <v>68</v>
      </c>
      <c r="N22" s="182"/>
      <c r="O22" s="12" t="s">
        <v>2520</v>
      </c>
      <c r="P22" s="12" t="s">
        <v>170</v>
      </c>
      <c r="Q22" s="12" t="s">
        <v>171</v>
      </c>
      <c r="R22" s="12">
        <v>552045</v>
      </c>
      <c r="S22" s="12" t="s">
        <v>172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75</v>
      </c>
      <c r="Z22" s="12"/>
      <c r="AA22" s="13" t="s">
        <v>108</v>
      </c>
      <c r="AB22" s="13" t="s">
        <v>992</v>
      </c>
      <c r="AC22" s="14">
        <v>45826</v>
      </c>
      <c r="AD22" s="15">
        <v>25</v>
      </c>
      <c r="AE22" s="176" t="s">
        <v>2612</v>
      </c>
      <c r="AF22" s="12">
        <v>371008587</v>
      </c>
      <c r="AG22" s="12" t="s">
        <v>122</v>
      </c>
      <c r="AH22" s="12" t="s">
        <v>124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66</v>
      </c>
      <c r="AP22" s="12" t="s">
        <v>2613</v>
      </c>
      <c r="AQ22" s="12"/>
      <c r="AR22" s="12" t="s">
        <v>2614</v>
      </c>
      <c r="AS22" s="12" t="s">
        <v>2615</v>
      </c>
      <c r="AT22" s="12" t="s">
        <v>2615</v>
      </c>
      <c r="AU22" s="12">
        <v>48</v>
      </c>
      <c r="AV22" s="12" t="s">
        <v>83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2525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10">
      <c r="A23" s="11" t="s">
        <v>2616</v>
      </c>
      <c r="B23" s="12"/>
      <c r="C23" s="12" t="s">
        <v>2617</v>
      </c>
      <c r="D23" s="12" t="s">
        <v>63</v>
      </c>
      <c r="E23" s="12" t="s">
        <v>64</v>
      </c>
      <c r="F23" s="12" t="s">
        <v>65</v>
      </c>
      <c r="G23" s="12" t="s">
        <v>67</v>
      </c>
      <c r="H23" s="12" t="s">
        <v>66</v>
      </c>
      <c r="I23" s="12" t="s">
        <v>96</v>
      </c>
      <c r="J23" s="34" t="s">
        <v>68</v>
      </c>
      <c r="K23" s="12"/>
      <c r="L23" s="13" t="s">
        <v>2519</v>
      </c>
      <c r="M23" s="213" t="s">
        <v>68</v>
      </c>
      <c r="N23" s="182"/>
      <c r="O23" s="12" t="s">
        <v>2520</v>
      </c>
      <c r="P23" s="12" t="s">
        <v>170</v>
      </c>
      <c r="Q23" s="12" t="s">
        <v>462</v>
      </c>
      <c r="R23" s="12">
        <v>552026</v>
      </c>
      <c r="S23" s="12" t="s">
        <v>463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75</v>
      </c>
      <c r="Z23" s="12"/>
      <c r="AA23" s="13" t="s">
        <v>108</v>
      </c>
      <c r="AB23" s="13" t="s">
        <v>1187</v>
      </c>
      <c r="AC23" s="14">
        <v>45826</v>
      </c>
      <c r="AD23" s="15">
        <v>25</v>
      </c>
      <c r="AE23" s="176" t="s">
        <v>2618</v>
      </c>
      <c r="AF23" s="12">
        <v>371008581</v>
      </c>
      <c r="AG23" s="12" t="s">
        <v>122</v>
      </c>
      <c r="AH23" s="12" t="s">
        <v>78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66</v>
      </c>
      <c r="AP23" s="12" t="s">
        <v>2598</v>
      </c>
      <c r="AQ23" s="12"/>
      <c r="AR23" s="12" t="s">
        <v>2599</v>
      </c>
      <c r="AS23" s="12" t="s">
        <v>2600</v>
      </c>
      <c r="AT23" s="12" t="s">
        <v>2600</v>
      </c>
      <c r="AU23" s="12">
        <v>55</v>
      </c>
      <c r="AV23" s="12" t="s">
        <v>83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2525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10">
      <c r="A24" s="172" t="s">
        <v>2619</v>
      </c>
      <c r="B24" s="41"/>
      <c r="C24" s="41" t="s">
        <v>2617</v>
      </c>
      <c r="D24" s="41" t="s">
        <v>63</v>
      </c>
      <c r="E24" s="12" t="s">
        <v>68</v>
      </c>
      <c r="F24" s="12" t="s">
        <v>68</v>
      </c>
      <c r="G24" s="41"/>
      <c r="H24" s="41" t="s">
        <v>66</v>
      </c>
      <c r="I24" s="41" t="s">
        <v>1342</v>
      </c>
      <c r="J24" s="34" t="s">
        <v>68</v>
      </c>
      <c r="K24" s="41"/>
      <c r="L24" s="13" t="s">
        <v>2542</v>
      </c>
      <c r="M24" s="41" t="s">
        <v>68</v>
      </c>
      <c r="N24" s="184"/>
      <c r="O24" s="41" t="s">
        <v>2520</v>
      </c>
      <c r="P24" s="41" t="s">
        <v>170</v>
      </c>
      <c r="Q24" s="41" t="s">
        <v>462</v>
      </c>
      <c r="R24" s="41">
        <v>552026</v>
      </c>
      <c r="S24" s="41" t="s">
        <v>463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75</v>
      </c>
      <c r="Z24" s="41"/>
      <c r="AA24" s="13" t="s">
        <v>108</v>
      </c>
      <c r="AB24" s="13" t="s">
        <v>1187</v>
      </c>
      <c r="AC24" s="37">
        <v>45830</v>
      </c>
      <c r="AD24" s="174">
        <v>25</v>
      </c>
      <c r="AE24" s="287" t="s">
        <v>2620</v>
      </c>
      <c r="AF24" s="41">
        <v>371008582</v>
      </c>
      <c r="AG24" s="41" t="s">
        <v>122</v>
      </c>
      <c r="AH24" s="41" t="s">
        <v>314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66</v>
      </c>
      <c r="AP24" s="41" t="s">
        <v>2598</v>
      </c>
      <c r="AQ24" s="41"/>
      <c r="AR24" s="41" t="s">
        <v>2604</v>
      </c>
      <c r="AS24" s="41" t="s">
        <v>2605</v>
      </c>
      <c r="AT24" s="41" t="s">
        <v>2605</v>
      </c>
      <c r="AU24" s="41">
        <v>51</v>
      </c>
      <c r="AV24" s="41" t="s">
        <v>83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2525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10">
      <c r="A25" s="11" t="s">
        <v>2621</v>
      </c>
      <c r="B25" s="12"/>
      <c r="C25" s="12" t="s">
        <v>2617</v>
      </c>
      <c r="D25" s="12" t="s">
        <v>63</v>
      </c>
      <c r="E25" s="12" t="s">
        <v>68</v>
      </c>
      <c r="F25" s="12" t="s">
        <v>68</v>
      </c>
      <c r="G25" s="12"/>
      <c r="H25" s="12" t="s">
        <v>66</v>
      </c>
      <c r="I25" s="12" t="s">
        <v>1559</v>
      </c>
      <c r="J25" s="34" t="s">
        <v>68</v>
      </c>
      <c r="K25" s="12"/>
      <c r="L25" s="13" t="s">
        <v>2542</v>
      </c>
      <c r="M25" s="12" t="s">
        <v>68</v>
      </c>
      <c r="N25" s="182"/>
      <c r="O25" s="12" t="s">
        <v>2520</v>
      </c>
      <c r="P25" s="12" t="s">
        <v>170</v>
      </c>
      <c r="Q25" s="12" t="s">
        <v>462</v>
      </c>
      <c r="R25" s="12">
        <v>552026</v>
      </c>
      <c r="S25" s="12" t="s">
        <v>463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75</v>
      </c>
      <c r="Z25" s="12"/>
      <c r="AA25" s="13" t="s">
        <v>108</v>
      </c>
      <c r="AB25" s="13" t="s">
        <v>1187</v>
      </c>
      <c r="AC25" s="14">
        <v>45826</v>
      </c>
      <c r="AD25" s="15">
        <v>25</v>
      </c>
      <c r="AE25" s="176" t="s">
        <v>2622</v>
      </c>
      <c r="AF25" s="12">
        <v>371008583</v>
      </c>
      <c r="AG25" s="12" t="s">
        <v>122</v>
      </c>
      <c r="AH25" s="12" t="s">
        <v>1561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66</v>
      </c>
      <c r="AP25" s="12" t="s">
        <v>2598</v>
      </c>
      <c r="AQ25" s="12"/>
      <c r="AR25" s="12" t="s">
        <v>2608</v>
      </c>
      <c r="AS25" s="12" t="s">
        <v>2609</v>
      </c>
      <c r="AT25" s="12" t="s">
        <v>2609</v>
      </c>
      <c r="AU25" s="12">
        <v>51</v>
      </c>
      <c r="AV25" s="12" t="s">
        <v>83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2525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10">
      <c r="A26" s="11" t="s">
        <v>2617</v>
      </c>
      <c r="B26" s="12"/>
      <c r="C26" s="12" t="s">
        <v>203</v>
      </c>
      <c r="D26" s="12" t="s">
        <v>63</v>
      </c>
      <c r="E26" s="12" t="s">
        <v>68</v>
      </c>
      <c r="F26" s="12" t="s">
        <v>68</v>
      </c>
      <c r="G26" s="12"/>
      <c r="H26" s="12" t="s">
        <v>66</v>
      </c>
      <c r="I26" s="12" t="s">
        <v>1342</v>
      </c>
      <c r="J26" s="34" t="s">
        <v>68</v>
      </c>
      <c r="K26" s="12"/>
      <c r="L26" s="13" t="s">
        <v>2542</v>
      </c>
      <c r="M26" s="12" t="s">
        <v>68</v>
      </c>
      <c r="N26" s="182"/>
      <c r="O26" s="12" t="s">
        <v>2520</v>
      </c>
      <c r="P26" s="12" t="s">
        <v>170</v>
      </c>
      <c r="Q26" s="12" t="s">
        <v>462</v>
      </c>
      <c r="R26" s="12">
        <v>552026</v>
      </c>
      <c r="S26" s="12" t="s">
        <v>463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75</v>
      </c>
      <c r="Z26" s="12"/>
      <c r="AA26" s="13" t="s">
        <v>108</v>
      </c>
      <c r="AB26" s="13" t="s">
        <v>1187</v>
      </c>
      <c r="AC26" s="14">
        <v>45836</v>
      </c>
      <c r="AD26" s="15">
        <v>26</v>
      </c>
      <c r="AE26" s="176" t="s">
        <v>2623</v>
      </c>
      <c r="AF26" s="12">
        <v>371008616</v>
      </c>
      <c r="AG26" s="12" t="s">
        <v>122</v>
      </c>
      <c r="AH26" s="12" t="s">
        <v>314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66</v>
      </c>
      <c r="AP26" s="12" t="s">
        <v>2624</v>
      </c>
      <c r="AQ26" s="12"/>
      <c r="AR26" s="12" t="s">
        <v>2625</v>
      </c>
      <c r="AS26" s="12" t="s">
        <v>2626</v>
      </c>
      <c r="AT26" s="12" t="s">
        <v>2626</v>
      </c>
      <c r="AU26" s="12">
        <v>57</v>
      </c>
      <c r="AV26" s="12" t="s">
        <v>83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2525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10">
      <c r="A27" s="11" t="s">
        <v>2627</v>
      </c>
      <c r="B27" s="12" t="s">
        <v>1888</v>
      </c>
      <c r="C27" s="12" t="s">
        <v>2588</v>
      </c>
      <c r="D27" s="12" t="s">
        <v>63</v>
      </c>
      <c r="E27" s="12" t="s">
        <v>68</v>
      </c>
      <c r="F27" s="12" t="s">
        <v>68</v>
      </c>
      <c r="G27" s="12"/>
      <c r="H27" s="12" t="s">
        <v>156</v>
      </c>
      <c r="I27" s="12" t="s">
        <v>157</v>
      </c>
      <c r="J27" s="34" t="s">
        <v>68</v>
      </c>
      <c r="K27" s="12"/>
      <c r="L27" s="13" t="s">
        <v>2534</v>
      </c>
      <c r="M27" s="12" t="s">
        <v>68</v>
      </c>
      <c r="N27" s="182"/>
      <c r="O27" s="12" t="s">
        <v>2520</v>
      </c>
      <c r="P27" s="12" t="s">
        <v>70</v>
      </c>
      <c r="Q27" s="12" t="s">
        <v>102</v>
      </c>
      <c r="R27" s="12">
        <v>554245</v>
      </c>
      <c r="S27" s="12" t="s">
        <v>103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75</v>
      </c>
      <c r="Z27" s="12"/>
      <c r="AA27" s="13" t="s">
        <v>108</v>
      </c>
      <c r="AB27" s="32" t="s">
        <v>967</v>
      </c>
      <c r="AC27" s="14">
        <v>45831</v>
      </c>
      <c r="AD27" s="15">
        <v>26</v>
      </c>
      <c r="AE27" s="176" t="s">
        <v>2628</v>
      </c>
      <c r="AF27" s="12">
        <v>371008612</v>
      </c>
      <c r="AG27" s="12" t="s">
        <v>122</v>
      </c>
      <c r="AH27" s="12" t="s">
        <v>159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156</v>
      </c>
      <c r="AP27" s="12" t="s">
        <v>2629</v>
      </c>
      <c r="AQ27" s="12"/>
      <c r="AR27" s="12">
        <v>46010646</v>
      </c>
      <c r="AS27" s="12">
        <v>1067418014</v>
      </c>
      <c r="AT27" s="12" t="s">
        <v>2630</v>
      </c>
      <c r="AU27" s="12">
        <v>55</v>
      </c>
      <c r="AV27" s="12" t="s">
        <v>2538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2525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10">
      <c r="A28" s="11" t="s">
        <v>2631</v>
      </c>
      <c r="B28" s="12"/>
      <c r="C28" s="12" t="s">
        <v>2588</v>
      </c>
      <c r="D28" s="12" t="s">
        <v>63</v>
      </c>
      <c r="E28" s="12" t="s">
        <v>68</v>
      </c>
      <c r="F28" s="12" t="s">
        <v>68</v>
      </c>
      <c r="G28" s="12"/>
      <c r="H28" s="12" t="s">
        <v>66</v>
      </c>
      <c r="I28" s="12" t="s">
        <v>2541</v>
      </c>
      <c r="J28" s="34" t="s">
        <v>68</v>
      </c>
      <c r="K28" s="12"/>
      <c r="L28" s="13" t="s">
        <v>2542</v>
      </c>
      <c r="M28" s="12" t="s">
        <v>68</v>
      </c>
      <c r="N28" s="182"/>
      <c r="O28" s="12" t="s">
        <v>2520</v>
      </c>
      <c r="P28" s="12" t="s">
        <v>70</v>
      </c>
      <c r="Q28" s="12" t="s">
        <v>102</v>
      </c>
      <c r="R28" s="12">
        <v>554245</v>
      </c>
      <c r="S28" s="12" t="s">
        <v>103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75</v>
      </c>
      <c r="Z28" s="12"/>
      <c r="AA28" s="13" t="s">
        <v>108</v>
      </c>
      <c r="AB28" s="32" t="s">
        <v>967</v>
      </c>
      <c r="AC28" s="14">
        <v>45835</v>
      </c>
      <c r="AD28" s="15">
        <v>26</v>
      </c>
      <c r="AE28" s="176" t="s">
        <v>2632</v>
      </c>
      <c r="AF28" s="12">
        <v>371008619</v>
      </c>
      <c r="AG28" s="12" t="s">
        <v>122</v>
      </c>
      <c r="AH28" s="12" t="s">
        <v>314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66</v>
      </c>
      <c r="AP28" s="12" t="s">
        <v>2624</v>
      </c>
      <c r="AQ28" s="12"/>
      <c r="AR28" s="12" t="s">
        <v>2633</v>
      </c>
      <c r="AS28" s="12" t="s">
        <v>2634</v>
      </c>
      <c r="AT28" s="12" t="s">
        <v>2634</v>
      </c>
      <c r="AU28" s="12">
        <v>57</v>
      </c>
      <c r="AV28" s="12" t="s">
        <v>83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2525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10">
      <c r="A29" s="11" t="s">
        <v>2635</v>
      </c>
      <c r="B29" s="12"/>
      <c r="C29" s="12" t="s">
        <v>2540</v>
      </c>
      <c r="D29" s="12" t="s">
        <v>63</v>
      </c>
      <c r="E29" s="12" t="s">
        <v>68</v>
      </c>
      <c r="F29" s="12" t="s">
        <v>68</v>
      </c>
      <c r="G29" s="12"/>
      <c r="H29" s="12" t="s">
        <v>66</v>
      </c>
      <c r="I29" s="12" t="s">
        <v>2541</v>
      </c>
      <c r="J29" s="34" t="s">
        <v>68</v>
      </c>
      <c r="K29" s="12"/>
      <c r="L29" s="13" t="s">
        <v>2542</v>
      </c>
      <c r="M29" s="12" t="s">
        <v>68</v>
      </c>
      <c r="N29" s="182"/>
      <c r="O29" s="12" t="s">
        <v>2520</v>
      </c>
      <c r="P29" s="12" t="s">
        <v>132</v>
      </c>
      <c r="Q29" s="12" t="s">
        <v>453</v>
      </c>
      <c r="R29" s="12">
        <v>554541</v>
      </c>
      <c r="S29" s="12" t="s">
        <v>454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75</v>
      </c>
      <c r="Z29" s="12"/>
      <c r="AA29" s="13" t="s">
        <v>108</v>
      </c>
      <c r="AB29" s="13" t="s">
        <v>967</v>
      </c>
      <c r="AC29" s="14">
        <v>45835</v>
      </c>
      <c r="AD29" s="15">
        <v>26</v>
      </c>
      <c r="AE29" s="176" t="s">
        <v>2636</v>
      </c>
      <c r="AF29" s="12">
        <v>371008618</v>
      </c>
      <c r="AG29" s="12" t="s">
        <v>122</v>
      </c>
      <c r="AH29" s="12" t="s">
        <v>314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66</v>
      </c>
      <c r="AP29" s="12" t="s">
        <v>2624</v>
      </c>
      <c r="AQ29" s="12"/>
      <c r="AR29" s="12" t="s">
        <v>2633</v>
      </c>
      <c r="AS29" s="12" t="s">
        <v>2634</v>
      </c>
      <c r="AT29" s="12" t="s">
        <v>2634</v>
      </c>
      <c r="AU29" s="12">
        <v>57</v>
      </c>
      <c r="AV29" s="12" t="s">
        <v>83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2525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10">
      <c r="A30" s="11" t="s">
        <v>2637</v>
      </c>
      <c r="B30" s="12"/>
      <c r="C30" s="12" t="s">
        <v>2518</v>
      </c>
      <c r="D30" s="12" t="s">
        <v>63</v>
      </c>
      <c r="E30" s="12" t="s">
        <v>68</v>
      </c>
      <c r="F30" s="12" t="s">
        <v>68</v>
      </c>
      <c r="G30" s="12"/>
      <c r="H30" s="12" t="s">
        <v>66</v>
      </c>
      <c r="I30" s="12" t="s">
        <v>96</v>
      </c>
      <c r="J30" s="34" t="s">
        <v>68</v>
      </c>
      <c r="K30" s="12"/>
      <c r="L30" s="13" t="s">
        <v>2527</v>
      </c>
      <c r="M30" s="12" t="s">
        <v>68</v>
      </c>
      <c r="N30" s="182"/>
      <c r="O30" s="12" t="s">
        <v>2520</v>
      </c>
      <c r="P30" s="12" t="s">
        <v>170</v>
      </c>
      <c r="Q30" s="12" t="s">
        <v>171</v>
      </c>
      <c r="R30" s="12">
        <v>552045</v>
      </c>
      <c r="S30" s="12" t="s">
        <v>172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75</v>
      </c>
      <c r="Z30" s="12"/>
      <c r="AA30" s="13" t="s">
        <v>108</v>
      </c>
      <c r="AB30" s="13" t="s">
        <v>992</v>
      </c>
      <c r="AC30" s="14">
        <v>45835</v>
      </c>
      <c r="AD30" s="15">
        <v>26</v>
      </c>
      <c r="AE30" s="176" t="s">
        <v>2638</v>
      </c>
      <c r="AF30" s="12">
        <v>371008617</v>
      </c>
      <c r="AG30" s="12" t="s">
        <v>122</v>
      </c>
      <c r="AH30" s="12" t="s">
        <v>124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66</v>
      </c>
      <c r="AP30" s="12" t="s">
        <v>2639</v>
      </c>
      <c r="AQ30" s="12"/>
      <c r="AR30" s="12" t="s">
        <v>2640</v>
      </c>
      <c r="AS30" s="12" t="s">
        <v>2641</v>
      </c>
      <c r="AT30" s="12" t="s">
        <v>2641</v>
      </c>
      <c r="AU30" s="12">
        <v>46</v>
      </c>
      <c r="AV30" s="12" t="s">
        <v>83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2525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10">
      <c r="A31" s="11" t="s">
        <v>2642</v>
      </c>
      <c r="B31" s="12"/>
      <c r="C31" s="12" t="s">
        <v>2554</v>
      </c>
      <c r="D31" s="12" t="s">
        <v>63</v>
      </c>
      <c r="E31" s="12" t="s">
        <v>68</v>
      </c>
      <c r="F31" s="12" t="s">
        <v>68</v>
      </c>
      <c r="G31" s="12"/>
      <c r="H31" s="12" t="s">
        <v>66</v>
      </c>
      <c r="I31" s="12" t="s">
        <v>1342</v>
      </c>
      <c r="J31" s="34" t="s">
        <v>68</v>
      </c>
      <c r="K31" s="12"/>
      <c r="L31" s="13" t="s">
        <v>2542</v>
      </c>
      <c r="M31" s="12" t="s">
        <v>68</v>
      </c>
      <c r="N31" s="182"/>
      <c r="O31" s="12" t="s">
        <v>2520</v>
      </c>
      <c r="P31" s="12" t="s">
        <v>170</v>
      </c>
      <c r="Q31" s="12" t="s">
        <v>462</v>
      </c>
      <c r="R31" s="12">
        <v>552026</v>
      </c>
      <c r="S31" s="12" t="s">
        <v>463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75</v>
      </c>
      <c r="Z31" s="12"/>
      <c r="AA31" s="13" t="s">
        <v>108</v>
      </c>
      <c r="AB31" s="13" t="s">
        <v>1187</v>
      </c>
      <c r="AC31" s="14">
        <v>45836</v>
      </c>
      <c r="AD31" s="15">
        <v>26</v>
      </c>
      <c r="AE31" s="176" t="s">
        <v>2643</v>
      </c>
      <c r="AF31" s="12">
        <v>371008620</v>
      </c>
      <c r="AG31" s="12" t="s">
        <v>122</v>
      </c>
      <c r="AH31" s="12" t="s">
        <v>314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66</v>
      </c>
      <c r="AP31" s="12" t="s">
        <v>2624</v>
      </c>
      <c r="AQ31" s="12"/>
      <c r="AR31" s="12" t="s">
        <v>2625</v>
      </c>
      <c r="AS31" s="12" t="s">
        <v>2626</v>
      </c>
      <c r="AT31" s="12" t="s">
        <v>2626</v>
      </c>
      <c r="AU31" s="12">
        <v>57</v>
      </c>
      <c r="AV31" s="12" t="s">
        <v>83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2525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10">
      <c r="A32" s="11" t="s">
        <v>2644</v>
      </c>
      <c r="B32" s="12"/>
      <c r="C32" s="12" t="s">
        <v>2554</v>
      </c>
      <c r="D32" s="12" t="s">
        <v>63</v>
      </c>
      <c r="E32" s="12" t="s">
        <v>68</v>
      </c>
      <c r="F32" s="12" t="s">
        <v>68</v>
      </c>
      <c r="G32" s="12"/>
      <c r="H32" s="12" t="s">
        <v>66</v>
      </c>
      <c r="I32" s="12" t="s">
        <v>1559</v>
      </c>
      <c r="J32" s="34" t="s">
        <v>68</v>
      </c>
      <c r="K32" s="12"/>
      <c r="L32" s="13" t="s">
        <v>2542</v>
      </c>
      <c r="M32" s="12" t="s">
        <v>68</v>
      </c>
      <c r="N32" s="182"/>
      <c r="O32" s="12" t="s">
        <v>2520</v>
      </c>
      <c r="P32" s="12" t="s">
        <v>170</v>
      </c>
      <c r="Q32" s="12" t="s">
        <v>462</v>
      </c>
      <c r="R32" s="12">
        <v>552026</v>
      </c>
      <c r="S32" s="12" t="s">
        <v>463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75</v>
      </c>
      <c r="Z32" s="12"/>
      <c r="AA32" s="13" t="s">
        <v>108</v>
      </c>
      <c r="AB32" s="13" t="s">
        <v>1187</v>
      </c>
      <c r="AC32" s="14">
        <v>45835</v>
      </c>
      <c r="AD32" s="15">
        <v>26</v>
      </c>
      <c r="AE32" s="176" t="s">
        <v>2645</v>
      </c>
      <c r="AF32" s="12">
        <v>371008621</v>
      </c>
      <c r="AG32" s="12" t="s">
        <v>122</v>
      </c>
      <c r="AH32" s="12" t="s">
        <v>1561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66</v>
      </c>
      <c r="AP32" s="12" t="s">
        <v>2624</v>
      </c>
      <c r="AQ32" s="12"/>
      <c r="AR32" s="12" t="s">
        <v>2646</v>
      </c>
      <c r="AS32" s="12" t="s">
        <v>2647</v>
      </c>
      <c r="AT32" s="12" t="s">
        <v>2647</v>
      </c>
      <c r="AU32" s="12">
        <v>60</v>
      </c>
      <c r="AV32" s="12" t="s">
        <v>83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2525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10">
      <c r="A33" s="11" t="s">
        <v>2648</v>
      </c>
      <c r="B33" s="12" t="s">
        <v>111</v>
      </c>
      <c r="C33" s="12" t="s">
        <v>2554</v>
      </c>
      <c r="D33" s="12" t="s">
        <v>63</v>
      </c>
      <c r="E33" s="12" t="s">
        <v>64</v>
      </c>
      <c r="F33" s="12" t="s">
        <v>65</v>
      </c>
      <c r="G33" s="12" t="s">
        <v>67</v>
      </c>
      <c r="H33" s="12" t="s">
        <v>66</v>
      </c>
      <c r="I33" s="12" t="s">
        <v>96</v>
      </c>
      <c r="J33" s="34" t="s">
        <v>68</v>
      </c>
      <c r="K33" s="12"/>
      <c r="L33" s="13" t="s">
        <v>2519</v>
      </c>
      <c r="M33" s="213" t="s">
        <v>68</v>
      </c>
      <c r="N33" s="182"/>
      <c r="O33" s="12" t="s">
        <v>2520</v>
      </c>
      <c r="P33" s="12" t="s">
        <v>170</v>
      </c>
      <c r="Q33" s="12" t="s">
        <v>462</v>
      </c>
      <c r="R33" s="12">
        <v>552026</v>
      </c>
      <c r="S33" s="12" t="s">
        <v>463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75</v>
      </c>
      <c r="Z33" s="12"/>
      <c r="AA33" s="13" t="s">
        <v>108</v>
      </c>
      <c r="AB33" s="13" t="s">
        <v>1187</v>
      </c>
      <c r="AC33" s="14">
        <v>45843</v>
      </c>
      <c r="AD33" s="15">
        <v>27</v>
      </c>
      <c r="AE33" s="176" t="s">
        <v>2649</v>
      </c>
      <c r="AF33" s="12">
        <v>371008645</v>
      </c>
      <c r="AG33" s="12" t="s">
        <v>122</v>
      </c>
      <c r="AH33" s="12" t="s">
        <v>78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66</v>
      </c>
      <c r="AP33" s="12" t="s">
        <v>2650</v>
      </c>
      <c r="AQ33" s="12"/>
      <c r="AR33" s="12" t="s">
        <v>2651</v>
      </c>
      <c r="AS33" s="12" t="s">
        <v>2652</v>
      </c>
      <c r="AT33" s="12" t="s">
        <v>2652</v>
      </c>
      <c r="AU33" s="12">
        <v>62</v>
      </c>
      <c r="AV33" s="12" t="s">
        <v>83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2525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10">
      <c r="A34" s="11" t="s">
        <v>2653</v>
      </c>
      <c r="B34" s="12" t="s">
        <v>111</v>
      </c>
      <c r="C34" s="12" t="s">
        <v>2654</v>
      </c>
      <c r="D34" s="12" t="s">
        <v>63</v>
      </c>
      <c r="E34" s="12" t="s">
        <v>64</v>
      </c>
      <c r="F34" s="12" t="s">
        <v>65</v>
      </c>
      <c r="G34" s="12" t="s">
        <v>67</v>
      </c>
      <c r="H34" s="12" t="s">
        <v>66</v>
      </c>
      <c r="I34" s="12" t="s">
        <v>96</v>
      </c>
      <c r="J34" s="34" t="s">
        <v>68</v>
      </c>
      <c r="K34" s="12"/>
      <c r="L34" s="13" t="s">
        <v>2519</v>
      </c>
      <c r="M34" s="213" t="s">
        <v>68</v>
      </c>
      <c r="N34" s="182"/>
      <c r="O34" s="12" t="s">
        <v>2520</v>
      </c>
      <c r="P34" s="12" t="s">
        <v>2655</v>
      </c>
      <c r="Q34" s="12" t="s">
        <v>2656</v>
      </c>
      <c r="R34" s="12">
        <v>553098</v>
      </c>
      <c r="S34" s="12" t="s">
        <v>2657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75</v>
      </c>
      <c r="Z34" s="12"/>
      <c r="AA34" s="13" t="s">
        <v>108</v>
      </c>
      <c r="AB34" s="13" t="s">
        <v>992</v>
      </c>
      <c r="AC34" s="14">
        <v>45843</v>
      </c>
      <c r="AD34" s="15">
        <v>27</v>
      </c>
      <c r="AE34" s="176" t="s">
        <v>2658</v>
      </c>
      <c r="AF34" s="12">
        <v>371008640</v>
      </c>
      <c r="AG34" s="12" t="s">
        <v>122</v>
      </c>
      <c r="AH34" s="12" t="s">
        <v>78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66</v>
      </c>
      <c r="AP34" s="12" t="s">
        <v>2650</v>
      </c>
      <c r="AQ34" s="12"/>
      <c r="AR34" s="12" t="s">
        <v>2651</v>
      </c>
      <c r="AS34" s="12" t="s">
        <v>2652</v>
      </c>
      <c r="AT34" s="12" t="s">
        <v>2652</v>
      </c>
      <c r="AU34" s="12">
        <v>62</v>
      </c>
      <c r="AV34" s="12" t="s">
        <v>83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2525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10">
      <c r="A35" s="11" t="s">
        <v>2659</v>
      </c>
      <c r="B35" s="12" t="s">
        <v>111</v>
      </c>
      <c r="C35" s="12" t="s">
        <v>2518</v>
      </c>
      <c r="D35" s="12" t="s">
        <v>63</v>
      </c>
      <c r="E35" s="12" t="s">
        <v>64</v>
      </c>
      <c r="F35" s="12" t="s">
        <v>65</v>
      </c>
      <c r="G35" s="12" t="s">
        <v>67</v>
      </c>
      <c r="H35" s="12" t="s">
        <v>66</v>
      </c>
      <c r="I35" s="12" t="s">
        <v>96</v>
      </c>
      <c r="J35" s="34" t="s">
        <v>68</v>
      </c>
      <c r="K35" s="12"/>
      <c r="L35" s="13" t="s">
        <v>2519</v>
      </c>
      <c r="M35" s="213" t="s">
        <v>68</v>
      </c>
      <c r="N35" s="182"/>
      <c r="O35" s="12" t="s">
        <v>2520</v>
      </c>
      <c r="P35" s="12" t="s">
        <v>170</v>
      </c>
      <c r="Q35" s="12" t="s">
        <v>171</v>
      </c>
      <c r="R35" s="12">
        <v>552045</v>
      </c>
      <c r="S35" s="12" t="s">
        <v>172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75</v>
      </c>
      <c r="Z35" s="12"/>
      <c r="AA35" s="13" t="s">
        <v>108</v>
      </c>
      <c r="AB35" s="13" t="s">
        <v>992</v>
      </c>
      <c r="AC35" s="14">
        <v>45843</v>
      </c>
      <c r="AD35" s="15">
        <v>27</v>
      </c>
      <c r="AE35" s="176" t="s">
        <v>2660</v>
      </c>
      <c r="AF35" s="12">
        <v>371008642</v>
      </c>
      <c r="AG35" s="12" t="s">
        <v>122</v>
      </c>
      <c r="AH35" s="12" t="s">
        <v>78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66</v>
      </c>
      <c r="AP35" s="12" t="s">
        <v>2650</v>
      </c>
      <c r="AQ35" s="12"/>
      <c r="AR35" s="12" t="s">
        <v>2651</v>
      </c>
      <c r="AS35" s="12" t="s">
        <v>2652</v>
      </c>
      <c r="AT35" s="12" t="s">
        <v>2652</v>
      </c>
      <c r="AU35" s="12">
        <v>62</v>
      </c>
      <c r="AV35" s="12" t="s">
        <v>83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2525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10">
      <c r="A36" s="11" t="s">
        <v>2661</v>
      </c>
      <c r="B36" s="12" t="s">
        <v>111</v>
      </c>
      <c r="C36" s="12" t="s">
        <v>2662</v>
      </c>
      <c r="D36" s="12" t="s">
        <v>63</v>
      </c>
      <c r="E36" s="12" t="s">
        <v>64</v>
      </c>
      <c r="F36" s="12" t="s">
        <v>65</v>
      </c>
      <c r="G36" s="12" t="s">
        <v>67</v>
      </c>
      <c r="H36" s="12" t="s">
        <v>66</v>
      </c>
      <c r="I36" s="12" t="s">
        <v>96</v>
      </c>
      <c r="J36" s="34" t="s">
        <v>68</v>
      </c>
      <c r="K36" s="12"/>
      <c r="L36" s="13" t="s">
        <v>2519</v>
      </c>
      <c r="M36" s="213" t="s">
        <v>68</v>
      </c>
      <c r="N36" s="182"/>
      <c r="O36" s="12" t="s">
        <v>2520</v>
      </c>
      <c r="P36" s="12" t="s">
        <v>2655</v>
      </c>
      <c r="Q36" s="12" t="s">
        <v>2663</v>
      </c>
      <c r="R36" s="12">
        <v>553097</v>
      </c>
      <c r="S36" s="12" t="s">
        <v>2664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75</v>
      </c>
      <c r="Z36" s="12"/>
      <c r="AA36" s="13" t="s">
        <v>108</v>
      </c>
      <c r="AB36" s="13" t="s">
        <v>992</v>
      </c>
      <c r="AC36" s="14">
        <v>45842</v>
      </c>
      <c r="AD36" s="15">
        <v>27</v>
      </c>
      <c r="AE36" s="176" t="s">
        <v>2665</v>
      </c>
      <c r="AF36" s="12">
        <v>371008641</v>
      </c>
      <c r="AG36" s="12" t="s">
        <v>122</v>
      </c>
      <c r="AH36" s="12" t="s">
        <v>78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66</v>
      </c>
      <c r="AP36" s="12" t="s">
        <v>2666</v>
      </c>
      <c r="AQ36" s="12"/>
      <c r="AR36" s="12" t="s">
        <v>2667</v>
      </c>
      <c r="AS36" s="12" t="s">
        <v>2668</v>
      </c>
      <c r="AT36" s="12" t="s">
        <v>2668</v>
      </c>
      <c r="AU36" s="12">
        <v>51</v>
      </c>
      <c r="AV36" s="12" t="s">
        <v>83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2525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10">
      <c r="A37" s="11" t="s">
        <v>2669</v>
      </c>
      <c r="B37" s="12" t="s">
        <v>111</v>
      </c>
      <c r="C37" s="12" t="s">
        <v>2554</v>
      </c>
      <c r="D37" s="12" t="s">
        <v>63</v>
      </c>
      <c r="E37" s="12" t="s">
        <v>68</v>
      </c>
      <c r="F37" s="12" t="s">
        <v>68</v>
      </c>
      <c r="G37" s="12"/>
      <c r="H37" s="12" t="s">
        <v>66</v>
      </c>
      <c r="I37" s="12" t="s">
        <v>1342</v>
      </c>
      <c r="J37" s="34" t="s">
        <v>68</v>
      </c>
      <c r="K37" s="12"/>
      <c r="L37" s="13" t="s">
        <v>2542</v>
      </c>
      <c r="M37" s="12" t="s">
        <v>68</v>
      </c>
      <c r="N37" s="182"/>
      <c r="O37" s="12" t="s">
        <v>2520</v>
      </c>
      <c r="P37" s="12" t="s">
        <v>170</v>
      </c>
      <c r="Q37" s="12" t="s">
        <v>462</v>
      </c>
      <c r="R37" s="12">
        <v>552026</v>
      </c>
      <c r="S37" s="12" t="s">
        <v>463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75</v>
      </c>
      <c r="Z37" s="12"/>
      <c r="AA37" s="13" t="s">
        <v>108</v>
      </c>
      <c r="AB37" s="13" t="s">
        <v>1187</v>
      </c>
      <c r="AC37" s="14">
        <v>45844</v>
      </c>
      <c r="AD37" s="15">
        <v>27</v>
      </c>
      <c r="AE37" s="176" t="s">
        <v>2670</v>
      </c>
      <c r="AF37" s="12">
        <v>371008646</v>
      </c>
      <c r="AG37" s="12" t="s">
        <v>122</v>
      </c>
      <c r="AH37" s="12" t="s">
        <v>314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66</v>
      </c>
      <c r="AP37" s="12" t="s">
        <v>2650</v>
      </c>
      <c r="AQ37" s="12"/>
      <c r="AR37" s="12" t="s">
        <v>2671</v>
      </c>
      <c r="AS37" s="12" t="s">
        <v>2672</v>
      </c>
      <c r="AT37" s="12" t="s">
        <v>2672</v>
      </c>
      <c r="AU37" s="12">
        <v>54</v>
      </c>
      <c r="AV37" s="12" t="s">
        <v>83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2525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10">
      <c r="A38" s="11" t="s">
        <v>2673</v>
      </c>
      <c r="B38" s="12" t="s">
        <v>111</v>
      </c>
      <c r="C38" s="12" t="s">
        <v>2554</v>
      </c>
      <c r="D38" s="12" t="s">
        <v>63</v>
      </c>
      <c r="E38" s="12" t="s">
        <v>68</v>
      </c>
      <c r="F38" s="12" t="s">
        <v>68</v>
      </c>
      <c r="G38" s="12"/>
      <c r="H38" s="12" t="s">
        <v>66</v>
      </c>
      <c r="I38" s="12" t="s">
        <v>1559</v>
      </c>
      <c r="J38" s="34" t="s">
        <v>68</v>
      </c>
      <c r="K38" s="12"/>
      <c r="L38" s="13" t="s">
        <v>2542</v>
      </c>
      <c r="M38" s="12" t="s">
        <v>68</v>
      </c>
      <c r="N38" s="182"/>
      <c r="O38" s="12" t="s">
        <v>2520</v>
      </c>
      <c r="P38" s="12" t="s">
        <v>170</v>
      </c>
      <c r="Q38" s="12" t="s">
        <v>462</v>
      </c>
      <c r="R38" s="12">
        <v>552026</v>
      </c>
      <c r="S38" s="12" t="s">
        <v>463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75</v>
      </c>
      <c r="Z38" s="12"/>
      <c r="AA38" s="13" t="s">
        <v>108</v>
      </c>
      <c r="AB38" s="13" t="s">
        <v>1187</v>
      </c>
      <c r="AC38" s="14">
        <v>45844</v>
      </c>
      <c r="AD38" s="15">
        <v>27</v>
      </c>
      <c r="AE38" s="176" t="s">
        <v>2674</v>
      </c>
      <c r="AF38" s="12">
        <v>371008647</v>
      </c>
      <c r="AG38" s="12" t="s">
        <v>122</v>
      </c>
      <c r="AH38" s="12" t="s">
        <v>1561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66</v>
      </c>
      <c r="AP38" s="12" t="s">
        <v>2650</v>
      </c>
      <c r="AQ38" s="12"/>
      <c r="AR38" s="12" t="s">
        <v>2675</v>
      </c>
      <c r="AS38" s="12" t="s">
        <v>2676</v>
      </c>
      <c r="AT38" s="12" t="s">
        <v>2676</v>
      </c>
      <c r="AU38" s="12">
        <v>56</v>
      </c>
      <c r="AV38" s="12" t="s">
        <v>83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2525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10">
      <c r="A39" s="11" t="s">
        <v>2677</v>
      </c>
      <c r="B39" s="12" t="s">
        <v>111</v>
      </c>
      <c r="C39" s="12" t="s">
        <v>2678</v>
      </c>
      <c r="D39" s="12" t="s">
        <v>63</v>
      </c>
      <c r="E39" s="12" t="s">
        <v>64</v>
      </c>
      <c r="F39" s="12" t="s">
        <v>100</v>
      </c>
      <c r="G39" s="12" t="s">
        <v>67</v>
      </c>
      <c r="H39" s="12" t="s">
        <v>66</v>
      </c>
      <c r="I39" s="12" t="s">
        <v>96</v>
      </c>
      <c r="J39" s="34" t="s">
        <v>68</v>
      </c>
      <c r="K39" s="12"/>
      <c r="L39" s="13" t="s">
        <v>2519</v>
      </c>
      <c r="M39" s="213" t="s">
        <v>68</v>
      </c>
      <c r="N39" s="182"/>
      <c r="O39" s="12" t="s">
        <v>2520</v>
      </c>
      <c r="P39" s="12" t="s">
        <v>473</v>
      </c>
      <c r="Q39" s="12" t="s">
        <v>763</v>
      </c>
      <c r="R39" s="12">
        <v>553146</v>
      </c>
      <c r="S39" s="12" t="s">
        <v>764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75</v>
      </c>
      <c r="Z39" s="12"/>
      <c r="AA39" s="13" t="s">
        <v>85</v>
      </c>
      <c r="AB39" s="13" t="s">
        <v>967</v>
      </c>
      <c r="AC39" s="14">
        <v>45839</v>
      </c>
      <c r="AD39" s="15">
        <v>27</v>
      </c>
      <c r="AE39" s="176" t="s">
        <v>2679</v>
      </c>
      <c r="AF39" s="12">
        <v>371008643</v>
      </c>
      <c r="AG39" s="12" t="s">
        <v>122</v>
      </c>
      <c r="AH39" s="12" t="s">
        <v>105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66</v>
      </c>
      <c r="AP39" s="12" t="s">
        <v>2680</v>
      </c>
      <c r="AQ39" s="12"/>
      <c r="AR39" s="12" t="s">
        <v>2681</v>
      </c>
      <c r="AS39" s="12" t="s">
        <v>2682</v>
      </c>
      <c r="AT39" s="12" t="s">
        <v>2682</v>
      </c>
      <c r="AU39" s="12">
        <v>35</v>
      </c>
      <c r="AV39" s="12" t="s">
        <v>83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2525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10">
      <c r="A40" s="11" t="s">
        <v>2683</v>
      </c>
      <c r="B40" s="12" t="s">
        <v>111</v>
      </c>
      <c r="C40" s="12" t="s">
        <v>2678</v>
      </c>
      <c r="D40" s="12" t="s">
        <v>63</v>
      </c>
      <c r="E40" s="12" t="s">
        <v>64</v>
      </c>
      <c r="F40" s="12" t="s">
        <v>65</v>
      </c>
      <c r="G40" s="12" t="s">
        <v>67</v>
      </c>
      <c r="H40" s="12" t="s">
        <v>66</v>
      </c>
      <c r="I40" s="12" t="s">
        <v>96</v>
      </c>
      <c r="J40" s="34" t="s">
        <v>68</v>
      </c>
      <c r="K40" s="12"/>
      <c r="L40" s="13" t="s">
        <v>2519</v>
      </c>
      <c r="M40" s="213" t="s">
        <v>68</v>
      </c>
      <c r="N40" s="182"/>
      <c r="O40" s="12" t="s">
        <v>2520</v>
      </c>
      <c r="P40" s="12" t="s">
        <v>473</v>
      </c>
      <c r="Q40" s="12" t="s">
        <v>763</v>
      </c>
      <c r="R40" s="12">
        <v>553146</v>
      </c>
      <c r="S40" s="12" t="s">
        <v>764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75</v>
      </c>
      <c r="Z40" s="12"/>
      <c r="AA40" s="13" t="s">
        <v>85</v>
      </c>
      <c r="AB40" s="13" t="s">
        <v>967</v>
      </c>
      <c r="AC40" s="14">
        <v>45842</v>
      </c>
      <c r="AD40" s="15">
        <v>27</v>
      </c>
      <c r="AE40" s="176" t="s">
        <v>2684</v>
      </c>
      <c r="AF40" s="12">
        <v>371008644</v>
      </c>
      <c r="AG40" s="12" t="s">
        <v>122</v>
      </c>
      <c r="AH40" s="12" t="s">
        <v>78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66</v>
      </c>
      <c r="AP40" s="12" t="s">
        <v>2666</v>
      </c>
      <c r="AQ40" s="12"/>
      <c r="AR40" s="12" t="s">
        <v>2667</v>
      </c>
      <c r="AS40" s="12" t="s">
        <v>2668</v>
      </c>
      <c r="AT40" s="12" t="s">
        <v>2668</v>
      </c>
      <c r="AU40" s="12">
        <v>51</v>
      </c>
      <c r="AV40" s="12" t="s">
        <v>83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2525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10">
      <c r="A41" s="11" t="s">
        <v>2685</v>
      </c>
      <c r="B41" s="12" t="s">
        <v>111</v>
      </c>
      <c r="C41" s="12" t="s">
        <v>2662</v>
      </c>
      <c r="D41" s="12" t="s">
        <v>63</v>
      </c>
      <c r="E41" s="12" t="s">
        <v>64</v>
      </c>
      <c r="F41" s="12" t="s">
        <v>65</v>
      </c>
      <c r="G41" s="12" t="s">
        <v>67</v>
      </c>
      <c r="H41" s="12" t="s">
        <v>66</v>
      </c>
      <c r="I41" s="12" t="s">
        <v>96</v>
      </c>
      <c r="J41" s="34" t="s">
        <v>68</v>
      </c>
      <c r="K41" s="12"/>
      <c r="L41" s="13" t="s">
        <v>2519</v>
      </c>
      <c r="M41" s="213" t="s">
        <v>68</v>
      </c>
      <c r="N41" s="182"/>
      <c r="O41" s="12" t="s">
        <v>2520</v>
      </c>
      <c r="P41" s="12" t="s">
        <v>2655</v>
      </c>
      <c r="Q41" s="12" t="s">
        <v>2663</v>
      </c>
      <c r="R41" s="12">
        <v>553097</v>
      </c>
      <c r="S41" s="12" t="s">
        <v>2664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75</v>
      </c>
      <c r="Z41" s="12"/>
      <c r="AA41" s="13" t="s">
        <v>108</v>
      </c>
      <c r="AB41" s="13" t="s">
        <v>992</v>
      </c>
      <c r="AC41" s="14">
        <v>45851</v>
      </c>
      <c r="AD41" s="15">
        <v>28</v>
      </c>
      <c r="AE41" s="176" t="s">
        <v>2686</v>
      </c>
      <c r="AF41" s="12">
        <v>371008672</v>
      </c>
      <c r="AG41" s="12" t="s">
        <v>122</v>
      </c>
      <c r="AH41" s="12" t="s">
        <v>78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66</v>
      </c>
      <c r="AP41" s="12" t="s">
        <v>2687</v>
      </c>
      <c r="AQ41" s="12"/>
      <c r="AR41" s="12" t="s">
        <v>2688</v>
      </c>
      <c r="AS41" s="12" t="s">
        <v>2689</v>
      </c>
      <c r="AT41" s="12" t="s">
        <v>2689</v>
      </c>
      <c r="AU41" s="12">
        <v>55</v>
      </c>
      <c r="AV41" s="12" t="s">
        <v>83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2525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10">
      <c r="A42" s="11" t="s">
        <v>2690</v>
      </c>
      <c r="B42" s="12" t="s">
        <v>111</v>
      </c>
      <c r="C42" s="12" t="s">
        <v>2654</v>
      </c>
      <c r="D42" s="12" t="s">
        <v>63</v>
      </c>
      <c r="E42" s="12" t="s">
        <v>64</v>
      </c>
      <c r="F42" s="12" t="s">
        <v>65</v>
      </c>
      <c r="G42" s="12" t="s">
        <v>67</v>
      </c>
      <c r="H42" s="12" t="s">
        <v>66</v>
      </c>
      <c r="I42" s="12" t="s">
        <v>96</v>
      </c>
      <c r="J42" s="34" t="s">
        <v>68</v>
      </c>
      <c r="K42" s="12"/>
      <c r="L42" s="13" t="s">
        <v>2519</v>
      </c>
      <c r="M42" s="213" t="s">
        <v>68</v>
      </c>
      <c r="N42" s="182"/>
      <c r="O42" s="12" t="s">
        <v>2520</v>
      </c>
      <c r="P42" s="12" t="s">
        <v>2655</v>
      </c>
      <c r="Q42" s="12" t="s">
        <v>2656</v>
      </c>
      <c r="R42" s="12">
        <v>553098</v>
      </c>
      <c r="S42" s="12" t="s">
        <v>2657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75</v>
      </c>
      <c r="Z42" s="12"/>
      <c r="AA42" s="13" t="s">
        <v>108</v>
      </c>
      <c r="AB42" s="13" t="s">
        <v>992</v>
      </c>
      <c r="AC42" s="14">
        <v>45851</v>
      </c>
      <c r="AD42" s="15">
        <v>28</v>
      </c>
      <c r="AE42" s="176" t="s">
        <v>2691</v>
      </c>
      <c r="AF42" s="12">
        <v>371008671</v>
      </c>
      <c r="AG42" s="12" t="s">
        <v>122</v>
      </c>
      <c r="AH42" s="12" t="s">
        <v>78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66</v>
      </c>
      <c r="AP42" s="12" t="s">
        <v>2687</v>
      </c>
      <c r="AQ42" s="12"/>
      <c r="AR42" s="12" t="s">
        <v>2688</v>
      </c>
      <c r="AS42" s="12" t="s">
        <v>2689</v>
      </c>
      <c r="AT42" s="12" t="s">
        <v>2689</v>
      </c>
      <c r="AU42" s="12">
        <v>55</v>
      </c>
      <c r="AV42" s="12" t="s">
        <v>83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2525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10">
      <c r="A43" s="11" t="s">
        <v>2692</v>
      </c>
      <c r="B43" s="12"/>
      <c r="C43" s="12" t="s">
        <v>2540</v>
      </c>
      <c r="D43" s="12" t="s">
        <v>63</v>
      </c>
      <c r="E43" s="12" t="s">
        <v>68</v>
      </c>
      <c r="F43" s="12" t="s">
        <v>68</v>
      </c>
      <c r="G43" s="12"/>
      <c r="H43" s="12" t="s">
        <v>66</v>
      </c>
      <c r="I43" s="12" t="s">
        <v>2541</v>
      </c>
      <c r="J43" s="34" t="s">
        <v>68</v>
      </c>
      <c r="K43" s="12"/>
      <c r="L43" s="13" t="s">
        <v>2542</v>
      </c>
      <c r="M43" s="12" t="s">
        <v>68</v>
      </c>
      <c r="N43" s="182"/>
      <c r="O43" s="12" t="s">
        <v>2520</v>
      </c>
      <c r="P43" s="12" t="s">
        <v>132</v>
      </c>
      <c r="Q43" s="12" t="s">
        <v>453</v>
      </c>
      <c r="R43" s="12">
        <v>554541</v>
      </c>
      <c r="S43" s="12" t="s">
        <v>454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75</v>
      </c>
      <c r="Z43" s="12"/>
      <c r="AA43" s="13" t="s">
        <v>108</v>
      </c>
      <c r="AB43" s="13" t="s">
        <v>967</v>
      </c>
      <c r="AC43" s="14">
        <v>45845</v>
      </c>
      <c r="AD43" s="15">
        <v>28</v>
      </c>
      <c r="AE43" s="176" t="s">
        <v>2693</v>
      </c>
      <c r="AF43" s="12">
        <v>371008569</v>
      </c>
      <c r="AG43" s="12" t="s">
        <v>122</v>
      </c>
      <c r="AH43" s="12" t="s">
        <v>314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66</v>
      </c>
      <c r="AP43" s="12" t="s">
        <v>2544</v>
      </c>
      <c r="AQ43" s="12"/>
      <c r="AR43" s="12" t="s">
        <v>2694</v>
      </c>
      <c r="AS43" s="12" t="s">
        <v>2695</v>
      </c>
      <c r="AT43" s="12" t="s">
        <v>2695</v>
      </c>
      <c r="AU43" s="12">
        <v>57</v>
      </c>
      <c r="AV43" s="12" t="s">
        <v>83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2525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10">
      <c r="A44" s="11" t="s">
        <v>2696</v>
      </c>
      <c r="B44" s="12"/>
      <c r="C44" s="12" t="s">
        <v>2540</v>
      </c>
      <c r="D44" s="12" t="s">
        <v>63</v>
      </c>
      <c r="E44" s="12" t="s">
        <v>68</v>
      </c>
      <c r="F44" s="12" t="s">
        <v>68</v>
      </c>
      <c r="G44" s="12"/>
      <c r="H44" s="12" t="s">
        <v>66</v>
      </c>
      <c r="I44" s="12" t="s">
        <v>2541</v>
      </c>
      <c r="J44" s="34" t="s">
        <v>68</v>
      </c>
      <c r="K44" s="12"/>
      <c r="L44" s="13" t="s">
        <v>2542</v>
      </c>
      <c r="M44" s="12" t="s">
        <v>68</v>
      </c>
      <c r="N44" s="182"/>
      <c r="O44" s="12" t="s">
        <v>2520</v>
      </c>
      <c r="P44" s="12" t="s">
        <v>132</v>
      </c>
      <c r="Q44" s="12" t="s">
        <v>453</v>
      </c>
      <c r="R44" s="12">
        <v>554541</v>
      </c>
      <c r="S44" s="12" t="s">
        <v>454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75</v>
      </c>
      <c r="Z44" s="12"/>
      <c r="AA44" s="13" t="s">
        <v>108</v>
      </c>
      <c r="AB44" s="13" t="s">
        <v>967</v>
      </c>
      <c r="AC44" s="14">
        <v>45845</v>
      </c>
      <c r="AD44" s="15">
        <v>28</v>
      </c>
      <c r="AE44" s="176" t="s">
        <v>2697</v>
      </c>
      <c r="AF44" s="12">
        <v>371008570</v>
      </c>
      <c r="AG44" s="12" t="s">
        <v>122</v>
      </c>
      <c r="AH44" s="12" t="s">
        <v>314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66</v>
      </c>
      <c r="AP44" s="12" t="s">
        <v>2544</v>
      </c>
      <c r="AQ44" s="12"/>
      <c r="AR44" s="12" t="s">
        <v>2698</v>
      </c>
      <c r="AS44" s="12" t="s">
        <v>2699</v>
      </c>
      <c r="AT44" s="12" t="s">
        <v>2699</v>
      </c>
      <c r="AU44" s="12">
        <v>57</v>
      </c>
      <c r="AV44" s="12" t="s">
        <v>83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2525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10">
      <c r="A45" s="11" t="s">
        <v>2700</v>
      </c>
      <c r="B45" s="12" t="s">
        <v>61</v>
      </c>
      <c r="C45" s="12" t="s">
        <v>569</v>
      </c>
      <c r="D45" s="12" t="s">
        <v>63</v>
      </c>
      <c r="E45" s="12" t="s">
        <v>68</v>
      </c>
      <c r="F45" s="12" t="s">
        <v>68</v>
      </c>
      <c r="G45" s="12"/>
      <c r="H45" s="12" t="s">
        <v>66</v>
      </c>
      <c r="I45" s="12" t="s">
        <v>2701</v>
      </c>
      <c r="J45" s="34" t="s">
        <v>68</v>
      </c>
      <c r="K45" s="12">
        <v>19142983</v>
      </c>
      <c r="L45" s="13" t="s">
        <v>2542</v>
      </c>
      <c r="M45" s="12" t="s">
        <v>68</v>
      </c>
      <c r="N45" s="182"/>
      <c r="O45" s="12" t="s">
        <v>2520</v>
      </c>
      <c r="P45" s="12" t="s">
        <v>70</v>
      </c>
      <c r="Q45" s="12" t="s">
        <v>2702</v>
      </c>
      <c r="R45" s="12">
        <v>554470</v>
      </c>
      <c r="S45" s="12" t="s">
        <v>571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75</v>
      </c>
      <c r="Z45" s="12"/>
      <c r="AA45" s="13" t="s">
        <v>2703</v>
      </c>
      <c r="AB45" s="13" t="s">
        <v>967</v>
      </c>
      <c r="AC45" s="14">
        <v>45846</v>
      </c>
      <c r="AD45" s="15">
        <v>28</v>
      </c>
      <c r="AE45" s="176" t="s">
        <v>2704</v>
      </c>
      <c r="AF45" s="12">
        <v>371008673</v>
      </c>
      <c r="AG45" s="12" t="s">
        <v>77</v>
      </c>
      <c r="AH45" s="12" t="s">
        <v>314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66</v>
      </c>
      <c r="AP45" s="12" t="s">
        <v>2705</v>
      </c>
      <c r="AQ45" s="12"/>
      <c r="AR45" s="12" t="s">
        <v>2706</v>
      </c>
      <c r="AS45" s="12" t="s">
        <v>2707</v>
      </c>
      <c r="AT45" s="12" t="s">
        <v>2707</v>
      </c>
      <c r="AU45" s="12">
        <v>62</v>
      </c>
      <c r="AV45" s="12" t="s">
        <v>83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2525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10">
      <c r="A46" s="11" t="s">
        <v>2708</v>
      </c>
      <c r="B46" s="12" t="s">
        <v>1888</v>
      </c>
      <c r="C46" s="12" t="s">
        <v>2709</v>
      </c>
      <c r="D46" s="12" t="s">
        <v>63</v>
      </c>
      <c r="E46" s="12" t="s">
        <v>68</v>
      </c>
      <c r="F46" s="12" t="s">
        <v>68</v>
      </c>
      <c r="G46" s="12"/>
      <c r="H46" s="12" t="s">
        <v>146</v>
      </c>
      <c r="I46" s="12" t="s">
        <v>2710</v>
      </c>
      <c r="J46" s="34" t="s">
        <v>68</v>
      </c>
      <c r="K46" s="12">
        <v>46010692</v>
      </c>
      <c r="L46" s="13" t="s">
        <v>2711</v>
      </c>
      <c r="M46" s="12" t="s">
        <v>68</v>
      </c>
      <c r="N46" s="182"/>
      <c r="O46" s="12" t="s">
        <v>2520</v>
      </c>
      <c r="P46" s="12" t="s">
        <v>70</v>
      </c>
      <c r="Q46" s="12" t="s">
        <v>71</v>
      </c>
      <c r="R46" s="12">
        <v>554475</v>
      </c>
      <c r="S46" s="12" t="s">
        <v>72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75</v>
      </c>
      <c r="Z46" s="12"/>
      <c r="AA46" s="13" t="s">
        <v>2703</v>
      </c>
      <c r="AB46" s="13" t="s">
        <v>967</v>
      </c>
      <c r="AC46" s="14">
        <v>45848</v>
      </c>
      <c r="AD46" s="15">
        <v>28</v>
      </c>
      <c r="AE46" s="176" t="s">
        <v>2712</v>
      </c>
      <c r="AF46" s="12">
        <v>371008674</v>
      </c>
      <c r="AG46" s="12" t="s">
        <v>122</v>
      </c>
      <c r="AH46" s="12" t="s">
        <v>78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146</v>
      </c>
      <c r="AP46" s="12" t="s">
        <v>2713</v>
      </c>
      <c r="AQ46" s="12"/>
      <c r="AR46" s="12">
        <v>46010692</v>
      </c>
      <c r="AS46" s="12" t="s">
        <v>2714</v>
      </c>
      <c r="AT46" s="12" t="s">
        <v>2714</v>
      </c>
      <c r="AU46" s="12">
        <v>58</v>
      </c>
      <c r="AV46" s="12" t="s">
        <v>2538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2525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2715</v>
      </c>
      <c r="B47" s="12" t="s">
        <v>1888</v>
      </c>
      <c r="C47" s="12" t="s">
        <v>2709</v>
      </c>
      <c r="D47" s="12" t="s">
        <v>63</v>
      </c>
      <c r="E47" s="12" t="s">
        <v>68</v>
      </c>
      <c r="F47" s="12" t="s">
        <v>68</v>
      </c>
      <c r="G47" s="12"/>
      <c r="H47" s="12" t="s">
        <v>146</v>
      </c>
      <c r="I47" s="12" t="s">
        <v>2716</v>
      </c>
      <c r="J47" s="34" t="s">
        <v>68</v>
      </c>
      <c r="K47" s="12">
        <v>46010684</v>
      </c>
      <c r="L47" s="13" t="s">
        <v>2711</v>
      </c>
      <c r="M47" s="12" t="s">
        <v>68</v>
      </c>
      <c r="N47" s="182"/>
      <c r="O47" s="12" t="s">
        <v>2520</v>
      </c>
      <c r="P47" s="12" t="s">
        <v>70</v>
      </c>
      <c r="Q47" s="12" t="s">
        <v>71</v>
      </c>
      <c r="R47" s="12">
        <v>554475</v>
      </c>
      <c r="S47" s="12" t="s">
        <v>72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75</v>
      </c>
      <c r="Z47" s="12"/>
      <c r="AA47" s="13" t="s">
        <v>2703</v>
      </c>
      <c r="AB47" s="13" t="s">
        <v>967</v>
      </c>
      <c r="AC47" s="14">
        <v>45848</v>
      </c>
      <c r="AD47" s="15">
        <v>28</v>
      </c>
      <c r="AE47" s="176" t="s">
        <v>2717</v>
      </c>
      <c r="AF47" s="12" t="s">
        <v>2718</v>
      </c>
      <c r="AG47" s="12" t="s">
        <v>122</v>
      </c>
      <c r="AH47" s="12" t="s">
        <v>78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146</v>
      </c>
      <c r="AP47" s="12" t="s">
        <v>2713</v>
      </c>
      <c r="AQ47" s="12"/>
      <c r="AR47" s="12" t="s">
        <v>2719</v>
      </c>
      <c r="AS47" s="12" t="s">
        <v>2720</v>
      </c>
      <c r="AT47" s="12" t="s">
        <v>2720</v>
      </c>
      <c r="AU47" s="12">
        <v>58</v>
      </c>
      <c r="AV47" s="12" t="s">
        <v>83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2525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10">
      <c r="A48" s="11" t="s">
        <v>2721</v>
      </c>
      <c r="B48" s="12" t="s">
        <v>1888</v>
      </c>
      <c r="C48" s="12" t="s">
        <v>2722</v>
      </c>
      <c r="D48" s="12" t="s">
        <v>63</v>
      </c>
      <c r="E48" s="12" t="s">
        <v>68</v>
      </c>
      <c r="F48" s="12" t="s">
        <v>68</v>
      </c>
      <c r="G48" s="12"/>
      <c r="H48" s="12" t="s">
        <v>66</v>
      </c>
      <c r="I48" s="12" t="s">
        <v>2701</v>
      </c>
      <c r="J48" s="34" t="s">
        <v>68</v>
      </c>
      <c r="K48" s="12">
        <v>19142984</v>
      </c>
      <c r="L48" s="13" t="s">
        <v>2542</v>
      </c>
      <c r="M48" s="12" t="s">
        <v>68</v>
      </c>
      <c r="N48" s="182"/>
      <c r="O48" s="12" t="s">
        <v>2520</v>
      </c>
      <c r="P48" s="12" t="s">
        <v>70</v>
      </c>
      <c r="Q48" s="12" t="s">
        <v>420</v>
      </c>
      <c r="R48" s="12">
        <v>554476</v>
      </c>
      <c r="S48" s="12" t="s">
        <v>421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75</v>
      </c>
      <c r="Z48" s="12"/>
      <c r="AA48" s="13" t="s">
        <v>2703</v>
      </c>
      <c r="AB48" s="13" t="s">
        <v>992</v>
      </c>
      <c r="AC48" s="14">
        <v>45850</v>
      </c>
      <c r="AD48" s="15">
        <v>28</v>
      </c>
      <c r="AE48" s="176" t="s">
        <v>2723</v>
      </c>
      <c r="AF48" s="12">
        <v>371008678</v>
      </c>
      <c r="AG48" s="12" t="s">
        <v>122</v>
      </c>
      <c r="AH48" s="12" t="s">
        <v>314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66</v>
      </c>
      <c r="AP48" s="12" t="s">
        <v>2687</v>
      </c>
      <c r="AQ48" s="12"/>
      <c r="AR48" s="12" t="s">
        <v>2724</v>
      </c>
      <c r="AS48" s="12" t="s">
        <v>2725</v>
      </c>
      <c r="AT48" s="12" t="s">
        <v>2725</v>
      </c>
      <c r="AU48" s="12">
        <v>51</v>
      </c>
      <c r="AV48" s="12" t="s">
        <v>83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2525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10">
      <c r="A49" s="11" t="s">
        <v>2726</v>
      </c>
      <c r="B49" s="12" t="s">
        <v>1888</v>
      </c>
      <c r="C49" s="12" t="s">
        <v>2709</v>
      </c>
      <c r="D49" s="12" t="s">
        <v>63</v>
      </c>
      <c r="E49" s="12" t="s">
        <v>68</v>
      </c>
      <c r="F49" s="12" t="s">
        <v>68</v>
      </c>
      <c r="G49" s="12"/>
      <c r="H49" s="12" t="s">
        <v>66</v>
      </c>
      <c r="I49" s="12" t="s">
        <v>2701</v>
      </c>
      <c r="J49" s="34" t="s">
        <v>68</v>
      </c>
      <c r="K49" s="12">
        <v>19142984</v>
      </c>
      <c r="L49" s="13" t="s">
        <v>2542</v>
      </c>
      <c r="M49" s="12" t="s">
        <v>68</v>
      </c>
      <c r="N49" s="182"/>
      <c r="O49" s="12" t="s">
        <v>2520</v>
      </c>
      <c r="P49" s="12" t="s">
        <v>70</v>
      </c>
      <c r="Q49" s="12" t="s">
        <v>71</v>
      </c>
      <c r="R49" s="12">
        <v>554475</v>
      </c>
      <c r="S49" s="12" t="s">
        <v>72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75</v>
      </c>
      <c r="Z49" s="12"/>
      <c r="AA49" s="13" t="s">
        <v>2703</v>
      </c>
      <c r="AB49" s="13" t="s">
        <v>967</v>
      </c>
      <c r="AC49" s="14">
        <v>45850</v>
      </c>
      <c r="AD49" s="15">
        <v>28</v>
      </c>
      <c r="AE49" s="176" t="s">
        <v>2727</v>
      </c>
      <c r="AF49" s="12">
        <v>371008677</v>
      </c>
      <c r="AG49" s="12" t="s">
        <v>122</v>
      </c>
      <c r="AH49" s="12" t="s">
        <v>314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66</v>
      </c>
      <c r="AP49" s="12" t="s">
        <v>2687</v>
      </c>
      <c r="AQ49" s="12"/>
      <c r="AR49" s="12" t="s">
        <v>2724</v>
      </c>
      <c r="AS49" s="12" t="s">
        <v>2725</v>
      </c>
      <c r="AT49" s="12" t="s">
        <v>2725</v>
      </c>
      <c r="AU49" s="12">
        <v>51</v>
      </c>
      <c r="AV49" s="12" t="s">
        <v>83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2525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10">
      <c r="A50" s="11" t="s">
        <v>2728</v>
      </c>
      <c r="B50" s="12" t="s">
        <v>111</v>
      </c>
      <c r="C50" s="12" t="s">
        <v>2662</v>
      </c>
      <c r="D50" s="12" t="s">
        <v>63</v>
      </c>
      <c r="E50" s="12" t="s">
        <v>64</v>
      </c>
      <c r="F50" s="12" t="s">
        <v>65</v>
      </c>
      <c r="G50" s="12" t="s">
        <v>67</v>
      </c>
      <c r="H50" s="12" t="s">
        <v>66</v>
      </c>
      <c r="I50" s="12" t="s">
        <v>96</v>
      </c>
      <c r="J50" s="34" t="s">
        <v>68</v>
      </c>
      <c r="K50" s="12"/>
      <c r="L50" s="13" t="s">
        <v>2519</v>
      </c>
      <c r="M50" s="213" t="s">
        <v>68</v>
      </c>
      <c r="N50" s="182"/>
      <c r="O50" s="12" t="s">
        <v>2520</v>
      </c>
      <c r="P50" s="12" t="s">
        <v>2655</v>
      </c>
      <c r="Q50" s="12" t="s">
        <v>2663</v>
      </c>
      <c r="R50" s="12">
        <v>553097</v>
      </c>
      <c r="S50" s="12" t="s">
        <v>2664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75</v>
      </c>
      <c r="Z50" s="12"/>
      <c r="AA50" s="13" t="s">
        <v>108</v>
      </c>
      <c r="AB50" s="13" t="s">
        <v>992</v>
      </c>
      <c r="AC50" s="14">
        <v>45855</v>
      </c>
      <c r="AD50" s="15">
        <v>29</v>
      </c>
      <c r="AE50" s="176" t="s">
        <v>2729</v>
      </c>
      <c r="AF50" s="12">
        <v>371008683</v>
      </c>
      <c r="AG50" s="12" t="s">
        <v>122</v>
      </c>
      <c r="AH50" s="12" t="s">
        <v>78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66</v>
      </c>
      <c r="AP50" s="12" t="s">
        <v>2730</v>
      </c>
      <c r="AQ50" s="12"/>
      <c r="AR50" s="12" t="s">
        <v>2731</v>
      </c>
      <c r="AS50" s="12" t="s">
        <v>2732</v>
      </c>
      <c r="AT50" s="12" t="s">
        <v>2732</v>
      </c>
      <c r="AU50" s="12">
        <v>50</v>
      </c>
      <c r="AV50" s="12" t="s">
        <v>83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2525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10">
      <c r="A51" s="11" t="s">
        <v>2733</v>
      </c>
      <c r="B51" s="12" t="s">
        <v>111</v>
      </c>
      <c r="C51" s="12" t="s">
        <v>2554</v>
      </c>
      <c r="D51" s="12" t="s">
        <v>63</v>
      </c>
      <c r="E51" s="12" t="s">
        <v>68</v>
      </c>
      <c r="F51" s="12" t="s">
        <v>68</v>
      </c>
      <c r="G51" s="12"/>
      <c r="H51" s="12" t="s">
        <v>66</v>
      </c>
      <c r="I51" s="12" t="s">
        <v>1559</v>
      </c>
      <c r="J51" s="34" t="s">
        <v>68</v>
      </c>
      <c r="K51" s="12"/>
      <c r="L51" s="13" t="s">
        <v>2542</v>
      </c>
      <c r="M51" s="12" t="s">
        <v>68</v>
      </c>
      <c r="N51" s="182"/>
      <c r="O51" s="12" t="s">
        <v>2520</v>
      </c>
      <c r="P51" s="12" t="s">
        <v>170</v>
      </c>
      <c r="Q51" s="12" t="s">
        <v>462</v>
      </c>
      <c r="R51" s="12">
        <v>552026</v>
      </c>
      <c r="S51" s="12" t="s">
        <v>463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75</v>
      </c>
      <c r="Z51" s="12"/>
      <c r="AA51" s="13" t="s">
        <v>108</v>
      </c>
      <c r="AB51" s="13" t="s">
        <v>1187</v>
      </c>
      <c r="AC51" s="14">
        <v>45855</v>
      </c>
      <c r="AD51" s="15">
        <v>29</v>
      </c>
      <c r="AE51" s="176" t="s">
        <v>2734</v>
      </c>
      <c r="AF51" s="12">
        <v>371008687</v>
      </c>
      <c r="AG51" s="12" t="s">
        <v>122</v>
      </c>
      <c r="AH51" s="12" t="s">
        <v>1561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66</v>
      </c>
      <c r="AP51" s="12" t="s">
        <v>2687</v>
      </c>
      <c r="AQ51" s="12"/>
      <c r="AR51" s="12" t="s">
        <v>2735</v>
      </c>
      <c r="AS51" s="12" t="s">
        <v>2736</v>
      </c>
      <c r="AT51" s="12" t="s">
        <v>2736</v>
      </c>
      <c r="AU51" s="12">
        <v>49</v>
      </c>
      <c r="AV51" s="12" t="s">
        <v>83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2525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10">
      <c r="A52" s="11" t="s">
        <v>2737</v>
      </c>
      <c r="B52" s="12" t="s">
        <v>111</v>
      </c>
      <c r="C52" s="12" t="s">
        <v>2662</v>
      </c>
      <c r="D52" s="12" t="s">
        <v>63</v>
      </c>
      <c r="E52" s="12" t="s">
        <v>64</v>
      </c>
      <c r="F52" s="12" t="s">
        <v>65</v>
      </c>
      <c r="G52" s="12" t="s">
        <v>67</v>
      </c>
      <c r="H52" s="12" t="s">
        <v>66</v>
      </c>
      <c r="I52" s="12" t="s">
        <v>96</v>
      </c>
      <c r="J52" s="34" t="s">
        <v>68</v>
      </c>
      <c r="K52" s="12"/>
      <c r="L52" s="13" t="s">
        <v>2519</v>
      </c>
      <c r="M52" s="213" t="s">
        <v>68</v>
      </c>
      <c r="N52" s="182"/>
      <c r="O52" s="12" t="s">
        <v>2520</v>
      </c>
      <c r="P52" s="12" t="s">
        <v>2655</v>
      </c>
      <c r="Q52" s="12" t="s">
        <v>2663</v>
      </c>
      <c r="R52" s="12">
        <v>553097</v>
      </c>
      <c r="S52" s="12" t="s">
        <v>2664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75</v>
      </c>
      <c r="Z52" s="12"/>
      <c r="AA52" s="13" t="s">
        <v>108</v>
      </c>
      <c r="AB52" s="13" t="s">
        <v>992</v>
      </c>
      <c r="AC52" s="14">
        <v>45856</v>
      </c>
      <c r="AD52" s="15">
        <v>29</v>
      </c>
      <c r="AE52" s="176" t="s">
        <v>2738</v>
      </c>
      <c r="AF52" s="12">
        <v>371008684</v>
      </c>
      <c r="AG52" s="12" t="s">
        <v>122</v>
      </c>
      <c r="AH52" s="12" t="s">
        <v>78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66</v>
      </c>
      <c r="AP52" s="12" t="s">
        <v>2687</v>
      </c>
      <c r="AQ52" s="12"/>
      <c r="AR52" s="12" t="s">
        <v>2739</v>
      </c>
      <c r="AS52" s="12" t="s">
        <v>2740</v>
      </c>
      <c r="AT52" s="12" t="s">
        <v>2740</v>
      </c>
      <c r="AU52" s="12">
        <v>61</v>
      </c>
      <c r="AV52" s="12" t="s">
        <v>83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2525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10">
      <c r="A53" s="11" t="s">
        <v>2741</v>
      </c>
      <c r="B53" s="12" t="s">
        <v>111</v>
      </c>
      <c r="C53" s="12" t="s">
        <v>2742</v>
      </c>
      <c r="D53" s="12" t="s">
        <v>63</v>
      </c>
      <c r="E53" s="12" t="s">
        <v>64</v>
      </c>
      <c r="F53" s="12" t="s">
        <v>65</v>
      </c>
      <c r="G53" s="12" t="s">
        <v>67</v>
      </c>
      <c r="H53" s="12" t="s">
        <v>66</v>
      </c>
      <c r="I53" s="12" t="s">
        <v>2743</v>
      </c>
      <c r="J53" s="34" t="s">
        <v>68</v>
      </c>
      <c r="K53" s="12">
        <v>46010175</v>
      </c>
      <c r="L53" s="13" t="s">
        <v>2711</v>
      </c>
      <c r="M53" s="213" t="s">
        <v>68</v>
      </c>
      <c r="N53" s="182"/>
      <c r="O53" s="12" t="s">
        <v>2520</v>
      </c>
      <c r="P53" s="12" t="s">
        <v>550</v>
      </c>
      <c r="Q53" s="12" t="s">
        <v>2744</v>
      </c>
      <c r="R53" s="12">
        <v>553120</v>
      </c>
      <c r="S53" s="12" t="s">
        <v>2745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75</v>
      </c>
      <c r="Z53" s="12"/>
      <c r="AA53" s="13" t="s">
        <v>85</v>
      </c>
      <c r="AB53" s="13" t="s">
        <v>2136</v>
      </c>
      <c r="AC53" s="14">
        <v>45856</v>
      </c>
      <c r="AD53" s="15">
        <v>29</v>
      </c>
      <c r="AE53" s="176" t="s">
        <v>2746</v>
      </c>
      <c r="AF53" s="12">
        <v>371008682</v>
      </c>
      <c r="AG53" s="12" t="s">
        <v>122</v>
      </c>
      <c r="AH53" s="12" t="s">
        <v>78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66</v>
      </c>
      <c r="AP53" s="12" t="s">
        <v>2687</v>
      </c>
      <c r="AQ53" s="12"/>
      <c r="AR53" s="12" t="s">
        <v>2739</v>
      </c>
      <c r="AS53" s="12" t="s">
        <v>2740</v>
      </c>
      <c r="AT53" s="12" t="s">
        <v>2740</v>
      </c>
      <c r="AU53" s="12">
        <v>61</v>
      </c>
      <c r="AV53" s="12" t="s">
        <v>83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2525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10">
      <c r="A54" s="11" t="s">
        <v>2747</v>
      </c>
      <c r="B54" s="12" t="s">
        <v>61</v>
      </c>
      <c r="C54" s="12" t="s">
        <v>569</v>
      </c>
      <c r="D54" s="12" t="s">
        <v>63</v>
      </c>
      <c r="E54" s="12" t="s">
        <v>68</v>
      </c>
      <c r="F54" s="12" t="s">
        <v>68</v>
      </c>
      <c r="G54" s="12"/>
      <c r="H54" s="12" t="s">
        <v>66</v>
      </c>
      <c r="I54" s="12" t="s">
        <v>2701</v>
      </c>
      <c r="J54" s="34" t="s">
        <v>68</v>
      </c>
      <c r="K54" s="12"/>
      <c r="L54" s="13" t="s">
        <v>2542</v>
      </c>
      <c r="M54" s="12" t="s">
        <v>68</v>
      </c>
      <c r="N54" s="182"/>
      <c r="O54" s="12" t="s">
        <v>2520</v>
      </c>
      <c r="P54" s="12" t="s">
        <v>70</v>
      </c>
      <c r="Q54" s="12" t="s">
        <v>2702</v>
      </c>
      <c r="R54" s="12">
        <v>554470</v>
      </c>
      <c r="S54" s="12" t="s">
        <v>571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75</v>
      </c>
      <c r="Z54" s="12"/>
      <c r="AA54" s="13" t="s">
        <v>2703</v>
      </c>
      <c r="AB54" s="13" t="s">
        <v>967</v>
      </c>
      <c r="AC54" s="14">
        <v>45856</v>
      </c>
      <c r="AD54" s="15">
        <v>29</v>
      </c>
      <c r="AE54" s="176" t="s">
        <v>2748</v>
      </c>
      <c r="AF54" s="12">
        <v>371008699</v>
      </c>
      <c r="AG54" s="12" t="s">
        <v>77</v>
      </c>
      <c r="AH54" s="12" t="s">
        <v>314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66</v>
      </c>
      <c r="AP54" s="12" t="s">
        <v>2749</v>
      </c>
      <c r="AQ54" s="12"/>
      <c r="AR54" s="12" t="s">
        <v>2750</v>
      </c>
      <c r="AS54" s="12" t="s">
        <v>2751</v>
      </c>
      <c r="AT54" s="12" t="s">
        <v>2751</v>
      </c>
      <c r="AU54" s="12">
        <v>67</v>
      </c>
      <c r="AV54" s="12" t="s">
        <v>83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2525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10">
      <c r="A55" s="11" t="s">
        <v>2752</v>
      </c>
      <c r="B55" s="12" t="s">
        <v>61</v>
      </c>
      <c r="C55" s="12" t="s">
        <v>569</v>
      </c>
      <c r="D55" s="12" t="s">
        <v>63</v>
      </c>
      <c r="E55" s="12" t="s">
        <v>68</v>
      </c>
      <c r="F55" s="12" t="s">
        <v>68</v>
      </c>
      <c r="G55" s="12"/>
      <c r="H55" s="12" t="s">
        <v>66</v>
      </c>
      <c r="I55" s="12" t="s">
        <v>2753</v>
      </c>
      <c r="J55" s="34" t="s">
        <v>68</v>
      </c>
      <c r="K55" s="12" t="s">
        <v>2754</v>
      </c>
      <c r="L55" s="13" t="s">
        <v>2542</v>
      </c>
      <c r="M55" s="12" t="s">
        <v>68</v>
      </c>
      <c r="N55" s="182"/>
      <c r="O55" s="12" t="s">
        <v>2520</v>
      </c>
      <c r="P55" s="12" t="s">
        <v>70</v>
      </c>
      <c r="Q55" s="12" t="s">
        <v>2702</v>
      </c>
      <c r="R55" s="12">
        <v>554470</v>
      </c>
      <c r="S55" s="12" t="s">
        <v>571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75</v>
      </c>
      <c r="Z55" s="12"/>
      <c r="AA55" s="13" t="s">
        <v>2703</v>
      </c>
      <c r="AB55" s="13" t="s">
        <v>967</v>
      </c>
      <c r="AC55" s="14">
        <v>45857</v>
      </c>
      <c r="AD55" s="15">
        <v>29</v>
      </c>
      <c r="AE55" s="176" t="s">
        <v>2755</v>
      </c>
      <c r="AF55" s="12">
        <v>371008700</v>
      </c>
      <c r="AG55" s="12" t="s">
        <v>77</v>
      </c>
      <c r="AH55" s="12" t="s">
        <v>314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66</v>
      </c>
      <c r="AP55" s="12" t="s">
        <v>2749</v>
      </c>
      <c r="AQ55" s="12"/>
      <c r="AR55" s="12" t="s">
        <v>2756</v>
      </c>
      <c r="AS55" s="12" t="s">
        <v>2757</v>
      </c>
      <c r="AT55" s="12" t="s">
        <v>2757</v>
      </c>
      <c r="AU55" s="12">
        <v>67</v>
      </c>
      <c r="AV55" s="12" t="s">
        <v>83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2525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10">
      <c r="A56" s="11" t="s">
        <v>2758</v>
      </c>
      <c r="B56" s="12" t="s">
        <v>61</v>
      </c>
      <c r="C56" s="12" t="s">
        <v>2759</v>
      </c>
      <c r="D56" s="12" t="s">
        <v>63</v>
      </c>
      <c r="E56" s="12" t="s">
        <v>68</v>
      </c>
      <c r="F56" s="12" t="s">
        <v>68</v>
      </c>
      <c r="G56" s="12"/>
      <c r="H56" s="12" t="s">
        <v>66</v>
      </c>
      <c r="I56" s="12" t="s">
        <v>2701</v>
      </c>
      <c r="J56" s="34" t="s">
        <v>68</v>
      </c>
      <c r="K56" s="12">
        <v>19143010</v>
      </c>
      <c r="L56" s="13" t="s">
        <v>2542</v>
      </c>
      <c r="M56" s="12" t="s">
        <v>68</v>
      </c>
      <c r="N56" s="182"/>
      <c r="O56" s="12" t="s">
        <v>2520</v>
      </c>
      <c r="P56" s="12" t="s">
        <v>70</v>
      </c>
      <c r="Q56" s="12" t="s">
        <v>195</v>
      </c>
      <c r="R56" s="12">
        <v>554473</v>
      </c>
      <c r="S56" s="12" t="s">
        <v>196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75</v>
      </c>
      <c r="Z56" s="12"/>
      <c r="AA56" s="13" t="s">
        <v>2703</v>
      </c>
      <c r="AB56" s="13" t="s">
        <v>967</v>
      </c>
      <c r="AC56" s="14">
        <v>45856</v>
      </c>
      <c r="AD56" s="15">
        <v>29</v>
      </c>
      <c r="AE56" s="176" t="s">
        <v>2760</v>
      </c>
      <c r="AF56" s="12">
        <v>371008703</v>
      </c>
      <c r="AG56" s="12" t="s">
        <v>77</v>
      </c>
      <c r="AH56" s="12" t="s">
        <v>314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66</v>
      </c>
      <c r="AP56" s="12" t="s">
        <v>2749</v>
      </c>
      <c r="AQ56" s="12"/>
      <c r="AR56" s="12" t="s">
        <v>2750</v>
      </c>
      <c r="AS56" s="12" t="s">
        <v>2751</v>
      </c>
      <c r="AT56" s="12" t="s">
        <v>2761</v>
      </c>
      <c r="AU56" s="12">
        <v>67</v>
      </c>
      <c r="AV56" s="12" t="s">
        <v>83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2525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10">
      <c r="A57" s="11" t="s">
        <v>2762</v>
      </c>
      <c r="B57" s="12" t="s">
        <v>61</v>
      </c>
      <c r="C57" s="12" t="s">
        <v>2763</v>
      </c>
      <c r="D57" s="12" t="s">
        <v>63</v>
      </c>
      <c r="E57" s="12" t="s">
        <v>68</v>
      </c>
      <c r="F57" s="12" t="s">
        <v>68</v>
      </c>
      <c r="G57" s="12"/>
      <c r="H57" s="12" t="s">
        <v>146</v>
      </c>
      <c r="I57" s="12" t="s">
        <v>1081</v>
      </c>
      <c r="J57" s="34" t="s">
        <v>68</v>
      </c>
      <c r="K57" s="12">
        <v>46010730</v>
      </c>
      <c r="L57" s="13" t="s">
        <v>2764</v>
      </c>
      <c r="M57" s="12" t="s">
        <v>68</v>
      </c>
      <c r="N57" s="182"/>
      <c r="O57" s="12" t="s">
        <v>2520</v>
      </c>
      <c r="P57" s="12" t="s">
        <v>70</v>
      </c>
      <c r="Q57" s="12" t="s">
        <v>2765</v>
      </c>
      <c r="R57" s="12">
        <v>554236</v>
      </c>
      <c r="S57" s="12" t="s">
        <v>2766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75</v>
      </c>
      <c r="Z57" s="12"/>
      <c r="AA57" s="13" t="s">
        <v>2703</v>
      </c>
      <c r="AB57" s="32" t="s">
        <v>992</v>
      </c>
      <c r="AC57" s="14">
        <v>45857</v>
      </c>
      <c r="AD57" s="15">
        <v>29</v>
      </c>
      <c r="AE57" s="176" t="s">
        <v>2767</v>
      </c>
      <c r="AF57" s="12">
        <v>371008710</v>
      </c>
      <c r="AG57" s="12" t="s">
        <v>77</v>
      </c>
      <c r="AH57" s="12" t="s">
        <v>105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146</v>
      </c>
      <c r="AP57" s="12" t="s">
        <v>2749</v>
      </c>
      <c r="AQ57" s="12"/>
      <c r="AR57" s="12">
        <v>46010730</v>
      </c>
      <c r="AS57" s="12" t="s">
        <v>2768</v>
      </c>
      <c r="AT57" s="12" t="s">
        <v>2768</v>
      </c>
      <c r="AU57" s="12">
        <v>62</v>
      </c>
      <c r="AV57" s="12" t="s">
        <v>2538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2525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10">
      <c r="A58" s="11" t="s">
        <v>2769</v>
      </c>
      <c r="B58" s="12" t="s">
        <v>61</v>
      </c>
      <c r="C58" s="12" t="s">
        <v>2759</v>
      </c>
      <c r="D58" s="12" t="s">
        <v>63</v>
      </c>
      <c r="E58" s="12" t="s">
        <v>68</v>
      </c>
      <c r="F58" s="12" t="s">
        <v>68</v>
      </c>
      <c r="G58" s="12"/>
      <c r="H58" s="12" t="s">
        <v>146</v>
      </c>
      <c r="I58" s="12" t="s">
        <v>2770</v>
      </c>
      <c r="J58" s="34" t="s">
        <v>68</v>
      </c>
      <c r="K58" s="12">
        <v>46010725</v>
      </c>
      <c r="L58" s="13" t="s">
        <v>2534</v>
      </c>
      <c r="M58" s="12" t="s">
        <v>68</v>
      </c>
      <c r="N58" s="182"/>
      <c r="O58" s="12" t="s">
        <v>2520</v>
      </c>
      <c r="P58" s="12" t="s">
        <v>70</v>
      </c>
      <c r="Q58" s="12" t="s">
        <v>195</v>
      </c>
      <c r="R58" s="12">
        <v>554473</v>
      </c>
      <c r="S58" s="12" t="s">
        <v>196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75</v>
      </c>
      <c r="Z58" s="12"/>
      <c r="AA58" s="13" t="s">
        <v>2703</v>
      </c>
      <c r="AB58" s="13" t="s">
        <v>967</v>
      </c>
      <c r="AC58" s="14">
        <v>45858</v>
      </c>
      <c r="AD58" s="15">
        <v>29</v>
      </c>
      <c r="AE58" s="176" t="s">
        <v>2771</v>
      </c>
      <c r="AF58" s="12">
        <v>371008702</v>
      </c>
      <c r="AG58" s="12" t="s">
        <v>77</v>
      </c>
      <c r="AH58" s="12" t="s">
        <v>2772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146</v>
      </c>
      <c r="AP58" s="12" t="s">
        <v>2773</v>
      </c>
      <c r="AQ58" s="12"/>
      <c r="AR58" s="12">
        <v>46010725</v>
      </c>
      <c r="AS58" s="12" t="s">
        <v>2774</v>
      </c>
      <c r="AT58" s="12" t="s">
        <v>2774</v>
      </c>
      <c r="AU58" s="12">
        <v>69</v>
      </c>
      <c r="AV58" s="12" t="s">
        <v>2538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2525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10">
      <c r="A59" s="11" t="s">
        <v>2775</v>
      </c>
      <c r="B59" s="12" t="s">
        <v>61</v>
      </c>
      <c r="C59" s="12" t="s">
        <v>2759</v>
      </c>
      <c r="D59" s="12" t="s">
        <v>63</v>
      </c>
      <c r="E59" s="12" t="s">
        <v>64</v>
      </c>
      <c r="F59" s="12" t="s">
        <v>100</v>
      </c>
      <c r="G59" s="12" t="s">
        <v>67</v>
      </c>
      <c r="H59" s="12" t="s">
        <v>66</v>
      </c>
      <c r="I59" s="12" t="s">
        <v>2776</v>
      </c>
      <c r="J59" s="34" t="s">
        <v>68</v>
      </c>
      <c r="K59" s="12">
        <v>14130647</v>
      </c>
      <c r="L59" s="13" t="s">
        <v>2777</v>
      </c>
      <c r="M59" s="213" t="s">
        <v>68</v>
      </c>
      <c r="N59" s="182"/>
      <c r="O59" s="12" t="s">
        <v>2520</v>
      </c>
      <c r="P59" s="12" t="s">
        <v>70</v>
      </c>
      <c r="Q59" s="12" t="s">
        <v>195</v>
      </c>
      <c r="R59" s="12">
        <v>554473</v>
      </c>
      <c r="S59" s="12" t="s">
        <v>196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75</v>
      </c>
      <c r="Z59" s="12"/>
      <c r="AA59" s="13" t="s">
        <v>2703</v>
      </c>
      <c r="AB59" s="13" t="s">
        <v>967</v>
      </c>
      <c r="AC59" s="14">
        <v>45857</v>
      </c>
      <c r="AD59" s="15">
        <v>29</v>
      </c>
      <c r="AE59" s="176" t="s">
        <v>2778</v>
      </c>
      <c r="AF59" s="12">
        <v>371008701</v>
      </c>
      <c r="AG59" s="12" t="s">
        <v>77</v>
      </c>
      <c r="AH59" s="12" t="s">
        <v>105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66</v>
      </c>
      <c r="AP59" s="12" t="s">
        <v>2749</v>
      </c>
      <c r="AQ59" s="12"/>
      <c r="AR59" s="12" t="s">
        <v>2779</v>
      </c>
      <c r="AS59" s="12" t="s">
        <v>2780</v>
      </c>
      <c r="AT59" s="12" t="s">
        <v>2780</v>
      </c>
      <c r="AU59" s="12">
        <v>62</v>
      </c>
      <c r="AV59" s="12" t="s">
        <v>83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2525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10">
      <c r="A60" s="11" t="s">
        <v>2781</v>
      </c>
      <c r="B60" s="12" t="s">
        <v>1888</v>
      </c>
      <c r="C60" s="12" t="s">
        <v>2709</v>
      </c>
      <c r="D60" s="12" t="s">
        <v>63</v>
      </c>
      <c r="E60" s="12" t="s">
        <v>68</v>
      </c>
      <c r="F60" s="12" t="s">
        <v>68</v>
      </c>
      <c r="G60" s="12"/>
      <c r="H60" s="12" t="s">
        <v>66</v>
      </c>
      <c r="I60" s="12" t="s">
        <v>2701</v>
      </c>
      <c r="J60" s="34" t="s">
        <v>68</v>
      </c>
      <c r="K60" s="12">
        <v>19142984</v>
      </c>
      <c r="L60" s="13" t="s">
        <v>2542</v>
      </c>
      <c r="M60" s="12" t="s">
        <v>68</v>
      </c>
      <c r="N60" s="182"/>
      <c r="O60" s="12" t="s">
        <v>2520</v>
      </c>
      <c r="P60" s="12" t="s">
        <v>70</v>
      </c>
      <c r="Q60" s="12" t="s">
        <v>71</v>
      </c>
      <c r="R60" s="12">
        <v>554475</v>
      </c>
      <c r="S60" s="12" t="s">
        <v>72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75</v>
      </c>
      <c r="Z60" s="12"/>
      <c r="AA60" s="13" t="s">
        <v>2703</v>
      </c>
      <c r="AB60" s="13" t="s">
        <v>967</v>
      </c>
      <c r="AC60" s="14">
        <v>45855</v>
      </c>
      <c r="AD60" s="15">
        <v>29</v>
      </c>
      <c r="AE60" s="176" t="s">
        <v>2782</v>
      </c>
      <c r="AF60" s="12">
        <v>371008685</v>
      </c>
      <c r="AG60" s="12" t="s">
        <v>122</v>
      </c>
      <c r="AH60" s="12" t="s">
        <v>314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66</v>
      </c>
      <c r="AP60" s="12" t="s">
        <v>2783</v>
      </c>
      <c r="AQ60" s="12"/>
      <c r="AR60" s="12" t="s">
        <v>2784</v>
      </c>
      <c r="AS60" s="12" t="s">
        <v>2785</v>
      </c>
      <c r="AT60" s="12" t="s">
        <v>2785</v>
      </c>
      <c r="AU60" s="12">
        <v>47</v>
      </c>
      <c r="AV60" s="12" t="s">
        <v>83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2525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10">
      <c r="A61" s="11" t="s">
        <v>2786</v>
      </c>
      <c r="B61" s="12" t="s">
        <v>111</v>
      </c>
      <c r="C61" s="12" t="s">
        <v>2554</v>
      </c>
      <c r="D61" s="12" t="s">
        <v>63</v>
      </c>
      <c r="E61" s="12" t="s">
        <v>64</v>
      </c>
      <c r="F61" s="12" t="s">
        <v>65</v>
      </c>
      <c r="G61" s="12" t="s">
        <v>67</v>
      </c>
      <c r="H61" s="12" t="s">
        <v>66</v>
      </c>
      <c r="I61" s="12" t="s">
        <v>96</v>
      </c>
      <c r="J61" s="34" t="s">
        <v>68</v>
      </c>
      <c r="K61" s="12"/>
      <c r="L61" s="13" t="s">
        <v>2519</v>
      </c>
      <c r="M61" s="213" t="s">
        <v>68</v>
      </c>
      <c r="N61" s="182"/>
      <c r="O61" s="12" t="s">
        <v>2520</v>
      </c>
      <c r="P61" s="12" t="s">
        <v>170</v>
      </c>
      <c r="Q61" s="12" t="s">
        <v>462</v>
      </c>
      <c r="R61" s="12">
        <v>552026</v>
      </c>
      <c r="S61" s="12" t="s">
        <v>463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75</v>
      </c>
      <c r="Z61" s="12"/>
      <c r="AA61" s="13" t="s">
        <v>108</v>
      </c>
      <c r="AB61" s="13" t="s">
        <v>1187</v>
      </c>
      <c r="AC61" s="14">
        <v>45863</v>
      </c>
      <c r="AD61" s="15">
        <v>30</v>
      </c>
      <c r="AE61" s="176" t="s">
        <v>2787</v>
      </c>
      <c r="AF61" s="12">
        <v>371008686</v>
      </c>
      <c r="AG61" s="12" t="s">
        <v>122</v>
      </c>
      <c r="AH61" s="12" t="s">
        <v>78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66</v>
      </c>
      <c r="AP61" s="12" t="s">
        <v>2687</v>
      </c>
      <c r="AQ61" s="12"/>
      <c r="AR61" s="12" t="s">
        <v>2739</v>
      </c>
      <c r="AS61" s="12" t="s">
        <v>2740</v>
      </c>
      <c r="AT61" s="12" t="s">
        <v>2740</v>
      </c>
      <c r="AU61" s="12">
        <v>61</v>
      </c>
      <c r="AV61" s="12" t="s">
        <v>83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2525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10">
      <c r="A62" s="11" t="s">
        <v>2788</v>
      </c>
      <c r="B62" s="12" t="s">
        <v>111</v>
      </c>
      <c r="C62" s="12" t="s">
        <v>2789</v>
      </c>
      <c r="D62" s="12" t="s">
        <v>63</v>
      </c>
      <c r="E62" s="12" t="s">
        <v>68</v>
      </c>
      <c r="F62" s="12" t="s">
        <v>68</v>
      </c>
      <c r="G62" s="12"/>
      <c r="H62" s="12" t="s">
        <v>66</v>
      </c>
      <c r="I62" s="12" t="s">
        <v>96</v>
      </c>
      <c r="J62" s="34" t="s">
        <v>68</v>
      </c>
      <c r="K62" s="12"/>
      <c r="L62" s="13" t="s">
        <v>2527</v>
      </c>
      <c r="M62" s="12" t="s">
        <v>68</v>
      </c>
      <c r="N62" s="182"/>
      <c r="O62" s="12" t="s">
        <v>2520</v>
      </c>
      <c r="P62" s="12" t="s">
        <v>473</v>
      </c>
      <c r="Q62" s="12" t="s">
        <v>529</v>
      </c>
      <c r="R62" s="12">
        <v>553145</v>
      </c>
      <c r="S62" s="12" t="s">
        <v>530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75</v>
      </c>
      <c r="Z62" s="12"/>
      <c r="AA62" s="13" t="s">
        <v>85</v>
      </c>
      <c r="AB62" s="13" t="s">
        <v>967</v>
      </c>
      <c r="AC62" s="14">
        <v>45861</v>
      </c>
      <c r="AD62" s="15">
        <v>30</v>
      </c>
      <c r="AE62" s="176" t="s">
        <v>2790</v>
      </c>
      <c r="AF62" s="12">
        <v>371008707</v>
      </c>
      <c r="AG62" s="12" t="s">
        <v>122</v>
      </c>
      <c r="AH62" s="12" t="s">
        <v>124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66</v>
      </c>
      <c r="AP62" s="12" t="s">
        <v>2791</v>
      </c>
      <c r="AQ62" s="12"/>
      <c r="AR62" s="12" t="s">
        <v>2792</v>
      </c>
      <c r="AS62" s="12" t="s">
        <v>2793</v>
      </c>
      <c r="AT62" s="12" t="s">
        <v>2793</v>
      </c>
      <c r="AU62" s="12">
        <v>43</v>
      </c>
      <c r="AV62" s="12" t="s">
        <v>83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2525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10">
      <c r="A63" s="11" t="s">
        <v>2794</v>
      </c>
      <c r="B63" s="12" t="s">
        <v>111</v>
      </c>
      <c r="C63" s="12" t="s">
        <v>2795</v>
      </c>
      <c r="D63" s="12" t="s">
        <v>63</v>
      </c>
      <c r="E63" s="12" t="s">
        <v>68</v>
      </c>
      <c r="F63" s="12" t="s">
        <v>68</v>
      </c>
      <c r="G63" s="12"/>
      <c r="H63" s="12" t="s">
        <v>66</v>
      </c>
      <c r="I63" s="12" t="s">
        <v>1559</v>
      </c>
      <c r="J63" s="34" t="s">
        <v>68</v>
      </c>
      <c r="K63" s="12"/>
      <c r="L63" s="13" t="s">
        <v>2542</v>
      </c>
      <c r="M63" s="12" t="s">
        <v>68</v>
      </c>
      <c r="N63" s="182"/>
      <c r="O63" s="12" t="s">
        <v>2520</v>
      </c>
      <c r="P63" s="12" t="s">
        <v>170</v>
      </c>
      <c r="Q63" s="12" t="s">
        <v>171</v>
      </c>
      <c r="R63" s="12">
        <v>552045</v>
      </c>
      <c r="S63" s="12" t="s">
        <v>172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75</v>
      </c>
      <c r="Z63" s="12"/>
      <c r="AA63" s="13" t="s">
        <v>108</v>
      </c>
      <c r="AB63" s="13" t="s">
        <v>992</v>
      </c>
      <c r="AC63" s="14">
        <v>45861</v>
      </c>
      <c r="AD63" s="15">
        <v>30</v>
      </c>
      <c r="AE63" s="176" t="s">
        <v>2796</v>
      </c>
      <c r="AF63" s="12">
        <v>371008708</v>
      </c>
      <c r="AG63" s="12" t="s">
        <v>122</v>
      </c>
      <c r="AH63" s="12" t="s">
        <v>1561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66</v>
      </c>
      <c r="AP63" s="12" t="s">
        <v>2783</v>
      </c>
      <c r="AQ63" s="12"/>
      <c r="AR63" s="12" t="s">
        <v>2797</v>
      </c>
      <c r="AS63" s="12" t="s">
        <v>2798</v>
      </c>
      <c r="AT63" s="12" t="s">
        <v>2798</v>
      </c>
      <c r="AU63" s="12">
        <v>49</v>
      </c>
      <c r="AV63" s="12" t="s">
        <v>83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2525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10">
      <c r="A64" s="11" t="s">
        <v>2799</v>
      </c>
      <c r="B64" s="12" t="s">
        <v>111</v>
      </c>
      <c r="C64" s="12" t="s">
        <v>2800</v>
      </c>
      <c r="D64" s="12" t="s">
        <v>63</v>
      </c>
      <c r="E64" s="12" t="s">
        <v>68</v>
      </c>
      <c r="F64" s="12" t="s">
        <v>68</v>
      </c>
      <c r="G64" s="12"/>
      <c r="H64" s="12" t="s">
        <v>66</v>
      </c>
      <c r="I64" s="12" t="s">
        <v>2701</v>
      </c>
      <c r="J64" s="34" t="s">
        <v>68</v>
      </c>
      <c r="K64" s="12"/>
      <c r="L64" s="13" t="s">
        <v>2542</v>
      </c>
      <c r="M64" s="12" t="s">
        <v>68</v>
      </c>
      <c r="N64" s="182"/>
      <c r="O64" s="12" t="s">
        <v>2520</v>
      </c>
      <c r="P64" s="12" t="s">
        <v>70</v>
      </c>
      <c r="Q64" s="12" t="s">
        <v>1347</v>
      </c>
      <c r="R64" s="12">
        <v>554471</v>
      </c>
      <c r="S64" s="12" t="s">
        <v>1348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75</v>
      </c>
      <c r="Z64" s="12"/>
      <c r="AA64" s="12" t="s">
        <v>128</v>
      </c>
      <c r="AB64" s="32" t="s">
        <v>992</v>
      </c>
      <c r="AC64" s="14">
        <v>45862</v>
      </c>
      <c r="AD64" s="15">
        <v>30</v>
      </c>
      <c r="AE64" s="176" t="s">
        <v>2801</v>
      </c>
      <c r="AF64" s="12">
        <v>371008705</v>
      </c>
      <c r="AG64" s="12" t="s">
        <v>122</v>
      </c>
      <c r="AH64" s="12" t="s">
        <v>314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66</v>
      </c>
      <c r="AP64" s="12" t="s">
        <v>2783</v>
      </c>
      <c r="AQ64" s="12"/>
      <c r="AR64" s="12" t="s">
        <v>2802</v>
      </c>
      <c r="AS64" s="12" t="s">
        <v>2803</v>
      </c>
      <c r="AT64" s="12" t="s">
        <v>2803</v>
      </c>
      <c r="AU64" s="12">
        <v>47</v>
      </c>
      <c r="AV64" s="12" t="s">
        <v>83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2525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10">
      <c r="A65" s="11" t="s">
        <v>2804</v>
      </c>
      <c r="B65" s="12" t="s">
        <v>111</v>
      </c>
      <c r="C65" s="12" t="s">
        <v>2800</v>
      </c>
      <c r="D65" s="12" t="s">
        <v>63</v>
      </c>
      <c r="E65" s="12" t="s">
        <v>68</v>
      </c>
      <c r="F65" s="12" t="s">
        <v>68</v>
      </c>
      <c r="G65" s="12"/>
      <c r="H65" s="12" t="s">
        <v>66</v>
      </c>
      <c r="I65" s="12" t="s">
        <v>2701</v>
      </c>
      <c r="J65" s="34" t="s">
        <v>68</v>
      </c>
      <c r="K65" s="12"/>
      <c r="L65" s="13" t="s">
        <v>2542</v>
      </c>
      <c r="M65" s="12" t="s">
        <v>68</v>
      </c>
      <c r="N65" s="182"/>
      <c r="O65" s="12" t="s">
        <v>2520</v>
      </c>
      <c r="P65" s="12" t="s">
        <v>70</v>
      </c>
      <c r="Q65" s="12" t="s">
        <v>1347</v>
      </c>
      <c r="R65" s="12">
        <v>554471</v>
      </c>
      <c r="S65" s="12" t="s">
        <v>1348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75</v>
      </c>
      <c r="Z65" s="12"/>
      <c r="AA65" s="12" t="s">
        <v>128</v>
      </c>
      <c r="AB65" s="32" t="s">
        <v>992</v>
      </c>
      <c r="AC65" s="14">
        <v>45862</v>
      </c>
      <c r="AD65" s="15">
        <v>30</v>
      </c>
      <c r="AE65" s="176" t="s">
        <v>2805</v>
      </c>
      <c r="AF65" s="12">
        <v>371008706</v>
      </c>
      <c r="AG65" s="12" t="s">
        <v>122</v>
      </c>
      <c r="AH65" s="12" t="s">
        <v>314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66</v>
      </c>
      <c r="AP65" s="12" t="s">
        <v>2783</v>
      </c>
      <c r="AQ65" s="12"/>
      <c r="AR65" s="12" t="s">
        <v>2802</v>
      </c>
      <c r="AS65" s="12" t="s">
        <v>2803</v>
      </c>
      <c r="AT65" s="12" t="s">
        <v>2806</v>
      </c>
      <c r="AU65" s="12">
        <v>47</v>
      </c>
      <c r="AV65" s="12" t="s">
        <v>83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2525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10">
      <c r="A66" s="172" t="s">
        <v>2807</v>
      </c>
      <c r="B66" s="41" t="s">
        <v>1888</v>
      </c>
      <c r="C66" s="12" t="s">
        <v>2709</v>
      </c>
      <c r="D66" s="12" t="s">
        <v>63</v>
      </c>
      <c r="E66" s="12" t="s">
        <v>68</v>
      </c>
      <c r="F66" s="12" t="s">
        <v>68</v>
      </c>
      <c r="G66" s="12"/>
      <c r="H66" s="12" t="s">
        <v>66</v>
      </c>
      <c r="I66" s="41" t="s">
        <v>2808</v>
      </c>
      <c r="J66" s="34" t="s">
        <v>68</v>
      </c>
      <c r="K66" s="12"/>
      <c r="L66" s="13" t="s">
        <v>2542</v>
      </c>
      <c r="M66" s="12" t="s">
        <v>68</v>
      </c>
      <c r="N66" s="182"/>
      <c r="O66" s="12" t="s">
        <v>2520</v>
      </c>
      <c r="P66" s="41" t="s">
        <v>70</v>
      </c>
      <c r="Q66" s="41" t="s">
        <v>71</v>
      </c>
      <c r="R66" s="41">
        <v>554475</v>
      </c>
      <c r="S66" s="41" t="s">
        <v>72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75</v>
      </c>
      <c r="Z66" s="41"/>
      <c r="AA66" s="12" t="s">
        <v>2703</v>
      </c>
      <c r="AB66" s="13" t="s">
        <v>967</v>
      </c>
      <c r="AC66" s="37">
        <v>45867</v>
      </c>
      <c r="AD66" s="15">
        <v>31</v>
      </c>
      <c r="AE66" s="287" t="s">
        <v>2809</v>
      </c>
      <c r="AF66" s="41">
        <v>371008720</v>
      </c>
      <c r="AG66" s="41" t="s">
        <v>122</v>
      </c>
      <c r="AH66" s="41" t="s">
        <v>1561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66</v>
      </c>
      <c r="AP66" s="41" t="s">
        <v>2810</v>
      </c>
      <c r="AQ66" s="41"/>
      <c r="AR66" s="41" t="s">
        <v>2811</v>
      </c>
      <c r="AS66" s="41" t="s">
        <v>2812</v>
      </c>
      <c r="AT66" s="41" t="s">
        <v>2812</v>
      </c>
      <c r="AU66" s="41">
        <v>54</v>
      </c>
      <c r="AV66" s="41" t="s">
        <v>83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2525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10">
      <c r="A67" s="11" t="s">
        <v>2813</v>
      </c>
      <c r="B67" s="12" t="s">
        <v>111</v>
      </c>
      <c r="C67" s="12" t="s">
        <v>2789</v>
      </c>
      <c r="D67" s="12" t="s">
        <v>63</v>
      </c>
      <c r="E67" s="12" t="s">
        <v>68</v>
      </c>
      <c r="F67" s="12" t="s">
        <v>68</v>
      </c>
      <c r="G67" s="12"/>
      <c r="H67" s="12" t="s">
        <v>402</v>
      </c>
      <c r="I67" s="12" t="s">
        <v>527</v>
      </c>
      <c r="J67" s="34" t="s">
        <v>68</v>
      </c>
      <c r="K67" s="12">
        <v>46010809</v>
      </c>
      <c r="L67" s="13" t="s">
        <v>2814</v>
      </c>
      <c r="M67" s="12" t="s">
        <v>68</v>
      </c>
      <c r="N67" s="182"/>
      <c r="O67" s="12" t="s">
        <v>2520</v>
      </c>
      <c r="P67" s="12" t="s">
        <v>473</v>
      </c>
      <c r="Q67" s="12" t="s">
        <v>529</v>
      </c>
      <c r="R67" s="12">
        <v>553145</v>
      </c>
      <c r="S67" s="12" t="s">
        <v>530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75</v>
      </c>
      <c r="Z67" s="12"/>
      <c r="AA67" s="12" t="s">
        <v>85</v>
      </c>
      <c r="AB67" s="13" t="s">
        <v>967</v>
      </c>
      <c r="AC67" s="14">
        <v>45866</v>
      </c>
      <c r="AD67" s="15">
        <v>31</v>
      </c>
      <c r="AE67" s="176" t="s">
        <v>2815</v>
      </c>
      <c r="AF67" s="12">
        <v>371008727</v>
      </c>
      <c r="AG67" s="12" t="s">
        <v>122</v>
      </c>
      <c r="AH67" s="12" t="s">
        <v>532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402</v>
      </c>
      <c r="AP67" s="12" t="s">
        <v>2749</v>
      </c>
      <c r="AQ67" s="12"/>
      <c r="AR67" s="12" t="s">
        <v>2816</v>
      </c>
      <c r="AS67" s="12" t="s">
        <v>2817</v>
      </c>
      <c r="AT67" s="12" t="s">
        <v>2817</v>
      </c>
      <c r="AU67" s="12">
        <v>50</v>
      </c>
      <c r="AV67" s="12" t="s">
        <v>2538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2525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10">
      <c r="A68" s="11" t="s">
        <v>2818</v>
      </c>
      <c r="B68" s="12" t="s">
        <v>2819</v>
      </c>
      <c r="C68" s="12" t="s">
        <v>2820</v>
      </c>
      <c r="D68" s="12" t="s">
        <v>63</v>
      </c>
      <c r="E68" s="12" t="s">
        <v>64</v>
      </c>
      <c r="F68" s="12" t="s">
        <v>100</v>
      </c>
      <c r="G68" s="12" t="s">
        <v>67</v>
      </c>
      <c r="H68" s="12" t="s">
        <v>66</v>
      </c>
      <c r="I68" s="12" t="s">
        <v>2821</v>
      </c>
      <c r="J68" s="34" t="s">
        <v>68</v>
      </c>
      <c r="K68" s="12"/>
      <c r="L68" s="13" t="s">
        <v>2764</v>
      </c>
      <c r="M68" s="213" t="s">
        <v>68</v>
      </c>
      <c r="N68" s="182"/>
      <c r="O68" s="12" t="s">
        <v>2520</v>
      </c>
      <c r="P68" s="12" t="s">
        <v>284</v>
      </c>
      <c r="Q68" s="12" t="s">
        <v>2822</v>
      </c>
      <c r="R68" s="12">
        <v>554320</v>
      </c>
      <c r="S68" s="12" t="s">
        <v>2823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75</v>
      </c>
      <c r="Z68" s="12"/>
      <c r="AA68" s="12" t="s">
        <v>85</v>
      </c>
      <c r="AB68" s="13" t="s">
        <v>967</v>
      </c>
      <c r="AC68" s="14">
        <v>45868</v>
      </c>
      <c r="AD68" s="15">
        <v>31</v>
      </c>
      <c r="AE68" s="176" t="s">
        <v>2824</v>
      </c>
      <c r="AF68" s="12">
        <v>371008753</v>
      </c>
      <c r="AG68" s="12" t="s">
        <v>2825</v>
      </c>
      <c r="AH68" s="12" t="s">
        <v>105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66</v>
      </c>
      <c r="AP68" s="12" t="s">
        <v>2826</v>
      </c>
      <c r="AQ68" s="12"/>
      <c r="AR68" s="12" t="s">
        <v>2827</v>
      </c>
      <c r="AS68" s="12" t="s">
        <v>2828</v>
      </c>
      <c r="AT68" s="12" t="s">
        <v>2828</v>
      </c>
      <c r="AU68" s="12">
        <v>46</v>
      </c>
      <c r="AV68" s="12" t="s">
        <v>83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2525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10">
      <c r="A69" s="11" t="s">
        <v>2829</v>
      </c>
      <c r="B69" s="12" t="s">
        <v>1888</v>
      </c>
      <c r="C69" s="12" t="s">
        <v>2709</v>
      </c>
      <c r="D69" s="12" t="s">
        <v>63</v>
      </c>
      <c r="E69" s="12" t="s">
        <v>68</v>
      </c>
      <c r="F69" s="12" t="s">
        <v>68</v>
      </c>
      <c r="G69" s="12"/>
      <c r="H69" s="12" t="s">
        <v>66</v>
      </c>
      <c r="I69" s="12" t="s">
        <v>2830</v>
      </c>
      <c r="J69" s="34" t="s">
        <v>68</v>
      </c>
      <c r="K69" s="12"/>
      <c r="L69" s="13" t="s">
        <v>2542</v>
      </c>
      <c r="M69" s="12" t="s">
        <v>68</v>
      </c>
      <c r="N69" s="182"/>
      <c r="O69" s="12" t="s">
        <v>2520</v>
      </c>
      <c r="P69" s="12" t="s">
        <v>70</v>
      </c>
      <c r="Q69" s="12" t="s">
        <v>71</v>
      </c>
      <c r="R69" s="12">
        <v>554475</v>
      </c>
      <c r="S69" s="12" t="s">
        <v>72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75</v>
      </c>
      <c r="Z69" s="12"/>
      <c r="AA69" s="12" t="s">
        <v>2703</v>
      </c>
      <c r="AB69" s="13" t="s">
        <v>967</v>
      </c>
      <c r="AC69" s="14">
        <v>45867</v>
      </c>
      <c r="AD69" s="15">
        <v>31</v>
      </c>
      <c r="AE69" s="176" t="s">
        <v>2831</v>
      </c>
      <c r="AF69" s="12">
        <v>371008719</v>
      </c>
      <c r="AG69" s="12" t="s">
        <v>122</v>
      </c>
      <c r="AH69" s="12" t="s">
        <v>314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66</v>
      </c>
      <c r="AP69" s="12" t="s">
        <v>2810</v>
      </c>
      <c r="AQ69" s="12"/>
      <c r="AR69" s="12" t="s">
        <v>2832</v>
      </c>
      <c r="AS69" s="12" t="s">
        <v>2833</v>
      </c>
      <c r="AT69" s="12" t="s">
        <v>2833</v>
      </c>
      <c r="AU69" s="12">
        <v>53</v>
      </c>
      <c r="AV69" s="12" t="s">
        <v>83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2525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10">
      <c r="A70" s="11" t="s">
        <v>2834</v>
      </c>
      <c r="B70" s="12" t="s">
        <v>2819</v>
      </c>
      <c r="C70" s="12" t="s">
        <v>2820</v>
      </c>
      <c r="D70" s="12" t="s">
        <v>63</v>
      </c>
      <c r="E70" s="12" t="s">
        <v>64</v>
      </c>
      <c r="F70" s="12" t="s">
        <v>100</v>
      </c>
      <c r="G70" s="12" t="s">
        <v>67</v>
      </c>
      <c r="H70" s="12" t="s">
        <v>66</v>
      </c>
      <c r="I70" s="12" t="s">
        <v>2835</v>
      </c>
      <c r="J70" s="34" t="s">
        <v>68</v>
      </c>
      <c r="K70" s="12"/>
      <c r="L70" s="13" t="s">
        <v>2764</v>
      </c>
      <c r="M70" s="213" t="s">
        <v>68</v>
      </c>
      <c r="N70" s="182"/>
      <c r="O70" s="12" t="s">
        <v>2520</v>
      </c>
      <c r="P70" s="12" t="s">
        <v>284</v>
      </c>
      <c r="Q70" s="12" t="s">
        <v>2822</v>
      </c>
      <c r="R70" s="12">
        <v>554320</v>
      </c>
      <c r="S70" s="12" t="s">
        <v>2823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75</v>
      </c>
      <c r="Z70" s="12"/>
      <c r="AA70" s="12" t="s">
        <v>85</v>
      </c>
      <c r="AB70" s="13" t="s">
        <v>967</v>
      </c>
      <c r="AC70" s="14">
        <v>45868</v>
      </c>
      <c r="AD70" s="15">
        <v>31</v>
      </c>
      <c r="AE70" s="176" t="s">
        <v>2836</v>
      </c>
      <c r="AF70" s="12">
        <v>371008752</v>
      </c>
      <c r="AG70" s="12" t="s">
        <v>2825</v>
      </c>
      <c r="AH70" s="12" t="s">
        <v>105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66</v>
      </c>
      <c r="AP70" s="12" t="s">
        <v>2826</v>
      </c>
      <c r="AQ70" s="12"/>
      <c r="AR70" s="12" t="s">
        <v>2827</v>
      </c>
      <c r="AS70" s="12" t="s">
        <v>2828</v>
      </c>
      <c r="AT70" s="12" t="s">
        <v>2828</v>
      </c>
      <c r="AU70" s="12">
        <v>46</v>
      </c>
      <c r="AV70" s="12" t="s">
        <v>83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2525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10">
      <c r="A71" s="11" t="s">
        <v>2837</v>
      </c>
      <c r="B71" s="12" t="s">
        <v>111</v>
      </c>
      <c r="C71" s="12" t="s">
        <v>2795</v>
      </c>
      <c r="D71" s="12" t="s">
        <v>63</v>
      </c>
      <c r="E71" s="12" t="s">
        <v>64</v>
      </c>
      <c r="F71" s="12" t="s">
        <v>100</v>
      </c>
      <c r="G71" s="12" t="s">
        <v>67</v>
      </c>
      <c r="H71" s="12" t="s">
        <v>66</v>
      </c>
      <c r="I71" s="12" t="s">
        <v>96</v>
      </c>
      <c r="J71" s="34" t="s">
        <v>68</v>
      </c>
      <c r="K71" s="12"/>
      <c r="L71" s="13" t="s">
        <v>2519</v>
      </c>
      <c r="M71" s="213" t="s">
        <v>68</v>
      </c>
      <c r="N71" s="182"/>
      <c r="O71" s="12" t="s">
        <v>2520</v>
      </c>
      <c r="P71" s="12" t="s">
        <v>170</v>
      </c>
      <c r="Q71" s="12" t="s">
        <v>171</v>
      </c>
      <c r="R71" s="12">
        <v>552045</v>
      </c>
      <c r="S71" s="12" t="s">
        <v>172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75</v>
      </c>
      <c r="Z71" s="12"/>
      <c r="AA71" s="12" t="s">
        <v>108</v>
      </c>
      <c r="AB71" s="13" t="s">
        <v>992</v>
      </c>
      <c r="AC71" s="14">
        <v>45870</v>
      </c>
      <c r="AD71" s="15">
        <v>31</v>
      </c>
      <c r="AE71" s="176" t="s">
        <v>2838</v>
      </c>
      <c r="AF71" s="12">
        <v>371008737</v>
      </c>
      <c r="AG71" s="12" t="s">
        <v>122</v>
      </c>
      <c r="AH71" s="12" t="s">
        <v>105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66</v>
      </c>
      <c r="AP71" s="12" t="s">
        <v>2826</v>
      </c>
      <c r="AQ71" s="12"/>
      <c r="AR71" s="12" t="s">
        <v>2839</v>
      </c>
      <c r="AS71" s="12" t="s">
        <v>2840</v>
      </c>
      <c r="AT71" s="12" t="s">
        <v>2840</v>
      </c>
      <c r="AU71" s="12">
        <v>45</v>
      </c>
      <c r="AV71" s="12" t="s">
        <v>83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2525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10">
      <c r="A72" s="11" t="s">
        <v>2841</v>
      </c>
      <c r="B72" s="12" t="s">
        <v>111</v>
      </c>
      <c r="C72" s="12" t="s">
        <v>2795</v>
      </c>
      <c r="D72" s="12" t="s">
        <v>63</v>
      </c>
      <c r="E72" s="12" t="s">
        <v>64</v>
      </c>
      <c r="F72" s="12" t="s">
        <v>65</v>
      </c>
      <c r="G72" s="12" t="s">
        <v>67</v>
      </c>
      <c r="H72" s="12" t="s">
        <v>66</v>
      </c>
      <c r="I72" s="12" t="s">
        <v>96</v>
      </c>
      <c r="J72" s="34" t="s">
        <v>68</v>
      </c>
      <c r="K72" s="12"/>
      <c r="L72" s="13" t="s">
        <v>2519</v>
      </c>
      <c r="M72" s="213" t="s">
        <v>68</v>
      </c>
      <c r="N72" s="182"/>
      <c r="O72" s="12" t="s">
        <v>2520</v>
      </c>
      <c r="P72" s="12" t="s">
        <v>170</v>
      </c>
      <c r="Q72" s="12" t="s">
        <v>171</v>
      </c>
      <c r="R72" s="12">
        <v>552045</v>
      </c>
      <c r="S72" s="12" t="s">
        <v>172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75</v>
      </c>
      <c r="Z72" s="12"/>
      <c r="AA72" s="12" t="s">
        <v>108</v>
      </c>
      <c r="AB72" s="13" t="s">
        <v>992</v>
      </c>
      <c r="AC72" s="14">
        <v>45867</v>
      </c>
      <c r="AD72" s="15">
        <v>31</v>
      </c>
      <c r="AE72" s="176" t="s">
        <v>2842</v>
      </c>
      <c r="AF72" s="12">
        <v>371008723</v>
      </c>
      <c r="AG72" s="12" t="s">
        <v>122</v>
      </c>
      <c r="AH72" s="12" t="s">
        <v>78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66</v>
      </c>
      <c r="AP72" s="12" t="s">
        <v>2843</v>
      </c>
      <c r="AQ72" s="12"/>
      <c r="AR72" s="12" t="s">
        <v>2844</v>
      </c>
      <c r="AS72" s="12" t="s">
        <v>2845</v>
      </c>
      <c r="AT72" s="12" t="s">
        <v>2845</v>
      </c>
      <c r="AU72" s="12">
        <v>49</v>
      </c>
      <c r="AV72" s="12" t="s">
        <v>83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2525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10">
      <c r="A73" s="11" t="s">
        <v>2846</v>
      </c>
      <c r="B73" s="12" t="s">
        <v>111</v>
      </c>
      <c r="C73" s="12" t="s">
        <v>2795</v>
      </c>
      <c r="D73" s="12" t="s">
        <v>63</v>
      </c>
      <c r="E73" s="12" t="s">
        <v>64</v>
      </c>
      <c r="F73" s="12" t="s">
        <v>100</v>
      </c>
      <c r="G73" s="12" t="s">
        <v>67</v>
      </c>
      <c r="H73" s="12" t="s">
        <v>66</v>
      </c>
      <c r="I73" s="12" t="s">
        <v>96</v>
      </c>
      <c r="J73" s="34" t="s">
        <v>68</v>
      </c>
      <c r="K73" s="12"/>
      <c r="L73" s="13" t="s">
        <v>2519</v>
      </c>
      <c r="M73" s="213" t="s">
        <v>68</v>
      </c>
      <c r="N73" s="182"/>
      <c r="O73" s="12" t="s">
        <v>2520</v>
      </c>
      <c r="P73" s="12" t="s">
        <v>170</v>
      </c>
      <c r="Q73" s="12" t="s">
        <v>171</v>
      </c>
      <c r="R73" s="12">
        <v>552045</v>
      </c>
      <c r="S73" s="12" t="s">
        <v>172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75</v>
      </c>
      <c r="Z73" s="12"/>
      <c r="AA73" s="12" t="s">
        <v>108</v>
      </c>
      <c r="AB73" s="13" t="s">
        <v>992</v>
      </c>
      <c r="AC73" s="14">
        <v>45870</v>
      </c>
      <c r="AD73" s="15">
        <v>31</v>
      </c>
      <c r="AE73" s="176" t="s">
        <v>2847</v>
      </c>
      <c r="AF73" s="12">
        <v>371008736</v>
      </c>
      <c r="AG73" s="12" t="s">
        <v>122</v>
      </c>
      <c r="AH73" s="12" t="s">
        <v>105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66</v>
      </c>
      <c r="AP73" s="12" t="s">
        <v>2848</v>
      </c>
      <c r="AQ73" s="12"/>
      <c r="AR73" s="12" t="s">
        <v>2849</v>
      </c>
      <c r="AS73" s="12" t="s">
        <v>2850</v>
      </c>
      <c r="AT73" s="12" t="s">
        <v>2850</v>
      </c>
      <c r="AU73" s="12">
        <v>42</v>
      </c>
      <c r="AV73" s="12" t="s">
        <v>83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2525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10">
      <c r="A74" s="11" t="s">
        <v>2654</v>
      </c>
      <c r="B74" s="12" t="s">
        <v>111</v>
      </c>
      <c r="C74" s="12" t="s">
        <v>203</v>
      </c>
      <c r="D74" s="12" t="s">
        <v>63</v>
      </c>
      <c r="E74" s="12" t="s">
        <v>64</v>
      </c>
      <c r="F74" s="12" t="s">
        <v>65</v>
      </c>
      <c r="G74" s="12" t="s">
        <v>67</v>
      </c>
      <c r="H74" s="16" t="s">
        <v>66</v>
      </c>
      <c r="I74" s="12" t="s">
        <v>96</v>
      </c>
      <c r="J74" s="34" t="s">
        <v>68</v>
      </c>
      <c r="K74" s="12"/>
      <c r="L74" s="13" t="s">
        <v>2519</v>
      </c>
      <c r="M74" s="213" t="s">
        <v>68</v>
      </c>
      <c r="N74" s="182"/>
      <c r="O74" s="12" t="s">
        <v>2520</v>
      </c>
      <c r="P74" s="12" t="s">
        <v>2655</v>
      </c>
      <c r="Q74" s="12" t="s">
        <v>2656</v>
      </c>
      <c r="R74" s="12">
        <v>553098</v>
      </c>
      <c r="S74" s="12" t="s">
        <v>2657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75</v>
      </c>
      <c r="Z74" s="12"/>
      <c r="AA74" s="12" t="s">
        <v>108</v>
      </c>
      <c r="AB74" s="13" t="s">
        <v>992</v>
      </c>
      <c r="AC74" s="14">
        <v>45866</v>
      </c>
      <c r="AD74" s="15">
        <v>31</v>
      </c>
      <c r="AE74" s="176" t="s">
        <v>2851</v>
      </c>
      <c r="AF74" s="12">
        <v>371008714</v>
      </c>
      <c r="AG74" s="12" t="s">
        <v>122</v>
      </c>
      <c r="AH74" s="12" t="s">
        <v>78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66</v>
      </c>
      <c r="AP74" s="12" t="s">
        <v>2810</v>
      </c>
      <c r="AQ74" s="12"/>
      <c r="AR74" s="12" t="s">
        <v>2852</v>
      </c>
      <c r="AS74" s="12" t="s">
        <v>2853</v>
      </c>
      <c r="AT74" s="12" t="s">
        <v>2853</v>
      </c>
      <c r="AU74" s="12">
        <v>58</v>
      </c>
      <c r="AV74" s="12" t="s">
        <v>83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2525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10">
      <c r="A75" s="11" t="s">
        <v>2662</v>
      </c>
      <c r="B75" s="12" t="s">
        <v>111</v>
      </c>
      <c r="C75" s="12" t="s">
        <v>203</v>
      </c>
      <c r="D75" s="12" t="s">
        <v>63</v>
      </c>
      <c r="E75" s="12" t="s">
        <v>64</v>
      </c>
      <c r="F75" s="12" t="s">
        <v>65</v>
      </c>
      <c r="G75" s="12" t="s">
        <v>67</v>
      </c>
      <c r="H75" s="12" t="s">
        <v>66</v>
      </c>
      <c r="I75" s="12" t="s">
        <v>96</v>
      </c>
      <c r="J75" s="34" t="s">
        <v>68</v>
      </c>
      <c r="K75" s="12"/>
      <c r="L75" s="13" t="s">
        <v>2519</v>
      </c>
      <c r="M75" s="213" t="s">
        <v>68</v>
      </c>
      <c r="N75" s="182"/>
      <c r="O75" s="12" t="s">
        <v>2520</v>
      </c>
      <c r="P75" s="12" t="s">
        <v>2655</v>
      </c>
      <c r="Q75" s="12" t="s">
        <v>2663</v>
      </c>
      <c r="R75" s="12">
        <v>553097</v>
      </c>
      <c r="S75" s="12" t="s">
        <v>2664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75</v>
      </c>
      <c r="Z75" s="12"/>
      <c r="AA75" s="12" t="s">
        <v>108</v>
      </c>
      <c r="AB75" s="13" t="s">
        <v>992</v>
      </c>
      <c r="AC75" s="14">
        <v>45866</v>
      </c>
      <c r="AD75" s="15">
        <v>31</v>
      </c>
      <c r="AE75" s="176" t="s">
        <v>2854</v>
      </c>
      <c r="AF75" s="12">
        <v>371008715</v>
      </c>
      <c r="AG75" s="12" t="s">
        <v>122</v>
      </c>
      <c r="AH75" s="12" t="s">
        <v>78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66</v>
      </c>
      <c r="AP75" s="12" t="s">
        <v>2810</v>
      </c>
      <c r="AQ75" s="12"/>
      <c r="AR75" s="12" t="s">
        <v>2852</v>
      </c>
      <c r="AS75" s="12" t="s">
        <v>2853</v>
      </c>
      <c r="AT75" s="12" t="s">
        <v>2853</v>
      </c>
      <c r="AU75" s="12">
        <v>58</v>
      </c>
      <c r="AV75" s="12" t="s">
        <v>83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2525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10">
      <c r="A76" s="11" t="s">
        <v>2855</v>
      </c>
      <c r="B76" s="12" t="s">
        <v>1888</v>
      </c>
      <c r="C76" s="12" t="s">
        <v>2856</v>
      </c>
      <c r="D76" s="12" t="s">
        <v>63</v>
      </c>
      <c r="E76" s="12" t="s">
        <v>68</v>
      </c>
      <c r="F76" s="12" t="s">
        <v>68</v>
      </c>
      <c r="G76" s="12"/>
      <c r="H76" s="12" t="s">
        <v>66</v>
      </c>
      <c r="I76" s="12" t="s">
        <v>2701</v>
      </c>
      <c r="J76" s="34" t="s">
        <v>68</v>
      </c>
      <c r="K76" s="12">
        <v>19143011</v>
      </c>
      <c r="L76" s="13" t="s">
        <v>2542</v>
      </c>
      <c r="M76" s="12" t="s">
        <v>68</v>
      </c>
      <c r="N76" s="182"/>
      <c r="O76" s="12" t="s">
        <v>2520</v>
      </c>
      <c r="P76" s="12" t="s">
        <v>70</v>
      </c>
      <c r="Q76" s="12" t="s">
        <v>420</v>
      </c>
      <c r="R76" s="12">
        <v>554476</v>
      </c>
      <c r="S76" s="12" t="s">
        <v>421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75</v>
      </c>
      <c r="Z76" s="12"/>
      <c r="AA76" s="12" t="s">
        <v>2703</v>
      </c>
      <c r="AB76" s="13" t="s">
        <v>992</v>
      </c>
      <c r="AC76" s="14">
        <v>45866</v>
      </c>
      <c r="AD76" s="15">
        <v>31</v>
      </c>
      <c r="AE76" s="176" t="s">
        <v>2857</v>
      </c>
      <c r="AF76" s="12">
        <v>371008721</v>
      </c>
      <c r="AG76" s="12" t="s">
        <v>122</v>
      </c>
      <c r="AH76" s="12" t="s">
        <v>314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66</v>
      </c>
      <c r="AP76" s="12" t="s">
        <v>2810</v>
      </c>
      <c r="AQ76" s="12"/>
      <c r="AR76" s="12" t="s">
        <v>2858</v>
      </c>
      <c r="AS76" s="12" t="s">
        <v>2859</v>
      </c>
      <c r="AT76" s="12" t="s">
        <v>2859</v>
      </c>
      <c r="AU76" s="12">
        <v>53</v>
      </c>
      <c r="AV76" s="12" t="s">
        <v>83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2525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10">
      <c r="A77" s="11" t="s">
        <v>2860</v>
      </c>
      <c r="B77" s="12" t="s">
        <v>61</v>
      </c>
      <c r="C77" s="12" t="s">
        <v>2763</v>
      </c>
      <c r="D77" s="12" t="s">
        <v>63</v>
      </c>
      <c r="E77" s="12" t="s">
        <v>68</v>
      </c>
      <c r="F77" s="12" t="s">
        <v>68</v>
      </c>
      <c r="G77" s="12"/>
      <c r="H77" s="12" t="s">
        <v>402</v>
      </c>
      <c r="I77" s="12" t="s">
        <v>527</v>
      </c>
      <c r="J77" s="34" t="s">
        <v>68</v>
      </c>
      <c r="K77" s="12">
        <v>46010809</v>
      </c>
      <c r="L77" s="13" t="s">
        <v>2814</v>
      </c>
      <c r="M77" s="12" t="s">
        <v>68</v>
      </c>
      <c r="N77" s="182"/>
      <c r="O77" s="12" t="s">
        <v>2520</v>
      </c>
      <c r="P77" s="12" t="s">
        <v>70</v>
      </c>
      <c r="Q77" s="12" t="s">
        <v>2765</v>
      </c>
      <c r="R77" s="12">
        <v>554236</v>
      </c>
      <c r="S77" s="12" t="s">
        <v>2766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75</v>
      </c>
      <c r="Z77" s="12"/>
      <c r="AA77" s="12" t="s">
        <v>2703</v>
      </c>
      <c r="AB77" s="32" t="s">
        <v>992</v>
      </c>
      <c r="AC77" s="14">
        <v>45868</v>
      </c>
      <c r="AD77" s="15">
        <v>31</v>
      </c>
      <c r="AE77" s="176" t="s">
        <v>2861</v>
      </c>
      <c r="AF77" s="12">
        <v>371008718</v>
      </c>
      <c r="AG77" s="12" t="s">
        <v>77</v>
      </c>
      <c r="AH77" s="12" t="s">
        <v>532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402</v>
      </c>
      <c r="AP77" s="12" t="s">
        <v>2862</v>
      </c>
      <c r="AQ77" s="12"/>
      <c r="AR77" s="12" t="s">
        <v>2863</v>
      </c>
      <c r="AS77" s="12" t="s">
        <v>2864</v>
      </c>
      <c r="AT77" s="12" t="s">
        <v>2864</v>
      </c>
      <c r="AU77" s="12">
        <v>71</v>
      </c>
      <c r="AV77" s="12" t="s">
        <v>2538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2525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10">
      <c r="A78" s="172" t="s">
        <v>2865</v>
      </c>
      <c r="B78" s="41" t="s">
        <v>1888</v>
      </c>
      <c r="C78" s="12" t="s">
        <v>2856</v>
      </c>
      <c r="D78" s="12" t="s">
        <v>63</v>
      </c>
      <c r="E78" s="12" t="s">
        <v>68</v>
      </c>
      <c r="F78" s="12" t="s">
        <v>68</v>
      </c>
      <c r="G78" s="12"/>
      <c r="H78" s="12" t="s">
        <v>66</v>
      </c>
      <c r="I78" s="41" t="s">
        <v>2808</v>
      </c>
      <c r="J78" s="34" t="s">
        <v>68</v>
      </c>
      <c r="K78" s="12"/>
      <c r="L78" s="13" t="s">
        <v>2542</v>
      </c>
      <c r="M78" s="12" t="s">
        <v>68</v>
      </c>
      <c r="N78" s="182"/>
      <c r="O78" s="12" t="s">
        <v>2520</v>
      </c>
      <c r="P78" s="41" t="s">
        <v>70</v>
      </c>
      <c r="Q78" s="41" t="s">
        <v>420</v>
      </c>
      <c r="R78" s="41">
        <v>554476</v>
      </c>
      <c r="S78" s="41" t="s">
        <v>421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75</v>
      </c>
      <c r="Z78" s="41"/>
      <c r="AA78" s="12" t="s">
        <v>2703</v>
      </c>
      <c r="AB78" s="13" t="s">
        <v>992</v>
      </c>
      <c r="AC78" s="37">
        <v>45867</v>
      </c>
      <c r="AD78" s="15">
        <v>31</v>
      </c>
      <c r="AE78" s="287" t="s">
        <v>2866</v>
      </c>
      <c r="AF78" s="41">
        <v>371008722</v>
      </c>
      <c r="AG78" s="41" t="s">
        <v>122</v>
      </c>
      <c r="AH78" s="41" t="s">
        <v>1561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66</v>
      </c>
      <c r="AP78" s="41" t="s">
        <v>2810</v>
      </c>
      <c r="AQ78" s="41"/>
      <c r="AR78" s="41" t="s">
        <v>2811</v>
      </c>
      <c r="AS78" s="41" t="s">
        <v>2812</v>
      </c>
      <c r="AT78" s="41" t="s">
        <v>2867</v>
      </c>
      <c r="AU78" s="41">
        <v>54</v>
      </c>
      <c r="AV78" s="41" t="s">
        <v>83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2525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10">
      <c r="A79" s="11" t="s">
        <v>2868</v>
      </c>
      <c r="B79" s="12" t="s">
        <v>111</v>
      </c>
      <c r="C79" s="12" t="s">
        <v>2548</v>
      </c>
      <c r="D79" s="12" t="s">
        <v>63</v>
      </c>
      <c r="E79" s="12" t="s">
        <v>68</v>
      </c>
      <c r="F79" s="12" t="s">
        <v>68</v>
      </c>
      <c r="G79" s="12"/>
      <c r="H79" s="12" t="s">
        <v>66</v>
      </c>
      <c r="I79" s="12" t="s">
        <v>2549</v>
      </c>
      <c r="J79" s="34" t="s">
        <v>68</v>
      </c>
      <c r="K79" s="12">
        <v>19142931</v>
      </c>
      <c r="L79" s="13" t="s">
        <v>2542</v>
      </c>
      <c r="M79" s="12" t="s">
        <v>68</v>
      </c>
      <c r="N79" s="182"/>
      <c r="O79" s="12" t="s">
        <v>2520</v>
      </c>
      <c r="P79" s="12" t="s">
        <v>132</v>
      </c>
      <c r="Q79" s="12" t="s">
        <v>1104</v>
      </c>
      <c r="R79" s="12">
        <v>554431</v>
      </c>
      <c r="S79" s="12" t="s">
        <v>1105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75</v>
      </c>
      <c r="Z79" s="12"/>
      <c r="AA79" s="12" t="s">
        <v>108</v>
      </c>
      <c r="AB79" s="13" t="s">
        <v>992</v>
      </c>
      <c r="AC79" s="14">
        <v>45867</v>
      </c>
      <c r="AD79" s="15">
        <v>31</v>
      </c>
      <c r="AE79" s="176" t="s">
        <v>2869</v>
      </c>
      <c r="AF79" s="12">
        <v>371008716</v>
      </c>
      <c r="AG79" s="12" t="s">
        <v>122</v>
      </c>
      <c r="AH79" s="12" t="s">
        <v>314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66</v>
      </c>
      <c r="AP79" s="12" t="s">
        <v>2810</v>
      </c>
      <c r="AQ79" s="12"/>
      <c r="AR79" s="12" t="s">
        <v>2870</v>
      </c>
      <c r="AS79" s="12" t="s">
        <v>2871</v>
      </c>
      <c r="AT79" s="12" t="s">
        <v>2872</v>
      </c>
      <c r="AU79" s="12">
        <v>53</v>
      </c>
      <c r="AV79" s="12" t="s">
        <v>83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2525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10">
      <c r="A80" s="11" t="s">
        <v>2540</v>
      </c>
      <c r="B80" s="12" t="s">
        <v>111</v>
      </c>
      <c r="C80" s="12" t="s">
        <v>203</v>
      </c>
      <c r="D80" s="12" t="s">
        <v>63</v>
      </c>
      <c r="E80" s="12" t="s">
        <v>68</v>
      </c>
      <c r="F80" s="12" t="s">
        <v>68</v>
      </c>
      <c r="G80" s="12"/>
      <c r="H80" s="12" t="s">
        <v>66</v>
      </c>
      <c r="I80" s="12" t="s">
        <v>2873</v>
      </c>
      <c r="J80" s="34" t="s">
        <v>68</v>
      </c>
      <c r="K80" s="12">
        <v>19143026</v>
      </c>
      <c r="L80" s="13" t="s">
        <v>2542</v>
      </c>
      <c r="M80" s="12" t="s">
        <v>68</v>
      </c>
      <c r="N80" s="182"/>
      <c r="O80" s="12" t="s">
        <v>2520</v>
      </c>
      <c r="P80" s="12" t="s">
        <v>132</v>
      </c>
      <c r="Q80" s="12" t="s">
        <v>453</v>
      </c>
      <c r="R80" s="12">
        <v>554541</v>
      </c>
      <c r="S80" s="12" t="s">
        <v>454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75</v>
      </c>
      <c r="Z80" s="12"/>
      <c r="AA80" s="12" t="s">
        <v>108</v>
      </c>
      <c r="AB80" s="13" t="s">
        <v>967</v>
      </c>
      <c r="AC80" s="14">
        <v>45867</v>
      </c>
      <c r="AD80" s="15">
        <v>31</v>
      </c>
      <c r="AE80" s="176" t="s">
        <v>2874</v>
      </c>
      <c r="AF80" s="12">
        <v>371008717</v>
      </c>
      <c r="AG80" s="12" t="s">
        <v>122</v>
      </c>
      <c r="AH80" s="12" t="s">
        <v>314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66</v>
      </c>
      <c r="AP80" s="12" t="s">
        <v>2810</v>
      </c>
      <c r="AQ80" s="12"/>
      <c r="AR80" s="12" t="s">
        <v>2870</v>
      </c>
      <c r="AS80" s="12" t="s">
        <v>2871</v>
      </c>
      <c r="AT80" s="12" t="s">
        <v>2871</v>
      </c>
      <c r="AU80" s="12">
        <v>53</v>
      </c>
      <c r="AV80" s="12" t="s">
        <v>83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2525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10">
      <c r="A81" s="11" t="s">
        <v>2875</v>
      </c>
      <c r="B81" s="12" t="s">
        <v>2819</v>
      </c>
      <c r="C81" s="12" t="s">
        <v>282</v>
      </c>
      <c r="D81" s="12" t="s">
        <v>63</v>
      </c>
      <c r="E81" s="12" t="s">
        <v>68</v>
      </c>
      <c r="F81" s="12" t="s">
        <v>68</v>
      </c>
      <c r="G81" s="12"/>
      <c r="H81" s="12" t="s">
        <v>66</v>
      </c>
      <c r="I81" s="12" t="s">
        <v>812</v>
      </c>
      <c r="J81" s="34" t="s">
        <v>68</v>
      </c>
      <c r="K81" s="12">
        <v>20519113</v>
      </c>
      <c r="L81" s="13" t="s">
        <v>2876</v>
      </c>
      <c r="M81" s="12" t="s">
        <v>68</v>
      </c>
      <c r="N81" s="182"/>
      <c r="O81" s="12" t="s">
        <v>2520</v>
      </c>
      <c r="P81" s="12" t="s">
        <v>284</v>
      </c>
      <c r="Q81" s="12" t="s">
        <v>285</v>
      </c>
      <c r="R81" s="12">
        <v>554319</v>
      </c>
      <c r="S81" s="12" t="s">
        <v>286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75</v>
      </c>
      <c r="Z81" s="12"/>
      <c r="AA81" s="12" t="s">
        <v>85</v>
      </c>
      <c r="AB81" s="13" t="s">
        <v>992</v>
      </c>
      <c r="AC81" s="14">
        <v>45868</v>
      </c>
      <c r="AD81" s="15">
        <v>31</v>
      </c>
      <c r="AE81" s="176" t="s">
        <v>2877</v>
      </c>
      <c r="AF81" s="12">
        <v>371008751</v>
      </c>
      <c r="AG81" s="12" t="s">
        <v>2878</v>
      </c>
      <c r="AH81" s="12" t="s">
        <v>456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66</v>
      </c>
      <c r="AP81" s="12" t="s">
        <v>2879</v>
      </c>
      <c r="AQ81" s="12"/>
      <c r="AR81" s="12" t="s">
        <v>2880</v>
      </c>
      <c r="AS81" s="12" t="s">
        <v>2881</v>
      </c>
      <c r="AT81" s="12" t="s">
        <v>2881</v>
      </c>
      <c r="AU81" s="12">
        <v>49</v>
      </c>
      <c r="AV81" s="12" t="s">
        <v>2538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2525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10">
      <c r="A82" s="11" t="s">
        <v>2882</v>
      </c>
      <c r="B82" s="12" t="s">
        <v>111</v>
      </c>
      <c r="C82" s="12" t="s">
        <v>2883</v>
      </c>
      <c r="D82" s="12" t="s">
        <v>63</v>
      </c>
      <c r="E82" s="12" t="s">
        <v>68</v>
      </c>
      <c r="F82" s="12" t="s">
        <v>68</v>
      </c>
      <c r="G82" s="12"/>
      <c r="H82" s="12" t="s">
        <v>66</v>
      </c>
      <c r="I82" s="12" t="s">
        <v>1559</v>
      </c>
      <c r="J82" s="34" t="s">
        <v>68</v>
      </c>
      <c r="K82" s="12"/>
      <c r="L82" s="13" t="s">
        <v>2542</v>
      </c>
      <c r="M82" s="12" t="s">
        <v>68</v>
      </c>
      <c r="N82" s="182"/>
      <c r="O82" s="12" t="s">
        <v>2520</v>
      </c>
      <c r="P82" s="12" t="s">
        <v>473</v>
      </c>
      <c r="Q82" s="12" t="s">
        <v>529</v>
      </c>
      <c r="R82" s="12">
        <v>553145</v>
      </c>
      <c r="S82" s="12" t="s">
        <v>530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75</v>
      </c>
      <c r="Z82" s="12"/>
      <c r="AA82" s="12" t="s">
        <v>85</v>
      </c>
      <c r="AB82" s="13" t="s">
        <v>967</v>
      </c>
      <c r="AC82" s="14">
        <v>45877</v>
      </c>
      <c r="AD82" s="15">
        <v>32</v>
      </c>
      <c r="AE82" s="176" t="s">
        <v>2884</v>
      </c>
      <c r="AF82" s="12">
        <v>371008760</v>
      </c>
      <c r="AG82" s="12" t="s">
        <v>122</v>
      </c>
      <c r="AH82" s="12" t="s">
        <v>1561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66</v>
      </c>
      <c r="AP82" s="12" t="s">
        <v>2885</v>
      </c>
      <c r="AQ82" s="12"/>
      <c r="AR82" s="12" t="s">
        <v>2886</v>
      </c>
      <c r="AS82" s="12" t="s">
        <v>2887</v>
      </c>
      <c r="AT82" s="12" t="s">
        <v>2887</v>
      </c>
      <c r="AU82" s="12">
        <v>54</v>
      </c>
      <c r="AV82" s="12" t="s">
        <v>83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2525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10">
      <c r="A83" s="11" t="s">
        <v>2888</v>
      </c>
      <c r="B83" s="12" t="s">
        <v>111</v>
      </c>
      <c r="C83" s="12" t="s">
        <v>2883</v>
      </c>
      <c r="D83" s="12" t="s">
        <v>63</v>
      </c>
      <c r="E83" s="12" t="s">
        <v>64</v>
      </c>
      <c r="F83" s="12" t="s">
        <v>100</v>
      </c>
      <c r="G83" s="12" t="s">
        <v>67</v>
      </c>
      <c r="H83" s="12" t="s">
        <v>66</v>
      </c>
      <c r="I83" s="12" t="s">
        <v>96</v>
      </c>
      <c r="J83" s="34" t="s">
        <v>68</v>
      </c>
      <c r="K83" s="12"/>
      <c r="L83" s="13" t="s">
        <v>2519</v>
      </c>
      <c r="M83" s="213" t="s">
        <v>68</v>
      </c>
      <c r="N83" s="182"/>
      <c r="O83" s="12" t="s">
        <v>2520</v>
      </c>
      <c r="P83" s="12" t="s">
        <v>473</v>
      </c>
      <c r="Q83" s="12" t="s">
        <v>529</v>
      </c>
      <c r="R83" s="12">
        <v>553145</v>
      </c>
      <c r="S83" s="12" t="s">
        <v>530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75</v>
      </c>
      <c r="Z83" s="12"/>
      <c r="AA83" s="12" t="s">
        <v>85</v>
      </c>
      <c r="AB83" s="13" t="s">
        <v>967</v>
      </c>
      <c r="AC83" s="14">
        <v>45875</v>
      </c>
      <c r="AD83" s="15">
        <v>32</v>
      </c>
      <c r="AE83" s="176" t="s">
        <v>2889</v>
      </c>
      <c r="AF83" s="12">
        <v>371008757</v>
      </c>
      <c r="AG83" s="12" t="s">
        <v>122</v>
      </c>
      <c r="AH83" s="12" t="s">
        <v>105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66</v>
      </c>
      <c r="AP83" s="12" t="s">
        <v>2890</v>
      </c>
      <c r="AQ83" s="12"/>
      <c r="AR83" s="12" t="s">
        <v>2891</v>
      </c>
      <c r="AS83" s="12" t="s">
        <v>2892</v>
      </c>
      <c r="AT83" s="12" t="s">
        <v>2892</v>
      </c>
      <c r="AU83" s="12">
        <v>53</v>
      </c>
      <c r="AV83" s="12" t="s">
        <v>83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2525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10">
      <c r="A84" s="11" t="s">
        <v>2893</v>
      </c>
      <c r="B84" s="12" t="s">
        <v>111</v>
      </c>
      <c r="C84" s="12" t="s">
        <v>2883</v>
      </c>
      <c r="D84" s="12" t="s">
        <v>63</v>
      </c>
      <c r="E84" s="12" t="s">
        <v>64</v>
      </c>
      <c r="F84" s="12" t="s">
        <v>65</v>
      </c>
      <c r="G84" s="12" t="s">
        <v>67</v>
      </c>
      <c r="H84" s="12" t="s">
        <v>66</v>
      </c>
      <c r="I84" s="12" t="s">
        <v>96</v>
      </c>
      <c r="J84" s="34" t="s">
        <v>68</v>
      </c>
      <c r="K84" s="12"/>
      <c r="L84" s="13" t="s">
        <v>2519</v>
      </c>
      <c r="M84" s="213" t="s">
        <v>68</v>
      </c>
      <c r="N84" s="182"/>
      <c r="O84" s="12" t="s">
        <v>2520</v>
      </c>
      <c r="P84" s="12" t="s">
        <v>473</v>
      </c>
      <c r="Q84" s="12" t="s">
        <v>529</v>
      </c>
      <c r="R84" s="12">
        <v>553145</v>
      </c>
      <c r="S84" s="12" t="s">
        <v>530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75</v>
      </c>
      <c r="Z84" s="12"/>
      <c r="AA84" s="12" t="s">
        <v>85</v>
      </c>
      <c r="AB84" s="13" t="s">
        <v>967</v>
      </c>
      <c r="AC84" s="14">
        <v>45879</v>
      </c>
      <c r="AD84" s="15">
        <v>32</v>
      </c>
      <c r="AE84" s="176" t="s">
        <v>2894</v>
      </c>
      <c r="AF84" s="12">
        <v>371008758</v>
      </c>
      <c r="AG84" s="12" t="s">
        <v>122</v>
      </c>
      <c r="AH84" s="12" t="s">
        <v>78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66</v>
      </c>
      <c r="AP84" s="12" t="s">
        <v>2895</v>
      </c>
      <c r="AQ84" s="12"/>
      <c r="AR84" s="12" t="s">
        <v>2896</v>
      </c>
      <c r="AS84" s="12" t="s">
        <v>2897</v>
      </c>
      <c r="AT84" s="12" t="s">
        <v>2898</v>
      </c>
      <c r="AU84" s="12">
        <v>59</v>
      </c>
      <c r="AV84" s="12" t="s">
        <v>83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2525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10">
      <c r="A85" s="11" t="s">
        <v>2899</v>
      </c>
      <c r="B85" s="12" t="s">
        <v>111</v>
      </c>
      <c r="C85" s="12" t="s">
        <v>2883</v>
      </c>
      <c r="D85" s="12" t="s">
        <v>63</v>
      </c>
      <c r="E85" s="12" t="s">
        <v>64</v>
      </c>
      <c r="F85" s="12" t="s">
        <v>65</v>
      </c>
      <c r="G85" s="12" t="s">
        <v>67</v>
      </c>
      <c r="H85" s="12" t="s">
        <v>66</v>
      </c>
      <c r="I85" s="12" t="s">
        <v>96</v>
      </c>
      <c r="J85" s="34" t="s">
        <v>68</v>
      </c>
      <c r="K85" s="12"/>
      <c r="L85" s="13" t="s">
        <v>2519</v>
      </c>
      <c r="M85" s="213" t="s">
        <v>68</v>
      </c>
      <c r="N85" s="182"/>
      <c r="O85" s="12" t="s">
        <v>2520</v>
      </c>
      <c r="P85" s="12" t="s">
        <v>473</v>
      </c>
      <c r="Q85" s="12" t="s">
        <v>529</v>
      </c>
      <c r="R85" s="12">
        <v>553145</v>
      </c>
      <c r="S85" s="12" t="s">
        <v>530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75</v>
      </c>
      <c r="Z85" s="12"/>
      <c r="AA85" s="12" t="s">
        <v>85</v>
      </c>
      <c r="AB85" s="13" t="s">
        <v>967</v>
      </c>
      <c r="AC85" s="14">
        <v>45876</v>
      </c>
      <c r="AD85" s="15">
        <v>32</v>
      </c>
      <c r="AE85" s="176" t="s">
        <v>2900</v>
      </c>
      <c r="AF85" s="12">
        <v>371008759</v>
      </c>
      <c r="AG85" s="12" t="s">
        <v>77</v>
      </c>
      <c r="AH85" s="12" t="s">
        <v>78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66</v>
      </c>
      <c r="AP85" s="12" t="s">
        <v>2901</v>
      </c>
      <c r="AQ85" s="12"/>
      <c r="AR85" s="12" t="s">
        <v>2902</v>
      </c>
      <c r="AS85" s="12" t="s">
        <v>2903</v>
      </c>
      <c r="AT85" s="12" t="s">
        <v>2903</v>
      </c>
      <c r="AU85" s="12">
        <v>78</v>
      </c>
      <c r="AV85" s="12" t="s">
        <v>83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2525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10">
      <c r="A86" s="11" t="s">
        <v>2904</v>
      </c>
      <c r="B86" s="12" t="s">
        <v>111</v>
      </c>
      <c r="C86" s="12" t="s">
        <v>2905</v>
      </c>
      <c r="D86" s="12" t="s">
        <v>63</v>
      </c>
      <c r="E86" s="12" t="s">
        <v>64</v>
      </c>
      <c r="F86" s="12" t="s">
        <v>65</v>
      </c>
      <c r="G86" s="12" t="s">
        <v>67</v>
      </c>
      <c r="H86" s="12" t="s">
        <v>66</v>
      </c>
      <c r="I86" s="12" t="s">
        <v>96</v>
      </c>
      <c r="J86" s="34" t="s">
        <v>68</v>
      </c>
      <c r="K86" s="12"/>
      <c r="L86" s="13" t="s">
        <v>2519</v>
      </c>
      <c r="M86" s="213" t="s">
        <v>68</v>
      </c>
      <c r="N86" s="182"/>
      <c r="O86" s="12" t="s">
        <v>2520</v>
      </c>
      <c r="P86" s="12" t="s">
        <v>2655</v>
      </c>
      <c r="Q86" s="12" t="s">
        <v>2656</v>
      </c>
      <c r="R86" s="12">
        <v>553098</v>
      </c>
      <c r="S86" s="12" t="s">
        <v>2657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75</v>
      </c>
      <c r="Z86" s="12"/>
      <c r="AA86" s="12" t="s">
        <v>108</v>
      </c>
      <c r="AB86" s="13" t="s">
        <v>992</v>
      </c>
      <c r="AC86" s="14">
        <v>45879</v>
      </c>
      <c r="AD86" s="15">
        <v>32</v>
      </c>
      <c r="AE86" s="176" t="s">
        <v>2906</v>
      </c>
      <c r="AF86" s="12">
        <v>371008786</v>
      </c>
      <c r="AG86" s="12" t="s">
        <v>122</v>
      </c>
      <c r="AH86" s="12" t="s">
        <v>78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66</v>
      </c>
      <c r="AP86" s="12" t="s">
        <v>2895</v>
      </c>
      <c r="AQ86" s="12"/>
      <c r="AR86" s="12" t="s">
        <v>2896</v>
      </c>
      <c r="AS86" s="12" t="s">
        <v>2897</v>
      </c>
      <c r="AT86" s="12" t="s">
        <v>2898</v>
      </c>
      <c r="AU86" s="12">
        <v>59</v>
      </c>
      <c r="AV86" s="12" t="s">
        <v>83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2525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10">
      <c r="A87" s="11" t="s">
        <v>2907</v>
      </c>
      <c r="B87" s="12" t="s">
        <v>111</v>
      </c>
      <c r="C87" s="12" t="s">
        <v>2908</v>
      </c>
      <c r="D87" s="12" t="s">
        <v>63</v>
      </c>
      <c r="E87" s="12" t="s">
        <v>64</v>
      </c>
      <c r="F87" s="12" t="s">
        <v>65</v>
      </c>
      <c r="G87" s="12" t="s">
        <v>67</v>
      </c>
      <c r="H87" s="12" t="s">
        <v>66</v>
      </c>
      <c r="I87" s="12" t="s">
        <v>96</v>
      </c>
      <c r="J87" s="34" t="s">
        <v>68</v>
      </c>
      <c r="K87" s="12"/>
      <c r="L87" s="13" t="s">
        <v>2519</v>
      </c>
      <c r="M87" s="213" t="s">
        <v>68</v>
      </c>
      <c r="N87" s="182"/>
      <c r="O87" s="12" t="s">
        <v>2520</v>
      </c>
      <c r="P87" s="12" t="s">
        <v>2655</v>
      </c>
      <c r="Q87" s="12" t="s">
        <v>2663</v>
      </c>
      <c r="R87" s="12">
        <v>553097</v>
      </c>
      <c r="S87" s="12" t="s">
        <v>2664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75</v>
      </c>
      <c r="Z87" s="12"/>
      <c r="AA87" s="12" t="s">
        <v>108</v>
      </c>
      <c r="AB87" s="13" t="s">
        <v>992</v>
      </c>
      <c r="AC87" s="14">
        <v>45876</v>
      </c>
      <c r="AD87" s="15">
        <v>32</v>
      </c>
      <c r="AE87" s="176" t="s">
        <v>2909</v>
      </c>
      <c r="AF87" s="12">
        <v>371008788</v>
      </c>
      <c r="AG87" s="12" t="s">
        <v>2910</v>
      </c>
      <c r="AH87" s="12" t="s">
        <v>78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66</v>
      </c>
      <c r="AP87" s="12" t="s">
        <v>2901</v>
      </c>
      <c r="AQ87" s="12"/>
      <c r="AR87" s="12" t="s">
        <v>2911</v>
      </c>
      <c r="AS87" s="12" t="s">
        <v>2912</v>
      </c>
      <c r="AT87" s="12" t="s">
        <v>2912</v>
      </c>
      <c r="AU87" s="12">
        <v>78</v>
      </c>
      <c r="AV87" s="12" t="s">
        <v>83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2525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10">
      <c r="A88" s="11" t="s">
        <v>2913</v>
      </c>
      <c r="B88" s="12" t="s">
        <v>111</v>
      </c>
      <c r="C88" s="12" t="s">
        <v>2548</v>
      </c>
      <c r="D88" s="12" t="s">
        <v>63</v>
      </c>
      <c r="E88" s="12" t="s">
        <v>68</v>
      </c>
      <c r="F88" s="12" t="s">
        <v>68</v>
      </c>
      <c r="G88" s="12"/>
      <c r="H88" s="12" t="s">
        <v>66</v>
      </c>
      <c r="I88" s="12" t="s">
        <v>2830</v>
      </c>
      <c r="J88" s="34" t="s">
        <v>68</v>
      </c>
      <c r="K88" s="12">
        <v>19143015</v>
      </c>
      <c r="L88" s="13" t="s">
        <v>2542</v>
      </c>
      <c r="M88" s="12" t="s">
        <v>68</v>
      </c>
      <c r="N88" s="182"/>
      <c r="O88" s="12" t="s">
        <v>2520</v>
      </c>
      <c r="P88" s="12" t="s">
        <v>132</v>
      </c>
      <c r="Q88" s="12" t="s">
        <v>1104</v>
      </c>
      <c r="R88" s="12">
        <v>554431</v>
      </c>
      <c r="S88" s="12" t="s">
        <v>1105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75</v>
      </c>
      <c r="Z88" s="12"/>
      <c r="AA88" s="12" t="s">
        <v>108</v>
      </c>
      <c r="AB88" s="13" t="s">
        <v>992</v>
      </c>
      <c r="AC88" s="14">
        <v>45877</v>
      </c>
      <c r="AD88" s="15">
        <v>32</v>
      </c>
      <c r="AE88" s="176" t="s">
        <v>2914</v>
      </c>
      <c r="AF88" s="12">
        <v>371008746</v>
      </c>
      <c r="AG88" s="12" t="s">
        <v>122</v>
      </c>
      <c r="AH88" s="12" t="s">
        <v>314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66</v>
      </c>
      <c r="AP88" s="12" t="s">
        <v>2885</v>
      </c>
      <c r="AQ88" s="12"/>
      <c r="AR88" s="12" t="s">
        <v>2915</v>
      </c>
      <c r="AS88" s="12" t="s">
        <v>2916</v>
      </c>
      <c r="AT88" s="12" t="s">
        <v>2917</v>
      </c>
      <c r="AU88" s="12">
        <v>53</v>
      </c>
      <c r="AV88" s="12" t="s">
        <v>83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2525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10">
      <c r="A89" s="11" t="s">
        <v>2918</v>
      </c>
      <c r="B89" s="12" t="s">
        <v>111</v>
      </c>
      <c r="C89" s="12" t="s">
        <v>2795</v>
      </c>
      <c r="D89" s="12" t="s">
        <v>63</v>
      </c>
      <c r="E89" s="12" t="s">
        <v>64</v>
      </c>
      <c r="F89" s="12" t="s">
        <v>65</v>
      </c>
      <c r="G89" s="12" t="s">
        <v>67</v>
      </c>
      <c r="H89" s="12" t="s">
        <v>66</v>
      </c>
      <c r="I89" s="12" t="s">
        <v>96</v>
      </c>
      <c r="J89" s="34" t="s">
        <v>68</v>
      </c>
      <c r="K89" s="12"/>
      <c r="L89" s="13" t="s">
        <v>2519</v>
      </c>
      <c r="M89" s="213" t="s">
        <v>68</v>
      </c>
      <c r="N89" s="182"/>
      <c r="O89" s="12" t="s">
        <v>2520</v>
      </c>
      <c r="P89" s="12" t="s">
        <v>170</v>
      </c>
      <c r="Q89" s="12" t="s">
        <v>171</v>
      </c>
      <c r="R89" s="12">
        <v>552045</v>
      </c>
      <c r="S89" s="12" t="s">
        <v>172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75</v>
      </c>
      <c r="Z89" s="12"/>
      <c r="AA89" s="12" t="s">
        <v>108</v>
      </c>
      <c r="AB89" s="13" t="s">
        <v>992</v>
      </c>
      <c r="AC89" s="14">
        <v>45876</v>
      </c>
      <c r="AD89" s="15">
        <v>32</v>
      </c>
      <c r="AE89" s="176" t="s">
        <v>2919</v>
      </c>
      <c r="AF89" s="12">
        <v>371008775</v>
      </c>
      <c r="AG89" s="12" t="s">
        <v>122</v>
      </c>
      <c r="AH89" s="12" t="s">
        <v>78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66</v>
      </c>
      <c r="AP89" s="12" t="s">
        <v>2920</v>
      </c>
      <c r="AQ89" s="12"/>
      <c r="AR89" s="12" t="s">
        <v>2921</v>
      </c>
      <c r="AS89" s="12" t="s">
        <v>2922</v>
      </c>
      <c r="AT89" s="12" t="s">
        <v>2922</v>
      </c>
      <c r="AU89" s="12">
        <v>58</v>
      </c>
      <c r="AV89" s="12" t="s">
        <v>83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2525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10">
      <c r="A90" s="11" t="s">
        <v>2923</v>
      </c>
      <c r="B90" s="12" t="s">
        <v>1888</v>
      </c>
      <c r="C90" s="12" t="s">
        <v>2709</v>
      </c>
      <c r="D90" s="12" t="s">
        <v>63</v>
      </c>
      <c r="E90" s="12" t="s">
        <v>68</v>
      </c>
      <c r="F90" s="12" t="s">
        <v>68</v>
      </c>
      <c r="G90" s="12"/>
      <c r="H90" s="12" t="s">
        <v>156</v>
      </c>
      <c r="I90" s="12" t="s">
        <v>157</v>
      </c>
      <c r="J90" s="34" t="s">
        <v>68</v>
      </c>
      <c r="K90" s="12">
        <v>46010775</v>
      </c>
      <c r="L90" s="13" t="s">
        <v>2534</v>
      </c>
      <c r="M90" s="12" t="s">
        <v>68</v>
      </c>
      <c r="N90" s="182"/>
      <c r="O90" s="12" t="s">
        <v>2520</v>
      </c>
      <c r="P90" s="12" t="s">
        <v>70</v>
      </c>
      <c r="Q90" s="12" t="s">
        <v>71</v>
      </c>
      <c r="R90" s="12">
        <v>554475</v>
      </c>
      <c r="S90" s="12" t="s">
        <v>72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75</v>
      </c>
      <c r="Z90" s="12"/>
      <c r="AA90" s="12" t="s">
        <v>2703</v>
      </c>
      <c r="AB90" s="13" t="s">
        <v>967</v>
      </c>
      <c r="AC90" s="14">
        <v>45877</v>
      </c>
      <c r="AD90" s="15">
        <v>32</v>
      </c>
      <c r="AE90" s="176" t="s">
        <v>2924</v>
      </c>
      <c r="AF90" s="12">
        <v>371008750</v>
      </c>
      <c r="AG90" s="12" t="s">
        <v>122</v>
      </c>
      <c r="AH90" s="12" t="s">
        <v>159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156</v>
      </c>
      <c r="AP90" s="12" t="s">
        <v>2925</v>
      </c>
      <c r="AQ90" s="12"/>
      <c r="AR90" s="12">
        <v>46010775</v>
      </c>
      <c r="AS90" s="12">
        <v>1068398706</v>
      </c>
      <c r="AT90" s="12" t="s">
        <v>2926</v>
      </c>
      <c r="AU90" s="12">
        <v>59</v>
      </c>
      <c r="AV90" s="12" t="s">
        <v>2538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2525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10">
      <c r="A91" s="11" t="s">
        <v>2927</v>
      </c>
      <c r="B91" s="12" t="s">
        <v>111</v>
      </c>
      <c r="C91" s="12" t="s">
        <v>2928</v>
      </c>
      <c r="D91" s="12" t="s">
        <v>63</v>
      </c>
      <c r="E91" s="12" t="s">
        <v>68</v>
      </c>
      <c r="F91" s="12" t="s">
        <v>68</v>
      </c>
      <c r="G91" s="12"/>
      <c r="H91" s="12" t="s">
        <v>146</v>
      </c>
      <c r="I91" s="12" t="s">
        <v>594</v>
      </c>
      <c r="J91" s="34" t="s">
        <v>68</v>
      </c>
      <c r="K91" s="12"/>
      <c r="L91" s="13" t="s">
        <v>2573</v>
      </c>
      <c r="M91" s="12" t="s">
        <v>68</v>
      </c>
      <c r="N91" s="182"/>
      <c r="O91" s="12" t="s">
        <v>2574</v>
      </c>
      <c r="P91" s="12" t="s">
        <v>132</v>
      </c>
      <c r="Q91" s="12" t="s">
        <v>2929</v>
      </c>
      <c r="R91" s="12">
        <v>555076</v>
      </c>
      <c r="S91" s="12" t="s">
        <v>1300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75</v>
      </c>
      <c r="Z91" s="12"/>
      <c r="AA91" s="12" t="s">
        <v>108</v>
      </c>
      <c r="AB91" s="32" t="s">
        <v>992</v>
      </c>
      <c r="AC91" s="14">
        <v>45877</v>
      </c>
      <c r="AD91" s="15">
        <v>32</v>
      </c>
      <c r="AE91" s="176" t="s">
        <v>2575</v>
      </c>
      <c r="AF91" s="12" t="s">
        <v>2930</v>
      </c>
      <c r="AG91" s="12" t="s">
        <v>122</v>
      </c>
      <c r="AH91" s="12" t="s">
        <v>124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402</v>
      </c>
      <c r="AP91" s="12" t="s">
        <v>2931</v>
      </c>
      <c r="AQ91" s="12"/>
      <c r="AR91" s="12" t="s">
        <v>2932</v>
      </c>
      <c r="AS91" s="12" t="s">
        <v>2933</v>
      </c>
      <c r="AT91" s="12" t="s">
        <v>2933</v>
      </c>
      <c r="AU91" s="12">
        <v>55</v>
      </c>
      <c r="AV91" s="12" t="s">
        <v>2538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2525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10">
      <c r="A92" s="11" t="s">
        <v>2934</v>
      </c>
      <c r="B92" s="12" t="s">
        <v>111</v>
      </c>
      <c r="C92" s="12" t="s">
        <v>2588</v>
      </c>
      <c r="D92" s="12" t="s">
        <v>63</v>
      </c>
      <c r="E92" s="12" t="s">
        <v>68</v>
      </c>
      <c r="F92" s="12" t="s">
        <v>68</v>
      </c>
      <c r="G92" s="12"/>
      <c r="H92" s="12" t="s">
        <v>146</v>
      </c>
      <c r="I92" s="12" t="s">
        <v>594</v>
      </c>
      <c r="J92" s="34" t="s">
        <v>68</v>
      </c>
      <c r="K92" s="12"/>
      <c r="L92" s="13" t="s">
        <v>2573</v>
      </c>
      <c r="M92" s="12" t="s">
        <v>68</v>
      </c>
      <c r="N92" s="182"/>
      <c r="O92" s="12" t="s">
        <v>2574</v>
      </c>
      <c r="P92" s="12" t="s">
        <v>70</v>
      </c>
      <c r="Q92" s="12" t="s">
        <v>102</v>
      </c>
      <c r="R92" s="12">
        <v>554245</v>
      </c>
      <c r="S92" s="12" t="s">
        <v>103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75</v>
      </c>
      <c r="Z92" s="12"/>
      <c r="AA92" s="12" t="s">
        <v>108</v>
      </c>
      <c r="AB92" s="32" t="s">
        <v>967</v>
      </c>
      <c r="AC92" s="14">
        <v>45879</v>
      </c>
      <c r="AD92" s="15">
        <v>32</v>
      </c>
      <c r="AE92" s="176" t="s">
        <v>2575</v>
      </c>
      <c r="AF92" s="12" t="s">
        <v>2930</v>
      </c>
      <c r="AG92" s="12" t="s">
        <v>122</v>
      </c>
      <c r="AH92" s="12" t="s">
        <v>124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402</v>
      </c>
      <c r="AP92" s="12" t="s">
        <v>2895</v>
      </c>
      <c r="AQ92" s="12"/>
      <c r="AR92" s="12" t="s">
        <v>2935</v>
      </c>
      <c r="AS92" s="12" t="s">
        <v>2936</v>
      </c>
      <c r="AT92" s="12" t="s">
        <v>2936</v>
      </c>
      <c r="AU92" s="12">
        <v>69</v>
      </c>
      <c r="AV92" s="12" t="s">
        <v>2538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2525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10">
      <c r="A93" s="11" t="s">
        <v>2937</v>
      </c>
      <c r="B93" s="12" t="s">
        <v>111</v>
      </c>
      <c r="C93" s="12" t="s">
        <v>940</v>
      </c>
      <c r="D93" s="12" t="s">
        <v>63</v>
      </c>
      <c r="E93" s="12" t="s">
        <v>68</v>
      </c>
      <c r="F93" s="12" t="s">
        <v>68</v>
      </c>
      <c r="G93" s="12"/>
      <c r="H93" s="12" t="s">
        <v>66</v>
      </c>
      <c r="I93" s="12" t="s">
        <v>2830</v>
      </c>
      <c r="J93" s="34" t="s">
        <v>68</v>
      </c>
      <c r="K93" s="12">
        <v>19143078</v>
      </c>
      <c r="L93" s="13" t="s">
        <v>2542</v>
      </c>
      <c r="M93" s="12" t="s">
        <v>68</v>
      </c>
      <c r="N93" s="182"/>
      <c r="O93" s="12" t="s">
        <v>2520</v>
      </c>
      <c r="P93" s="12" t="s">
        <v>70</v>
      </c>
      <c r="Q93" s="12" t="s">
        <v>943</v>
      </c>
      <c r="R93" s="12">
        <v>554244</v>
      </c>
      <c r="S93" s="12" t="s">
        <v>886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75</v>
      </c>
      <c r="Z93" s="12"/>
      <c r="AA93" s="12" t="s">
        <v>108</v>
      </c>
      <c r="AB93" s="32" t="s">
        <v>967</v>
      </c>
      <c r="AC93" s="14">
        <v>45877</v>
      </c>
      <c r="AD93" s="15">
        <v>32</v>
      </c>
      <c r="AE93" s="176" t="s">
        <v>2938</v>
      </c>
      <c r="AF93" s="12">
        <v>371008747</v>
      </c>
      <c r="AG93" s="12" t="s">
        <v>122</v>
      </c>
      <c r="AH93" s="12" t="s">
        <v>314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66</v>
      </c>
      <c r="AP93" s="12" t="s">
        <v>2885</v>
      </c>
      <c r="AQ93" s="12"/>
      <c r="AR93" s="12" t="s">
        <v>2915</v>
      </c>
      <c r="AS93" s="12" t="s">
        <v>2916</v>
      </c>
      <c r="AT93" s="12" t="s">
        <v>2916</v>
      </c>
      <c r="AU93" s="12">
        <v>53</v>
      </c>
      <c r="AV93" s="12" t="s">
        <v>83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2525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10">
      <c r="A94" s="11" t="s">
        <v>2939</v>
      </c>
      <c r="B94" s="12" t="s">
        <v>61</v>
      </c>
      <c r="C94" s="12" t="s">
        <v>2759</v>
      </c>
      <c r="D94" s="12" t="s">
        <v>63</v>
      </c>
      <c r="E94" s="12" t="s">
        <v>68</v>
      </c>
      <c r="F94" s="12" t="s">
        <v>68</v>
      </c>
      <c r="G94" s="12"/>
      <c r="H94" s="12" t="s">
        <v>66</v>
      </c>
      <c r="I94" s="12" t="s">
        <v>1342</v>
      </c>
      <c r="J94" s="34" t="s">
        <v>68</v>
      </c>
      <c r="K94" s="12" t="s">
        <v>2940</v>
      </c>
      <c r="L94" s="13" t="s">
        <v>2542</v>
      </c>
      <c r="M94" s="12" t="s">
        <v>68</v>
      </c>
      <c r="N94" s="182"/>
      <c r="O94" s="12" t="s">
        <v>2520</v>
      </c>
      <c r="P94" s="12" t="s">
        <v>70</v>
      </c>
      <c r="Q94" s="12" t="s">
        <v>195</v>
      </c>
      <c r="R94" s="12">
        <v>554473</v>
      </c>
      <c r="S94" s="12" t="s">
        <v>196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75</v>
      </c>
      <c r="Z94" s="12"/>
      <c r="AA94" s="12" t="s">
        <v>2703</v>
      </c>
      <c r="AB94" s="13" t="s">
        <v>967</v>
      </c>
      <c r="AC94" s="14">
        <v>45876</v>
      </c>
      <c r="AD94" s="15">
        <v>32</v>
      </c>
      <c r="AE94" s="176" t="s">
        <v>2941</v>
      </c>
      <c r="AF94" s="12" t="s">
        <v>2942</v>
      </c>
      <c r="AG94" s="12" t="s">
        <v>77</v>
      </c>
      <c r="AH94" s="12" t="s">
        <v>314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66</v>
      </c>
      <c r="AP94" s="12" t="s">
        <v>2901</v>
      </c>
      <c r="AQ94" s="12"/>
      <c r="AR94" s="12" t="s">
        <v>2943</v>
      </c>
      <c r="AS94" s="12" t="s">
        <v>2944</v>
      </c>
      <c r="AT94" s="12" t="s">
        <v>2944</v>
      </c>
      <c r="AU94" s="12">
        <v>74</v>
      </c>
      <c r="AV94" s="12" t="s">
        <v>83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2525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10">
      <c r="A95" s="11" t="s">
        <v>2945</v>
      </c>
      <c r="B95" s="12" t="s">
        <v>111</v>
      </c>
      <c r="C95" s="12" t="s">
        <v>2742</v>
      </c>
      <c r="D95" s="12" t="s">
        <v>63</v>
      </c>
      <c r="E95" s="12" t="s">
        <v>68</v>
      </c>
      <c r="F95" s="12" t="s">
        <v>68</v>
      </c>
      <c r="G95" s="12"/>
      <c r="H95" s="12" t="s">
        <v>146</v>
      </c>
      <c r="I95" s="12" t="s">
        <v>2710</v>
      </c>
      <c r="J95" s="34" t="s">
        <v>68</v>
      </c>
      <c r="K95" s="12">
        <v>46010679</v>
      </c>
      <c r="L95" s="13" t="s">
        <v>2711</v>
      </c>
      <c r="M95" s="12" t="s">
        <v>68</v>
      </c>
      <c r="N95" s="182"/>
      <c r="O95" s="12" t="s">
        <v>2520</v>
      </c>
      <c r="P95" s="12" t="s">
        <v>550</v>
      </c>
      <c r="Q95" s="12" t="s">
        <v>2744</v>
      </c>
      <c r="R95" s="12">
        <v>553120</v>
      </c>
      <c r="S95" s="12" t="s">
        <v>2745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75</v>
      </c>
      <c r="Z95" s="12"/>
      <c r="AA95" s="12" t="s">
        <v>85</v>
      </c>
      <c r="AB95" s="13" t="s">
        <v>2136</v>
      </c>
      <c r="AC95" s="14">
        <v>45879</v>
      </c>
      <c r="AD95" s="15">
        <v>32</v>
      </c>
      <c r="AE95" s="176" t="s">
        <v>2946</v>
      </c>
      <c r="AF95" s="12">
        <v>371008774</v>
      </c>
      <c r="AG95" s="12" t="s">
        <v>122</v>
      </c>
      <c r="AH95" s="12" t="s">
        <v>78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146</v>
      </c>
      <c r="AP95" s="12" t="s">
        <v>2895</v>
      </c>
      <c r="AQ95" s="12"/>
      <c r="AR95" s="12">
        <v>46010679</v>
      </c>
      <c r="AS95" s="12" t="s">
        <v>2947</v>
      </c>
      <c r="AT95" s="12" t="s">
        <v>2947</v>
      </c>
      <c r="AU95" s="12">
        <v>58</v>
      </c>
      <c r="AV95" s="12" t="s">
        <v>2538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2525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10">
      <c r="A96" s="11" t="s">
        <v>2948</v>
      </c>
      <c r="B96" s="12" t="s">
        <v>111</v>
      </c>
      <c r="C96" s="12" t="s">
        <v>2949</v>
      </c>
      <c r="D96" s="12" t="s">
        <v>63</v>
      </c>
      <c r="E96" s="12" t="s">
        <v>64</v>
      </c>
      <c r="F96" s="12" t="s">
        <v>100</v>
      </c>
      <c r="G96" s="12" t="s">
        <v>67</v>
      </c>
      <c r="H96" s="12" t="s">
        <v>402</v>
      </c>
      <c r="I96" s="12" t="s">
        <v>677</v>
      </c>
      <c r="J96" s="34" t="s">
        <v>68</v>
      </c>
      <c r="K96" s="12">
        <v>14130691</v>
      </c>
      <c r="L96" s="13" t="s">
        <v>2777</v>
      </c>
      <c r="M96" s="213" t="s">
        <v>68</v>
      </c>
      <c r="N96" s="182"/>
      <c r="O96" s="12" t="s">
        <v>2520</v>
      </c>
      <c r="P96" s="12" t="s">
        <v>70</v>
      </c>
      <c r="Q96" s="12" t="s">
        <v>102</v>
      </c>
      <c r="R96" s="12">
        <v>554245</v>
      </c>
      <c r="S96" s="12" t="s">
        <v>103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75</v>
      </c>
      <c r="Z96" s="12"/>
      <c r="AA96" s="12" t="s">
        <v>108</v>
      </c>
      <c r="AB96" s="13" t="s">
        <v>2950</v>
      </c>
      <c r="AC96" s="14">
        <v>45875</v>
      </c>
      <c r="AD96" s="15">
        <v>32</v>
      </c>
      <c r="AE96" s="176" t="s">
        <v>2951</v>
      </c>
      <c r="AF96" s="12">
        <v>371008755</v>
      </c>
      <c r="AG96" s="12" t="s">
        <v>122</v>
      </c>
      <c r="AH96" s="12" t="s">
        <v>105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402</v>
      </c>
      <c r="AP96" s="12" t="s">
        <v>2890</v>
      </c>
      <c r="AQ96" s="12"/>
      <c r="AR96" s="12" t="s">
        <v>2952</v>
      </c>
      <c r="AS96" s="12" t="s">
        <v>2953</v>
      </c>
      <c r="AT96" s="12" t="s">
        <v>2953</v>
      </c>
      <c r="AU96" s="12">
        <v>53</v>
      </c>
      <c r="AV96" s="12" t="s">
        <v>2538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2525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10">
      <c r="A97" s="11" t="s">
        <v>2954</v>
      </c>
      <c r="B97" s="12" t="s">
        <v>111</v>
      </c>
      <c r="C97" s="12" t="s">
        <v>2955</v>
      </c>
      <c r="D97" s="12" t="s">
        <v>63</v>
      </c>
      <c r="E97" s="12" t="s">
        <v>64</v>
      </c>
      <c r="F97" s="12" t="s">
        <v>100</v>
      </c>
      <c r="G97" s="12" t="s">
        <v>67</v>
      </c>
      <c r="H97" s="12" t="s">
        <v>402</v>
      </c>
      <c r="I97" s="12" t="s">
        <v>677</v>
      </c>
      <c r="J97" s="34" t="s">
        <v>68</v>
      </c>
      <c r="K97" s="12">
        <v>14130691</v>
      </c>
      <c r="L97" s="13" t="s">
        <v>2777</v>
      </c>
      <c r="M97" s="213" t="s">
        <v>68</v>
      </c>
      <c r="N97" s="182"/>
      <c r="O97" s="12" t="s">
        <v>2520</v>
      </c>
      <c r="P97" s="12" t="s">
        <v>70</v>
      </c>
      <c r="Q97" s="12" t="s">
        <v>1002</v>
      </c>
      <c r="R97" s="12">
        <v>554246</v>
      </c>
      <c r="S97" s="12" t="s">
        <v>330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75</v>
      </c>
      <c r="Z97" s="12"/>
      <c r="AA97" s="12" t="s">
        <v>108</v>
      </c>
      <c r="AB97" s="13" t="s">
        <v>2950</v>
      </c>
      <c r="AC97" s="14">
        <v>45875</v>
      </c>
      <c r="AD97" s="15">
        <v>32</v>
      </c>
      <c r="AE97" s="176" t="s">
        <v>2956</v>
      </c>
      <c r="AF97" s="12">
        <v>371008756</v>
      </c>
      <c r="AG97" s="12" t="s">
        <v>122</v>
      </c>
      <c r="AH97" s="12" t="s">
        <v>105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402</v>
      </c>
      <c r="AP97" s="12" t="s">
        <v>2890</v>
      </c>
      <c r="AQ97" s="12"/>
      <c r="AR97" s="12" t="s">
        <v>2952</v>
      </c>
      <c r="AS97" s="12" t="s">
        <v>2953</v>
      </c>
      <c r="AT97" s="12" t="s">
        <v>2953</v>
      </c>
      <c r="AU97" s="12">
        <v>53</v>
      </c>
      <c r="AV97" s="12" t="s">
        <v>2538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2525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10">
      <c r="A98" s="11" t="s">
        <v>2957</v>
      </c>
      <c r="B98" s="12" t="s">
        <v>111</v>
      </c>
      <c r="C98" s="12" t="s">
        <v>2795</v>
      </c>
      <c r="D98" s="12" t="s">
        <v>63</v>
      </c>
      <c r="E98" s="12" t="s">
        <v>64</v>
      </c>
      <c r="F98" s="12" t="s">
        <v>100</v>
      </c>
      <c r="G98" s="12" t="s">
        <v>67</v>
      </c>
      <c r="H98" s="12" t="s">
        <v>66</v>
      </c>
      <c r="I98" s="12" t="s">
        <v>96</v>
      </c>
      <c r="J98" s="34" t="s">
        <v>68</v>
      </c>
      <c r="K98" s="12"/>
      <c r="L98" s="13" t="s">
        <v>2519</v>
      </c>
      <c r="M98" s="213" t="s">
        <v>68</v>
      </c>
      <c r="N98" s="182"/>
      <c r="O98" s="12" t="s">
        <v>2520</v>
      </c>
      <c r="P98" s="12" t="s">
        <v>170</v>
      </c>
      <c r="Q98" s="12" t="s">
        <v>171</v>
      </c>
      <c r="R98" s="12">
        <v>552045</v>
      </c>
      <c r="S98" s="12" t="s">
        <v>172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75</v>
      </c>
      <c r="Z98" s="12"/>
      <c r="AA98" s="12" t="s">
        <v>108</v>
      </c>
      <c r="AB98" s="13" t="s">
        <v>992</v>
      </c>
      <c r="AC98" s="14">
        <v>45875</v>
      </c>
      <c r="AD98" s="15">
        <v>32</v>
      </c>
      <c r="AE98" s="176" t="s">
        <v>2958</v>
      </c>
      <c r="AF98" s="12">
        <v>371008754</v>
      </c>
      <c r="AG98" s="12" t="s">
        <v>122</v>
      </c>
      <c r="AH98" s="12" t="s">
        <v>105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66</v>
      </c>
      <c r="AP98" s="12" t="s">
        <v>2890</v>
      </c>
      <c r="AQ98" s="12"/>
      <c r="AR98" s="12" t="s">
        <v>2891</v>
      </c>
      <c r="AS98" s="12" t="s">
        <v>2892</v>
      </c>
      <c r="AT98" s="12" t="s">
        <v>2892</v>
      </c>
      <c r="AU98" s="12">
        <v>53</v>
      </c>
      <c r="AV98" s="12" t="s">
        <v>83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2525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10">
      <c r="A99" s="11" t="s">
        <v>2959</v>
      </c>
      <c r="B99" s="12" t="s">
        <v>61</v>
      </c>
      <c r="C99" s="12" t="s">
        <v>2960</v>
      </c>
      <c r="D99" s="12" t="s">
        <v>63</v>
      </c>
      <c r="E99" s="12" t="s">
        <v>68</v>
      </c>
      <c r="F99" s="12" t="s">
        <v>68</v>
      </c>
      <c r="G99" s="12"/>
      <c r="H99" s="12" t="s">
        <v>146</v>
      </c>
      <c r="I99" s="12" t="s">
        <v>2716</v>
      </c>
      <c r="J99" s="34" t="s">
        <v>68</v>
      </c>
      <c r="K99" s="12" t="s">
        <v>2961</v>
      </c>
      <c r="L99" s="13" t="s">
        <v>2711</v>
      </c>
      <c r="M99" s="12" t="s">
        <v>68</v>
      </c>
      <c r="N99" s="182"/>
      <c r="O99" s="12" t="s">
        <v>2520</v>
      </c>
      <c r="P99" s="12" t="s">
        <v>70</v>
      </c>
      <c r="Q99" s="12" t="s">
        <v>91</v>
      </c>
      <c r="R99" s="12">
        <v>554480</v>
      </c>
      <c r="S99" s="12" t="s">
        <v>92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75</v>
      </c>
      <c r="AA99" s="12" t="s">
        <v>94</v>
      </c>
      <c r="AB99" s="32" t="s">
        <v>967</v>
      </c>
      <c r="AC99" s="14">
        <v>45876</v>
      </c>
      <c r="AD99" s="15">
        <v>32</v>
      </c>
      <c r="AE99" s="176" t="s">
        <v>2962</v>
      </c>
      <c r="AF99" s="12">
        <v>371008749</v>
      </c>
      <c r="AG99" s="12" t="s">
        <v>77</v>
      </c>
      <c r="AH99" s="12" t="s">
        <v>78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66</v>
      </c>
      <c r="AP99" s="12" t="s">
        <v>2901</v>
      </c>
      <c r="AQ99" s="12"/>
      <c r="AR99" s="12" t="s">
        <v>2963</v>
      </c>
      <c r="AS99" s="12" t="s">
        <v>2964</v>
      </c>
      <c r="AT99" s="12" t="s">
        <v>2964</v>
      </c>
      <c r="AU99" s="12">
        <v>78</v>
      </c>
      <c r="AV99" s="12" t="s">
        <v>83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2525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10">
      <c r="A100" s="11" t="s">
        <v>2965</v>
      </c>
      <c r="B100" s="12" t="s">
        <v>61</v>
      </c>
      <c r="C100" s="12" t="s">
        <v>2960</v>
      </c>
      <c r="D100" s="12" t="s">
        <v>63</v>
      </c>
      <c r="E100" s="12" t="s">
        <v>68</v>
      </c>
      <c r="F100" s="12" t="s">
        <v>68</v>
      </c>
      <c r="G100" s="12"/>
      <c r="H100" s="12" t="s">
        <v>146</v>
      </c>
      <c r="I100" s="12" t="s">
        <v>147</v>
      </c>
      <c r="J100" s="34" t="s">
        <v>68</v>
      </c>
      <c r="K100" s="12">
        <v>46010731</v>
      </c>
      <c r="L100" s="13" t="s">
        <v>2711</v>
      </c>
      <c r="M100" s="12" t="s">
        <v>68</v>
      </c>
      <c r="N100" s="182"/>
      <c r="O100" s="12" t="s">
        <v>2520</v>
      </c>
      <c r="P100" s="12" t="s">
        <v>70</v>
      </c>
      <c r="Q100" s="12" t="s">
        <v>91</v>
      </c>
      <c r="R100" s="12">
        <v>554480</v>
      </c>
      <c r="S100" s="12" t="s">
        <v>92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75</v>
      </c>
      <c r="AA100" s="12" t="s">
        <v>94</v>
      </c>
      <c r="AB100" s="32" t="s">
        <v>967</v>
      </c>
      <c r="AC100" s="14">
        <v>45876</v>
      </c>
      <c r="AD100" s="15">
        <v>32</v>
      </c>
      <c r="AE100" s="176" t="s">
        <v>2966</v>
      </c>
      <c r="AF100" s="12">
        <v>371008748</v>
      </c>
      <c r="AG100" s="12" t="s">
        <v>77</v>
      </c>
      <c r="AH100" s="12" t="s">
        <v>78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146</v>
      </c>
      <c r="AP100" s="12" t="s">
        <v>2901</v>
      </c>
      <c r="AQ100" s="12"/>
      <c r="AR100" s="12" t="s">
        <v>2967</v>
      </c>
      <c r="AS100" s="12" t="s">
        <v>2968</v>
      </c>
      <c r="AT100" s="12" t="s">
        <v>2968</v>
      </c>
      <c r="AU100" s="12">
        <v>78</v>
      </c>
      <c r="AV100" s="12" t="s">
        <v>2538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2525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10">
      <c r="A101" s="11" t="s">
        <v>2969</v>
      </c>
      <c r="B101" s="12" t="s">
        <v>61</v>
      </c>
      <c r="C101" s="12" t="s">
        <v>2960</v>
      </c>
      <c r="D101" s="12" t="s">
        <v>63</v>
      </c>
      <c r="E101" s="12" t="s">
        <v>68</v>
      </c>
      <c r="F101" s="12" t="s">
        <v>68</v>
      </c>
      <c r="G101" s="12"/>
      <c r="H101" s="12" t="s">
        <v>146</v>
      </c>
      <c r="I101" s="12" t="s">
        <v>2710</v>
      </c>
      <c r="J101" s="34" t="s">
        <v>68</v>
      </c>
      <c r="K101" s="12">
        <v>46010731</v>
      </c>
      <c r="L101" s="13" t="s">
        <v>2711</v>
      </c>
      <c r="M101" s="12" t="s">
        <v>68</v>
      </c>
      <c r="N101" s="182"/>
      <c r="O101" s="12" t="s">
        <v>2520</v>
      </c>
      <c r="P101" s="12" t="s">
        <v>70</v>
      </c>
      <c r="Q101" s="12" t="s">
        <v>91</v>
      </c>
      <c r="R101" s="12">
        <v>554480</v>
      </c>
      <c r="S101" s="12" t="s">
        <v>92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75</v>
      </c>
      <c r="AA101" s="12" t="s">
        <v>94</v>
      </c>
      <c r="AB101" s="32" t="s">
        <v>967</v>
      </c>
      <c r="AC101" s="14">
        <v>45876</v>
      </c>
      <c r="AD101" s="15">
        <v>32</v>
      </c>
      <c r="AE101" s="176" t="s">
        <v>2966</v>
      </c>
      <c r="AF101" s="12">
        <v>371008748</v>
      </c>
      <c r="AG101" s="12" t="s">
        <v>77</v>
      </c>
      <c r="AH101" s="12" t="s">
        <v>78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146</v>
      </c>
      <c r="AP101" s="12" t="s">
        <v>2901</v>
      </c>
      <c r="AQ101" s="12"/>
      <c r="AR101" s="12" t="s">
        <v>2967</v>
      </c>
      <c r="AS101" s="12" t="s">
        <v>2970</v>
      </c>
      <c r="AT101" s="12" t="s">
        <v>2968</v>
      </c>
      <c r="AU101" s="12">
        <v>78</v>
      </c>
      <c r="AV101" s="12" t="s">
        <v>2538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2525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10">
      <c r="A102" s="11" t="s">
        <v>2971</v>
      </c>
      <c r="B102" s="12" t="s">
        <v>1888</v>
      </c>
      <c r="C102" s="12" t="s">
        <v>2709</v>
      </c>
      <c r="D102" s="12" t="s">
        <v>63</v>
      </c>
      <c r="E102" s="12" t="s">
        <v>68</v>
      </c>
      <c r="F102" s="12" t="s">
        <v>68</v>
      </c>
      <c r="G102" s="12"/>
      <c r="H102" s="12" t="s">
        <v>146</v>
      </c>
      <c r="I102" s="12" t="s">
        <v>2710</v>
      </c>
      <c r="J102" s="34" t="s">
        <v>68</v>
      </c>
      <c r="K102" s="12">
        <v>46010813</v>
      </c>
      <c r="L102" s="13" t="s">
        <v>2711</v>
      </c>
      <c r="M102" s="12" t="s">
        <v>68</v>
      </c>
      <c r="N102" s="182"/>
      <c r="O102" s="12" t="s">
        <v>2520</v>
      </c>
      <c r="P102" s="12" t="s">
        <v>70</v>
      </c>
      <c r="Q102" s="12" t="s">
        <v>71</v>
      </c>
      <c r="R102" s="12">
        <v>554475</v>
      </c>
      <c r="S102" s="12" t="s">
        <v>72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75</v>
      </c>
      <c r="Z102" s="12"/>
      <c r="AA102" s="12" t="s">
        <v>2703</v>
      </c>
      <c r="AB102" s="13" t="s">
        <v>967</v>
      </c>
      <c r="AC102" s="14">
        <v>45886</v>
      </c>
      <c r="AD102" s="15">
        <v>33</v>
      </c>
      <c r="AE102" s="176" t="s">
        <v>2972</v>
      </c>
      <c r="AF102" s="12">
        <v>371008771</v>
      </c>
      <c r="AG102" s="12" t="s">
        <v>122</v>
      </c>
      <c r="AH102" s="12" t="s">
        <v>78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146</v>
      </c>
      <c r="AP102" s="12" t="s">
        <v>2973</v>
      </c>
      <c r="AQ102" s="12"/>
      <c r="AR102" s="12">
        <v>46010813</v>
      </c>
      <c r="AS102" s="12" t="s">
        <v>2974</v>
      </c>
      <c r="AT102" s="12" t="s">
        <v>2974</v>
      </c>
      <c r="AU102" s="12">
        <v>57</v>
      </c>
      <c r="AV102" s="12" t="s">
        <v>2538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2525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10">
      <c r="A103" s="11" t="s">
        <v>2975</v>
      </c>
      <c r="B103" s="12" t="s">
        <v>2819</v>
      </c>
      <c r="C103" s="12" t="s">
        <v>2820</v>
      </c>
      <c r="D103" s="12" t="s">
        <v>63</v>
      </c>
      <c r="E103" s="12" t="s">
        <v>64</v>
      </c>
      <c r="F103" s="12" t="s">
        <v>100</v>
      </c>
      <c r="G103" s="12" t="s">
        <v>67</v>
      </c>
      <c r="H103" s="12" t="s">
        <v>66</v>
      </c>
      <c r="I103" s="12" t="s">
        <v>2835</v>
      </c>
      <c r="J103" s="34" t="s">
        <v>68</v>
      </c>
      <c r="K103" s="12"/>
      <c r="L103" s="13" t="s">
        <v>2764</v>
      </c>
      <c r="M103" s="213" t="s">
        <v>68</v>
      </c>
      <c r="N103" s="182"/>
      <c r="O103" s="12" t="s">
        <v>2520</v>
      </c>
      <c r="P103" s="12" t="s">
        <v>284</v>
      </c>
      <c r="Q103" s="12" t="s">
        <v>2822</v>
      </c>
      <c r="R103" s="12">
        <v>554320</v>
      </c>
      <c r="S103" s="12" t="s">
        <v>2823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75</v>
      </c>
      <c r="Z103" s="12"/>
      <c r="AA103" s="12" t="s">
        <v>85</v>
      </c>
      <c r="AB103" s="13" t="s">
        <v>967</v>
      </c>
      <c r="AC103" s="14">
        <v>45881</v>
      </c>
      <c r="AD103" s="15">
        <v>33</v>
      </c>
      <c r="AE103" s="176" t="s">
        <v>2976</v>
      </c>
      <c r="AF103" s="12">
        <v>371008772</v>
      </c>
      <c r="AG103" s="12" t="s">
        <v>288</v>
      </c>
      <c r="AH103" s="12" t="s">
        <v>105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66</v>
      </c>
      <c r="AP103" s="12" t="s">
        <v>2977</v>
      </c>
      <c r="AQ103" s="12"/>
      <c r="AR103" s="12" t="s">
        <v>2978</v>
      </c>
      <c r="AS103" s="12" t="s">
        <v>2979</v>
      </c>
      <c r="AT103" s="12" t="s">
        <v>2979</v>
      </c>
      <c r="AU103" s="12">
        <v>33</v>
      </c>
      <c r="AV103" s="12" t="s">
        <v>83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2525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10">
      <c r="A104" s="11" t="s">
        <v>2980</v>
      </c>
      <c r="B104" s="12" t="s">
        <v>111</v>
      </c>
      <c r="C104" s="12" t="s">
        <v>2795</v>
      </c>
      <c r="D104" s="12" t="s">
        <v>63</v>
      </c>
      <c r="E104" s="12" t="s">
        <v>68</v>
      </c>
      <c r="F104" s="12" t="s">
        <v>68</v>
      </c>
      <c r="G104" s="12"/>
      <c r="H104" s="12" t="s">
        <v>66</v>
      </c>
      <c r="I104" s="12" t="s">
        <v>1559</v>
      </c>
      <c r="J104" s="34" t="s">
        <v>68</v>
      </c>
      <c r="K104" s="12"/>
      <c r="L104" s="13" t="s">
        <v>2542</v>
      </c>
      <c r="M104" s="12" t="s">
        <v>68</v>
      </c>
      <c r="N104" s="182"/>
      <c r="O104" s="12" t="s">
        <v>2520</v>
      </c>
      <c r="P104" s="12" t="s">
        <v>170</v>
      </c>
      <c r="Q104" s="12" t="s">
        <v>171</v>
      </c>
      <c r="R104" s="12">
        <v>552045</v>
      </c>
      <c r="S104" s="12" t="s">
        <v>172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75</v>
      </c>
      <c r="Z104" s="12"/>
      <c r="AA104" s="12" t="s">
        <v>108</v>
      </c>
      <c r="AB104" s="13" t="s">
        <v>992</v>
      </c>
      <c r="AC104" s="14">
        <v>45885</v>
      </c>
      <c r="AD104" s="15">
        <v>33</v>
      </c>
      <c r="AE104" s="176" t="s">
        <v>2981</v>
      </c>
      <c r="AF104" s="12">
        <v>371008777</v>
      </c>
      <c r="AG104" s="12" t="s">
        <v>122</v>
      </c>
      <c r="AH104" s="12" t="s">
        <v>1561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66</v>
      </c>
      <c r="AP104" s="12" t="s">
        <v>2973</v>
      </c>
      <c r="AQ104" s="12"/>
      <c r="AR104" s="12" t="s">
        <v>2982</v>
      </c>
      <c r="AS104" s="12" t="s">
        <v>2983</v>
      </c>
      <c r="AT104" s="12" t="s">
        <v>2984</v>
      </c>
      <c r="AU104" s="12">
        <v>76</v>
      </c>
      <c r="AV104" s="12" t="s">
        <v>83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2525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10">
      <c r="A105" s="11" t="s">
        <v>2985</v>
      </c>
      <c r="B105" s="12" t="s">
        <v>111</v>
      </c>
      <c r="C105" s="12" t="s">
        <v>2795</v>
      </c>
      <c r="D105" s="12" t="s">
        <v>63</v>
      </c>
      <c r="E105" s="12" t="s">
        <v>68</v>
      </c>
      <c r="F105" s="12" t="s">
        <v>68</v>
      </c>
      <c r="G105" s="12"/>
      <c r="H105" s="12" t="s">
        <v>66</v>
      </c>
      <c r="I105" s="12" t="s">
        <v>1342</v>
      </c>
      <c r="J105" s="34" t="s">
        <v>68</v>
      </c>
      <c r="K105" s="12"/>
      <c r="L105" s="13" t="s">
        <v>2542</v>
      </c>
      <c r="M105" s="12" t="s">
        <v>68</v>
      </c>
      <c r="N105" s="182"/>
      <c r="O105" s="12" t="s">
        <v>2520</v>
      </c>
      <c r="P105" s="12" t="s">
        <v>170</v>
      </c>
      <c r="Q105" s="12" t="s">
        <v>171</v>
      </c>
      <c r="R105" s="12">
        <v>552045</v>
      </c>
      <c r="S105" s="12" t="s">
        <v>172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75</v>
      </c>
      <c r="Z105" s="12"/>
      <c r="AA105" s="12" t="s">
        <v>108</v>
      </c>
      <c r="AB105" s="13" t="s">
        <v>992</v>
      </c>
      <c r="AC105" s="14">
        <v>45885</v>
      </c>
      <c r="AD105" s="15">
        <v>33</v>
      </c>
      <c r="AE105" s="176" t="s">
        <v>2986</v>
      </c>
      <c r="AF105" s="12">
        <v>371008776</v>
      </c>
      <c r="AG105" s="12" t="s">
        <v>122</v>
      </c>
      <c r="AH105" s="12" t="s">
        <v>314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66</v>
      </c>
      <c r="AP105" s="12" t="s">
        <v>2987</v>
      </c>
      <c r="AQ105" s="12"/>
      <c r="AR105" s="12" t="s">
        <v>2988</v>
      </c>
      <c r="AS105" s="12" t="s">
        <v>2989</v>
      </c>
      <c r="AT105" s="12" t="s">
        <v>2990</v>
      </c>
      <c r="AU105" s="12">
        <v>56</v>
      </c>
      <c r="AV105" s="12" t="s">
        <v>83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2525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10">
      <c r="A106" s="11" t="s">
        <v>2991</v>
      </c>
      <c r="B106" s="12" t="s">
        <v>111</v>
      </c>
      <c r="C106" s="12" t="s">
        <v>2795</v>
      </c>
      <c r="D106" s="12" t="s">
        <v>63</v>
      </c>
      <c r="E106" s="12" t="s">
        <v>64</v>
      </c>
      <c r="F106" s="12" t="s">
        <v>65</v>
      </c>
      <c r="G106" s="12" t="s">
        <v>67</v>
      </c>
      <c r="H106" s="12" t="s">
        <v>66</v>
      </c>
      <c r="I106" s="12" t="s">
        <v>96</v>
      </c>
      <c r="J106" s="34" t="s">
        <v>68</v>
      </c>
      <c r="K106" s="12"/>
      <c r="L106" s="13" t="s">
        <v>2519</v>
      </c>
      <c r="M106" s="213" t="s">
        <v>68</v>
      </c>
      <c r="N106" s="182"/>
      <c r="O106" s="12" t="s">
        <v>2520</v>
      </c>
      <c r="P106" s="12" t="s">
        <v>170</v>
      </c>
      <c r="Q106" s="12" t="s">
        <v>171</v>
      </c>
      <c r="R106" s="12">
        <v>552045</v>
      </c>
      <c r="S106" s="12" t="s">
        <v>172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75</v>
      </c>
      <c r="Z106" s="12"/>
      <c r="AA106" s="12" t="s">
        <v>108</v>
      </c>
      <c r="AB106" s="13" t="s">
        <v>992</v>
      </c>
      <c r="AC106" s="14">
        <v>45885</v>
      </c>
      <c r="AD106" s="15">
        <v>33</v>
      </c>
      <c r="AE106" s="176" t="s">
        <v>2992</v>
      </c>
      <c r="AF106" s="12">
        <v>371008778</v>
      </c>
      <c r="AG106" s="12" t="s">
        <v>122</v>
      </c>
      <c r="AH106" s="12" t="s">
        <v>78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66</v>
      </c>
      <c r="AP106" s="12" t="s">
        <v>2973</v>
      </c>
      <c r="AQ106" s="12"/>
      <c r="AR106" s="12" t="s">
        <v>2993</v>
      </c>
      <c r="AS106" s="12" t="s">
        <v>2994</v>
      </c>
      <c r="AT106" s="12" t="s">
        <v>2995</v>
      </c>
      <c r="AU106" s="12">
        <v>77</v>
      </c>
      <c r="AV106" s="12" t="s">
        <v>83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2525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10">
      <c r="A107" s="11" t="s">
        <v>2996</v>
      </c>
      <c r="B107" s="12" t="s">
        <v>2819</v>
      </c>
      <c r="C107" s="12" t="s">
        <v>2820</v>
      </c>
      <c r="D107" s="12" t="s">
        <v>63</v>
      </c>
      <c r="E107" s="12" t="s">
        <v>64</v>
      </c>
      <c r="F107" s="12" t="s">
        <v>100</v>
      </c>
      <c r="G107" s="12" t="s">
        <v>67</v>
      </c>
      <c r="H107" s="12" t="s">
        <v>66</v>
      </c>
      <c r="I107" s="12" t="s">
        <v>2821</v>
      </c>
      <c r="J107" s="34" t="s">
        <v>68</v>
      </c>
      <c r="K107" s="12"/>
      <c r="L107" s="13" t="s">
        <v>2764</v>
      </c>
      <c r="M107" s="213" t="s">
        <v>68</v>
      </c>
      <c r="N107" s="182"/>
      <c r="O107" s="12" t="s">
        <v>2520</v>
      </c>
      <c r="P107" s="12" t="s">
        <v>284</v>
      </c>
      <c r="Q107" s="12" t="s">
        <v>2822</v>
      </c>
      <c r="R107" s="12">
        <v>554320</v>
      </c>
      <c r="S107" s="12" t="s">
        <v>2823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75</v>
      </c>
      <c r="Z107" s="12"/>
      <c r="AA107" s="12" t="s">
        <v>85</v>
      </c>
      <c r="AB107" s="13" t="s">
        <v>967</v>
      </c>
      <c r="AC107" s="14">
        <v>45881</v>
      </c>
      <c r="AD107" s="15">
        <v>33</v>
      </c>
      <c r="AE107" s="176" t="s">
        <v>2997</v>
      </c>
      <c r="AF107" s="12">
        <v>371008773</v>
      </c>
      <c r="AG107" s="12" t="s">
        <v>288</v>
      </c>
      <c r="AH107" s="12" t="s">
        <v>105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66</v>
      </c>
      <c r="AP107" s="12" t="s">
        <v>2998</v>
      </c>
      <c r="AQ107" s="12"/>
      <c r="AR107" s="12" t="s">
        <v>2999</v>
      </c>
      <c r="AS107" s="12" t="s">
        <v>3000</v>
      </c>
      <c r="AT107" s="12" t="s">
        <v>3000</v>
      </c>
      <c r="AU107" s="12">
        <v>47</v>
      </c>
      <c r="AV107" s="12" t="s">
        <v>83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2525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10">
      <c r="A108" s="11" t="s">
        <v>3001</v>
      </c>
      <c r="B108" s="12" t="s">
        <v>1888</v>
      </c>
      <c r="C108" s="12" t="s">
        <v>2856</v>
      </c>
      <c r="D108" s="12" t="s">
        <v>63</v>
      </c>
      <c r="E108" s="12" t="s">
        <v>68</v>
      </c>
      <c r="F108" s="12" t="s">
        <v>68</v>
      </c>
      <c r="G108" s="12"/>
      <c r="H108" s="12" t="s">
        <v>146</v>
      </c>
      <c r="I108" s="12" t="s">
        <v>594</v>
      </c>
      <c r="J108" s="34" t="s">
        <v>68</v>
      </c>
      <c r="K108" s="12"/>
      <c r="L108" s="13" t="s">
        <v>2573</v>
      </c>
      <c r="M108" s="12" t="s">
        <v>68</v>
      </c>
      <c r="N108" s="182"/>
      <c r="O108" s="12" t="s">
        <v>2574</v>
      </c>
      <c r="P108" s="12" t="s">
        <v>70</v>
      </c>
      <c r="Q108" s="12" t="s">
        <v>420</v>
      </c>
      <c r="R108" s="12">
        <v>554476</v>
      </c>
      <c r="S108" s="12" t="s">
        <v>421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75</v>
      </c>
      <c r="Z108" s="12"/>
      <c r="AA108" s="12" t="s">
        <v>2703</v>
      </c>
      <c r="AB108" s="13" t="s">
        <v>992</v>
      </c>
      <c r="AC108" s="14">
        <v>45882</v>
      </c>
      <c r="AD108" s="15">
        <v>33</v>
      </c>
      <c r="AE108" s="176" t="s">
        <v>2575</v>
      </c>
      <c r="AF108" s="12" t="s">
        <v>2930</v>
      </c>
      <c r="AG108" s="12" t="s">
        <v>122</v>
      </c>
      <c r="AH108" s="12" t="s">
        <v>124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402</v>
      </c>
      <c r="AP108" s="12" t="s">
        <v>3002</v>
      </c>
      <c r="AQ108" s="12"/>
      <c r="AR108" s="12" t="s">
        <v>3003</v>
      </c>
      <c r="AS108" s="12" t="s">
        <v>3004</v>
      </c>
      <c r="AT108" s="12" t="s">
        <v>3004</v>
      </c>
      <c r="AU108" s="12">
        <v>46</v>
      </c>
      <c r="AV108" s="12" t="s">
        <v>2538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2525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10">
      <c r="A109" s="11" t="s">
        <v>3005</v>
      </c>
      <c r="B109" s="12" t="s">
        <v>1888</v>
      </c>
      <c r="C109" s="12" t="s">
        <v>2709</v>
      </c>
      <c r="D109" s="12" t="s">
        <v>63</v>
      </c>
      <c r="E109" s="12" t="s">
        <v>64</v>
      </c>
      <c r="F109" s="12" t="s">
        <v>65</v>
      </c>
      <c r="G109" s="12" t="s">
        <v>67</v>
      </c>
      <c r="H109" s="12" t="s">
        <v>66</v>
      </c>
      <c r="I109" s="12" t="s">
        <v>89</v>
      </c>
      <c r="J109" s="34" t="s">
        <v>68</v>
      </c>
      <c r="K109" s="12">
        <v>46010796</v>
      </c>
      <c r="L109" s="13" t="s">
        <v>2711</v>
      </c>
      <c r="M109" s="213" t="s">
        <v>68</v>
      </c>
      <c r="N109" s="182"/>
      <c r="O109" s="12" t="s">
        <v>2520</v>
      </c>
      <c r="P109" s="12" t="s">
        <v>70</v>
      </c>
      <c r="Q109" s="12" t="s">
        <v>71</v>
      </c>
      <c r="R109" s="12">
        <v>554475</v>
      </c>
      <c r="S109" s="12" t="s">
        <v>72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75</v>
      </c>
      <c r="Z109" s="12"/>
      <c r="AA109" s="12" t="s">
        <v>2703</v>
      </c>
      <c r="AB109" s="13" t="s">
        <v>967</v>
      </c>
      <c r="AC109" s="14">
        <v>45882</v>
      </c>
      <c r="AD109" s="15">
        <v>33</v>
      </c>
      <c r="AE109" s="176" t="s">
        <v>3006</v>
      </c>
      <c r="AF109" s="12">
        <v>371008770</v>
      </c>
      <c r="AG109" s="12" t="s">
        <v>122</v>
      </c>
      <c r="AH109" s="12" t="s">
        <v>78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66</v>
      </c>
      <c r="AP109" s="12" t="s">
        <v>3002</v>
      </c>
      <c r="AQ109" s="12"/>
      <c r="AR109" s="12" t="s">
        <v>3007</v>
      </c>
      <c r="AS109" s="12" t="s">
        <v>3008</v>
      </c>
      <c r="AT109" s="12" t="s">
        <v>3008</v>
      </c>
      <c r="AU109" s="12">
        <v>51</v>
      </c>
      <c r="AV109" s="12" t="s">
        <v>83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2525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10">
      <c r="A110" s="11" t="s">
        <v>3009</v>
      </c>
      <c r="B110" s="12" t="s">
        <v>1888</v>
      </c>
      <c r="C110" s="12" t="s">
        <v>2709</v>
      </c>
      <c r="D110" s="12" t="s">
        <v>63</v>
      </c>
      <c r="E110" s="12" t="s">
        <v>68</v>
      </c>
      <c r="F110" s="12" t="s">
        <v>68</v>
      </c>
      <c r="G110" s="12"/>
      <c r="H110" s="12" t="s">
        <v>146</v>
      </c>
      <c r="I110" s="12" t="s">
        <v>2716</v>
      </c>
      <c r="J110" s="34" t="s">
        <v>68</v>
      </c>
      <c r="K110" s="12">
        <v>46010786</v>
      </c>
      <c r="L110" s="13" t="s">
        <v>2711</v>
      </c>
      <c r="M110" s="12" t="s">
        <v>68</v>
      </c>
      <c r="N110" s="182"/>
      <c r="O110" s="12" t="s">
        <v>2520</v>
      </c>
      <c r="P110" s="12" t="s">
        <v>70</v>
      </c>
      <c r="Q110" s="12" t="s">
        <v>71</v>
      </c>
      <c r="R110" s="12">
        <v>554475</v>
      </c>
      <c r="S110" s="12" t="s">
        <v>72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75</v>
      </c>
      <c r="Z110" s="12"/>
      <c r="AA110" s="12" t="s">
        <v>2703</v>
      </c>
      <c r="AB110" s="13" t="s">
        <v>967</v>
      </c>
      <c r="AC110" s="14">
        <v>45886</v>
      </c>
      <c r="AD110" s="15">
        <v>33</v>
      </c>
      <c r="AE110" s="176" t="s">
        <v>3010</v>
      </c>
      <c r="AF110" s="12">
        <v>371008803</v>
      </c>
      <c r="AG110" s="12" t="s">
        <v>122</v>
      </c>
      <c r="AH110" s="12" t="s">
        <v>78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146</v>
      </c>
      <c r="AP110" s="12" t="s">
        <v>2973</v>
      </c>
      <c r="AQ110" s="12"/>
      <c r="AR110" s="12" t="s">
        <v>3011</v>
      </c>
      <c r="AS110" s="12" t="s">
        <v>3012</v>
      </c>
      <c r="AT110" s="12" t="s">
        <v>3012</v>
      </c>
      <c r="AU110" s="12">
        <v>57</v>
      </c>
      <c r="AV110" s="12" t="s">
        <v>83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2525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10">
      <c r="A111" s="11" t="s">
        <v>3013</v>
      </c>
      <c r="B111" s="12" t="s">
        <v>1888</v>
      </c>
      <c r="C111" s="12" t="s">
        <v>2709</v>
      </c>
      <c r="D111" s="12" t="s">
        <v>63</v>
      </c>
      <c r="E111" s="12" t="s">
        <v>68</v>
      </c>
      <c r="F111" s="12" t="s">
        <v>68</v>
      </c>
      <c r="G111" s="12"/>
      <c r="H111" s="12" t="s">
        <v>146</v>
      </c>
      <c r="I111" s="12" t="s">
        <v>2716</v>
      </c>
      <c r="J111" s="34" t="s">
        <v>68</v>
      </c>
      <c r="K111" s="12">
        <v>46010787</v>
      </c>
      <c r="L111" s="13" t="s">
        <v>2711</v>
      </c>
      <c r="M111" s="12" t="s">
        <v>68</v>
      </c>
      <c r="N111" s="182"/>
      <c r="O111" s="12" t="s">
        <v>2520</v>
      </c>
      <c r="P111" s="12" t="s">
        <v>70</v>
      </c>
      <c r="Q111" s="12" t="s">
        <v>71</v>
      </c>
      <c r="R111" s="12">
        <v>554475</v>
      </c>
      <c r="S111" s="12" t="s">
        <v>72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75</v>
      </c>
      <c r="Z111" s="12"/>
      <c r="AA111" s="12" t="s">
        <v>2703</v>
      </c>
      <c r="AB111" s="13" t="s">
        <v>967</v>
      </c>
      <c r="AC111" s="14">
        <v>45886</v>
      </c>
      <c r="AD111" s="15">
        <v>33</v>
      </c>
      <c r="AE111" s="176" t="s">
        <v>3014</v>
      </c>
      <c r="AF111" s="12">
        <v>371008804</v>
      </c>
      <c r="AG111" s="12" t="s">
        <v>122</v>
      </c>
      <c r="AH111" s="12" t="s">
        <v>78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146</v>
      </c>
      <c r="AP111" s="12" t="s">
        <v>2973</v>
      </c>
      <c r="AQ111" s="12"/>
      <c r="AR111" s="12" t="s">
        <v>3011</v>
      </c>
      <c r="AS111" s="12" t="s">
        <v>3012</v>
      </c>
      <c r="AT111" s="12" t="s">
        <v>3012</v>
      </c>
      <c r="AU111" s="12">
        <v>57</v>
      </c>
      <c r="AV111" s="12" t="s">
        <v>83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2525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10">
      <c r="A112" s="11" t="s">
        <v>3015</v>
      </c>
      <c r="B112" s="12" t="s">
        <v>800</v>
      </c>
      <c r="C112" s="12" t="s">
        <v>2759</v>
      </c>
      <c r="D112" s="12" t="s">
        <v>63</v>
      </c>
      <c r="E112" s="12" t="s">
        <v>64</v>
      </c>
      <c r="F112" s="12" t="s">
        <v>100</v>
      </c>
      <c r="G112" s="12" t="s">
        <v>67</v>
      </c>
      <c r="H112" s="12" t="s">
        <v>66</v>
      </c>
      <c r="I112" s="12" t="s">
        <v>2821</v>
      </c>
      <c r="J112" s="34" t="s">
        <v>68</v>
      </c>
      <c r="K112" s="12"/>
      <c r="L112" s="13" t="s">
        <v>2764</v>
      </c>
      <c r="M112" s="213" t="s">
        <v>68</v>
      </c>
      <c r="N112" s="182"/>
      <c r="O112" s="12" t="s">
        <v>2520</v>
      </c>
      <c r="P112" s="12" t="s">
        <v>70</v>
      </c>
      <c r="Q112" s="12" t="s">
        <v>195</v>
      </c>
      <c r="R112" s="12">
        <v>554473</v>
      </c>
      <c r="S112" s="12" t="s">
        <v>196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75</v>
      </c>
      <c r="Z112" s="12"/>
      <c r="AA112" s="12" t="s">
        <v>2703</v>
      </c>
      <c r="AB112" s="13" t="s">
        <v>967</v>
      </c>
      <c r="AC112" s="14">
        <v>45882</v>
      </c>
      <c r="AD112" s="15">
        <v>33</v>
      </c>
      <c r="AE112" s="176" t="s">
        <v>3016</v>
      </c>
      <c r="AF112" s="12">
        <v>371008769</v>
      </c>
      <c r="AG112" s="12" t="s">
        <v>77</v>
      </c>
      <c r="AH112" s="12" t="s">
        <v>105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66</v>
      </c>
      <c r="AP112" s="12" t="s">
        <v>3017</v>
      </c>
      <c r="AQ112" s="12"/>
      <c r="AR112" s="12" t="s">
        <v>3018</v>
      </c>
      <c r="AS112" s="12" t="s">
        <v>3019</v>
      </c>
      <c r="AT112" s="12" t="s">
        <v>3019</v>
      </c>
      <c r="AU112" s="12">
        <v>64</v>
      </c>
      <c r="AV112" s="12" t="s">
        <v>83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2525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10">
      <c r="A113" s="11" t="s">
        <v>3020</v>
      </c>
      <c r="B113" s="12" t="s">
        <v>111</v>
      </c>
      <c r="C113" s="12" t="s">
        <v>2588</v>
      </c>
      <c r="D113" s="12" t="s">
        <v>63</v>
      </c>
      <c r="E113" s="12" t="s">
        <v>64</v>
      </c>
      <c r="F113" s="12" t="s">
        <v>100</v>
      </c>
      <c r="G113" s="12" t="s">
        <v>67</v>
      </c>
      <c r="H113" s="12" t="s">
        <v>66</v>
      </c>
      <c r="I113" s="12" t="s">
        <v>3021</v>
      </c>
      <c r="J113" s="34" t="s">
        <v>68</v>
      </c>
      <c r="K113" s="12" t="s">
        <v>3022</v>
      </c>
      <c r="L113" s="13" t="s">
        <v>2777</v>
      </c>
      <c r="M113" s="213" t="s">
        <v>68</v>
      </c>
      <c r="N113" s="182"/>
      <c r="O113" s="12" t="s">
        <v>2520</v>
      </c>
      <c r="P113" s="12" t="s">
        <v>70</v>
      </c>
      <c r="Q113" s="12" t="s">
        <v>102</v>
      </c>
      <c r="R113" s="12">
        <v>554245</v>
      </c>
      <c r="S113" s="12" t="s">
        <v>103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75</v>
      </c>
      <c r="Z113" s="12"/>
      <c r="AA113" s="12" t="s">
        <v>108</v>
      </c>
      <c r="AB113" s="32" t="s">
        <v>967</v>
      </c>
      <c r="AC113" s="14">
        <v>45885</v>
      </c>
      <c r="AD113" s="15">
        <v>33</v>
      </c>
      <c r="AE113" s="176" t="s">
        <v>3023</v>
      </c>
      <c r="AF113" s="12">
        <v>371008798</v>
      </c>
      <c r="AG113" s="12" t="s">
        <v>122</v>
      </c>
      <c r="AH113" s="12" t="s">
        <v>105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66</v>
      </c>
      <c r="AP113" s="12" t="s">
        <v>3024</v>
      </c>
      <c r="AQ113" s="12"/>
      <c r="AR113" s="12">
        <v>14130689</v>
      </c>
      <c r="AS113" s="12" t="s">
        <v>3025</v>
      </c>
      <c r="AT113" s="12" t="s">
        <v>3025</v>
      </c>
      <c r="AU113" s="12">
        <v>49</v>
      </c>
      <c r="AV113" s="12" t="s">
        <v>83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2525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10">
      <c r="A114" s="11" t="s">
        <v>2518</v>
      </c>
      <c r="B114" s="12" t="s">
        <v>111</v>
      </c>
      <c r="C114" s="12" t="s">
        <v>203</v>
      </c>
      <c r="D114" s="12" t="s">
        <v>63</v>
      </c>
      <c r="E114" s="12" t="s">
        <v>64</v>
      </c>
      <c r="F114" s="12" t="s">
        <v>100</v>
      </c>
      <c r="G114" s="12" t="s">
        <v>67</v>
      </c>
      <c r="H114" s="12" t="s">
        <v>66</v>
      </c>
      <c r="I114" s="12" t="s">
        <v>96</v>
      </c>
      <c r="J114" s="34" t="s">
        <v>68</v>
      </c>
      <c r="K114" s="12"/>
      <c r="L114" s="13" t="s">
        <v>2519</v>
      </c>
      <c r="M114" s="213" t="s">
        <v>68</v>
      </c>
      <c r="N114" s="182"/>
      <c r="O114" s="12" t="s">
        <v>2520</v>
      </c>
      <c r="P114" s="12" t="s">
        <v>170</v>
      </c>
      <c r="Q114" s="12" t="s">
        <v>171</v>
      </c>
      <c r="R114" s="12">
        <v>552045</v>
      </c>
      <c r="S114" s="12" t="s">
        <v>172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75</v>
      </c>
      <c r="Z114" s="12"/>
      <c r="AA114" s="12" t="s">
        <v>108</v>
      </c>
      <c r="AB114" s="13" t="s">
        <v>992</v>
      </c>
      <c r="AC114" s="14">
        <v>45885</v>
      </c>
      <c r="AD114" s="15">
        <v>33</v>
      </c>
      <c r="AE114" s="176" t="s">
        <v>3026</v>
      </c>
      <c r="AF114" s="12">
        <v>371008796</v>
      </c>
      <c r="AG114" s="12" t="s">
        <v>122</v>
      </c>
      <c r="AH114" s="12" t="s">
        <v>105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66</v>
      </c>
      <c r="AP114" s="12" t="s">
        <v>3024</v>
      </c>
      <c r="AQ114" s="12"/>
      <c r="AR114" s="12" t="s">
        <v>3027</v>
      </c>
      <c r="AS114" s="12" t="s">
        <v>3028</v>
      </c>
      <c r="AT114" s="12" t="s">
        <v>3028</v>
      </c>
      <c r="AU114" s="12">
        <v>49</v>
      </c>
      <c r="AV114" s="12" t="s">
        <v>83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2525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10">
      <c r="A115" s="11" t="s">
        <v>3029</v>
      </c>
      <c r="B115" s="12" t="s">
        <v>111</v>
      </c>
      <c r="C115" s="12" t="s">
        <v>2949</v>
      </c>
      <c r="D115" s="12" t="s">
        <v>63</v>
      </c>
      <c r="E115" s="12" t="s">
        <v>64</v>
      </c>
      <c r="F115" s="12" t="s">
        <v>100</v>
      </c>
      <c r="G115" s="12" t="s">
        <v>67</v>
      </c>
      <c r="H115" s="12" t="s">
        <v>402</v>
      </c>
      <c r="I115" s="12" t="s">
        <v>677</v>
      </c>
      <c r="J115" s="34" t="s">
        <v>68</v>
      </c>
      <c r="K115" s="12">
        <v>14130691</v>
      </c>
      <c r="L115" s="13" t="s">
        <v>2777</v>
      </c>
      <c r="M115" s="213" t="s">
        <v>68</v>
      </c>
      <c r="N115" s="182"/>
      <c r="O115" s="12" t="s">
        <v>2520</v>
      </c>
      <c r="P115" s="12" t="s">
        <v>70</v>
      </c>
      <c r="Q115" s="12" t="s">
        <v>102</v>
      </c>
      <c r="R115" s="12">
        <v>554245</v>
      </c>
      <c r="S115" s="12" t="s">
        <v>103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75</v>
      </c>
      <c r="Z115" s="12"/>
      <c r="AA115" s="12" t="s">
        <v>108</v>
      </c>
      <c r="AB115" s="13" t="s">
        <v>2950</v>
      </c>
      <c r="AC115" s="14">
        <v>45881</v>
      </c>
      <c r="AD115" s="15">
        <v>33</v>
      </c>
      <c r="AE115" s="176" t="s">
        <v>3030</v>
      </c>
      <c r="AF115" s="12">
        <v>371008780</v>
      </c>
      <c r="AG115" s="12" t="s">
        <v>122</v>
      </c>
      <c r="AH115" s="12" t="s">
        <v>105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402</v>
      </c>
      <c r="AP115" s="12" t="s">
        <v>3031</v>
      </c>
      <c r="AQ115" s="12"/>
      <c r="AR115" s="12" t="s">
        <v>3032</v>
      </c>
      <c r="AS115" s="12" t="s">
        <v>3033</v>
      </c>
      <c r="AT115" s="12" t="s">
        <v>3033</v>
      </c>
      <c r="AU115" s="12">
        <v>46</v>
      </c>
      <c r="AV115" s="12" t="s">
        <v>2538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2525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10">
      <c r="A116" s="11" t="s">
        <v>3034</v>
      </c>
      <c r="B116" s="12" t="s">
        <v>111</v>
      </c>
      <c r="C116" s="12" t="s">
        <v>2949</v>
      </c>
      <c r="D116" s="12" t="s">
        <v>63</v>
      </c>
      <c r="E116" s="12" t="s">
        <v>64</v>
      </c>
      <c r="F116" s="12" t="s">
        <v>100</v>
      </c>
      <c r="G116" s="12" t="s">
        <v>67</v>
      </c>
      <c r="H116" s="12" t="s">
        <v>402</v>
      </c>
      <c r="I116" s="12" t="s">
        <v>677</v>
      </c>
      <c r="J116" s="34" t="s">
        <v>68</v>
      </c>
      <c r="K116" s="12">
        <v>14130691</v>
      </c>
      <c r="L116" s="13" t="s">
        <v>2777</v>
      </c>
      <c r="M116" s="213" t="s">
        <v>68</v>
      </c>
      <c r="N116" s="182"/>
      <c r="O116" s="12" t="s">
        <v>2520</v>
      </c>
      <c r="P116" s="12" t="s">
        <v>70</v>
      </c>
      <c r="Q116" s="12" t="s">
        <v>102</v>
      </c>
      <c r="R116" s="12">
        <v>554245</v>
      </c>
      <c r="S116" s="12" t="s">
        <v>103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75</v>
      </c>
      <c r="Z116" s="12"/>
      <c r="AA116" s="12" t="s">
        <v>108</v>
      </c>
      <c r="AB116" s="13" t="s">
        <v>2950</v>
      </c>
      <c r="AC116" s="14">
        <v>45882</v>
      </c>
      <c r="AD116" s="15">
        <v>33</v>
      </c>
      <c r="AE116" s="176" t="s">
        <v>3035</v>
      </c>
      <c r="AF116" s="12">
        <v>371008779</v>
      </c>
      <c r="AG116" s="12" t="s">
        <v>122</v>
      </c>
      <c r="AH116" s="12" t="s">
        <v>105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402</v>
      </c>
      <c r="AP116" s="12" t="s">
        <v>3031</v>
      </c>
      <c r="AQ116" s="12"/>
      <c r="AR116" s="12" t="s">
        <v>3036</v>
      </c>
      <c r="AS116" s="12" t="s">
        <v>3037</v>
      </c>
      <c r="AT116" s="12" t="s">
        <v>3037</v>
      </c>
      <c r="AU116" s="12">
        <v>46</v>
      </c>
      <c r="AV116" s="12" t="s">
        <v>2538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2525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10">
      <c r="A117" s="11" t="s">
        <v>3038</v>
      </c>
      <c r="B117" s="12" t="s">
        <v>111</v>
      </c>
      <c r="C117" s="12" t="s">
        <v>2949</v>
      </c>
      <c r="D117" s="12" t="s">
        <v>63</v>
      </c>
      <c r="E117" s="12" t="s">
        <v>64</v>
      </c>
      <c r="F117" s="12" t="s">
        <v>100</v>
      </c>
      <c r="G117" s="12" t="s">
        <v>67</v>
      </c>
      <c r="H117" s="12" t="s">
        <v>402</v>
      </c>
      <c r="I117" s="12" t="s">
        <v>677</v>
      </c>
      <c r="J117" s="34" t="s">
        <v>68</v>
      </c>
      <c r="K117" s="12" t="s">
        <v>3039</v>
      </c>
      <c r="L117" s="13" t="s">
        <v>2777</v>
      </c>
      <c r="M117" s="213" t="s">
        <v>68</v>
      </c>
      <c r="N117" s="182"/>
      <c r="O117" s="12" t="s">
        <v>2520</v>
      </c>
      <c r="P117" s="12" t="s">
        <v>70</v>
      </c>
      <c r="Q117" s="12" t="s">
        <v>102</v>
      </c>
      <c r="R117" s="12">
        <v>554245</v>
      </c>
      <c r="S117" s="12" t="s">
        <v>103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75</v>
      </c>
      <c r="Z117" s="12"/>
      <c r="AA117" s="12" t="s">
        <v>108</v>
      </c>
      <c r="AB117" s="13" t="s">
        <v>2950</v>
      </c>
      <c r="AC117" s="14">
        <v>45886</v>
      </c>
      <c r="AD117" s="15">
        <v>33</v>
      </c>
      <c r="AE117" s="176" t="s">
        <v>3040</v>
      </c>
      <c r="AF117" s="12">
        <v>371008812</v>
      </c>
      <c r="AG117" s="12" t="s">
        <v>122</v>
      </c>
      <c r="AH117" s="12" t="s">
        <v>105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402</v>
      </c>
      <c r="AP117" s="12" t="s">
        <v>3024</v>
      </c>
      <c r="AQ117" s="12"/>
      <c r="AR117" s="12" t="s">
        <v>3041</v>
      </c>
      <c r="AS117" s="12" t="s">
        <v>3042</v>
      </c>
      <c r="AT117" s="12" t="s">
        <v>3042</v>
      </c>
      <c r="AU117" s="12">
        <v>49</v>
      </c>
      <c r="AV117" s="12" t="s">
        <v>2538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2525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10">
      <c r="A118" s="11" t="s">
        <v>3043</v>
      </c>
      <c r="B118" s="12" t="s">
        <v>111</v>
      </c>
      <c r="C118" s="12" t="s">
        <v>2955</v>
      </c>
      <c r="D118" s="12" t="s">
        <v>63</v>
      </c>
      <c r="E118" s="12" t="s">
        <v>64</v>
      </c>
      <c r="F118" s="12" t="s">
        <v>100</v>
      </c>
      <c r="G118" s="12" t="s">
        <v>67</v>
      </c>
      <c r="H118" s="12" t="s">
        <v>402</v>
      </c>
      <c r="I118" s="12" t="s">
        <v>677</v>
      </c>
      <c r="J118" s="34" t="s">
        <v>68</v>
      </c>
      <c r="K118" s="12">
        <v>14130691</v>
      </c>
      <c r="L118" s="13" t="s">
        <v>2777</v>
      </c>
      <c r="M118" s="213" t="s">
        <v>68</v>
      </c>
      <c r="N118" s="182"/>
      <c r="O118" s="12" t="s">
        <v>2520</v>
      </c>
      <c r="P118" s="12" t="s">
        <v>70</v>
      </c>
      <c r="Q118" s="12" t="s">
        <v>1002</v>
      </c>
      <c r="R118" s="12">
        <v>554246</v>
      </c>
      <c r="S118" s="12" t="s">
        <v>330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75</v>
      </c>
      <c r="Z118" s="12"/>
      <c r="AA118" s="12" t="s">
        <v>108</v>
      </c>
      <c r="AB118" s="13" t="s">
        <v>2950</v>
      </c>
      <c r="AC118" s="14">
        <v>45882</v>
      </c>
      <c r="AD118" s="15">
        <v>33</v>
      </c>
      <c r="AE118" s="176" t="s">
        <v>3044</v>
      </c>
      <c r="AF118" s="12">
        <v>371008781</v>
      </c>
      <c r="AG118" s="12" t="s">
        <v>122</v>
      </c>
      <c r="AH118" s="12" t="s">
        <v>105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402</v>
      </c>
      <c r="AP118" s="12" t="s">
        <v>3031</v>
      </c>
      <c r="AQ118" s="12"/>
      <c r="AR118" s="12" t="s">
        <v>3036</v>
      </c>
      <c r="AS118" s="12" t="s">
        <v>3037</v>
      </c>
      <c r="AT118" s="12" t="s">
        <v>3037</v>
      </c>
      <c r="AU118" s="12">
        <v>46</v>
      </c>
      <c r="AV118" s="12" t="s">
        <v>2538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2525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10">
      <c r="A119" s="11" t="s">
        <v>3045</v>
      </c>
      <c r="B119" s="12" t="s">
        <v>111</v>
      </c>
      <c r="C119" s="12" t="s">
        <v>203</v>
      </c>
      <c r="D119" s="12" t="s">
        <v>63</v>
      </c>
      <c r="E119" s="12" t="s">
        <v>64</v>
      </c>
      <c r="F119" s="12" t="s">
        <v>65</v>
      </c>
      <c r="G119" s="12" t="s">
        <v>67</v>
      </c>
      <c r="H119" s="12" t="s">
        <v>66</v>
      </c>
      <c r="I119" s="12" t="s">
        <v>96</v>
      </c>
      <c r="J119" s="34" t="s">
        <v>68</v>
      </c>
      <c r="K119" s="12"/>
      <c r="L119" s="13" t="s">
        <v>2519</v>
      </c>
      <c r="M119" s="213" t="s">
        <v>68</v>
      </c>
      <c r="N119" s="182"/>
      <c r="O119" s="12" t="s">
        <v>2520</v>
      </c>
      <c r="P119" s="12" t="s">
        <v>473</v>
      </c>
      <c r="Q119" s="12" t="s">
        <v>763</v>
      </c>
      <c r="R119" s="12">
        <v>553146</v>
      </c>
      <c r="S119" s="12" t="s">
        <v>764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75</v>
      </c>
      <c r="Z119" s="12"/>
      <c r="AA119" s="12" t="s">
        <v>85</v>
      </c>
      <c r="AB119" s="13" t="s">
        <v>967</v>
      </c>
      <c r="AC119" s="14">
        <v>45882</v>
      </c>
      <c r="AD119" s="15">
        <v>33</v>
      </c>
      <c r="AE119" s="176" t="s">
        <v>3046</v>
      </c>
      <c r="AF119" s="12">
        <v>371008782</v>
      </c>
      <c r="AG119" s="12" t="s">
        <v>122</v>
      </c>
      <c r="AH119" s="12" t="s">
        <v>78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66</v>
      </c>
      <c r="AP119" s="12" t="s">
        <v>2973</v>
      </c>
      <c r="AQ119" s="12"/>
      <c r="AR119" s="12" t="s">
        <v>3047</v>
      </c>
      <c r="AS119" s="12" t="s">
        <v>3048</v>
      </c>
      <c r="AT119" s="12" t="s">
        <v>3048</v>
      </c>
      <c r="AU119" s="12">
        <v>57</v>
      </c>
      <c r="AV119" s="12" t="s">
        <v>83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2525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10">
      <c r="A120" s="11" t="s">
        <v>3049</v>
      </c>
      <c r="B120" s="12" t="s">
        <v>111</v>
      </c>
      <c r="C120" s="12" t="s">
        <v>3050</v>
      </c>
      <c r="D120" s="12" t="s">
        <v>63</v>
      </c>
      <c r="E120" s="12" t="s">
        <v>68</v>
      </c>
      <c r="F120" s="12" t="s">
        <v>68</v>
      </c>
      <c r="G120" s="12"/>
      <c r="H120" s="12" t="s">
        <v>66</v>
      </c>
      <c r="I120" s="12" t="s">
        <v>3051</v>
      </c>
      <c r="J120" s="34" t="s">
        <v>68</v>
      </c>
      <c r="K120" s="12">
        <v>19143062</v>
      </c>
      <c r="L120" s="13" t="s">
        <v>2542</v>
      </c>
      <c r="M120" s="12" t="s">
        <v>68</v>
      </c>
      <c r="N120" s="182"/>
      <c r="O120" s="12" t="s">
        <v>2520</v>
      </c>
      <c r="P120" s="12" t="s">
        <v>132</v>
      </c>
      <c r="Q120" s="12" t="s">
        <v>453</v>
      </c>
      <c r="R120" s="12">
        <v>554541</v>
      </c>
      <c r="S120" s="12" t="s">
        <v>454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75</v>
      </c>
      <c r="Z120" s="12"/>
      <c r="AA120" s="12" t="s">
        <v>108</v>
      </c>
      <c r="AB120" s="32" t="s">
        <v>967</v>
      </c>
      <c r="AC120" s="14">
        <v>45882</v>
      </c>
      <c r="AD120" s="15">
        <v>33</v>
      </c>
      <c r="AE120" s="176" t="s">
        <v>3052</v>
      </c>
      <c r="AF120" s="12">
        <v>371008789</v>
      </c>
      <c r="AG120" s="12" t="s">
        <v>122</v>
      </c>
      <c r="AH120" s="12" t="s">
        <v>314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66</v>
      </c>
      <c r="AP120" s="12" t="s">
        <v>3053</v>
      </c>
      <c r="AQ120" s="12"/>
      <c r="AR120" s="12" t="s">
        <v>3054</v>
      </c>
      <c r="AS120" s="12" t="s">
        <v>3055</v>
      </c>
      <c r="AT120" s="12" t="s">
        <v>3055</v>
      </c>
      <c r="AU120" s="12">
        <v>55</v>
      </c>
      <c r="AV120" s="12" t="s">
        <v>83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2525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10">
      <c r="A121" s="11" t="s">
        <v>3056</v>
      </c>
      <c r="B121" s="12" t="s">
        <v>111</v>
      </c>
      <c r="C121" s="12" t="s">
        <v>3050</v>
      </c>
      <c r="D121" s="12" t="s">
        <v>63</v>
      </c>
      <c r="E121" s="12" t="s">
        <v>68</v>
      </c>
      <c r="F121" s="12" t="s">
        <v>68</v>
      </c>
      <c r="G121" s="12"/>
      <c r="H121" s="12" t="s">
        <v>66</v>
      </c>
      <c r="I121" s="12" t="s">
        <v>3057</v>
      </c>
      <c r="J121" s="34" t="s">
        <v>68</v>
      </c>
      <c r="K121" s="12">
        <v>19142945</v>
      </c>
      <c r="L121" s="13" t="s">
        <v>2542</v>
      </c>
      <c r="M121" s="12" t="s">
        <v>68</v>
      </c>
      <c r="N121" s="182"/>
      <c r="O121" s="12" t="s">
        <v>2520</v>
      </c>
      <c r="P121" s="12" t="s">
        <v>132</v>
      </c>
      <c r="Q121" s="12" t="s">
        <v>453</v>
      </c>
      <c r="R121" s="12">
        <v>554541</v>
      </c>
      <c r="S121" s="12" t="s">
        <v>454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75</v>
      </c>
      <c r="Z121" s="12"/>
      <c r="AA121" s="12" t="s">
        <v>108</v>
      </c>
      <c r="AB121" s="32" t="s">
        <v>967</v>
      </c>
      <c r="AC121" s="14">
        <v>45882</v>
      </c>
      <c r="AD121" s="15">
        <v>33</v>
      </c>
      <c r="AE121" s="176" t="s">
        <v>3058</v>
      </c>
      <c r="AF121" s="12">
        <v>371008790</v>
      </c>
      <c r="AG121" s="12" t="s">
        <v>122</v>
      </c>
      <c r="AH121" s="12" t="s">
        <v>314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66</v>
      </c>
      <c r="AP121" s="12" t="s">
        <v>3053</v>
      </c>
      <c r="AQ121" s="12"/>
      <c r="AR121" s="12" t="s">
        <v>3054</v>
      </c>
      <c r="AS121" s="12" t="s">
        <v>3055</v>
      </c>
      <c r="AT121" s="12" t="s">
        <v>3055</v>
      </c>
      <c r="AU121" s="12">
        <v>55</v>
      </c>
      <c r="AV121" s="12" t="s">
        <v>83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2525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10">
      <c r="A122" s="11" t="s">
        <v>3059</v>
      </c>
      <c r="B122" s="12" t="s">
        <v>111</v>
      </c>
      <c r="C122" s="12" t="s">
        <v>3050</v>
      </c>
      <c r="D122" s="12" t="s">
        <v>63</v>
      </c>
      <c r="E122" s="12" t="s">
        <v>68</v>
      </c>
      <c r="F122" s="12" t="s">
        <v>68</v>
      </c>
      <c r="G122" s="12"/>
      <c r="H122" s="12" t="s">
        <v>66</v>
      </c>
      <c r="I122" s="12" t="s">
        <v>3060</v>
      </c>
      <c r="J122" s="34" t="s">
        <v>68</v>
      </c>
      <c r="K122" s="12">
        <v>19142942</v>
      </c>
      <c r="L122" s="13" t="s">
        <v>2542</v>
      </c>
      <c r="M122" s="12" t="s">
        <v>68</v>
      </c>
      <c r="N122" s="182"/>
      <c r="O122" s="12" t="s">
        <v>2520</v>
      </c>
      <c r="P122" s="12" t="s">
        <v>132</v>
      </c>
      <c r="Q122" s="12" t="s">
        <v>453</v>
      </c>
      <c r="R122" s="12">
        <v>554541</v>
      </c>
      <c r="S122" s="12" t="s">
        <v>454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75</v>
      </c>
      <c r="Z122" s="12"/>
      <c r="AA122" s="12" t="s">
        <v>108</v>
      </c>
      <c r="AB122" s="32" t="s">
        <v>967</v>
      </c>
      <c r="AC122" s="14">
        <v>45882</v>
      </c>
      <c r="AD122" s="15">
        <v>33</v>
      </c>
      <c r="AE122" s="176" t="s">
        <v>3061</v>
      </c>
      <c r="AF122" s="12">
        <v>371008791</v>
      </c>
      <c r="AG122" s="12" t="s">
        <v>122</v>
      </c>
      <c r="AH122" s="12" t="s">
        <v>314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66</v>
      </c>
      <c r="AP122" s="12" t="s">
        <v>3053</v>
      </c>
      <c r="AQ122" s="12"/>
      <c r="AR122" s="12" t="s">
        <v>3054</v>
      </c>
      <c r="AS122" s="12" t="s">
        <v>3055</v>
      </c>
      <c r="AT122" s="12" t="s">
        <v>3055</v>
      </c>
      <c r="AU122" s="12">
        <v>55</v>
      </c>
      <c r="AV122" s="12" t="s">
        <v>83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2525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10">
      <c r="A123" s="11" t="s">
        <v>2883</v>
      </c>
      <c r="B123" s="12" t="s">
        <v>111</v>
      </c>
      <c r="C123" s="12" t="s">
        <v>203</v>
      </c>
      <c r="D123" s="12" t="s">
        <v>63</v>
      </c>
      <c r="E123" s="12" t="s">
        <v>68</v>
      </c>
      <c r="F123" s="12" t="s">
        <v>68</v>
      </c>
      <c r="G123" s="12"/>
      <c r="H123" s="12" t="s">
        <v>66</v>
      </c>
      <c r="I123" s="12" t="s">
        <v>1292</v>
      </c>
      <c r="J123" s="34" t="s">
        <v>68</v>
      </c>
      <c r="K123" s="12"/>
      <c r="L123" s="13" t="s">
        <v>2876</v>
      </c>
      <c r="M123" s="12" t="s">
        <v>68</v>
      </c>
      <c r="N123" s="182"/>
      <c r="O123" s="12" t="s">
        <v>2520</v>
      </c>
      <c r="P123" s="12" t="s">
        <v>473</v>
      </c>
      <c r="Q123" s="12" t="s">
        <v>529</v>
      </c>
      <c r="R123" s="12">
        <v>553145</v>
      </c>
      <c r="S123" s="12" t="s">
        <v>530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75</v>
      </c>
      <c r="Z123" s="12"/>
      <c r="AA123" s="12" t="s">
        <v>85</v>
      </c>
      <c r="AB123" s="13" t="s">
        <v>967</v>
      </c>
      <c r="AC123" s="14">
        <v>45881</v>
      </c>
      <c r="AD123" s="15">
        <v>33</v>
      </c>
      <c r="AE123" s="176" t="s">
        <v>3062</v>
      </c>
      <c r="AF123" s="12">
        <v>371008783</v>
      </c>
      <c r="AG123" s="12" t="s">
        <v>122</v>
      </c>
      <c r="AH123" s="12" t="s">
        <v>456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66</v>
      </c>
      <c r="AP123" s="12" t="s">
        <v>3031</v>
      </c>
      <c r="AQ123" s="12"/>
      <c r="AR123" s="12" t="s">
        <v>3063</v>
      </c>
      <c r="AS123" s="12" t="s">
        <v>3064</v>
      </c>
      <c r="AT123" s="12" t="s">
        <v>3064</v>
      </c>
      <c r="AU123" s="12">
        <v>61</v>
      </c>
      <c r="AV123" s="12" t="s">
        <v>83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2525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10">
      <c r="A124" s="11" t="s">
        <v>3065</v>
      </c>
      <c r="B124" s="12" t="s">
        <v>111</v>
      </c>
      <c r="C124" s="12" t="s">
        <v>2883</v>
      </c>
      <c r="D124" s="12" t="s">
        <v>63</v>
      </c>
      <c r="E124" s="12" t="s">
        <v>64</v>
      </c>
      <c r="F124" s="12" t="s">
        <v>100</v>
      </c>
      <c r="G124" s="12" t="s">
        <v>67</v>
      </c>
      <c r="H124" s="12" t="s">
        <v>66</v>
      </c>
      <c r="I124" s="12" t="s">
        <v>96</v>
      </c>
      <c r="J124" s="34" t="s">
        <v>68</v>
      </c>
      <c r="K124" s="12"/>
      <c r="L124" s="13" t="s">
        <v>2519</v>
      </c>
      <c r="M124" s="213" t="s">
        <v>68</v>
      </c>
      <c r="N124" s="182"/>
      <c r="O124" s="12" t="s">
        <v>2520</v>
      </c>
      <c r="P124" s="12" t="s">
        <v>473</v>
      </c>
      <c r="Q124" s="12" t="s">
        <v>529</v>
      </c>
      <c r="R124" s="12">
        <v>553145</v>
      </c>
      <c r="S124" s="12" t="s">
        <v>530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75</v>
      </c>
      <c r="Z124" s="12"/>
      <c r="AA124" s="12" t="s">
        <v>85</v>
      </c>
      <c r="AB124" s="13" t="s">
        <v>967</v>
      </c>
      <c r="AC124" s="14">
        <v>45882</v>
      </c>
      <c r="AD124" s="15">
        <v>33</v>
      </c>
      <c r="AE124" s="176" t="s">
        <v>3066</v>
      </c>
      <c r="AF124" s="12">
        <v>371008784</v>
      </c>
      <c r="AG124" s="12" t="s">
        <v>122</v>
      </c>
      <c r="AH124" s="12" t="s">
        <v>105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66</v>
      </c>
      <c r="AP124" s="12" t="s">
        <v>3067</v>
      </c>
      <c r="AQ124" s="12"/>
      <c r="AR124" s="12" t="s">
        <v>3068</v>
      </c>
      <c r="AS124" s="12" t="s">
        <v>3069</v>
      </c>
      <c r="AT124" s="12" t="s">
        <v>3069</v>
      </c>
      <c r="AU124" s="12">
        <v>44</v>
      </c>
      <c r="AV124" s="12" t="s">
        <v>83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2525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10">
      <c r="A125" s="11" t="s">
        <v>3070</v>
      </c>
      <c r="B125" s="12" t="s">
        <v>111</v>
      </c>
      <c r="C125" s="12" t="s">
        <v>2883</v>
      </c>
      <c r="D125" s="12" t="s">
        <v>63</v>
      </c>
      <c r="E125" s="12" t="s">
        <v>68</v>
      </c>
      <c r="F125" s="12" t="s">
        <v>68</v>
      </c>
      <c r="G125" s="12"/>
      <c r="H125" s="12" t="s">
        <v>66</v>
      </c>
      <c r="I125" s="12" t="s">
        <v>1559</v>
      </c>
      <c r="J125" s="34" t="s">
        <v>68</v>
      </c>
      <c r="K125" s="12"/>
      <c r="L125" s="13" t="s">
        <v>2542</v>
      </c>
      <c r="M125" s="12" t="s">
        <v>68</v>
      </c>
      <c r="N125" s="182"/>
      <c r="O125" s="12" t="s">
        <v>2520</v>
      </c>
      <c r="P125" s="12" t="s">
        <v>473</v>
      </c>
      <c r="Q125" s="12" t="s">
        <v>529</v>
      </c>
      <c r="R125" s="12">
        <v>553145</v>
      </c>
      <c r="S125" s="12" t="s">
        <v>530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75</v>
      </c>
      <c r="Z125" s="12"/>
      <c r="AA125" s="12" t="s">
        <v>85</v>
      </c>
      <c r="AB125" s="13" t="s">
        <v>967</v>
      </c>
      <c r="AC125" s="14">
        <v>45885</v>
      </c>
      <c r="AD125" s="15">
        <v>33</v>
      </c>
      <c r="AE125" s="176" t="s">
        <v>3071</v>
      </c>
      <c r="AF125" s="12">
        <v>371008785</v>
      </c>
      <c r="AG125" s="12" t="s">
        <v>122</v>
      </c>
      <c r="AH125" s="12" t="s">
        <v>1561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66</v>
      </c>
      <c r="AP125" s="12" t="s">
        <v>2973</v>
      </c>
      <c r="AQ125" s="12"/>
      <c r="AR125" s="12" t="s">
        <v>2982</v>
      </c>
      <c r="AS125" s="12" t="s">
        <v>2983</v>
      </c>
      <c r="AT125" s="12" t="s">
        <v>2984</v>
      </c>
      <c r="AU125" s="12">
        <v>76</v>
      </c>
      <c r="AV125" s="12" t="s">
        <v>83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2525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10">
      <c r="A126" s="11" t="s">
        <v>2905</v>
      </c>
      <c r="B126" s="12" t="s">
        <v>111</v>
      </c>
      <c r="C126" s="12" t="s">
        <v>203</v>
      </c>
      <c r="D126" s="12" t="s">
        <v>63</v>
      </c>
      <c r="E126" s="12" t="s">
        <v>64</v>
      </c>
      <c r="F126" s="12" t="s">
        <v>65</v>
      </c>
      <c r="G126" s="12" t="s">
        <v>67</v>
      </c>
      <c r="H126" s="12" t="s">
        <v>66</v>
      </c>
      <c r="I126" s="12" t="s">
        <v>96</v>
      </c>
      <c r="J126" s="34" t="s">
        <v>68</v>
      </c>
      <c r="K126" s="12"/>
      <c r="L126" s="13" t="s">
        <v>2519</v>
      </c>
      <c r="M126" s="213" t="s">
        <v>68</v>
      </c>
      <c r="N126" s="182"/>
      <c r="O126" s="12" t="s">
        <v>2520</v>
      </c>
      <c r="P126" s="12" t="s">
        <v>2655</v>
      </c>
      <c r="Q126" s="12" t="s">
        <v>2656</v>
      </c>
      <c r="R126" s="12">
        <v>553098</v>
      </c>
      <c r="S126" s="12" t="s">
        <v>2657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75</v>
      </c>
      <c r="Z126" s="12"/>
      <c r="AA126" s="12" t="s">
        <v>108</v>
      </c>
      <c r="AB126" s="13" t="s">
        <v>992</v>
      </c>
      <c r="AC126" s="14">
        <v>45881</v>
      </c>
      <c r="AD126" s="15">
        <v>33</v>
      </c>
      <c r="AE126" s="176" t="s">
        <v>3072</v>
      </c>
      <c r="AF126" s="12">
        <v>371008787</v>
      </c>
      <c r="AG126" s="12" t="s">
        <v>122</v>
      </c>
      <c r="AH126" s="12" t="s">
        <v>78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66</v>
      </c>
      <c r="AP126" s="12" t="s">
        <v>3053</v>
      </c>
      <c r="AQ126" s="12"/>
      <c r="AR126" s="12" t="s">
        <v>3073</v>
      </c>
      <c r="AS126" s="12" t="s">
        <v>3074</v>
      </c>
      <c r="AT126" s="12" t="s">
        <v>3074</v>
      </c>
      <c r="AU126" s="12">
        <v>58</v>
      </c>
      <c r="AV126" s="12" t="s">
        <v>83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2525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10">
      <c r="A127" s="11" t="s">
        <v>3075</v>
      </c>
      <c r="B127" s="12" t="s">
        <v>61</v>
      </c>
      <c r="C127" s="12" t="s">
        <v>769</v>
      </c>
      <c r="D127" s="12" t="s">
        <v>63</v>
      </c>
      <c r="E127" s="12" t="s">
        <v>68</v>
      </c>
      <c r="F127" s="12" t="s">
        <v>68</v>
      </c>
      <c r="G127" s="12"/>
      <c r="H127" s="12" t="s">
        <v>146</v>
      </c>
      <c r="I127" s="12" t="s">
        <v>1081</v>
      </c>
      <c r="J127" s="34" t="s">
        <v>68</v>
      </c>
      <c r="K127" s="12">
        <v>46010818</v>
      </c>
      <c r="L127" s="13" t="s">
        <v>2764</v>
      </c>
      <c r="M127" s="12" t="s">
        <v>68</v>
      </c>
      <c r="N127" s="182"/>
      <c r="O127" s="12" t="s">
        <v>2520</v>
      </c>
      <c r="P127" s="12" t="s">
        <v>70</v>
      </c>
      <c r="Q127" s="12" t="s">
        <v>195</v>
      </c>
      <c r="R127" s="12">
        <v>554473</v>
      </c>
      <c r="S127" s="12" t="s">
        <v>196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75</v>
      </c>
      <c r="Z127" s="12"/>
      <c r="AA127" s="12" t="s">
        <v>2703</v>
      </c>
      <c r="AB127" s="13" t="s">
        <v>967</v>
      </c>
      <c r="AC127" s="14">
        <v>45882</v>
      </c>
      <c r="AD127" s="15">
        <v>33</v>
      </c>
      <c r="AE127" s="176" t="s">
        <v>3076</v>
      </c>
      <c r="AF127" s="12">
        <v>371008792</v>
      </c>
      <c r="AG127" s="12" t="s">
        <v>77</v>
      </c>
      <c r="AH127" s="12" t="s">
        <v>105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146</v>
      </c>
      <c r="AP127" s="12" t="s">
        <v>3017</v>
      </c>
      <c r="AQ127" s="12"/>
      <c r="AR127" s="12">
        <v>46010818</v>
      </c>
      <c r="AS127" s="12" t="s">
        <v>3077</v>
      </c>
      <c r="AT127" s="12" t="s">
        <v>3077</v>
      </c>
      <c r="AU127" s="12">
        <v>64</v>
      </c>
      <c r="AV127" s="12" t="s">
        <v>2538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2525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10">
      <c r="A128" s="11" t="s">
        <v>3078</v>
      </c>
      <c r="B128" s="12" t="s">
        <v>61</v>
      </c>
      <c r="C128" s="12" t="s">
        <v>769</v>
      </c>
      <c r="D128" s="12" t="s">
        <v>63</v>
      </c>
      <c r="E128" s="12" t="s">
        <v>64</v>
      </c>
      <c r="F128" s="12" t="s">
        <v>100</v>
      </c>
      <c r="G128" s="12" t="s">
        <v>67</v>
      </c>
      <c r="H128" s="12" t="s">
        <v>66</v>
      </c>
      <c r="I128" s="12" t="s">
        <v>2821</v>
      </c>
      <c r="J128" s="34" t="s">
        <v>68</v>
      </c>
      <c r="K128" s="12"/>
      <c r="L128" s="13" t="s">
        <v>2764</v>
      </c>
      <c r="M128" s="213" t="s">
        <v>68</v>
      </c>
      <c r="N128" s="182"/>
      <c r="O128" s="12" t="s">
        <v>2520</v>
      </c>
      <c r="P128" s="12" t="s">
        <v>70</v>
      </c>
      <c r="Q128" s="12" t="s">
        <v>195</v>
      </c>
      <c r="R128" s="12">
        <v>554473</v>
      </c>
      <c r="S128" s="12" t="s">
        <v>196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75</v>
      </c>
      <c r="Z128" s="12"/>
      <c r="AA128" s="12" t="s">
        <v>2703</v>
      </c>
      <c r="AB128" s="13" t="s">
        <v>967</v>
      </c>
      <c r="AC128" s="14">
        <v>45888</v>
      </c>
      <c r="AD128" s="15">
        <v>34</v>
      </c>
      <c r="AE128" s="176" t="s">
        <v>3079</v>
      </c>
      <c r="AF128" s="12">
        <v>371008814</v>
      </c>
      <c r="AG128" s="12" t="s">
        <v>77</v>
      </c>
      <c r="AH128" s="12" t="s">
        <v>105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66</v>
      </c>
      <c r="AP128" s="12" t="s">
        <v>3080</v>
      </c>
      <c r="AQ128" s="12"/>
      <c r="AR128" s="12" t="s">
        <v>3081</v>
      </c>
      <c r="AS128" s="12" t="s">
        <v>3082</v>
      </c>
      <c r="AT128" s="12" t="s">
        <v>3082</v>
      </c>
      <c r="AU128" s="12">
        <v>57</v>
      </c>
      <c r="AV128" s="12" t="s">
        <v>83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2525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10">
      <c r="A129" s="11" t="s">
        <v>3083</v>
      </c>
      <c r="B129" s="12" t="s">
        <v>111</v>
      </c>
      <c r="C129" s="12" t="s">
        <v>2955</v>
      </c>
      <c r="D129" s="12" t="s">
        <v>63</v>
      </c>
      <c r="E129" s="12" t="s">
        <v>64</v>
      </c>
      <c r="F129" s="12" t="s">
        <v>100</v>
      </c>
      <c r="G129" s="12" t="s">
        <v>67</v>
      </c>
      <c r="H129" s="12" t="s">
        <v>402</v>
      </c>
      <c r="I129" s="12" t="s">
        <v>677</v>
      </c>
      <c r="J129" s="34" t="s">
        <v>68</v>
      </c>
      <c r="K129" s="12">
        <v>14130691</v>
      </c>
      <c r="L129" s="13" t="s">
        <v>2777</v>
      </c>
      <c r="M129" s="213" t="s">
        <v>68</v>
      </c>
      <c r="N129" s="182"/>
      <c r="O129" s="12" t="s">
        <v>2520</v>
      </c>
      <c r="P129" s="12" t="s">
        <v>70</v>
      </c>
      <c r="Q129" s="12" t="s">
        <v>1002</v>
      </c>
      <c r="R129" s="12">
        <v>554246</v>
      </c>
      <c r="S129" s="12" t="s">
        <v>330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75</v>
      </c>
      <c r="Z129" s="12"/>
      <c r="AA129" s="12" t="s">
        <v>108</v>
      </c>
      <c r="AB129" s="13" t="s">
        <v>2950</v>
      </c>
      <c r="AC129" s="14">
        <v>45887</v>
      </c>
      <c r="AD129" s="15">
        <v>34</v>
      </c>
      <c r="AE129" s="176" t="s">
        <v>3084</v>
      </c>
      <c r="AF129" s="12">
        <v>371008813</v>
      </c>
      <c r="AG129" s="12" t="s">
        <v>122</v>
      </c>
      <c r="AH129" s="12" t="s">
        <v>105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402</v>
      </c>
      <c r="AP129" s="12" t="s">
        <v>3024</v>
      </c>
      <c r="AQ129" s="12"/>
      <c r="AR129" s="12" t="s">
        <v>3085</v>
      </c>
      <c r="AS129" s="12" t="s">
        <v>3086</v>
      </c>
      <c r="AT129" s="12" t="s">
        <v>3086</v>
      </c>
      <c r="AU129" s="12">
        <v>49</v>
      </c>
      <c r="AV129" s="12" t="s">
        <v>2538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2525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10">
      <c r="A130" s="11" t="s">
        <v>3087</v>
      </c>
      <c r="B130" s="12" t="s">
        <v>111</v>
      </c>
      <c r="C130" s="12" t="s">
        <v>2955</v>
      </c>
      <c r="D130" s="12" t="s">
        <v>63</v>
      </c>
      <c r="E130" s="12" t="s">
        <v>64</v>
      </c>
      <c r="F130" s="12" t="s">
        <v>100</v>
      </c>
      <c r="G130" s="12" t="s">
        <v>67</v>
      </c>
      <c r="H130" s="12" t="s">
        <v>402</v>
      </c>
      <c r="I130" s="12" t="s">
        <v>677</v>
      </c>
      <c r="J130" s="34" t="s">
        <v>68</v>
      </c>
      <c r="K130" s="12" t="s">
        <v>3088</v>
      </c>
      <c r="L130" s="13" t="s">
        <v>2777</v>
      </c>
      <c r="M130" s="213" t="s">
        <v>68</v>
      </c>
      <c r="N130" s="182"/>
      <c r="O130" s="12" t="s">
        <v>2520</v>
      </c>
      <c r="P130" s="12" t="s">
        <v>70</v>
      </c>
      <c r="Q130" s="12" t="s">
        <v>1002</v>
      </c>
      <c r="R130" s="12">
        <v>554246</v>
      </c>
      <c r="S130" s="12" t="s">
        <v>330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75</v>
      </c>
      <c r="Z130" s="12"/>
      <c r="AA130" s="12" t="s">
        <v>108</v>
      </c>
      <c r="AB130" s="13" t="s">
        <v>2950</v>
      </c>
      <c r="AC130" s="14">
        <v>45892</v>
      </c>
      <c r="AD130" s="15">
        <v>34</v>
      </c>
      <c r="AE130" s="176" t="s">
        <v>3089</v>
      </c>
      <c r="AF130" s="12">
        <v>371008835</v>
      </c>
      <c r="AG130" s="12" t="s">
        <v>122</v>
      </c>
      <c r="AH130" s="12" t="s">
        <v>105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402</v>
      </c>
      <c r="AP130" s="12" t="s">
        <v>3090</v>
      </c>
      <c r="AQ130" s="12"/>
      <c r="AR130" s="12" t="s">
        <v>3091</v>
      </c>
      <c r="AS130" s="12" t="s">
        <v>3092</v>
      </c>
      <c r="AT130" s="12" t="s">
        <v>3092</v>
      </c>
      <c r="AU130" s="12">
        <v>63</v>
      </c>
      <c r="AV130" s="12" t="s">
        <v>2538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2525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10">
      <c r="A131" s="11" t="s">
        <v>3093</v>
      </c>
      <c r="B131" s="12" t="s">
        <v>111</v>
      </c>
      <c r="C131" s="12" t="s">
        <v>2949</v>
      </c>
      <c r="D131" s="12" t="s">
        <v>63</v>
      </c>
      <c r="E131" s="12" t="s">
        <v>64</v>
      </c>
      <c r="F131" s="12" t="s">
        <v>100</v>
      </c>
      <c r="G131" s="12" t="s">
        <v>67</v>
      </c>
      <c r="H131" s="12" t="s">
        <v>402</v>
      </c>
      <c r="I131" s="12" t="s">
        <v>677</v>
      </c>
      <c r="J131" s="34" t="s">
        <v>68</v>
      </c>
      <c r="K131" s="12">
        <v>14130691</v>
      </c>
      <c r="L131" s="13" t="s">
        <v>2777</v>
      </c>
      <c r="M131" s="213" t="s">
        <v>68</v>
      </c>
      <c r="N131" s="182"/>
      <c r="O131" s="12" t="s">
        <v>2520</v>
      </c>
      <c r="P131" s="12" t="s">
        <v>70</v>
      </c>
      <c r="Q131" s="12" t="s">
        <v>102</v>
      </c>
      <c r="R131" s="12">
        <v>554245</v>
      </c>
      <c r="S131" s="12" t="s">
        <v>103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75</v>
      </c>
      <c r="Z131" s="12"/>
      <c r="AA131" s="12" t="s">
        <v>108</v>
      </c>
      <c r="AB131" s="13" t="s">
        <v>2950</v>
      </c>
      <c r="AC131" s="14">
        <v>45893</v>
      </c>
      <c r="AD131" s="15">
        <v>34</v>
      </c>
      <c r="AE131" s="176" t="s">
        <v>3094</v>
      </c>
      <c r="AF131" s="12">
        <v>371008834</v>
      </c>
      <c r="AG131" s="12" t="s">
        <v>122</v>
      </c>
      <c r="AH131" s="12" t="s">
        <v>105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402</v>
      </c>
      <c r="AP131" s="12" t="s">
        <v>3090</v>
      </c>
      <c r="AQ131" s="12"/>
      <c r="AR131" s="12" t="s">
        <v>3095</v>
      </c>
      <c r="AS131" s="12" t="s">
        <v>3096</v>
      </c>
      <c r="AT131" s="12" t="s">
        <v>3096</v>
      </c>
      <c r="AU131" s="12">
        <v>63</v>
      </c>
      <c r="AV131" s="12" t="s">
        <v>2538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2525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10">
      <c r="A132" s="11" t="s">
        <v>3097</v>
      </c>
      <c r="B132" s="12" t="s">
        <v>2819</v>
      </c>
      <c r="C132" s="12" t="s">
        <v>2820</v>
      </c>
      <c r="D132" s="12" t="s">
        <v>63</v>
      </c>
      <c r="E132" s="12" t="s">
        <v>64</v>
      </c>
      <c r="F132" s="12" t="s">
        <v>100</v>
      </c>
      <c r="G132" s="12" t="s">
        <v>67</v>
      </c>
      <c r="H132" s="12" t="s">
        <v>66</v>
      </c>
      <c r="I132" s="12" t="s">
        <v>3098</v>
      </c>
      <c r="J132" s="34" t="s">
        <v>68</v>
      </c>
      <c r="K132" s="12">
        <v>39011433</v>
      </c>
      <c r="L132" s="13" t="s">
        <v>2764</v>
      </c>
      <c r="M132" s="213" t="s">
        <v>68</v>
      </c>
      <c r="N132" s="182"/>
      <c r="O132" s="12" t="s">
        <v>2520</v>
      </c>
      <c r="P132" s="12" t="s">
        <v>284</v>
      </c>
      <c r="Q132" s="12" t="s">
        <v>2822</v>
      </c>
      <c r="R132" s="12">
        <v>554320</v>
      </c>
      <c r="S132" s="12" t="s">
        <v>2823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75</v>
      </c>
      <c r="Z132" s="12"/>
      <c r="AA132" s="12" t="s">
        <v>85</v>
      </c>
      <c r="AB132" s="13" t="s">
        <v>967</v>
      </c>
      <c r="AC132" s="14">
        <v>45888</v>
      </c>
      <c r="AD132" s="15">
        <v>34</v>
      </c>
      <c r="AE132" s="176" t="s">
        <v>3099</v>
      </c>
      <c r="AF132" s="12">
        <v>371008809</v>
      </c>
      <c r="AG132" s="12" t="s">
        <v>288</v>
      </c>
      <c r="AH132" s="12" t="s">
        <v>105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66</v>
      </c>
      <c r="AP132" s="12" t="s">
        <v>3100</v>
      </c>
      <c r="AQ132" s="12"/>
      <c r="AR132" s="12" t="s">
        <v>3101</v>
      </c>
      <c r="AS132" s="12" t="s">
        <v>3102</v>
      </c>
      <c r="AT132" s="12" t="s">
        <v>3102</v>
      </c>
      <c r="AU132" s="12">
        <v>35</v>
      </c>
      <c r="AV132" s="12" t="s">
        <v>83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2525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10">
      <c r="A133" s="11" t="s">
        <v>3103</v>
      </c>
      <c r="B133" s="12" t="s">
        <v>2819</v>
      </c>
      <c r="C133" s="12" t="s">
        <v>2820</v>
      </c>
      <c r="D133" s="12" t="s">
        <v>63</v>
      </c>
      <c r="E133" s="12" t="s">
        <v>68</v>
      </c>
      <c r="F133" s="12" t="s">
        <v>68</v>
      </c>
      <c r="G133" s="12"/>
      <c r="H133" s="12" t="s">
        <v>156</v>
      </c>
      <c r="I133" s="12" t="s">
        <v>3104</v>
      </c>
      <c r="J133" s="34" t="s">
        <v>68</v>
      </c>
      <c r="K133" s="12">
        <v>39011439</v>
      </c>
      <c r="L133" s="13" t="s">
        <v>2764</v>
      </c>
      <c r="M133" s="12" t="s">
        <v>68</v>
      </c>
      <c r="N133" s="182"/>
      <c r="O133" s="12" t="s">
        <v>2520</v>
      </c>
      <c r="P133" s="12" t="s">
        <v>284</v>
      </c>
      <c r="Q133" s="12" t="s">
        <v>2822</v>
      </c>
      <c r="R133" s="12">
        <v>554320</v>
      </c>
      <c r="S133" s="12" t="s">
        <v>2823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75</v>
      </c>
      <c r="Z133" s="12"/>
      <c r="AA133" s="12" t="s">
        <v>85</v>
      </c>
      <c r="AB133" s="13" t="s">
        <v>967</v>
      </c>
      <c r="AC133" s="14">
        <v>45890</v>
      </c>
      <c r="AD133" s="15">
        <v>34</v>
      </c>
      <c r="AE133" s="176" t="s">
        <v>3105</v>
      </c>
      <c r="AF133" s="12">
        <v>371008860</v>
      </c>
      <c r="AG133" s="12" t="s">
        <v>288</v>
      </c>
      <c r="AH133" s="12" t="s">
        <v>105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156</v>
      </c>
      <c r="AP133" s="12" t="s">
        <v>3106</v>
      </c>
      <c r="AQ133" s="12"/>
      <c r="AR133" s="12" t="s">
        <v>3107</v>
      </c>
      <c r="AS133" s="12" t="s">
        <v>3108</v>
      </c>
      <c r="AT133" s="12" t="s">
        <v>3109</v>
      </c>
      <c r="AU133" s="12">
        <v>60</v>
      </c>
      <c r="AV133" s="12" t="s">
        <v>2538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2525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10">
      <c r="A134" s="11" t="s">
        <v>3110</v>
      </c>
      <c r="B134" s="12" t="s">
        <v>2819</v>
      </c>
      <c r="C134" s="12" t="s">
        <v>2820</v>
      </c>
      <c r="D134" s="12" t="s">
        <v>63</v>
      </c>
      <c r="E134" s="12" t="s">
        <v>64</v>
      </c>
      <c r="F134" s="12" t="s">
        <v>100</v>
      </c>
      <c r="G134" s="12" t="s">
        <v>67</v>
      </c>
      <c r="H134" s="12" t="s">
        <v>66</v>
      </c>
      <c r="I134" s="12" t="s">
        <v>3098</v>
      </c>
      <c r="J134" s="34" t="s">
        <v>68</v>
      </c>
      <c r="K134" s="12">
        <v>39011433</v>
      </c>
      <c r="L134" s="13" t="s">
        <v>2764</v>
      </c>
      <c r="M134" s="213" t="s">
        <v>68</v>
      </c>
      <c r="N134" s="182"/>
      <c r="O134" s="12" t="s">
        <v>2520</v>
      </c>
      <c r="P134" s="12" t="s">
        <v>284</v>
      </c>
      <c r="Q134" s="12" t="s">
        <v>2822</v>
      </c>
      <c r="R134" s="12">
        <v>554320</v>
      </c>
      <c r="S134" s="12" t="s">
        <v>2823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75</v>
      </c>
      <c r="Z134" s="12"/>
      <c r="AA134" s="12" t="s">
        <v>85</v>
      </c>
      <c r="AB134" s="13" t="s">
        <v>967</v>
      </c>
      <c r="AC134" s="14">
        <v>45888</v>
      </c>
      <c r="AD134" s="15">
        <v>34</v>
      </c>
      <c r="AE134" s="176" t="s">
        <v>3111</v>
      </c>
      <c r="AF134" s="12">
        <v>371008810</v>
      </c>
      <c r="AG134" s="12" t="s">
        <v>288</v>
      </c>
      <c r="AH134" s="12" t="s">
        <v>105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66</v>
      </c>
      <c r="AP134" s="12" t="s">
        <v>3100</v>
      </c>
      <c r="AQ134" s="12"/>
      <c r="AR134" s="12" t="s">
        <v>3101</v>
      </c>
      <c r="AS134" s="12" t="s">
        <v>3102</v>
      </c>
      <c r="AT134" s="12" t="s">
        <v>3102</v>
      </c>
      <c r="AU134" s="12">
        <v>35</v>
      </c>
      <c r="AV134" s="12" t="s">
        <v>83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2525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10">
      <c r="A135" s="11" t="s">
        <v>3112</v>
      </c>
      <c r="B135" s="12" t="s">
        <v>2819</v>
      </c>
      <c r="C135" s="12" t="s">
        <v>2820</v>
      </c>
      <c r="D135" s="12" t="s">
        <v>63</v>
      </c>
      <c r="E135" s="12" t="s">
        <v>68</v>
      </c>
      <c r="F135" s="12" t="s">
        <v>68</v>
      </c>
      <c r="G135" s="12"/>
      <c r="H135" s="12" t="s">
        <v>156</v>
      </c>
      <c r="I135" s="12" t="s">
        <v>3104</v>
      </c>
      <c r="J135" s="34" t="s">
        <v>68</v>
      </c>
      <c r="K135" s="12">
        <v>39011438</v>
      </c>
      <c r="L135" s="13" t="s">
        <v>2764</v>
      </c>
      <c r="M135" s="12" t="s">
        <v>68</v>
      </c>
      <c r="N135" s="182"/>
      <c r="O135" s="12" t="s">
        <v>2520</v>
      </c>
      <c r="P135" s="12" t="s">
        <v>284</v>
      </c>
      <c r="Q135" s="12" t="s">
        <v>2822</v>
      </c>
      <c r="R135" s="12">
        <v>554320</v>
      </c>
      <c r="S135" s="12" t="s">
        <v>2823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75</v>
      </c>
      <c r="Z135" s="12"/>
      <c r="AA135" s="12" t="s">
        <v>85</v>
      </c>
      <c r="AB135" s="13" t="s">
        <v>967</v>
      </c>
      <c r="AC135" s="14">
        <v>45890</v>
      </c>
      <c r="AD135" s="15">
        <v>34</v>
      </c>
      <c r="AE135" s="176" t="s">
        <v>3113</v>
      </c>
      <c r="AF135" s="12">
        <v>371008861</v>
      </c>
      <c r="AG135" s="12" t="s">
        <v>288</v>
      </c>
      <c r="AH135" s="12" t="s">
        <v>105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156</v>
      </c>
      <c r="AP135" s="12" t="s">
        <v>3106</v>
      </c>
      <c r="AQ135" s="12"/>
      <c r="AR135" s="12" t="s">
        <v>3107</v>
      </c>
      <c r="AS135" s="12" t="s">
        <v>3108</v>
      </c>
      <c r="AT135" s="12" t="s">
        <v>3109</v>
      </c>
      <c r="AU135" s="12">
        <v>60</v>
      </c>
      <c r="AV135" s="12" t="s">
        <v>2538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2525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10">
      <c r="A136" s="11" t="s">
        <v>3114</v>
      </c>
      <c r="B136" s="12" t="s">
        <v>111</v>
      </c>
      <c r="C136" s="12" t="s">
        <v>2795</v>
      </c>
      <c r="D136" s="12" t="s">
        <v>63</v>
      </c>
      <c r="E136" s="12" t="s">
        <v>68</v>
      </c>
      <c r="F136" s="12" t="s">
        <v>68</v>
      </c>
      <c r="G136" s="12"/>
      <c r="H136" s="12" t="s">
        <v>66</v>
      </c>
      <c r="I136" s="12" t="s">
        <v>96</v>
      </c>
      <c r="J136" s="34" t="s">
        <v>68</v>
      </c>
      <c r="K136" s="12"/>
      <c r="L136" s="13" t="s">
        <v>2527</v>
      </c>
      <c r="M136" s="12" t="s">
        <v>68</v>
      </c>
      <c r="N136" s="182"/>
      <c r="O136" s="12" t="s">
        <v>2520</v>
      </c>
      <c r="P136" s="12" t="s">
        <v>170</v>
      </c>
      <c r="Q136" s="12" t="s">
        <v>171</v>
      </c>
      <c r="R136" s="12">
        <v>552045</v>
      </c>
      <c r="S136" s="12" t="s">
        <v>172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75</v>
      </c>
      <c r="Z136" s="12"/>
      <c r="AA136" s="12" t="s">
        <v>108</v>
      </c>
      <c r="AB136" s="13" t="s">
        <v>992</v>
      </c>
      <c r="AC136" s="14">
        <v>45892</v>
      </c>
      <c r="AD136" s="15">
        <v>34</v>
      </c>
      <c r="AE136" s="176" t="s">
        <v>3115</v>
      </c>
      <c r="AF136" s="12">
        <v>371008855</v>
      </c>
      <c r="AG136" s="12" t="s">
        <v>122</v>
      </c>
      <c r="AH136" s="12" t="s">
        <v>124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66</v>
      </c>
      <c r="AP136" s="12" t="s">
        <v>3116</v>
      </c>
      <c r="AQ136" s="12"/>
      <c r="AR136" s="12" t="s">
        <v>3117</v>
      </c>
      <c r="AS136" s="12" t="s">
        <v>3118</v>
      </c>
      <c r="AT136" s="12" t="s">
        <v>3118</v>
      </c>
      <c r="AU136" s="12">
        <v>48</v>
      </c>
      <c r="AV136" s="12" t="s">
        <v>83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2525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10">
      <c r="A137" s="11" t="s">
        <v>3119</v>
      </c>
      <c r="B137" s="12" t="s">
        <v>1888</v>
      </c>
      <c r="C137" s="12" t="s">
        <v>2709</v>
      </c>
      <c r="D137" s="12" t="s">
        <v>63</v>
      </c>
      <c r="E137" s="12" t="s">
        <v>68</v>
      </c>
      <c r="F137" s="12" t="s">
        <v>68</v>
      </c>
      <c r="G137" s="12"/>
      <c r="H137" s="12" t="s">
        <v>402</v>
      </c>
      <c r="I137" s="12" t="s">
        <v>3120</v>
      </c>
      <c r="J137" s="34" t="s">
        <v>68</v>
      </c>
      <c r="K137" s="12">
        <v>46010830</v>
      </c>
      <c r="L137" s="13" t="s">
        <v>2534</v>
      </c>
      <c r="M137" s="12" t="s">
        <v>68</v>
      </c>
      <c r="N137" s="182"/>
      <c r="O137" s="12" t="s">
        <v>2520</v>
      </c>
      <c r="P137" s="12" t="s">
        <v>70</v>
      </c>
      <c r="Q137" s="12" t="s">
        <v>71</v>
      </c>
      <c r="R137" s="12">
        <v>554475</v>
      </c>
      <c r="S137" s="12" t="s">
        <v>72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75</v>
      </c>
      <c r="Z137" s="12"/>
      <c r="AA137" s="12" t="s">
        <v>2703</v>
      </c>
      <c r="AB137" s="13" t="s">
        <v>967</v>
      </c>
      <c r="AC137" s="14">
        <v>45892</v>
      </c>
      <c r="AD137" s="15">
        <v>34</v>
      </c>
      <c r="AE137" s="176" t="s">
        <v>3121</v>
      </c>
      <c r="AF137" s="12">
        <v>371008805</v>
      </c>
      <c r="AG137" s="12" t="s">
        <v>122</v>
      </c>
      <c r="AH137" s="12" t="s">
        <v>888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402</v>
      </c>
      <c r="AP137" s="12" t="s">
        <v>3122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2538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2525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10">
      <c r="A138" s="11" t="s">
        <v>3123</v>
      </c>
      <c r="B138" s="12" t="s">
        <v>61</v>
      </c>
      <c r="C138" s="12" t="s">
        <v>203</v>
      </c>
      <c r="D138" s="12" t="s">
        <v>63</v>
      </c>
      <c r="E138" s="12" t="s">
        <v>68</v>
      </c>
      <c r="F138" s="12" t="s">
        <v>68</v>
      </c>
      <c r="G138" s="12"/>
      <c r="H138" s="12" t="s">
        <v>146</v>
      </c>
      <c r="I138" s="12" t="s">
        <v>3124</v>
      </c>
      <c r="J138" s="34" t="s">
        <v>68</v>
      </c>
      <c r="K138" s="12">
        <v>14130681</v>
      </c>
      <c r="L138" s="13" t="s">
        <v>2534</v>
      </c>
      <c r="M138" s="12" t="s">
        <v>68</v>
      </c>
      <c r="N138" s="182"/>
      <c r="O138" s="12" t="s">
        <v>2520</v>
      </c>
      <c r="P138" s="12" t="s">
        <v>70</v>
      </c>
      <c r="Q138" s="12" t="s">
        <v>3125</v>
      </c>
      <c r="R138" s="12">
        <v>554469</v>
      </c>
      <c r="S138" s="12" t="s">
        <v>1235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75</v>
      </c>
      <c r="Z138" s="12"/>
      <c r="AA138" s="12" t="s">
        <v>2703</v>
      </c>
      <c r="AB138" s="13" t="s">
        <v>967</v>
      </c>
      <c r="AC138" s="14">
        <v>45893</v>
      </c>
      <c r="AD138" s="15">
        <v>34</v>
      </c>
      <c r="AE138" s="176" t="s">
        <v>3126</v>
      </c>
      <c r="AF138" s="12">
        <v>371008836</v>
      </c>
      <c r="AG138" s="12" t="s">
        <v>77</v>
      </c>
      <c r="AH138" s="12" t="s">
        <v>105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146</v>
      </c>
      <c r="AP138" s="12" t="s">
        <v>3127</v>
      </c>
      <c r="AQ138" s="12"/>
      <c r="AR138" s="12">
        <v>14130681</v>
      </c>
      <c r="AS138" s="12" t="s">
        <v>3128</v>
      </c>
      <c r="AT138" s="12" t="s">
        <v>3128</v>
      </c>
      <c r="AU138" s="12">
        <v>59</v>
      </c>
      <c r="AV138" s="12" t="s">
        <v>3129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2525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10">
      <c r="A139" s="11" t="s">
        <v>3130</v>
      </c>
      <c r="B139" s="12" t="s">
        <v>61</v>
      </c>
      <c r="C139" s="12" t="s">
        <v>2960</v>
      </c>
      <c r="D139" s="12" t="s">
        <v>63</v>
      </c>
      <c r="E139" s="12" t="s">
        <v>68</v>
      </c>
      <c r="F139" s="12" t="s">
        <v>68</v>
      </c>
      <c r="G139" s="12"/>
      <c r="H139" s="12" t="s">
        <v>146</v>
      </c>
      <c r="I139" s="12" t="s">
        <v>2710</v>
      </c>
      <c r="J139" s="34" t="s">
        <v>68</v>
      </c>
      <c r="K139" s="12">
        <v>46010732</v>
      </c>
      <c r="L139" s="13" t="s">
        <v>2711</v>
      </c>
      <c r="M139" s="12" t="s">
        <v>68</v>
      </c>
      <c r="N139" s="182"/>
      <c r="O139" s="12" t="s">
        <v>2520</v>
      </c>
      <c r="P139" s="12" t="s">
        <v>70</v>
      </c>
      <c r="Q139" s="12" t="s">
        <v>91</v>
      </c>
      <c r="R139" s="12">
        <v>554480</v>
      </c>
      <c r="S139" s="12" t="s">
        <v>92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75</v>
      </c>
      <c r="AA139" s="12" t="s">
        <v>94</v>
      </c>
      <c r="AB139" s="32" t="s">
        <v>967</v>
      </c>
      <c r="AC139" s="14">
        <v>45888</v>
      </c>
      <c r="AD139" s="15">
        <v>34</v>
      </c>
      <c r="AE139" s="176" t="s">
        <v>3131</v>
      </c>
      <c r="AF139" s="12">
        <v>371008802</v>
      </c>
      <c r="AG139" s="12" t="s">
        <v>77</v>
      </c>
      <c r="AH139" s="12" t="s">
        <v>78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146</v>
      </c>
      <c r="AP139" s="12" t="s">
        <v>3132</v>
      </c>
      <c r="AQ139" s="12"/>
      <c r="AR139" s="12">
        <v>46010732</v>
      </c>
      <c r="AS139" s="12" t="s">
        <v>3133</v>
      </c>
      <c r="AT139" s="12" t="s">
        <v>3133</v>
      </c>
      <c r="AU139" s="12">
        <v>71</v>
      </c>
      <c r="AV139" s="12" t="s">
        <v>2538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2525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10">
      <c r="A140" s="11" t="s">
        <v>2856</v>
      </c>
      <c r="B140" s="12" t="s">
        <v>1888</v>
      </c>
      <c r="C140" s="12" t="s">
        <v>203</v>
      </c>
      <c r="D140" s="12" t="s">
        <v>63</v>
      </c>
      <c r="E140" s="12" t="s">
        <v>68</v>
      </c>
      <c r="F140" s="12" t="s">
        <v>68</v>
      </c>
      <c r="G140" s="12"/>
      <c r="H140" s="12" t="s">
        <v>402</v>
      </c>
      <c r="I140" s="12" t="s">
        <v>594</v>
      </c>
      <c r="J140" s="34" t="s">
        <v>68</v>
      </c>
      <c r="K140" s="12">
        <v>16102540</v>
      </c>
      <c r="L140" s="13" t="s">
        <v>2527</v>
      </c>
      <c r="M140" s="12" t="s">
        <v>68</v>
      </c>
      <c r="N140" s="182"/>
      <c r="O140" s="12" t="s">
        <v>2520</v>
      </c>
      <c r="P140" s="12" t="s">
        <v>70</v>
      </c>
      <c r="Q140" s="12" t="s">
        <v>420</v>
      </c>
      <c r="R140" s="12">
        <v>554476</v>
      </c>
      <c r="S140" s="12" t="s">
        <v>421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75</v>
      </c>
      <c r="Z140" s="12"/>
      <c r="AA140" s="12" t="s">
        <v>2703</v>
      </c>
      <c r="AB140" s="13" t="s">
        <v>992</v>
      </c>
      <c r="AC140" s="14">
        <v>45893</v>
      </c>
      <c r="AD140" s="15">
        <v>34</v>
      </c>
      <c r="AE140" s="176" t="s">
        <v>3134</v>
      </c>
      <c r="AF140" s="12">
        <v>371008808</v>
      </c>
      <c r="AG140" s="12" t="s">
        <v>122</v>
      </c>
      <c r="AH140" s="12" t="s">
        <v>124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402</v>
      </c>
      <c r="AP140" s="12" t="s">
        <v>3135</v>
      </c>
      <c r="AQ140" s="12"/>
      <c r="AR140" s="12" t="s">
        <v>3136</v>
      </c>
      <c r="AS140" s="12" t="s">
        <v>3137</v>
      </c>
      <c r="AT140" s="12" t="s">
        <v>3137</v>
      </c>
      <c r="AU140" s="12">
        <v>63</v>
      </c>
      <c r="AV140" s="12" t="s">
        <v>2538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2525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10">
      <c r="A141" s="11" t="s">
        <v>3138</v>
      </c>
      <c r="B141" s="12" t="s">
        <v>1888</v>
      </c>
      <c r="C141" s="12" t="s">
        <v>2856</v>
      </c>
      <c r="D141" s="12" t="s">
        <v>63</v>
      </c>
      <c r="E141" s="12" t="s">
        <v>68</v>
      </c>
      <c r="F141" s="12" t="s">
        <v>68</v>
      </c>
      <c r="G141" s="12"/>
      <c r="H141" s="12" t="s">
        <v>66</v>
      </c>
      <c r="I141" s="12" t="s">
        <v>2808</v>
      </c>
      <c r="J141" s="34" t="s">
        <v>68</v>
      </c>
      <c r="K141" s="12">
        <v>19142965</v>
      </c>
      <c r="L141" s="13" t="s">
        <v>2542</v>
      </c>
      <c r="M141" s="12" t="s">
        <v>68</v>
      </c>
      <c r="N141" s="182"/>
      <c r="O141" s="12" t="s">
        <v>2520</v>
      </c>
      <c r="P141" s="12" t="s">
        <v>70</v>
      </c>
      <c r="Q141" s="12" t="s">
        <v>420</v>
      </c>
      <c r="R141" s="12">
        <v>554476</v>
      </c>
      <c r="S141" s="12" t="s">
        <v>421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75</v>
      </c>
      <c r="Z141" s="12"/>
      <c r="AA141" s="12" t="s">
        <v>2703</v>
      </c>
      <c r="AB141" s="13" t="s">
        <v>992</v>
      </c>
      <c r="AC141" s="14">
        <v>45890</v>
      </c>
      <c r="AD141" s="15">
        <v>34</v>
      </c>
      <c r="AE141" s="176" t="s">
        <v>3139</v>
      </c>
      <c r="AF141" s="12">
        <v>371008807</v>
      </c>
      <c r="AG141" s="12" t="s">
        <v>122</v>
      </c>
      <c r="AH141" s="12" t="s">
        <v>1561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66</v>
      </c>
      <c r="AP141" s="12" t="s">
        <v>3135</v>
      </c>
      <c r="AQ141" s="12"/>
      <c r="AR141" s="12" t="s">
        <v>3140</v>
      </c>
      <c r="AS141" s="12" t="s">
        <v>3141</v>
      </c>
      <c r="AT141" s="12" t="s">
        <v>3141</v>
      </c>
      <c r="AU141" s="12">
        <v>50</v>
      </c>
      <c r="AV141" s="12" t="s">
        <v>83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2525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10">
      <c r="A142" s="11" t="s">
        <v>3142</v>
      </c>
      <c r="B142" s="12" t="s">
        <v>1888</v>
      </c>
      <c r="C142" s="12" t="s">
        <v>2856</v>
      </c>
      <c r="D142" s="12" t="s">
        <v>63</v>
      </c>
      <c r="E142" s="12" t="s">
        <v>68</v>
      </c>
      <c r="F142" s="12" t="s">
        <v>68</v>
      </c>
      <c r="G142" s="12"/>
      <c r="H142" s="12" t="s">
        <v>66</v>
      </c>
      <c r="I142" s="12" t="s">
        <v>2753</v>
      </c>
      <c r="J142" s="34" t="s">
        <v>68</v>
      </c>
      <c r="K142" s="12">
        <v>19143011</v>
      </c>
      <c r="L142" s="13" t="s">
        <v>2542</v>
      </c>
      <c r="M142" s="12" t="s">
        <v>68</v>
      </c>
      <c r="N142" s="182"/>
      <c r="O142" s="12" t="s">
        <v>2520</v>
      </c>
      <c r="P142" s="12" t="s">
        <v>70</v>
      </c>
      <c r="Q142" s="12" t="s">
        <v>420</v>
      </c>
      <c r="R142" s="12">
        <v>554476</v>
      </c>
      <c r="S142" s="12" t="s">
        <v>421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75</v>
      </c>
      <c r="Z142" s="12"/>
      <c r="AA142" s="12" t="s">
        <v>2703</v>
      </c>
      <c r="AB142" s="13" t="s">
        <v>992</v>
      </c>
      <c r="AC142" s="14">
        <v>45890</v>
      </c>
      <c r="AD142" s="15">
        <v>34</v>
      </c>
      <c r="AE142" s="176" t="s">
        <v>3143</v>
      </c>
      <c r="AF142" s="12">
        <v>371008806</v>
      </c>
      <c r="AG142" s="12" t="s">
        <v>122</v>
      </c>
      <c r="AH142" s="12" t="s">
        <v>314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66</v>
      </c>
      <c r="AP142" s="12" t="s">
        <v>3135</v>
      </c>
      <c r="AQ142" s="12"/>
      <c r="AR142" s="12" t="s">
        <v>3144</v>
      </c>
      <c r="AS142" s="12" t="s">
        <v>3145</v>
      </c>
      <c r="AT142" s="12" t="s">
        <v>3145</v>
      </c>
      <c r="AU142" s="12">
        <v>55</v>
      </c>
      <c r="AV142" s="12" t="s">
        <v>83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2525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10">
      <c r="A143" s="11" t="s">
        <v>3146</v>
      </c>
      <c r="B143" s="12" t="s">
        <v>111</v>
      </c>
      <c r="C143" s="12" t="s">
        <v>2742</v>
      </c>
      <c r="D143" s="12" t="s">
        <v>63</v>
      </c>
      <c r="E143" s="12" t="s">
        <v>64</v>
      </c>
      <c r="F143" s="12" t="s">
        <v>65</v>
      </c>
      <c r="G143" s="12" t="s">
        <v>67</v>
      </c>
      <c r="H143" s="12" t="s">
        <v>66</v>
      </c>
      <c r="I143" s="12" t="s">
        <v>96</v>
      </c>
      <c r="J143" s="34" t="s">
        <v>68</v>
      </c>
      <c r="K143" s="12"/>
      <c r="L143" s="13" t="s">
        <v>2519</v>
      </c>
      <c r="M143" s="213" t="s">
        <v>68</v>
      </c>
      <c r="N143" s="182"/>
      <c r="O143" s="12" t="s">
        <v>2520</v>
      </c>
      <c r="P143" s="12" t="s">
        <v>550</v>
      </c>
      <c r="Q143" s="12" t="s">
        <v>2744</v>
      </c>
      <c r="R143" s="12">
        <v>553120</v>
      </c>
      <c r="S143" s="12" t="s">
        <v>2745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75</v>
      </c>
      <c r="Z143" s="12"/>
      <c r="AA143" s="12" t="s">
        <v>85</v>
      </c>
      <c r="AB143" s="13" t="s">
        <v>2136</v>
      </c>
      <c r="AC143" s="14">
        <v>45890</v>
      </c>
      <c r="AD143" s="15">
        <v>34</v>
      </c>
      <c r="AE143" s="176" t="s">
        <v>3147</v>
      </c>
      <c r="AF143" s="12">
        <v>371008811</v>
      </c>
      <c r="AG143" s="12" t="s">
        <v>122</v>
      </c>
      <c r="AH143" s="12" t="s">
        <v>78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66</v>
      </c>
      <c r="AP143" s="12" t="s">
        <v>3135</v>
      </c>
      <c r="AQ143" s="12"/>
      <c r="AR143" s="12" t="s">
        <v>3148</v>
      </c>
      <c r="AS143" s="12" t="s">
        <v>3149</v>
      </c>
      <c r="AT143" s="12" t="s">
        <v>3149</v>
      </c>
      <c r="AU143" s="12">
        <v>59</v>
      </c>
      <c r="AV143" s="12" t="s">
        <v>83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2525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10">
      <c r="A144" s="11" t="s">
        <v>3150</v>
      </c>
      <c r="B144" s="12" t="s">
        <v>111</v>
      </c>
      <c r="C144" s="12" t="s">
        <v>2588</v>
      </c>
      <c r="D144" s="12" t="s">
        <v>63</v>
      </c>
      <c r="E144" s="12" t="s">
        <v>68</v>
      </c>
      <c r="F144" s="12" t="s">
        <v>68</v>
      </c>
      <c r="G144" s="12"/>
      <c r="H144" s="12" t="s">
        <v>402</v>
      </c>
      <c r="I144" s="12" t="s">
        <v>594</v>
      </c>
      <c r="J144" s="34" t="s">
        <v>68</v>
      </c>
      <c r="K144" s="12">
        <v>16102540</v>
      </c>
      <c r="L144" s="13" t="s">
        <v>2527</v>
      </c>
      <c r="M144" s="12" t="s">
        <v>68</v>
      </c>
      <c r="N144" s="182"/>
      <c r="O144" s="12" t="s">
        <v>2520</v>
      </c>
      <c r="P144" s="12" t="s">
        <v>70</v>
      </c>
      <c r="Q144" s="12" t="s">
        <v>102</v>
      </c>
      <c r="R144" s="12">
        <v>554245</v>
      </c>
      <c r="S144" s="12" t="s">
        <v>103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75</v>
      </c>
      <c r="Z144" s="12"/>
      <c r="AA144" s="12" t="s">
        <v>108</v>
      </c>
      <c r="AB144" s="32" t="s">
        <v>967</v>
      </c>
      <c r="AC144" s="14">
        <v>45892</v>
      </c>
      <c r="AD144" s="15">
        <v>34</v>
      </c>
      <c r="AE144" s="176" t="s">
        <v>3151</v>
      </c>
      <c r="AF144" s="12">
        <v>371008799</v>
      </c>
      <c r="AG144" s="12" t="s">
        <v>122</v>
      </c>
      <c r="AH144" s="12" t="s">
        <v>124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402</v>
      </c>
      <c r="AP144" s="12" t="s">
        <v>3135</v>
      </c>
      <c r="AQ144" s="12"/>
      <c r="AR144" s="12" t="s">
        <v>3152</v>
      </c>
      <c r="AS144" s="12" t="s">
        <v>3153</v>
      </c>
      <c r="AT144" s="12" t="s">
        <v>3153</v>
      </c>
      <c r="AU144" s="12">
        <v>63</v>
      </c>
      <c r="AV144" s="12" t="s">
        <v>2538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2525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10">
      <c r="A145" s="11" t="s">
        <v>3154</v>
      </c>
      <c r="B145" s="12" t="s">
        <v>111</v>
      </c>
      <c r="C145" s="12" t="s">
        <v>838</v>
      </c>
      <c r="D145" s="12" t="s">
        <v>63</v>
      </c>
      <c r="E145" s="12" t="s">
        <v>68</v>
      </c>
      <c r="F145" s="12" t="s">
        <v>68</v>
      </c>
      <c r="G145" s="12"/>
      <c r="H145" s="12" t="s">
        <v>402</v>
      </c>
      <c r="I145" s="12" t="s">
        <v>594</v>
      </c>
      <c r="J145" s="34" t="s">
        <v>68</v>
      </c>
      <c r="K145" s="12">
        <v>16102540</v>
      </c>
      <c r="L145" s="13" t="s">
        <v>2527</v>
      </c>
      <c r="M145" s="12" t="s">
        <v>68</v>
      </c>
      <c r="N145" s="182"/>
      <c r="O145" s="12" t="s">
        <v>2520</v>
      </c>
      <c r="P145" s="12" t="s">
        <v>132</v>
      </c>
      <c r="Q145" s="12" t="s">
        <v>841</v>
      </c>
      <c r="R145" s="12">
        <v>554542</v>
      </c>
      <c r="S145" s="12" t="s">
        <v>842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75</v>
      </c>
      <c r="Z145" s="12"/>
      <c r="AA145" s="12" t="s">
        <v>108</v>
      </c>
      <c r="AB145" s="32" t="s">
        <v>992</v>
      </c>
      <c r="AC145" s="14">
        <v>45890</v>
      </c>
      <c r="AD145" s="15">
        <v>34</v>
      </c>
      <c r="AE145" s="176" t="s">
        <v>3155</v>
      </c>
      <c r="AF145" s="12">
        <v>371008797</v>
      </c>
      <c r="AG145" s="12" t="s">
        <v>122</v>
      </c>
      <c r="AH145" s="12" t="s">
        <v>124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402</v>
      </c>
      <c r="AP145" s="12" t="s">
        <v>3156</v>
      </c>
      <c r="AQ145" s="12"/>
      <c r="AR145" s="12" t="s">
        <v>3157</v>
      </c>
      <c r="AS145" s="12" t="s">
        <v>3158</v>
      </c>
      <c r="AT145" s="12" t="s">
        <v>3158</v>
      </c>
      <c r="AU145" s="12">
        <v>50</v>
      </c>
      <c r="AV145" s="12" t="s">
        <v>2538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2525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10">
      <c r="A146" s="11" t="s">
        <v>3159</v>
      </c>
      <c r="B146" s="12" t="s">
        <v>61</v>
      </c>
      <c r="C146" s="12" t="s">
        <v>3160</v>
      </c>
      <c r="D146" s="12" t="s">
        <v>63</v>
      </c>
      <c r="E146" s="12" t="s">
        <v>68</v>
      </c>
      <c r="F146" s="12" t="s">
        <v>68</v>
      </c>
      <c r="G146" s="12"/>
      <c r="H146" s="12" t="s">
        <v>146</v>
      </c>
      <c r="I146" s="12" t="s">
        <v>2710</v>
      </c>
      <c r="J146" s="34" t="s">
        <v>68</v>
      </c>
      <c r="K146" s="12">
        <v>46010831</v>
      </c>
      <c r="L146" s="13" t="s">
        <v>2711</v>
      </c>
      <c r="M146" s="12" t="s">
        <v>68</v>
      </c>
      <c r="N146" s="182"/>
      <c r="O146" s="12" t="s">
        <v>2520</v>
      </c>
      <c r="P146" s="12" t="s">
        <v>70</v>
      </c>
      <c r="Q146" s="12" t="s">
        <v>860</v>
      </c>
      <c r="R146" s="12">
        <v>554479</v>
      </c>
      <c r="S146" s="12" t="s">
        <v>861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75</v>
      </c>
      <c r="AA146" s="12" t="s">
        <v>94</v>
      </c>
      <c r="AB146" s="32" t="s">
        <v>967</v>
      </c>
      <c r="AC146" s="14">
        <v>45888</v>
      </c>
      <c r="AD146" s="15">
        <v>34</v>
      </c>
      <c r="AE146" s="176" t="s">
        <v>3161</v>
      </c>
      <c r="AF146" s="12">
        <v>371008800</v>
      </c>
      <c r="AG146" s="12" t="s">
        <v>77</v>
      </c>
      <c r="AH146" s="12" t="s">
        <v>78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146</v>
      </c>
      <c r="AP146" s="12" t="s">
        <v>3132</v>
      </c>
      <c r="AQ146" s="12"/>
      <c r="AR146" s="12">
        <v>46010831</v>
      </c>
      <c r="AS146" s="12" t="s">
        <v>3162</v>
      </c>
      <c r="AT146" s="12" t="s">
        <v>3162</v>
      </c>
      <c r="AU146" s="12">
        <v>71</v>
      </c>
      <c r="AV146" s="12" t="s">
        <v>2538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2525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10">
      <c r="A147" s="11" t="s">
        <v>3163</v>
      </c>
      <c r="B147" s="12" t="s">
        <v>61</v>
      </c>
      <c r="C147" s="12" t="s">
        <v>3160</v>
      </c>
      <c r="D147" s="12" t="s">
        <v>63</v>
      </c>
      <c r="E147" s="12" t="s">
        <v>68</v>
      </c>
      <c r="F147" s="12" t="s">
        <v>68</v>
      </c>
      <c r="G147" s="12"/>
      <c r="H147" s="12" t="s">
        <v>146</v>
      </c>
      <c r="I147" s="12" t="s">
        <v>2716</v>
      </c>
      <c r="J147" s="34" t="s">
        <v>68</v>
      </c>
      <c r="K147" s="12">
        <v>46010841</v>
      </c>
      <c r="L147" s="13" t="s">
        <v>2711</v>
      </c>
      <c r="M147" s="12" t="s">
        <v>68</v>
      </c>
      <c r="N147" s="182"/>
      <c r="O147" s="12" t="s">
        <v>2520</v>
      </c>
      <c r="P147" s="12" t="s">
        <v>70</v>
      </c>
      <c r="Q147" s="12" t="s">
        <v>860</v>
      </c>
      <c r="R147" s="12">
        <v>554479</v>
      </c>
      <c r="S147" s="12" t="s">
        <v>861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75</v>
      </c>
      <c r="AA147" s="12" t="s">
        <v>94</v>
      </c>
      <c r="AB147" s="32" t="s">
        <v>967</v>
      </c>
      <c r="AC147" s="14">
        <v>45888</v>
      </c>
      <c r="AD147" s="15">
        <v>34</v>
      </c>
      <c r="AE147" s="176" t="s">
        <v>3164</v>
      </c>
      <c r="AF147" s="12">
        <v>371008801</v>
      </c>
      <c r="AG147" s="12" t="s">
        <v>77</v>
      </c>
      <c r="AH147" s="12" t="s">
        <v>78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146</v>
      </c>
      <c r="AP147" s="12" t="s">
        <v>3132</v>
      </c>
      <c r="AQ147" s="12"/>
      <c r="AR147" s="12" t="s">
        <v>3165</v>
      </c>
      <c r="AS147" s="12" t="s">
        <v>3166</v>
      </c>
      <c r="AT147" s="12" t="s">
        <v>3166</v>
      </c>
      <c r="AU147" s="12">
        <v>71</v>
      </c>
      <c r="AV147" s="12" t="s">
        <v>83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2525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10">
      <c r="A148" s="11" t="s">
        <v>3167</v>
      </c>
      <c r="B148" s="12" t="s">
        <v>1888</v>
      </c>
      <c r="C148" s="12" t="s">
        <v>2856</v>
      </c>
      <c r="D148" s="12" t="s">
        <v>63</v>
      </c>
      <c r="E148" s="12" t="s">
        <v>68</v>
      </c>
      <c r="F148" s="12" t="s">
        <v>68</v>
      </c>
      <c r="G148" s="12"/>
      <c r="H148" s="12" t="s">
        <v>66</v>
      </c>
      <c r="I148" s="12" t="s">
        <v>3168</v>
      </c>
      <c r="J148" s="34" t="s">
        <v>68</v>
      </c>
      <c r="K148" s="12"/>
      <c r="L148" s="13" t="s">
        <v>2542</v>
      </c>
      <c r="M148" s="12" t="s">
        <v>68</v>
      </c>
      <c r="N148" s="182"/>
      <c r="O148" s="12" t="s">
        <v>2520</v>
      </c>
      <c r="P148" s="12" t="s">
        <v>70</v>
      </c>
      <c r="Q148" s="12" t="s">
        <v>420</v>
      </c>
      <c r="R148" s="12">
        <v>554476</v>
      </c>
      <c r="S148" s="12" t="s">
        <v>421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75</v>
      </c>
      <c r="Z148" s="12"/>
      <c r="AA148" s="12" t="s">
        <v>2703</v>
      </c>
      <c r="AB148" s="13" t="s">
        <v>992</v>
      </c>
      <c r="AC148" s="14">
        <v>45895</v>
      </c>
      <c r="AD148" s="15">
        <v>35</v>
      </c>
      <c r="AE148" s="176" t="s">
        <v>3169</v>
      </c>
      <c r="AF148" s="12">
        <v>371008852</v>
      </c>
      <c r="AG148" s="12" t="s">
        <v>122</v>
      </c>
      <c r="AH148" s="12" t="s">
        <v>314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66</v>
      </c>
      <c r="AP148" s="12" t="s">
        <v>3170</v>
      </c>
      <c r="AQ148" s="12"/>
      <c r="AR148" s="12" t="s">
        <v>3171</v>
      </c>
      <c r="AS148" s="12" t="s">
        <v>3172</v>
      </c>
      <c r="AT148" s="12" t="s">
        <v>3172</v>
      </c>
      <c r="AU148" s="12">
        <v>47</v>
      </c>
      <c r="AV148" s="12" t="s">
        <v>83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2525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10">
      <c r="A149" s="11" t="s">
        <v>3173</v>
      </c>
      <c r="B149" s="12" t="s">
        <v>111</v>
      </c>
      <c r="C149" s="12" t="s">
        <v>3050</v>
      </c>
      <c r="D149" s="12" t="s">
        <v>63</v>
      </c>
      <c r="E149" s="12" t="s">
        <v>68</v>
      </c>
      <c r="F149" s="12" t="s">
        <v>68</v>
      </c>
      <c r="G149" s="12"/>
      <c r="H149" s="12" t="s">
        <v>66</v>
      </c>
      <c r="I149" s="12" t="s">
        <v>3174</v>
      </c>
      <c r="J149" s="34" t="s">
        <v>68</v>
      </c>
      <c r="K149" s="12">
        <v>19142971</v>
      </c>
      <c r="L149" s="13" t="s">
        <v>2542</v>
      </c>
      <c r="M149" s="12" t="s">
        <v>68</v>
      </c>
      <c r="N149" s="182"/>
      <c r="O149" s="12" t="s">
        <v>2520</v>
      </c>
      <c r="P149" s="12" t="s">
        <v>132</v>
      </c>
      <c r="Q149" s="12" t="s">
        <v>453</v>
      </c>
      <c r="R149" s="12">
        <v>554541</v>
      </c>
      <c r="S149" s="12" t="s">
        <v>454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75</v>
      </c>
      <c r="Z149" s="12"/>
      <c r="AA149" s="12" t="s">
        <v>108</v>
      </c>
      <c r="AB149" s="32" t="s">
        <v>967</v>
      </c>
      <c r="AC149" s="14">
        <v>45899</v>
      </c>
      <c r="AD149" s="15">
        <v>35</v>
      </c>
      <c r="AE149" s="176" t="s">
        <v>3175</v>
      </c>
      <c r="AF149" s="12">
        <v>371008856</v>
      </c>
      <c r="AG149" s="12" t="s">
        <v>122</v>
      </c>
      <c r="AH149" s="12" t="s">
        <v>1561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66</v>
      </c>
      <c r="AP149" s="12" t="s">
        <v>3170</v>
      </c>
      <c r="AQ149" s="12"/>
      <c r="AR149" s="12" t="s">
        <v>3176</v>
      </c>
      <c r="AS149" s="12" t="s">
        <v>3177</v>
      </c>
      <c r="AT149" s="12" t="s">
        <v>3177</v>
      </c>
      <c r="AU149" s="12">
        <v>51</v>
      </c>
      <c r="AV149" s="12" t="s">
        <v>83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2525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10">
      <c r="A150" s="172" t="s">
        <v>3178</v>
      </c>
      <c r="B150" s="41" t="s">
        <v>61</v>
      </c>
      <c r="C150" s="41" t="s">
        <v>769</v>
      </c>
      <c r="D150" s="41" t="s">
        <v>63</v>
      </c>
      <c r="E150" s="12" t="s">
        <v>68</v>
      </c>
      <c r="F150" s="12" t="s">
        <v>68</v>
      </c>
      <c r="G150" s="41"/>
      <c r="H150" s="41" t="s">
        <v>156</v>
      </c>
      <c r="I150" s="41" t="s">
        <v>157</v>
      </c>
      <c r="J150" s="173" t="s">
        <v>68</v>
      </c>
      <c r="K150" s="41">
        <v>46010823</v>
      </c>
      <c r="L150" s="13" t="s">
        <v>2534</v>
      </c>
      <c r="M150" s="41" t="s">
        <v>68</v>
      </c>
      <c r="N150" s="184"/>
      <c r="O150" s="41" t="s">
        <v>2520</v>
      </c>
      <c r="P150" s="41" t="s">
        <v>70</v>
      </c>
      <c r="Q150" s="41" t="s">
        <v>195</v>
      </c>
      <c r="R150" s="41">
        <v>554473</v>
      </c>
      <c r="S150" s="41" t="s">
        <v>196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75</v>
      </c>
      <c r="Z150" s="41"/>
      <c r="AA150" s="12" t="s">
        <v>2703</v>
      </c>
      <c r="AB150" s="13" t="s">
        <v>967</v>
      </c>
      <c r="AC150" s="37">
        <v>45900</v>
      </c>
      <c r="AD150" s="174">
        <v>35</v>
      </c>
      <c r="AE150" s="287" t="s">
        <v>3179</v>
      </c>
      <c r="AF150" s="41">
        <v>371008857</v>
      </c>
      <c r="AG150" s="41" t="s">
        <v>77</v>
      </c>
      <c r="AH150" s="41" t="s">
        <v>159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156</v>
      </c>
      <c r="AP150" s="41" t="s">
        <v>3180</v>
      </c>
      <c r="AQ150" s="41"/>
      <c r="AR150" s="41" t="s">
        <v>3181</v>
      </c>
      <c r="AS150" s="41">
        <v>1068960628</v>
      </c>
      <c r="AT150" s="41">
        <v>258514211</v>
      </c>
      <c r="AU150" s="41">
        <v>58</v>
      </c>
      <c r="AV150" s="41" t="s">
        <v>83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2525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10">
      <c r="A151" s="172" t="s">
        <v>3182</v>
      </c>
      <c r="B151" s="41" t="s">
        <v>61</v>
      </c>
      <c r="C151" s="41" t="s">
        <v>769</v>
      </c>
      <c r="D151" s="41" t="s">
        <v>63</v>
      </c>
      <c r="E151" s="41" t="s">
        <v>64</v>
      </c>
      <c r="F151" s="41" t="s">
        <v>100</v>
      </c>
      <c r="G151" s="12" t="s">
        <v>67</v>
      </c>
      <c r="H151" s="41" t="s">
        <v>66</v>
      </c>
      <c r="I151" s="41" t="s">
        <v>3098</v>
      </c>
      <c r="J151" s="173" t="s">
        <v>68</v>
      </c>
      <c r="K151" s="41">
        <v>39011434</v>
      </c>
      <c r="L151" s="13" t="s">
        <v>2764</v>
      </c>
      <c r="M151" s="225" t="s">
        <v>68</v>
      </c>
      <c r="N151" s="184"/>
      <c r="O151" s="41" t="s">
        <v>2520</v>
      </c>
      <c r="P151" s="41" t="s">
        <v>70</v>
      </c>
      <c r="Q151" s="41" t="s">
        <v>195</v>
      </c>
      <c r="R151" s="41">
        <v>554473</v>
      </c>
      <c r="S151" s="41" t="s">
        <v>196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75</v>
      </c>
      <c r="Z151" s="41"/>
      <c r="AA151" s="12" t="s">
        <v>2703</v>
      </c>
      <c r="AB151" s="13" t="s">
        <v>967</v>
      </c>
      <c r="AC151" s="37">
        <v>45900</v>
      </c>
      <c r="AD151" s="174">
        <v>35</v>
      </c>
      <c r="AE151" s="287" t="s">
        <v>3183</v>
      </c>
      <c r="AF151" s="41">
        <v>371008879</v>
      </c>
      <c r="AG151" s="41" t="s">
        <v>77</v>
      </c>
      <c r="AH151" s="41" t="s">
        <v>105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66</v>
      </c>
      <c r="AP151" s="41" t="s">
        <v>3184</v>
      </c>
      <c r="AQ151" s="41"/>
      <c r="AR151" s="41" t="s">
        <v>3185</v>
      </c>
      <c r="AS151" s="41" t="s">
        <v>3186</v>
      </c>
      <c r="AT151" s="41" t="s">
        <v>3186</v>
      </c>
      <c r="AU151" s="41">
        <v>63</v>
      </c>
      <c r="AV151" s="41" t="s">
        <v>83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2525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10">
      <c r="A152" s="11" t="s">
        <v>3187</v>
      </c>
      <c r="B152" s="12" t="s">
        <v>111</v>
      </c>
      <c r="C152" s="12" t="s">
        <v>2654</v>
      </c>
      <c r="D152" s="12" t="s">
        <v>63</v>
      </c>
      <c r="E152" s="12" t="s">
        <v>68</v>
      </c>
      <c r="F152" s="12" t="s">
        <v>68</v>
      </c>
      <c r="G152" s="12"/>
      <c r="H152" s="12" t="s">
        <v>146</v>
      </c>
      <c r="I152" s="12" t="s">
        <v>3188</v>
      </c>
      <c r="J152" s="34" t="s">
        <v>68</v>
      </c>
      <c r="K152" s="12">
        <v>46010759</v>
      </c>
      <c r="L152" s="13" t="s">
        <v>2764</v>
      </c>
      <c r="M152" s="12" t="s">
        <v>68</v>
      </c>
      <c r="N152" s="182"/>
      <c r="O152" s="12" t="s">
        <v>2520</v>
      </c>
      <c r="P152" s="12" t="s">
        <v>2655</v>
      </c>
      <c r="Q152" s="12" t="s">
        <v>2656</v>
      </c>
      <c r="R152" s="12">
        <v>553098</v>
      </c>
      <c r="S152" s="12" t="s">
        <v>2657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75</v>
      </c>
      <c r="Z152" s="12"/>
      <c r="AA152" s="12" t="s">
        <v>108</v>
      </c>
      <c r="AB152" s="13" t="s">
        <v>992</v>
      </c>
      <c r="AC152" s="14">
        <v>45895</v>
      </c>
      <c r="AD152" s="15">
        <v>35</v>
      </c>
      <c r="AE152" s="176" t="s">
        <v>3189</v>
      </c>
      <c r="AF152" s="12">
        <v>371008840</v>
      </c>
      <c r="AG152" s="12" t="s">
        <v>122</v>
      </c>
      <c r="AH152" s="12" t="s">
        <v>105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146</v>
      </c>
      <c r="AP152" s="12" t="s">
        <v>3090</v>
      </c>
      <c r="AQ152" s="12"/>
      <c r="AR152" s="12">
        <v>46010759</v>
      </c>
      <c r="AS152" s="12" t="s">
        <v>3190</v>
      </c>
      <c r="AT152" s="12" t="s">
        <v>3190</v>
      </c>
      <c r="AU152" s="12">
        <v>63</v>
      </c>
      <c r="AV152" s="12" t="s">
        <v>3191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2525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10">
      <c r="A153" s="11" t="s">
        <v>3192</v>
      </c>
      <c r="B153" s="12" t="s">
        <v>111</v>
      </c>
      <c r="C153" s="12" t="s">
        <v>3193</v>
      </c>
      <c r="D153" s="12" t="s">
        <v>63</v>
      </c>
      <c r="E153" s="12" t="s">
        <v>64</v>
      </c>
      <c r="F153" s="12" t="s">
        <v>100</v>
      </c>
      <c r="G153" s="12" t="s">
        <v>67</v>
      </c>
      <c r="H153" s="12" t="s">
        <v>66</v>
      </c>
      <c r="I153" s="12" t="s">
        <v>96</v>
      </c>
      <c r="J153" s="34" t="s">
        <v>68</v>
      </c>
      <c r="K153" s="12"/>
      <c r="L153" s="13" t="s">
        <v>2519</v>
      </c>
      <c r="M153" s="213" t="s">
        <v>68</v>
      </c>
      <c r="N153" s="182"/>
      <c r="O153" s="12" t="s">
        <v>2520</v>
      </c>
      <c r="P153" s="12" t="s">
        <v>170</v>
      </c>
      <c r="Q153" s="12" t="s">
        <v>171</v>
      </c>
      <c r="R153" s="12">
        <v>552045</v>
      </c>
      <c r="S153" s="12" t="s">
        <v>172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75</v>
      </c>
      <c r="Z153" s="12"/>
      <c r="AA153" s="12" t="s">
        <v>108</v>
      </c>
      <c r="AB153" s="13" t="s">
        <v>992</v>
      </c>
      <c r="AC153" s="14">
        <v>45900</v>
      </c>
      <c r="AD153" s="15">
        <v>35</v>
      </c>
      <c r="AE153" s="176" t="s">
        <v>3194</v>
      </c>
      <c r="AF153" s="12">
        <v>371008872</v>
      </c>
      <c r="AG153" s="12" t="s">
        <v>122</v>
      </c>
      <c r="AH153" s="12" t="s">
        <v>105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66</v>
      </c>
      <c r="AP153" s="12" t="s">
        <v>3195</v>
      </c>
      <c r="AQ153" s="12"/>
      <c r="AR153" s="12" t="s">
        <v>3196</v>
      </c>
      <c r="AS153" s="12" t="s">
        <v>3197</v>
      </c>
      <c r="AT153" s="12" t="s">
        <v>3197</v>
      </c>
      <c r="AU153" s="12">
        <v>72</v>
      </c>
      <c r="AV153" s="12" t="s">
        <v>83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2525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10">
      <c r="A154" s="172" t="s">
        <v>3198</v>
      </c>
      <c r="B154" s="41" t="s">
        <v>61</v>
      </c>
      <c r="C154" s="41" t="s">
        <v>769</v>
      </c>
      <c r="D154" s="41" t="s">
        <v>63</v>
      </c>
      <c r="E154" s="41" t="s">
        <v>64</v>
      </c>
      <c r="F154" s="41" t="s">
        <v>65</v>
      </c>
      <c r="G154" s="12" t="s">
        <v>67</v>
      </c>
      <c r="H154" s="41" t="s">
        <v>66</v>
      </c>
      <c r="I154" s="41" t="s">
        <v>96</v>
      </c>
      <c r="J154" s="173" t="s">
        <v>68</v>
      </c>
      <c r="K154" s="41"/>
      <c r="L154" s="13" t="s">
        <v>2519</v>
      </c>
      <c r="M154" s="225" t="s">
        <v>68</v>
      </c>
      <c r="N154" s="184"/>
      <c r="O154" s="41" t="s">
        <v>2520</v>
      </c>
      <c r="P154" s="41" t="s">
        <v>70</v>
      </c>
      <c r="Q154" s="41" t="s">
        <v>195</v>
      </c>
      <c r="R154" s="41">
        <v>554473</v>
      </c>
      <c r="S154" s="41" t="s">
        <v>196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75</v>
      </c>
      <c r="Z154" s="41"/>
      <c r="AA154" s="12" t="s">
        <v>2703</v>
      </c>
      <c r="AB154" s="13" t="s">
        <v>967</v>
      </c>
      <c r="AC154" s="37">
        <v>45900</v>
      </c>
      <c r="AD154" s="174">
        <v>35</v>
      </c>
      <c r="AE154" s="287" t="s">
        <v>3199</v>
      </c>
      <c r="AF154" s="41">
        <v>371008880</v>
      </c>
      <c r="AG154" s="41" t="s">
        <v>77</v>
      </c>
      <c r="AH154" s="41" t="s">
        <v>78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66</v>
      </c>
      <c r="AP154" s="41" t="s">
        <v>3184</v>
      </c>
      <c r="AQ154" s="41"/>
      <c r="AR154" s="41" t="s">
        <v>3200</v>
      </c>
      <c r="AS154" s="41" t="s">
        <v>3201</v>
      </c>
      <c r="AT154" s="41" t="s">
        <v>3201</v>
      </c>
      <c r="AU154" s="41">
        <v>79</v>
      </c>
      <c r="AV154" s="41" t="s">
        <v>83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2525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10">
      <c r="A155" s="11" t="s">
        <v>3202</v>
      </c>
      <c r="B155" s="12" t="s">
        <v>61</v>
      </c>
      <c r="C155" s="12" t="s">
        <v>3203</v>
      </c>
      <c r="D155" s="12" t="s">
        <v>63</v>
      </c>
      <c r="E155" s="12" t="s">
        <v>68</v>
      </c>
      <c r="F155" s="12" t="s">
        <v>68</v>
      </c>
      <c r="G155" s="12"/>
      <c r="H155" s="12" t="s">
        <v>146</v>
      </c>
      <c r="I155" s="12" t="s">
        <v>2710</v>
      </c>
      <c r="J155" s="34" t="s">
        <v>68</v>
      </c>
      <c r="K155" s="12">
        <v>46010813</v>
      </c>
      <c r="L155" s="13" t="s">
        <v>2711</v>
      </c>
      <c r="M155" s="12" t="s">
        <v>68</v>
      </c>
      <c r="N155" s="182"/>
      <c r="O155" s="12" t="s">
        <v>2520</v>
      </c>
      <c r="P155" s="12" t="s">
        <v>70</v>
      </c>
      <c r="Q155" s="12" t="s">
        <v>71</v>
      </c>
      <c r="R155" s="12">
        <v>554475</v>
      </c>
      <c r="S155" s="12" t="s">
        <v>72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75</v>
      </c>
      <c r="Z155" s="12"/>
      <c r="AA155" s="12" t="s">
        <v>2703</v>
      </c>
      <c r="AB155" s="13" t="s">
        <v>967</v>
      </c>
      <c r="AC155" s="14">
        <v>45894</v>
      </c>
      <c r="AD155" s="15">
        <v>35</v>
      </c>
      <c r="AE155" s="176" t="s">
        <v>3204</v>
      </c>
      <c r="AF155" s="12">
        <v>371008837</v>
      </c>
      <c r="AG155" s="12" t="s">
        <v>77</v>
      </c>
      <c r="AH155" s="12" t="s">
        <v>356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146</v>
      </c>
      <c r="AP155" s="12" t="s">
        <v>3127</v>
      </c>
      <c r="AQ155" s="12"/>
      <c r="AR155" s="12" t="s">
        <v>3205</v>
      </c>
      <c r="AS155" s="12" t="s">
        <v>3206</v>
      </c>
      <c r="AT155" s="12" t="s">
        <v>3206</v>
      </c>
      <c r="AU155" s="12">
        <v>61</v>
      </c>
      <c r="AV155" s="12" t="s">
        <v>2538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2525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10">
      <c r="A156" s="11" t="s">
        <v>3207</v>
      </c>
      <c r="B156" s="12" t="s">
        <v>61</v>
      </c>
      <c r="C156" s="12" t="s">
        <v>3203</v>
      </c>
      <c r="D156" s="12" t="s">
        <v>63</v>
      </c>
      <c r="E156" s="12" t="s">
        <v>68</v>
      </c>
      <c r="F156" s="12" t="s">
        <v>68</v>
      </c>
      <c r="G156" s="12"/>
      <c r="H156" s="12" t="s">
        <v>146</v>
      </c>
      <c r="I156" s="12" t="s">
        <v>2716</v>
      </c>
      <c r="J156" s="34" t="s">
        <v>68</v>
      </c>
      <c r="K156" s="12" t="s">
        <v>3208</v>
      </c>
      <c r="L156" s="13" t="s">
        <v>2711</v>
      </c>
      <c r="M156" s="12" t="s">
        <v>68</v>
      </c>
      <c r="N156" s="182"/>
      <c r="O156" s="12" t="s">
        <v>2520</v>
      </c>
      <c r="P156" s="12" t="s">
        <v>70</v>
      </c>
      <c r="Q156" s="12" t="s">
        <v>71</v>
      </c>
      <c r="R156" s="12">
        <v>554475</v>
      </c>
      <c r="S156" s="12" t="s">
        <v>72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75</v>
      </c>
      <c r="Z156" s="12"/>
      <c r="AA156" s="12" t="s">
        <v>2703</v>
      </c>
      <c r="AB156" s="13" t="s">
        <v>967</v>
      </c>
      <c r="AC156" s="14">
        <v>45895</v>
      </c>
      <c r="AD156" s="15">
        <v>35</v>
      </c>
      <c r="AE156" s="176" t="s">
        <v>3209</v>
      </c>
      <c r="AF156" s="12">
        <v>371008858</v>
      </c>
      <c r="AG156" s="12" t="s">
        <v>77</v>
      </c>
      <c r="AH156" s="12" t="s">
        <v>78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146</v>
      </c>
      <c r="AP156" s="12" t="s">
        <v>3127</v>
      </c>
      <c r="AQ156" s="12"/>
      <c r="AR156" s="12" t="s">
        <v>3210</v>
      </c>
      <c r="AS156" s="12" t="s">
        <v>3211</v>
      </c>
      <c r="AT156" s="12" t="s">
        <v>3211</v>
      </c>
      <c r="AU156" s="12">
        <v>84</v>
      </c>
      <c r="AV156" s="12" t="s">
        <v>83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2525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10">
      <c r="A157" s="11" t="s">
        <v>3212</v>
      </c>
      <c r="B157" s="12" t="s">
        <v>61</v>
      </c>
      <c r="C157" s="12" t="s">
        <v>3203</v>
      </c>
      <c r="D157" s="12" t="s">
        <v>63</v>
      </c>
      <c r="E157" s="12" t="s">
        <v>68</v>
      </c>
      <c r="F157" s="12" t="s">
        <v>68</v>
      </c>
      <c r="G157" s="12"/>
      <c r="H157" s="12" t="s">
        <v>146</v>
      </c>
      <c r="I157" s="12" t="s">
        <v>147</v>
      </c>
      <c r="J157" s="34" t="s">
        <v>68</v>
      </c>
      <c r="K157" s="12">
        <v>46010817</v>
      </c>
      <c r="L157" s="13" t="s">
        <v>2711</v>
      </c>
      <c r="M157" s="12" t="s">
        <v>68</v>
      </c>
      <c r="N157" s="182"/>
      <c r="O157" s="12" t="s">
        <v>2520</v>
      </c>
      <c r="P157" s="12" t="s">
        <v>70</v>
      </c>
      <c r="Q157" s="12" t="s">
        <v>71</v>
      </c>
      <c r="R157" s="12">
        <v>554475</v>
      </c>
      <c r="S157" s="12" t="s">
        <v>72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75</v>
      </c>
      <c r="Z157" s="12"/>
      <c r="AA157" s="12" t="s">
        <v>2703</v>
      </c>
      <c r="AB157" s="13" t="s">
        <v>967</v>
      </c>
      <c r="AC157" s="14">
        <v>45900</v>
      </c>
      <c r="AD157" s="15">
        <v>35</v>
      </c>
      <c r="AE157" s="176" t="s">
        <v>3213</v>
      </c>
      <c r="AF157" s="12">
        <v>371008881</v>
      </c>
      <c r="AG157" s="12" t="s">
        <v>77</v>
      </c>
      <c r="AH157" s="12" t="s">
        <v>78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146</v>
      </c>
      <c r="AP157" s="12" t="s">
        <v>3184</v>
      </c>
      <c r="AQ157" s="12"/>
      <c r="AR157" s="12">
        <v>46010817</v>
      </c>
      <c r="AS157" s="12" t="s">
        <v>3214</v>
      </c>
      <c r="AT157" s="12" t="s">
        <v>3214</v>
      </c>
      <c r="AU157" s="12">
        <v>79</v>
      </c>
      <c r="AV157" s="12" t="s">
        <v>2538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2525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10">
      <c r="A158" s="11" t="s">
        <v>3215</v>
      </c>
      <c r="B158" s="12" t="s">
        <v>61</v>
      </c>
      <c r="C158" s="12" t="s">
        <v>3203</v>
      </c>
      <c r="D158" s="12" t="s">
        <v>63</v>
      </c>
      <c r="E158" s="12" t="s">
        <v>64</v>
      </c>
      <c r="F158" s="12" t="s">
        <v>65</v>
      </c>
      <c r="G158" s="12" t="s">
        <v>67</v>
      </c>
      <c r="H158" s="12" t="s">
        <v>66</v>
      </c>
      <c r="I158" s="12" t="s">
        <v>3216</v>
      </c>
      <c r="J158" s="34" t="s">
        <v>68</v>
      </c>
      <c r="K158" s="12">
        <v>46010833</v>
      </c>
      <c r="L158" s="13" t="s">
        <v>2711</v>
      </c>
      <c r="M158" s="213" t="s">
        <v>68</v>
      </c>
      <c r="N158" s="182"/>
      <c r="O158" s="12" t="s">
        <v>2520</v>
      </c>
      <c r="P158" s="12" t="s">
        <v>70</v>
      </c>
      <c r="Q158" s="12" t="s">
        <v>71</v>
      </c>
      <c r="R158" s="12">
        <v>554475</v>
      </c>
      <c r="S158" s="12" t="s">
        <v>72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75</v>
      </c>
      <c r="Z158" s="12"/>
      <c r="AA158" s="12" t="s">
        <v>2703</v>
      </c>
      <c r="AB158" s="13" t="s">
        <v>967</v>
      </c>
      <c r="AC158" s="14">
        <v>45900</v>
      </c>
      <c r="AD158" s="15">
        <v>35</v>
      </c>
      <c r="AE158" s="176" t="s">
        <v>3217</v>
      </c>
      <c r="AF158" s="12">
        <v>371008882</v>
      </c>
      <c r="AG158" s="12" t="s">
        <v>77</v>
      </c>
      <c r="AH158" s="12" t="s">
        <v>78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66</v>
      </c>
      <c r="AP158" s="12" t="s">
        <v>3184</v>
      </c>
      <c r="AQ158" s="12"/>
      <c r="AR158" s="12" t="s">
        <v>3200</v>
      </c>
      <c r="AS158" s="12" t="s">
        <v>3201</v>
      </c>
      <c r="AT158" s="12" t="s">
        <v>3201</v>
      </c>
      <c r="AU158" s="12">
        <v>79</v>
      </c>
      <c r="AV158" s="12" t="s">
        <v>83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2525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10">
      <c r="A159" s="11" t="s">
        <v>3218</v>
      </c>
      <c r="B159" s="12" t="s">
        <v>61</v>
      </c>
      <c r="C159" s="12" t="s">
        <v>203</v>
      </c>
      <c r="D159" s="12" t="s">
        <v>63</v>
      </c>
      <c r="E159" s="12" t="s">
        <v>68</v>
      </c>
      <c r="F159" s="12" t="s">
        <v>68</v>
      </c>
      <c r="G159" s="12"/>
      <c r="H159" s="12" t="s">
        <v>66</v>
      </c>
      <c r="I159" s="12" t="s">
        <v>2830</v>
      </c>
      <c r="J159" s="34" t="s">
        <v>68</v>
      </c>
      <c r="K159" s="12">
        <v>19143160</v>
      </c>
      <c r="L159" s="13" t="s">
        <v>2542</v>
      </c>
      <c r="M159" s="12" t="s">
        <v>68</v>
      </c>
      <c r="N159" s="182"/>
      <c r="O159" s="12" t="s">
        <v>2520</v>
      </c>
      <c r="P159" s="12" t="s">
        <v>70</v>
      </c>
      <c r="Q159" s="12" t="s">
        <v>885</v>
      </c>
      <c r="R159" s="12">
        <v>554244</v>
      </c>
      <c r="S159" s="12" t="s">
        <v>886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75</v>
      </c>
      <c r="Z159" s="12"/>
      <c r="AA159" s="12" t="s">
        <v>108</v>
      </c>
      <c r="AB159" s="32" t="s">
        <v>992</v>
      </c>
      <c r="AC159" s="14">
        <v>45894</v>
      </c>
      <c r="AD159" s="15">
        <v>35</v>
      </c>
      <c r="AE159" s="176" t="s">
        <v>3219</v>
      </c>
      <c r="AF159" s="12">
        <v>371008859</v>
      </c>
      <c r="AG159" s="12" t="s">
        <v>77</v>
      </c>
      <c r="AH159" s="12" t="s">
        <v>314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66</v>
      </c>
      <c r="AP159" s="12" t="s">
        <v>3127</v>
      </c>
      <c r="AQ159" s="12"/>
      <c r="AR159" s="12" t="s">
        <v>3220</v>
      </c>
      <c r="AS159" s="12" t="s">
        <v>3221</v>
      </c>
      <c r="AT159" s="12" t="s">
        <v>3221</v>
      </c>
      <c r="AU159" s="12">
        <v>79</v>
      </c>
      <c r="AV159" s="12" t="s">
        <v>83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2525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10">
      <c r="A160" s="11" t="s">
        <v>3222</v>
      </c>
      <c r="B160" s="12" t="s">
        <v>61</v>
      </c>
      <c r="C160" s="12" t="s">
        <v>3218</v>
      </c>
      <c r="D160" s="12" t="s">
        <v>63</v>
      </c>
      <c r="E160" s="12" t="s">
        <v>68</v>
      </c>
      <c r="F160" s="12" t="s">
        <v>68</v>
      </c>
      <c r="G160" s="12"/>
      <c r="H160" s="12" t="s">
        <v>66</v>
      </c>
      <c r="I160" s="12" t="s">
        <v>2830</v>
      </c>
      <c r="J160" s="34" t="s">
        <v>68</v>
      </c>
      <c r="K160" s="12">
        <v>19143077</v>
      </c>
      <c r="L160" s="13" t="s">
        <v>2542</v>
      </c>
      <c r="M160" s="12" t="s">
        <v>68</v>
      </c>
      <c r="N160" s="182"/>
      <c r="O160" s="12" t="s">
        <v>2520</v>
      </c>
      <c r="P160" s="12" t="s">
        <v>70</v>
      </c>
      <c r="Q160" s="12" t="s">
        <v>885</v>
      </c>
      <c r="R160" s="12">
        <v>554244</v>
      </c>
      <c r="S160" s="12" t="s">
        <v>886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75</v>
      </c>
      <c r="Z160" s="12"/>
      <c r="AA160" s="12" t="s">
        <v>108</v>
      </c>
      <c r="AB160" s="32" t="s">
        <v>992</v>
      </c>
      <c r="AC160" s="14">
        <v>45895</v>
      </c>
      <c r="AD160" s="15">
        <v>35</v>
      </c>
      <c r="AE160" s="176" t="s">
        <v>3223</v>
      </c>
      <c r="AF160" s="12">
        <v>371008815</v>
      </c>
      <c r="AG160" s="12" t="s">
        <v>77</v>
      </c>
      <c r="AH160" s="12" t="s">
        <v>314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66</v>
      </c>
      <c r="AP160" s="12" t="s">
        <v>3127</v>
      </c>
      <c r="AQ160" s="12"/>
      <c r="AR160" s="12" t="s">
        <v>3224</v>
      </c>
      <c r="AS160" s="12" t="s">
        <v>3225</v>
      </c>
      <c r="AT160" s="12" t="s">
        <v>3225</v>
      </c>
      <c r="AU160" s="12">
        <v>79</v>
      </c>
      <c r="AV160" s="12" t="s">
        <v>83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2525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10">
      <c r="A161" s="11" t="s">
        <v>3226</v>
      </c>
      <c r="B161" s="12" t="s">
        <v>61</v>
      </c>
      <c r="C161" s="12" t="s">
        <v>3227</v>
      </c>
      <c r="D161" s="12" t="s">
        <v>63</v>
      </c>
      <c r="E161" s="12" t="s">
        <v>68</v>
      </c>
      <c r="F161" s="12" t="s">
        <v>68</v>
      </c>
      <c r="G161" s="12"/>
      <c r="H161" s="12" t="s">
        <v>66</v>
      </c>
      <c r="I161" s="12" t="s">
        <v>2830</v>
      </c>
      <c r="J161" s="34" t="s">
        <v>68</v>
      </c>
      <c r="K161" s="12">
        <v>19143077</v>
      </c>
      <c r="L161" s="13" t="s">
        <v>2542</v>
      </c>
      <c r="M161" s="12" t="s">
        <v>68</v>
      </c>
      <c r="N161" s="182"/>
      <c r="O161" s="12" t="s">
        <v>2520</v>
      </c>
      <c r="P161" s="12" t="s">
        <v>70</v>
      </c>
      <c r="Q161" s="12" t="s">
        <v>102</v>
      </c>
      <c r="R161" s="12">
        <v>554245</v>
      </c>
      <c r="S161" s="12" t="s">
        <v>103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75</v>
      </c>
      <c r="Z161" s="12"/>
      <c r="AA161" s="12" t="s">
        <v>108</v>
      </c>
      <c r="AB161" s="13" t="s">
        <v>967</v>
      </c>
      <c r="AC161" s="14">
        <v>45895</v>
      </c>
      <c r="AD161" s="15">
        <v>35</v>
      </c>
      <c r="AE161" s="176" t="s">
        <v>3228</v>
      </c>
      <c r="AF161" s="12">
        <v>371008816</v>
      </c>
      <c r="AG161" s="12" t="s">
        <v>77</v>
      </c>
      <c r="AH161" s="12" t="s">
        <v>314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66</v>
      </c>
      <c r="AP161" s="12" t="s">
        <v>3127</v>
      </c>
      <c r="AQ161" s="12"/>
      <c r="AR161" s="12" t="s">
        <v>3224</v>
      </c>
      <c r="AS161" s="12" t="s">
        <v>3225</v>
      </c>
      <c r="AT161" s="12" t="s">
        <v>3229</v>
      </c>
      <c r="AU161" s="12">
        <v>79</v>
      </c>
      <c r="AV161" s="12" t="s">
        <v>83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2525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10">
      <c r="A162" s="11" t="s">
        <v>3230</v>
      </c>
      <c r="B162" s="12" t="s">
        <v>61</v>
      </c>
      <c r="C162" s="12" t="s">
        <v>3203</v>
      </c>
      <c r="D162" s="12" t="s">
        <v>63</v>
      </c>
      <c r="E162" s="12" t="s">
        <v>68</v>
      </c>
      <c r="F162" s="12" t="s">
        <v>68</v>
      </c>
      <c r="G162" s="12"/>
      <c r="H162" s="12" t="s">
        <v>146</v>
      </c>
      <c r="I162" s="12" t="s">
        <v>2710</v>
      </c>
      <c r="J162" s="34" t="s">
        <v>68</v>
      </c>
      <c r="K162" s="12">
        <v>46010812</v>
      </c>
      <c r="L162" s="13" t="s">
        <v>2711</v>
      </c>
      <c r="M162" s="12" t="s">
        <v>68</v>
      </c>
      <c r="N162" s="182"/>
      <c r="O162" s="12" t="s">
        <v>2520</v>
      </c>
      <c r="P162" s="12" t="s">
        <v>70</v>
      </c>
      <c r="Q162" s="12" t="s">
        <v>71</v>
      </c>
      <c r="R162" s="12">
        <v>554475</v>
      </c>
      <c r="S162" s="12" t="s">
        <v>72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75</v>
      </c>
      <c r="Z162" s="12"/>
      <c r="AA162" s="12" t="s">
        <v>2703</v>
      </c>
      <c r="AB162" s="13" t="s">
        <v>967</v>
      </c>
      <c r="AC162" s="14">
        <v>45895</v>
      </c>
      <c r="AD162" s="15">
        <v>35</v>
      </c>
      <c r="AE162" s="176" t="s">
        <v>3231</v>
      </c>
      <c r="AF162" s="12">
        <v>371008839</v>
      </c>
      <c r="AG162" s="12" t="s">
        <v>77</v>
      </c>
      <c r="AH162" s="12" t="s">
        <v>78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146</v>
      </c>
      <c r="AP162" s="12" t="s">
        <v>3127</v>
      </c>
      <c r="AQ162" s="12"/>
      <c r="AR162" s="12">
        <v>46010812</v>
      </c>
      <c r="AS162" s="12" t="s">
        <v>3232</v>
      </c>
      <c r="AT162" s="12" t="s">
        <v>3232</v>
      </c>
      <c r="AU162" s="12">
        <v>84</v>
      </c>
      <c r="AV162" s="12" t="s">
        <v>2538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2525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10">
      <c r="A163" s="11" t="s">
        <v>3233</v>
      </c>
      <c r="B163" s="12" t="s">
        <v>61</v>
      </c>
      <c r="C163" s="12" t="s">
        <v>2759</v>
      </c>
      <c r="D163" s="12" t="s">
        <v>63</v>
      </c>
      <c r="E163" s="12" t="s">
        <v>64</v>
      </c>
      <c r="F163" s="12" t="s">
        <v>100</v>
      </c>
      <c r="G163" s="12" t="s">
        <v>67</v>
      </c>
      <c r="H163" s="12" t="s">
        <v>66</v>
      </c>
      <c r="I163" s="12" t="s">
        <v>2821</v>
      </c>
      <c r="J163" s="34" t="s">
        <v>68</v>
      </c>
      <c r="K163" s="12"/>
      <c r="L163" s="13" t="s">
        <v>2764</v>
      </c>
      <c r="M163" s="213" t="s">
        <v>68</v>
      </c>
      <c r="N163" s="182"/>
      <c r="O163" s="12" t="s">
        <v>2520</v>
      </c>
      <c r="P163" s="12" t="s">
        <v>70</v>
      </c>
      <c r="Q163" s="12" t="s">
        <v>195</v>
      </c>
      <c r="R163" s="12">
        <v>554473</v>
      </c>
      <c r="S163" s="12" t="s">
        <v>196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75</v>
      </c>
      <c r="Z163" s="12"/>
      <c r="AA163" s="12" t="s">
        <v>2703</v>
      </c>
      <c r="AB163" s="13" t="s">
        <v>967</v>
      </c>
      <c r="AC163" s="14">
        <v>45894</v>
      </c>
      <c r="AD163" s="15">
        <v>35</v>
      </c>
      <c r="AE163" s="176" t="s">
        <v>3234</v>
      </c>
      <c r="AF163" s="12">
        <v>371008848</v>
      </c>
      <c r="AG163" s="12" t="s">
        <v>77</v>
      </c>
      <c r="AH163" s="12" t="s">
        <v>105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66</v>
      </c>
      <c r="AP163" s="12" t="s">
        <v>3127</v>
      </c>
      <c r="AQ163" s="12"/>
      <c r="AR163" s="12" t="s">
        <v>3235</v>
      </c>
      <c r="AS163" s="12" t="s">
        <v>3236</v>
      </c>
      <c r="AT163" s="12" t="s">
        <v>3237</v>
      </c>
      <c r="AU163" s="12">
        <v>59</v>
      </c>
      <c r="AV163" s="12" t="s">
        <v>83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2525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10">
      <c r="A164" s="11" t="s">
        <v>3238</v>
      </c>
      <c r="B164" s="12" t="s">
        <v>111</v>
      </c>
      <c r="C164" s="12" t="s">
        <v>2654</v>
      </c>
      <c r="D164" s="12" t="s">
        <v>63</v>
      </c>
      <c r="E164" s="12" t="s">
        <v>68</v>
      </c>
      <c r="F164" s="12" t="s">
        <v>68</v>
      </c>
      <c r="G164" s="12"/>
      <c r="H164" s="12" t="s">
        <v>146</v>
      </c>
      <c r="I164" s="12" t="s">
        <v>3188</v>
      </c>
      <c r="J164" s="34" t="s">
        <v>68</v>
      </c>
      <c r="K164" s="12">
        <v>46010760</v>
      </c>
      <c r="L164" s="13" t="s">
        <v>2764</v>
      </c>
      <c r="M164" s="12" t="s">
        <v>68</v>
      </c>
      <c r="N164" s="182"/>
      <c r="O164" s="12" t="s">
        <v>2520</v>
      </c>
      <c r="P164" s="12" t="s">
        <v>2655</v>
      </c>
      <c r="Q164" s="12" t="s">
        <v>2656</v>
      </c>
      <c r="R164" s="12">
        <v>553098</v>
      </c>
      <c r="S164" s="12" t="s">
        <v>2657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75</v>
      </c>
      <c r="Z164" s="12"/>
      <c r="AA164" s="12" t="s">
        <v>108</v>
      </c>
      <c r="AB164" s="13" t="s">
        <v>992</v>
      </c>
      <c r="AC164" s="14">
        <v>45895</v>
      </c>
      <c r="AD164" s="15">
        <v>35</v>
      </c>
      <c r="AE164" s="176" t="s">
        <v>3239</v>
      </c>
      <c r="AF164" s="12">
        <v>371008841</v>
      </c>
      <c r="AG164" s="12" t="s">
        <v>122</v>
      </c>
      <c r="AH164" s="12" t="s">
        <v>105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146</v>
      </c>
      <c r="AP164" s="12" t="s">
        <v>3240</v>
      </c>
      <c r="AQ164" s="12"/>
      <c r="AR164" s="12">
        <v>46010760</v>
      </c>
      <c r="AS164" s="12" t="s">
        <v>3241</v>
      </c>
      <c r="AT164" s="12" t="s">
        <v>3241</v>
      </c>
      <c r="AU164" s="12">
        <v>45</v>
      </c>
      <c r="AV164" s="12" t="s">
        <v>3191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2525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10">
      <c r="A165" s="11" t="s">
        <v>3242</v>
      </c>
      <c r="B165" s="12" t="s">
        <v>111</v>
      </c>
      <c r="C165" s="12" t="s">
        <v>2949</v>
      </c>
      <c r="D165" s="12" t="s">
        <v>63</v>
      </c>
      <c r="E165" s="12" t="s">
        <v>64</v>
      </c>
      <c r="F165" s="12" t="s">
        <v>100</v>
      </c>
      <c r="G165" s="12" t="s">
        <v>67</v>
      </c>
      <c r="H165" s="12" t="s">
        <v>402</v>
      </c>
      <c r="I165" s="12" t="s">
        <v>677</v>
      </c>
      <c r="J165" s="34" t="s">
        <v>68</v>
      </c>
      <c r="K165" s="12" t="s">
        <v>3243</v>
      </c>
      <c r="L165" s="13" t="s">
        <v>2777</v>
      </c>
      <c r="M165" s="213" t="s">
        <v>68</v>
      </c>
      <c r="N165" s="182"/>
      <c r="O165" s="12" t="s">
        <v>2520</v>
      </c>
      <c r="P165" s="12" t="s">
        <v>70</v>
      </c>
      <c r="Q165" s="12" t="s">
        <v>102</v>
      </c>
      <c r="R165" s="12">
        <v>554245</v>
      </c>
      <c r="S165" s="12" t="s">
        <v>103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75</v>
      </c>
      <c r="Z165" s="12"/>
      <c r="AA165" s="12" t="s">
        <v>108</v>
      </c>
      <c r="AB165" s="13" t="s">
        <v>2950</v>
      </c>
      <c r="AC165" s="14">
        <v>45900</v>
      </c>
      <c r="AD165" s="15">
        <v>35</v>
      </c>
      <c r="AE165" s="176" t="s">
        <v>3244</v>
      </c>
      <c r="AF165" s="12">
        <v>371008870</v>
      </c>
      <c r="AG165" s="12" t="s">
        <v>122</v>
      </c>
      <c r="AH165" s="12" t="s">
        <v>105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402</v>
      </c>
      <c r="AP165" s="12" t="s">
        <v>3195</v>
      </c>
      <c r="AQ165" s="12"/>
      <c r="AR165" s="12" t="s">
        <v>3245</v>
      </c>
      <c r="AS165" s="12" t="s">
        <v>3246</v>
      </c>
      <c r="AT165" s="12" t="s">
        <v>3246</v>
      </c>
      <c r="AU165" s="12">
        <v>72</v>
      </c>
      <c r="AV165" s="12" t="s">
        <v>2538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2525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10">
      <c r="A166" s="11" t="s">
        <v>3247</v>
      </c>
      <c r="B166" s="12" t="s">
        <v>111</v>
      </c>
      <c r="C166" s="12" t="s">
        <v>2955</v>
      </c>
      <c r="D166" s="12" t="s">
        <v>63</v>
      </c>
      <c r="E166" s="12" t="s">
        <v>64</v>
      </c>
      <c r="F166" s="12" t="s">
        <v>100</v>
      </c>
      <c r="G166" s="12" t="s">
        <v>67</v>
      </c>
      <c r="H166" s="12" t="s">
        <v>402</v>
      </c>
      <c r="I166" s="12" t="s">
        <v>677</v>
      </c>
      <c r="J166" s="34" t="s">
        <v>68</v>
      </c>
      <c r="K166" s="12">
        <v>14130692</v>
      </c>
      <c r="L166" s="13" t="s">
        <v>2777</v>
      </c>
      <c r="M166" s="213" t="s">
        <v>68</v>
      </c>
      <c r="N166" s="182"/>
      <c r="O166" s="12" t="s">
        <v>2520</v>
      </c>
      <c r="P166" s="12" t="s">
        <v>70</v>
      </c>
      <c r="Q166" s="12" t="s">
        <v>1002</v>
      </c>
      <c r="R166" s="12">
        <v>554246</v>
      </c>
      <c r="S166" s="12" t="s">
        <v>330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75</v>
      </c>
      <c r="Z166" s="12"/>
      <c r="AA166" s="12" t="s">
        <v>108</v>
      </c>
      <c r="AB166" s="13" t="s">
        <v>2950</v>
      </c>
      <c r="AC166" s="14">
        <v>45900</v>
      </c>
      <c r="AD166" s="15">
        <v>35</v>
      </c>
      <c r="AE166" s="176" t="s">
        <v>3248</v>
      </c>
      <c r="AF166" s="12">
        <v>371008871</v>
      </c>
      <c r="AG166" s="12" t="s">
        <v>122</v>
      </c>
      <c r="AH166" s="12" t="s">
        <v>105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402</v>
      </c>
      <c r="AP166" s="12" t="s">
        <v>3195</v>
      </c>
      <c r="AQ166" s="12"/>
      <c r="AR166" s="12" t="s">
        <v>3249</v>
      </c>
      <c r="AS166" s="12" t="s">
        <v>3250</v>
      </c>
      <c r="AT166" s="12" t="s">
        <v>3250</v>
      </c>
      <c r="AU166" s="12">
        <v>72</v>
      </c>
      <c r="AV166" s="12" t="s">
        <v>2538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2525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10">
      <c r="A167" s="11" t="s">
        <v>2795</v>
      </c>
      <c r="B167" s="12" t="s">
        <v>111</v>
      </c>
      <c r="C167" s="12" t="s">
        <v>203</v>
      </c>
      <c r="D167" s="12" t="s">
        <v>63</v>
      </c>
      <c r="E167" s="12" t="s">
        <v>68</v>
      </c>
      <c r="F167" s="12" t="s">
        <v>68</v>
      </c>
      <c r="G167" s="12"/>
      <c r="H167" s="12" t="s">
        <v>66</v>
      </c>
      <c r="I167" s="12" t="s">
        <v>1342</v>
      </c>
      <c r="J167" s="34" t="s">
        <v>68</v>
      </c>
      <c r="K167" s="12"/>
      <c r="L167" s="13" t="s">
        <v>2542</v>
      </c>
      <c r="M167" s="12" t="s">
        <v>68</v>
      </c>
      <c r="N167" s="182"/>
      <c r="O167" s="12" t="s">
        <v>2520</v>
      </c>
      <c r="P167" s="12" t="s">
        <v>170</v>
      </c>
      <c r="Q167" s="12" t="s">
        <v>171</v>
      </c>
      <c r="R167" s="12">
        <v>552045</v>
      </c>
      <c r="S167" s="12" t="s">
        <v>172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75</v>
      </c>
      <c r="Z167" s="12"/>
      <c r="AA167" s="12" t="s">
        <v>108</v>
      </c>
      <c r="AB167" s="13" t="s">
        <v>992</v>
      </c>
      <c r="AC167" s="14">
        <v>45895</v>
      </c>
      <c r="AD167" s="15">
        <v>35</v>
      </c>
      <c r="AE167" s="176" t="s">
        <v>3251</v>
      </c>
      <c r="AF167" s="12">
        <v>371008853</v>
      </c>
      <c r="AG167" s="12" t="s">
        <v>122</v>
      </c>
      <c r="AH167" s="12" t="s">
        <v>314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66</v>
      </c>
      <c r="AP167" s="12" t="s">
        <v>3170</v>
      </c>
      <c r="AQ167" s="12"/>
      <c r="AR167" s="12" t="s">
        <v>3252</v>
      </c>
      <c r="AS167" s="12" t="s">
        <v>3253</v>
      </c>
      <c r="AT167" s="12" t="s">
        <v>3253</v>
      </c>
      <c r="AU167" s="12">
        <v>47</v>
      </c>
      <c r="AV167" s="12" t="s">
        <v>83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2525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10">
      <c r="A168" s="11" t="s">
        <v>3254</v>
      </c>
      <c r="B168" s="12" t="s">
        <v>111</v>
      </c>
      <c r="C168" s="12" t="s">
        <v>2795</v>
      </c>
      <c r="D168" s="12" t="s">
        <v>63</v>
      </c>
      <c r="E168" s="12" t="s">
        <v>68</v>
      </c>
      <c r="F168" s="12" t="s">
        <v>68</v>
      </c>
      <c r="G168" s="12"/>
      <c r="H168" s="12" t="s">
        <v>66</v>
      </c>
      <c r="I168" s="12" t="s">
        <v>1559</v>
      </c>
      <c r="J168" s="34" t="s">
        <v>68</v>
      </c>
      <c r="K168" s="12"/>
      <c r="L168" s="13" t="s">
        <v>2542</v>
      </c>
      <c r="M168" s="12" t="s">
        <v>68</v>
      </c>
      <c r="N168" s="182"/>
      <c r="O168" s="12" t="s">
        <v>2520</v>
      </c>
      <c r="P168" s="12" t="s">
        <v>170</v>
      </c>
      <c r="Q168" s="12" t="s">
        <v>171</v>
      </c>
      <c r="R168" s="12">
        <v>552045</v>
      </c>
      <c r="S168" s="12" t="s">
        <v>172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75</v>
      </c>
      <c r="Z168" s="12"/>
      <c r="AA168" s="12" t="s">
        <v>108</v>
      </c>
      <c r="AB168" s="13" t="s">
        <v>992</v>
      </c>
      <c r="AC168" s="14">
        <v>45899</v>
      </c>
      <c r="AD168" s="15">
        <v>35</v>
      </c>
      <c r="AE168" s="176" t="s">
        <v>3255</v>
      </c>
      <c r="AF168" s="12">
        <v>371008854</v>
      </c>
      <c r="AG168" s="12" t="s">
        <v>122</v>
      </c>
      <c r="AH168" s="12" t="s">
        <v>1561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66</v>
      </c>
      <c r="AP168" s="12" t="s">
        <v>3170</v>
      </c>
      <c r="AQ168" s="12"/>
      <c r="AR168" s="12" t="s">
        <v>3176</v>
      </c>
      <c r="AS168" s="12" t="s">
        <v>3177</v>
      </c>
      <c r="AT168" s="12" t="s">
        <v>3256</v>
      </c>
      <c r="AU168" s="12">
        <v>51</v>
      </c>
      <c r="AV168" s="12" t="s">
        <v>83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2525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10">
      <c r="A169" s="11" t="s">
        <v>3257</v>
      </c>
      <c r="B169" s="12" t="s">
        <v>61</v>
      </c>
      <c r="C169" s="12" t="s">
        <v>2960</v>
      </c>
      <c r="D169" s="12" t="s">
        <v>63</v>
      </c>
      <c r="E169" s="12" t="s">
        <v>64</v>
      </c>
      <c r="F169" s="12" t="s">
        <v>65</v>
      </c>
      <c r="G169" s="12" t="s">
        <v>67</v>
      </c>
      <c r="H169" s="12" t="s">
        <v>66</v>
      </c>
      <c r="I169" s="12" t="s">
        <v>96</v>
      </c>
      <c r="J169" s="34" t="s">
        <v>68</v>
      </c>
      <c r="K169" s="12"/>
      <c r="L169" s="13" t="s">
        <v>2519</v>
      </c>
      <c r="M169" s="213" t="s">
        <v>68</v>
      </c>
      <c r="N169" s="182"/>
      <c r="O169" s="12" t="s">
        <v>2520</v>
      </c>
      <c r="P169" s="12" t="s">
        <v>70</v>
      </c>
      <c r="Q169" s="12" t="s">
        <v>91</v>
      </c>
      <c r="R169" s="12">
        <v>554480</v>
      </c>
      <c r="S169" s="12" t="s">
        <v>92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75</v>
      </c>
      <c r="AA169" s="12" t="s">
        <v>94</v>
      </c>
      <c r="AB169" s="32" t="s">
        <v>967</v>
      </c>
      <c r="AC169" s="14">
        <v>45900</v>
      </c>
      <c r="AD169" s="15">
        <v>35</v>
      </c>
      <c r="AE169" s="176" t="s">
        <v>3258</v>
      </c>
      <c r="AF169" s="12">
        <v>371008868</v>
      </c>
      <c r="AG169" s="12" t="s">
        <v>77</v>
      </c>
      <c r="AH169" s="12" t="s">
        <v>78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66</v>
      </c>
      <c r="AP169" s="12" t="s">
        <v>3184</v>
      </c>
      <c r="AQ169" s="12"/>
      <c r="AR169" s="12" t="s">
        <v>3200</v>
      </c>
      <c r="AS169" s="12" t="s">
        <v>3201</v>
      </c>
      <c r="AT169" s="12" t="s">
        <v>3201</v>
      </c>
      <c r="AU169" s="12">
        <v>79</v>
      </c>
      <c r="AV169" s="12" t="s">
        <v>83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2525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10">
      <c r="A170" s="33" t="s">
        <v>3259</v>
      </c>
      <c r="B170" s="31" t="s">
        <v>61</v>
      </c>
      <c r="C170" s="31" t="s">
        <v>569</v>
      </c>
      <c r="D170" s="31" t="s">
        <v>63</v>
      </c>
      <c r="E170" s="12" t="s">
        <v>68</v>
      </c>
      <c r="F170" s="12" t="s">
        <v>68</v>
      </c>
      <c r="G170" s="31"/>
      <c r="H170" s="31" t="s">
        <v>156</v>
      </c>
      <c r="I170" s="31" t="s">
        <v>157</v>
      </c>
      <c r="J170" s="34" t="s">
        <v>68</v>
      </c>
      <c r="K170" s="31">
        <v>46010847</v>
      </c>
      <c r="L170" s="13" t="s">
        <v>2534</v>
      </c>
      <c r="M170" s="12" t="s">
        <v>68</v>
      </c>
      <c r="N170" s="183"/>
      <c r="O170" s="31" t="s">
        <v>2520</v>
      </c>
      <c r="P170" s="31" t="s">
        <v>70</v>
      </c>
      <c r="Q170" s="31" t="s">
        <v>2702</v>
      </c>
      <c r="R170" s="31">
        <v>554470</v>
      </c>
      <c r="S170" s="31" t="s">
        <v>571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75</v>
      </c>
      <c r="Z170" s="31"/>
      <c r="AA170" s="12" t="s">
        <v>2703</v>
      </c>
      <c r="AB170" s="13" t="s">
        <v>967</v>
      </c>
      <c r="AC170" s="30">
        <v>45900</v>
      </c>
      <c r="AD170" s="35">
        <v>35</v>
      </c>
      <c r="AE170" s="176" t="s">
        <v>3260</v>
      </c>
      <c r="AF170" s="31">
        <v>371008846</v>
      </c>
      <c r="AG170" s="31" t="s">
        <v>77</v>
      </c>
      <c r="AH170" s="31" t="s">
        <v>159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156</v>
      </c>
      <c r="AP170" s="31" t="s">
        <v>3180</v>
      </c>
      <c r="AQ170" s="31"/>
      <c r="AR170" s="31" t="s">
        <v>3181</v>
      </c>
      <c r="AS170" s="31">
        <v>1068960628</v>
      </c>
      <c r="AT170" s="31">
        <v>258514211</v>
      </c>
      <c r="AU170" s="31">
        <v>58</v>
      </c>
      <c r="AV170" s="31" t="s">
        <v>83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2525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10">
      <c r="A171" s="11" t="s">
        <v>3261</v>
      </c>
      <c r="B171" s="12" t="s">
        <v>111</v>
      </c>
      <c r="C171" s="12" t="s">
        <v>2548</v>
      </c>
      <c r="D171" s="12" t="s">
        <v>63</v>
      </c>
      <c r="E171" s="12" t="s">
        <v>68</v>
      </c>
      <c r="F171" s="12" t="s">
        <v>68</v>
      </c>
      <c r="G171" s="12"/>
      <c r="H171" s="12" t="s">
        <v>66</v>
      </c>
      <c r="I171" s="12" t="s">
        <v>3262</v>
      </c>
      <c r="J171" s="34" t="s">
        <v>68</v>
      </c>
      <c r="K171" s="12"/>
      <c r="L171" s="13" t="s">
        <v>2542</v>
      </c>
      <c r="M171" s="12" t="s">
        <v>68</v>
      </c>
      <c r="N171" s="182"/>
      <c r="O171" s="12" t="s">
        <v>2520</v>
      </c>
      <c r="P171" s="12" t="s">
        <v>132</v>
      </c>
      <c r="Q171" s="12" t="s">
        <v>1104</v>
      </c>
      <c r="R171" s="12">
        <v>554431</v>
      </c>
      <c r="S171" s="12" t="s">
        <v>1105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75</v>
      </c>
      <c r="Z171" s="12"/>
      <c r="AA171" s="12" t="s">
        <v>108</v>
      </c>
      <c r="AB171" s="13" t="s">
        <v>992</v>
      </c>
      <c r="AC171" s="14">
        <v>45895</v>
      </c>
      <c r="AD171" s="15">
        <v>35</v>
      </c>
      <c r="AE171" s="176" t="s">
        <v>3263</v>
      </c>
      <c r="AF171" s="12">
        <v>371008842</v>
      </c>
      <c r="AG171" s="12" t="s">
        <v>122</v>
      </c>
      <c r="AH171" s="12" t="s">
        <v>314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66</v>
      </c>
      <c r="AP171" s="12" t="s">
        <v>3170</v>
      </c>
      <c r="AQ171" s="12"/>
      <c r="AR171" s="12" t="s">
        <v>3252</v>
      </c>
      <c r="AS171" s="12" t="s">
        <v>3253</v>
      </c>
      <c r="AT171" s="12" t="s">
        <v>3264</v>
      </c>
      <c r="AU171" s="12">
        <v>47</v>
      </c>
      <c r="AV171" s="12" t="s">
        <v>83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2525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10">
      <c r="A172" s="11" t="s">
        <v>3265</v>
      </c>
      <c r="B172" s="12" t="s">
        <v>111</v>
      </c>
      <c r="C172" s="12" t="s">
        <v>2588</v>
      </c>
      <c r="D172" s="12" t="s">
        <v>63</v>
      </c>
      <c r="E172" s="12" t="s">
        <v>68</v>
      </c>
      <c r="F172" s="12" t="s">
        <v>68</v>
      </c>
      <c r="G172" s="12"/>
      <c r="H172" s="12" t="s">
        <v>66</v>
      </c>
      <c r="I172" s="12" t="s">
        <v>3266</v>
      </c>
      <c r="J172" s="34" t="s">
        <v>68</v>
      </c>
      <c r="K172" s="12">
        <v>20519178</v>
      </c>
      <c r="L172" s="13" t="s">
        <v>2876</v>
      </c>
      <c r="M172" s="12" t="s">
        <v>68</v>
      </c>
      <c r="N172" s="182"/>
      <c r="O172" s="12" t="s">
        <v>2520</v>
      </c>
      <c r="P172" s="12" t="s">
        <v>70</v>
      </c>
      <c r="Q172" s="12" t="s">
        <v>102</v>
      </c>
      <c r="R172" s="12">
        <v>554245</v>
      </c>
      <c r="S172" s="12" t="s">
        <v>103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75</v>
      </c>
      <c r="Z172" s="12"/>
      <c r="AA172" s="12" t="s">
        <v>108</v>
      </c>
      <c r="AB172" s="32" t="s">
        <v>967</v>
      </c>
      <c r="AC172" s="14">
        <v>45894</v>
      </c>
      <c r="AD172" s="15">
        <v>35</v>
      </c>
      <c r="AE172" s="176" t="s">
        <v>3267</v>
      </c>
      <c r="AF172" s="12">
        <v>371008845</v>
      </c>
      <c r="AG172" s="12" t="s">
        <v>122</v>
      </c>
      <c r="AH172" s="12" t="s">
        <v>456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66</v>
      </c>
      <c r="AP172" s="12" t="s">
        <v>3090</v>
      </c>
      <c r="AQ172" s="12"/>
      <c r="AR172" s="12" t="s">
        <v>3268</v>
      </c>
      <c r="AS172" s="12" t="s">
        <v>3269</v>
      </c>
      <c r="AT172" s="12" t="s">
        <v>3269</v>
      </c>
      <c r="AU172" s="12">
        <v>71</v>
      </c>
      <c r="AV172" s="12" t="s">
        <v>83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2525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10">
      <c r="A173" s="11" t="s">
        <v>3270</v>
      </c>
      <c r="B173" s="12" t="s">
        <v>800</v>
      </c>
      <c r="C173" s="12" t="s">
        <v>2759</v>
      </c>
      <c r="D173" s="12" t="s">
        <v>63</v>
      </c>
      <c r="E173" s="12" t="s">
        <v>64</v>
      </c>
      <c r="F173" s="12" t="s">
        <v>100</v>
      </c>
      <c r="G173" s="12" t="s">
        <v>67</v>
      </c>
      <c r="H173" s="12" t="s">
        <v>66</v>
      </c>
      <c r="I173" s="12" t="s">
        <v>3098</v>
      </c>
      <c r="J173" s="34" t="s">
        <v>68</v>
      </c>
      <c r="K173" s="12">
        <v>39011433</v>
      </c>
      <c r="L173" s="13" t="s">
        <v>2764</v>
      </c>
      <c r="M173" s="213" t="s">
        <v>68</v>
      </c>
      <c r="N173" s="182"/>
      <c r="O173" s="12" t="s">
        <v>2520</v>
      </c>
      <c r="P173" s="12" t="s">
        <v>70</v>
      </c>
      <c r="Q173" s="12" t="s">
        <v>195</v>
      </c>
      <c r="R173" s="12">
        <v>554473</v>
      </c>
      <c r="S173" s="12" t="s">
        <v>196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75</v>
      </c>
      <c r="Z173" s="12"/>
      <c r="AA173" s="12" t="s">
        <v>2703</v>
      </c>
      <c r="AB173" s="13" t="s">
        <v>967</v>
      </c>
      <c r="AC173" s="14">
        <v>45894</v>
      </c>
      <c r="AD173" s="15">
        <v>35</v>
      </c>
      <c r="AE173" s="176" t="s">
        <v>3271</v>
      </c>
      <c r="AF173" s="12">
        <v>371008847</v>
      </c>
      <c r="AG173" s="12" t="s">
        <v>77</v>
      </c>
      <c r="AH173" s="12" t="s">
        <v>105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66</v>
      </c>
      <c r="AP173" s="12" t="s">
        <v>3127</v>
      </c>
      <c r="AQ173" s="12"/>
      <c r="AR173" s="12" t="s">
        <v>3235</v>
      </c>
      <c r="AS173" s="12" t="s">
        <v>3236</v>
      </c>
      <c r="AT173" s="12" t="s">
        <v>3237</v>
      </c>
      <c r="AU173" s="12">
        <v>59</v>
      </c>
      <c r="AV173" s="12" t="s">
        <v>83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2525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10">
      <c r="A174" s="172" t="s">
        <v>3272</v>
      </c>
      <c r="B174" s="41" t="s">
        <v>61</v>
      </c>
      <c r="C174" s="41" t="s">
        <v>2759</v>
      </c>
      <c r="D174" s="41" t="s">
        <v>63</v>
      </c>
      <c r="E174" s="12" t="s">
        <v>68</v>
      </c>
      <c r="F174" s="12" t="s">
        <v>68</v>
      </c>
      <c r="G174" s="41"/>
      <c r="H174" s="41" t="s">
        <v>66</v>
      </c>
      <c r="I174" s="41" t="s">
        <v>452</v>
      </c>
      <c r="J174" s="173" t="s">
        <v>68</v>
      </c>
      <c r="K174" s="41">
        <v>20519181</v>
      </c>
      <c r="L174" s="13" t="s">
        <v>2876</v>
      </c>
      <c r="M174" s="41" t="s">
        <v>68</v>
      </c>
      <c r="N174" s="184"/>
      <c r="O174" s="41" t="s">
        <v>2520</v>
      </c>
      <c r="P174" s="41" t="s">
        <v>70</v>
      </c>
      <c r="Q174" s="41" t="s">
        <v>195</v>
      </c>
      <c r="R174" s="41">
        <v>554473</v>
      </c>
      <c r="S174" s="41" t="s">
        <v>196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75</v>
      </c>
      <c r="Z174" s="41"/>
      <c r="AA174" s="12" t="s">
        <v>2703</v>
      </c>
      <c r="AB174" s="13" t="s">
        <v>967</v>
      </c>
      <c r="AC174" s="37">
        <v>45900</v>
      </c>
      <c r="AD174" s="174">
        <v>35</v>
      </c>
      <c r="AE174" s="287" t="s">
        <v>3273</v>
      </c>
      <c r="AF174" s="41">
        <v>371008867</v>
      </c>
      <c r="AG174" s="41" t="s">
        <v>77</v>
      </c>
      <c r="AH174" s="41" t="s">
        <v>456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66</v>
      </c>
      <c r="AP174" s="41" t="s">
        <v>3184</v>
      </c>
      <c r="AQ174" s="41"/>
      <c r="AR174" s="41" t="s">
        <v>3274</v>
      </c>
      <c r="AS174" s="41" t="s">
        <v>3275</v>
      </c>
      <c r="AT174" s="41" t="s">
        <v>3276</v>
      </c>
      <c r="AU174" s="41">
        <v>55</v>
      </c>
      <c r="AV174" s="41" t="s">
        <v>83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2525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10">
      <c r="A175" s="11" t="s">
        <v>3277</v>
      </c>
      <c r="B175" s="12" t="s">
        <v>61</v>
      </c>
      <c r="C175" s="12" t="s">
        <v>3160</v>
      </c>
      <c r="D175" s="12" t="s">
        <v>63</v>
      </c>
      <c r="E175" s="12" t="s">
        <v>68</v>
      </c>
      <c r="F175" s="12" t="s">
        <v>68</v>
      </c>
      <c r="G175" s="12"/>
      <c r="H175" s="12" t="s">
        <v>146</v>
      </c>
      <c r="I175" s="12" t="s">
        <v>2710</v>
      </c>
      <c r="J175" s="34" t="s">
        <v>68</v>
      </c>
      <c r="K175" s="12">
        <v>46010831</v>
      </c>
      <c r="L175" s="13" t="s">
        <v>2711</v>
      </c>
      <c r="M175" s="12" t="s">
        <v>68</v>
      </c>
      <c r="N175" s="182"/>
      <c r="O175" s="12" t="s">
        <v>2520</v>
      </c>
      <c r="P175" s="12" t="s">
        <v>70</v>
      </c>
      <c r="Q175" s="12" t="s">
        <v>860</v>
      </c>
      <c r="R175" s="12">
        <v>554479</v>
      </c>
      <c r="S175" s="12" t="s">
        <v>861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75</v>
      </c>
      <c r="AA175" s="12" t="s">
        <v>94</v>
      </c>
      <c r="AB175" s="32" t="s">
        <v>967</v>
      </c>
      <c r="AC175" s="14">
        <v>45894</v>
      </c>
      <c r="AD175" s="15">
        <v>35</v>
      </c>
      <c r="AE175" s="176" t="s">
        <v>3278</v>
      </c>
      <c r="AF175" s="12">
        <v>371008838</v>
      </c>
      <c r="AG175" s="12" t="s">
        <v>77</v>
      </c>
      <c r="AH175" s="12" t="s">
        <v>78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146</v>
      </c>
      <c r="AP175" s="12" t="s">
        <v>3127</v>
      </c>
      <c r="AQ175" s="12"/>
      <c r="AR175" s="12" t="s">
        <v>3279</v>
      </c>
      <c r="AS175" s="12" t="s">
        <v>3280</v>
      </c>
      <c r="AT175" s="12" t="s">
        <v>3280</v>
      </c>
      <c r="AU175" s="12">
        <v>84</v>
      </c>
      <c r="AV175" s="12" t="s">
        <v>2538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2525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10">
      <c r="A176" s="11" t="s">
        <v>3281</v>
      </c>
      <c r="B176" s="12" t="s">
        <v>111</v>
      </c>
      <c r="C176" s="12" t="s">
        <v>2742</v>
      </c>
      <c r="D176" s="12" t="s">
        <v>63</v>
      </c>
      <c r="E176" s="12" t="s">
        <v>64</v>
      </c>
      <c r="F176" s="12" t="s">
        <v>100</v>
      </c>
      <c r="G176" s="12" t="s">
        <v>67</v>
      </c>
      <c r="H176" s="12" t="s">
        <v>66</v>
      </c>
      <c r="I176" s="12" t="s">
        <v>96</v>
      </c>
      <c r="J176" s="34" t="s">
        <v>68</v>
      </c>
      <c r="K176" s="12"/>
      <c r="L176" s="13" t="s">
        <v>2519</v>
      </c>
      <c r="M176" s="213" t="s">
        <v>68</v>
      </c>
      <c r="N176" s="182"/>
      <c r="O176" s="12" t="s">
        <v>2520</v>
      </c>
      <c r="P176" s="12" t="s">
        <v>550</v>
      </c>
      <c r="Q176" s="12" t="s">
        <v>2744</v>
      </c>
      <c r="R176" s="12">
        <v>553120</v>
      </c>
      <c r="S176" s="12" t="s">
        <v>2745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75</v>
      </c>
      <c r="Z176" s="12"/>
      <c r="AA176" s="12" t="s">
        <v>85</v>
      </c>
      <c r="AB176" s="13" t="s">
        <v>2136</v>
      </c>
      <c r="AC176" s="14">
        <v>45907</v>
      </c>
      <c r="AD176" s="15">
        <v>36</v>
      </c>
      <c r="AE176" s="176" t="s">
        <v>3282</v>
      </c>
      <c r="AF176" s="12">
        <v>371008908</v>
      </c>
      <c r="AG176" s="12" t="s">
        <v>122</v>
      </c>
      <c r="AH176" s="12" t="s">
        <v>105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66</v>
      </c>
      <c r="AP176" s="12" t="s">
        <v>3283</v>
      </c>
      <c r="AQ176" s="12"/>
      <c r="AR176" s="12" t="s">
        <v>3284</v>
      </c>
      <c r="AS176" s="12" t="s">
        <v>3285</v>
      </c>
      <c r="AT176" s="12" t="s">
        <v>3285</v>
      </c>
      <c r="AU176" s="12">
        <v>55</v>
      </c>
      <c r="AV176" s="12" t="s">
        <v>83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2525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10">
      <c r="A177" s="11" t="s">
        <v>3286</v>
      </c>
      <c r="B177" s="12" t="s">
        <v>61</v>
      </c>
      <c r="C177" s="12" t="s">
        <v>3287</v>
      </c>
      <c r="D177" s="12" t="s">
        <v>63</v>
      </c>
      <c r="E177" s="12" t="s">
        <v>68</v>
      </c>
      <c r="F177" s="12" t="s">
        <v>68</v>
      </c>
      <c r="G177" s="12"/>
      <c r="H177" s="12" t="s">
        <v>66</v>
      </c>
      <c r="I177" s="12" t="s">
        <v>3051</v>
      </c>
      <c r="J177" s="34" t="s">
        <v>68</v>
      </c>
      <c r="K177" s="12">
        <v>19143062</v>
      </c>
      <c r="L177" s="13" t="s">
        <v>2542</v>
      </c>
      <c r="M177" s="12" t="s">
        <v>68</v>
      </c>
      <c r="N177" s="182"/>
      <c r="O177" s="12" t="s">
        <v>2520</v>
      </c>
      <c r="P177" s="12" t="s">
        <v>70</v>
      </c>
      <c r="Q177" s="12" t="s">
        <v>420</v>
      </c>
      <c r="R177" s="12">
        <v>554476</v>
      </c>
      <c r="S177" s="12" t="s">
        <v>421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75</v>
      </c>
      <c r="Z177" s="12"/>
      <c r="AA177" s="12" t="s">
        <v>2703</v>
      </c>
      <c r="AB177" s="13" t="s">
        <v>992</v>
      </c>
      <c r="AC177" s="14">
        <v>45901</v>
      </c>
      <c r="AD177" s="15">
        <v>36</v>
      </c>
      <c r="AE177" s="176" t="s">
        <v>3288</v>
      </c>
      <c r="AF177" s="12">
        <v>371008885</v>
      </c>
      <c r="AG177" s="12" t="s">
        <v>77</v>
      </c>
      <c r="AH177" s="12" t="s">
        <v>314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66</v>
      </c>
      <c r="AP177" s="12" t="s">
        <v>3184</v>
      </c>
      <c r="AQ177" s="12"/>
      <c r="AR177" s="12" t="s">
        <v>3289</v>
      </c>
      <c r="AS177" s="12" t="s">
        <v>3290</v>
      </c>
      <c r="AT177" s="12" t="s">
        <v>3290</v>
      </c>
      <c r="AU177" s="12">
        <v>74</v>
      </c>
      <c r="AV177" s="12" t="s">
        <v>83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2525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10">
      <c r="A178" s="11" t="s">
        <v>3291</v>
      </c>
      <c r="B178" s="12" t="s">
        <v>61</v>
      </c>
      <c r="C178" s="12" t="s">
        <v>3287</v>
      </c>
      <c r="D178" s="12" t="s">
        <v>63</v>
      </c>
      <c r="E178" s="12" t="s">
        <v>68</v>
      </c>
      <c r="F178" s="12" t="s">
        <v>68</v>
      </c>
      <c r="G178" s="12"/>
      <c r="H178" s="12" t="s">
        <v>66</v>
      </c>
      <c r="I178" s="12" t="s">
        <v>2808</v>
      </c>
      <c r="J178" s="34" t="s">
        <v>68</v>
      </c>
      <c r="K178" s="12">
        <v>19142965</v>
      </c>
      <c r="L178" s="13" t="s">
        <v>2542</v>
      </c>
      <c r="M178" s="12" t="s">
        <v>68</v>
      </c>
      <c r="N178" s="182"/>
      <c r="O178" s="12" t="s">
        <v>2520</v>
      </c>
      <c r="P178" s="12" t="s">
        <v>70</v>
      </c>
      <c r="Q178" s="12" t="s">
        <v>420</v>
      </c>
      <c r="R178" s="12">
        <v>554476</v>
      </c>
      <c r="S178" s="12" t="s">
        <v>421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75</v>
      </c>
      <c r="Z178" s="12"/>
      <c r="AA178" s="12" t="s">
        <v>2703</v>
      </c>
      <c r="AB178" s="13" t="s">
        <v>992</v>
      </c>
      <c r="AC178" s="14">
        <v>45901</v>
      </c>
      <c r="AD178" s="15">
        <v>36</v>
      </c>
      <c r="AE178" s="176" t="s">
        <v>3292</v>
      </c>
      <c r="AF178" s="12">
        <v>371008886</v>
      </c>
      <c r="AG178" s="12" t="s">
        <v>77</v>
      </c>
      <c r="AH178" s="12" t="s">
        <v>1561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66</v>
      </c>
      <c r="AP178" s="12" t="s">
        <v>3184</v>
      </c>
      <c r="AQ178" s="12"/>
      <c r="AR178" s="12" t="s">
        <v>3293</v>
      </c>
      <c r="AS178" s="12" t="s">
        <v>3294</v>
      </c>
      <c r="AT178" s="12" t="s">
        <v>3294</v>
      </c>
      <c r="AU178" s="12">
        <v>74</v>
      </c>
      <c r="AV178" s="12" t="s">
        <v>83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2525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10">
      <c r="A179" s="11" t="s">
        <v>3295</v>
      </c>
      <c r="B179" s="12" t="s">
        <v>61</v>
      </c>
      <c r="C179" s="12" t="s">
        <v>3227</v>
      </c>
      <c r="D179" s="12" t="s">
        <v>63</v>
      </c>
      <c r="E179" s="12" t="s">
        <v>68</v>
      </c>
      <c r="F179" s="12" t="s">
        <v>68</v>
      </c>
      <c r="G179" s="12"/>
      <c r="H179" s="12" t="s">
        <v>66</v>
      </c>
      <c r="I179" s="12" t="s">
        <v>3266</v>
      </c>
      <c r="J179" s="34" t="s">
        <v>68</v>
      </c>
      <c r="K179" s="12">
        <v>20519178</v>
      </c>
      <c r="L179" s="13" t="s">
        <v>2876</v>
      </c>
      <c r="M179" s="12" t="s">
        <v>68</v>
      </c>
      <c r="N179" s="182"/>
      <c r="O179" s="12" t="s">
        <v>2520</v>
      </c>
      <c r="P179" s="12" t="s">
        <v>70</v>
      </c>
      <c r="Q179" s="12" t="s">
        <v>102</v>
      </c>
      <c r="R179" s="12">
        <v>554245</v>
      </c>
      <c r="S179" s="12" t="s">
        <v>103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75</v>
      </c>
      <c r="Z179" s="12"/>
      <c r="AA179" s="12" t="s">
        <v>108</v>
      </c>
      <c r="AB179" s="13" t="s">
        <v>967</v>
      </c>
      <c r="AC179" s="14">
        <v>45907</v>
      </c>
      <c r="AD179" s="15">
        <v>36</v>
      </c>
      <c r="AE179" s="176" t="s">
        <v>3296</v>
      </c>
      <c r="AF179" s="12">
        <v>371008917</v>
      </c>
      <c r="AG179" s="12" t="s">
        <v>77</v>
      </c>
      <c r="AH179" s="12" t="s">
        <v>456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66</v>
      </c>
      <c r="AP179" s="12" t="s">
        <v>3297</v>
      </c>
      <c r="AQ179" s="12"/>
      <c r="AR179" s="12" t="s">
        <v>3298</v>
      </c>
      <c r="AS179" s="12" t="s">
        <v>3299</v>
      </c>
      <c r="AT179" s="12" t="s">
        <v>3299</v>
      </c>
      <c r="AU179" s="12">
        <v>54</v>
      </c>
      <c r="AV179" s="12" t="s">
        <v>83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2525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10">
      <c r="A180" s="11" t="s">
        <v>3300</v>
      </c>
      <c r="B180" s="12" t="s">
        <v>61</v>
      </c>
      <c r="C180" s="12" t="s">
        <v>3203</v>
      </c>
      <c r="D180" s="12" t="s">
        <v>63</v>
      </c>
      <c r="E180" s="12" t="s">
        <v>68</v>
      </c>
      <c r="F180" s="12" t="s">
        <v>68</v>
      </c>
      <c r="G180" s="12"/>
      <c r="H180" s="12" t="s">
        <v>66</v>
      </c>
      <c r="I180" s="12" t="s">
        <v>2583</v>
      </c>
      <c r="J180" s="34" t="s">
        <v>68</v>
      </c>
      <c r="K180" s="12">
        <v>19143078</v>
      </c>
      <c r="L180" s="13" t="s">
        <v>2542</v>
      </c>
      <c r="M180" s="12" t="s">
        <v>68</v>
      </c>
      <c r="N180" s="182"/>
      <c r="O180" s="12" t="s">
        <v>2520</v>
      </c>
      <c r="P180" s="12" t="s">
        <v>70</v>
      </c>
      <c r="Q180" s="12" t="s">
        <v>71</v>
      </c>
      <c r="R180" s="12">
        <v>554475</v>
      </c>
      <c r="S180" s="12" t="s">
        <v>72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75</v>
      </c>
      <c r="Z180" s="12"/>
      <c r="AA180" s="12" t="s">
        <v>2703</v>
      </c>
      <c r="AB180" s="13" t="s">
        <v>967</v>
      </c>
      <c r="AC180" s="14">
        <v>45901</v>
      </c>
      <c r="AD180" s="15">
        <v>36</v>
      </c>
      <c r="AE180" s="176" t="s">
        <v>3301</v>
      </c>
      <c r="AF180" s="12">
        <v>371008884</v>
      </c>
      <c r="AG180" s="12" t="s">
        <v>77</v>
      </c>
      <c r="AH180" s="12" t="s">
        <v>314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66</v>
      </c>
      <c r="AP180" s="12" t="s">
        <v>3184</v>
      </c>
      <c r="AQ180" s="12"/>
      <c r="AR180" s="12" t="s">
        <v>3289</v>
      </c>
      <c r="AS180" s="12" t="s">
        <v>3290</v>
      </c>
      <c r="AT180" s="12" t="s">
        <v>3290</v>
      </c>
      <c r="AU180" s="12">
        <v>74</v>
      </c>
      <c r="AV180" s="12" t="s">
        <v>83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2525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10">
      <c r="A181" s="11" t="s">
        <v>3302</v>
      </c>
      <c r="B181" s="12" t="s">
        <v>61</v>
      </c>
      <c r="C181" s="12" t="s">
        <v>3203</v>
      </c>
      <c r="D181" s="12" t="s">
        <v>63</v>
      </c>
      <c r="E181" s="12" t="s">
        <v>68</v>
      </c>
      <c r="F181" s="12" t="s">
        <v>68</v>
      </c>
      <c r="G181" s="12"/>
      <c r="H181" s="12" t="s">
        <v>402</v>
      </c>
      <c r="I181" s="12" t="s">
        <v>3120</v>
      </c>
      <c r="J181" s="34" t="s">
        <v>68</v>
      </c>
      <c r="K181" s="12">
        <v>46010830</v>
      </c>
      <c r="L181" s="13" t="s">
        <v>2534</v>
      </c>
      <c r="M181" s="12" t="s">
        <v>68</v>
      </c>
      <c r="N181" s="182"/>
      <c r="O181" s="12" t="s">
        <v>2520</v>
      </c>
      <c r="P181" s="12" t="s">
        <v>70</v>
      </c>
      <c r="Q181" s="12" t="s">
        <v>71</v>
      </c>
      <c r="R181" s="12">
        <v>554475</v>
      </c>
      <c r="S181" s="12" t="s">
        <v>72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75</v>
      </c>
      <c r="Z181" s="12"/>
      <c r="AA181" s="12" t="s">
        <v>2703</v>
      </c>
      <c r="AB181" s="13" t="s">
        <v>967</v>
      </c>
      <c r="AC181" s="14">
        <v>45903</v>
      </c>
      <c r="AD181" s="15">
        <v>36</v>
      </c>
      <c r="AE181" s="176" t="s">
        <v>3303</v>
      </c>
      <c r="AF181" s="12">
        <v>371008888</v>
      </c>
      <c r="AG181" s="12" t="s">
        <v>77</v>
      </c>
      <c r="AH181" s="12" t="s">
        <v>888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402</v>
      </c>
      <c r="AP181" s="12" t="s">
        <v>3304</v>
      </c>
      <c r="AQ181" s="12"/>
      <c r="AR181" s="12" t="s">
        <v>3305</v>
      </c>
      <c r="AS181" s="12" t="s">
        <v>3306</v>
      </c>
      <c r="AT181" s="12" t="s">
        <v>3306</v>
      </c>
      <c r="AU181" s="12">
        <v>72</v>
      </c>
      <c r="AV181" s="12" t="s">
        <v>2538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2525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10">
      <c r="A182" s="11" t="s">
        <v>3307</v>
      </c>
      <c r="B182" s="12" t="s">
        <v>61</v>
      </c>
      <c r="C182" s="12" t="s">
        <v>3203</v>
      </c>
      <c r="D182" s="12" t="s">
        <v>63</v>
      </c>
      <c r="E182" s="12" t="s">
        <v>68</v>
      </c>
      <c r="F182" s="12" t="s">
        <v>68</v>
      </c>
      <c r="G182" s="12"/>
      <c r="H182" s="12" t="s">
        <v>66</v>
      </c>
      <c r="I182" s="12" t="s">
        <v>2830</v>
      </c>
      <c r="J182" s="34" t="s">
        <v>68</v>
      </c>
      <c r="K182" s="12">
        <v>19143077</v>
      </c>
      <c r="L182" s="13" t="s">
        <v>2542</v>
      </c>
      <c r="M182" s="12" t="s">
        <v>68</v>
      </c>
      <c r="N182" s="182"/>
      <c r="O182" s="12" t="s">
        <v>2520</v>
      </c>
      <c r="P182" s="12" t="s">
        <v>70</v>
      </c>
      <c r="Q182" s="12" t="s">
        <v>71</v>
      </c>
      <c r="R182" s="12">
        <v>554475</v>
      </c>
      <c r="S182" s="12" t="s">
        <v>72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75</v>
      </c>
      <c r="Z182" s="12"/>
      <c r="AA182" s="12" t="s">
        <v>2703</v>
      </c>
      <c r="AB182" s="13" t="s">
        <v>967</v>
      </c>
      <c r="AC182" s="14">
        <v>45901</v>
      </c>
      <c r="AD182" s="15">
        <v>36</v>
      </c>
      <c r="AE182" s="176" t="s">
        <v>3308</v>
      </c>
      <c r="AF182" s="12">
        <v>371008883</v>
      </c>
      <c r="AG182" s="12" t="s">
        <v>77</v>
      </c>
      <c r="AH182" s="12" t="s">
        <v>314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66</v>
      </c>
      <c r="AP182" s="12" t="s">
        <v>3184</v>
      </c>
      <c r="AQ182" s="12"/>
      <c r="AR182" s="12" t="s">
        <v>3289</v>
      </c>
      <c r="AS182" s="12" t="s">
        <v>3290</v>
      </c>
      <c r="AT182" s="12" t="s">
        <v>3290</v>
      </c>
      <c r="AU182" s="12">
        <v>74</v>
      </c>
      <c r="AV182" s="12" t="s">
        <v>83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2525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10">
      <c r="A183" s="11" t="s">
        <v>3309</v>
      </c>
      <c r="B183" s="12" t="s">
        <v>61</v>
      </c>
      <c r="C183" s="12" t="s">
        <v>3203</v>
      </c>
      <c r="D183" s="12" t="s">
        <v>63</v>
      </c>
      <c r="E183" s="12" t="s">
        <v>68</v>
      </c>
      <c r="F183" s="12" t="s">
        <v>68</v>
      </c>
      <c r="G183" s="12"/>
      <c r="H183" s="12" t="s">
        <v>402</v>
      </c>
      <c r="I183" s="12" t="s">
        <v>3120</v>
      </c>
      <c r="J183" s="34" t="s">
        <v>68</v>
      </c>
      <c r="K183" s="12">
        <v>46010830</v>
      </c>
      <c r="L183" s="13" t="s">
        <v>2534</v>
      </c>
      <c r="M183" s="12" t="s">
        <v>68</v>
      </c>
      <c r="N183" s="182"/>
      <c r="O183" s="12" t="s">
        <v>2520</v>
      </c>
      <c r="P183" s="12" t="s">
        <v>70</v>
      </c>
      <c r="Q183" s="12" t="s">
        <v>71</v>
      </c>
      <c r="R183" s="12">
        <v>554475</v>
      </c>
      <c r="S183" s="12" t="s">
        <v>72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75</v>
      </c>
      <c r="Z183" s="12"/>
      <c r="AA183" s="12" t="s">
        <v>2703</v>
      </c>
      <c r="AB183" s="13" t="s">
        <v>967</v>
      </c>
      <c r="AC183" s="14">
        <v>45903</v>
      </c>
      <c r="AD183" s="15">
        <v>36</v>
      </c>
      <c r="AE183" s="176" t="s">
        <v>3310</v>
      </c>
      <c r="AF183" s="12">
        <v>371008889</v>
      </c>
      <c r="AG183" s="12" t="s">
        <v>77</v>
      </c>
      <c r="AH183" s="12" t="s">
        <v>888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402</v>
      </c>
      <c r="AP183" s="12" t="s">
        <v>3304</v>
      </c>
      <c r="AQ183" s="12"/>
      <c r="AR183" s="12" t="s">
        <v>3311</v>
      </c>
      <c r="AS183" s="12" t="s">
        <v>3312</v>
      </c>
      <c r="AT183" s="12" t="s">
        <v>3312</v>
      </c>
      <c r="AU183" s="12">
        <v>72</v>
      </c>
      <c r="AV183" s="12" t="s">
        <v>2538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2525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10">
      <c r="A184" s="11" t="s">
        <v>3313</v>
      </c>
      <c r="B184" s="12" t="s">
        <v>111</v>
      </c>
      <c r="C184" s="12" t="s">
        <v>3193</v>
      </c>
      <c r="D184" s="12" t="s">
        <v>63</v>
      </c>
      <c r="E184" s="12" t="s">
        <v>64</v>
      </c>
      <c r="F184" s="12" t="s">
        <v>65</v>
      </c>
      <c r="G184" s="12" t="s">
        <v>67</v>
      </c>
      <c r="H184" s="12" t="s">
        <v>66</v>
      </c>
      <c r="I184" s="12" t="s">
        <v>96</v>
      </c>
      <c r="J184" s="34" t="s">
        <v>68</v>
      </c>
      <c r="K184" s="12"/>
      <c r="L184" s="13" t="s">
        <v>2519</v>
      </c>
      <c r="M184" s="213" t="s">
        <v>68</v>
      </c>
      <c r="N184" s="182"/>
      <c r="O184" s="12" t="s">
        <v>2520</v>
      </c>
      <c r="P184" s="12" t="s">
        <v>170</v>
      </c>
      <c r="Q184" s="12" t="s">
        <v>171</v>
      </c>
      <c r="R184" s="12">
        <v>552045</v>
      </c>
      <c r="S184" s="12" t="s">
        <v>172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75</v>
      </c>
      <c r="Z184" s="12"/>
      <c r="AA184" s="12" t="s">
        <v>108</v>
      </c>
      <c r="AB184" s="13" t="s">
        <v>992</v>
      </c>
      <c r="AC184" s="14">
        <v>45905</v>
      </c>
      <c r="AD184" s="15">
        <v>36</v>
      </c>
      <c r="AE184" s="176" t="s">
        <v>3314</v>
      </c>
      <c r="AF184" s="12">
        <v>371008873</v>
      </c>
      <c r="AG184" s="12" t="s">
        <v>122</v>
      </c>
      <c r="AH184" s="12" t="s">
        <v>78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66</v>
      </c>
      <c r="AP184" s="12" t="s">
        <v>3315</v>
      </c>
      <c r="AQ184" s="12"/>
      <c r="AR184" s="12" t="s">
        <v>3316</v>
      </c>
      <c r="AS184" s="12" t="s">
        <v>3317</v>
      </c>
      <c r="AT184" s="12" t="s">
        <v>3317</v>
      </c>
      <c r="AU184" s="12">
        <v>52</v>
      </c>
      <c r="AV184" s="12" t="s">
        <v>83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2525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10">
      <c r="A185" s="11" t="s">
        <v>3318</v>
      </c>
      <c r="B185" s="12" t="s">
        <v>111</v>
      </c>
      <c r="C185" s="12" t="s">
        <v>3193</v>
      </c>
      <c r="D185" s="12" t="s">
        <v>63</v>
      </c>
      <c r="E185" s="12" t="s">
        <v>68</v>
      </c>
      <c r="F185" s="12" t="s">
        <v>68</v>
      </c>
      <c r="G185" s="12"/>
      <c r="H185" s="12" t="s">
        <v>66</v>
      </c>
      <c r="I185" s="12" t="s">
        <v>96</v>
      </c>
      <c r="J185" s="34" t="s">
        <v>68</v>
      </c>
      <c r="K185" s="12"/>
      <c r="L185" s="13" t="s">
        <v>2527</v>
      </c>
      <c r="M185" s="12" t="s">
        <v>68</v>
      </c>
      <c r="N185" s="182"/>
      <c r="O185" s="12" t="s">
        <v>2520</v>
      </c>
      <c r="P185" s="12" t="s">
        <v>170</v>
      </c>
      <c r="Q185" s="12" t="s">
        <v>171</v>
      </c>
      <c r="R185" s="12">
        <v>552045</v>
      </c>
      <c r="S185" s="12" t="s">
        <v>172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75</v>
      </c>
      <c r="Z185" s="12"/>
      <c r="AA185" s="12" t="s">
        <v>108</v>
      </c>
      <c r="AB185" s="13" t="s">
        <v>992</v>
      </c>
      <c r="AC185" s="14">
        <v>45904</v>
      </c>
      <c r="AD185" s="15">
        <v>36</v>
      </c>
      <c r="AE185" s="176" t="s">
        <v>3319</v>
      </c>
      <c r="AF185" s="12">
        <v>371008875</v>
      </c>
      <c r="AG185" s="12" t="s">
        <v>122</v>
      </c>
      <c r="AH185" s="12" t="s">
        <v>124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66</v>
      </c>
      <c r="AP185" s="12" t="s">
        <v>3320</v>
      </c>
      <c r="AQ185" s="12"/>
      <c r="AR185" s="12" t="s">
        <v>3321</v>
      </c>
      <c r="AS185" s="12" t="s">
        <v>3322</v>
      </c>
      <c r="AT185" s="12" t="s">
        <v>3322</v>
      </c>
      <c r="AU185" s="12">
        <v>53</v>
      </c>
      <c r="AV185" s="12" t="s">
        <v>83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2525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10">
      <c r="A186" s="11" t="s">
        <v>3323</v>
      </c>
      <c r="B186" s="12" t="s">
        <v>111</v>
      </c>
      <c r="C186" s="12" t="s">
        <v>2654</v>
      </c>
      <c r="D186" s="12" t="s">
        <v>63</v>
      </c>
      <c r="E186" s="12" t="s">
        <v>68</v>
      </c>
      <c r="F186" s="12" t="s">
        <v>68</v>
      </c>
      <c r="G186" s="12"/>
      <c r="H186" s="12" t="s">
        <v>146</v>
      </c>
      <c r="I186" s="12" t="s">
        <v>3188</v>
      </c>
      <c r="J186" s="34" t="s">
        <v>68</v>
      </c>
      <c r="K186" s="12">
        <v>46010761</v>
      </c>
      <c r="L186" s="13" t="s">
        <v>2764</v>
      </c>
      <c r="M186" s="12" t="s">
        <v>68</v>
      </c>
      <c r="N186" s="182"/>
      <c r="O186" s="12" t="s">
        <v>2520</v>
      </c>
      <c r="P186" s="12" t="s">
        <v>2655</v>
      </c>
      <c r="Q186" s="12" t="s">
        <v>2656</v>
      </c>
      <c r="R186" s="12">
        <v>553098</v>
      </c>
      <c r="S186" s="12" t="s">
        <v>2657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75</v>
      </c>
      <c r="Z186" s="12"/>
      <c r="AA186" s="12" t="s">
        <v>108</v>
      </c>
      <c r="AB186" s="13" t="s">
        <v>992</v>
      </c>
      <c r="AC186" s="14">
        <v>45904</v>
      </c>
      <c r="AD186" s="15">
        <v>36</v>
      </c>
      <c r="AE186" s="176" t="s">
        <v>3324</v>
      </c>
      <c r="AF186" s="12">
        <v>371008887</v>
      </c>
      <c r="AG186" s="12" t="s">
        <v>122</v>
      </c>
      <c r="AH186" s="12" t="s">
        <v>105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146</v>
      </c>
      <c r="AP186" s="12" t="s">
        <v>3325</v>
      </c>
      <c r="AQ186" s="12"/>
      <c r="AR186" s="12">
        <v>46010761</v>
      </c>
      <c r="AS186" s="12" t="s">
        <v>3326</v>
      </c>
      <c r="AT186" s="12" t="s">
        <v>3326</v>
      </c>
      <c r="AU186" s="12">
        <v>44</v>
      </c>
      <c r="AV186" s="12" t="s">
        <v>3191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2525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10">
      <c r="A187" s="33" t="s">
        <v>3327</v>
      </c>
      <c r="B187" s="12" t="s">
        <v>111</v>
      </c>
      <c r="C187" s="31" t="s">
        <v>282</v>
      </c>
      <c r="D187" s="12" t="s">
        <v>63</v>
      </c>
      <c r="E187" s="12" t="s">
        <v>68</v>
      </c>
      <c r="F187" s="12" t="s">
        <v>68</v>
      </c>
      <c r="G187" s="12"/>
      <c r="H187" s="12" t="s">
        <v>66</v>
      </c>
      <c r="I187" s="31" t="s">
        <v>812</v>
      </c>
      <c r="J187" s="34" t="s">
        <v>68</v>
      </c>
      <c r="K187" s="31">
        <v>20519221</v>
      </c>
      <c r="L187" s="34" t="s">
        <v>2876</v>
      </c>
      <c r="M187" s="12" t="s">
        <v>68</v>
      </c>
      <c r="N187" s="183"/>
      <c r="O187" s="12" t="s">
        <v>2574</v>
      </c>
      <c r="P187" s="31" t="s">
        <v>284</v>
      </c>
      <c r="Q187" s="12" t="s">
        <v>285</v>
      </c>
      <c r="R187" s="12">
        <v>554319</v>
      </c>
      <c r="S187" s="12" t="s">
        <v>286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75</v>
      </c>
      <c r="Z187" s="12"/>
      <c r="AA187" s="12" t="s">
        <v>85</v>
      </c>
      <c r="AB187" s="13" t="s">
        <v>992</v>
      </c>
      <c r="AC187" s="30">
        <v>45902</v>
      </c>
      <c r="AD187" s="35">
        <v>36</v>
      </c>
      <c r="AE187" s="176" t="s">
        <v>2575</v>
      </c>
      <c r="AF187" s="31">
        <v>371008869</v>
      </c>
      <c r="AG187" s="31" t="s">
        <v>288</v>
      </c>
      <c r="AH187" s="31" t="s">
        <v>456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66</v>
      </c>
      <c r="AP187" s="31" t="s">
        <v>3328</v>
      </c>
      <c r="AQ187" s="31"/>
      <c r="AR187" s="31" t="s">
        <v>3329</v>
      </c>
      <c r="AS187" s="31" t="s">
        <v>3330</v>
      </c>
      <c r="AT187" s="31" t="s">
        <v>3330</v>
      </c>
      <c r="AU187" s="31">
        <v>33</v>
      </c>
      <c r="AV187" s="31" t="s">
        <v>83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2525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10">
      <c r="A188" s="11" t="s">
        <v>2908</v>
      </c>
      <c r="B188" s="12" t="s">
        <v>111</v>
      </c>
      <c r="C188" s="12" t="s">
        <v>203</v>
      </c>
      <c r="D188" s="12" t="s">
        <v>63</v>
      </c>
      <c r="E188" s="12" t="s">
        <v>64</v>
      </c>
      <c r="F188" s="12" t="s">
        <v>65</v>
      </c>
      <c r="G188" s="12" t="s">
        <v>67</v>
      </c>
      <c r="H188" s="12" t="s">
        <v>66</v>
      </c>
      <c r="I188" s="12" t="s">
        <v>96</v>
      </c>
      <c r="J188" s="34" t="s">
        <v>68</v>
      </c>
      <c r="K188" s="12"/>
      <c r="L188" s="13" t="s">
        <v>2519</v>
      </c>
      <c r="M188" s="213" t="s">
        <v>68</v>
      </c>
      <c r="N188" s="182"/>
      <c r="O188" s="12" t="s">
        <v>2520</v>
      </c>
      <c r="P188" s="12" t="s">
        <v>2655</v>
      </c>
      <c r="Q188" s="12" t="s">
        <v>2663</v>
      </c>
      <c r="R188" s="12">
        <v>553097</v>
      </c>
      <c r="S188" s="12" t="s">
        <v>2664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75</v>
      </c>
      <c r="Z188" s="12"/>
      <c r="AA188" s="12" t="s">
        <v>108</v>
      </c>
      <c r="AB188" s="13" t="s">
        <v>992</v>
      </c>
      <c r="AC188" s="14">
        <v>45914</v>
      </c>
      <c r="AD188" s="15">
        <v>37</v>
      </c>
      <c r="AE188" s="176" t="s">
        <v>3331</v>
      </c>
      <c r="AF188" s="12">
        <v>371008916</v>
      </c>
      <c r="AG188" s="12" t="s">
        <v>122</v>
      </c>
      <c r="AH188" s="12" t="s">
        <v>78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66</v>
      </c>
      <c r="AP188" s="12" t="s">
        <v>3332</v>
      </c>
      <c r="AQ188" s="12"/>
      <c r="AR188" s="12" t="s">
        <v>3333</v>
      </c>
      <c r="AS188" s="12" t="s">
        <v>3334</v>
      </c>
      <c r="AT188" s="12" t="s">
        <v>3334</v>
      </c>
      <c r="AU188" s="12">
        <v>55</v>
      </c>
      <c r="AV188" s="12" t="s">
        <v>83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2525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10">
      <c r="A189" s="11" t="s">
        <v>3335</v>
      </c>
      <c r="B189" s="12" t="s">
        <v>111</v>
      </c>
      <c r="C189" s="12" t="s">
        <v>2908</v>
      </c>
      <c r="D189" s="12" t="s">
        <v>63</v>
      </c>
      <c r="E189" s="12" t="s">
        <v>64</v>
      </c>
      <c r="F189" s="12" t="s">
        <v>65</v>
      </c>
      <c r="G189" s="12" t="s">
        <v>67</v>
      </c>
      <c r="H189" s="12" t="s">
        <v>66</v>
      </c>
      <c r="I189" s="12" t="s">
        <v>96</v>
      </c>
      <c r="J189" s="34" t="s">
        <v>68</v>
      </c>
      <c r="K189" s="12"/>
      <c r="L189" s="13" t="s">
        <v>2519</v>
      </c>
      <c r="M189" s="213" t="s">
        <v>68</v>
      </c>
      <c r="N189" s="182"/>
      <c r="O189" s="12" t="s">
        <v>2520</v>
      </c>
      <c r="P189" s="12" t="s">
        <v>2655</v>
      </c>
      <c r="Q189" s="12" t="s">
        <v>2663</v>
      </c>
      <c r="R189" s="12">
        <v>553097</v>
      </c>
      <c r="S189" s="12" t="s">
        <v>2664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75</v>
      </c>
      <c r="Z189" s="12"/>
      <c r="AA189" s="12" t="s">
        <v>108</v>
      </c>
      <c r="AB189" s="13" t="s">
        <v>992</v>
      </c>
      <c r="AC189" s="14">
        <v>45910</v>
      </c>
      <c r="AD189" s="15">
        <v>37</v>
      </c>
      <c r="AE189" s="176" t="s">
        <v>3336</v>
      </c>
      <c r="AF189" s="12">
        <v>371008876</v>
      </c>
      <c r="AG189" s="12" t="s">
        <v>122</v>
      </c>
      <c r="AH189" s="12" t="s">
        <v>78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66</v>
      </c>
      <c r="AP189" s="12" t="s">
        <v>3337</v>
      </c>
      <c r="AQ189" s="12"/>
      <c r="AR189" s="12" t="s">
        <v>3338</v>
      </c>
      <c r="AS189" s="12" t="s">
        <v>3339</v>
      </c>
      <c r="AT189" s="12" t="s">
        <v>3339</v>
      </c>
      <c r="AU189" s="12">
        <v>58</v>
      </c>
      <c r="AV189" s="12" t="s">
        <v>83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2525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10">
      <c r="A190" s="11" t="s">
        <v>3050</v>
      </c>
      <c r="B190" s="12" t="s">
        <v>111</v>
      </c>
      <c r="C190" s="12" t="s">
        <v>203</v>
      </c>
      <c r="D190" s="12" t="s">
        <v>63</v>
      </c>
      <c r="E190" s="12" t="s">
        <v>68</v>
      </c>
      <c r="F190" s="12" t="s">
        <v>68</v>
      </c>
      <c r="G190" s="12"/>
      <c r="H190" s="12" t="s">
        <v>66</v>
      </c>
      <c r="I190" s="12" t="s">
        <v>3174</v>
      </c>
      <c r="J190" s="34" t="s">
        <v>68</v>
      </c>
      <c r="K190" s="12">
        <v>19142971</v>
      </c>
      <c r="L190" s="13" t="s">
        <v>2542</v>
      </c>
      <c r="M190" s="12" t="s">
        <v>68</v>
      </c>
      <c r="N190" s="182"/>
      <c r="O190" s="12" t="s">
        <v>2520</v>
      </c>
      <c r="P190" s="12" t="s">
        <v>132</v>
      </c>
      <c r="Q190" s="12" t="s">
        <v>453</v>
      </c>
      <c r="R190" s="12">
        <v>554541</v>
      </c>
      <c r="S190" s="12" t="s">
        <v>454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75</v>
      </c>
      <c r="Z190" s="12"/>
      <c r="AA190" s="12" t="s">
        <v>108</v>
      </c>
      <c r="AB190" s="32" t="s">
        <v>967</v>
      </c>
      <c r="AC190" s="14">
        <v>45909</v>
      </c>
      <c r="AD190" s="15">
        <v>37</v>
      </c>
      <c r="AE190" s="176" t="s">
        <v>3340</v>
      </c>
      <c r="AF190" s="12">
        <v>371008878</v>
      </c>
      <c r="AG190" s="12" t="s">
        <v>122</v>
      </c>
      <c r="AH190" s="12" t="s">
        <v>1561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66</v>
      </c>
      <c r="AP190" s="12" t="s">
        <v>3337</v>
      </c>
      <c r="AQ190" s="12"/>
      <c r="AR190" s="12" t="s">
        <v>3341</v>
      </c>
      <c r="AS190" s="12" t="s">
        <v>3342</v>
      </c>
      <c r="AT190" s="12" t="s">
        <v>3342</v>
      </c>
      <c r="AU190" s="12">
        <v>50</v>
      </c>
      <c r="AV190" s="12" t="s">
        <v>83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2525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10">
      <c r="A191" s="172" t="s">
        <v>3343</v>
      </c>
      <c r="B191" s="41" t="s">
        <v>61</v>
      </c>
      <c r="C191" s="41" t="s">
        <v>3227</v>
      </c>
      <c r="D191" s="41" t="s">
        <v>63</v>
      </c>
      <c r="E191" s="12" t="s">
        <v>68</v>
      </c>
      <c r="F191" s="12" t="s">
        <v>68</v>
      </c>
      <c r="G191" s="41"/>
      <c r="H191" s="41" t="s">
        <v>66</v>
      </c>
      <c r="I191" s="41" t="s">
        <v>3266</v>
      </c>
      <c r="J191" s="173" t="s">
        <v>68</v>
      </c>
      <c r="K191" s="41">
        <v>20519178</v>
      </c>
      <c r="L191" s="13" t="s">
        <v>2876</v>
      </c>
      <c r="M191" s="41" t="s">
        <v>68</v>
      </c>
      <c r="N191" s="184"/>
      <c r="O191" s="41" t="s">
        <v>2520</v>
      </c>
      <c r="P191" s="41" t="s">
        <v>70</v>
      </c>
      <c r="Q191" s="41" t="s">
        <v>102</v>
      </c>
      <c r="R191" s="41">
        <v>554245</v>
      </c>
      <c r="S191" s="41" t="s">
        <v>103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75</v>
      </c>
      <c r="Z191" s="41"/>
      <c r="AA191" s="12" t="s">
        <v>108</v>
      </c>
      <c r="AB191" s="13" t="s">
        <v>967</v>
      </c>
      <c r="AC191" s="37">
        <v>45914</v>
      </c>
      <c r="AD191" s="174">
        <v>37</v>
      </c>
      <c r="AE191" s="287" t="s">
        <v>3344</v>
      </c>
      <c r="AF191" s="41">
        <v>371008935</v>
      </c>
      <c r="AG191" s="41" t="s">
        <v>77</v>
      </c>
      <c r="AH191" s="41" t="s">
        <v>456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66</v>
      </c>
      <c r="AP191" s="41" t="s">
        <v>3345</v>
      </c>
      <c r="AQ191" s="41"/>
      <c r="AR191" s="41" t="s">
        <v>3346</v>
      </c>
      <c r="AS191" s="41" t="s">
        <v>3347</v>
      </c>
      <c r="AT191" s="41" t="s">
        <v>3347</v>
      </c>
      <c r="AU191" s="41">
        <v>51</v>
      </c>
      <c r="AV191" s="41" t="s">
        <v>83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2525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10">
      <c r="A192" s="11" t="s">
        <v>3348</v>
      </c>
      <c r="B192" s="12" t="s">
        <v>111</v>
      </c>
      <c r="C192" s="12" t="s">
        <v>3050</v>
      </c>
      <c r="D192" s="12" t="s">
        <v>63</v>
      </c>
      <c r="E192" s="12" t="s">
        <v>68</v>
      </c>
      <c r="F192" s="12" t="s">
        <v>68</v>
      </c>
      <c r="G192" s="12"/>
      <c r="H192" s="12" t="s">
        <v>66</v>
      </c>
      <c r="I192" s="12" t="s">
        <v>2830</v>
      </c>
      <c r="J192" s="34" t="s">
        <v>68</v>
      </c>
      <c r="K192" s="12">
        <v>19143015</v>
      </c>
      <c r="L192" s="13" t="s">
        <v>2542</v>
      </c>
      <c r="M192" s="12" t="s">
        <v>68</v>
      </c>
      <c r="N192" s="182"/>
      <c r="O192" s="12" t="s">
        <v>2520</v>
      </c>
      <c r="P192" s="12" t="s">
        <v>132</v>
      </c>
      <c r="Q192" s="12" t="s">
        <v>453</v>
      </c>
      <c r="R192" s="12">
        <v>554541</v>
      </c>
      <c r="S192" s="12" t="s">
        <v>454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75</v>
      </c>
      <c r="Z192" s="12"/>
      <c r="AA192" s="12" t="s">
        <v>108</v>
      </c>
      <c r="AB192" s="32" t="s">
        <v>967</v>
      </c>
      <c r="AC192" s="14">
        <v>45909</v>
      </c>
      <c r="AD192" s="15">
        <v>37</v>
      </c>
      <c r="AE192" s="176" t="s">
        <v>3349</v>
      </c>
      <c r="AF192" s="12">
        <v>371008877</v>
      </c>
      <c r="AG192" s="12" t="s">
        <v>122</v>
      </c>
      <c r="AH192" s="12" t="s">
        <v>314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66</v>
      </c>
      <c r="AP192" s="12" t="s">
        <v>3337</v>
      </c>
      <c r="AQ192" s="12"/>
      <c r="AR192" s="12" t="s">
        <v>3350</v>
      </c>
      <c r="AS192" s="12" t="s">
        <v>3351</v>
      </c>
      <c r="AT192" s="12" t="s">
        <v>3351</v>
      </c>
      <c r="AU192" s="12">
        <v>51</v>
      </c>
      <c r="AV192" s="12" t="s">
        <v>83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2525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10">
      <c r="A193" s="11" t="s">
        <v>3352</v>
      </c>
      <c r="B193" s="12" t="s">
        <v>111</v>
      </c>
      <c r="C193" s="12" t="s">
        <v>3193</v>
      </c>
      <c r="D193" s="12" t="s">
        <v>63</v>
      </c>
      <c r="E193" s="12" t="s">
        <v>64</v>
      </c>
      <c r="F193" s="12" t="s">
        <v>65</v>
      </c>
      <c r="G193" s="12" t="s">
        <v>67</v>
      </c>
      <c r="H193" s="12" t="s">
        <v>66</v>
      </c>
      <c r="I193" s="12" t="s">
        <v>96</v>
      </c>
      <c r="J193" s="34" t="s">
        <v>68</v>
      </c>
      <c r="K193" s="12"/>
      <c r="L193" s="13" t="s">
        <v>2519</v>
      </c>
      <c r="M193" s="213" t="s">
        <v>68</v>
      </c>
      <c r="N193" s="182"/>
      <c r="O193" s="12" t="s">
        <v>2520</v>
      </c>
      <c r="P193" s="12" t="s">
        <v>170</v>
      </c>
      <c r="Q193" s="12" t="s">
        <v>171</v>
      </c>
      <c r="R193" s="12">
        <v>552045</v>
      </c>
      <c r="S193" s="12" t="s">
        <v>172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75</v>
      </c>
      <c r="Z193" s="12"/>
      <c r="AA193" s="12" t="s">
        <v>108</v>
      </c>
      <c r="AB193" s="13" t="s">
        <v>992</v>
      </c>
      <c r="AC193" s="14">
        <v>45913</v>
      </c>
      <c r="AD193" s="15">
        <v>37</v>
      </c>
      <c r="AE193" s="176" t="s">
        <v>3353</v>
      </c>
      <c r="AF193" s="12">
        <v>371008915</v>
      </c>
      <c r="AG193" s="12" t="s">
        <v>122</v>
      </c>
      <c r="AH193" s="12" t="s">
        <v>78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66</v>
      </c>
      <c r="AP193" s="12" t="s">
        <v>3354</v>
      </c>
      <c r="AQ193" s="12"/>
      <c r="AR193" s="12" t="s">
        <v>3355</v>
      </c>
      <c r="AS193" s="12" t="s">
        <v>3356</v>
      </c>
      <c r="AT193" s="12" t="s">
        <v>3356</v>
      </c>
      <c r="AU193" s="12">
        <v>62</v>
      </c>
      <c r="AV193" s="12" t="s">
        <v>83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2525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10">
      <c r="A194" s="172" t="s">
        <v>3357</v>
      </c>
      <c r="B194" s="41" t="s">
        <v>61</v>
      </c>
      <c r="C194" s="41" t="s">
        <v>769</v>
      </c>
      <c r="D194" s="41" t="s">
        <v>63</v>
      </c>
      <c r="E194" s="12" t="s">
        <v>68</v>
      </c>
      <c r="F194" s="12" t="s">
        <v>68</v>
      </c>
      <c r="G194" s="41"/>
      <c r="H194" s="41" t="s">
        <v>66</v>
      </c>
      <c r="I194" s="41" t="s">
        <v>452</v>
      </c>
      <c r="J194" s="173" t="s">
        <v>68</v>
      </c>
      <c r="K194" s="41">
        <v>20519181</v>
      </c>
      <c r="L194" s="13" t="s">
        <v>2876</v>
      </c>
      <c r="M194" s="41" t="s">
        <v>68</v>
      </c>
      <c r="N194" s="184"/>
      <c r="O194" s="41" t="s">
        <v>2520</v>
      </c>
      <c r="P194" s="41" t="s">
        <v>70</v>
      </c>
      <c r="Q194" s="41" t="s">
        <v>195</v>
      </c>
      <c r="R194" s="41">
        <v>554473</v>
      </c>
      <c r="S194" s="41" t="s">
        <v>196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75</v>
      </c>
      <c r="Z194" s="41"/>
      <c r="AA194" s="12" t="s">
        <v>2703</v>
      </c>
      <c r="AB194" s="13" t="s">
        <v>967</v>
      </c>
      <c r="AC194" s="37">
        <v>45914</v>
      </c>
      <c r="AD194" s="174">
        <v>37</v>
      </c>
      <c r="AE194" s="287" t="s">
        <v>3358</v>
      </c>
      <c r="AF194" s="41">
        <v>371008934</v>
      </c>
      <c r="AG194" s="41" t="s">
        <v>77</v>
      </c>
      <c r="AH194" s="41" t="s">
        <v>456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66</v>
      </c>
      <c r="AP194" s="41" t="s">
        <v>3345</v>
      </c>
      <c r="AQ194" s="41"/>
      <c r="AR194" s="41" t="s">
        <v>3346</v>
      </c>
      <c r="AS194" s="41" t="s">
        <v>3347</v>
      </c>
      <c r="AT194" s="41" t="s">
        <v>3347</v>
      </c>
      <c r="AU194" s="41">
        <v>51</v>
      </c>
      <c r="AV194" s="41" t="s">
        <v>83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2525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10">
      <c r="A195" s="11" t="s">
        <v>3359</v>
      </c>
      <c r="B195" s="12" t="s">
        <v>111</v>
      </c>
      <c r="C195" s="12" t="s">
        <v>548</v>
      </c>
      <c r="D195" s="12" t="s">
        <v>63</v>
      </c>
      <c r="E195" s="12" t="s">
        <v>68</v>
      </c>
      <c r="F195" s="12" t="s">
        <v>68</v>
      </c>
      <c r="G195" s="12"/>
      <c r="H195" s="12" t="s">
        <v>66</v>
      </c>
      <c r="I195" s="12" t="s">
        <v>96</v>
      </c>
      <c r="J195" s="34" t="s">
        <v>68</v>
      </c>
      <c r="K195" s="12"/>
      <c r="L195" s="13" t="s">
        <v>2527</v>
      </c>
      <c r="M195" s="12" t="s">
        <v>68</v>
      </c>
      <c r="N195" s="182"/>
      <c r="O195" s="12" t="s">
        <v>2520</v>
      </c>
      <c r="P195" s="12" t="s">
        <v>550</v>
      </c>
      <c r="Q195" s="12" t="s">
        <v>551</v>
      </c>
      <c r="R195" s="12">
        <v>553118</v>
      </c>
      <c r="S195" s="12" t="s">
        <v>552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75</v>
      </c>
      <c r="Z195" s="12"/>
      <c r="AA195" s="12" t="s">
        <v>85</v>
      </c>
      <c r="AB195" s="13" t="s">
        <v>2136</v>
      </c>
      <c r="AC195" s="14">
        <v>45910</v>
      </c>
      <c r="AD195" s="15">
        <v>37</v>
      </c>
      <c r="AE195" s="176" t="s">
        <v>3360</v>
      </c>
      <c r="AF195" s="12">
        <v>371008914</v>
      </c>
      <c r="AG195" s="12" t="s">
        <v>122</v>
      </c>
      <c r="AH195" s="12" t="s">
        <v>124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66</v>
      </c>
      <c r="AP195" s="12" t="s">
        <v>3361</v>
      </c>
      <c r="AQ195" s="12"/>
      <c r="AR195" s="12" t="s">
        <v>3362</v>
      </c>
      <c r="AS195" s="12" t="s">
        <v>3363</v>
      </c>
      <c r="AT195" s="12" t="s">
        <v>3363</v>
      </c>
      <c r="AU195" s="12">
        <v>47</v>
      </c>
      <c r="AV195" s="12" t="s">
        <v>83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2525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10">
      <c r="A196" s="11" t="s">
        <v>3364</v>
      </c>
      <c r="B196" s="12" t="s">
        <v>111</v>
      </c>
      <c r="C196" s="12" t="s">
        <v>548</v>
      </c>
      <c r="D196" s="12" t="s">
        <v>63</v>
      </c>
      <c r="E196" s="12" t="s">
        <v>68</v>
      </c>
      <c r="F196" s="12" t="s">
        <v>68</v>
      </c>
      <c r="G196" s="12"/>
      <c r="H196" s="12" t="s">
        <v>66</v>
      </c>
      <c r="I196" s="12" t="s">
        <v>1292</v>
      </c>
      <c r="J196" s="34" t="s">
        <v>68</v>
      </c>
      <c r="K196" s="12"/>
      <c r="L196" s="13" t="s">
        <v>2876</v>
      </c>
      <c r="M196" s="12" t="s">
        <v>68</v>
      </c>
      <c r="N196" s="182"/>
      <c r="O196" s="12" t="s">
        <v>2520</v>
      </c>
      <c r="P196" s="12" t="s">
        <v>550</v>
      </c>
      <c r="Q196" s="12" t="s">
        <v>551</v>
      </c>
      <c r="R196" s="12">
        <v>553118</v>
      </c>
      <c r="S196" s="12" t="s">
        <v>552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75</v>
      </c>
      <c r="Z196" s="12"/>
      <c r="AA196" s="12" t="s">
        <v>85</v>
      </c>
      <c r="AB196" s="13" t="s">
        <v>2136</v>
      </c>
      <c r="AC196" s="14">
        <v>45910</v>
      </c>
      <c r="AD196" s="15">
        <v>37</v>
      </c>
      <c r="AE196" s="176" t="s">
        <v>3365</v>
      </c>
      <c r="AF196" s="12">
        <v>371008911</v>
      </c>
      <c r="AG196" s="12" t="s">
        <v>122</v>
      </c>
      <c r="AH196" s="12" t="s">
        <v>456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66</v>
      </c>
      <c r="AP196" s="12" t="s">
        <v>3366</v>
      </c>
      <c r="AQ196" s="12"/>
      <c r="AR196" s="12" t="s">
        <v>3367</v>
      </c>
      <c r="AS196" s="12" t="s">
        <v>3368</v>
      </c>
      <c r="AT196" s="12" t="s">
        <v>3368</v>
      </c>
      <c r="AU196" s="12">
        <v>52</v>
      </c>
      <c r="AV196" s="12" t="s">
        <v>83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2525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10">
      <c r="A197" s="11" t="s">
        <v>3369</v>
      </c>
      <c r="B197" s="12" t="s">
        <v>111</v>
      </c>
      <c r="C197" s="12" t="s">
        <v>548</v>
      </c>
      <c r="D197" s="12" t="s">
        <v>63</v>
      </c>
      <c r="E197" s="12" t="s">
        <v>68</v>
      </c>
      <c r="F197" s="12" t="s">
        <v>68</v>
      </c>
      <c r="G197" s="12"/>
      <c r="H197" s="12" t="s">
        <v>66</v>
      </c>
      <c r="I197" s="12" t="s">
        <v>1342</v>
      </c>
      <c r="J197" s="34" t="s">
        <v>68</v>
      </c>
      <c r="K197" s="12"/>
      <c r="L197" s="13" t="s">
        <v>2542</v>
      </c>
      <c r="M197" s="12" t="s">
        <v>68</v>
      </c>
      <c r="N197" s="182"/>
      <c r="O197" s="12" t="s">
        <v>2520</v>
      </c>
      <c r="P197" s="12" t="s">
        <v>550</v>
      </c>
      <c r="Q197" s="12" t="s">
        <v>551</v>
      </c>
      <c r="R197" s="12">
        <v>553118</v>
      </c>
      <c r="S197" s="12" t="s">
        <v>552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75</v>
      </c>
      <c r="Z197" s="12"/>
      <c r="AA197" s="12" t="s">
        <v>85</v>
      </c>
      <c r="AB197" s="13" t="s">
        <v>2136</v>
      </c>
      <c r="AC197" s="14">
        <v>45913</v>
      </c>
      <c r="AD197" s="15">
        <v>37</v>
      </c>
      <c r="AE197" s="176" t="s">
        <v>3370</v>
      </c>
      <c r="AF197" s="12">
        <v>371008912</v>
      </c>
      <c r="AG197" s="12" t="s">
        <v>122</v>
      </c>
      <c r="AH197" s="12" t="s">
        <v>314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66</v>
      </c>
      <c r="AP197" s="12" t="s">
        <v>3354</v>
      </c>
      <c r="AQ197" s="12"/>
      <c r="AR197" s="12" t="s">
        <v>3371</v>
      </c>
      <c r="AS197" s="12" t="s">
        <v>3372</v>
      </c>
      <c r="AT197" s="12" t="s">
        <v>3372</v>
      </c>
      <c r="AU197" s="12">
        <v>57</v>
      </c>
      <c r="AV197" s="12" t="s">
        <v>83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2525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10">
      <c r="A198" s="11" t="s">
        <v>3373</v>
      </c>
      <c r="B198" s="12" t="s">
        <v>111</v>
      </c>
      <c r="C198" s="12" t="s">
        <v>3374</v>
      </c>
      <c r="D198" s="12" t="s">
        <v>63</v>
      </c>
      <c r="E198" s="12" t="s">
        <v>64</v>
      </c>
      <c r="F198" s="12" t="s">
        <v>100</v>
      </c>
      <c r="G198" s="12" t="s">
        <v>67</v>
      </c>
      <c r="H198" s="12" t="s">
        <v>66</v>
      </c>
      <c r="I198" s="12" t="s">
        <v>96</v>
      </c>
      <c r="J198" s="34" t="s">
        <v>68</v>
      </c>
      <c r="K198" s="12"/>
      <c r="L198" s="13" t="s">
        <v>2519</v>
      </c>
      <c r="M198" s="213" t="s">
        <v>68</v>
      </c>
      <c r="N198" s="182"/>
      <c r="O198" s="12" t="s">
        <v>2520</v>
      </c>
      <c r="P198" s="12" t="s">
        <v>473</v>
      </c>
      <c r="Q198" s="12" t="s">
        <v>529</v>
      </c>
      <c r="R198" s="12">
        <v>553145</v>
      </c>
      <c r="S198" s="12" t="s">
        <v>530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75</v>
      </c>
      <c r="Z198" s="12"/>
      <c r="AA198" s="12" t="s">
        <v>85</v>
      </c>
      <c r="AB198" s="13" t="s">
        <v>967</v>
      </c>
      <c r="AC198" s="14">
        <v>45914</v>
      </c>
      <c r="AD198" s="15">
        <v>37</v>
      </c>
      <c r="AE198" s="176" t="s">
        <v>3375</v>
      </c>
      <c r="AF198" s="12">
        <v>371008936</v>
      </c>
      <c r="AG198" s="12" t="s">
        <v>122</v>
      </c>
      <c r="AH198" s="12" t="s">
        <v>105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66</v>
      </c>
      <c r="AP198" s="12" t="s">
        <v>3297</v>
      </c>
      <c r="AQ198" s="12"/>
      <c r="AR198" s="12" t="s">
        <v>3376</v>
      </c>
      <c r="AS198" s="12" t="s">
        <v>3377</v>
      </c>
      <c r="AT198" s="12" t="s">
        <v>3377</v>
      </c>
      <c r="AU198" s="12">
        <v>55</v>
      </c>
      <c r="AV198" s="12" t="s">
        <v>83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2525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10">
      <c r="A199" s="11" t="s">
        <v>3378</v>
      </c>
      <c r="B199" s="12" t="s">
        <v>111</v>
      </c>
      <c r="C199" s="12" t="s">
        <v>3374</v>
      </c>
      <c r="D199" s="12" t="s">
        <v>63</v>
      </c>
      <c r="E199" s="12" t="s">
        <v>64</v>
      </c>
      <c r="F199" s="12" t="s">
        <v>65</v>
      </c>
      <c r="G199" s="12" t="s">
        <v>67</v>
      </c>
      <c r="H199" s="12" t="s">
        <v>66</v>
      </c>
      <c r="I199" s="12" t="s">
        <v>96</v>
      </c>
      <c r="J199" s="34" t="s">
        <v>68</v>
      </c>
      <c r="K199" s="12"/>
      <c r="L199" s="13" t="s">
        <v>2519</v>
      </c>
      <c r="M199" s="213" t="s">
        <v>68</v>
      </c>
      <c r="N199" s="182"/>
      <c r="O199" s="12" t="s">
        <v>2520</v>
      </c>
      <c r="P199" s="12" t="s">
        <v>473</v>
      </c>
      <c r="Q199" s="12" t="s">
        <v>529</v>
      </c>
      <c r="R199" s="12">
        <v>553145</v>
      </c>
      <c r="S199" s="12" t="s">
        <v>530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75</v>
      </c>
      <c r="Z199" s="12"/>
      <c r="AA199" s="12" t="s">
        <v>85</v>
      </c>
      <c r="AB199" s="13" t="s">
        <v>967</v>
      </c>
      <c r="AC199" s="14">
        <v>45914</v>
      </c>
      <c r="AD199" s="15">
        <v>37</v>
      </c>
      <c r="AE199" s="176" t="s">
        <v>3379</v>
      </c>
      <c r="AF199" s="12">
        <v>371008938</v>
      </c>
      <c r="AG199" s="12" t="s">
        <v>122</v>
      </c>
      <c r="AH199" s="12" t="s">
        <v>78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66</v>
      </c>
      <c r="AP199" s="12" t="s">
        <v>3380</v>
      </c>
      <c r="AQ199" s="12"/>
      <c r="AR199" s="12" t="s">
        <v>3381</v>
      </c>
      <c r="AS199" s="12" t="s">
        <v>3382</v>
      </c>
      <c r="AT199" s="12" t="s">
        <v>3382</v>
      </c>
      <c r="AU199" s="12">
        <v>54</v>
      </c>
      <c r="AV199" s="12" t="s">
        <v>83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2525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10">
      <c r="A200" s="11" t="s">
        <v>3383</v>
      </c>
      <c r="B200" s="12" t="s">
        <v>111</v>
      </c>
      <c r="C200" s="12" t="s">
        <v>548</v>
      </c>
      <c r="D200" s="12" t="s">
        <v>63</v>
      </c>
      <c r="E200" s="12" t="s">
        <v>68</v>
      </c>
      <c r="F200" s="12" t="s">
        <v>68</v>
      </c>
      <c r="G200" s="12"/>
      <c r="H200" s="12" t="s">
        <v>66</v>
      </c>
      <c r="I200" s="12" t="s">
        <v>1559</v>
      </c>
      <c r="J200" s="34" t="s">
        <v>68</v>
      </c>
      <c r="K200" s="12"/>
      <c r="L200" s="13" t="s">
        <v>2542</v>
      </c>
      <c r="M200" s="12" t="s">
        <v>68</v>
      </c>
      <c r="N200" s="182"/>
      <c r="O200" s="12" t="s">
        <v>2520</v>
      </c>
      <c r="P200" s="12" t="s">
        <v>550</v>
      </c>
      <c r="Q200" s="12" t="s">
        <v>551</v>
      </c>
      <c r="R200" s="12">
        <v>553118</v>
      </c>
      <c r="S200" s="12" t="s">
        <v>552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75</v>
      </c>
      <c r="Z200" s="12"/>
      <c r="AA200" s="12" t="s">
        <v>85</v>
      </c>
      <c r="AB200" s="13" t="s">
        <v>2136</v>
      </c>
      <c r="AC200" s="14">
        <v>45913</v>
      </c>
      <c r="AD200" s="15">
        <v>37</v>
      </c>
      <c r="AE200" s="176" t="s">
        <v>3384</v>
      </c>
      <c r="AF200" s="12">
        <v>371008913</v>
      </c>
      <c r="AG200" s="12" t="s">
        <v>122</v>
      </c>
      <c r="AH200" s="12" t="s">
        <v>1561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66</v>
      </c>
      <c r="AP200" s="12" t="s">
        <v>3354</v>
      </c>
      <c r="AQ200" s="12"/>
      <c r="AR200" s="12" t="s">
        <v>3385</v>
      </c>
      <c r="AS200" s="12" t="s">
        <v>3386</v>
      </c>
      <c r="AT200" s="12" t="s">
        <v>3386</v>
      </c>
      <c r="AU200" s="12">
        <v>57</v>
      </c>
      <c r="AV200" s="12" t="s">
        <v>83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2525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10">
      <c r="A201" s="11" t="s">
        <v>3387</v>
      </c>
      <c r="B201" s="12" t="s">
        <v>61</v>
      </c>
      <c r="C201" s="12" t="s">
        <v>3388</v>
      </c>
      <c r="D201" s="12" t="s">
        <v>63</v>
      </c>
      <c r="E201" s="12" t="s">
        <v>68</v>
      </c>
      <c r="F201" s="12" t="s">
        <v>68</v>
      </c>
      <c r="G201" s="12"/>
      <c r="H201" s="12" t="s">
        <v>146</v>
      </c>
      <c r="I201" s="12" t="s">
        <v>1081</v>
      </c>
      <c r="J201" s="34" t="s">
        <v>68</v>
      </c>
      <c r="K201" s="12">
        <v>46010857</v>
      </c>
      <c r="L201" s="13" t="s">
        <v>2764</v>
      </c>
      <c r="M201" s="12" t="s">
        <v>68</v>
      </c>
      <c r="N201" s="182"/>
      <c r="O201" s="12" t="s">
        <v>2520</v>
      </c>
      <c r="P201" s="12" t="s">
        <v>70</v>
      </c>
      <c r="Q201" s="12" t="s">
        <v>195</v>
      </c>
      <c r="R201" s="12">
        <v>554473</v>
      </c>
      <c r="S201" s="12" t="s">
        <v>196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75</v>
      </c>
      <c r="Z201" s="12"/>
      <c r="AA201" s="12" t="s">
        <v>85</v>
      </c>
      <c r="AB201" s="13" t="s">
        <v>967</v>
      </c>
      <c r="AC201" s="14">
        <v>45921</v>
      </c>
      <c r="AD201" s="15">
        <v>38</v>
      </c>
      <c r="AE201" s="176" t="s">
        <v>3389</v>
      </c>
      <c r="AF201" s="12">
        <v>371008942</v>
      </c>
      <c r="AG201" s="12" t="s">
        <v>77</v>
      </c>
      <c r="AH201" s="12" t="s">
        <v>105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146</v>
      </c>
      <c r="AP201" s="12" t="s">
        <v>3390</v>
      </c>
      <c r="AQ201" s="12"/>
      <c r="AR201" s="12" t="s">
        <v>3391</v>
      </c>
      <c r="AS201" s="12" t="s">
        <v>3392</v>
      </c>
      <c r="AT201" s="12" t="s">
        <v>3392</v>
      </c>
      <c r="AU201" s="12">
        <v>59</v>
      </c>
      <c r="AV201" s="12" t="s">
        <v>2538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2525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3393</v>
      </c>
      <c r="B202" s="12" t="s">
        <v>1888</v>
      </c>
      <c r="C202" s="12" t="s">
        <v>2856</v>
      </c>
      <c r="D202" s="12" t="s">
        <v>63</v>
      </c>
      <c r="E202" s="12" t="s">
        <v>68</v>
      </c>
      <c r="F202" s="12" t="s">
        <v>68</v>
      </c>
      <c r="G202" s="12"/>
      <c r="H202" s="12" t="s">
        <v>66</v>
      </c>
      <c r="I202" s="12" t="s">
        <v>1559</v>
      </c>
      <c r="J202" s="34" t="s">
        <v>68</v>
      </c>
      <c r="K202" s="12"/>
      <c r="L202" s="13" t="s">
        <v>2542</v>
      </c>
      <c r="M202" s="12" t="s">
        <v>68</v>
      </c>
      <c r="N202" s="182"/>
      <c r="O202" s="12" t="s">
        <v>2520</v>
      </c>
      <c r="P202" s="12" t="s">
        <v>70</v>
      </c>
      <c r="Q202" s="12" t="s">
        <v>420</v>
      </c>
      <c r="R202" s="12">
        <v>554476</v>
      </c>
      <c r="S202" s="12" t="s">
        <v>421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75</v>
      </c>
      <c r="Z202" s="12"/>
      <c r="AA202" s="12" t="s">
        <v>2703</v>
      </c>
      <c r="AB202" s="13" t="s">
        <v>992</v>
      </c>
      <c r="AC202" s="14">
        <v>45920</v>
      </c>
      <c r="AD202" s="15">
        <v>38</v>
      </c>
      <c r="AE202" s="176" t="s">
        <v>3394</v>
      </c>
      <c r="AF202" s="12">
        <v>371008976</v>
      </c>
      <c r="AG202" s="12" t="s">
        <v>122</v>
      </c>
      <c r="AH202" s="12" t="s">
        <v>1561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66</v>
      </c>
      <c r="AP202" s="12" t="s">
        <v>3395</v>
      </c>
      <c r="AQ202" s="12"/>
      <c r="AR202" s="12" t="s">
        <v>3396</v>
      </c>
      <c r="AS202" s="12" t="s">
        <v>3397</v>
      </c>
      <c r="AT202" s="12" t="s">
        <v>3397</v>
      </c>
      <c r="AU202" s="12">
        <v>70</v>
      </c>
      <c r="AV202" s="12" t="s">
        <v>83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2525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10">
      <c r="A203" s="11" t="s">
        <v>3398</v>
      </c>
      <c r="B203" s="12" t="s">
        <v>111</v>
      </c>
      <c r="C203" s="12" t="s">
        <v>3374</v>
      </c>
      <c r="D203" s="12" t="s">
        <v>63</v>
      </c>
      <c r="E203" s="12" t="s">
        <v>68</v>
      </c>
      <c r="F203" s="12" t="s">
        <v>68</v>
      </c>
      <c r="G203" s="12"/>
      <c r="H203" s="12" t="s">
        <v>66</v>
      </c>
      <c r="I203" s="12" t="s">
        <v>1292</v>
      </c>
      <c r="J203" s="34" t="s">
        <v>68</v>
      </c>
      <c r="K203" s="12"/>
      <c r="L203" s="13" t="s">
        <v>2876</v>
      </c>
      <c r="M203" s="12" t="s">
        <v>68</v>
      </c>
      <c r="N203" s="182"/>
      <c r="O203" s="12" t="s">
        <v>2520</v>
      </c>
      <c r="P203" s="12" t="s">
        <v>473</v>
      </c>
      <c r="Q203" s="12" t="s">
        <v>529</v>
      </c>
      <c r="R203" s="12">
        <v>553145</v>
      </c>
      <c r="S203" s="12" t="s">
        <v>530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75</v>
      </c>
      <c r="Z203" s="12"/>
      <c r="AA203" s="12" t="s">
        <v>85</v>
      </c>
      <c r="AB203" s="13" t="s">
        <v>967</v>
      </c>
      <c r="AC203" s="14">
        <v>45916</v>
      </c>
      <c r="AD203" s="15">
        <v>38</v>
      </c>
      <c r="AE203" s="176" t="s">
        <v>3399</v>
      </c>
      <c r="AF203" s="12">
        <v>371008939</v>
      </c>
      <c r="AG203" s="12" t="s">
        <v>122</v>
      </c>
      <c r="AH203" s="12" t="s">
        <v>456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66</v>
      </c>
      <c r="AP203" s="12" t="s">
        <v>3400</v>
      </c>
      <c r="AQ203" s="12"/>
      <c r="AR203" s="12" t="s">
        <v>3401</v>
      </c>
      <c r="AS203" s="12" t="s">
        <v>3402</v>
      </c>
      <c r="AT203" s="12" t="s">
        <v>3402</v>
      </c>
      <c r="AU203" s="12">
        <v>52</v>
      </c>
      <c r="AV203" s="12" t="s">
        <v>83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2525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10">
      <c r="A204" s="11" t="s">
        <v>2949</v>
      </c>
      <c r="B204" s="12" t="s">
        <v>111</v>
      </c>
      <c r="C204" s="12" t="s">
        <v>203</v>
      </c>
      <c r="D204" s="12" t="s">
        <v>63</v>
      </c>
      <c r="E204" s="12" t="s">
        <v>64</v>
      </c>
      <c r="F204" s="12" t="s">
        <v>100</v>
      </c>
      <c r="G204" s="12" t="s">
        <v>67</v>
      </c>
      <c r="H204" s="12" t="s">
        <v>402</v>
      </c>
      <c r="I204" s="12" t="s">
        <v>677</v>
      </c>
      <c r="J204" s="34" t="s">
        <v>68</v>
      </c>
      <c r="K204" s="12">
        <v>14130692</v>
      </c>
      <c r="L204" s="13" t="s">
        <v>2777</v>
      </c>
      <c r="M204" s="213" t="s">
        <v>68</v>
      </c>
      <c r="N204" s="182"/>
      <c r="O204" s="12" t="s">
        <v>2520</v>
      </c>
      <c r="P204" s="12" t="s">
        <v>70</v>
      </c>
      <c r="Q204" s="12" t="s">
        <v>102</v>
      </c>
      <c r="R204" s="12">
        <v>554245</v>
      </c>
      <c r="S204" s="12" t="s">
        <v>103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75</v>
      </c>
      <c r="Z204" s="12"/>
      <c r="AA204" s="12" t="s">
        <v>108</v>
      </c>
      <c r="AB204" s="13" t="s">
        <v>2950</v>
      </c>
      <c r="AC204" s="14">
        <v>45915</v>
      </c>
      <c r="AD204" s="15">
        <v>38</v>
      </c>
      <c r="AE204" s="176" t="s">
        <v>3403</v>
      </c>
      <c r="AF204" s="12">
        <v>371008932</v>
      </c>
      <c r="AG204" s="12" t="s">
        <v>122</v>
      </c>
      <c r="AH204" s="12" t="s">
        <v>105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402</v>
      </c>
      <c r="AP204" s="12" t="s">
        <v>3297</v>
      </c>
      <c r="AQ204" s="12"/>
      <c r="AR204" s="12" t="s">
        <v>3404</v>
      </c>
      <c r="AS204" s="12" t="s">
        <v>3405</v>
      </c>
      <c r="AT204" s="12" t="s">
        <v>3405</v>
      </c>
      <c r="AU204" s="12">
        <v>55</v>
      </c>
      <c r="AV204" s="12" t="s">
        <v>2538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2525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10">
      <c r="A205" s="11"/>
      <c r="B205" s="12" t="s">
        <v>61</v>
      </c>
      <c r="C205" s="12" t="s">
        <v>3287</v>
      </c>
      <c r="D205" s="12" t="s">
        <v>63</v>
      </c>
      <c r="E205" s="12" t="s">
        <v>68</v>
      </c>
      <c r="F205" s="12" t="s">
        <v>68</v>
      </c>
      <c r="G205" s="12"/>
      <c r="H205" s="12" t="s">
        <v>66</v>
      </c>
      <c r="I205" s="12" t="s">
        <v>2808</v>
      </c>
      <c r="J205" s="34" t="s">
        <v>68</v>
      </c>
      <c r="K205" s="12">
        <v>19142965</v>
      </c>
      <c r="L205" s="13" t="s">
        <v>2542</v>
      </c>
      <c r="M205" s="12" t="s">
        <v>68</v>
      </c>
      <c r="N205" s="182"/>
      <c r="O205" s="12" t="s">
        <v>2520</v>
      </c>
      <c r="P205" s="12" t="s">
        <v>70</v>
      </c>
      <c r="Q205" s="12" t="s">
        <v>420</v>
      </c>
      <c r="R205" s="12">
        <v>554476</v>
      </c>
      <c r="S205" s="12" t="s">
        <v>421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75</v>
      </c>
      <c r="Z205" s="12"/>
      <c r="AA205" s="12" t="s">
        <v>2703</v>
      </c>
      <c r="AB205" s="13" t="s">
        <v>992</v>
      </c>
      <c r="AC205" s="14">
        <v>45921</v>
      </c>
      <c r="AD205" s="15">
        <v>38</v>
      </c>
      <c r="AE205" s="176" t="s">
        <v>3406</v>
      </c>
      <c r="AF205" s="12">
        <v>371008959</v>
      </c>
      <c r="AG205" s="12" t="s">
        <v>77</v>
      </c>
      <c r="AH205" s="12" t="s">
        <v>1561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66</v>
      </c>
      <c r="AP205" s="12" t="s">
        <v>3390</v>
      </c>
      <c r="AQ205" s="12"/>
      <c r="AR205" s="12" t="s">
        <v>3407</v>
      </c>
      <c r="AS205" s="12" t="s">
        <v>3408</v>
      </c>
      <c r="AT205" s="12" t="s">
        <v>3408</v>
      </c>
      <c r="AU205" s="12">
        <v>71</v>
      </c>
      <c r="AV205" s="12" t="s">
        <v>83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2525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10">
      <c r="A206" s="11" t="s">
        <v>3409</v>
      </c>
      <c r="B206" s="12" t="s">
        <v>61</v>
      </c>
      <c r="C206" s="12" t="s">
        <v>769</v>
      </c>
      <c r="D206" s="12" t="s">
        <v>63</v>
      </c>
      <c r="E206" s="12" t="s">
        <v>64</v>
      </c>
      <c r="F206" s="12" t="s">
        <v>100</v>
      </c>
      <c r="G206" s="12" t="s">
        <v>67</v>
      </c>
      <c r="H206" s="12" t="s">
        <v>66</v>
      </c>
      <c r="I206" s="12" t="s">
        <v>3098</v>
      </c>
      <c r="J206" s="34" t="s">
        <v>68</v>
      </c>
      <c r="K206" s="12">
        <v>39011435</v>
      </c>
      <c r="L206" s="13" t="s">
        <v>2764</v>
      </c>
      <c r="M206" s="213" t="s">
        <v>68</v>
      </c>
      <c r="N206" s="182"/>
      <c r="O206" s="12" t="s">
        <v>2520</v>
      </c>
      <c r="P206" s="12" t="s">
        <v>70</v>
      </c>
      <c r="Q206" s="12" t="s">
        <v>195</v>
      </c>
      <c r="R206" s="12">
        <v>554473</v>
      </c>
      <c r="S206" s="12" t="s">
        <v>196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75</v>
      </c>
      <c r="Z206" s="12"/>
      <c r="AA206" s="12" t="s">
        <v>2703</v>
      </c>
      <c r="AB206" s="13" t="s">
        <v>967</v>
      </c>
      <c r="AC206" s="14">
        <v>45921</v>
      </c>
      <c r="AD206" s="15">
        <v>38</v>
      </c>
      <c r="AE206" s="176" t="s">
        <v>3410</v>
      </c>
      <c r="AF206" s="12">
        <v>371008958</v>
      </c>
      <c r="AG206" s="12" t="s">
        <v>77</v>
      </c>
      <c r="AH206" s="12" t="s">
        <v>105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66</v>
      </c>
      <c r="AP206" s="12" t="s">
        <v>3390</v>
      </c>
      <c r="AQ206" s="12"/>
      <c r="AR206" s="12" t="s">
        <v>3411</v>
      </c>
      <c r="AS206" s="12" t="s">
        <v>3412</v>
      </c>
      <c r="AT206" s="12" t="s">
        <v>3412</v>
      </c>
      <c r="AU206" s="12">
        <v>59</v>
      </c>
      <c r="AV206" s="12" t="s">
        <v>83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2525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10">
      <c r="A207" s="11" t="s">
        <v>3413</v>
      </c>
      <c r="B207" s="12" t="s">
        <v>111</v>
      </c>
      <c r="C207" s="12" t="s">
        <v>3374</v>
      </c>
      <c r="D207" s="12" t="s">
        <v>63</v>
      </c>
      <c r="E207" s="12" t="s">
        <v>64</v>
      </c>
      <c r="F207" s="12" t="s">
        <v>65</v>
      </c>
      <c r="G207" s="12" t="s">
        <v>67</v>
      </c>
      <c r="H207" s="12" t="s">
        <v>66</v>
      </c>
      <c r="I207" s="12" t="s">
        <v>96</v>
      </c>
      <c r="J207" s="34" t="s">
        <v>68</v>
      </c>
      <c r="K207" s="12"/>
      <c r="L207" s="13" t="s">
        <v>2519</v>
      </c>
      <c r="M207" s="213" t="s">
        <v>68</v>
      </c>
      <c r="N207" s="182"/>
      <c r="O207" s="12" t="s">
        <v>2520</v>
      </c>
      <c r="P207" s="12" t="s">
        <v>473</v>
      </c>
      <c r="Q207" s="12" t="s">
        <v>529</v>
      </c>
      <c r="R207" s="12">
        <v>553145</v>
      </c>
      <c r="S207" s="12" t="s">
        <v>530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75</v>
      </c>
      <c r="Z207" s="12"/>
      <c r="AA207" s="12" t="s">
        <v>85</v>
      </c>
      <c r="AB207" s="13" t="s">
        <v>967</v>
      </c>
      <c r="AC207" s="14">
        <v>45921</v>
      </c>
      <c r="AD207" s="15">
        <v>38</v>
      </c>
      <c r="AE207" s="176" t="s">
        <v>3414</v>
      </c>
      <c r="AF207" s="12">
        <v>371008964</v>
      </c>
      <c r="AG207" s="12" t="s">
        <v>122</v>
      </c>
      <c r="AH207" s="12" t="s">
        <v>78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66</v>
      </c>
      <c r="AP207" s="12" t="s">
        <v>3415</v>
      </c>
      <c r="AQ207" s="12"/>
      <c r="AR207" s="12" t="s">
        <v>3416</v>
      </c>
      <c r="AS207" s="12" t="s">
        <v>3417</v>
      </c>
      <c r="AT207" s="12" t="s">
        <v>3417</v>
      </c>
      <c r="AU207" s="12">
        <v>49</v>
      </c>
      <c r="AV207" s="12" t="s">
        <v>83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2525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10">
      <c r="A208" s="11" t="s">
        <v>3418</v>
      </c>
      <c r="B208" s="12" t="s">
        <v>111</v>
      </c>
      <c r="C208" s="12" t="s">
        <v>3374</v>
      </c>
      <c r="D208" s="12" t="s">
        <v>63</v>
      </c>
      <c r="E208" s="12" t="s">
        <v>68</v>
      </c>
      <c r="F208" s="12" t="s">
        <v>68</v>
      </c>
      <c r="G208" s="12"/>
      <c r="H208" s="12" t="s">
        <v>66</v>
      </c>
      <c r="I208" s="12" t="s">
        <v>1292</v>
      </c>
      <c r="J208" s="34" t="s">
        <v>68</v>
      </c>
      <c r="K208" s="12"/>
      <c r="L208" s="13" t="s">
        <v>2876</v>
      </c>
      <c r="M208" s="12" t="s">
        <v>68</v>
      </c>
      <c r="N208" s="182"/>
      <c r="O208" s="12" t="s">
        <v>2520</v>
      </c>
      <c r="P208" s="12" t="s">
        <v>473</v>
      </c>
      <c r="Q208" s="12" t="s">
        <v>529</v>
      </c>
      <c r="R208" s="12">
        <v>553145</v>
      </c>
      <c r="S208" s="12" t="s">
        <v>530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75</v>
      </c>
      <c r="Z208" s="12"/>
      <c r="AA208" s="12" t="s">
        <v>85</v>
      </c>
      <c r="AB208" s="13" t="s">
        <v>967</v>
      </c>
      <c r="AC208" s="14">
        <v>45921</v>
      </c>
      <c r="AD208" s="15">
        <v>38</v>
      </c>
      <c r="AE208" s="176" t="s">
        <v>3419</v>
      </c>
      <c r="AF208" s="12">
        <v>371008963</v>
      </c>
      <c r="AG208" s="12" t="s">
        <v>122</v>
      </c>
      <c r="AH208" s="12" t="s">
        <v>456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66</v>
      </c>
      <c r="AP208" s="12" t="s">
        <v>3420</v>
      </c>
      <c r="AQ208" s="12"/>
      <c r="AR208" s="12" t="s">
        <v>3421</v>
      </c>
      <c r="AS208" s="12" t="s">
        <v>3422</v>
      </c>
      <c r="AT208" s="12" t="s">
        <v>3422</v>
      </c>
      <c r="AU208" s="12">
        <v>51</v>
      </c>
      <c r="AV208" s="12" t="s">
        <v>83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2525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10">
      <c r="A209" s="11" t="s">
        <v>3423</v>
      </c>
      <c r="B209" s="12" t="s">
        <v>2819</v>
      </c>
      <c r="C209" s="12" t="s">
        <v>282</v>
      </c>
      <c r="D209" s="12" t="s">
        <v>63</v>
      </c>
      <c r="E209" s="12" t="s">
        <v>68</v>
      </c>
      <c r="F209" s="12" t="s">
        <v>68</v>
      </c>
      <c r="G209" s="12"/>
      <c r="H209" s="12" t="s">
        <v>156</v>
      </c>
      <c r="I209" s="12" t="s">
        <v>3424</v>
      </c>
      <c r="J209" s="34" t="s">
        <v>68</v>
      </c>
      <c r="K209" s="12">
        <v>46010772</v>
      </c>
      <c r="L209" s="13" t="s">
        <v>2764</v>
      </c>
      <c r="M209" s="12" t="s">
        <v>68</v>
      </c>
      <c r="N209" s="182"/>
      <c r="O209" s="12" t="s">
        <v>2520</v>
      </c>
      <c r="P209" s="12" t="s">
        <v>284</v>
      </c>
      <c r="Q209" s="12" t="s">
        <v>285</v>
      </c>
      <c r="R209" s="12">
        <v>554319</v>
      </c>
      <c r="S209" s="12" t="s">
        <v>286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75</v>
      </c>
      <c r="Z209" s="12"/>
      <c r="AA209" s="12" t="s">
        <v>85</v>
      </c>
      <c r="AB209" s="13" t="s">
        <v>992</v>
      </c>
      <c r="AC209" s="14">
        <v>45917</v>
      </c>
      <c r="AD209" s="15">
        <v>38</v>
      </c>
      <c r="AE209" s="176" t="s">
        <v>3425</v>
      </c>
      <c r="AF209" s="12">
        <v>371008957</v>
      </c>
      <c r="AG209" s="12" t="s">
        <v>288</v>
      </c>
      <c r="AH209" s="12" t="s">
        <v>1084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156</v>
      </c>
      <c r="AP209" s="12" t="s">
        <v>3426</v>
      </c>
      <c r="AQ209" s="12"/>
      <c r="AR209" s="12">
        <v>46010772</v>
      </c>
      <c r="AS209" s="12">
        <v>1069414963</v>
      </c>
      <c r="AT209" s="12" t="s">
        <v>3427</v>
      </c>
      <c r="AU209" s="12">
        <v>44</v>
      </c>
      <c r="AV209" s="12" t="s">
        <v>2538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2525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10">
      <c r="A210" s="11" t="s">
        <v>3428</v>
      </c>
      <c r="B210" s="12" t="s">
        <v>111</v>
      </c>
      <c r="C210" s="12" t="s">
        <v>3429</v>
      </c>
      <c r="D210" s="12" t="s">
        <v>63</v>
      </c>
      <c r="E210" s="12" t="s">
        <v>68</v>
      </c>
      <c r="F210" s="12" t="s">
        <v>68</v>
      </c>
      <c r="G210" s="12"/>
      <c r="H210" s="12" t="s">
        <v>66</v>
      </c>
      <c r="I210" s="12" t="s">
        <v>1342</v>
      </c>
      <c r="J210" s="34" t="s">
        <v>68</v>
      </c>
      <c r="K210" s="12"/>
      <c r="L210" s="13" t="s">
        <v>2542</v>
      </c>
      <c r="M210" s="12" t="s">
        <v>68</v>
      </c>
      <c r="N210" s="182"/>
      <c r="O210" s="12" t="s">
        <v>2520</v>
      </c>
      <c r="P210" s="12" t="s">
        <v>132</v>
      </c>
      <c r="Q210" s="12" t="s">
        <v>1104</v>
      </c>
      <c r="R210" s="12">
        <v>554431</v>
      </c>
      <c r="S210" s="12" t="s">
        <v>1105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75</v>
      </c>
      <c r="Z210" s="12"/>
      <c r="AA210" s="12" t="s">
        <v>108</v>
      </c>
      <c r="AB210" s="13" t="s">
        <v>992</v>
      </c>
      <c r="AC210" s="14">
        <v>45927</v>
      </c>
      <c r="AD210" s="15">
        <v>39</v>
      </c>
      <c r="AE210" s="176" t="s">
        <v>3430</v>
      </c>
      <c r="AF210" s="12">
        <v>371008988</v>
      </c>
      <c r="AG210" s="12" t="s">
        <v>122</v>
      </c>
      <c r="AH210" s="12" t="s">
        <v>314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66</v>
      </c>
      <c r="AP210" s="12" t="s">
        <v>3431</v>
      </c>
      <c r="AQ210" s="12"/>
      <c r="AR210" s="12" t="s">
        <v>3432</v>
      </c>
      <c r="AS210" s="12" t="s">
        <v>3433</v>
      </c>
      <c r="AT210" s="12" t="s">
        <v>3433</v>
      </c>
      <c r="AU210" s="12">
        <v>48</v>
      </c>
      <c r="AV210" s="12" t="s">
        <v>83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2525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10">
      <c r="A211" s="11" t="s">
        <v>3434</v>
      </c>
      <c r="B211" s="12" t="s">
        <v>111</v>
      </c>
      <c r="C211" s="12" t="s">
        <v>2742</v>
      </c>
      <c r="D211" s="12" t="s">
        <v>63</v>
      </c>
      <c r="E211" s="12" t="s">
        <v>64</v>
      </c>
      <c r="F211" s="12" t="s">
        <v>100</v>
      </c>
      <c r="G211" s="12" t="s">
        <v>67</v>
      </c>
      <c r="H211" s="12" t="s">
        <v>66</v>
      </c>
      <c r="I211" s="12" t="s">
        <v>96</v>
      </c>
      <c r="J211" s="34" t="s">
        <v>68</v>
      </c>
      <c r="K211" s="12"/>
      <c r="L211" s="13" t="s">
        <v>2519</v>
      </c>
      <c r="M211" s="213" t="s">
        <v>68</v>
      </c>
      <c r="N211" s="182"/>
      <c r="O211" s="12" t="s">
        <v>2520</v>
      </c>
      <c r="P211" s="12" t="s">
        <v>550</v>
      </c>
      <c r="Q211" s="12" t="s">
        <v>2744</v>
      </c>
      <c r="R211" s="12">
        <v>553120</v>
      </c>
      <c r="S211" s="12" t="s">
        <v>2745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75</v>
      </c>
      <c r="Z211" s="12"/>
      <c r="AA211" s="12" t="s">
        <v>85</v>
      </c>
      <c r="AB211" s="13" t="s">
        <v>2136</v>
      </c>
      <c r="AC211" s="14">
        <v>45928</v>
      </c>
      <c r="AD211" s="15">
        <v>39</v>
      </c>
      <c r="AE211" s="176" t="s">
        <v>3435</v>
      </c>
      <c r="AF211" s="12">
        <v>371008977</v>
      </c>
      <c r="AG211" s="12" t="s">
        <v>122</v>
      </c>
      <c r="AH211" s="12" t="s">
        <v>105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66</v>
      </c>
      <c r="AP211" s="12" t="s">
        <v>3390</v>
      </c>
      <c r="AQ211" s="12"/>
      <c r="AR211" s="12" t="s">
        <v>3436</v>
      </c>
      <c r="AS211" s="12" t="s">
        <v>3437</v>
      </c>
      <c r="AT211" s="12" t="s">
        <v>3437</v>
      </c>
      <c r="AU211" s="12">
        <v>49</v>
      </c>
      <c r="AV211" s="12" t="s">
        <v>83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2525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10">
      <c r="A212" s="11" t="s">
        <v>3438</v>
      </c>
      <c r="B212" s="12" t="s">
        <v>111</v>
      </c>
      <c r="C212" s="12" t="s">
        <v>203</v>
      </c>
      <c r="D212" s="12" t="s">
        <v>63</v>
      </c>
      <c r="E212" s="12" t="s">
        <v>68</v>
      </c>
      <c r="F212" s="12" t="s">
        <v>68</v>
      </c>
      <c r="G212" s="12"/>
      <c r="H212" s="12" t="s">
        <v>66</v>
      </c>
      <c r="I212" s="12" t="s">
        <v>1342</v>
      </c>
      <c r="J212" s="34" t="s">
        <v>68</v>
      </c>
      <c r="K212" s="12"/>
      <c r="L212" s="13" t="s">
        <v>2542</v>
      </c>
      <c r="M212" s="12" t="s">
        <v>68</v>
      </c>
      <c r="N212" s="182"/>
      <c r="O212" s="12" t="s">
        <v>2520</v>
      </c>
      <c r="P212" s="12" t="s">
        <v>132</v>
      </c>
      <c r="Q212" s="12" t="s">
        <v>453</v>
      </c>
      <c r="R212" s="12">
        <v>554541</v>
      </c>
      <c r="S212" s="12" t="s">
        <v>454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75</v>
      </c>
      <c r="Z212" s="12"/>
      <c r="AA212" s="12" t="s">
        <v>108</v>
      </c>
      <c r="AB212" s="32" t="s">
        <v>967</v>
      </c>
      <c r="AC212" s="14">
        <v>45927</v>
      </c>
      <c r="AD212" s="15">
        <v>39</v>
      </c>
      <c r="AE212" s="176" t="s">
        <v>3439</v>
      </c>
      <c r="AF212" s="12">
        <v>371008989</v>
      </c>
      <c r="AG212" s="12" t="s">
        <v>122</v>
      </c>
      <c r="AH212" s="12" t="s">
        <v>314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66</v>
      </c>
      <c r="AP212" s="12" t="s">
        <v>3431</v>
      </c>
      <c r="AQ212" s="12"/>
      <c r="AR212" s="12" t="s">
        <v>3432</v>
      </c>
      <c r="AS212" s="12" t="s">
        <v>3433</v>
      </c>
      <c r="AT212" s="12" t="s">
        <v>3433</v>
      </c>
      <c r="AU212" s="12">
        <v>48</v>
      </c>
      <c r="AV212" s="12" t="s">
        <v>83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2525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10">
      <c r="A213" s="11" t="s">
        <v>3440</v>
      </c>
      <c r="B213" s="12" t="s">
        <v>111</v>
      </c>
      <c r="C213" s="12" t="s">
        <v>3193</v>
      </c>
      <c r="D213" s="12" t="s">
        <v>63</v>
      </c>
      <c r="E213" s="12" t="s">
        <v>68</v>
      </c>
      <c r="F213" s="12" t="s">
        <v>68</v>
      </c>
      <c r="G213" s="12"/>
      <c r="H213" s="12" t="s">
        <v>66</v>
      </c>
      <c r="I213" s="12" t="s">
        <v>1342</v>
      </c>
      <c r="J213" s="34" t="s">
        <v>68</v>
      </c>
      <c r="K213" s="12"/>
      <c r="L213" s="13" t="s">
        <v>2542</v>
      </c>
      <c r="M213" s="12" t="s">
        <v>68</v>
      </c>
      <c r="N213" s="182"/>
      <c r="O213" s="12" t="s">
        <v>2520</v>
      </c>
      <c r="P213" s="12" t="s">
        <v>170</v>
      </c>
      <c r="Q213" s="12" t="s">
        <v>171</v>
      </c>
      <c r="R213" s="12">
        <v>552045</v>
      </c>
      <c r="S213" s="12" t="s">
        <v>172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75</v>
      </c>
      <c r="Z213" s="12"/>
      <c r="AA213" s="12" t="s">
        <v>108</v>
      </c>
      <c r="AB213" s="13" t="s">
        <v>992</v>
      </c>
      <c r="AC213" s="14">
        <v>45927</v>
      </c>
      <c r="AD213" s="15">
        <v>39</v>
      </c>
      <c r="AE213" s="176" t="s">
        <v>3441</v>
      </c>
      <c r="AF213" s="12">
        <v>371008987</v>
      </c>
      <c r="AG213" s="12" t="s">
        <v>122</v>
      </c>
      <c r="AH213" s="12" t="s">
        <v>314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66</v>
      </c>
      <c r="AP213" s="12" t="s">
        <v>3431</v>
      </c>
      <c r="AQ213" s="12"/>
      <c r="AR213" s="12" t="s">
        <v>3432</v>
      </c>
      <c r="AS213" s="12" t="s">
        <v>3433</v>
      </c>
      <c r="AT213" s="12" t="s">
        <v>3433</v>
      </c>
      <c r="AU213" s="12">
        <v>48</v>
      </c>
      <c r="AV213" s="12" t="s">
        <v>83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2525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10">
      <c r="A214" s="11" t="s">
        <v>3442</v>
      </c>
      <c r="B214" s="12" t="s">
        <v>111</v>
      </c>
      <c r="C214" s="12" t="s">
        <v>3438</v>
      </c>
      <c r="D214" s="12" t="s">
        <v>63</v>
      </c>
      <c r="E214" s="12" t="s">
        <v>68</v>
      </c>
      <c r="F214" s="12" t="s">
        <v>68</v>
      </c>
      <c r="G214" s="12"/>
      <c r="H214" s="12" t="s">
        <v>66</v>
      </c>
      <c r="I214" s="12" t="s">
        <v>1342</v>
      </c>
      <c r="J214" s="34" t="s">
        <v>68</v>
      </c>
      <c r="K214" s="12"/>
      <c r="L214" s="13" t="s">
        <v>2542</v>
      </c>
      <c r="M214" s="12" t="s">
        <v>68</v>
      </c>
      <c r="N214" s="182"/>
      <c r="O214" s="12" t="s">
        <v>2520</v>
      </c>
      <c r="P214" s="12" t="s">
        <v>132</v>
      </c>
      <c r="Q214" s="12" t="s">
        <v>453</v>
      </c>
      <c r="R214" s="12">
        <v>554541</v>
      </c>
      <c r="S214" s="12" t="s">
        <v>454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75</v>
      </c>
      <c r="Z214" s="12"/>
      <c r="AA214" s="12" t="s">
        <v>108</v>
      </c>
      <c r="AB214" s="32" t="s">
        <v>967</v>
      </c>
      <c r="AC214" s="14">
        <v>45926</v>
      </c>
      <c r="AD214" s="15">
        <v>39</v>
      </c>
      <c r="AE214" s="176" t="s">
        <v>3443</v>
      </c>
      <c r="AF214" s="12">
        <v>371008940</v>
      </c>
      <c r="AG214" s="12" t="s">
        <v>122</v>
      </c>
      <c r="AH214" s="12" t="s">
        <v>314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66</v>
      </c>
      <c r="AP214" s="12" t="s">
        <v>3444</v>
      </c>
      <c r="AQ214" s="12"/>
      <c r="AR214" s="12" t="s">
        <v>3445</v>
      </c>
      <c r="AS214" s="12" t="s">
        <v>3446</v>
      </c>
      <c r="AT214" s="12" t="s">
        <v>3446</v>
      </c>
      <c r="AU214" s="12">
        <v>51</v>
      </c>
      <c r="AV214" s="12" t="s">
        <v>83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2525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10">
      <c r="A215" s="11" t="s">
        <v>3447</v>
      </c>
      <c r="B215" s="12" t="s">
        <v>111</v>
      </c>
      <c r="C215" s="12" t="s">
        <v>3438</v>
      </c>
      <c r="D215" s="12" t="s">
        <v>63</v>
      </c>
      <c r="E215" s="12" t="s">
        <v>68</v>
      </c>
      <c r="F215" s="12" t="s">
        <v>68</v>
      </c>
      <c r="G215" s="12"/>
      <c r="H215" s="12" t="s">
        <v>66</v>
      </c>
      <c r="I215" s="12" t="s">
        <v>1559</v>
      </c>
      <c r="J215" s="34" t="s">
        <v>68</v>
      </c>
      <c r="K215" s="12"/>
      <c r="L215" s="13" t="s">
        <v>2542</v>
      </c>
      <c r="M215" s="12" t="s">
        <v>68</v>
      </c>
      <c r="N215" s="182"/>
      <c r="O215" s="12" t="s">
        <v>2520</v>
      </c>
      <c r="P215" s="12" t="s">
        <v>132</v>
      </c>
      <c r="Q215" s="12" t="s">
        <v>453</v>
      </c>
      <c r="R215" s="12">
        <v>554541</v>
      </c>
      <c r="S215" s="12" t="s">
        <v>454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75</v>
      </c>
      <c r="Z215" s="12"/>
      <c r="AA215" s="12" t="s">
        <v>108</v>
      </c>
      <c r="AB215" s="32" t="s">
        <v>967</v>
      </c>
      <c r="AC215" s="14">
        <v>45926</v>
      </c>
      <c r="AD215" s="15">
        <v>39</v>
      </c>
      <c r="AE215" s="176" t="s">
        <v>3448</v>
      </c>
      <c r="AF215" s="12">
        <v>371008941</v>
      </c>
      <c r="AG215" s="12" t="s">
        <v>122</v>
      </c>
      <c r="AH215" s="12" t="s">
        <v>1561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66</v>
      </c>
      <c r="AP215" s="12" t="s">
        <v>3444</v>
      </c>
      <c r="AQ215" s="12"/>
      <c r="AR215" s="12" t="s">
        <v>3449</v>
      </c>
      <c r="AS215" s="12" t="s">
        <v>3450</v>
      </c>
      <c r="AT215" s="12" t="s">
        <v>3450</v>
      </c>
      <c r="AU215" s="12">
        <v>52</v>
      </c>
      <c r="AV215" s="12" t="s">
        <v>83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2525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10">
      <c r="A216" s="11" t="s">
        <v>3451</v>
      </c>
      <c r="B216" s="12" t="s">
        <v>296</v>
      </c>
      <c r="C216" s="12" t="s">
        <v>203</v>
      </c>
      <c r="D216" s="12" t="s">
        <v>63</v>
      </c>
      <c r="E216" s="12" t="s">
        <v>64</v>
      </c>
      <c r="F216" s="12" t="s">
        <v>100</v>
      </c>
      <c r="G216" s="12" t="s">
        <v>67</v>
      </c>
      <c r="H216" s="12" t="s">
        <v>66</v>
      </c>
      <c r="I216" s="12" t="s">
        <v>96</v>
      </c>
      <c r="J216" s="34" t="s">
        <v>68</v>
      </c>
      <c r="K216" s="12"/>
      <c r="L216" s="13" t="s">
        <v>2519</v>
      </c>
      <c r="M216" s="213" t="s">
        <v>68</v>
      </c>
      <c r="N216" s="182"/>
      <c r="O216" s="12" t="s">
        <v>2520</v>
      </c>
      <c r="P216" s="12" t="s">
        <v>298</v>
      </c>
      <c r="Q216" s="12" t="s">
        <v>3452</v>
      </c>
      <c r="R216" s="12">
        <v>554250</v>
      </c>
      <c r="S216" s="12" t="s">
        <v>3453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75</v>
      </c>
      <c r="Z216" s="12"/>
      <c r="AA216" s="12" t="s">
        <v>85</v>
      </c>
      <c r="AB216" s="13" t="s">
        <v>967</v>
      </c>
      <c r="AC216" s="14">
        <v>45925</v>
      </c>
      <c r="AD216" s="15">
        <v>39</v>
      </c>
      <c r="AE216" s="176" t="s">
        <v>3454</v>
      </c>
      <c r="AF216" s="12">
        <v>371008961</v>
      </c>
      <c r="AG216" s="12" t="s">
        <v>288</v>
      </c>
      <c r="AH216" s="12" t="s">
        <v>105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66</v>
      </c>
      <c r="AP216" s="12" t="s">
        <v>3455</v>
      </c>
      <c r="AQ216" s="12"/>
      <c r="AR216" s="12" t="s">
        <v>3456</v>
      </c>
      <c r="AS216" s="12" t="s">
        <v>3457</v>
      </c>
      <c r="AT216" s="12" t="s">
        <v>3457</v>
      </c>
      <c r="AU216" s="12">
        <v>34</v>
      </c>
      <c r="AV216" s="12" t="s">
        <v>83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2525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10">
      <c r="A217" s="11" t="s">
        <v>3458</v>
      </c>
      <c r="B217" s="12" t="s">
        <v>296</v>
      </c>
      <c r="C217" s="12" t="s">
        <v>3451</v>
      </c>
      <c r="D217" s="12" t="s">
        <v>63</v>
      </c>
      <c r="E217" s="12" t="s">
        <v>68</v>
      </c>
      <c r="F217" s="12" t="s">
        <v>68</v>
      </c>
      <c r="G217" s="12"/>
      <c r="H217" s="12" t="s">
        <v>66</v>
      </c>
      <c r="I217" s="12" t="s">
        <v>1292</v>
      </c>
      <c r="J217" s="34" t="s">
        <v>68</v>
      </c>
      <c r="K217" s="12"/>
      <c r="L217" s="13" t="s">
        <v>2876</v>
      </c>
      <c r="M217" s="12" t="s">
        <v>68</v>
      </c>
      <c r="N217" s="182"/>
      <c r="O217" s="12" t="s">
        <v>2520</v>
      </c>
      <c r="P217" s="12" t="s">
        <v>298</v>
      </c>
      <c r="Q217" s="12" t="s">
        <v>3452</v>
      </c>
      <c r="R217" s="12">
        <v>554250</v>
      </c>
      <c r="S217" s="12" t="s">
        <v>3453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75</v>
      </c>
      <c r="Z217" s="12"/>
      <c r="AA217" s="12" t="s">
        <v>85</v>
      </c>
      <c r="AB217" s="13" t="s">
        <v>967</v>
      </c>
      <c r="AC217" s="14">
        <v>45925</v>
      </c>
      <c r="AD217" s="15">
        <v>39</v>
      </c>
      <c r="AE217" s="176" t="s">
        <v>3459</v>
      </c>
      <c r="AF217" s="12">
        <v>371008962</v>
      </c>
      <c r="AG217" s="12" t="s">
        <v>288</v>
      </c>
      <c r="AH217" s="12" t="s">
        <v>456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66</v>
      </c>
      <c r="AP217" s="12" t="s">
        <v>3460</v>
      </c>
      <c r="AQ217" s="12"/>
      <c r="AR217" s="12" t="s">
        <v>3461</v>
      </c>
      <c r="AS217" s="12" t="s">
        <v>3462</v>
      </c>
      <c r="AT217" s="12" t="s">
        <v>3462</v>
      </c>
      <c r="AU217" s="12">
        <v>35</v>
      </c>
      <c r="AV217" s="12" t="s">
        <v>83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2525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10">
      <c r="A218" s="11" t="s">
        <v>3463</v>
      </c>
      <c r="B218" s="12" t="s">
        <v>111</v>
      </c>
      <c r="C218" s="12" t="s">
        <v>203</v>
      </c>
      <c r="D218" s="12" t="s">
        <v>63</v>
      </c>
      <c r="E218" s="12" t="s">
        <v>64</v>
      </c>
      <c r="F218" s="12" t="s">
        <v>65</v>
      </c>
      <c r="G218" s="12" t="s">
        <v>67</v>
      </c>
      <c r="H218" s="12" t="s">
        <v>66</v>
      </c>
      <c r="I218" s="12" t="s">
        <v>96</v>
      </c>
      <c r="J218" s="34" t="s">
        <v>68</v>
      </c>
      <c r="K218" s="12"/>
      <c r="L218" s="13" t="s">
        <v>2519</v>
      </c>
      <c r="M218" s="213" t="s">
        <v>68</v>
      </c>
      <c r="N218" s="182"/>
      <c r="O218" s="12" t="s">
        <v>2520</v>
      </c>
      <c r="P218" s="12" t="s">
        <v>473</v>
      </c>
      <c r="Q218" s="12" t="s">
        <v>763</v>
      </c>
      <c r="R218" s="12">
        <v>553146</v>
      </c>
      <c r="S218" s="12" t="s">
        <v>764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75</v>
      </c>
      <c r="Z218" s="12"/>
      <c r="AA218" s="12" t="s">
        <v>85</v>
      </c>
      <c r="AB218" s="13" t="s">
        <v>967</v>
      </c>
      <c r="AC218" s="14">
        <v>45928</v>
      </c>
      <c r="AD218" s="15">
        <v>39</v>
      </c>
      <c r="AE218" s="176" t="s">
        <v>3464</v>
      </c>
      <c r="AF218" s="12">
        <v>371008982</v>
      </c>
      <c r="AG218" s="12" t="s">
        <v>122</v>
      </c>
      <c r="AH218" s="12" t="s">
        <v>78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66</v>
      </c>
      <c r="AP218" s="12" t="s">
        <v>3465</v>
      </c>
      <c r="AQ218" s="12"/>
      <c r="AR218" s="12" t="s">
        <v>3466</v>
      </c>
      <c r="AS218" s="12" t="s">
        <v>3467</v>
      </c>
      <c r="AT218" s="12" t="s">
        <v>3467</v>
      </c>
      <c r="AU218" s="12">
        <v>51</v>
      </c>
      <c r="AV218" s="12" t="s">
        <v>83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2525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10">
      <c r="A219" s="11" t="s">
        <v>3374</v>
      </c>
      <c r="B219" s="12" t="s">
        <v>111</v>
      </c>
      <c r="C219" s="12" t="s">
        <v>203</v>
      </c>
      <c r="D219" s="12" t="s">
        <v>63</v>
      </c>
      <c r="E219" s="12" t="s">
        <v>68</v>
      </c>
      <c r="F219" s="12" t="s">
        <v>68</v>
      </c>
      <c r="G219" s="12"/>
      <c r="H219" s="12" t="s">
        <v>66</v>
      </c>
      <c r="I219" s="12" t="s">
        <v>1292</v>
      </c>
      <c r="J219" s="34" t="s">
        <v>68</v>
      </c>
      <c r="K219" s="12"/>
      <c r="L219" s="13" t="s">
        <v>2876</v>
      </c>
      <c r="M219" s="12" t="s">
        <v>68</v>
      </c>
      <c r="N219" s="182"/>
      <c r="O219" s="12" t="s">
        <v>2520</v>
      </c>
      <c r="P219" s="12" t="s">
        <v>473</v>
      </c>
      <c r="Q219" s="12" t="s">
        <v>529</v>
      </c>
      <c r="R219" s="12">
        <v>553145</v>
      </c>
      <c r="S219" s="12" t="s">
        <v>530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75</v>
      </c>
      <c r="Z219" s="12"/>
      <c r="AA219" s="12" t="s">
        <v>85</v>
      </c>
      <c r="AB219" s="13" t="s">
        <v>967</v>
      </c>
      <c r="AC219" s="14">
        <v>45924</v>
      </c>
      <c r="AD219" s="15">
        <v>39</v>
      </c>
      <c r="AE219" s="176" t="s">
        <v>3468</v>
      </c>
      <c r="AF219" s="12">
        <v>371008983</v>
      </c>
      <c r="AG219" s="12" t="s">
        <v>122</v>
      </c>
      <c r="AH219" s="12" t="s">
        <v>456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66</v>
      </c>
      <c r="AP219" s="12" t="s">
        <v>3469</v>
      </c>
      <c r="AQ219" s="12"/>
      <c r="AR219" s="12" t="s">
        <v>3470</v>
      </c>
      <c r="AS219" s="12" t="s">
        <v>3471</v>
      </c>
      <c r="AT219" s="12" t="s">
        <v>3471</v>
      </c>
      <c r="AU219" s="12">
        <v>44</v>
      </c>
      <c r="AV219" s="12" t="s">
        <v>83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2525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10">
      <c r="A220" s="11" t="s">
        <v>3472</v>
      </c>
      <c r="B220" s="12" t="s">
        <v>111</v>
      </c>
      <c r="C220" s="12" t="s">
        <v>3374</v>
      </c>
      <c r="D220" s="12" t="s">
        <v>63</v>
      </c>
      <c r="E220" s="12" t="s">
        <v>68</v>
      </c>
      <c r="F220" s="12" t="s">
        <v>68</v>
      </c>
      <c r="G220" s="12"/>
      <c r="H220" s="12" t="s">
        <v>66</v>
      </c>
      <c r="I220" s="12" t="s">
        <v>1342</v>
      </c>
      <c r="J220" s="34" t="s">
        <v>68</v>
      </c>
      <c r="K220" s="12"/>
      <c r="L220" s="13" t="s">
        <v>2542</v>
      </c>
      <c r="M220" s="12" t="s">
        <v>68</v>
      </c>
      <c r="N220" s="182"/>
      <c r="O220" s="12" t="s">
        <v>2520</v>
      </c>
      <c r="P220" s="12" t="s">
        <v>473</v>
      </c>
      <c r="Q220" s="12" t="s">
        <v>529</v>
      </c>
      <c r="R220" s="12">
        <v>553145</v>
      </c>
      <c r="S220" s="12" t="s">
        <v>530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75</v>
      </c>
      <c r="Z220" s="12"/>
      <c r="AA220" s="12" t="s">
        <v>85</v>
      </c>
      <c r="AB220" s="13" t="s">
        <v>967</v>
      </c>
      <c r="AC220" s="14">
        <v>45926</v>
      </c>
      <c r="AD220" s="15">
        <v>39</v>
      </c>
      <c r="AE220" s="176" t="s">
        <v>3473</v>
      </c>
      <c r="AF220" s="12">
        <v>371008937</v>
      </c>
      <c r="AG220" s="12" t="s">
        <v>122</v>
      </c>
      <c r="AH220" s="12" t="s">
        <v>314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66</v>
      </c>
      <c r="AP220" s="12" t="s">
        <v>3444</v>
      </c>
      <c r="AQ220" s="12"/>
      <c r="AR220" s="12" t="s">
        <v>3445</v>
      </c>
      <c r="AS220" s="12" t="s">
        <v>3446</v>
      </c>
      <c r="AT220" s="12" t="s">
        <v>3446</v>
      </c>
      <c r="AU220" s="12">
        <v>51</v>
      </c>
      <c r="AV220" s="12" t="s">
        <v>83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2525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10">
      <c r="A221" s="11" t="s">
        <v>3474</v>
      </c>
      <c r="B221" s="12" t="s">
        <v>111</v>
      </c>
      <c r="C221" s="12" t="s">
        <v>2928</v>
      </c>
      <c r="D221" s="12" t="s">
        <v>63</v>
      </c>
      <c r="E221" s="12" t="s">
        <v>68</v>
      </c>
      <c r="F221" s="12" t="s">
        <v>68</v>
      </c>
      <c r="G221" s="12"/>
      <c r="H221" s="12" t="s">
        <v>66</v>
      </c>
      <c r="I221" s="12" t="s">
        <v>1342</v>
      </c>
      <c r="J221" s="34" t="s">
        <v>68</v>
      </c>
      <c r="K221" s="12"/>
      <c r="L221" s="13" t="s">
        <v>2542</v>
      </c>
      <c r="M221" s="12" t="s">
        <v>68</v>
      </c>
      <c r="N221" s="182"/>
      <c r="O221" s="12" t="s">
        <v>2520</v>
      </c>
      <c r="P221" s="12" t="s">
        <v>132</v>
      </c>
      <c r="Q221" s="12" t="s">
        <v>2929</v>
      </c>
      <c r="R221" s="12">
        <v>555076</v>
      </c>
      <c r="S221" s="12" t="s">
        <v>1300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75</v>
      </c>
      <c r="Z221" s="12"/>
      <c r="AA221" s="12" t="s">
        <v>108</v>
      </c>
      <c r="AB221" s="32" t="s">
        <v>992</v>
      </c>
      <c r="AC221" s="14">
        <v>45928</v>
      </c>
      <c r="AD221" s="15">
        <v>39</v>
      </c>
      <c r="AE221" s="176" t="s">
        <v>3475</v>
      </c>
      <c r="AF221" s="12">
        <v>371008997</v>
      </c>
      <c r="AG221" s="12" t="s">
        <v>122</v>
      </c>
      <c r="AH221" s="12" t="s">
        <v>314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66</v>
      </c>
      <c r="AP221" s="12" t="s">
        <v>3431</v>
      </c>
      <c r="AQ221" s="12"/>
      <c r="AR221" s="12" t="s">
        <v>3476</v>
      </c>
      <c r="AS221" s="12" t="s">
        <v>3477</v>
      </c>
      <c r="AT221" s="12" t="s">
        <v>3477</v>
      </c>
      <c r="AU221" s="12">
        <v>48</v>
      </c>
      <c r="AV221" s="12" t="s">
        <v>83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2525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10">
      <c r="A222" s="11" t="s">
        <v>3478</v>
      </c>
      <c r="B222" s="12" t="s">
        <v>111</v>
      </c>
      <c r="C222" s="12" t="s">
        <v>2928</v>
      </c>
      <c r="D222" s="12" t="s">
        <v>63</v>
      </c>
      <c r="E222" s="12" t="s">
        <v>68</v>
      </c>
      <c r="F222" s="12" t="s">
        <v>68</v>
      </c>
      <c r="G222" s="12"/>
      <c r="H222" s="12" t="s">
        <v>66</v>
      </c>
      <c r="I222" s="12" t="s">
        <v>1342</v>
      </c>
      <c r="J222" s="34" t="s">
        <v>68</v>
      </c>
      <c r="K222" s="12"/>
      <c r="L222" s="13" t="s">
        <v>2542</v>
      </c>
      <c r="M222" s="12" t="s">
        <v>68</v>
      </c>
      <c r="N222" s="182"/>
      <c r="O222" s="12" t="s">
        <v>2520</v>
      </c>
      <c r="P222" s="12" t="s">
        <v>132</v>
      </c>
      <c r="Q222" s="12" t="s">
        <v>2929</v>
      </c>
      <c r="R222" s="12">
        <v>555076</v>
      </c>
      <c r="S222" s="12" t="s">
        <v>1300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75</v>
      </c>
      <c r="Z222" s="12"/>
      <c r="AA222" s="12" t="s">
        <v>108</v>
      </c>
      <c r="AB222" s="32" t="s">
        <v>992</v>
      </c>
      <c r="AC222" s="14">
        <v>45927</v>
      </c>
      <c r="AD222" s="15">
        <v>39</v>
      </c>
      <c r="AE222" s="176" t="s">
        <v>3479</v>
      </c>
      <c r="AF222" s="12">
        <v>371008998</v>
      </c>
      <c r="AG222" s="12" t="s">
        <v>122</v>
      </c>
      <c r="AH222" s="12" t="s">
        <v>314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66</v>
      </c>
      <c r="AP222" s="12" t="s">
        <v>3431</v>
      </c>
      <c r="AQ222" s="12"/>
      <c r="AR222" s="12" t="s">
        <v>3432</v>
      </c>
      <c r="AS222" s="12" t="s">
        <v>3433</v>
      </c>
      <c r="AT222" s="12" t="s">
        <v>3433</v>
      </c>
      <c r="AU222" s="12">
        <v>48</v>
      </c>
      <c r="AV222" s="12" t="s">
        <v>83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2525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10">
      <c r="A223" s="11" t="s">
        <v>2588</v>
      </c>
      <c r="B223" s="12" t="s">
        <v>61</v>
      </c>
      <c r="C223" s="12" t="s">
        <v>203</v>
      </c>
      <c r="D223" s="12" t="s">
        <v>63</v>
      </c>
      <c r="E223" s="12" t="s">
        <v>68</v>
      </c>
      <c r="F223" s="12" t="s">
        <v>68</v>
      </c>
      <c r="G223" s="12"/>
      <c r="H223" s="12" t="s">
        <v>66</v>
      </c>
      <c r="I223" s="12" t="s">
        <v>1559</v>
      </c>
      <c r="J223" s="34" t="s">
        <v>68</v>
      </c>
      <c r="K223" s="12"/>
      <c r="L223" s="13" t="s">
        <v>2542</v>
      </c>
      <c r="M223" s="12" t="s">
        <v>68</v>
      </c>
      <c r="N223" s="182"/>
      <c r="O223" s="12" t="s">
        <v>2520</v>
      </c>
      <c r="P223" s="12" t="s">
        <v>70</v>
      </c>
      <c r="Q223" s="12" t="s">
        <v>102</v>
      </c>
      <c r="R223" s="12">
        <v>554245</v>
      </c>
      <c r="S223" s="12" t="s">
        <v>103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75</v>
      </c>
      <c r="Z223" s="12"/>
      <c r="AA223" s="12" t="s">
        <v>108</v>
      </c>
      <c r="AB223" s="32" t="s">
        <v>967</v>
      </c>
      <c r="AC223" s="14">
        <v>45926</v>
      </c>
      <c r="AD223" s="15">
        <v>39</v>
      </c>
      <c r="AE223" s="176" t="s">
        <v>3480</v>
      </c>
      <c r="AF223" s="12">
        <v>371008956</v>
      </c>
      <c r="AG223" s="12" t="s">
        <v>122</v>
      </c>
      <c r="AH223" s="12" t="s">
        <v>1561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66</v>
      </c>
      <c r="AP223" s="12" t="s">
        <v>3444</v>
      </c>
      <c r="AQ223" s="12"/>
      <c r="AR223" s="12" t="s">
        <v>3481</v>
      </c>
      <c r="AS223" s="12" t="s">
        <v>3482</v>
      </c>
      <c r="AT223" s="12" t="s">
        <v>3482</v>
      </c>
      <c r="AU223" s="12">
        <v>52</v>
      </c>
      <c r="AV223" s="12" t="s">
        <v>83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2525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10">
      <c r="A224" s="11" t="s">
        <v>2548</v>
      </c>
      <c r="B224" s="12" t="s">
        <v>111</v>
      </c>
      <c r="C224" s="12" t="s">
        <v>203</v>
      </c>
      <c r="D224" s="12" t="s">
        <v>63</v>
      </c>
      <c r="E224" s="12" t="s">
        <v>68</v>
      </c>
      <c r="F224" s="12" t="s">
        <v>68</v>
      </c>
      <c r="G224" s="12"/>
      <c r="H224" s="12" t="s">
        <v>66</v>
      </c>
      <c r="I224" s="12" t="s">
        <v>1342</v>
      </c>
      <c r="J224" s="34" t="s">
        <v>68</v>
      </c>
      <c r="K224" s="12"/>
      <c r="L224" s="13" t="s">
        <v>2542</v>
      </c>
      <c r="M224" s="12" t="s">
        <v>68</v>
      </c>
      <c r="N224" s="182"/>
      <c r="O224" s="12" t="s">
        <v>2520</v>
      </c>
      <c r="P224" s="12" t="s">
        <v>132</v>
      </c>
      <c r="Q224" s="12" t="s">
        <v>1104</v>
      </c>
      <c r="R224" s="12">
        <v>554431</v>
      </c>
      <c r="S224" s="12" t="s">
        <v>1105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75</v>
      </c>
      <c r="Z224" s="12"/>
      <c r="AA224" s="12" t="s">
        <v>108</v>
      </c>
      <c r="AB224" s="13" t="s">
        <v>992</v>
      </c>
      <c r="AC224" s="14">
        <v>45926</v>
      </c>
      <c r="AD224" s="15">
        <v>39</v>
      </c>
      <c r="AE224" s="176" t="s">
        <v>3483</v>
      </c>
      <c r="AF224" s="12">
        <v>371008955</v>
      </c>
      <c r="AG224" s="12" t="s">
        <v>122</v>
      </c>
      <c r="AH224" s="12" t="s">
        <v>314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66</v>
      </c>
      <c r="AP224" s="12" t="s">
        <v>3444</v>
      </c>
      <c r="AQ224" s="12"/>
      <c r="AR224" s="12" t="s">
        <v>3484</v>
      </c>
      <c r="AS224" s="12" t="s">
        <v>3485</v>
      </c>
      <c r="AT224" s="12" t="s">
        <v>3485</v>
      </c>
      <c r="AU224" s="12">
        <v>51</v>
      </c>
      <c r="AV224" s="12" t="s">
        <v>83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2525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10">
      <c r="A225" s="11" t="s">
        <v>3486</v>
      </c>
      <c r="B225" s="12" t="s">
        <v>296</v>
      </c>
      <c r="C225" s="12" t="s">
        <v>3487</v>
      </c>
      <c r="D225" s="12" t="s">
        <v>63</v>
      </c>
      <c r="E225" s="12" t="s">
        <v>64</v>
      </c>
      <c r="F225" s="12" t="s">
        <v>100</v>
      </c>
      <c r="G225" s="12" t="s">
        <v>67</v>
      </c>
      <c r="H225" s="12" t="s">
        <v>66</v>
      </c>
      <c r="I225" s="12" t="s">
        <v>96</v>
      </c>
      <c r="J225" s="34" t="s">
        <v>68</v>
      </c>
      <c r="K225" s="12"/>
      <c r="L225" s="13" t="s">
        <v>2519</v>
      </c>
      <c r="M225" s="213" t="s">
        <v>68</v>
      </c>
      <c r="N225" s="182"/>
      <c r="O225" s="12" t="s">
        <v>2520</v>
      </c>
      <c r="P225" s="12" t="s">
        <v>298</v>
      </c>
      <c r="Q225" s="12" t="s">
        <v>3488</v>
      </c>
      <c r="R225" s="12">
        <v>554249</v>
      </c>
      <c r="S225" s="12" t="s">
        <v>3489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75</v>
      </c>
      <c r="Z225" s="12"/>
      <c r="AA225" s="12" t="s">
        <v>85</v>
      </c>
      <c r="AB225" s="13" t="s">
        <v>967</v>
      </c>
      <c r="AC225" s="14">
        <v>45925</v>
      </c>
      <c r="AD225" s="15">
        <v>39</v>
      </c>
      <c r="AE225" s="176" t="s">
        <v>3490</v>
      </c>
      <c r="AF225" s="12">
        <v>371008980</v>
      </c>
      <c r="AG225" s="12" t="s">
        <v>288</v>
      </c>
      <c r="AH225" s="12" t="s">
        <v>105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66</v>
      </c>
      <c r="AP225" s="12" t="s">
        <v>3491</v>
      </c>
      <c r="AQ225" s="12"/>
      <c r="AR225" s="12" t="s">
        <v>3492</v>
      </c>
      <c r="AS225" s="12" t="s">
        <v>3493</v>
      </c>
      <c r="AT225" s="12" t="s">
        <v>3493</v>
      </c>
      <c r="AU225" s="12">
        <v>34</v>
      </c>
      <c r="AV225" s="12" t="s">
        <v>83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2525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10">
      <c r="A226" s="11" t="s">
        <v>2742</v>
      </c>
      <c r="B226" s="12" t="s">
        <v>111</v>
      </c>
      <c r="C226" s="12" t="s">
        <v>203</v>
      </c>
      <c r="D226" s="12" t="s">
        <v>63</v>
      </c>
      <c r="E226" s="12" t="s">
        <v>64</v>
      </c>
      <c r="F226" s="12" t="s">
        <v>65</v>
      </c>
      <c r="G226" s="12" t="s">
        <v>67</v>
      </c>
      <c r="H226" s="12" t="s">
        <v>66</v>
      </c>
      <c r="I226" s="12" t="s">
        <v>96</v>
      </c>
      <c r="J226" s="34" t="s">
        <v>68</v>
      </c>
      <c r="K226" s="12"/>
      <c r="L226" s="13" t="s">
        <v>2519</v>
      </c>
      <c r="M226" s="213" t="s">
        <v>68</v>
      </c>
      <c r="N226" s="182"/>
      <c r="O226" s="12" t="s">
        <v>2520</v>
      </c>
      <c r="P226" s="12" t="s">
        <v>550</v>
      </c>
      <c r="Q226" s="12" t="s">
        <v>2744</v>
      </c>
      <c r="R226" s="12">
        <v>553120</v>
      </c>
      <c r="S226" s="12" t="s">
        <v>2745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75</v>
      </c>
      <c r="Z226" s="12"/>
      <c r="AA226" s="12" t="s">
        <v>85</v>
      </c>
      <c r="AB226" s="13" t="s">
        <v>2136</v>
      </c>
      <c r="AC226" s="14">
        <v>45930</v>
      </c>
      <c r="AD226" s="15">
        <v>40</v>
      </c>
      <c r="AE226" s="176" t="s">
        <v>3494</v>
      </c>
      <c r="AF226" s="12">
        <v>371008984</v>
      </c>
      <c r="AG226" s="12" t="s">
        <v>122</v>
      </c>
      <c r="AH226" s="12" t="s">
        <v>78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66</v>
      </c>
      <c r="AP226" s="12" t="s">
        <v>3465</v>
      </c>
      <c r="AQ226" s="12"/>
      <c r="AR226" s="12" t="s">
        <v>3495</v>
      </c>
      <c r="AS226" s="12" t="s">
        <v>3496</v>
      </c>
      <c r="AT226" s="12" t="s">
        <v>3496</v>
      </c>
      <c r="AU226" s="12">
        <v>51</v>
      </c>
      <c r="AV226" s="12" t="s">
        <v>83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2525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10">
      <c r="A227" s="11" t="s">
        <v>3497</v>
      </c>
      <c r="B227" s="12" t="s">
        <v>111</v>
      </c>
      <c r="C227" s="12" t="s">
        <v>3193</v>
      </c>
      <c r="D227" s="12" t="s">
        <v>63</v>
      </c>
      <c r="E227" s="12" t="s">
        <v>64</v>
      </c>
      <c r="F227" s="12" t="s">
        <v>65</v>
      </c>
      <c r="G227" s="12" t="s">
        <v>67</v>
      </c>
      <c r="H227" s="12" t="s">
        <v>66</v>
      </c>
      <c r="I227" s="12" t="s">
        <v>96</v>
      </c>
      <c r="J227" s="34" t="s">
        <v>68</v>
      </c>
      <c r="K227" s="12"/>
      <c r="L227" s="13" t="s">
        <v>2519</v>
      </c>
      <c r="M227" s="213" t="s">
        <v>68</v>
      </c>
      <c r="N227" s="182"/>
      <c r="O227" s="12" t="s">
        <v>2520</v>
      </c>
      <c r="P227" s="12" t="s">
        <v>170</v>
      </c>
      <c r="Q227" s="12" t="s">
        <v>171</v>
      </c>
      <c r="R227" s="12">
        <v>552045</v>
      </c>
      <c r="S227" s="12" t="s">
        <v>172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75</v>
      </c>
      <c r="Z227" s="12"/>
      <c r="AA227" s="12" t="s">
        <v>108</v>
      </c>
      <c r="AB227" s="13" t="s">
        <v>992</v>
      </c>
      <c r="AC227" s="14">
        <v>45929</v>
      </c>
      <c r="AD227" s="15">
        <v>40</v>
      </c>
      <c r="AE227" s="288" t="s">
        <v>3498</v>
      </c>
      <c r="AF227" s="12">
        <v>371008986</v>
      </c>
      <c r="AG227" s="12" t="s">
        <v>122</v>
      </c>
      <c r="AH227" s="12" t="s">
        <v>78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66</v>
      </c>
      <c r="AP227" s="12" t="s">
        <v>3499</v>
      </c>
      <c r="AQ227" s="12"/>
      <c r="AR227" s="12" t="s">
        <v>3500</v>
      </c>
      <c r="AS227" s="12" t="s">
        <v>3501</v>
      </c>
      <c r="AT227" s="12" t="s">
        <v>3501</v>
      </c>
      <c r="AU227" s="12">
        <v>57</v>
      </c>
      <c r="AV227" s="12" t="s">
        <v>83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2525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10">
      <c r="A228" s="11" t="s">
        <v>3502</v>
      </c>
      <c r="B228" s="12" t="s">
        <v>111</v>
      </c>
      <c r="C228" s="12" t="s">
        <v>548</v>
      </c>
      <c r="D228" s="12" t="s">
        <v>63</v>
      </c>
      <c r="E228" s="12" t="s">
        <v>64</v>
      </c>
      <c r="F228" s="12" t="s">
        <v>65</v>
      </c>
      <c r="G228" s="12" t="s">
        <v>67</v>
      </c>
      <c r="H228" s="12" t="s">
        <v>66</v>
      </c>
      <c r="I228" s="12" t="s">
        <v>96</v>
      </c>
      <c r="J228" s="34" t="s">
        <v>68</v>
      </c>
      <c r="K228" s="12"/>
      <c r="L228" s="13" t="s">
        <v>2519</v>
      </c>
      <c r="M228" s="213" t="s">
        <v>68</v>
      </c>
      <c r="N228" s="182"/>
      <c r="O228" s="12" t="s">
        <v>2520</v>
      </c>
      <c r="P228" s="12" t="s">
        <v>550</v>
      </c>
      <c r="Q228" s="12" t="s">
        <v>551</v>
      </c>
      <c r="R228" s="12">
        <v>553118</v>
      </c>
      <c r="S228" s="12" t="s">
        <v>552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75</v>
      </c>
      <c r="Z228" s="12"/>
      <c r="AA228" s="12" t="s">
        <v>85</v>
      </c>
      <c r="AB228" s="13" t="s">
        <v>2136</v>
      </c>
      <c r="AC228" s="14">
        <v>45929</v>
      </c>
      <c r="AD228" s="15">
        <v>40</v>
      </c>
      <c r="AE228" s="176" t="s">
        <v>3503</v>
      </c>
      <c r="AF228" s="12">
        <v>371008985</v>
      </c>
      <c r="AG228" s="12" t="s">
        <v>122</v>
      </c>
      <c r="AH228" s="12" t="s">
        <v>78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66</v>
      </c>
      <c r="AP228" s="12" t="s">
        <v>3499</v>
      </c>
      <c r="AQ228" s="12"/>
      <c r="AR228" s="12" t="s">
        <v>3500</v>
      </c>
      <c r="AS228" s="12" t="s">
        <v>3501</v>
      </c>
      <c r="AT228" s="12" t="s">
        <v>3501</v>
      </c>
      <c r="AU228" s="12">
        <v>57</v>
      </c>
      <c r="AV228" s="12" t="s">
        <v>83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2525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10">
      <c r="A229" s="11" t="s">
        <v>3504</v>
      </c>
      <c r="B229" s="12" t="s">
        <v>111</v>
      </c>
      <c r="C229" s="12" t="s">
        <v>3438</v>
      </c>
      <c r="D229" s="12" t="s">
        <v>63</v>
      </c>
      <c r="E229" s="12" t="s">
        <v>68</v>
      </c>
      <c r="F229" s="12" t="s">
        <v>68</v>
      </c>
      <c r="G229" s="12"/>
      <c r="H229" s="12" t="s">
        <v>66</v>
      </c>
      <c r="I229" s="12" t="s">
        <v>1559</v>
      </c>
      <c r="J229" s="34" t="s">
        <v>68</v>
      </c>
      <c r="K229" s="12"/>
      <c r="L229" s="13" t="s">
        <v>2542</v>
      </c>
      <c r="M229" s="12" t="s">
        <v>68</v>
      </c>
      <c r="N229" s="182"/>
      <c r="O229" s="12" t="s">
        <v>2520</v>
      </c>
      <c r="P229" s="12" t="s">
        <v>132</v>
      </c>
      <c r="Q229" s="12" t="s">
        <v>453</v>
      </c>
      <c r="R229" s="12">
        <v>554541</v>
      </c>
      <c r="S229" s="12" t="s">
        <v>454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75</v>
      </c>
      <c r="Z229" s="12"/>
      <c r="AA229" s="12" t="s">
        <v>108</v>
      </c>
      <c r="AB229" s="32" t="s">
        <v>967</v>
      </c>
      <c r="AC229" s="14">
        <v>45929</v>
      </c>
      <c r="AD229" s="15">
        <v>40</v>
      </c>
      <c r="AE229" s="176" t="s">
        <v>3505</v>
      </c>
      <c r="AF229" s="12">
        <v>371008990</v>
      </c>
      <c r="AG229" s="12" t="s">
        <v>122</v>
      </c>
      <c r="AH229" s="12" t="s">
        <v>1561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66</v>
      </c>
      <c r="AP229" s="12" t="s">
        <v>3499</v>
      </c>
      <c r="AQ229" s="12"/>
      <c r="AR229" s="12" t="s">
        <v>3506</v>
      </c>
      <c r="AS229" s="12" t="s">
        <v>3507</v>
      </c>
      <c r="AT229" s="12" t="s">
        <v>3507</v>
      </c>
      <c r="AU229" s="12">
        <v>50</v>
      </c>
      <c r="AV229" s="12" t="s">
        <v>83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2525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10">
      <c r="A230" s="11" t="s">
        <v>3508</v>
      </c>
      <c r="B230" s="12" t="s">
        <v>111</v>
      </c>
      <c r="C230" s="12" t="s">
        <v>3193</v>
      </c>
      <c r="D230" s="12" t="s">
        <v>63</v>
      </c>
      <c r="E230" s="12" t="s">
        <v>68</v>
      </c>
      <c r="F230" s="12" t="s">
        <v>68</v>
      </c>
      <c r="G230" s="12"/>
      <c r="H230" s="12" t="s">
        <v>66</v>
      </c>
      <c r="I230" s="12" t="s">
        <v>1559</v>
      </c>
      <c r="J230" s="34" t="s">
        <v>68</v>
      </c>
      <c r="K230" s="12"/>
      <c r="L230" s="13" t="s">
        <v>2542</v>
      </c>
      <c r="M230" s="12" t="s">
        <v>68</v>
      </c>
      <c r="N230" s="182"/>
      <c r="O230" s="12" t="s">
        <v>2520</v>
      </c>
      <c r="P230" s="12" t="s">
        <v>170</v>
      </c>
      <c r="Q230" s="12" t="s">
        <v>171</v>
      </c>
      <c r="R230" s="12">
        <v>552045</v>
      </c>
      <c r="S230" s="12" t="s">
        <v>172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75</v>
      </c>
      <c r="Z230" s="12"/>
      <c r="AA230" s="12" t="s">
        <v>108</v>
      </c>
      <c r="AB230" s="13" t="s">
        <v>992</v>
      </c>
      <c r="AC230" s="14">
        <v>45930</v>
      </c>
      <c r="AD230" s="15">
        <v>40</v>
      </c>
      <c r="AE230" s="176" t="s">
        <v>3509</v>
      </c>
      <c r="AF230" s="12">
        <v>371008978</v>
      </c>
      <c r="AG230" s="12" t="s">
        <v>122</v>
      </c>
      <c r="AH230" s="12" t="s">
        <v>1561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66</v>
      </c>
      <c r="AP230" s="12" t="s">
        <v>3499</v>
      </c>
      <c r="AQ230" s="12"/>
      <c r="AR230" s="12" t="s">
        <v>3510</v>
      </c>
      <c r="AS230" s="12" t="s">
        <v>3511</v>
      </c>
      <c r="AT230" s="12" t="s">
        <v>3511</v>
      </c>
      <c r="AU230" s="12">
        <v>50</v>
      </c>
      <c r="AV230" s="12" t="s">
        <v>83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2525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10">
      <c r="A231" s="11" t="s">
        <v>3512</v>
      </c>
      <c r="B231" s="12" t="s">
        <v>111</v>
      </c>
      <c r="C231" s="12" t="s">
        <v>3193</v>
      </c>
      <c r="D231" s="12" t="s">
        <v>63</v>
      </c>
      <c r="E231" s="12" t="s">
        <v>68</v>
      </c>
      <c r="F231" s="12" t="s">
        <v>68</v>
      </c>
      <c r="G231" s="12"/>
      <c r="H231" s="12" t="s">
        <v>66</v>
      </c>
      <c r="I231" s="12" t="s">
        <v>1342</v>
      </c>
      <c r="J231" s="34" t="s">
        <v>68</v>
      </c>
      <c r="K231" s="12"/>
      <c r="L231" s="13" t="s">
        <v>2542</v>
      </c>
      <c r="M231" s="12" t="s">
        <v>68</v>
      </c>
      <c r="N231" s="182"/>
      <c r="O231" s="12" t="s">
        <v>2520</v>
      </c>
      <c r="P231" s="12" t="s">
        <v>170</v>
      </c>
      <c r="Q231" s="12" t="s">
        <v>171</v>
      </c>
      <c r="R231" s="12">
        <v>552045</v>
      </c>
      <c r="S231" s="12" t="s">
        <v>172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75</v>
      </c>
      <c r="Z231" s="12"/>
      <c r="AA231" s="12" t="s">
        <v>108</v>
      </c>
      <c r="AB231" s="13" t="s">
        <v>992</v>
      </c>
      <c r="AC231" s="14">
        <v>45930</v>
      </c>
      <c r="AD231" s="15">
        <v>40</v>
      </c>
      <c r="AE231" s="176" t="s">
        <v>3513</v>
      </c>
      <c r="AF231" s="12">
        <v>371008979</v>
      </c>
      <c r="AG231" s="12" t="s">
        <v>122</v>
      </c>
      <c r="AH231" s="12" t="s">
        <v>314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66</v>
      </c>
      <c r="AP231" s="12" t="s">
        <v>3431</v>
      </c>
      <c r="AQ231" s="12"/>
      <c r="AR231" s="12" t="s">
        <v>3476</v>
      </c>
      <c r="AS231" s="12" t="s">
        <v>3477</v>
      </c>
      <c r="AT231" s="12" t="s">
        <v>3477</v>
      </c>
      <c r="AU231" s="12">
        <v>48</v>
      </c>
      <c r="AV231" s="12" t="s">
        <v>83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2525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10">
      <c r="A232" s="11" t="s">
        <v>3514</v>
      </c>
      <c r="B232" s="12" t="s">
        <v>296</v>
      </c>
      <c r="C232" s="12" t="s">
        <v>3487</v>
      </c>
      <c r="D232" s="12" t="s">
        <v>63</v>
      </c>
      <c r="E232" s="12" t="s">
        <v>68</v>
      </c>
      <c r="F232" s="12" t="s">
        <v>68</v>
      </c>
      <c r="G232" s="12"/>
      <c r="H232" s="12" t="s">
        <v>66</v>
      </c>
      <c r="I232" s="12" t="s">
        <v>1342</v>
      </c>
      <c r="J232" s="34" t="s">
        <v>68</v>
      </c>
      <c r="K232" s="12"/>
      <c r="L232" s="13" t="s">
        <v>2542</v>
      </c>
      <c r="M232" s="12" t="s">
        <v>68</v>
      </c>
      <c r="N232" s="182"/>
      <c r="O232" s="12" t="s">
        <v>2520</v>
      </c>
      <c r="P232" s="12" t="s">
        <v>298</v>
      </c>
      <c r="Q232" s="12" t="s">
        <v>3488</v>
      </c>
      <c r="R232" s="12">
        <v>554249</v>
      </c>
      <c r="S232" s="12" t="s">
        <v>3489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75</v>
      </c>
      <c r="Z232" s="12"/>
      <c r="AA232" s="12" t="s">
        <v>85</v>
      </c>
      <c r="AB232" s="13" t="s">
        <v>967</v>
      </c>
      <c r="AC232" s="14">
        <v>45933</v>
      </c>
      <c r="AD232" s="15">
        <v>40</v>
      </c>
      <c r="AE232" s="176" t="s">
        <v>3515</v>
      </c>
      <c r="AF232" s="12">
        <v>371008960</v>
      </c>
      <c r="AG232" s="12" t="s">
        <v>288</v>
      </c>
      <c r="AH232" s="12" t="s">
        <v>314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66</v>
      </c>
      <c r="AP232" s="12" t="s">
        <v>3516</v>
      </c>
      <c r="AQ232" s="12"/>
      <c r="AR232" s="12" t="s">
        <v>3517</v>
      </c>
      <c r="AS232" s="12" t="s">
        <v>3518</v>
      </c>
      <c r="AT232" s="12" t="s">
        <v>3518</v>
      </c>
      <c r="AU232" s="12">
        <v>45</v>
      </c>
      <c r="AV232" s="12" t="s">
        <v>83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2525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10">
      <c r="A233" s="11" t="s">
        <v>3519</v>
      </c>
      <c r="B233" s="12" t="s">
        <v>296</v>
      </c>
      <c r="C233" s="12" t="s">
        <v>3487</v>
      </c>
      <c r="D233" s="12" t="s">
        <v>63</v>
      </c>
      <c r="E233" s="12" t="s">
        <v>68</v>
      </c>
      <c r="F233" s="12" t="s">
        <v>68</v>
      </c>
      <c r="G233" s="12"/>
      <c r="H233" s="12" t="s">
        <v>66</v>
      </c>
      <c r="I233" s="12" t="s">
        <v>1559</v>
      </c>
      <c r="J233" s="34" t="s">
        <v>68</v>
      </c>
      <c r="K233" s="12"/>
      <c r="L233" s="13" t="s">
        <v>2542</v>
      </c>
      <c r="M233" s="12" t="s">
        <v>68</v>
      </c>
      <c r="N233" s="182"/>
      <c r="O233" s="12" t="s">
        <v>2520</v>
      </c>
      <c r="P233" s="12" t="s">
        <v>298</v>
      </c>
      <c r="Q233" s="12" t="s">
        <v>3488</v>
      </c>
      <c r="R233" s="12">
        <v>554249</v>
      </c>
      <c r="S233" s="12" t="s">
        <v>3489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75</v>
      </c>
      <c r="Z233" s="12"/>
      <c r="AA233" s="12" t="s">
        <v>85</v>
      </c>
      <c r="AB233" s="13" t="s">
        <v>967</v>
      </c>
      <c r="AC233" s="14">
        <v>45933</v>
      </c>
      <c r="AD233" s="15">
        <v>40</v>
      </c>
      <c r="AE233" s="176" t="s">
        <v>3520</v>
      </c>
      <c r="AF233" s="12">
        <v>371008981</v>
      </c>
      <c r="AG233" s="12" t="s">
        <v>288</v>
      </c>
      <c r="AH233" s="12" t="s">
        <v>1561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66</v>
      </c>
      <c r="AP233" s="12" t="s">
        <v>3516</v>
      </c>
      <c r="AQ233" s="12"/>
      <c r="AR233" s="12" t="s">
        <v>3521</v>
      </c>
      <c r="AS233" s="12" t="s">
        <v>3522</v>
      </c>
      <c r="AT233" s="12" t="s">
        <v>3522</v>
      </c>
      <c r="AU233" s="12">
        <v>46</v>
      </c>
      <c r="AV233" s="12" t="s">
        <v>83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2525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10">
      <c r="A234" s="11" t="s">
        <v>3523</v>
      </c>
      <c r="B234" s="12" t="s">
        <v>111</v>
      </c>
      <c r="C234" s="12" t="s">
        <v>2800</v>
      </c>
      <c r="D234" s="12" t="s">
        <v>63</v>
      </c>
      <c r="E234" s="12" t="s">
        <v>68</v>
      </c>
      <c r="F234" s="12" t="s">
        <v>68</v>
      </c>
      <c r="G234" s="12"/>
      <c r="H234" s="12" t="s">
        <v>66</v>
      </c>
      <c r="I234" s="12" t="s">
        <v>2808</v>
      </c>
      <c r="J234" s="34" t="s">
        <v>68</v>
      </c>
      <c r="K234" s="12"/>
      <c r="L234" s="13" t="s">
        <v>2542</v>
      </c>
      <c r="M234" s="12" t="s">
        <v>68</v>
      </c>
      <c r="N234" s="182"/>
      <c r="O234" s="12" t="s">
        <v>2520</v>
      </c>
      <c r="P234" s="12" t="s">
        <v>70</v>
      </c>
      <c r="Q234" s="12" t="s">
        <v>1347</v>
      </c>
      <c r="R234" s="12">
        <v>554471</v>
      </c>
      <c r="S234" s="12" t="s">
        <v>1348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75</v>
      </c>
      <c r="Z234" s="12"/>
      <c r="AA234" s="12" t="s">
        <v>128</v>
      </c>
      <c r="AB234" s="32" t="s">
        <v>992</v>
      </c>
      <c r="AC234" s="14">
        <v>45942</v>
      </c>
      <c r="AD234" s="15">
        <v>41</v>
      </c>
      <c r="AE234" s="176" t="s">
        <v>3524</v>
      </c>
      <c r="AF234" s="12">
        <v>371009002</v>
      </c>
      <c r="AG234" s="12" t="s">
        <v>122</v>
      </c>
      <c r="AH234" s="12" t="s">
        <v>1561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66</v>
      </c>
      <c r="AP234" s="12" t="s">
        <v>3525</v>
      </c>
      <c r="AQ234" s="12"/>
      <c r="AR234" s="12" t="s">
        <v>3526</v>
      </c>
      <c r="AS234" s="12" t="s">
        <v>3527</v>
      </c>
      <c r="AT234" s="12" t="s">
        <v>3527</v>
      </c>
      <c r="AU234" s="12">
        <v>72</v>
      </c>
      <c r="AV234" s="12" t="s">
        <v>83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2525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10">
      <c r="A235" s="11" t="s">
        <v>3528</v>
      </c>
      <c r="B235" s="12" t="s">
        <v>111</v>
      </c>
      <c r="C235" s="12" t="s">
        <v>203</v>
      </c>
      <c r="D235" s="12" t="s">
        <v>63</v>
      </c>
      <c r="E235" s="12" t="s">
        <v>68</v>
      </c>
      <c r="F235" s="12" t="s">
        <v>68</v>
      </c>
      <c r="G235" s="12"/>
      <c r="H235" s="12" t="s">
        <v>66</v>
      </c>
      <c r="I235" s="12" t="s">
        <v>1559</v>
      </c>
      <c r="J235" s="34" t="s">
        <v>68</v>
      </c>
      <c r="K235" s="12"/>
      <c r="L235" s="13" t="s">
        <v>2542</v>
      </c>
      <c r="M235" s="12" t="s">
        <v>68</v>
      </c>
      <c r="N235" s="182"/>
      <c r="O235" s="12" t="s">
        <v>2520</v>
      </c>
      <c r="P235" s="12" t="s">
        <v>170</v>
      </c>
      <c r="Q235" s="12" t="s">
        <v>171</v>
      </c>
      <c r="R235" s="12">
        <v>552045</v>
      </c>
      <c r="S235" s="12" t="s">
        <v>172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75</v>
      </c>
      <c r="Z235" s="12"/>
      <c r="AA235" s="12" t="s">
        <v>108</v>
      </c>
      <c r="AB235" s="13" t="s">
        <v>992</v>
      </c>
      <c r="AC235" s="14">
        <v>45941</v>
      </c>
      <c r="AD235" s="15">
        <v>41</v>
      </c>
      <c r="AE235" s="176" t="s">
        <v>3529</v>
      </c>
      <c r="AF235" s="12">
        <v>371009011</v>
      </c>
      <c r="AG235" s="12" t="s">
        <v>122</v>
      </c>
      <c r="AH235" s="12" t="s">
        <v>1561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66</v>
      </c>
      <c r="AP235" s="12" t="s">
        <v>3525</v>
      </c>
      <c r="AQ235" s="12"/>
      <c r="AR235" s="12" t="s">
        <v>3526</v>
      </c>
      <c r="AS235" s="12" t="s">
        <v>3527</v>
      </c>
      <c r="AT235" s="12" t="s">
        <v>3527</v>
      </c>
      <c r="AU235" s="12">
        <v>72</v>
      </c>
      <c r="AV235" s="12" t="s">
        <v>83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2525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10">
      <c r="A236" s="11" t="s">
        <v>3193</v>
      </c>
      <c r="B236" s="12" t="s">
        <v>111</v>
      </c>
      <c r="C236" s="12" t="s">
        <v>203</v>
      </c>
      <c r="D236" s="12" t="s">
        <v>63</v>
      </c>
      <c r="E236" s="12" t="s">
        <v>68</v>
      </c>
      <c r="F236" s="12" t="s">
        <v>68</v>
      </c>
      <c r="G236" s="12"/>
      <c r="H236" s="12" t="s">
        <v>66</v>
      </c>
      <c r="I236" s="12" t="s">
        <v>1559</v>
      </c>
      <c r="J236" s="34" t="s">
        <v>68</v>
      </c>
      <c r="K236" s="12"/>
      <c r="L236" s="13" t="s">
        <v>2542</v>
      </c>
      <c r="M236" s="12" t="s">
        <v>68</v>
      </c>
      <c r="N236" s="182"/>
      <c r="O236" s="12" t="s">
        <v>2520</v>
      </c>
      <c r="P236" s="12" t="s">
        <v>170</v>
      </c>
      <c r="Q236" s="12" t="s">
        <v>171</v>
      </c>
      <c r="R236" s="12">
        <v>552045</v>
      </c>
      <c r="S236" s="12" t="s">
        <v>172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75</v>
      </c>
      <c r="Z236" s="12"/>
      <c r="AA236" s="12" t="s">
        <v>108</v>
      </c>
      <c r="AB236" s="13" t="s">
        <v>992</v>
      </c>
      <c r="AC236" s="14">
        <v>45941</v>
      </c>
      <c r="AD236" s="15">
        <v>41</v>
      </c>
      <c r="AE236" s="176" t="s">
        <v>3530</v>
      </c>
      <c r="AF236" s="12">
        <v>371009007</v>
      </c>
      <c r="AG236" s="12" t="s">
        <v>122</v>
      </c>
      <c r="AH236" s="12" t="s">
        <v>1561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66</v>
      </c>
      <c r="AP236" s="12" t="s">
        <v>3525</v>
      </c>
      <c r="AQ236" s="12"/>
      <c r="AR236" s="12" t="s">
        <v>3526</v>
      </c>
      <c r="AS236" s="12" t="s">
        <v>3527</v>
      </c>
      <c r="AT236" s="12" t="s">
        <v>3527</v>
      </c>
      <c r="AU236" s="12">
        <v>72</v>
      </c>
      <c r="AV236" s="12" t="s">
        <v>83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2525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10">
      <c r="A237" s="11" t="s">
        <v>3531</v>
      </c>
      <c r="B237" s="12" t="s">
        <v>111</v>
      </c>
      <c r="C237" s="12" t="s">
        <v>3193</v>
      </c>
      <c r="D237" s="12" t="s">
        <v>63</v>
      </c>
      <c r="E237" s="12" t="s">
        <v>64</v>
      </c>
      <c r="F237" s="12" t="s">
        <v>65</v>
      </c>
      <c r="G237" s="12" t="s">
        <v>67</v>
      </c>
      <c r="H237" s="12" t="s">
        <v>66</v>
      </c>
      <c r="I237" s="12" t="s">
        <v>96</v>
      </c>
      <c r="J237" s="34" t="s">
        <v>68</v>
      </c>
      <c r="K237" s="12"/>
      <c r="L237" s="13" t="s">
        <v>2519</v>
      </c>
      <c r="M237" s="213" t="s">
        <v>68</v>
      </c>
      <c r="N237" s="182"/>
      <c r="O237" s="12" t="s">
        <v>2520</v>
      </c>
      <c r="P237" s="12" t="s">
        <v>170</v>
      </c>
      <c r="Q237" s="12" t="s">
        <v>171</v>
      </c>
      <c r="R237" s="12">
        <v>552045</v>
      </c>
      <c r="S237" s="12" t="s">
        <v>172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75</v>
      </c>
      <c r="Z237" s="12"/>
      <c r="AA237" s="12" t="s">
        <v>108</v>
      </c>
      <c r="AB237" s="13" t="s">
        <v>992</v>
      </c>
      <c r="AC237" s="14">
        <v>45940</v>
      </c>
      <c r="AD237" s="15">
        <v>41</v>
      </c>
      <c r="AE237" s="288" t="s">
        <v>3532</v>
      </c>
      <c r="AF237" s="12">
        <v>371009006</v>
      </c>
      <c r="AG237" s="12" t="s">
        <v>122</v>
      </c>
      <c r="AH237" s="12" t="s">
        <v>78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66</v>
      </c>
      <c r="AP237" s="12" t="s">
        <v>3533</v>
      </c>
      <c r="AQ237" s="12"/>
      <c r="AR237" s="12" t="s">
        <v>3534</v>
      </c>
      <c r="AS237" s="12" t="s">
        <v>3535</v>
      </c>
      <c r="AT237" s="12" t="s">
        <v>3535</v>
      </c>
      <c r="AU237" s="12">
        <v>50</v>
      </c>
      <c r="AV237" s="12" t="s">
        <v>83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2525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10">
      <c r="A238" s="11" t="s">
        <v>3429</v>
      </c>
      <c r="B238" s="12" t="s">
        <v>111</v>
      </c>
      <c r="C238" s="12" t="s">
        <v>203</v>
      </c>
      <c r="D238" s="12" t="s">
        <v>63</v>
      </c>
      <c r="E238" s="12" t="s">
        <v>68</v>
      </c>
      <c r="F238" s="12" t="s">
        <v>68</v>
      </c>
      <c r="G238" s="12"/>
      <c r="H238" s="12" t="s">
        <v>66</v>
      </c>
      <c r="I238" s="12" t="s">
        <v>1342</v>
      </c>
      <c r="J238" s="34" t="s">
        <v>68</v>
      </c>
      <c r="K238" s="12"/>
      <c r="L238" s="13" t="s">
        <v>2542</v>
      </c>
      <c r="M238" s="12" t="s">
        <v>68</v>
      </c>
      <c r="N238" s="182"/>
      <c r="O238" s="12" t="s">
        <v>2520</v>
      </c>
      <c r="P238" s="12" t="s">
        <v>132</v>
      </c>
      <c r="Q238" s="12" t="s">
        <v>1104</v>
      </c>
      <c r="R238" s="12">
        <v>554431</v>
      </c>
      <c r="S238" s="12" t="s">
        <v>1105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75</v>
      </c>
      <c r="Z238" s="12"/>
      <c r="AA238" s="12" t="s">
        <v>108</v>
      </c>
      <c r="AB238" s="13" t="s">
        <v>992</v>
      </c>
      <c r="AC238" s="14">
        <v>45941</v>
      </c>
      <c r="AD238" s="15">
        <v>41</v>
      </c>
      <c r="AE238" s="176" t="s">
        <v>3536</v>
      </c>
      <c r="AF238" s="12">
        <v>371009008</v>
      </c>
      <c r="AG238" s="12" t="s">
        <v>122</v>
      </c>
      <c r="AH238" s="12" t="s">
        <v>314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66</v>
      </c>
      <c r="AP238" s="12" t="s">
        <v>3537</v>
      </c>
      <c r="AQ238" s="12"/>
      <c r="AR238" s="12" t="s">
        <v>3538</v>
      </c>
      <c r="AS238" s="12" t="s">
        <v>3539</v>
      </c>
      <c r="AT238" s="12" t="s">
        <v>3539</v>
      </c>
      <c r="AU238" s="12">
        <v>53</v>
      </c>
      <c r="AV238" s="12" t="s">
        <v>83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2525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10">
      <c r="A239" s="11" t="s">
        <v>3540</v>
      </c>
      <c r="B239" s="12" t="s">
        <v>111</v>
      </c>
      <c r="C239" s="12" t="s">
        <v>548</v>
      </c>
      <c r="D239" s="12" t="s">
        <v>63</v>
      </c>
      <c r="E239" s="12" t="s">
        <v>64</v>
      </c>
      <c r="F239" s="12" t="s">
        <v>65</v>
      </c>
      <c r="G239" s="12" t="s">
        <v>67</v>
      </c>
      <c r="H239" s="12" t="s">
        <v>66</v>
      </c>
      <c r="I239" s="12" t="s">
        <v>96</v>
      </c>
      <c r="J239" s="34" t="s">
        <v>68</v>
      </c>
      <c r="K239" s="12"/>
      <c r="L239" s="13" t="s">
        <v>2519</v>
      </c>
      <c r="M239" s="213" t="s">
        <v>68</v>
      </c>
      <c r="N239" s="182"/>
      <c r="O239" s="12" t="s">
        <v>2520</v>
      </c>
      <c r="P239" s="12" t="s">
        <v>550</v>
      </c>
      <c r="Q239" s="12" t="s">
        <v>551</v>
      </c>
      <c r="R239" s="12">
        <v>553118</v>
      </c>
      <c r="S239" s="12" t="s">
        <v>552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75</v>
      </c>
      <c r="Z239" s="12"/>
      <c r="AA239" s="12" t="s">
        <v>85</v>
      </c>
      <c r="AB239" s="13" t="s">
        <v>2136</v>
      </c>
      <c r="AC239" s="14">
        <v>45940</v>
      </c>
      <c r="AD239" s="15">
        <v>41</v>
      </c>
      <c r="AE239" s="176" t="s">
        <v>3541</v>
      </c>
      <c r="AF239" s="12">
        <v>371009005</v>
      </c>
      <c r="AG239" s="12" t="s">
        <v>122</v>
      </c>
      <c r="AH239" s="12" t="s">
        <v>78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66</v>
      </c>
      <c r="AP239" s="12" t="s">
        <v>3542</v>
      </c>
      <c r="AQ239" s="12"/>
      <c r="AR239" s="12" t="s">
        <v>3543</v>
      </c>
      <c r="AS239" s="12" t="s">
        <v>3544</v>
      </c>
      <c r="AT239" s="12" t="s">
        <v>3544</v>
      </c>
      <c r="AU239" s="12">
        <v>50</v>
      </c>
      <c r="AV239" s="12" t="s">
        <v>83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2525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10">
      <c r="A240" s="11" t="s">
        <v>3545</v>
      </c>
      <c r="B240" s="12" t="s">
        <v>111</v>
      </c>
      <c r="C240" s="12" t="s">
        <v>203</v>
      </c>
      <c r="D240" s="12" t="s">
        <v>63</v>
      </c>
      <c r="E240" s="12" t="s">
        <v>64</v>
      </c>
      <c r="F240" s="12" t="s">
        <v>65</v>
      </c>
      <c r="G240" s="12" t="s">
        <v>67</v>
      </c>
      <c r="H240" s="12" t="s">
        <v>66</v>
      </c>
      <c r="I240" s="12" t="s">
        <v>96</v>
      </c>
      <c r="J240" s="34" t="s">
        <v>68</v>
      </c>
      <c r="K240" s="12"/>
      <c r="L240" s="13" t="s">
        <v>2519</v>
      </c>
      <c r="M240" s="213" t="s">
        <v>68</v>
      </c>
      <c r="N240" s="182"/>
      <c r="O240" s="12" t="s">
        <v>2520</v>
      </c>
      <c r="P240" s="12" t="s">
        <v>550</v>
      </c>
      <c r="Q240" s="12" t="s">
        <v>2744</v>
      </c>
      <c r="R240" s="12">
        <v>553120</v>
      </c>
      <c r="S240" s="12" t="s">
        <v>2745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75</v>
      </c>
      <c r="Z240" s="12"/>
      <c r="AA240" s="12" t="s">
        <v>85</v>
      </c>
      <c r="AB240" s="13" t="s">
        <v>2136</v>
      </c>
      <c r="AC240" s="14">
        <v>45940</v>
      </c>
      <c r="AD240" s="15">
        <v>41</v>
      </c>
      <c r="AE240" s="176" t="s">
        <v>3546</v>
      </c>
      <c r="AF240" s="12">
        <v>371009004</v>
      </c>
      <c r="AG240" s="12" t="s">
        <v>122</v>
      </c>
      <c r="AH240" s="12" t="s">
        <v>78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66</v>
      </c>
      <c r="AP240" s="12" t="s">
        <v>3533</v>
      </c>
      <c r="AQ240" s="12"/>
      <c r="AR240" s="12" t="s">
        <v>3534</v>
      </c>
      <c r="AS240" s="12" t="s">
        <v>3535</v>
      </c>
      <c r="AT240" s="12" t="s">
        <v>3535</v>
      </c>
      <c r="AU240" s="12">
        <v>50</v>
      </c>
      <c r="AV240" s="12" t="s">
        <v>83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2525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10">
      <c r="A241" s="11" t="s">
        <v>3547</v>
      </c>
      <c r="B241" s="12" t="s">
        <v>111</v>
      </c>
      <c r="C241" s="12" t="s">
        <v>3429</v>
      </c>
      <c r="D241" s="12" t="s">
        <v>63</v>
      </c>
      <c r="E241" s="12" t="s">
        <v>68</v>
      </c>
      <c r="F241" s="12" t="s">
        <v>68</v>
      </c>
      <c r="G241" s="12"/>
      <c r="H241" s="12" t="s">
        <v>66</v>
      </c>
      <c r="I241" s="12" t="s">
        <v>1559</v>
      </c>
      <c r="J241" s="34" t="s">
        <v>68</v>
      </c>
      <c r="K241" s="12"/>
      <c r="L241" s="13" t="s">
        <v>2542</v>
      </c>
      <c r="M241" s="12" t="s">
        <v>68</v>
      </c>
      <c r="N241" s="182"/>
      <c r="O241" s="12" t="s">
        <v>2520</v>
      </c>
      <c r="P241" s="12" t="s">
        <v>132</v>
      </c>
      <c r="Q241" s="12" t="s">
        <v>1104</v>
      </c>
      <c r="R241" s="12">
        <v>554431</v>
      </c>
      <c r="S241" s="12" t="s">
        <v>1105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75</v>
      </c>
      <c r="Z241" s="12"/>
      <c r="AA241" s="12" t="s">
        <v>108</v>
      </c>
      <c r="AB241" s="13" t="s">
        <v>992</v>
      </c>
      <c r="AC241" s="14">
        <v>45942</v>
      </c>
      <c r="AD241" s="15">
        <v>41</v>
      </c>
      <c r="AE241" s="176" t="s">
        <v>3548</v>
      </c>
      <c r="AF241" s="12">
        <v>371009009</v>
      </c>
      <c r="AG241" s="12" t="s">
        <v>122</v>
      </c>
      <c r="AH241" s="12" t="s">
        <v>1561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66</v>
      </c>
      <c r="AP241" s="12" t="s">
        <v>3525</v>
      </c>
      <c r="AQ241" s="12"/>
      <c r="AR241" s="12" t="s">
        <v>3526</v>
      </c>
      <c r="AS241" s="12" t="s">
        <v>3527</v>
      </c>
      <c r="AT241" s="12" t="s">
        <v>3549</v>
      </c>
      <c r="AU241" s="12">
        <v>72</v>
      </c>
      <c r="AV241" s="12" t="s">
        <v>83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2525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10">
      <c r="A242" s="11" t="s">
        <v>3550</v>
      </c>
      <c r="B242" s="12" t="s">
        <v>111</v>
      </c>
      <c r="C242" s="12" t="s">
        <v>2928</v>
      </c>
      <c r="D242" s="12" t="s">
        <v>113</v>
      </c>
      <c r="E242" s="12" t="s">
        <v>68</v>
      </c>
      <c r="F242" s="12" t="s">
        <v>68</v>
      </c>
      <c r="G242" s="12"/>
      <c r="H242" s="12" t="s">
        <v>66</v>
      </c>
      <c r="I242" s="12" t="s">
        <v>3551</v>
      </c>
      <c r="J242" s="34" t="s">
        <v>68</v>
      </c>
      <c r="K242" s="12">
        <v>16102590</v>
      </c>
      <c r="L242" s="13" t="s">
        <v>2527</v>
      </c>
      <c r="M242" s="12" t="s">
        <v>68</v>
      </c>
      <c r="N242" s="182"/>
      <c r="O242" s="12" t="s">
        <v>2520</v>
      </c>
      <c r="P242" s="12" t="s">
        <v>132</v>
      </c>
      <c r="Q242" s="12" t="s">
        <v>2929</v>
      </c>
      <c r="R242" s="12">
        <v>555076</v>
      </c>
      <c r="S242" s="12" t="s">
        <v>1300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75</v>
      </c>
      <c r="Z242" s="12"/>
      <c r="AA242" s="12" t="s">
        <v>108</v>
      </c>
      <c r="AB242" s="32" t="s">
        <v>992</v>
      </c>
      <c r="AC242" s="14">
        <v>45947</v>
      </c>
      <c r="AD242" s="15">
        <v>42</v>
      </c>
      <c r="AE242" s="176" t="s">
        <v>3552</v>
      </c>
      <c r="AF242" s="12">
        <v>371009021</v>
      </c>
      <c r="AG242" s="12" t="s">
        <v>122</v>
      </c>
      <c r="AH242" s="12" t="s">
        <v>124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66</v>
      </c>
      <c r="AP242" s="12" t="s">
        <v>3553</v>
      </c>
      <c r="AQ242" s="12"/>
      <c r="AR242" s="12" t="s">
        <v>3554</v>
      </c>
      <c r="AS242" s="12" t="s">
        <v>3555</v>
      </c>
      <c r="AT242" s="12" t="s">
        <v>3555</v>
      </c>
      <c r="AU242" s="12">
        <v>41</v>
      </c>
      <c r="AV242" s="12" t="s">
        <v>3556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2525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10">
      <c r="A243" s="11" t="s">
        <v>3557</v>
      </c>
      <c r="B243" s="12" t="s">
        <v>111</v>
      </c>
      <c r="C243" s="12" t="s">
        <v>838</v>
      </c>
      <c r="D243" s="12" t="s">
        <v>63</v>
      </c>
      <c r="E243" s="12" t="s">
        <v>68</v>
      </c>
      <c r="F243" s="12" t="s">
        <v>68</v>
      </c>
      <c r="G243" s="12"/>
      <c r="H243" s="12" t="s">
        <v>402</v>
      </c>
      <c r="I243" s="12" t="s">
        <v>594</v>
      </c>
      <c r="J243" s="34" t="s">
        <v>68</v>
      </c>
      <c r="K243" s="12">
        <v>16102586</v>
      </c>
      <c r="L243" s="13" t="s">
        <v>2527</v>
      </c>
      <c r="M243" s="12" t="s">
        <v>68</v>
      </c>
      <c r="N243" s="182"/>
      <c r="O243" s="12" t="s">
        <v>2520</v>
      </c>
      <c r="P243" s="12" t="s">
        <v>132</v>
      </c>
      <c r="Q243" s="12" t="s">
        <v>841</v>
      </c>
      <c r="R243" s="12">
        <v>554542</v>
      </c>
      <c r="S243" s="12" t="s">
        <v>842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75</v>
      </c>
      <c r="Z243" s="12"/>
      <c r="AA243" s="12" t="s">
        <v>108</v>
      </c>
      <c r="AB243" s="32" t="s">
        <v>992</v>
      </c>
      <c r="AC243" s="14">
        <v>45947</v>
      </c>
      <c r="AD243" s="15">
        <v>42</v>
      </c>
      <c r="AE243" s="176" t="s">
        <v>3558</v>
      </c>
      <c r="AF243" s="12">
        <v>371009022</v>
      </c>
      <c r="AG243" s="12" t="s">
        <v>122</v>
      </c>
      <c r="AH243" s="12" t="s">
        <v>124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402</v>
      </c>
      <c r="AP243" s="12" t="s">
        <v>3553</v>
      </c>
      <c r="AQ243" s="12"/>
      <c r="AR243" s="12" t="s">
        <v>3559</v>
      </c>
      <c r="AS243" s="12" t="s">
        <v>3560</v>
      </c>
      <c r="AT243" s="12" t="s">
        <v>3560</v>
      </c>
      <c r="AU243" s="12">
        <v>41</v>
      </c>
      <c r="AV243" s="12" t="s">
        <v>2538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2525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10">
      <c r="A244" s="11" t="s">
        <v>3561</v>
      </c>
      <c r="B244" s="12" t="s">
        <v>111</v>
      </c>
      <c r="C244" s="12" t="s">
        <v>3545</v>
      </c>
      <c r="D244" s="12" t="s">
        <v>63</v>
      </c>
      <c r="E244" s="12" t="s">
        <v>64</v>
      </c>
      <c r="F244" s="12" t="s">
        <v>100</v>
      </c>
      <c r="G244" s="12" t="s">
        <v>67</v>
      </c>
      <c r="H244" s="12" t="s">
        <v>66</v>
      </c>
      <c r="I244" s="12" t="s">
        <v>96</v>
      </c>
      <c r="J244" s="34" t="s">
        <v>68</v>
      </c>
      <c r="K244" s="12"/>
      <c r="L244" s="13" t="s">
        <v>2519</v>
      </c>
      <c r="M244" s="213" t="s">
        <v>68</v>
      </c>
      <c r="N244" s="182"/>
      <c r="O244" s="12" t="s">
        <v>2520</v>
      </c>
      <c r="P244" s="12" t="s">
        <v>550</v>
      </c>
      <c r="Q244" s="12" t="s">
        <v>2744</v>
      </c>
      <c r="R244" s="12">
        <v>553120</v>
      </c>
      <c r="S244" s="12" t="s">
        <v>2745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75</v>
      </c>
      <c r="Z244" s="12"/>
      <c r="AA244" s="12" t="s">
        <v>85</v>
      </c>
      <c r="AB244" s="13" t="s">
        <v>2136</v>
      </c>
      <c r="AC244" s="14">
        <v>45945</v>
      </c>
      <c r="AD244" s="15">
        <v>42</v>
      </c>
      <c r="AE244" s="176" t="s">
        <v>3562</v>
      </c>
      <c r="AF244" s="12">
        <v>371009003</v>
      </c>
      <c r="AG244" s="12" t="s">
        <v>122</v>
      </c>
      <c r="AH244" s="12" t="s">
        <v>105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66</v>
      </c>
      <c r="AP244" s="12" t="s">
        <v>3563</v>
      </c>
      <c r="AQ244" s="12"/>
      <c r="AR244" s="12" t="s">
        <v>3564</v>
      </c>
      <c r="AS244" s="12" t="s">
        <v>3565</v>
      </c>
      <c r="AT244" s="12" t="s">
        <v>3565</v>
      </c>
      <c r="AU244" s="12">
        <v>43</v>
      </c>
      <c r="AV244" s="12" t="s">
        <v>83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2525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10">
      <c r="A245" s="11" t="s">
        <v>3566</v>
      </c>
      <c r="B245" s="12" t="s">
        <v>111</v>
      </c>
      <c r="C245" s="12" t="s">
        <v>2654</v>
      </c>
      <c r="D245" s="12" t="s">
        <v>63</v>
      </c>
      <c r="E245" s="12" t="s">
        <v>68</v>
      </c>
      <c r="F245" s="12" t="s">
        <v>68</v>
      </c>
      <c r="G245" s="12"/>
      <c r="H245" s="12" t="s">
        <v>146</v>
      </c>
      <c r="I245" s="12" t="s">
        <v>3188</v>
      </c>
      <c r="J245" s="34" t="s">
        <v>68</v>
      </c>
      <c r="K245" s="12">
        <v>46010762</v>
      </c>
      <c r="L245" s="13" t="s">
        <v>2764</v>
      </c>
      <c r="M245" s="12" t="s">
        <v>68</v>
      </c>
      <c r="N245" s="182"/>
      <c r="O245" s="12" t="s">
        <v>2520</v>
      </c>
      <c r="P245" s="12" t="s">
        <v>2655</v>
      </c>
      <c r="Q245" s="12" t="s">
        <v>2656</v>
      </c>
      <c r="R245" s="12">
        <v>553098</v>
      </c>
      <c r="S245" s="12" t="s">
        <v>2657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75</v>
      </c>
      <c r="Z245" s="12"/>
      <c r="AA245" s="12" t="s">
        <v>108</v>
      </c>
      <c r="AB245" s="13" t="s">
        <v>992</v>
      </c>
      <c r="AC245" s="14">
        <v>45945</v>
      </c>
      <c r="AD245" s="15">
        <v>42</v>
      </c>
      <c r="AE245" s="176" t="s">
        <v>3567</v>
      </c>
      <c r="AF245" s="12">
        <v>371009000</v>
      </c>
      <c r="AG245" s="12" t="s">
        <v>122</v>
      </c>
      <c r="AH245" s="12" t="s">
        <v>105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146</v>
      </c>
      <c r="AP245" s="12" t="s">
        <v>3563</v>
      </c>
      <c r="AQ245" s="12"/>
      <c r="AR245" s="12">
        <v>46010762</v>
      </c>
      <c r="AS245" s="12" t="s">
        <v>3568</v>
      </c>
      <c r="AT245" s="12" t="s">
        <v>3568</v>
      </c>
      <c r="AU245" s="12">
        <v>43</v>
      </c>
      <c r="AV245" s="12" t="s">
        <v>3569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2525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10">
      <c r="A246" s="11" t="s">
        <v>3570</v>
      </c>
      <c r="B246" s="12" t="s">
        <v>296</v>
      </c>
      <c r="C246" s="12" t="s">
        <v>3487</v>
      </c>
      <c r="D246" s="12" t="s">
        <v>63</v>
      </c>
      <c r="E246" s="12" t="s">
        <v>64</v>
      </c>
      <c r="F246" s="12" t="s">
        <v>100</v>
      </c>
      <c r="G246" s="12" t="s">
        <v>67</v>
      </c>
      <c r="H246" s="12" t="s">
        <v>66</v>
      </c>
      <c r="I246" s="12" t="s">
        <v>96</v>
      </c>
      <c r="J246" s="34" t="s">
        <v>68</v>
      </c>
      <c r="K246" s="12"/>
      <c r="L246" s="13" t="s">
        <v>2519</v>
      </c>
      <c r="M246" s="213" t="s">
        <v>68</v>
      </c>
      <c r="N246" s="182"/>
      <c r="O246" s="12" t="s">
        <v>2520</v>
      </c>
      <c r="P246" s="12" t="s">
        <v>298</v>
      </c>
      <c r="Q246" s="12" t="s">
        <v>3488</v>
      </c>
      <c r="R246" s="12">
        <v>554249</v>
      </c>
      <c r="S246" s="12" t="s">
        <v>3489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75</v>
      </c>
      <c r="Z246" s="12"/>
      <c r="AA246" s="12" t="s">
        <v>85</v>
      </c>
      <c r="AB246" s="13" t="s">
        <v>967</v>
      </c>
      <c r="AC246" s="14">
        <v>45945</v>
      </c>
      <c r="AD246" s="15">
        <v>42</v>
      </c>
      <c r="AE246" s="176" t="s">
        <v>3571</v>
      </c>
      <c r="AF246" s="12">
        <v>371009031</v>
      </c>
      <c r="AG246" s="12" t="s">
        <v>288</v>
      </c>
      <c r="AH246" s="12" t="s">
        <v>105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66</v>
      </c>
      <c r="AP246" s="12" t="s">
        <v>3572</v>
      </c>
      <c r="AQ246" s="12"/>
      <c r="AR246" s="12" t="s">
        <v>3573</v>
      </c>
      <c r="AS246" s="12" t="s">
        <v>3574</v>
      </c>
      <c r="AT246" s="12" t="s">
        <v>3574</v>
      </c>
      <c r="AU246" s="12">
        <v>34</v>
      </c>
      <c r="AV246" s="12" t="s">
        <v>83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2525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10">
      <c r="A247" s="11" t="s">
        <v>3575</v>
      </c>
      <c r="B247" s="12" t="s">
        <v>61</v>
      </c>
      <c r="C247" s="12" t="s">
        <v>3388</v>
      </c>
      <c r="D247" s="12" t="s">
        <v>63</v>
      </c>
      <c r="E247" s="12" t="s">
        <v>68</v>
      </c>
      <c r="F247" s="12" t="s">
        <v>68</v>
      </c>
      <c r="G247" s="12"/>
      <c r="H247" s="12" t="s">
        <v>146</v>
      </c>
      <c r="I247" s="12" t="s">
        <v>3576</v>
      </c>
      <c r="J247" s="34" t="s">
        <v>68</v>
      </c>
      <c r="K247" s="12">
        <v>46010907</v>
      </c>
      <c r="L247" s="13" t="s">
        <v>2534</v>
      </c>
      <c r="M247" s="12" t="s">
        <v>68</v>
      </c>
      <c r="N247" s="182"/>
      <c r="O247" s="12" t="s">
        <v>2520</v>
      </c>
      <c r="P247" s="12" t="s">
        <v>70</v>
      </c>
      <c r="Q247" s="12" t="s">
        <v>195</v>
      </c>
      <c r="R247" s="12">
        <v>554473</v>
      </c>
      <c r="S247" s="12" t="s">
        <v>196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75</v>
      </c>
      <c r="Z247" s="12"/>
      <c r="AA247" s="12" t="s">
        <v>85</v>
      </c>
      <c r="AB247" s="13" t="s">
        <v>967</v>
      </c>
      <c r="AC247" s="14">
        <v>45945</v>
      </c>
      <c r="AD247" s="15">
        <v>42</v>
      </c>
      <c r="AE247" s="176" t="s">
        <v>3577</v>
      </c>
      <c r="AF247" s="12">
        <v>371009033</v>
      </c>
      <c r="AG247" s="12" t="s">
        <v>77</v>
      </c>
      <c r="AH247" s="12" t="s">
        <v>2772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146</v>
      </c>
      <c r="AP247" s="12" t="s">
        <v>3578</v>
      </c>
      <c r="AQ247" s="12"/>
      <c r="AR247" s="12">
        <v>46010907</v>
      </c>
      <c r="AS247" s="12" t="s">
        <v>3579</v>
      </c>
      <c r="AT247" s="12" t="s">
        <v>3579</v>
      </c>
      <c r="AU247" s="12">
        <v>53</v>
      </c>
      <c r="AV247" s="12" t="s">
        <v>2538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2525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10">
      <c r="A248" s="11" t="s">
        <v>3580</v>
      </c>
      <c r="B248" s="12" t="s">
        <v>111</v>
      </c>
      <c r="C248" s="12" t="s">
        <v>203</v>
      </c>
      <c r="D248" s="12" t="s">
        <v>113</v>
      </c>
      <c r="E248" s="12" t="s">
        <v>68</v>
      </c>
      <c r="F248" s="12" t="s">
        <v>68</v>
      </c>
      <c r="G248" s="12"/>
      <c r="H248" s="12" t="s">
        <v>66</v>
      </c>
      <c r="I248" s="12" t="s">
        <v>3581</v>
      </c>
      <c r="J248" s="34" t="s">
        <v>68</v>
      </c>
      <c r="K248" s="12">
        <v>16102577</v>
      </c>
      <c r="L248" s="13" t="s">
        <v>2527</v>
      </c>
      <c r="M248" s="12" t="s">
        <v>68</v>
      </c>
      <c r="N248" s="182"/>
      <c r="O248" s="12" t="s">
        <v>2520</v>
      </c>
      <c r="P248" s="12" t="s">
        <v>70</v>
      </c>
      <c r="Q248" s="12" t="s">
        <v>1355</v>
      </c>
      <c r="R248" s="12">
        <v>554472</v>
      </c>
      <c r="S248" s="12" t="s">
        <v>1356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75</v>
      </c>
      <c r="Z248" s="12"/>
      <c r="AA248" s="12" t="s">
        <v>108</v>
      </c>
      <c r="AB248" s="13" t="s">
        <v>3582</v>
      </c>
      <c r="AC248" s="14">
        <v>45948</v>
      </c>
      <c r="AD248" s="15">
        <v>42</v>
      </c>
      <c r="AE248" s="176" t="s">
        <v>3583</v>
      </c>
      <c r="AF248" s="12">
        <v>371009029</v>
      </c>
      <c r="AG248" s="12" t="s">
        <v>122</v>
      </c>
      <c r="AH248" s="12" t="s">
        <v>124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66</v>
      </c>
      <c r="AP248" s="12" t="s">
        <v>3553</v>
      </c>
      <c r="AQ248" s="12"/>
      <c r="AR248" s="12" t="s">
        <v>3584</v>
      </c>
      <c r="AS248" s="12" t="s">
        <v>3585</v>
      </c>
      <c r="AT248" s="12" t="s">
        <v>3585</v>
      </c>
      <c r="AU248" s="12">
        <v>41</v>
      </c>
      <c r="AV248" s="12" t="s">
        <v>2538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2525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10">
      <c r="A249" s="11" t="s">
        <v>3586</v>
      </c>
      <c r="B249" s="12" t="s">
        <v>111</v>
      </c>
      <c r="C249" s="12" t="s">
        <v>203</v>
      </c>
      <c r="D249" s="12" t="s">
        <v>113</v>
      </c>
      <c r="E249" s="12" t="s">
        <v>68</v>
      </c>
      <c r="F249" s="12" t="s">
        <v>68</v>
      </c>
      <c r="G249" s="12"/>
      <c r="H249" s="12" t="s">
        <v>66</v>
      </c>
      <c r="I249" s="12" t="s">
        <v>3581</v>
      </c>
      <c r="J249" s="34" t="s">
        <v>68</v>
      </c>
      <c r="K249" s="12">
        <v>16102577</v>
      </c>
      <c r="L249" s="13" t="s">
        <v>2527</v>
      </c>
      <c r="M249" s="12" t="s">
        <v>68</v>
      </c>
      <c r="N249" s="182"/>
      <c r="O249" s="12" t="s">
        <v>2520</v>
      </c>
      <c r="P249" s="12" t="s">
        <v>70</v>
      </c>
      <c r="Q249" s="12" t="s">
        <v>1347</v>
      </c>
      <c r="R249" s="12">
        <v>554471</v>
      </c>
      <c r="S249" s="12" t="s">
        <v>1348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75</v>
      </c>
      <c r="Z249" s="12"/>
      <c r="AA249" s="12" t="s">
        <v>108</v>
      </c>
      <c r="AB249" s="13" t="s">
        <v>3582</v>
      </c>
      <c r="AC249" s="14">
        <v>45946</v>
      </c>
      <c r="AD249" s="15">
        <v>42</v>
      </c>
      <c r="AE249" s="176" t="s">
        <v>3587</v>
      </c>
      <c r="AF249" s="12">
        <v>371009028</v>
      </c>
      <c r="AG249" s="12" t="s">
        <v>122</v>
      </c>
      <c r="AH249" s="12" t="s">
        <v>124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66</v>
      </c>
      <c r="AP249" s="12" t="s">
        <v>3588</v>
      </c>
      <c r="AQ249" s="12"/>
      <c r="AR249" s="12" t="s">
        <v>3589</v>
      </c>
      <c r="AS249" s="12" t="s">
        <v>3590</v>
      </c>
      <c r="AT249" s="12" t="s">
        <v>3590</v>
      </c>
      <c r="AU249" s="12">
        <v>47</v>
      </c>
      <c r="AV249" s="12" t="s">
        <v>83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2525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10">
      <c r="A250" s="11" t="s">
        <v>3591</v>
      </c>
      <c r="B250" s="12" t="s">
        <v>111</v>
      </c>
      <c r="C250" s="12" t="s">
        <v>3592</v>
      </c>
      <c r="D250" s="12" t="s">
        <v>113</v>
      </c>
      <c r="E250" s="12" t="s">
        <v>68</v>
      </c>
      <c r="F250" s="12" t="s">
        <v>68</v>
      </c>
      <c r="G250" s="12"/>
      <c r="H250" s="12" t="s">
        <v>66</v>
      </c>
      <c r="I250" s="12" t="s">
        <v>3581</v>
      </c>
      <c r="J250" s="34" t="s">
        <v>68</v>
      </c>
      <c r="K250" s="12">
        <v>16102577</v>
      </c>
      <c r="L250" s="13" t="s">
        <v>2527</v>
      </c>
      <c r="M250" s="12" t="s">
        <v>68</v>
      </c>
      <c r="N250" s="182"/>
      <c r="O250" s="12" t="s">
        <v>2520</v>
      </c>
      <c r="P250" s="12" t="s">
        <v>70</v>
      </c>
      <c r="Q250" s="12" t="s">
        <v>3593</v>
      </c>
      <c r="R250" s="12">
        <v>554812</v>
      </c>
      <c r="S250" s="12" t="s">
        <v>3594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75</v>
      </c>
      <c r="Z250" s="12"/>
      <c r="AA250" s="12" t="s">
        <v>108</v>
      </c>
      <c r="AB250" s="13" t="s">
        <v>3582</v>
      </c>
      <c r="AC250" s="14">
        <v>45948</v>
      </c>
      <c r="AD250" s="15">
        <v>42</v>
      </c>
      <c r="AE250" s="176" t="s">
        <v>3595</v>
      </c>
      <c r="AF250" s="12">
        <v>371009043</v>
      </c>
      <c r="AG250" s="12" t="s">
        <v>122</v>
      </c>
      <c r="AH250" s="12" t="s">
        <v>124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66</v>
      </c>
      <c r="AP250" s="12" t="s">
        <v>3553</v>
      </c>
      <c r="AQ250" s="12"/>
      <c r="AR250" s="12" t="s">
        <v>3584</v>
      </c>
      <c r="AS250" s="12" t="s">
        <v>3585</v>
      </c>
      <c r="AT250" s="12" t="s">
        <v>3585</v>
      </c>
      <c r="AU250" s="12">
        <v>41</v>
      </c>
      <c r="AV250" s="12" t="s">
        <v>2538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2525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10">
      <c r="A251" s="11" t="s">
        <v>3596</v>
      </c>
      <c r="B251" s="12" t="s">
        <v>111</v>
      </c>
      <c r="C251" s="12" t="s">
        <v>3586</v>
      </c>
      <c r="D251" s="12" t="s">
        <v>113</v>
      </c>
      <c r="E251" s="12" t="s">
        <v>68</v>
      </c>
      <c r="F251" s="12" t="s">
        <v>68</v>
      </c>
      <c r="G251" s="12"/>
      <c r="H251" s="12" t="s">
        <v>66</v>
      </c>
      <c r="I251" s="12" t="s">
        <v>3581</v>
      </c>
      <c r="J251" s="34" t="s">
        <v>68</v>
      </c>
      <c r="K251" s="12">
        <v>16102577</v>
      </c>
      <c r="L251" s="13" t="s">
        <v>2527</v>
      </c>
      <c r="M251" s="12" t="s">
        <v>68</v>
      </c>
      <c r="N251" s="182"/>
      <c r="O251" s="12" t="s">
        <v>2520</v>
      </c>
      <c r="P251" s="12" t="s">
        <v>70</v>
      </c>
      <c r="Q251" s="12" t="s">
        <v>1347</v>
      </c>
      <c r="R251" s="12">
        <v>554471</v>
      </c>
      <c r="S251" s="12" t="s">
        <v>1348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75</v>
      </c>
      <c r="Z251" s="12"/>
      <c r="AA251" s="12" t="s">
        <v>108</v>
      </c>
      <c r="AB251" s="13" t="s">
        <v>3582</v>
      </c>
      <c r="AC251" s="14">
        <v>45948</v>
      </c>
      <c r="AD251" s="15">
        <v>42</v>
      </c>
      <c r="AE251" s="176" t="s">
        <v>3597</v>
      </c>
      <c r="AF251" s="12">
        <v>371009027</v>
      </c>
      <c r="AG251" s="12" t="s">
        <v>122</v>
      </c>
      <c r="AH251" s="12" t="s">
        <v>124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66</v>
      </c>
      <c r="AP251" s="12" t="s">
        <v>3553</v>
      </c>
      <c r="AQ251" s="12"/>
      <c r="AR251" s="12" t="s">
        <v>3584</v>
      </c>
      <c r="AS251" s="12" t="s">
        <v>3585</v>
      </c>
      <c r="AT251" s="12" t="s">
        <v>3585</v>
      </c>
      <c r="AU251" s="12">
        <v>41</v>
      </c>
      <c r="AV251" s="12" t="s">
        <v>2538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2525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10">
      <c r="A252" s="11" t="s">
        <v>3598</v>
      </c>
      <c r="B252" s="12" t="s">
        <v>111</v>
      </c>
      <c r="C252" s="12" t="s">
        <v>537</v>
      </c>
      <c r="D252" s="12" t="s">
        <v>63</v>
      </c>
      <c r="E252" s="12" t="s">
        <v>68</v>
      </c>
      <c r="F252" s="12" t="s">
        <v>68</v>
      </c>
      <c r="G252" s="12"/>
      <c r="H252" s="12" t="s">
        <v>66</v>
      </c>
      <c r="I252" s="12" t="s">
        <v>1342</v>
      </c>
      <c r="J252" s="34" t="s">
        <v>68</v>
      </c>
      <c r="K252" s="12"/>
      <c r="L252" s="13" t="s">
        <v>2542</v>
      </c>
      <c r="M252" s="12" t="s">
        <v>68</v>
      </c>
      <c r="N252" s="182"/>
      <c r="O252" s="12" t="s">
        <v>2520</v>
      </c>
      <c r="P252" s="12" t="s">
        <v>473</v>
      </c>
      <c r="Q252" s="12" t="s">
        <v>529</v>
      </c>
      <c r="R252" s="12">
        <v>553145</v>
      </c>
      <c r="S252" s="12" t="s">
        <v>530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75</v>
      </c>
      <c r="Z252" s="12"/>
      <c r="AA252" s="12" t="s">
        <v>85</v>
      </c>
      <c r="AB252" s="13" t="s">
        <v>967</v>
      </c>
      <c r="AC252" s="14">
        <v>45945</v>
      </c>
      <c r="AD252" s="15">
        <v>42</v>
      </c>
      <c r="AE252" s="176" t="s">
        <v>3599</v>
      </c>
      <c r="AF252" s="12">
        <v>371009038</v>
      </c>
      <c r="AG252" s="12" t="s">
        <v>122</v>
      </c>
      <c r="AH252" s="12" t="s">
        <v>314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66</v>
      </c>
      <c r="AP252" s="12" t="s">
        <v>3537</v>
      </c>
      <c r="AQ252" s="12"/>
      <c r="AR252" s="12" t="s">
        <v>3600</v>
      </c>
      <c r="AS252" s="12" t="s">
        <v>3601</v>
      </c>
      <c r="AT252" s="12" t="s">
        <v>3601</v>
      </c>
      <c r="AU252" s="12">
        <v>53</v>
      </c>
      <c r="AV252" s="12" t="s">
        <v>83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2525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10">
      <c r="A253" s="11" t="s">
        <v>3602</v>
      </c>
      <c r="B253" s="12" t="s">
        <v>111</v>
      </c>
      <c r="C253" s="12" t="s">
        <v>537</v>
      </c>
      <c r="D253" s="12" t="s">
        <v>63</v>
      </c>
      <c r="E253" s="12" t="s">
        <v>68</v>
      </c>
      <c r="F253" s="12" t="s">
        <v>68</v>
      </c>
      <c r="G253" s="12"/>
      <c r="H253" s="12" t="s">
        <v>66</v>
      </c>
      <c r="I253" s="12" t="s">
        <v>1559</v>
      </c>
      <c r="J253" s="34" t="s">
        <v>68</v>
      </c>
      <c r="K253" s="12"/>
      <c r="L253" s="13" t="s">
        <v>2542</v>
      </c>
      <c r="M253" s="12" t="s">
        <v>68</v>
      </c>
      <c r="N253" s="182"/>
      <c r="O253" s="12" t="s">
        <v>2520</v>
      </c>
      <c r="P253" s="12" t="s">
        <v>473</v>
      </c>
      <c r="Q253" s="12" t="s">
        <v>529</v>
      </c>
      <c r="R253" s="12">
        <v>553145</v>
      </c>
      <c r="S253" s="12" t="s">
        <v>530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75</v>
      </c>
      <c r="Z253" s="12"/>
      <c r="AA253" s="12" t="s">
        <v>85</v>
      </c>
      <c r="AB253" s="13" t="s">
        <v>967</v>
      </c>
      <c r="AC253" s="14">
        <v>45945</v>
      </c>
      <c r="AD253" s="15">
        <v>42</v>
      </c>
      <c r="AE253" s="176" t="s">
        <v>3603</v>
      </c>
      <c r="AF253" s="12">
        <v>371009039</v>
      </c>
      <c r="AG253" s="12" t="s">
        <v>122</v>
      </c>
      <c r="AH253" s="12" t="s">
        <v>1561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66</v>
      </c>
      <c r="AP253" s="12" t="s">
        <v>3525</v>
      </c>
      <c r="AQ253" s="12"/>
      <c r="AR253" s="12" t="s">
        <v>3604</v>
      </c>
      <c r="AS253" s="12" t="s">
        <v>3605</v>
      </c>
      <c r="AT253" s="12" t="s">
        <v>3605</v>
      </c>
      <c r="AU253" s="12">
        <v>72</v>
      </c>
      <c r="AV253" s="12" t="s">
        <v>83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2525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10">
      <c r="A254" s="11" t="s">
        <v>3606</v>
      </c>
      <c r="B254" s="12" t="s">
        <v>111</v>
      </c>
      <c r="C254" s="12" t="s">
        <v>537</v>
      </c>
      <c r="D254" s="12" t="s">
        <v>63</v>
      </c>
      <c r="E254" s="12" t="s">
        <v>64</v>
      </c>
      <c r="F254" s="12" t="s">
        <v>100</v>
      </c>
      <c r="G254" s="12" t="s">
        <v>67</v>
      </c>
      <c r="H254" s="12" t="s">
        <v>66</v>
      </c>
      <c r="I254" s="12" t="s">
        <v>96</v>
      </c>
      <c r="J254" s="34" t="s">
        <v>68</v>
      </c>
      <c r="K254" s="12"/>
      <c r="L254" s="13" t="s">
        <v>2519</v>
      </c>
      <c r="M254" s="213" t="s">
        <v>68</v>
      </c>
      <c r="N254" s="182"/>
      <c r="O254" s="12" t="s">
        <v>2520</v>
      </c>
      <c r="P254" s="12" t="s">
        <v>473</v>
      </c>
      <c r="Q254" s="12" t="s">
        <v>529</v>
      </c>
      <c r="R254" s="12">
        <v>553145</v>
      </c>
      <c r="S254" s="12" t="s">
        <v>530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75</v>
      </c>
      <c r="Z254" s="12"/>
      <c r="AA254" s="12" t="s">
        <v>85</v>
      </c>
      <c r="AB254" s="13" t="s">
        <v>967</v>
      </c>
      <c r="AC254" s="14">
        <v>45945</v>
      </c>
      <c r="AD254" s="15">
        <v>42</v>
      </c>
      <c r="AE254" s="176" t="s">
        <v>3607</v>
      </c>
      <c r="AF254" s="12">
        <v>371009037</v>
      </c>
      <c r="AG254" s="12" t="s">
        <v>122</v>
      </c>
      <c r="AH254" s="12" t="s">
        <v>105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66</v>
      </c>
      <c r="AP254" s="12" t="s">
        <v>3563</v>
      </c>
      <c r="AQ254" s="12"/>
      <c r="AR254" s="12" t="s">
        <v>3564</v>
      </c>
      <c r="AS254" s="12" t="s">
        <v>3565</v>
      </c>
      <c r="AT254" s="12" t="s">
        <v>3565</v>
      </c>
      <c r="AU254" s="12">
        <v>43</v>
      </c>
      <c r="AV254" s="12" t="s">
        <v>83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2525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10">
      <c r="A255" s="11" t="s">
        <v>3608</v>
      </c>
      <c r="B255" s="12" t="s">
        <v>111</v>
      </c>
      <c r="C255" s="12" t="s">
        <v>537</v>
      </c>
      <c r="D255" s="12" t="s">
        <v>63</v>
      </c>
      <c r="E255" s="12" t="s">
        <v>64</v>
      </c>
      <c r="F255" s="12" t="s">
        <v>65</v>
      </c>
      <c r="G255" s="12" t="s">
        <v>67</v>
      </c>
      <c r="H255" s="12" t="s">
        <v>66</v>
      </c>
      <c r="I255" s="12" t="s">
        <v>96</v>
      </c>
      <c r="J255" s="34" t="s">
        <v>68</v>
      </c>
      <c r="K255" s="12"/>
      <c r="L255" s="13" t="s">
        <v>2519</v>
      </c>
      <c r="M255" s="213" t="s">
        <v>68</v>
      </c>
      <c r="N255" s="182"/>
      <c r="O255" s="12" t="s">
        <v>2520</v>
      </c>
      <c r="P255" s="12" t="s">
        <v>473</v>
      </c>
      <c r="Q255" s="12" t="s">
        <v>529</v>
      </c>
      <c r="R255" s="12">
        <v>553145</v>
      </c>
      <c r="S255" s="12" t="s">
        <v>530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75</v>
      </c>
      <c r="Z255" s="12"/>
      <c r="AA255" s="12" t="s">
        <v>85</v>
      </c>
      <c r="AB255" s="13" t="s">
        <v>967</v>
      </c>
      <c r="AC255" s="14">
        <v>45948</v>
      </c>
      <c r="AD255" s="15">
        <v>42</v>
      </c>
      <c r="AE255" s="176" t="s">
        <v>3609</v>
      </c>
      <c r="AF255" s="12">
        <v>371009040</v>
      </c>
      <c r="AG255" s="12" t="s">
        <v>122</v>
      </c>
      <c r="AH255" s="12" t="s">
        <v>78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66</v>
      </c>
      <c r="AP255" s="12" t="s">
        <v>3610</v>
      </c>
      <c r="AQ255" s="12"/>
      <c r="AR255" s="12" t="s">
        <v>3611</v>
      </c>
      <c r="AS255" s="12" t="s">
        <v>3612</v>
      </c>
      <c r="AT255" s="12" t="s">
        <v>3612</v>
      </c>
      <c r="AU255" s="12">
        <v>50</v>
      </c>
      <c r="AV255" s="12" t="s">
        <v>83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2525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10">
      <c r="A256" s="11" t="s">
        <v>3613</v>
      </c>
      <c r="B256" s="12" t="s">
        <v>111</v>
      </c>
      <c r="C256" s="12" t="s">
        <v>203</v>
      </c>
      <c r="D256" s="12" t="s">
        <v>63</v>
      </c>
      <c r="E256" s="12" t="s">
        <v>68</v>
      </c>
      <c r="F256" s="12" t="s">
        <v>68</v>
      </c>
      <c r="G256" s="12"/>
      <c r="H256" s="12" t="s">
        <v>66</v>
      </c>
      <c r="I256" s="12" t="s">
        <v>1292</v>
      </c>
      <c r="J256" s="34" t="s">
        <v>68</v>
      </c>
      <c r="K256" s="12"/>
      <c r="L256" s="13" t="s">
        <v>2876</v>
      </c>
      <c r="M256" s="12" t="s">
        <v>68</v>
      </c>
      <c r="N256" s="182"/>
      <c r="O256" s="12" t="s">
        <v>2520</v>
      </c>
      <c r="P256" s="12" t="s">
        <v>473</v>
      </c>
      <c r="Q256" s="12" t="s">
        <v>474</v>
      </c>
      <c r="R256" s="12">
        <v>553144</v>
      </c>
      <c r="S256" s="12" t="s">
        <v>3614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75</v>
      </c>
      <c r="Z256" s="12"/>
      <c r="AA256" s="12" t="s">
        <v>85</v>
      </c>
      <c r="AB256" s="13" t="s">
        <v>967</v>
      </c>
      <c r="AC256" s="14">
        <v>45945</v>
      </c>
      <c r="AD256" s="15">
        <v>42</v>
      </c>
      <c r="AE256" s="176" t="s">
        <v>3615</v>
      </c>
      <c r="AF256" s="12">
        <v>371009041</v>
      </c>
      <c r="AG256" s="12" t="s">
        <v>122</v>
      </c>
      <c r="AH256" s="12" t="s">
        <v>456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66</v>
      </c>
      <c r="AP256" s="12" t="s">
        <v>3616</v>
      </c>
      <c r="AQ256" s="12"/>
      <c r="AR256" s="12" t="s">
        <v>3617</v>
      </c>
      <c r="AS256" s="12" t="s">
        <v>3618</v>
      </c>
      <c r="AT256" s="12" t="s">
        <v>3618</v>
      </c>
      <c r="AU256" s="12">
        <v>41</v>
      </c>
      <c r="AV256" s="12" t="s">
        <v>83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2525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10">
      <c r="A257" s="11" t="s">
        <v>3619</v>
      </c>
      <c r="B257" s="12" t="s">
        <v>61</v>
      </c>
      <c r="C257" s="12" t="s">
        <v>3620</v>
      </c>
      <c r="D257" s="12" t="s">
        <v>63</v>
      </c>
      <c r="E257" s="12" t="s">
        <v>68</v>
      </c>
      <c r="F257" s="12" t="s">
        <v>68</v>
      </c>
      <c r="G257" s="12"/>
      <c r="H257" s="12" t="s">
        <v>66</v>
      </c>
      <c r="I257" s="12" t="s">
        <v>1342</v>
      </c>
      <c r="J257" s="34" t="s">
        <v>68</v>
      </c>
      <c r="K257" s="12"/>
      <c r="L257" s="13" t="s">
        <v>2542</v>
      </c>
      <c r="M257" s="12" t="s">
        <v>68</v>
      </c>
      <c r="N257" s="182"/>
      <c r="O257" s="12" t="s">
        <v>2520</v>
      </c>
      <c r="P257" s="12" t="s">
        <v>70</v>
      </c>
      <c r="Q257" s="12" t="s">
        <v>71</v>
      </c>
      <c r="R257" s="12">
        <v>554475</v>
      </c>
      <c r="S257" s="12" t="s">
        <v>72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75</v>
      </c>
      <c r="Z257" s="12"/>
      <c r="AA257" s="12" t="s">
        <v>85</v>
      </c>
      <c r="AB257" s="13" t="s">
        <v>967</v>
      </c>
      <c r="AC257" s="14">
        <v>45943</v>
      </c>
      <c r="AD257" s="15">
        <v>42</v>
      </c>
      <c r="AE257" s="176" t="s">
        <v>3621</v>
      </c>
      <c r="AF257" s="12">
        <v>371009010</v>
      </c>
      <c r="AG257" s="12" t="s">
        <v>77</v>
      </c>
      <c r="AH257" s="12" t="s">
        <v>314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66</v>
      </c>
      <c r="AP257" s="12" t="s">
        <v>3622</v>
      </c>
      <c r="AQ257" s="12"/>
      <c r="AR257" s="12" t="s">
        <v>3623</v>
      </c>
      <c r="AS257" s="12" t="s">
        <v>3624</v>
      </c>
      <c r="AT257" s="12" t="s">
        <v>3624</v>
      </c>
      <c r="AU257" s="12">
        <v>66</v>
      </c>
      <c r="AV257" s="12" t="s">
        <v>83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2525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10">
      <c r="A258" s="11" t="s">
        <v>3625</v>
      </c>
      <c r="B258" s="12" t="s">
        <v>111</v>
      </c>
      <c r="C258" s="12" t="s">
        <v>203</v>
      </c>
      <c r="D258" s="12" t="s">
        <v>63</v>
      </c>
      <c r="E258" s="12" t="s">
        <v>64</v>
      </c>
      <c r="F258" s="12" t="s">
        <v>100</v>
      </c>
      <c r="G258" s="12" t="s">
        <v>67</v>
      </c>
      <c r="H258" s="12" t="s">
        <v>66</v>
      </c>
      <c r="I258" s="12" t="s">
        <v>96</v>
      </c>
      <c r="J258" s="34" t="s">
        <v>68</v>
      </c>
      <c r="K258" s="12"/>
      <c r="L258" s="13" t="s">
        <v>2519</v>
      </c>
      <c r="M258" s="213" t="s">
        <v>68</v>
      </c>
      <c r="N258" s="182"/>
      <c r="O258" s="12" t="s">
        <v>2520</v>
      </c>
      <c r="P258" s="12" t="s">
        <v>473</v>
      </c>
      <c r="Q258" s="12" t="s">
        <v>763</v>
      </c>
      <c r="R258" s="12">
        <v>553146</v>
      </c>
      <c r="S258" s="12" t="s">
        <v>764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75</v>
      </c>
      <c r="Z258" s="12"/>
      <c r="AA258" s="12" t="s">
        <v>85</v>
      </c>
      <c r="AB258" s="13" t="s">
        <v>967</v>
      </c>
      <c r="AC258" s="14">
        <v>45949</v>
      </c>
      <c r="AD258" s="15">
        <v>42</v>
      </c>
      <c r="AE258" s="176" t="s">
        <v>3626</v>
      </c>
      <c r="AF258" s="12">
        <v>371009035</v>
      </c>
      <c r="AG258" s="12" t="s">
        <v>122</v>
      </c>
      <c r="AH258" s="12" t="s">
        <v>105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66</v>
      </c>
      <c r="AP258" s="12" t="s">
        <v>3627</v>
      </c>
      <c r="AQ258" s="12"/>
      <c r="AR258" s="12" t="s">
        <v>3628</v>
      </c>
      <c r="AS258" s="12" t="s">
        <v>3629</v>
      </c>
      <c r="AT258" s="12" t="s">
        <v>3629</v>
      </c>
      <c r="AU258" s="12">
        <v>41</v>
      </c>
      <c r="AV258" s="12" t="s">
        <v>83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2525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10">
      <c r="A259" s="11" t="s">
        <v>3630</v>
      </c>
      <c r="B259" s="12" t="s">
        <v>111</v>
      </c>
      <c r="C259" s="12" t="s">
        <v>3625</v>
      </c>
      <c r="D259" s="12" t="s">
        <v>63</v>
      </c>
      <c r="E259" s="12" t="s">
        <v>64</v>
      </c>
      <c r="F259" s="12" t="s">
        <v>65</v>
      </c>
      <c r="G259" s="12" t="s">
        <v>67</v>
      </c>
      <c r="H259" s="12" t="s">
        <v>66</v>
      </c>
      <c r="I259" s="12" t="s">
        <v>96</v>
      </c>
      <c r="J259" s="34" t="s">
        <v>68</v>
      </c>
      <c r="K259" s="12"/>
      <c r="L259" s="13" t="s">
        <v>2519</v>
      </c>
      <c r="M259" s="213" t="s">
        <v>68</v>
      </c>
      <c r="N259" s="182"/>
      <c r="O259" s="12" t="s">
        <v>2520</v>
      </c>
      <c r="P259" s="12" t="s">
        <v>473</v>
      </c>
      <c r="Q259" s="12" t="s">
        <v>763</v>
      </c>
      <c r="R259" s="12">
        <v>553146</v>
      </c>
      <c r="S259" s="12" t="s">
        <v>764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75</v>
      </c>
      <c r="Z259" s="12"/>
      <c r="AA259" s="12" t="s">
        <v>85</v>
      </c>
      <c r="AB259" s="13" t="s">
        <v>967</v>
      </c>
      <c r="AC259" s="14">
        <v>45948</v>
      </c>
      <c r="AD259" s="15">
        <v>42</v>
      </c>
      <c r="AE259" s="176" t="s">
        <v>3631</v>
      </c>
      <c r="AF259" s="12">
        <v>371009036</v>
      </c>
      <c r="AG259" s="12" t="s">
        <v>122</v>
      </c>
      <c r="AH259" s="12" t="s">
        <v>78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66</v>
      </c>
      <c r="AP259" s="12" t="s">
        <v>3610</v>
      </c>
      <c r="AQ259" s="12"/>
      <c r="AR259" s="12" t="s">
        <v>3611</v>
      </c>
      <c r="AS259" s="12" t="s">
        <v>3612</v>
      </c>
      <c r="AT259" s="12" t="s">
        <v>3612</v>
      </c>
      <c r="AU259" s="12">
        <v>50</v>
      </c>
      <c r="AV259" s="12" t="s">
        <v>83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2525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10">
      <c r="A260" s="11" t="s">
        <v>3632</v>
      </c>
      <c r="B260" s="12" t="s">
        <v>61</v>
      </c>
      <c r="C260" s="12" t="s">
        <v>3160</v>
      </c>
      <c r="D260" s="12" t="s">
        <v>63</v>
      </c>
      <c r="E260" s="12" t="s">
        <v>64</v>
      </c>
      <c r="F260" s="12" t="s">
        <v>65</v>
      </c>
      <c r="G260" s="12" t="s">
        <v>67</v>
      </c>
      <c r="H260" s="12" t="s">
        <v>66</v>
      </c>
      <c r="I260" s="12" t="s">
        <v>96</v>
      </c>
      <c r="J260" s="34" t="s">
        <v>68</v>
      </c>
      <c r="K260" s="12"/>
      <c r="L260" s="13" t="s">
        <v>2519</v>
      </c>
      <c r="M260" s="213" t="s">
        <v>68</v>
      </c>
      <c r="N260" s="182"/>
      <c r="O260" s="12" t="s">
        <v>2520</v>
      </c>
      <c r="P260" s="12" t="s">
        <v>70</v>
      </c>
      <c r="Q260" s="12" t="s">
        <v>860</v>
      </c>
      <c r="R260" s="12">
        <v>554479</v>
      </c>
      <c r="S260" s="12" t="s">
        <v>861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75</v>
      </c>
      <c r="AA260" s="12" t="s">
        <v>94</v>
      </c>
      <c r="AB260" s="32" t="s">
        <v>967</v>
      </c>
      <c r="AC260" s="14">
        <v>45943</v>
      </c>
      <c r="AD260" s="15">
        <v>42</v>
      </c>
      <c r="AE260" s="176" t="s">
        <v>3633</v>
      </c>
      <c r="AF260" s="12">
        <v>371009001</v>
      </c>
      <c r="AG260" s="12" t="s">
        <v>77</v>
      </c>
      <c r="AH260" s="12" t="s">
        <v>78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66</v>
      </c>
      <c r="AP260" s="12" t="s">
        <v>3622</v>
      </c>
      <c r="AQ260" s="12"/>
      <c r="AR260" s="12" t="s">
        <v>3634</v>
      </c>
      <c r="AS260" s="12" t="s">
        <v>3635</v>
      </c>
      <c r="AT260" s="12" t="s">
        <v>3635</v>
      </c>
      <c r="AU260" s="12">
        <v>63</v>
      </c>
      <c r="AV260" s="12" t="s">
        <v>83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2525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10">
      <c r="A261" s="11" t="s">
        <v>3636</v>
      </c>
      <c r="B261" s="12" t="s">
        <v>61</v>
      </c>
      <c r="C261" s="12" t="s">
        <v>3160</v>
      </c>
      <c r="D261" s="12" t="s">
        <v>63</v>
      </c>
      <c r="E261" s="12" t="s">
        <v>68</v>
      </c>
      <c r="F261" s="12" t="s">
        <v>68</v>
      </c>
      <c r="G261" s="12"/>
      <c r="H261" s="12" t="s">
        <v>146</v>
      </c>
      <c r="I261" s="12" t="s">
        <v>3637</v>
      </c>
      <c r="J261" s="34" t="s">
        <v>68</v>
      </c>
      <c r="K261" s="12">
        <v>46011055</v>
      </c>
      <c r="L261" s="13" t="s">
        <v>2711</v>
      </c>
      <c r="M261" s="12" t="s">
        <v>68</v>
      </c>
      <c r="N261" s="182"/>
      <c r="O261" s="12" t="s">
        <v>2520</v>
      </c>
      <c r="P261" s="12" t="s">
        <v>70</v>
      </c>
      <c r="Q261" s="12" t="s">
        <v>860</v>
      </c>
      <c r="R261" s="12">
        <v>554479</v>
      </c>
      <c r="S261" s="12" t="s">
        <v>861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75</v>
      </c>
      <c r="AA261" s="12" t="s">
        <v>94</v>
      </c>
      <c r="AB261" s="32" t="s">
        <v>967</v>
      </c>
      <c r="AC261" s="14">
        <v>45943</v>
      </c>
      <c r="AD261" s="15">
        <v>42</v>
      </c>
      <c r="AE261" s="176" t="s">
        <v>3633</v>
      </c>
      <c r="AF261" s="12">
        <v>371009001</v>
      </c>
      <c r="AG261" s="12" t="s">
        <v>77</v>
      </c>
      <c r="AH261" s="12" t="s">
        <v>78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146</v>
      </c>
      <c r="AP261" s="12" t="s">
        <v>3622</v>
      </c>
      <c r="AQ261" s="12"/>
      <c r="AR261" s="12" t="s">
        <v>3634</v>
      </c>
      <c r="AS261" s="12" t="s">
        <v>3635</v>
      </c>
      <c r="AT261" s="12" t="s">
        <v>3635</v>
      </c>
      <c r="AU261" s="12">
        <v>63</v>
      </c>
      <c r="AV261" s="12" t="s">
        <v>83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2525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10">
      <c r="A262" s="11" t="s">
        <v>3638</v>
      </c>
      <c r="B262" s="12" t="s">
        <v>111</v>
      </c>
      <c r="C262" s="12" t="s">
        <v>3639</v>
      </c>
      <c r="D262" s="12" t="s">
        <v>63</v>
      </c>
      <c r="E262" s="12" t="s">
        <v>64</v>
      </c>
      <c r="F262" s="12" t="s">
        <v>65</v>
      </c>
      <c r="G262" s="12" t="s">
        <v>67</v>
      </c>
      <c r="H262" s="12" t="s">
        <v>66</v>
      </c>
      <c r="I262" s="12" t="s">
        <v>96</v>
      </c>
      <c r="J262" s="34" t="s">
        <v>68</v>
      </c>
      <c r="K262" s="12"/>
      <c r="L262" s="13" t="s">
        <v>2519</v>
      </c>
      <c r="M262" s="213" t="s">
        <v>68</v>
      </c>
      <c r="N262" s="182"/>
      <c r="O262" s="12" t="s">
        <v>2520</v>
      </c>
      <c r="P262" s="12" t="s">
        <v>170</v>
      </c>
      <c r="Q262" s="12" t="s">
        <v>462</v>
      </c>
      <c r="R262" s="12">
        <v>552026</v>
      </c>
      <c r="S262" s="12" t="s">
        <v>463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75</v>
      </c>
      <c r="Z262" s="12"/>
      <c r="AA262" s="12" t="s">
        <v>108</v>
      </c>
      <c r="AB262" s="13" t="s">
        <v>1187</v>
      </c>
      <c r="AC262" s="14">
        <v>45948</v>
      </c>
      <c r="AD262" s="15">
        <v>42</v>
      </c>
      <c r="AE262" s="176" t="s">
        <v>3640</v>
      </c>
      <c r="AF262" s="12">
        <v>371009023</v>
      </c>
      <c r="AG262" s="12" t="s">
        <v>122</v>
      </c>
      <c r="AH262" s="12" t="s">
        <v>78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66</v>
      </c>
      <c r="AP262" s="12" t="s">
        <v>3610</v>
      </c>
      <c r="AQ262" s="12"/>
      <c r="AR262" s="12" t="s">
        <v>3611</v>
      </c>
      <c r="AS262" s="12" t="s">
        <v>3612</v>
      </c>
      <c r="AT262" s="12" t="s">
        <v>3612</v>
      </c>
      <c r="AU262" s="12">
        <v>50</v>
      </c>
      <c r="AV262" s="12" t="s">
        <v>83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2525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10">
      <c r="A263" s="11" t="s">
        <v>3641</v>
      </c>
      <c r="B263" s="12" t="s">
        <v>111</v>
      </c>
      <c r="C263" s="12" t="s">
        <v>203</v>
      </c>
      <c r="D263" s="12" t="s">
        <v>63</v>
      </c>
      <c r="E263" s="12" t="s">
        <v>68</v>
      </c>
      <c r="F263" s="12" t="s">
        <v>68</v>
      </c>
      <c r="G263" s="12"/>
      <c r="H263" s="12" t="s">
        <v>66</v>
      </c>
      <c r="I263" s="12" t="s">
        <v>1342</v>
      </c>
      <c r="J263" s="34" t="s">
        <v>68</v>
      </c>
      <c r="K263" s="12"/>
      <c r="L263" s="13" t="s">
        <v>2542</v>
      </c>
      <c r="M263" s="12" t="s">
        <v>68</v>
      </c>
      <c r="N263" s="182"/>
      <c r="O263" s="12" t="s">
        <v>2520</v>
      </c>
      <c r="P263" s="12" t="s">
        <v>132</v>
      </c>
      <c r="Q263" s="12" t="s">
        <v>1104</v>
      </c>
      <c r="R263" s="12">
        <v>554431</v>
      </c>
      <c r="S263" s="12" t="s">
        <v>1105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75</v>
      </c>
      <c r="Z263" s="12"/>
      <c r="AA263" s="12" t="s">
        <v>108</v>
      </c>
      <c r="AB263" s="13" t="s">
        <v>992</v>
      </c>
      <c r="AC263" s="14">
        <v>45954</v>
      </c>
      <c r="AD263" s="15">
        <v>43</v>
      </c>
      <c r="AE263" s="176" t="s">
        <v>3642</v>
      </c>
      <c r="AF263" s="12">
        <v>371009042</v>
      </c>
      <c r="AG263" s="12" t="s">
        <v>122</v>
      </c>
      <c r="AH263" s="12" t="s">
        <v>314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66</v>
      </c>
      <c r="AP263" s="12" t="s">
        <v>3643</v>
      </c>
      <c r="AQ263" s="12"/>
      <c r="AR263" s="12" t="s">
        <v>3644</v>
      </c>
      <c r="AS263" s="12" t="s">
        <v>3645</v>
      </c>
      <c r="AT263" s="12" t="s">
        <v>3645</v>
      </c>
      <c r="AU263" s="12">
        <v>53</v>
      </c>
      <c r="AV263" s="12" t="s">
        <v>83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2525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10">
      <c r="A264" s="11" t="s">
        <v>3646</v>
      </c>
      <c r="B264" s="12" t="s">
        <v>281</v>
      </c>
      <c r="C264" s="12" t="s">
        <v>601</v>
      </c>
      <c r="D264" s="12" t="s">
        <v>63</v>
      </c>
      <c r="E264" s="12" t="s">
        <v>68</v>
      </c>
      <c r="F264" s="12" t="s">
        <v>68</v>
      </c>
      <c r="G264" s="12"/>
      <c r="H264" s="12" t="s">
        <v>402</v>
      </c>
      <c r="I264" s="12" t="s">
        <v>538</v>
      </c>
      <c r="J264" s="34" t="s">
        <v>68</v>
      </c>
      <c r="K264" s="12">
        <v>46010977</v>
      </c>
      <c r="L264" s="13" t="s">
        <v>2876</v>
      </c>
      <c r="M264" s="12" t="s">
        <v>68</v>
      </c>
      <c r="N264" s="182"/>
      <c r="O264" s="12" t="s">
        <v>2520</v>
      </c>
      <c r="P264" s="12" t="s">
        <v>284</v>
      </c>
      <c r="Q264" s="12" t="s">
        <v>602</v>
      </c>
      <c r="R264" s="12">
        <v>554440</v>
      </c>
      <c r="S264" s="12" t="s">
        <v>603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75</v>
      </c>
      <c r="Z264" s="12"/>
      <c r="AA264" s="12" t="s">
        <v>108</v>
      </c>
      <c r="AB264" s="13" t="s">
        <v>992</v>
      </c>
      <c r="AC264" s="14">
        <v>45952</v>
      </c>
      <c r="AD264" s="15">
        <v>43</v>
      </c>
      <c r="AE264" s="176" t="s">
        <v>3647</v>
      </c>
      <c r="AF264" s="12">
        <v>371009058</v>
      </c>
      <c r="AG264" s="12" t="s">
        <v>288</v>
      </c>
      <c r="AH264" s="12" t="s">
        <v>541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402</v>
      </c>
      <c r="AP264" s="12" t="s">
        <v>3648</v>
      </c>
      <c r="AQ264" s="12"/>
      <c r="AR264" s="12" t="s">
        <v>3649</v>
      </c>
      <c r="AS264" s="12" t="s">
        <v>3650</v>
      </c>
      <c r="AT264" s="12" t="s">
        <v>3650</v>
      </c>
      <c r="AU264" s="12">
        <v>57</v>
      </c>
      <c r="AV264" s="12" t="s">
        <v>2538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2525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10">
      <c r="A265" s="11" t="s">
        <v>3651</v>
      </c>
      <c r="B265" s="12" t="s">
        <v>111</v>
      </c>
      <c r="C265" s="12" t="s">
        <v>537</v>
      </c>
      <c r="D265" s="12" t="s">
        <v>63</v>
      </c>
      <c r="E265" s="12" t="s">
        <v>68</v>
      </c>
      <c r="F265" s="12" t="s">
        <v>68</v>
      </c>
      <c r="G265" s="12"/>
      <c r="H265" s="12" t="s">
        <v>402</v>
      </c>
      <c r="I265" s="12" t="s">
        <v>538</v>
      </c>
      <c r="J265" s="34" t="s">
        <v>68</v>
      </c>
      <c r="K265" s="12">
        <v>46010979</v>
      </c>
      <c r="L265" s="13" t="s">
        <v>2876</v>
      </c>
      <c r="M265" s="12" t="s">
        <v>68</v>
      </c>
      <c r="N265" s="182"/>
      <c r="O265" s="12" t="s">
        <v>2520</v>
      </c>
      <c r="P265" s="12" t="s">
        <v>473</v>
      </c>
      <c r="Q265" s="12" t="s">
        <v>529</v>
      </c>
      <c r="R265" s="12">
        <v>553145</v>
      </c>
      <c r="S265" s="12" t="s">
        <v>530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75</v>
      </c>
      <c r="Z265" s="12"/>
      <c r="AA265" s="12" t="s">
        <v>85</v>
      </c>
      <c r="AB265" s="13" t="s">
        <v>967</v>
      </c>
      <c r="AC265" s="14">
        <v>45953</v>
      </c>
      <c r="AD265" s="15">
        <v>43</v>
      </c>
      <c r="AE265" s="176" t="s">
        <v>3652</v>
      </c>
      <c r="AF265" s="12">
        <v>371009063</v>
      </c>
      <c r="AG265" s="12" t="s">
        <v>122</v>
      </c>
      <c r="AH265" s="12" t="s">
        <v>541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402</v>
      </c>
      <c r="AP265" s="12" t="s">
        <v>3653</v>
      </c>
      <c r="AQ265" s="12"/>
      <c r="AR265" s="12" t="s">
        <v>3654</v>
      </c>
      <c r="AS265" s="12" t="s">
        <v>3655</v>
      </c>
      <c r="AT265" s="12" t="s">
        <v>3655</v>
      </c>
      <c r="AU265" s="12">
        <v>53</v>
      </c>
      <c r="AV265" s="12" t="s">
        <v>2538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2525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10">
      <c r="A266" s="11" t="s">
        <v>3656</v>
      </c>
      <c r="B266" s="12" t="s">
        <v>296</v>
      </c>
      <c r="C266" s="12" t="s">
        <v>3487</v>
      </c>
      <c r="D266" s="12" t="s">
        <v>63</v>
      </c>
      <c r="E266" s="12" t="s">
        <v>68</v>
      </c>
      <c r="F266" s="12" t="s">
        <v>68</v>
      </c>
      <c r="G266" s="12"/>
      <c r="H266" s="12" t="s">
        <v>66</v>
      </c>
      <c r="I266" s="12" t="s">
        <v>1342</v>
      </c>
      <c r="J266" s="34" t="s">
        <v>68</v>
      </c>
      <c r="K266" s="12"/>
      <c r="L266" s="13" t="s">
        <v>2542</v>
      </c>
      <c r="M266" s="12" t="s">
        <v>68</v>
      </c>
      <c r="N266" s="182"/>
      <c r="O266" s="12" t="s">
        <v>2520</v>
      </c>
      <c r="P266" s="12" t="s">
        <v>298</v>
      </c>
      <c r="Q266" s="12" t="s">
        <v>3488</v>
      </c>
      <c r="R266" s="12">
        <v>554249</v>
      </c>
      <c r="S266" s="12" t="s">
        <v>3489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75</v>
      </c>
      <c r="Z266" s="12"/>
      <c r="AA266" s="12" t="s">
        <v>85</v>
      </c>
      <c r="AB266" s="13" t="s">
        <v>967</v>
      </c>
      <c r="AC266" s="14">
        <v>45956</v>
      </c>
      <c r="AD266" s="15">
        <v>43</v>
      </c>
      <c r="AE266" s="176" t="s">
        <v>3657</v>
      </c>
      <c r="AF266" s="12">
        <v>371009032</v>
      </c>
      <c r="AG266" s="12" t="s">
        <v>288</v>
      </c>
      <c r="AH266" s="12" t="s">
        <v>314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66</v>
      </c>
      <c r="AP266" s="12" t="s">
        <v>3499</v>
      </c>
      <c r="AQ266" s="12"/>
      <c r="AR266" s="12" t="s">
        <v>3658</v>
      </c>
      <c r="AS266" s="12" t="s">
        <v>3659</v>
      </c>
      <c r="AT266" s="12" t="s">
        <v>3659</v>
      </c>
      <c r="AU266" s="12">
        <v>38</v>
      </c>
      <c r="AV266" s="12" t="s">
        <v>83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2525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10">
      <c r="A267" s="11" t="s">
        <v>3660</v>
      </c>
      <c r="B267" s="12" t="s">
        <v>111</v>
      </c>
      <c r="C267" s="12" t="s">
        <v>3661</v>
      </c>
      <c r="D267" s="12" t="s">
        <v>63</v>
      </c>
      <c r="E267" s="12" t="s">
        <v>68</v>
      </c>
      <c r="F267" s="12" t="s">
        <v>68</v>
      </c>
      <c r="G267" s="12"/>
      <c r="H267" s="12" t="s">
        <v>66</v>
      </c>
      <c r="I267" s="12" t="s">
        <v>1559</v>
      </c>
      <c r="J267" s="34" t="s">
        <v>68</v>
      </c>
      <c r="K267" s="12"/>
      <c r="L267" s="13" t="s">
        <v>2542</v>
      </c>
      <c r="M267" s="12" t="s">
        <v>68</v>
      </c>
      <c r="N267" s="182"/>
      <c r="O267" s="12" t="s">
        <v>2520</v>
      </c>
      <c r="P267" s="12" t="s">
        <v>70</v>
      </c>
      <c r="Q267" s="12" t="s">
        <v>1347</v>
      </c>
      <c r="R267" s="12">
        <v>554471</v>
      </c>
      <c r="S267" s="12" t="s">
        <v>1348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75</v>
      </c>
      <c r="Z267" s="12"/>
      <c r="AA267" s="12" t="s">
        <v>2703</v>
      </c>
      <c r="AB267" s="32" t="s">
        <v>992</v>
      </c>
      <c r="AC267" s="14">
        <v>45951</v>
      </c>
      <c r="AD267" s="15">
        <v>43</v>
      </c>
      <c r="AE267" s="176" t="s">
        <v>3662</v>
      </c>
      <c r="AF267" s="12">
        <v>371009030</v>
      </c>
      <c r="AG267" s="12" t="s">
        <v>122</v>
      </c>
      <c r="AH267" s="12" t="s">
        <v>1561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66</v>
      </c>
      <c r="AP267" s="12" t="s">
        <v>3643</v>
      </c>
      <c r="AQ267" s="12"/>
      <c r="AR267" s="12" t="s">
        <v>3663</v>
      </c>
      <c r="AS267" s="12" t="s">
        <v>3664</v>
      </c>
      <c r="AT267" s="12" t="s">
        <v>3665</v>
      </c>
      <c r="AU267" s="12">
        <v>59</v>
      </c>
      <c r="AV267" s="12" t="s">
        <v>83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2525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10">
      <c r="A268" s="11" t="s">
        <v>3666</v>
      </c>
      <c r="B268" s="12" t="s">
        <v>111</v>
      </c>
      <c r="C268" s="12" t="s">
        <v>548</v>
      </c>
      <c r="D268" s="12" t="s">
        <v>63</v>
      </c>
      <c r="E268" s="12" t="s">
        <v>68</v>
      </c>
      <c r="F268" s="12" t="s">
        <v>68</v>
      </c>
      <c r="G268" s="12"/>
      <c r="H268" s="12" t="s">
        <v>66</v>
      </c>
      <c r="I268" s="12" t="s">
        <v>1559</v>
      </c>
      <c r="J268" s="34" t="s">
        <v>68</v>
      </c>
      <c r="K268" s="12"/>
      <c r="L268" s="13" t="s">
        <v>2542</v>
      </c>
      <c r="M268" s="12" t="s">
        <v>68</v>
      </c>
      <c r="N268" s="182"/>
      <c r="O268" s="12" t="s">
        <v>2520</v>
      </c>
      <c r="P268" s="12" t="s">
        <v>550</v>
      </c>
      <c r="Q268" s="12" t="s">
        <v>551</v>
      </c>
      <c r="R268" s="12">
        <v>553118</v>
      </c>
      <c r="S268" s="12" t="s">
        <v>552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75</v>
      </c>
      <c r="Z268" s="12"/>
      <c r="AA268" s="12" t="s">
        <v>85</v>
      </c>
      <c r="AB268" s="13" t="s">
        <v>2136</v>
      </c>
      <c r="AC268" s="14">
        <v>45956</v>
      </c>
      <c r="AD268" s="15">
        <v>43</v>
      </c>
      <c r="AE268" s="176" t="s">
        <v>3667</v>
      </c>
      <c r="AF268" s="12">
        <v>371009078</v>
      </c>
      <c r="AG268" s="12" t="s">
        <v>122</v>
      </c>
      <c r="AH268" s="12" t="s">
        <v>1561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66</v>
      </c>
      <c r="AP268" s="12" t="s">
        <v>3668</v>
      </c>
      <c r="AQ268" s="12"/>
      <c r="AR268" s="12" t="s">
        <v>3669</v>
      </c>
      <c r="AS268" s="12" t="s">
        <v>3670</v>
      </c>
      <c r="AT268" s="12" t="s">
        <v>3671</v>
      </c>
      <c r="AU268" s="12">
        <v>58</v>
      </c>
      <c r="AV268" s="12" t="s">
        <v>2538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2525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10">
      <c r="A269" s="11" t="s">
        <v>3672</v>
      </c>
      <c r="B269" s="12" t="s">
        <v>281</v>
      </c>
      <c r="C269" s="12" t="s">
        <v>282</v>
      </c>
      <c r="D269" s="12" t="s">
        <v>63</v>
      </c>
      <c r="E269" s="12" t="s">
        <v>68</v>
      </c>
      <c r="F269" s="12" t="s">
        <v>68</v>
      </c>
      <c r="G269" s="12"/>
      <c r="H269" s="12" t="s">
        <v>402</v>
      </c>
      <c r="I269" s="12" t="s">
        <v>538</v>
      </c>
      <c r="J269" s="34" t="s">
        <v>68</v>
      </c>
      <c r="K269" s="12">
        <v>46010977</v>
      </c>
      <c r="L269" s="13" t="s">
        <v>2876</v>
      </c>
      <c r="M269" s="12" t="s">
        <v>68</v>
      </c>
      <c r="N269" s="182"/>
      <c r="O269" s="12" t="s">
        <v>2520</v>
      </c>
      <c r="P269" s="12" t="s">
        <v>284</v>
      </c>
      <c r="Q269" s="12" t="s">
        <v>285</v>
      </c>
      <c r="R269" s="12">
        <v>554319</v>
      </c>
      <c r="S269" s="12" t="s">
        <v>286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75</v>
      </c>
      <c r="Z269" s="12"/>
      <c r="AA269" s="12" t="s">
        <v>85</v>
      </c>
      <c r="AB269" s="13" t="s">
        <v>992</v>
      </c>
      <c r="AC269" s="14">
        <v>45952</v>
      </c>
      <c r="AD269" s="15">
        <v>43</v>
      </c>
      <c r="AE269" s="176" t="s">
        <v>3673</v>
      </c>
      <c r="AF269" s="12">
        <v>371009057</v>
      </c>
      <c r="AG269" s="12" t="s">
        <v>288</v>
      </c>
      <c r="AH269" s="12" t="s">
        <v>541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402</v>
      </c>
      <c r="AP269" s="12" t="s">
        <v>3648</v>
      </c>
      <c r="AQ269" s="12"/>
      <c r="AR269" s="12" t="s">
        <v>3649</v>
      </c>
      <c r="AS269" s="12" t="s">
        <v>3650</v>
      </c>
      <c r="AT269" s="12" t="s">
        <v>3650</v>
      </c>
      <c r="AU269" s="12">
        <v>57</v>
      </c>
      <c r="AV269" s="12" t="s">
        <v>2538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2525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10">
      <c r="A270" s="11" t="s">
        <v>3674</v>
      </c>
      <c r="B270" s="12" t="s">
        <v>111</v>
      </c>
      <c r="C270" s="12" t="s">
        <v>2928</v>
      </c>
      <c r="D270" s="12" t="s">
        <v>63</v>
      </c>
      <c r="E270" s="12" t="s">
        <v>68</v>
      </c>
      <c r="F270" s="12" t="s">
        <v>68</v>
      </c>
      <c r="G270" s="12"/>
      <c r="H270" s="12" t="s">
        <v>66</v>
      </c>
      <c r="I270" s="12" t="s">
        <v>1559</v>
      </c>
      <c r="J270" s="34" t="s">
        <v>68</v>
      </c>
      <c r="K270" s="12"/>
      <c r="L270" s="13" t="s">
        <v>2542</v>
      </c>
      <c r="M270" s="12" t="s">
        <v>68</v>
      </c>
      <c r="N270" s="182"/>
      <c r="O270" s="12" t="s">
        <v>2520</v>
      </c>
      <c r="P270" s="12" t="s">
        <v>132</v>
      </c>
      <c r="Q270" s="12" t="s">
        <v>2929</v>
      </c>
      <c r="R270" s="12">
        <v>555076</v>
      </c>
      <c r="S270" s="12" t="s">
        <v>1300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75</v>
      </c>
      <c r="Z270" s="12"/>
      <c r="AA270" s="12" t="s">
        <v>108</v>
      </c>
      <c r="AB270" s="32" t="s">
        <v>992</v>
      </c>
      <c r="AC270" s="14">
        <v>45956</v>
      </c>
      <c r="AD270" s="15">
        <v>43</v>
      </c>
      <c r="AE270" s="176" t="s">
        <v>3675</v>
      </c>
      <c r="AF270" s="12">
        <v>371009065</v>
      </c>
      <c r="AG270" s="12" t="s">
        <v>122</v>
      </c>
      <c r="AH270" s="12" t="s">
        <v>1561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66</v>
      </c>
      <c r="AP270" s="12" t="s">
        <v>3668</v>
      </c>
      <c r="AQ270" s="12"/>
      <c r="AR270" s="12" t="s">
        <v>3669</v>
      </c>
      <c r="AS270" s="12" t="s">
        <v>3670</v>
      </c>
      <c r="AT270" s="12" t="s">
        <v>3671</v>
      </c>
      <c r="AU270" s="12">
        <v>58</v>
      </c>
      <c r="AV270" s="12" t="s">
        <v>2538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2525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10">
      <c r="A271" s="11" t="s">
        <v>3676</v>
      </c>
      <c r="B271" s="12" t="s">
        <v>61</v>
      </c>
      <c r="C271" s="12" t="s">
        <v>3620</v>
      </c>
      <c r="D271" s="12" t="s">
        <v>63</v>
      </c>
      <c r="E271" s="12" t="s">
        <v>64</v>
      </c>
      <c r="F271" s="12" t="s">
        <v>65</v>
      </c>
      <c r="G271" s="12" t="s">
        <v>67</v>
      </c>
      <c r="H271" s="12" t="s">
        <v>66</v>
      </c>
      <c r="I271" s="12" t="s">
        <v>3216</v>
      </c>
      <c r="J271" s="34" t="s">
        <v>68</v>
      </c>
      <c r="K271" s="12">
        <v>46010916</v>
      </c>
      <c r="L271" s="13" t="s">
        <v>2711</v>
      </c>
      <c r="M271" s="213" t="s">
        <v>68</v>
      </c>
      <c r="N271" s="182"/>
      <c r="O271" s="12" t="s">
        <v>2520</v>
      </c>
      <c r="P271" s="12" t="s">
        <v>70</v>
      </c>
      <c r="Q271" s="12" t="s">
        <v>71</v>
      </c>
      <c r="R271" s="12">
        <v>554475</v>
      </c>
      <c r="S271" s="12" t="s">
        <v>72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75</v>
      </c>
      <c r="Z271" s="12"/>
      <c r="AA271" s="12" t="s">
        <v>85</v>
      </c>
      <c r="AB271" s="13" t="s">
        <v>967</v>
      </c>
      <c r="AC271" s="14">
        <v>45950</v>
      </c>
      <c r="AD271" s="15">
        <v>43</v>
      </c>
      <c r="AE271" s="176" t="s">
        <v>3677</v>
      </c>
      <c r="AF271" s="12">
        <v>371009034</v>
      </c>
      <c r="AG271" s="12" t="s">
        <v>77</v>
      </c>
      <c r="AH271" s="12" t="s">
        <v>356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66</v>
      </c>
      <c r="AP271" s="12" t="s">
        <v>3678</v>
      </c>
      <c r="AQ271" s="12"/>
      <c r="AR271" s="12" t="s">
        <v>3679</v>
      </c>
      <c r="AS271" s="12" t="s">
        <v>3680</v>
      </c>
      <c r="AT271" s="12" t="s">
        <v>3680</v>
      </c>
      <c r="AU271" s="12">
        <v>52</v>
      </c>
      <c r="AV271" s="12" t="s">
        <v>83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2525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10">
      <c r="A272" s="11" t="s">
        <v>3681</v>
      </c>
      <c r="B272" s="12" t="s">
        <v>111</v>
      </c>
      <c r="C272" s="12" t="s">
        <v>3227</v>
      </c>
      <c r="D272" s="12" t="s">
        <v>63</v>
      </c>
      <c r="E272" s="12" t="s">
        <v>68</v>
      </c>
      <c r="F272" s="12" t="s">
        <v>68</v>
      </c>
      <c r="G272" s="12"/>
      <c r="H272" s="12" t="s">
        <v>402</v>
      </c>
      <c r="I272" s="12" t="s">
        <v>538</v>
      </c>
      <c r="J272" s="34" t="s">
        <v>68</v>
      </c>
      <c r="K272" s="12">
        <v>46010978</v>
      </c>
      <c r="L272" s="13" t="s">
        <v>2876</v>
      </c>
      <c r="M272" s="12" t="s">
        <v>68</v>
      </c>
      <c r="N272" s="182"/>
      <c r="O272" s="12" t="s">
        <v>2520</v>
      </c>
      <c r="P272" s="12" t="s">
        <v>70</v>
      </c>
      <c r="Q272" s="12" t="s">
        <v>102</v>
      </c>
      <c r="R272" s="12">
        <v>554245</v>
      </c>
      <c r="S272" s="12" t="s">
        <v>103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75</v>
      </c>
      <c r="Z272" s="12"/>
      <c r="AA272" s="12" t="s">
        <v>108</v>
      </c>
      <c r="AB272" s="13" t="s">
        <v>967</v>
      </c>
      <c r="AC272" s="14">
        <v>45953</v>
      </c>
      <c r="AD272" s="15">
        <v>43</v>
      </c>
      <c r="AE272" s="176" t="s">
        <v>3682</v>
      </c>
      <c r="AF272" s="12">
        <v>371009061</v>
      </c>
      <c r="AG272" s="12" t="s">
        <v>77</v>
      </c>
      <c r="AH272" s="12" t="s">
        <v>541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402</v>
      </c>
      <c r="AP272" s="12" t="s">
        <v>3683</v>
      </c>
      <c r="AQ272" s="12"/>
      <c r="AR272" s="12" t="s">
        <v>3684</v>
      </c>
      <c r="AS272" s="12" t="s">
        <v>3685</v>
      </c>
      <c r="AT272" s="12" t="s">
        <v>3685</v>
      </c>
      <c r="AU272" s="12">
        <v>63</v>
      </c>
      <c r="AV272" s="12" t="s">
        <v>2538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2525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10">
      <c r="A273" s="11" t="s">
        <v>3686</v>
      </c>
      <c r="B273" s="12" t="s">
        <v>61</v>
      </c>
      <c r="C273" s="12" t="s">
        <v>3388</v>
      </c>
      <c r="D273" s="12" t="s">
        <v>63</v>
      </c>
      <c r="E273" s="12" t="s">
        <v>68</v>
      </c>
      <c r="F273" s="12" t="s">
        <v>68</v>
      </c>
      <c r="G273" s="12"/>
      <c r="H273" s="12" t="s">
        <v>402</v>
      </c>
      <c r="I273" s="12" t="s">
        <v>538</v>
      </c>
      <c r="J273" s="34" t="s">
        <v>68</v>
      </c>
      <c r="K273" s="12">
        <v>46010978</v>
      </c>
      <c r="L273" s="13" t="s">
        <v>2876</v>
      </c>
      <c r="M273" s="12" t="s">
        <v>68</v>
      </c>
      <c r="N273" s="182"/>
      <c r="O273" s="12" t="s">
        <v>2520</v>
      </c>
      <c r="P273" s="12" t="s">
        <v>70</v>
      </c>
      <c r="Q273" s="12" t="s">
        <v>195</v>
      </c>
      <c r="R273" s="12">
        <v>554473</v>
      </c>
      <c r="S273" s="12" t="s">
        <v>196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75</v>
      </c>
      <c r="Z273" s="12"/>
      <c r="AA273" s="12" t="s">
        <v>85</v>
      </c>
      <c r="AB273" s="13" t="s">
        <v>967</v>
      </c>
      <c r="AC273" s="14">
        <v>45953</v>
      </c>
      <c r="AD273" s="15">
        <v>43</v>
      </c>
      <c r="AE273" s="176" t="s">
        <v>3687</v>
      </c>
      <c r="AF273" s="12">
        <v>371009062</v>
      </c>
      <c r="AG273" s="12" t="s">
        <v>77</v>
      </c>
      <c r="AH273" s="12" t="s">
        <v>541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402</v>
      </c>
      <c r="AP273" s="12" t="s">
        <v>3683</v>
      </c>
      <c r="AQ273" s="12"/>
      <c r="AR273" s="12" t="s">
        <v>3684</v>
      </c>
      <c r="AS273" s="12" t="s">
        <v>3685</v>
      </c>
      <c r="AT273" s="12" t="s">
        <v>3685</v>
      </c>
      <c r="AU273" s="12">
        <v>63</v>
      </c>
      <c r="AV273" s="12" t="s">
        <v>2538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2525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10">
      <c r="A274" s="11" t="s">
        <v>3688</v>
      </c>
      <c r="B274" s="12" t="s">
        <v>111</v>
      </c>
      <c r="C274" s="12" t="s">
        <v>2928</v>
      </c>
      <c r="D274" s="12" t="s">
        <v>113</v>
      </c>
      <c r="E274" s="12" t="s">
        <v>68</v>
      </c>
      <c r="F274" s="12" t="s">
        <v>68</v>
      </c>
      <c r="G274" s="12"/>
      <c r="H274" s="12" t="s">
        <v>66</v>
      </c>
      <c r="I274" s="12" t="s">
        <v>3551</v>
      </c>
      <c r="J274" s="34" t="s">
        <v>68</v>
      </c>
      <c r="K274" s="12">
        <v>16102590</v>
      </c>
      <c r="L274" s="13" t="s">
        <v>2527</v>
      </c>
      <c r="M274" s="12" t="s">
        <v>68</v>
      </c>
      <c r="N274" s="182"/>
      <c r="O274" s="12" t="s">
        <v>2520</v>
      </c>
      <c r="P274" s="12" t="s">
        <v>132</v>
      </c>
      <c r="Q274" s="12" t="s">
        <v>2929</v>
      </c>
      <c r="R274" s="12">
        <v>555076</v>
      </c>
      <c r="S274" s="12" t="s">
        <v>1300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75</v>
      </c>
      <c r="Z274" s="12"/>
      <c r="AA274" s="12" t="s">
        <v>108</v>
      </c>
      <c r="AB274" s="32" t="s">
        <v>992</v>
      </c>
      <c r="AC274" s="14">
        <v>45955</v>
      </c>
      <c r="AD274" s="15">
        <v>43</v>
      </c>
      <c r="AE274" s="176" t="s">
        <v>3689</v>
      </c>
      <c r="AF274" s="12">
        <v>371009066</v>
      </c>
      <c r="AG274" s="12" t="s">
        <v>122</v>
      </c>
      <c r="AH274" s="12" t="s">
        <v>124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66</v>
      </c>
      <c r="AP274" s="12" t="s">
        <v>3690</v>
      </c>
      <c r="AQ274" s="12"/>
      <c r="AR274" s="12" t="s">
        <v>3691</v>
      </c>
      <c r="AS274" s="12" t="s">
        <v>3692</v>
      </c>
      <c r="AT274" s="12" t="s">
        <v>3693</v>
      </c>
      <c r="AU274" s="12">
        <v>42</v>
      </c>
      <c r="AV274" s="12" t="s">
        <v>3556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2525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10">
      <c r="A275" s="11" t="s">
        <v>3694</v>
      </c>
      <c r="B275" s="12" t="s">
        <v>61</v>
      </c>
      <c r="C275" s="12" t="s">
        <v>3287</v>
      </c>
      <c r="D275" s="12" t="s">
        <v>63</v>
      </c>
      <c r="E275" s="12" t="s">
        <v>68</v>
      </c>
      <c r="F275" s="12" t="s">
        <v>68</v>
      </c>
      <c r="G275" s="12"/>
      <c r="H275" s="12" t="s">
        <v>402</v>
      </c>
      <c r="I275" s="12" t="s">
        <v>538</v>
      </c>
      <c r="J275" s="34" t="s">
        <v>68</v>
      </c>
      <c r="K275" s="12">
        <v>46010978</v>
      </c>
      <c r="L275" s="13" t="s">
        <v>2876</v>
      </c>
      <c r="M275" s="12" t="s">
        <v>68</v>
      </c>
      <c r="N275" s="182"/>
      <c r="O275" s="12" t="s">
        <v>2520</v>
      </c>
      <c r="P275" s="12" t="s">
        <v>70</v>
      </c>
      <c r="Q275" s="12" t="s">
        <v>420</v>
      </c>
      <c r="R275" s="12">
        <v>554476</v>
      </c>
      <c r="S275" s="12" t="s">
        <v>421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75</v>
      </c>
      <c r="Z275" s="12"/>
      <c r="AA275" s="12" t="s">
        <v>2703</v>
      </c>
      <c r="AB275" s="13" t="s">
        <v>992</v>
      </c>
      <c r="AC275" s="14">
        <v>45953</v>
      </c>
      <c r="AD275" s="15">
        <v>43</v>
      </c>
      <c r="AE275" s="176" t="s">
        <v>3695</v>
      </c>
      <c r="AF275" s="12">
        <v>371009060</v>
      </c>
      <c r="AG275" s="12" t="s">
        <v>77</v>
      </c>
      <c r="AH275" s="12" t="s">
        <v>541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402</v>
      </c>
      <c r="AP275" s="12" t="s">
        <v>3683</v>
      </c>
      <c r="AQ275" s="12"/>
      <c r="AR275" s="12" t="s">
        <v>3684</v>
      </c>
      <c r="AS275" s="12" t="s">
        <v>3685</v>
      </c>
      <c r="AT275" s="12" t="s">
        <v>3685</v>
      </c>
      <c r="AU275" s="12">
        <v>63</v>
      </c>
      <c r="AV275" s="12" t="s">
        <v>2538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2525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10">
      <c r="A276" s="11" t="s">
        <v>3696</v>
      </c>
      <c r="B276" s="12" t="s">
        <v>61</v>
      </c>
      <c r="C276" s="12" t="s">
        <v>3160</v>
      </c>
      <c r="D276" s="12" t="s">
        <v>63</v>
      </c>
      <c r="E276" s="12" t="s">
        <v>68</v>
      </c>
      <c r="F276" s="12" t="s">
        <v>68</v>
      </c>
      <c r="G276" s="12"/>
      <c r="H276" s="12" t="s">
        <v>146</v>
      </c>
      <c r="I276" s="12" t="s">
        <v>2716</v>
      </c>
      <c r="J276" s="34" t="s">
        <v>68</v>
      </c>
      <c r="K276" s="12">
        <v>46010917</v>
      </c>
      <c r="L276" s="13" t="s">
        <v>2711</v>
      </c>
      <c r="M276" s="12" t="s">
        <v>68</v>
      </c>
      <c r="N276" s="182"/>
      <c r="O276" s="12" t="s">
        <v>2520</v>
      </c>
      <c r="P276" s="12" t="s">
        <v>70</v>
      </c>
      <c r="Q276" s="12" t="s">
        <v>860</v>
      </c>
      <c r="R276" s="12">
        <v>554479</v>
      </c>
      <c r="S276" s="12" t="s">
        <v>861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75</v>
      </c>
      <c r="AA276" s="12" t="s">
        <v>94</v>
      </c>
      <c r="AB276" s="32" t="s">
        <v>967</v>
      </c>
      <c r="AC276" s="14">
        <v>45950</v>
      </c>
      <c r="AD276" s="15">
        <v>43</v>
      </c>
      <c r="AE276" s="176" t="s">
        <v>3697</v>
      </c>
      <c r="AF276" s="12">
        <v>371009025</v>
      </c>
      <c r="AG276" s="12" t="s">
        <v>77</v>
      </c>
      <c r="AH276" s="12" t="s">
        <v>78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146</v>
      </c>
      <c r="AP276" s="12" t="s">
        <v>3678</v>
      </c>
      <c r="AQ276" s="12"/>
      <c r="AR276" s="12">
        <v>46010917</v>
      </c>
      <c r="AS276" s="12" t="s">
        <v>3698</v>
      </c>
      <c r="AT276" s="12" t="s">
        <v>3698</v>
      </c>
      <c r="AU276" s="12">
        <v>64</v>
      </c>
      <c r="AV276" s="12" t="s">
        <v>83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2525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10">
      <c r="A277" s="11" t="s">
        <v>3699</v>
      </c>
      <c r="B277" s="12" t="s">
        <v>61</v>
      </c>
      <c r="C277" s="12" t="s">
        <v>569</v>
      </c>
      <c r="D277" s="12" t="s">
        <v>63</v>
      </c>
      <c r="E277" s="12" t="s">
        <v>68</v>
      </c>
      <c r="F277" s="12" t="s">
        <v>68</v>
      </c>
      <c r="G277" s="12"/>
      <c r="H277" s="12" t="s">
        <v>402</v>
      </c>
      <c r="I277" s="12" t="s">
        <v>538</v>
      </c>
      <c r="J277" s="34" t="s">
        <v>68</v>
      </c>
      <c r="K277" s="12">
        <v>46010978</v>
      </c>
      <c r="L277" s="13" t="s">
        <v>2876</v>
      </c>
      <c r="M277" s="12" t="s">
        <v>68</v>
      </c>
      <c r="N277" s="182"/>
      <c r="O277" s="12" t="s">
        <v>2520</v>
      </c>
      <c r="P277" s="12" t="s">
        <v>70</v>
      </c>
      <c r="Q277" s="12" t="s">
        <v>2702</v>
      </c>
      <c r="R277" s="12">
        <v>554470</v>
      </c>
      <c r="S277" s="12" t="s">
        <v>571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75</v>
      </c>
      <c r="Z277" s="12"/>
      <c r="AA277" s="12" t="s">
        <v>2703</v>
      </c>
      <c r="AB277" s="13" t="s">
        <v>967</v>
      </c>
      <c r="AC277" s="14">
        <v>45953</v>
      </c>
      <c r="AD277" s="15">
        <v>43</v>
      </c>
      <c r="AE277" s="176" t="s">
        <v>3700</v>
      </c>
      <c r="AF277" s="12">
        <v>371009056</v>
      </c>
      <c r="AG277" s="12" t="s">
        <v>77</v>
      </c>
      <c r="AH277" s="12" t="s">
        <v>541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402</v>
      </c>
      <c r="AP277" s="12" t="s">
        <v>3683</v>
      </c>
      <c r="AQ277" s="12"/>
      <c r="AR277" s="12" t="s">
        <v>3684</v>
      </c>
      <c r="AS277" s="12" t="s">
        <v>3685</v>
      </c>
      <c r="AT277" s="12" t="s">
        <v>3685</v>
      </c>
      <c r="AU277" s="12">
        <v>63</v>
      </c>
      <c r="AV277" s="12" t="s">
        <v>2538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2525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10">
      <c r="A278" s="11" t="s">
        <v>2800</v>
      </c>
      <c r="B278" s="12" t="s">
        <v>111</v>
      </c>
      <c r="C278" s="12" t="s">
        <v>203</v>
      </c>
      <c r="D278" s="12" t="s">
        <v>63</v>
      </c>
      <c r="E278" s="12" t="s">
        <v>68</v>
      </c>
      <c r="F278" s="12" t="s">
        <v>68</v>
      </c>
      <c r="G278" s="12"/>
      <c r="H278" s="12" t="s">
        <v>66</v>
      </c>
      <c r="I278" s="12" t="s">
        <v>1559</v>
      </c>
      <c r="J278" s="34" t="s">
        <v>68</v>
      </c>
      <c r="K278" s="12"/>
      <c r="L278" s="13" t="s">
        <v>2542</v>
      </c>
      <c r="M278" s="12" t="s">
        <v>68</v>
      </c>
      <c r="N278" s="182"/>
      <c r="O278" s="12" t="s">
        <v>2520</v>
      </c>
      <c r="P278" s="12" t="s">
        <v>70</v>
      </c>
      <c r="Q278" s="12" t="s">
        <v>1347</v>
      </c>
      <c r="R278" s="12">
        <v>554471</v>
      </c>
      <c r="S278" s="12" t="s">
        <v>1348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75</v>
      </c>
      <c r="Z278" s="12"/>
      <c r="AA278" s="12" t="s">
        <v>128</v>
      </c>
      <c r="AB278" s="32" t="s">
        <v>992</v>
      </c>
      <c r="AC278" s="14">
        <v>45951</v>
      </c>
      <c r="AD278" s="15">
        <v>43</v>
      </c>
      <c r="AE278" s="176" t="s">
        <v>3701</v>
      </c>
      <c r="AF278" s="12">
        <v>371009026</v>
      </c>
      <c r="AG278" s="12" t="s">
        <v>122</v>
      </c>
      <c r="AH278" s="12" t="s">
        <v>1561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66</v>
      </c>
      <c r="AP278" s="12" t="s">
        <v>3643</v>
      </c>
      <c r="AQ278" s="12"/>
      <c r="AR278" s="12" t="s">
        <v>3663</v>
      </c>
      <c r="AS278" s="12" t="s">
        <v>3664</v>
      </c>
      <c r="AT278" s="12" t="s">
        <v>3664</v>
      </c>
      <c r="AU278" s="12">
        <v>59</v>
      </c>
      <c r="AV278" s="12" t="s">
        <v>83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2525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10">
      <c r="A279" s="11" t="s">
        <v>3702</v>
      </c>
      <c r="B279" s="12" t="s">
        <v>111</v>
      </c>
      <c r="C279" s="12" t="s">
        <v>548</v>
      </c>
      <c r="D279" s="12" t="s">
        <v>63</v>
      </c>
      <c r="E279" s="12" t="s">
        <v>68</v>
      </c>
      <c r="F279" s="12" t="s">
        <v>68</v>
      </c>
      <c r="G279" s="12"/>
      <c r="H279" s="12" t="s">
        <v>402</v>
      </c>
      <c r="I279" s="12" t="s">
        <v>538</v>
      </c>
      <c r="J279" s="34" t="s">
        <v>68</v>
      </c>
      <c r="K279" s="12">
        <v>46010979</v>
      </c>
      <c r="L279" s="13" t="s">
        <v>2876</v>
      </c>
      <c r="M279" s="12" t="s">
        <v>68</v>
      </c>
      <c r="N279" s="182"/>
      <c r="O279" s="12" t="s">
        <v>2520</v>
      </c>
      <c r="P279" s="12" t="s">
        <v>550</v>
      </c>
      <c r="Q279" s="12" t="s">
        <v>551</v>
      </c>
      <c r="R279" s="12">
        <v>553118</v>
      </c>
      <c r="S279" s="12" t="s">
        <v>552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75</v>
      </c>
      <c r="Z279" s="12"/>
      <c r="AA279" s="12" t="s">
        <v>85</v>
      </c>
      <c r="AB279" s="13" t="s">
        <v>2136</v>
      </c>
      <c r="AC279" s="14">
        <v>45953</v>
      </c>
      <c r="AD279" s="15">
        <v>43</v>
      </c>
      <c r="AE279" s="176" t="s">
        <v>3703</v>
      </c>
      <c r="AF279" s="12">
        <v>371009059</v>
      </c>
      <c r="AG279" s="12" t="s">
        <v>122</v>
      </c>
      <c r="AH279" s="12" t="s">
        <v>541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402</v>
      </c>
      <c r="AP279" s="12" t="s">
        <v>3653</v>
      </c>
      <c r="AQ279" s="12"/>
      <c r="AR279" s="12" t="s">
        <v>3654</v>
      </c>
      <c r="AS279" s="12" t="s">
        <v>3655</v>
      </c>
      <c r="AT279" s="12" t="s">
        <v>3655</v>
      </c>
      <c r="AU279" s="12">
        <v>53</v>
      </c>
      <c r="AV279" s="12" t="s">
        <v>2538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2525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10">
      <c r="A280" s="11" t="s">
        <v>3639</v>
      </c>
      <c r="B280" s="12" t="s">
        <v>111</v>
      </c>
      <c r="C280" s="12" t="s">
        <v>203</v>
      </c>
      <c r="D280" s="12" t="s">
        <v>63</v>
      </c>
      <c r="E280" s="12" t="s">
        <v>68</v>
      </c>
      <c r="F280" s="12" t="s">
        <v>68</v>
      </c>
      <c r="G280" s="12"/>
      <c r="H280" s="12" t="s">
        <v>66</v>
      </c>
      <c r="I280" s="12" t="s">
        <v>1342</v>
      </c>
      <c r="J280" s="34" t="s">
        <v>68</v>
      </c>
      <c r="K280" s="12"/>
      <c r="L280" s="13" t="s">
        <v>2542</v>
      </c>
      <c r="M280" s="12" t="s">
        <v>68</v>
      </c>
      <c r="N280" s="182"/>
      <c r="O280" s="12" t="s">
        <v>2520</v>
      </c>
      <c r="P280" s="12" t="s">
        <v>170</v>
      </c>
      <c r="Q280" s="12" t="s">
        <v>462</v>
      </c>
      <c r="R280" s="12">
        <v>552026</v>
      </c>
      <c r="S280" s="12" t="s">
        <v>463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75</v>
      </c>
      <c r="Z280" s="12"/>
      <c r="AA280" s="12" t="s">
        <v>108</v>
      </c>
      <c r="AB280" s="13" t="s">
        <v>1187</v>
      </c>
      <c r="AC280" s="14">
        <v>45951</v>
      </c>
      <c r="AD280" s="15">
        <v>43</v>
      </c>
      <c r="AE280" s="176" t="s">
        <v>3704</v>
      </c>
      <c r="AF280" s="12">
        <v>371009024</v>
      </c>
      <c r="AG280" s="12" t="s">
        <v>122</v>
      </c>
      <c r="AH280" s="12" t="s">
        <v>314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66</v>
      </c>
      <c r="AP280" s="12" t="s">
        <v>3643</v>
      </c>
      <c r="AQ280" s="12"/>
      <c r="AR280" s="12" t="s">
        <v>3644</v>
      </c>
      <c r="AS280" s="12" t="s">
        <v>3645</v>
      </c>
      <c r="AT280" s="12" t="s">
        <v>3645</v>
      </c>
      <c r="AU280" s="12">
        <v>53</v>
      </c>
      <c r="AV280" s="12" t="s">
        <v>83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2525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10">
      <c r="A281" s="11" t="s">
        <v>3705</v>
      </c>
      <c r="B281" s="12" t="s">
        <v>111</v>
      </c>
      <c r="C281" s="12" t="s">
        <v>3706</v>
      </c>
      <c r="D281" s="12" t="s">
        <v>63</v>
      </c>
      <c r="E281" s="12" t="s">
        <v>68</v>
      </c>
      <c r="F281" s="12" t="s">
        <v>68</v>
      </c>
      <c r="G281" s="12"/>
      <c r="H281" s="12" t="s">
        <v>66</v>
      </c>
      <c r="I281" s="12" t="s">
        <v>1342</v>
      </c>
      <c r="J281" s="34" t="s">
        <v>68</v>
      </c>
      <c r="K281" s="12"/>
      <c r="L281" s="13" t="s">
        <v>2542</v>
      </c>
      <c r="M281" s="12" t="s">
        <v>68</v>
      </c>
      <c r="N281" s="182"/>
      <c r="O281" s="12" t="s">
        <v>2520</v>
      </c>
      <c r="P281" s="12" t="s">
        <v>170</v>
      </c>
      <c r="Q281" s="12" t="s">
        <v>171</v>
      </c>
      <c r="R281" s="12">
        <v>552045</v>
      </c>
      <c r="S281" s="12" t="s">
        <v>172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75</v>
      </c>
      <c r="Z281" s="12"/>
      <c r="AA281" s="12" t="s">
        <v>108</v>
      </c>
      <c r="AB281" s="13" t="s">
        <v>992</v>
      </c>
      <c r="AC281" s="14">
        <v>45956</v>
      </c>
      <c r="AD281" s="15">
        <v>43</v>
      </c>
      <c r="AE281" s="176" t="s">
        <v>3707</v>
      </c>
      <c r="AF281" s="12">
        <v>371009071</v>
      </c>
      <c r="AG281" s="12" t="s">
        <v>122</v>
      </c>
      <c r="AH281" s="12" t="s">
        <v>314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66</v>
      </c>
      <c r="AP281" s="12" t="s">
        <v>3708</v>
      </c>
      <c r="AQ281" s="12"/>
      <c r="AR281" s="12" t="s">
        <v>3709</v>
      </c>
      <c r="AS281" s="12" t="s">
        <v>3710</v>
      </c>
      <c r="AT281" s="12">
        <v>8899907740</v>
      </c>
      <c r="AU281" s="12">
        <v>56</v>
      </c>
      <c r="AV281" s="12" t="s">
        <v>83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2525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10">
      <c r="A282" s="11" t="s">
        <v>3711</v>
      </c>
      <c r="B282" s="12" t="s">
        <v>61</v>
      </c>
      <c r="C282" s="12" t="s">
        <v>3160</v>
      </c>
      <c r="D282" s="12" t="s">
        <v>63</v>
      </c>
      <c r="E282" s="12" t="s">
        <v>64</v>
      </c>
      <c r="F282" s="12" t="s">
        <v>65</v>
      </c>
      <c r="G282" s="12" t="s">
        <v>67</v>
      </c>
      <c r="H282" s="12" t="s">
        <v>66</v>
      </c>
      <c r="I282" s="12" t="s">
        <v>96</v>
      </c>
      <c r="J282" s="34" t="s">
        <v>68</v>
      </c>
      <c r="K282" s="12"/>
      <c r="L282" s="13" t="s">
        <v>2519</v>
      </c>
      <c r="M282" s="213" t="s">
        <v>68</v>
      </c>
      <c r="N282" s="182"/>
      <c r="O282" s="12" t="s">
        <v>2520</v>
      </c>
      <c r="P282" s="12" t="s">
        <v>70</v>
      </c>
      <c r="Q282" s="12" t="s">
        <v>860</v>
      </c>
      <c r="R282" s="12">
        <v>554479</v>
      </c>
      <c r="S282" s="12" t="s">
        <v>861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75</v>
      </c>
      <c r="AA282" s="12" t="s">
        <v>94</v>
      </c>
      <c r="AB282" s="32" t="s">
        <v>967</v>
      </c>
      <c r="AC282" s="14">
        <v>45957</v>
      </c>
      <c r="AD282" s="15">
        <v>44</v>
      </c>
      <c r="AE282" s="176" t="s">
        <v>3712</v>
      </c>
      <c r="AF282" s="12">
        <v>371009072</v>
      </c>
      <c r="AG282" s="12" t="s">
        <v>77</v>
      </c>
      <c r="AH282" s="12" t="s">
        <v>356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66</v>
      </c>
      <c r="AP282" s="12" t="s">
        <v>3678</v>
      </c>
      <c r="AQ282" s="12"/>
      <c r="AR282" s="12" t="s">
        <v>3713</v>
      </c>
      <c r="AS282" s="12" t="s">
        <v>3714</v>
      </c>
      <c r="AT282" s="12" t="s">
        <v>3714</v>
      </c>
      <c r="AU282" s="12">
        <v>51</v>
      </c>
      <c r="AV282" s="12" t="s">
        <v>83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2525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10">
      <c r="A283" s="11" t="s">
        <v>3715</v>
      </c>
      <c r="B283" s="12" t="s">
        <v>111</v>
      </c>
      <c r="C283" s="12" t="s">
        <v>3706</v>
      </c>
      <c r="D283" s="12" t="s">
        <v>63</v>
      </c>
      <c r="E283" s="12" t="s">
        <v>64</v>
      </c>
      <c r="F283" s="12" t="s">
        <v>65</v>
      </c>
      <c r="G283" s="12" t="s">
        <v>67</v>
      </c>
      <c r="H283" s="12" t="s">
        <v>66</v>
      </c>
      <c r="I283" s="12" t="s">
        <v>96</v>
      </c>
      <c r="J283" s="34" t="s">
        <v>68</v>
      </c>
      <c r="K283" s="12"/>
      <c r="L283" s="13" t="s">
        <v>2519</v>
      </c>
      <c r="M283" s="213" t="s">
        <v>68</v>
      </c>
      <c r="N283" s="182"/>
      <c r="O283" s="12" t="s">
        <v>2520</v>
      </c>
      <c r="P283" s="12" t="s">
        <v>170</v>
      </c>
      <c r="Q283" s="12" t="s">
        <v>171</v>
      </c>
      <c r="R283" s="12">
        <v>552045</v>
      </c>
      <c r="S283" s="12" t="s">
        <v>172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75</v>
      </c>
      <c r="Z283" s="12"/>
      <c r="AA283" s="12" t="s">
        <v>108</v>
      </c>
      <c r="AB283" s="13" t="s">
        <v>992</v>
      </c>
      <c r="AC283" s="14">
        <v>45958</v>
      </c>
      <c r="AD283" s="15">
        <v>44</v>
      </c>
      <c r="AE283" s="288" t="s">
        <v>3716</v>
      </c>
      <c r="AF283" s="12">
        <v>371009070</v>
      </c>
      <c r="AG283" s="12" t="s">
        <v>122</v>
      </c>
      <c r="AH283" s="12" t="s">
        <v>78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66</v>
      </c>
      <c r="AP283" s="12" t="s">
        <v>3717</v>
      </c>
      <c r="AQ283" s="12"/>
      <c r="AR283" s="12" t="s">
        <v>3718</v>
      </c>
      <c r="AS283" s="12" t="s">
        <v>3719</v>
      </c>
      <c r="AT283" s="12" t="s">
        <v>3719</v>
      </c>
      <c r="AU283" s="12">
        <v>52</v>
      </c>
      <c r="AV283" s="12" t="s">
        <v>83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2525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10">
      <c r="A284" s="11" t="s">
        <v>3720</v>
      </c>
      <c r="B284" s="12" t="s">
        <v>111</v>
      </c>
      <c r="C284" s="12" t="s">
        <v>548</v>
      </c>
      <c r="D284" s="12" t="s">
        <v>63</v>
      </c>
      <c r="E284" s="12" t="s">
        <v>68</v>
      </c>
      <c r="F284" s="12" t="s">
        <v>68</v>
      </c>
      <c r="G284" s="12"/>
      <c r="H284" s="12" t="s">
        <v>66</v>
      </c>
      <c r="I284" s="12" t="s">
        <v>1292</v>
      </c>
      <c r="J284" s="34" t="s">
        <v>68</v>
      </c>
      <c r="K284" s="12"/>
      <c r="L284" s="13" t="s">
        <v>2876</v>
      </c>
      <c r="M284" s="12" t="s">
        <v>68</v>
      </c>
      <c r="N284" s="182"/>
      <c r="O284" s="12" t="s">
        <v>2520</v>
      </c>
      <c r="P284" s="12" t="s">
        <v>550</v>
      </c>
      <c r="Q284" s="12" t="s">
        <v>551</v>
      </c>
      <c r="R284" s="12">
        <v>553118</v>
      </c>
      <c r="S284" s="12" t="s">
        <v>552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75</v>
      </c>
      <c r="Z284" s="12"/>
      <c r="AA284" s="12" t="s">
        <v>85</v>
      </c>
      <c r="AB284" s="13" t="s">
        <v>2136</v>
      </c>
      <c r="AC284" s="14">
        <v>45957</v>
      </c>
      <c r="AD284" s="15">
        <v>44</v>
      </c>
      <c r="AE284" s="176" t="s">
        <v>3721</v>
      </c>
      <c r="AF284" s="12">
        <v>371009077</v>
      </c>
      <c r="AG284" s="12" t="s">
        <v>122</v>
      </c>
      <c r="AH284" s="12" t="s">
        <v>456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66</v>
      </c>
      <c r="AP284" s="12" t="s">
        <v>3722</v>
      </c>
      <c r="AQ284" s="12"/>
      <c r="AR284" s="12" t="s">
        <v>3723</v>
      </c>
      <c r="AS284" s="12" t="s">
        <v>3724</v>
      </c>
      <c r="AT284" s="12" t="s">
        <v>3724</v>
      </c>
      <c r="AU284" s="12">
        <v>46</v>
      </c>
      <c r="AV284" s="12" t="s">
        <v>83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2525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10">
      <c r="A285" s="11" t="s">
        <v>3725</v>
      </c>
      <c r="B285" s="12" t="s">
        <v>111</v>
      </c>
      <c r="C285" s="12" t="s">
        <v>3706</v>
      </c>
      <c r="D285" s="12" t="s">
        <v>63</v>
      </c>
      <c r="E285" s="12" t="s">
        <v>68</v>
      </c>
      <c r="F285" s="12" t="s">
        <v>68</v>
      </c>
      <c r="G285" s="12"/>
      <c r="H285" s="12" t="s">
        <v>66</v>
      </c>
      <c r="I285" s="12" t="s">
        <v>1292</v>
      </c>
      <c r="J285" s="34" t="s">
        <v>68</v>
      </c>
      <c r="K285" s="12"/>
      <c r="L285" s="13" t="s">
        <v>2876</v>
      </c>
      <c r="M285" s="12" t="s">
        <v>68</v>
      </c>
      <c r="N285" s="182"/>
      <c r="O285" s="12" t="s">
        <v>2520</v>
      </c>
      <c r="P285" s="12" t="s">
        <v>170</v>
      </c>
      <c r="Q285" s="12" t="s">
        <v>171</v>
      </c>
      <c r="R285" s="12">
        <v>552045</v>
      </c>
      <c r="S285" s="12" t="s">
        <v>172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75</v>
      </c>
      <c r="Z285" s="12"/>
      <c r="AA285" s="12" t="s">
        <v>108</v>
      </c>
      <c r="AB285" s="13" t="s">
        <v>992</v>
      </c>
      <c r="AC285" s="14">
        <v>45957</v>
      </c>
      <c r="AD285" s="15">
        <v>44</v>
      </c>
      <c r="AE285" s="176" t="s">
        <v>3726</v>
      </c>
      <c r="AF285" s="12">
        <v>371009067</v>
      </c>
      <c r="AG285" s="12" t="s">
        <v>122</v>
      </c>
      <c r="AH285" s="12" t="s">
        <v>456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66</v>
      </c>
      <c r="AP285" s="12" t="s">
        <v>3722</v>
      </c>
      <c r="AQ285" s="12"/>
      <c r="AR285" s="12" t="s">
        <v>3723</v>
      </c>
      <c r="AS285" s="12" t="s">
        <v>3724</v>
      </c>
      <c r="AT285" s="12" t="s">
        <v>3724</v>
      </c>
      <c r="AU285" s="12">
        <v>46</v>
      </c>
      <c r="AV285" s="12" t="s">
        <v>83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2525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10">
      <c r="A286" s="11" t="s">
        <v>3727</v>
      </c>
      <c r="B286" s="12" t="s">
        <v>111</v>
      </c>
      <c r="C286" s="12" t="s">
        <v>3706</v>
      </c>
      <c r="D286" s="12" t="s">
        <v>63</v>
      </c>
      <c r="E286" s="12" t="s">
        <v>64</v>
      </c>
      <c r="F286" s="12" t="s">
        <v>65</v>
      </c>
      <c r="G286" s="12" t="s">
        <v>67</v>
      </c>
      <c r="H286" s="12" t="s">
        <v>66</v>
      </c>
      <c r="I286" s="12" t="s">
        <v>96</v>
      </c>
      <c r="J286" s="34" t="s">
        <v>68</v>
      </c>
      <c r="K286" s="12"/>
      <c r="L286" s="13" t="s">
        <v>2519</v>
      </c>
      <c r="M286" s="213" t="s">
        <v>68</v>
      </c>
      <c r="N286" s="182"/>
      <c r="O286" s="12" t="s">
        <v>2520</v>
      </c>
      <c r="P286" s="12" t="s">
        <v>170</v>
      </c>
      <c r="Q286" s="12" t="s">
        <v>171</v>
      </c>
      <c r="R286" s="12">
        <v>552045</v>
      </c>
      <c r="S286" s="12" t="s">
        <v>172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75</v>
      </c>
      <c r="Z286" s="12"/>
      <c r="AA286" s="12" t="s">
        <v>108</v>
      </c>
      <c r="AB286" s="13" t="s">
        <v>992</v>
      </c>
      <c r="AC286" s="14">
        <v>45958</v>
      </c>
      <c r="AD286" s="15">
        <v>44</v>
      </c>
      <c r="AE286" s="288" t="s">
        <v>3728</v>
      </c>
      <c r="AF286" s="12">
        <v>371009069</v>
      </c>
      <c r="AG286" s="12" t="s">
        <v>122</v>
      </c>
      <c r="AH286" s="12" t="s">
        <v>78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66</v>
      </c>
      <c r="AP286" s="12" t="s">
        <v>3717</v>
      </c>
      <c r="AQ286" s="12"/>
      <c r="AR286" s="12" t="s">
        <v>3718</v>
      </c>
      <c r="AS286" s="12" t="s">
        <v>3719</v>
      </c>
      <c r="AT286" s="12" t="s">
        <v>3719</v>
      </c>
      <c r="AU286" s="12">
        <v>52</v>
      </c>
      <c r="AV286" s="12" t="s">
        <v>83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2525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10">
      <c r="A287" s="11" t="s">
        <v>3729</v>
      </c>
      <c r="B287" s="12" t="s">
        <v>61</v>
      </c>
      <c r="C287" s="12" t="s">
        <v>3730</v>
      </c>
      <c r="D287" s="12" t="s">
        <v>63</v>
      </c>
      <c r="E287" s="12" t="s">
        <v>64</v>
      </c>
      <c r="F287" s="12" t="s">
        <v>65</v>
      </c>
      <c r="G287" s="12" t="s">
        <v>67</v>
      </c>
      <c r="H287" s="12" t="s">
        <v>66</v>
      </c>
      <c r="I287" s="12" t="s">
        <v>3731</v>
      </c>
      <c r="J287" s="34" t="s">
        <v>68</v>
      </c>
      <c r="K287" s="12"/>
      <c r="L287" s="13" t="s">
        <v>2519</v>
      </c>
      <c r="M287" s="213" t="s">
        <v>68</v>
      </c>
      <c r="N287" s="182"/>
      <c r="O287" s="12" t="s">
        <v>2520</v>
      </c>
      <c r="P287" s="12" t="s">
        <v>70</v>
      </c>
      <c r="Q287" s="12" t="s">
        <v>71</v>
      </c>
      <c r="R287" s="12">
        <v>554475</v>
      </c>
      <c r="S287" s="12" t="s">
        <v>72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75</v>
      </c>
      <c r="Z287" s="12"/>
      <c r="AA287" s="12" t="s">
        <v>2703</v>
      </c>
      <c r="AB287" s="13" t="s">
        <v>967</v>
      </c>
      <c r="AC287" s="14">
        <v>45957</v>
      </c>
      <c r="AD287" s="15">
        <v>44</v>
      </c>
      <c r="AE287" s="176" t="s">
        <v>3732</v>
      </c>
      <c r="AF287" s="12">
        <v>371009080</v>
      </c>
      <c r="AG287" s="12" t="s">
        <v>77</v>
      </c>
      <c r="AH287" s="12" t="s">
        <v>356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66</v>
      </c>
      <c r="AP287" s="12" t="s">
        <v>3678</v>
      </c>
      <c r="AQ287" s="12"/>
      <c r="AR287" s="12" t="s">
        <v>3713</v>
      </c>
      <c r="AS287" s="12" t="s">
        <v>3714</v>
      </c>
      <c r="AT287" s="12" t="s">
        <v>3714</v>
      </c>
      <c r="AU287" s="12">
        <v>51</v>
      </c>
      <c r="AV287" s="12" t="s">
        <v>83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2525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10">
      <c r="A288" s="11" t="s">
        <v>3733</v>
      </c>
      <c r="B288" s="12" t="s">
        <v>111</v>
      </c>
      <c r="C288" s="12" t="s">
        <v>3586</v>
      </c>
      <c r="D288" s="12" t="s">
        <v>113</v>
      </c>
      <c r="E288" s="12" t="s">
        <v>68</v>
      </c>
      <c r="F288" s="12" t="s">
        <v>68</v>
      </c>
      <c r="G288" s="12"/>
      <c r="H288" s="12" t="s">
        <v>66</v>
      </c>
      <c r="I288" s="12" t="s">
        <v>3581</v>
      </c>
      <c r="J288" s="34" t="s">
        <v>68</v>
      </c>
      <c r="K288" s="12">
        <v>16102578</v>
      </c>
      <c r="L288" s="13" t="s">
        <v>2527</v>
      </c>
      <c r="M288" s="12" t="s">
        <v>68</v>
      </c>
      <c r="N288" s="182"/>
      <c r="O288" s="12" t="s">
        <v>2520</v>
      </c>
      <c r="P288" s="12" t="s">
        <v>70</v>
      </c>
      <c r="Q288" s="12" t="s">
        <v>1347</v>
      </c>
      <c r="R288" s="12">
        <v>554471</v>
      </c>
      <c r="S288" s="12" t="s">
        <v>1348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75</v>
      </c>
      <c r="Z288" s="12"/>
      <c r="AA288" s="12" t="s">
        <v>108</v>
      </c>
      <c r="AB288" s="13" t="s">
        <v>3582</v>
      </c>
      <c r="AC288" s="14">
        <v>45961</v>
      </c>
      <c r="AD288" s="15">
        <v>44</v>
      </c>
      <c r="AE288" s="176" t="s">
        <v>3734</v>
      </c>
      <c r="AF288" s="12">
        <v>371009075</v>
      </c>
      <c r="AG288" s="12" t="s">
        <v>122</v>
      </c>
      <c r="AH288" s="12" t="s">
        <v>124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66</v>
      </c>
      <c r="AP288" s="12" t="s">
        <v>3735</v>
      </c>
      <c r="AQ288" s="12"/>
      <c r="AR288" s="12" t="s">
        <v>3736</v>
      </c>
      <c r="AS288" s="12" t="s">
        <v>3737</v>
      </c>
      <c r="AT288" s="12" t="s">
        <v>3737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2525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10">
      <c r="A289" s="11" t="s">
        <v>3738</v>
      </c>
      <c r="B289" s="12" t="s">
        <v>111</v>
      </c>
      <c r="C289" s="12" t="s">
        <v>3580</v>
      </c>
      <c r="D289" s="12" t="s">
        <v>113</v>
      </c>
      <c r="E289" s="12" t="s">
        <v>68</v>
      </c>
      <c r="F289" s="12" t="s">
        <v>68</v>
      </c>
      <c r="G289" s="12"/>
      <c r="H289" s="12" t="s">
        <v>66</v>
      </c>
      <c r="I289" s="12" t="s">
        <v>3581</v>
      </c>
      <c r="J289" s="34" t="s">
        <v>68</v>
      </c>
      <c r="K289" s="12">
        <v>16102578</v>
      </c>
      <c r="L289" s="13" t="s">
        <v>2527</v>
      </c>
      <c r="M289" s="12" t="s">
        <v>68</v>
      </c>
      <c r="N289" s="182"/>
      <c r="O289" s="12" t="s">
        <v>2520</v>
      </c>
      <c r="P289" s="12" t="s">
        <v>70</v>
      </c>
      <c r="Q289" s="12" t="s">
        <v>1355</v>
      </c>
      <c r="R289" s="12">
        <v>554472</v>
      </c>
      <c r="S289" s="12" t="s">
        <v>1356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75</v>
      </c>
      <c r="Z289" s="12"/>
      <c r="AA289" s="12" t="s">
        <v>108</v>
      </c>
      <c r="AB289" s="13" t="s">
        <v>3582</v>
      </c>
      <c r="AC289" s="14">
        <v>45961</v>
      </c>
      <c r="AD289" s="15">
        <v>44</v>
      </c>
      <c r="AE289" s="176" t="s">
        <v>3739</v>
      </c>
      <c r="AF289" s="12">
        <v>371009076</v>
      </c>
      <c r="AG289" s="12" t="s">
        <v>122</v>
      </c>
      <c r="AH289" s="12" t="s">
        <v>124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66</v>
      </c>
      <c r="AP289" s="12" t="s">
        <v>3735</v>
      </c>
      <c r="AQ289" s="12"/>
      <c r="AR289" s="12" t="s">
        <v>3736</v>
      </c>
      <c r="AS289" s="12" t="s">
        <v>3737</v>
      </c>
      <c r="AT289" s="12" t="s">
        <v>3737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2525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10">
      <c r="A290" s="11" t="s">
        <v>3740</v>
      </c>
      <c r="B290" s="12" t="s">
        <v>111</v>
      </c>
      <c r="C290" s="12" t="s">
        <v>3592</v>
      </c>
      <c r="D290" s="12" t="s">
        <v>113</v>
      </c>
      <c r="E290" s="12" t="s">
        <v>68</v>
      </c>
      <c r="F290" s="12" t="s">
        <v>68</v>
      </c>
      <c r="G290" s="12"/>
      <c r="H290" s="12" t="s">
        <v>66</v>
      </c>
      <c r="I290" s="12" t="s">
        <v>3581</v>
      </c>
      <c r="J290" s="34" t="s">
        <v>68</v>
      </c>
      <c r="K290" s="12">
        <v>16102578</v>
      </c>
      <c r="L290" s="13" t="s">
        <v>2527</v>
      </c>
      <c r="M290" s="12" t="s">
        <v>68</v>
      </c>
      <c r="N290" s="182"/>
      <c r="O290" s="12" t="s">
        <v>2520</v>
      </c>
      <c r="P290" s="12" t="s">
        <v>70</v>
      </c>
      <c r="Q290" s="12" t="s">
        <v>3593</v>
      </c>
      <c r="R290" s="12">
        <v>554812</v>
      </c>
      <c r="S290" s="12" t="s">
        <v>3594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75</v>
      </c>
      <c r="Z290" s="12"/>
      <c r="AA290" s="12" t="s">
        <v>108</v>
      </c>
      <c r="AB290" s="13" t="s">
        <v>3582</v>
      </c>
      <c r="AC290" s="14">
        <v>45961</v>
      </c>
      <c r="AD290" s="15">
        <v>44</v>
      </c>
      <c r="AE290" s="176" t="s">
        <v>3741</v>
      </c>
      <c r="AF290" s="12">
        <v>371009074</v>
      </c>
      <c r="AG290" s="12" t="s">
        <v>122</v>
      </c>
      <c r="AH290" s="12" t="s">
        <v>124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66</v>
      </c>
      <c r="AP290" s="12" t="s">
        <v>3735</v>
      </c>
      <c r="AQ290" s="12"/>
      <c r="AR290" s="12" t="s">
        <v>3736</v>
      </c>
      <c r="AS290" s="12" t="s">
        <v>3737</v>
      </c>
      <c r="AT290" s="12" t="s">
        <v>3737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2525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10">
      <c r="A291" s="11" t="s">
        <v>3742</v>
      </c>
      <c r="B291" s="12" t="s">
        <v>111</v>
      </c>
      <c r="C291" s="12" t="s">
        <v>3586</v>
      </c>
      <c r="D291" s="12" t="s">
        <v>113</v>
      </c>
      <c r="E291" s="12" t="s">
        <v>68</v>
      </c>
      <c r="F291" s="12" t="s">
        <v>68</v>
      </c>
      <c r="G291" s="12"/>
      <c r="H291" s="12" t="s">
        <v>66</v>
      </c>
      <c r="I291" s="12" t="s">
        <v>3581</v>
      </c>
      <c r="J291" s="34" t="s">
        <v>68</v>
      </c>
      <c r="K291" s="12">
        <v>16102578</v>
      </c>
      <c r="L291" s="13" t="s">
        <v>2527</v>
      </c>
      <c r="M291" s="12" t="s">
        <v>68</v>
      </c>
      <c r="N291" s="182"/>
      <c r="O291" s="12" t="s">
        <v>2520</v>
      </c>
      <c r="P291" s="12" t="s">
        <v>70</v>
      </c>
      <c r="Q291" s="12" t="s">
        <v>1347</v>
      </c>
      <c r="R291" s="12">
        <v>554471</v>
      </c>
      <c r="S291" s="12" t="s">
        <v>1348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75</v>
      </c>
      <c r="Z291" s="12"/>
      <c r="AA291" s="12" t="s">
        <v>108</v>
      </c>
      <c r="AB291" s="13" t="s">
        <v>3582</v>
      </c>
      <c r="AC291" s="14">
        <v>45961</v>
      </c>
      <c r="AD291" s="15">
        <v>44</v>
      </c>
      <c r="AE291" s="176" t="s">
        <v>3734</v>
      </c>
      <c r="AF291" s="12">
        <v>371009075</v>
      </c>
      <c r="AG291" s="12" t="s">
        <v>122</v>
      </c>
      <c r="AH291" s="12" t="s">
        <v>124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66</v>
      </c>
      <c r="AP291" s="12" t="s">
        <v>3735</v>
      </c>
      <c r="AQ291" s="12"/>
      <c r="AR291" s="12" t="s">
        <v>3736</v>
      </c>
      <c r="AS291" s="12" t="s">
        <v>3737</v>
      </c>
      <c r="AT291" s="12" t="s">
        <v>3737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2525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10">
      <c r="A292" s="11" t="s">
        <v>3743</v>
      </c>
      <c r="B292" s="12" t="s">
        <v>111</v>
      </c>
      <c r="C292" s="12" t="s">
        <v>3586</v>
      </c>
      <c r="D292" s="12" t="s">
        <v>113</v>
      </c>
      <c r="E292" s="12" t="s">
        <v>68</v>
      </c>
      <c r="F292" s="12" t="s">
        <v>68</v>
      </c>
      <c r="G292" s="12"/>
      <c r="H292" s="12" t="s">
        <v>66</v>
      </c>
      <c r="I292" s="12" t="s">
        <v>3581</v>
      </c>
      <c r="J292" s="34" t="s">
        <v>68</v>
      </c>
      <c r="K292" s="12">
        <v>16102578</v>
      </c>
      <c r="L292" s="13" t="s">
        <v>2527</v>
      </c>
      <c r="M292" s="12" t="s">
        <v>68</v>
      </c>
      <c r="N292" s="182"/>
      <c r="O292" s="12" t="s">
        <v>2520</v>
      </c>
      <c r="P292" s="12" t="s">
        <v>70</v>
      </c>
      <c r="Q292" s="12" t="s">
        <v>1347</v>
      </c>
      <c r="R292" s="12">
        <v>554471</v>
      </c>
      <c r="S292" s="12" t="s">
        <v>1348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75</v>
      </c>
      <c r="Z292" s="12"/>
      <c r="AA292" s="12" t="s">
        <v>108</v>
      </c>
      <c r="AB292" s="13" t="s">
        <v>3582</v>
      </c>
      <c r="AC292" s="14">
        <v>45961</v>
      </c>
      <c r="AD292" s="15">
        <v>44</v>
      </c>
      <c r="AE292" s="176" t="s">
        <v>3734</v>
      </c>
      <c r="AF292" s="12">
        <v>371009075</v>
      </c>
      <c r="AG292" s="12" t="s">
        <v>122</v>
      </c>
      <c r="AH292" s="12" t="s">
        <v>124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66</v>
      </c>
      <c r="AP292" s="12" t="s">
        <v>3735</v>
      </c>
      <c r="AQ292" s="12"/>
      <c r="AR292" s="12" t="s">
        <v>3736</v>
      </c>
      <c r="AS292" s="12" t="s">
        <v>3737</v>
      </c>
      <c r="AT292" s="12" t="s">
        <v>3737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2525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10">
      <c r="A293" s="11" t="s">
        <v>3744</v>
      </c>
      <c r="B293" s="12" t="s">
        <v>111</v>
      </c>
      <c r="C293" s="12" t="s">
        <v>3706</v>
      </c>
      <c r="D293" s="12" t="s">
        <v>63</v>
      </c>
      <c r="E293" s="12" t="s">
        <v>64</v>
      </c>
      <c r="F293" s="12" t="s">
        <v>100</v>
      </c>
      <c r="G293" s="12" t="s">
        <v>67</v>
      </c>
      <c r="H293" s="12" t="s">
        <v>66</v>
      </c>
      <c r="I293" s="12" t="s">
        <v>96</v>
      </c>
      <c r="J293" s="34" t="s">
        <v>68</v>
      </c>
      <c r="K293" s="12"/>
      <c r="L293" s="13" t="s">
        <v>2519</v>
      </c>
      <c r="M293" s="213" t="s">
        <v>68</v>
      </c>
      <c r="N293" s="182"/>
      <c r="O293" s="12" t="s">
        <v>2520</v>
      </c>
      <c r="P293" s="12" t="s">
        <v>170</v>
      </c>
      <c r="Q293" s="12" t="s">
        <v>171</v>
      </c>
      <c r="R293" s="12">
        <v>552045</v>
      </c>
      <c r="S293" s="12" t="s">
        <v>172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75</v>
      </c>
      <c r="Z293" s="12"/>
      <c r="AA293" s="12" t="s">
        <v>108</v>
      </c>
      <c r="AB293" s="13" t="s">
        <v>992</v>
      </c>
      <c r="AC293" s="14">
        <v>45957</v>
      </c>
      <c r="AD293" s="15">
        <v>44</v>
      </c>
      <c r="AE293" s="176" t="s">
        <v>3745</v>
      </c>
      <c r="AF293" s="12">
        <v>371009068</v>
      </c>
      <c r="AG293" s="12" t="s">
        <v>122</v>
      </c>
      <c r="AH293" s="12" t="s">
        <v>105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66</v>
      </c>
      <c r="AP293" s="12" t="s">
        <v>3746</v>
      </c>
      <c r="AQ293" s="12"/>
      <c r="AR293" s="12" t="s">
        <v>3747</v>
      </c>
      <c r="AS293" s="12" t="s">
        <v>3748</v>
      </c>
      <c r="AT293" s="12" t="s">
        <v>3748</v>
      </c>
      <c r="AU293" s="12">
        <v>41</v>
      </c>
      <c r="AV293" s="12" t="s">
        <v>83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2525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10">
      <c r="A294" s="11" t="s">
        <v>3749</v>
      </c>
      <c r="B294" s="12" t="s">
        <v>111</v>
      </c>
      <c r="C294" s="12" t="s">
        <v>3580</v>
      </c>
      <c r="D294" s="12" t="s">
        <v>113</v>
      </c>
      <c r="E294" s="12" t="s">
        <v>68</v>
      </c>
      <c r="F294" s="12" t="s">
        <v>68</v>
      </c>
      <c r="G294" s="12"/>
      <c r="H294" s="12" t="s">
        <v>66</v>
      </c>
      <c r="I294" s="12" t="s">
        <v>3581</v>
      </c>
      <c r="J294" s="34" t="s">
        <v>68</v>
      </c>
      <c r="K294" s="12">
        <v>16102578</v>
      </c>
      <c r="L294" s="13" t="s">
        <v>2527</v>
      </c>
      <c r="M294" s="12" t="s">
        <v>68</v>
      </c>
      <c r="N294" s="182"/>
      <c r="O294" s="12" t="s">
        <v>2520</v>
      </c>
      <c r="P294" s="12" t="s">
        <v>70</v>
      </c>
      <c r="Q294" s="12" t="s">
        <v>1355</v>
      </c>
      <c r="R294" s="12">
        <v>554472</v>
      </c>
      <c r="S294" s="12" t="s">
        <v>1356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75</v>
      </c>
      <c r="Z294" s="12"/>
      <c r="AA294" s="12" t="s">
        <v>108</v>
      </c>
      <c r="AB294" s="13" t="s">
        <v>3582</v>
      </c>
      <c r="AC294" s="14">
        <v>45961</v>
      </c>
      <c r="AD294" s="15">
        <v>44</v>
      </c>
      <c r="AE294" s="176" t="s">
        <v>3739</v>
      </c>
      <c r="AF294" s="12">
        <v>371009076</v>
      </c>
      <c r="AG294" s="12" t="s">
        <v>122</v>
      </c>
      <c r="AH294" s="12" t="s">
        <v>124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66</v>
      </c>
      <c r="AP294" s="12" t="s">
        <v>3735</v>
      </c>
      <c r="AQ294" s="12"/>
      <c r="AR294" s="12" t="s">
        <v>3736</v>
      </c>
      <c r="AS294" s="12" t="s">
        <v>3737</v>
      </c>
      <c r="AT294" s="12" t="s">
        <v>3737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2525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10">
      <c r="A295" s="11" t="s">
        <v>3750</v>
      </c>
      <c r="B295" s="12" t="s">
        <v>61</v>
      </c>
      <c r="C295" s="12" t="s">
        <v>3160</v>
      </c>
      <c r="D295" s="12" t="s">
        <v>63</v>
      </c>
      <c r="E295" s="12" t="s">
        <v>64</v>
      </c>
      <c r="F295" s="12" t="s">
        <v>65</v>
      </c>
      <c r="G295" s="12" t="s">
        <v>67</v>
      </c>
      <c r="H295" s="12" t="s">
        <v>66</v>
      </c>
      <c r="I295" s="12" t="s">
        <v>96</v>
      </c>
      <c r="J295" s="34" t="s">
        <v>68</v>
      </c>
      <c r="K295" s="12"/>
      <c r="L295" s="13" t="s">
        <v>2519</v>
      </c>
      <c r="M295" s="213" t="s">
        <v>68</v>
      </c>
      <c r="N295" s="182"/>
      <c r="O295" s="12" t="s">
        <v>2520</v>
      </c>
      <c r="P295" s="12" t="s">
        <v>70</v>
      </c>
      <c r="Q295" s="12" t="s">
        <v>860</v>
      </c>
      <c r="R295" s="12">
        <v>554479</v>
      </c>
      <c r="S295" s="12" t="s">
        <v>861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75</v>
      </c>
      <c r="AA295" s="12" t="s">
        <v>94</v>
      </c>
      <c r="AB295" s="32" t="s">
        <v>967</v>
      </c>
      <c r="AC295" s="14">
        <v>45957</v>
      </c>
      <c r="AD295" s="15">
        <v>44</v>
      </c>
      <c r="AE295" s="176" t="s">
        <v>3751</v>
      </c>
      <c r="AF295" s="12">
        <v>371009073</v>
      </c>
      <c r="AG295" s="12" t="s">
        <v>77</v>
      </c>
      <c r="AH295" s="12" t="s">
        <v>78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66</v>
      </c>
      <c r="AP295" s="12" t="s">
        <v>3678</v>
      </c>
      <c r="AQ295" s="12"/>
      <c r="AR295" s="12" t="s">
        <v>3752</v>
      </c>
      <c r="AS295" s="12" t="s">
        <v>3753</v>
      </c>
      <c r="AT295" s="12" t="s">
        <v>3753</v>
      </c>
      <c r="AU295" s="12">
        <v>61</v>
      </c>
      <c r="AV295" s="12" t="s">
        <v>83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2525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10.5">
      <c r="A296" s="11" t="s">
        <v>3754</v>
      </c>
      <c r="B296" s="12" t="s">
        <v>61</v>
      </c>
      <c r="C296" s="12" t="s">
        <v>3620</v>
      </c>
      <c r="D296" s="12" t="s">
        <v>63</v>
      </c>
      <c r="E296" s="12" t="s">
        <v>68</v>
      </c>
      <c r="F296" s="12" t="s">
        <v>68</v>
      </c>
      <c r="G296" s="12"/>
      <c r="H296" s="12" t="s">
        <v>146</v>
      </c>
      <c r="I296" s="12" t="s">
        <v>3755</v>
      </c>
      <c r="J296" s="34" t="s">
        <v>68</v>
      </c>
      <c r="K296" s="12">
        <v>46010991</v>
      </c>
      <c r="L296" s="13" t="s">
        <v>2711</v>
      </c>
      <c r="M296" s="12" t="s">
        <v>68</v>
      </c>
      <c r="N296" s="182"/>
      <c r="O296" s="12" t="s">
        <v>2574</v>
      </c>
      <c r="P296" s="12" t="s">
        <v>70</v>
      </c>
      <c r="Q296" s="12" t="s">
        <v>71</v>
      </c>
      <c r="R296" s="12">
        <v>554475</v>
      </c>
      <c r="S296" s="12" t="s">
        <v>72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75</v>
      </c>
      <c r="Z296" s="12"/>
      <c r="AA296" s="12" t="s">
        <v>85</v>
      </c>
      <c r="AB296" s="13" t="s">
        <v>967</v>
      </c>
      <c r="AC296" s="14">
        <v>45957</v>
      </c>
      <c r="AD296" s="15">
        <v>44</v>
      </c>
      <c r="AE296" s="176" t="s">
        <v>2575</v>
      </c>
      <c r="AF296" s="12">
        <v>371009325</v>
      </c>
      <c r="AG296" s="12" t="s">
        <v>77</v>
      </c>
      <c r="AH296" s="12" t="s">
        <v>78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146</v>
      </c>
      <c r="AP296" s="12" t="s">
        <v>3678</v>
      </c>
      <c r="AQ296" s="12"/>
      <c r="AR296" s="20" t="s">
        <v>3756</v>
      </c>
      <c r="AS296" s="12" t="s">
        <v>3753</v>
      </c>
      <c r="AT296" s="12" t="s">
        <v>3753</v>
      </c>
      <c r="AU296" s="12">
        <v>61</v>
      </c>
      <c r="AV296" s="12" t="s">
        <v>83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2525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3757</v>
      </c>
      <c r="B297" s="12" t="s">
        <v>61</v>
      </c>
      <c r="C297" s="12" t="s">
        <v>3620</v>
      </c>
      <c r="D297" s="12" t="s">
        <v>63</v>
      </c>
      <c r="E297" s="12" t="s">
        <v>68</v>
      </c>
      <c r="F297" s="12" t="s">
        <v>68</v>
      </c>
      <c r="G297" s="12"/>
      <c r="H297" s="12" t="s">
        <v>146</v>
      </c>
      <c r="I297" s="12" t="s">
        <v>3755</v>
      </c>
      <c r="J297" s="34" t="s">
        <v>68</v>
      </c>
      <c r="K297" s="12">
        <v>46010992</v>
      </c>
      <c r="L297" s="13" t="s">
        <v>2711</v>
      </c>
      <c r="M297" s="12" t="s">
        <v>68</v>
      </c>
      <c r="N297" s="182"/>
      <c r="O297" s="12" t="s">
        <v>2574</v>
      </c>
      <c r="P297" s="12" t="s">
        <v>70</v>
      </c>
      <c r="Q297" s="12" t="s">
        <v>71</v>
      </c>
      <c r="R297" s="12">
        <v>554475</v>
      </c>
      <c r="S297" s="12" t="s">
        <v>72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75</v>
      </c>
      <c r="Z297" s="12"/>
      <c r="AA297" s="12" t="s">
        <v>85</v>
      </c>
      <c r="AB297" s="13" t="s">
        <v>967</v>
      </c>
      <c r="AC297" s="14">
        <v>45957</v>
      </c>
      <c r="AD297" s="15">
        <v>44</v>
      </c>
      <c r="AE297" s="176" t="s">
        <v>2575</v>
      </c>
      <c r="AF297" s="12">
        <v>371009326</v>
      </c>
      <c r="AG297" s="12" t="s">
        <v>77</v>
      </c>
      <c r="AH297" s="12" t="s">
        <v>78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146</v>
      </c>
      <c r="AP297" s="12" t="s">
        <v>3678</v>
      </c>
      <c r="AQ297" s="12"/>
      <c r="AR297" s="20" t="s">
        <v>3756</v>
      </c>
      <c r="AS297" s="12" t="s">
        <v>3753</v>
      </c>
      <c r="AT297" s="12" t="s">
        <v>3753</v>
      </c>
      <c r="AU297" s="12">
        <v>61</v>
      </c>
      <c r="AV297" s="12" t="s">
        <v>83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2525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3758</v>
      </c>
      <c r="B298" s="12" t="s">
        <v>61</v>
      </c>
      <c r="C298" s="12" t="s">
        <v>3620</v>
      </c>
      <c r="D298" s="12" t="s">
        <v>63</v>
      </c>
      <c r="E298" s="12" t="s">
        <v>68</v>
      </c>
      <c r="F298" s="12" t="s">
        <v>68</v>
      </c>
      <c r="G298" s="12"/>
      <c r="H298" s="12" t="s">
        <v>146</v>
      </c>
      <c r="I298" s="12" t="s">
        <v>3755</v>
      </c>
      <c r="J298" s="34" t="s">
        <v>68</v>
      </c>
      <c r="K298" s="12">
        <v>46010993</v>
      </c>
      <c r="L298" s="13" t="s">
        <v>2711</v>
      </c>
      <c r="M298" s="12" t="s">
        <v>68</v>
      </c>
      <c r="N298" s="182"/>
      <c r="O298" s="12" t="s">
        <v>2574</v>
      </c>
      <c r="P298" s="12" t="s">
        <v>70</v>
      </c>
      <c r="Q298" s="12" t="s">
        <v>71</v>
      </c>
      <c r="R298" s="12">
        <v>554475</v>
      </c>
      <c r="S298" s="12" t="s">
        <v>72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75</v>
      </c>
      <c r="Z298" s="12"/>
      <c r="AA298" s="12" t="s">
        <v>85</v>
      </c>
      <c r="AB298" s="13" t="s">
        <v>967</v>
      </c>
      <c r="AC298" s="14">
        <v>45957</v>
      </c>
      <c r="AD298" s="15">
        <v>44</v>
      </c>
      <c r="AE298" s="176" t="s">
        <v>2575</v>
      </c>
      <c r="AF298" s="12">
        <v>371009327</v>
      </c>
      <c r="AG298" s="12" t="s">
        <v>77</v>
      </c>
      <c r="AH298" s="12" t="s">
        <v>78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146</v>
      </c>
      <c r="AP298" s="12" t="s">
        <v>3678</v>
      </c>
      <c r="AQ298" s="12"/>
      <c r="AR298" s="20" t="s">
        <v>3756</v>
      </c>
      <c r="AS298" s="12" t="s">
        <v>3753</v>
      </c>
      <c r="AT298" s="12" t="s">
        <v>3753</v>
      </c>
      <c r="AU298" s="12">
        <v>61</v>
      </c>
      <c r="AV298" s="12" t="s">
        <v>83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2525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10">
      <c r="A299" s="11" t="s">
        <v>3620</v>
      </c>
      <c r="B299" s="12" t="s">
        <v>61</v>
      </c>
      <c r="C299" s="12" t="s">
        <v>203</v>
      </c>
      <c r="D299" s="12" t="s">
        <v>63</v>
      </c>
      <c r="E299" s="12" t="s">
        <v>64</v>
      </c>
      <c r="F299" s="12" t="s">
        <v>65</v>
      </c>
      <c r="G299" s="12" t="s">
        <v>67</v>
      </c>
      <c r="H299" s="12" t="s">
        <v>66</v>
      </c>
      <c r="I299" s="12" t="s">
        <v>96</v>
      </c>
      <c r="J299" s="34" t="s">
        <v>68</v>
      </c>
      <c r="K299" s="12"/>
      <c r="L299" s="13" t="s">
        <v>2519</v>
      </c>
      <c r="M299" s="213" t="s">
        <v>68</v>
      </c>
      <c r="N299" s="182"/>
      <c r="O299" s="12" t="s">
        <v>2520</v>
      </c>
      <c r="P299" s="12" t="s">
        <v>70</v>
      </c>
      <c r="Q299" s="12" t="s">
        <v>71</v>
      </c>
      <c r="R299" s="12">
        <v>554475</v>
      </c>
      <c r="S299" s="12" t="s">
        <v>72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75</v>
      </c>
      <c r="Z299" s="12"/>
      <c r="AA299" s="12" t="s">
        <v>85</v>
      </c>
      <c r="AB299" s="13" t="s">
        <v>967</v>
      </c>
      <c r="AC299" s="14">
        <v>45957</v>
      </c>
      <c r="AD299" s="15">
        <v>44</v>
      </c>
      <c r="AE299" s="176" t="s">
        <v>3759</v>
      </c>
      <c r="AF299" s="12">
        <v>371009079</v>
      </c>
      <c r="AG299" s="12" t="s">
        <v>77</v>
      </c>
      <c r="AH299" s="12" t="s">
        <v>78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66</v>
      </c>
      <c r="AP299" s="12" t="s">
        <v>3678</v>
      </c>
      <c r="AQ299" s="12"/>
      <c r="AR299" s="12" t="s">
        <v>3752</v>
      </c>
      <c r="AS299" s="12" t="s">
        <v>3753</v>
      </c>
      <c r="AT299" s="12" t="s">
        <v>3753</v>
      </c>
      <c r="AU299" s="12">
        <v>61</v>
      </c>
      <c r="AV299" s="12" t="s">
        <v>83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2525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10">
      <c r="A300" s="11" t="s">
        <v>3760</v>
      </c>
      <c r="B300" s="12" t="s">
        <v>111</v>
      </c>
      <c r="C300" s="12" t="s">
        <v>3761</v>
      </c>
      <c r="D300" s="12" t="s">
        <v>63</v>
      </c>
      <c r="E300" s="12" t="s">
        <v>68</v>
      </c>
      <c r="F300" s="12" t="s">
        <v>68</v>
      </c>
      <c r="G300" s="12"/>
      <c r="H300" s="12" t="s">
        <v>66</v>
      </c>
      <c r="I300" s="12" t="s">
        <v>96</v>
      </c>
      <c r="J300" s="34" t="s">
        <v>68</v>
      </c>
      <c r="K300" s="12"/>
      <c r="L300" s="13" t="s">
        <v>2527</v>
      </c>
      <c r="M300" s="12" t="s">
        <v>68</v>
      </c>
      <c r="N300" s="182"/>
      <c r="O300" s="12" t="s">
        <v>2520</v>
      </c>
      <c r="P300" s="12" t="s">
        <v>170</v>
      </c>
      <c r="Q300" s="12" t="s">
        <v>462</v>
      </c>
      <c r="R300" s="12">
        <v>552026</v>
      </c>
      <c r="S300" s="12" t="s">
        <v>463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75</v>
      </c>
      <c r="Z300" s="12"/>
      <c r="AA300" s="12" t="s">
        <v>108</v>
      </c>
      <c r="AB300" s="13" t="s">
        <v>1187</v>
      </c>
      <c r="AC300" s="14">
        <v>45968</v>
      </c>
      <c r="AD300" s="15">
        <v>45</v>
      </c>
      <c r="AE300" s="176" t="s">
        <v>3762</v>
      </c>
      <c r="AF300" s="12">
        <v>371009111</v>
      </c>
      <c r="AG300" s="12" t="s">
        <v>122</v>
      </c>
      <c r="AH300" s="12" t="s">
        <v>124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66</v>
      </c>
      <c r="AP300" s="12" t="s">
        <v>3763</v>
      </c>
      <c r="AQ300" s="12"/>
      <c r="AR300" s="12" t="s">
        <v>3764</v>
      </c>
      <c r="AS300" s="12" t="s">
        <v>3765</v>
      </c>
      <c r="AT300" s="12" t="s">
        <v>3765</v>
      </c>
      <c r="AU300" s="12">
        <v>47</v>
      </c>
      <c r="AV300" s="12" t="s">
        <v>83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2525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10">
      <c r="A301" s="11" t="s">
        <v>3766</v>
      </c>
      <c r="B301" s="12" t="s">
        <v>111</v>
      </c>
      <c r="C301" s="12" t="s">
        <v>3767</v>
      </c>
      <c r="D301" s="12" t="s">
        <v>63</v>
      </c>
      <c r="E301" s="12" t="s">
        <v>68</v>
      </c>
      <c r="F301" s="12" t="s">
        <v>68</v>
      </c>
      <c r="G301" s="12"/>
      <c r="H301" s="12" t="s">
        <v>66</v>
      </c>
      <c r="I301" s="12" t="s">
        <v>1342</v>
      </c>
      <c r="J301" s="34" t="s">
        <v>68</v>
      </c>
      <c r="K301" s="12"/>
      <c r="L301" s="13" t="s">
        <v>2542</v>
      </c>
      <c r="M301" s="12" t="s">
        <v>68</v>
      </c>
      <c r="N301" s="182"/>
      <c r="O301" s="12" t="s">
        <v>2520</v>
      </c>
      <c r="P301" s="12" t="s">
        <v>132</v>
      </c>
      <c r="Q301" s="12" t="s">
        <v>453</v>
      </c>
      <c r="R301" s="12">
        <v>554541</v>
      </c>
      <c r="S301" s="12" t="s">
        <v>454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75</v>
      </c>
      <c r="Z301" s="12"/>
      <c r="AA301" s="12" t="s">
        <v>108</v>
      </c>
      <c r="AB301" s="32" t="s">
        <v>967</v>
      </c>
      <c r="AC301" s="14">
        <v>45968</v>
      </c>
      <c r="AD301" s="15">
        <v>45</v>
      </c>
      <c r="AE301" s="176" t="s">
        <v>3768</v>
      </c>
      <c r="AF301" s="12">
        <v>371009122</v>
      </c>
      <c r="AG301" s="12" t="s">
        <v>122</v>
      </c>
      <c r="AH301" s="12" t="s">
        <v>314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66</v>
      </c>
      <c r="AP301" s="12" t="s">
        <v>3769</v>
      </c>
      <c r="AQ301" s="12"/>
      <c r="AR301" s="12" t="s">
        <v>3770</v>
      </c>
      <c r="AS301" s="12" t="s">
        <v>3771</v>
      </c>
      <c r="AT301" s="12" t="s">
        <v>3771</v>
      </c>
      <c r="AU301" s="12">
        <v>45</v>
      </c>
      <c r="AV301" s="12" t="s">
        <v>83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2525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10">
      <c r="A302" s="11" t="s">
        <v>3772</v>
      </c>
      <c r="B302" s="12" t="s">
        <v>111</v>
      </c>
      <c r="C302" s="12" t="s">
        <v>548</v>
      </c>
      <c r="D302" s="12" t="s">
        <v>63</v>
      </c>
      <c r="E302" s="12" t="s">
        <v>64</v>
      </c>
      <c r="F302" s="12" t="s">
        <v>65</v>
      </c>
      <c r="G302" s="12" t="s">
        <v>67</v>
      </c>
      <c r="H302" s="12" t="s">
        <v>66</v>
      </c>
      <c r="I302" s="12" t="s">
        <v>96</v>
      </c>
      <c r="J302" s="34" t="s">
        <v>68</v>
      </c>
      <c r="K302" s="12"/>
      <c r="L302" s="13" t="s">
        <v>2519</v>
      </c>
      <c r="M302" s="213" t="s">
        <v>68</v>
      </c>
      <c r="N302" s="182"/>
      <c r="O302" s="12" t="s">
        <v>2520</v>
      </c>
      <c r="P302" s="12" t="s">
        <v>550</v>
      </c>
      <c r="Q302" s="12" t="s">
        <v>551</v>
      </c>
      <c r="R302" s="12">
        <v>553118</v>
      </c>
      <c r="S302" s="12" t="s">
        <v>552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75</v>
      </c>
      <c r="Z302" s="12"/>
      <c r="AA302" s="12" t="s">
        <v>85</v>
      </c>
      <c r="AB302" s="13" t="s">
        <v>2136</v>
      </c>
      <c r="AC302" s="14">
        <v>45968</v>
      </c>
      <c r="AD302" s="15">
        <v>45</v>
      </c>
      <c r="AE302" s="176" t="s">
        <v>3773</v>
      </c>
      <c r="AF302" s="12">
        <v>371009115</v>
      </c>
      <c r="AG302" s="12" t="s">
        <v>122</v>
      </c>
      <c r="AH302" s="12" t="s">
        <v>78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66</v>
      </c>
      <c r="AP302" s="12" t="s">
        <v>3763</v>
      </c>
      <c r="AQ302" s="12"/>
      <c r="AR302" s="12" t="s">
        <v>3774</v>
      </c>
      <c r="AS302" s="12" t="s">
        <v>3775</v>
      </c>
      <c r="AT302" s="12" t="s">
        <v>3775</v>
      </c>
      <c r="AU302" s="12">
        <v>56</v>
      </c>
      <c r="AV302" s="12" t="s">
        <v>83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2525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175" customFormat="1" ht="10">
      <c r="A303" s="172" t="s">
        <v>3776</v>
      </c>
      <c r="B303" s="41" t="s">
        <v>111</v>
      </c>
      <c r="C303" s="41" t="s">
        <v>3777</v>
      </c>
      <c r="D303" s="41" t="s">
        <v>63</v>
      </c>
      <c r="E303" s="41" t="s">
        <v>64</v>
      </c>
      <c r="F303" s="41" t="s">
        <v>100</v>
      </c>
      <c r="G303" s="41" t="s">
        <v>67</v>
      </c>
      <c r="H303" s="41" t="s">
        <v>402</v>
      </c>
      <c r="I303" s="41" t="s">
        <v>677</v>
      </c>
      <c r="J303" s="173" t="s">
        <v>68</v>
      </c>
      <c r="K303" s="41">
        <v>14130754</v>
      </c>
      <c r="L303" s="173" t="s">
        <v>2777</v>
      </c>
      <c r="M303" s="225" t="s">
        <v>68</v>
      </c>
      <c r="N303" s="184"/>
      <c r="O303" s="41" t="s">
        <v>2520</v>
      </c>
      <c r="P303" s="41" t="s">
        <v>70</v>
      </c>
      <c r="Q303" s="41" t="s">
        <v>102</v>
      </c>
      <c r="R303" s="41">
        <v>554245</v>
      </c>
      <c r="S303" s="41" t="s">
        <v>103</v>
      </c>
      <c r="T303" s="208">
        <v>620</v>
      </c>
      <c r="U303" s="208">
        <v>3600</v>
      </c>
      <c r="V303" s="41">
        <v>2.2320000000000002</v>
      </c>
      <c r="W303" s="201">
        <v>100</v>
      </c>
      <c r="X303" s="255">
        <v>5</v>
      </c>
      <c r="Y303" s="41" t="s">
        <v>75</v>
      </c>
      <c r="Z303" s="41"/>
      <c r="AA303" s="41" t="s">
        <v>108</v>
      </c>
      <c r="AB303" s="1215" t="s">
        <v>3778</v>
      </c>
      <c r="AC303" s="37">
        <v>45970</v>
      </c>
      <c r="AD303" s="174">
        <v>45</v>
      </c>
      <c r="AE303" s="287" t="s">
        <v>3779</v>
      </c>
      <c r="AF303" s="41">
        <v>371009175</v>
      </c>
      <c r="AG303" s="41" t="s">
        <v>122</v>
      </c>
      <c r="AH303" s="41" t="s">
        <v>105</v>
      </c>
      <c r="AI303" s="37">
        <v>45977</v>
      </c>
      <c r="AJ303" s="37">
        <v>45977</v>
      </c>
      <c r="AK303" s="37">
        <v>45977</v>
      </c>
      <c r="AL303" s="37">
        <v>46017</v>
      </c>
      <c r="AM303" s="37">
        <v>46023</v>
      </c>
      <c r="AN303" s="37">
        <v>46023</v>
      </c>
      <c r="AO303" s="86" t="s">
        <v>402</v>
      </c>
      <c r="AP303" s="41" t="s">
        <v>3780</v>
      </c>
      <c r="AQ303" s="41"/>
      <c r="AR303" s="41" t="s">
        <v>3781</v>
      </c>
      <c r="AS303" s="41" t="s">
        <v>3782</v>
      </c>
      <c r="AT303" s="41" t="s">
        <v>3782</v>
      </c>
      <c r="AU303" s="41">
        <v>40</v>
      </c>
      <c r="AV303" s="41" t="s">
        <v>2538</v>
      </c>
      <c r="AW303" s="41">
        <v>5</v>
      </c>
      <c r="AX303" s="41">
        <v>53</v>
      </c>
      <c r="AY303" s="37">
        <v>45977</v>
      </c>
      <c r="AZ303" s="37">
        <v>46023</v>
      </c>
      <c r="BA303" s="41" t="e">
        <v>#N/A</v>
      </c>
      <c r="BB303" s="37" t="s">
        <v>2525</v>
      </c>
      <c r="BC303" s="37">
        <v>46037</v>
      </c>
      <c r="BD303" s="219">
        <v>2026</v>
      </c>
      <c r="BE303" s="219">
        <v>1</v>
      </c>
      <c r="BF303" s="219">
        <v>3</v>
      </c>
      <c r="BG303" s="219">
        <v>36</v>
      </c>
      <c r="BH303" s="219">
        <v>720</v>
      </c>
    </row>
    <row r="304" spans="1:60" s="23" customFormat="1" ht="10">
      <c r="A304" s="11" t="s">
        <v>3783</v>
      </c>
      <c r="B304" s="12" t="s">
        <v>111</v>
      </c>
      <c r="C304" s="12" t="s">
        <v>3784</v>
      </c>
      <c r="D304" s="12" t="s">
        <v>63</v>
      </c>
      <c r="E304" s="12" t="s">
        <v>68</v>
      </c>
      <c r="F304" s="12" t="s">
        <v>68</v>
      </c>
      <c r="G304" s="12"/>
      <c r="H304" s="12" t="s">
        <v>402</v>
      </c>
      <c r="I304" s="12" t="s">
        <v>594</v>
      </c>
      <c r="J304" s="34" t="s">
        <v>68</v>
      </c>
      <c r="K304" s="12">
        <v>16102605</v>
      </c>
      <c r="L304" s="13" t="s">
        <v>2527</v>
      </c>
      <c r="M304" s="12" t="s">
        <v>68</v>
      </c>
      <c r="N304" s="182"/>
      <c r="O304" s="12" t="s">
        <v>2520</v>
      </c>
      <c r="P304" s="12" t="s">
        <v>132</v>
      </c>
      <c r="Q304" s="12" t="s">
        <v>1905</v>
      </c>
      <c r="R304" s="12">
        <v>554547</v>
      </c>
      <c r="S304" s="12" t="s">
        <v>1906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75</v>
      </c>
      <c r="Z304" s="12"/>
      <c r="AA304" s="12" t="s">
        <v>108</v>
      </c>
      <c r="AB304" s="13" t="s">
        <v>992</v>
      </c>
      <c r="AC304" s="14">
        <v>45968</v>
      </c>
      <c r="AD304" s="15">
        <v>45</v>
      </c>
      <c r="AE304" s="176" t="s">
        <v>3785</v>
      </c>
      <c r="AF304" s="12">
        <v>371009112</v>
      </c>
      <c r="AG304" s="12" t="s">
        <v>122</v>
      </c>
      <c r="AH304" s="12" t="s">
        <v>124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402</v>
      </c>
      <c r="AP304" s="12" t="s">
        <v>3769</v>
      </c>
      <c r="AQ304" s="12"/>
      <c r="AR304" s="12" t="s">
        <v>3786</v>
      </c>
      <c r="AS304" s="12" t="s">
        <v>3787</v>
      </c>
      <c r="AT304" s="12" t="s">
        <v>3787</v>
      </c>
      <c r="AU304" s="12">
        <v>56</v>
      </c>
      <c r="AV304" s="12" t="s">
        <v>2538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2525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10">
      <c r="A305" s="11" t="s">
        <v>3788</v>
      </c>
      <c r="B305" s="12" t="s">
        <v>61</v>
      </c>
      <c r="C305" s="12" t="s">
        <v>3287</v>
      </c>
      <c r="D305" s="12" t="s">
        <v>63</v>
      </c>
      <c r="E305" s="12" t="s">
        <v>68</v>
      </c>
      <c r="F305" s="12" t="s">
        <v>68</v>
      </c>
      <c r="G305" s="12"/>
      <c r="H305" s="12" t="s">
        <v>66</v>
      </c>
      <c r="I305" s="12" t="s">
        <v>1559</v>
      </c>
      <c r="J305" s="34" t="s">
        <v>68</v>
      </c>
      <c r="K305" s="12"/>
      <c r="L305" s="13" t="s">
        <v>2542</v>
      </c>
      <c r="M305" s="12" t="s">
        <v>68</v>
      </c>
      <c r="N305" s="182"/>
      <c r="O305" s="12" t="s">
        <v>2520</v>
      </c>
      <c r="P305" s="12" t="s">
        <v>70</v>
      </c>
      <c r="Q305" s="12" t="s">
        <v>420</v>
      </c>
      <c r="R305" s="12">
        <v>554476</v>
      </c>
      <c r="S305" s="12" t="s">
        <v>421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75</v>
      </c>
      <c r="Z305" s="12"/>
      <c r="AA305" s="12" t="s">
        <v>2703</v>
      </c>
      <c r="AB305" s="13" t="s">
        <v>992</v>
      </c>
      <c r="AC305" s="14">
        <v>45965</v>
      </c>
      <c r="AD305" s="15">
        <v>45</v>
      </c>
      <c r="AE305" s="176" t="s">
        <v>3789</v>
      </c>
      <c r="AF305" s="12">
        <v>371009116</v>
      </c>
      <c r="AG305" s="12" t="s">
        <v>77</v>
      </c>
      <c r="AH305" s="12" t="s">
        <v>1561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66</v>
      </c>
      <c r="AP305" s="12" t="s">
        <v>3790</v>
      </c>
      <c r="AQ305" s="12"/>
      <c r="AR305" s="12" t="s">
        <v>3791</v>
      </c>
      <c r="AS305" s="12" t="s">
        <v>3792</v>
      </c>
      <c r="AT305" s="12" t="s">
        <v>3792</v>
      </c>
      <c r="AU305" s="12">
        <v>59</v>
      </c>
      <c r="AV305" s="12" t="s">
        <v>83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2525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10">
      <c r="A306" s="11" t="s">
        <v>3793</v>
      </c>
      <c r="B306" s="12" t="s">
        <v>61</v>
      </c>
      <c r="C306" s="12" t="s">
        <v>3794</v>
      </c>
      <c r="D306" s="12" t="s">
        <v>63</v>
      </c>
      <c r="E306" s="12" t="s">
        <v>68</v>
      </c>
      <c r="F306" s="12" t="s">
        <v>68</v>
      </c>
      <c r="G306" s="12"/>
      <c r="H306" s="12" t="s">
        <v>66</v>
      </c>
      <c r="I306" s="12" t="s">
        <v>1342</v>
      </c>
      <c r="J306" s="34" t="s">
        <v>68</v>
      </c>
      <c r="K306" s="12"/>
      <c r="L306" s="13" t="s">
        <v>2542</v>
      </c>
      <c r="M306" s="12" t="s">
        <v>68</v>
      </c>
      <c r="N306" s="182"/>
      <c r="O306" s="12" t="s">
        <v>2520</v>
      </c>
      <c r="P306" s="12" t="s">
        <v>70</v>
      </c>
      <c r="Q306" s="12" t="s">
        <v>420</v>
      </c>
      <c r="R306" s="12">
        <v>554476</v>
      </c>
      <c r="S306" s="12" t="s">
        <v>421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75</v>
      </c>
      <c r="Z306" s="12"/>
      <c r="AA306" s="12" t="e">
        <v>#N/A</v>
      </c>
      <c r="AB306" s="13" t="s">
        <v>992</v>
      </c>
      <c r="AC306" s="14">
        <v>45965</v>
      </c>
      <c r="AD306" s="15">
        <v>45</v>
      </c>
      <c r="AE306" s="176" t="s">
        <v>3795</v>
      </c>
      <c r="AF306" s="12">
        <v>371009119</v>
      </c>
      <c r="AG306" s="12" t="s">
        <v>77</v>
      </c>
      <c r="AH306" s="12" t="s">
        <v>314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66</v>
      </c>
      <c r="AP306" s="12" t="s">
        <v>3790</v>
      </c>
      <c r="AQ306" s="12"/>
      <c r="AR306" s="12" t="s">
        <v>3796</v>
      </c>
      <c r="AS306" s="12" t="s">
        <v>3797</v>
      </c>
      <c r="AT306" s="12" t="s">
        <v>3797</v>
      </c>
      <c r="AU306" s="12">
        <v>55</v>
      </c>
      <c r="AV306" s="12" t="s">
        <v>83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2525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10">
      <c r="A307" s="11" t="s">
        <v>3798</v>
      </c>
      <c r="B307" s="12" t="s">
        <v>61</v>
      </c>
      <c r="C307" s="12" t="s">
        <v>3794</v>
      </c>
      <c r="D307" s="12" t="s">
        <v>63</v>
      </c>
      <c r="E307" s="12" t="s">
        <v>64</v>
      </c>
      <c r="F307" s="31" t="s">
        <v>310</v>
      </c>
      <c r="G307" s="12" t="s">
        <v>311</v>
      </c>
      <c r="H307" s="12" t="s">
        <v>66</v>
      </c>
      <c r="I307" s="12" t="s">
        <v>1342</v>
      </c>
      <c r="J307" s="34" t="s">
        <v>68</v>
      </c>
      <c r="K307" s="12"/>
      <c r="L307" s="13" t="s">
        <v>2542</v>
      </c>
      <c r="M307" s="213" t="s">
        <v>68</v>
      </c>
      <c r="N307" s="182"/>
      <c r="O307" s="12" t="s">
        <v>2520</v>
      </c>
      <c r="P307" s="12" t="s">
        <v>70</v>
      </c>
      <c r="Q307" s="12" t="s">
        <v>420</v>
      </c>
      <c r="R307" s="12">
        <v>554476</v>
      </c>
      <c r="S307" s="12" t="s">
        <v>421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75</v>
      </c>
      <c r="Z307" s="12"/>
      <c r="AA307" s="12" t="e">
        <v>#N/A</v>
      </c>
      <c r="AB307" s="13" t="s">
        <v>992</v>
      </c>
      <c r="AC307" s="14">
        <v>45970</v>
      </c>
      <c r="AD307" s="15">
        <v>45</v>
      </c>
      <c r="AE307" s="176" t="s">
        <v>3799</v>
      </c>
      <c r="AF307" s="12">
        <v>371009132</v>
      </c>
      <c r="AG307" s="12" t="s">
        <v>77</v>
      </c>
      <c r="AH307" s="12" t="s">
        <v>314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66</v>
      </c>
      <c r="AP307" s="12" t="s">
        <v>3800</v>
      </c>
      <c r="AQ307" s="12"/>
      <c r="AR307" s="12" t="s">
        <v>3801</v>
      </c>
      <c r="AS307" s="12" t="s">
        <v>3802</v>
      </c>
      <c r="AT307" s="12" t="s">
        <v>3802</v>
      </c>
      <c r="AU307" s="12">
        <v>62</v>
      </c>
      <c r="AV307" s="12" t="s">
        <v>83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2525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10">
      <c r="A308" s="11" t="s">
        <v>3803</v>
      </c>
      <c r="B308" s="12" t="s">
        <v>61</v>
      </c>
      <c r="C308" s="12" t="s">
        <v>3804</v>
      </c>
      <c r="D308" s="12" t="s">
        <v>63</v>
      </c>
      <c r="E308" s="12"/>
      <c r="F308" s="12" t="s">
        <v>310</v>
      </c>
      <c r="G308" s="12" t="s">
        <v>311</v>
      </c>
      <c r="H308" s="12" t="s">
        <v>66</v>
      </c>
      <c r="I308" s="12" t="s">
        <v>1342</v>
      </c>
      <c r="J308" s="34" t="s">
        <v>68</v>
      </c>
      <c r="K308" s="12"/>
      <c r="L308" s="13" t="s">
        <v>2542</v>
      </c>
      <c r="M308" s="12" t="s">
        <v>68</v>
      </c>
      <c r="N308" s="182"/>
      <c r="O308" s="12" t="s">
        <v>2520</v>
      </c>
      <c r="P308" s="12" t="s">
        <v>70</v>
      </c>
      <c r="Q308" s="12" t="s">
        <v>102</v>
      </c>
      <c r="R308" s="12">
        <v>554245</v>
      </c>
      <c r="S308" s="12" t="s">
        <v>103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75</v>
      </c>
      <c r="Z308" s="12"/>
      <c r="AA308" s="12" t="s">
        <v>108</v>
      </c>
      <c r="AB308" s="13" t="s">
        <v>967</v>
      </c>
      <c r="AC308" s="14">
        <v>45965</v>
      </c>
      <c r="AD308" s="15">
        <v>45</v>
      </c>
      <c r="AE308" s="176" t="s">
        <v>3805</v>
      </c>
      <c r="AF308" s="12">
        <v>371009120</v>
      </c>
      <c r="AG308" s="12" t="s">
        <v>77</v>
      </c>
      <c r="AH308" s="12" t="s">
        <v>314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66</v>
      </c>
      <c r="AP308" s="12" t="s">
        <v>3790</v>
      </c>
      <c r="AQ308" s="12"/>
      <c r="AR308" s="12" t="s">
        <v>3796</v>
      </c>
      <c r="AS308" s="12" t="s">
        <v>3797</v>
      </c>
      <c r="AT308" s="12" t="s">
        <v>3797</v>
      </c>
      <c r="AU308" s="12">
        <v>55</v>
      </c>
      <c r="AV308" s="12" t="s">
        <v>83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2525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10">
      <c r="A309" s="11" t="s">
        <v>3806</v>
      </c>
      <c r="B309" s="12" t="s">
        <v>61</v>
      </c>
      <c r="C309" s="12" t="s">
        <v>62</v>
      </c>
      <c r="D309" s="12" t="s">
        <v>63</v>
      </c>
      <c r="E309" s="12" t="s">
        <v>68</v>
      </c>
      <c r="F309" s="12" t="s">
        <v>68</v>
      </c>
      <c r="G309" s="12"/>
      <c r="H309" s="12" t="s">
        <v>146</v>
      </c>
      <c r="I309" s="12" t="s">
        <v>147</v>
      </c>
      <c r="J309" s="34" t="s">
        <v>68</v>
      </c>
      <c r="K309" s="12">
        <v>46010942</v>
      </c>
      <c r="L309" s="13" t="s">
        <v>2711</v>
      </c>
      <c r="M309" s="12" t="s">
        <v>68</v>
      </c>
      <c r="N309" s="182"/>
      <c r="O309" s="12" t="s">
        <v>2520</v>
      </c>
      <c r="P309" s="12" t="s">
        <v>70</v>
      </c>
      <c r="Q309" s="12" t="s">
        <v>71</v>
      </c>
      <c r="R309" s="12">
        <v>554475</v>
      </c>
      <c r="S309" s="12" t="s">
        <v>72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75</v>
      </c>
      <c r="Z309" s="12"/>
      <c r="AA309" s="12" t="s">
        <v>85</v>
      </c>
      <c r="AB309" s="13" t="s">
        <v>967</v>
      </c>
      <c r="AC309" s="14">
        <v>45970</v>
      </c>
      <c r="AD309" s="15">
        <v>45</v>
      </c>
      <c r="AE309" s="176" t="s">
        <v>3807</v>
      </c>
      <c r="AF309" s="12">
        <v>371009138</v>
      </c>
      <c r="AG309" s="12" t="s">
        <v>77</v>
      </c>
      <c r="AH309" s="12" t="s">
        <v>78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146</v>
      </c>
      <c r="AP309" s="12" t="s">
        <v>3800</v>
      </c>
      <c r="AQ309" s="12"/>
      <c r="AR309" s="12" t="s">
        <v>3808</v>
      </c>
      <c r="AS309" s="12" t="s">
        <v>3809</v>
      </c>
      <c r="AT309" s="12" t="s">
        <v>3809</v>
      </c>
      <c r="AU309" s="12">
        <v>68</v>
      </c>
      <c r="AV309" s="12" t="s">
        <v>2538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2525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10">
      <c r="A310" s="11" t="s">
        <v>3810</v>
      </c>
      <c r="B310" s="12" t="s">
        <v>61</v>
      </c>
      <c r="C310" s="12" t="s">
        <v>3804</v>
      </c>
      <c r="D310" s="12" t="s">
        <v>63</v>
      </c>
      <c r="E310" s="12" t="s">
        <v>64</v>
      </c>
      <c r="F310" s="31" t="s">
        <v>310</v>
      </c>
      <c r="G310" s="12" t="s">
        <v>311</v>
      </c>
      <c r="H310" s="12" t="s">
        <v>66</v>
      </c>
      <c r="I310" s="12" t="s">
        <v>1342</v>
      </c>
      <c r="J310" s="34" t="s">
        <v>68</v>
      </c>
      <c r="K310" s="12"/>
      <c r="L310" s="13" t="s">
        <v>2542</v>
      </c>
      <c r="M310" s="213" t="s">
        <v>68</v>
      </c>
      <c r="N310" s="182"/>
      <c r="O310" s="12" t="s">
        <v>2520</v>
      </c>
      <c r="P310" s="12" t="s">
        <v>70</v>
      </c>
      <c r="Q310" s="12" t="s">
        <v>102</v>
      </c>
      <c r="R310" s="12">
        <v>554245</v>
      </c>
      <c r="S310" s="12" t="s">
        <v>103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75</v>
      </c>
      <c r="Z310" s="12"/>
      <c r="AA310" s="12" t="s">
        <v>108</v>
      </c>
      <c r="AB310" s="13" t="s">
        <v>967</v>
      </c>
      <c r="AC310" s="14">
        <v>45970</v>
      </c>
      <c r="AD310" s="15">
        <v>45</v>
      </c>
      <c r="AE310" s="176" t="s">
        <v>3811</v>
      </c>
      <c r="AF310" s="12">
        <v>371009134</v>
      </c>
      <c r="AG310" s="12" t="s">
        <v>77</v>
      </c>
      <c r="AH310" s="12" t="s">
        <v>314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66</v>
      </c>
      <c r="AP310" s="12" t="s">
        <v>3800</v>
      </c>
      <c r="AQ310" s="12"/>
      <c r="AR310" s="12" t="s">
        <v>3801</v>
      </c>
      <c r="AS310" s="12" t="s">
        <v>3802</v>
      </c>
      <c r="AT310" s="12" t="s">
        <v>3802</v>
      </c>
      <c r="AU310" s="12">
        <v>63</v>
      </c>
      <c r="AV310" s="12" t="s">
        <v>83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2525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10">
      <c r="A311" s="11" t="s">
        <v>3812</v>
      </c>
      <c r="B311" s="12" t="s">
        <v>61</v>
      </c>
      <c r="C311" s="12" t="s">
        <v>3227</v>
      </c>
      <c r="D311" s="12" t="s">
        <v>63</v>
      </c>
      <c r="E311" s="12" t="s">
        <v>68</v>
      </c>
      <c r="F311" s="12" t="s">
        <v>68</v>
      </c>
      <c r="G311" s="12"/>
      <c r="H311" s="12" t="s">
        <v>66</v>
      </c>
      <c r="I311" s="12" t="s">
        <v>1342</v>
      </c>
      <c r="J311" s="34" t="s">
        <v>68</v>
      </c>
      <c r="K311" s="12"/>
      <c r="L311" s="13" t="s">
        <v>2542</v>
      </c>
      <c r="M311" s="12" t="s">
        <v>68</v>
      </c>
      <c r="N311" s="182"/>
      <c r="O311" s="12" t="s">
        <v>2520</v>
      </c>
      <c r="P311" s="12" t="s">
        <v>70</v>
      </c>
      <c r="Q311" s="12" t="s">
        <v>102</v>
      </c>
      <c r="R311" s="12">
        <v>554245</v>
      </c>
      <c r="S311" s="12" t="s">
        <v>103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75</v>
      </c>
      <c r="Z311" s="12"/>
      <c r="AA311" s="12" t="s">
        <v>108</v>
      </c>
      <c r="AB311" s="13" t="s">
        <v>967</v>
      </c>
      <c r="AC311" s="14">
        <v>45965</v>
      </c>
      <c r="AD311" s="15">
        <v>45</v>
      </c>
      <c r="AE311" s="289" t="s">
        <v>3813</v>
      </c>
      <c r="AF311" s="12">
        <v>371009117</v>
      </c>
      <c r="AG311" s="12" t="s">
        <v>77</v>
      </c>
      <c r="AH311" s="12" t="s">
        <v>314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66</v>
      </c>
      <c r="AP311" s="12" t="s">
        <v>3790</v>
      </c>
      <c r="AQ311" s="12"/>
      <c r="AR311" s="12" t="s">
        <v>3796</v>
      </c>
      <c r="AS311" s="12" t="s">
        <v>3797</v>
      </c>
      <c r="AT311" s="12" t="s">
        <v>3797</v>
      </c>
      <c r="AU311" s="12">
        <v>55</v>
      </c>
      <c r="AV311" s="12" t="s">
        <v>83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2525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10">
      <c r="A312" s="11" t="s">
        <v>3814</v>
      </c>
      <c r="B312" s="12" t="s">
        <v>111</v>
      </c>
      <c r="C312" s="12" t="s">
        <v>3767</v>
      </c>
      <c r="D312" s="12" t="s">
        <v>63</v>
      </c>
      <c r="E312" s="12" t="s">
        <v>68</v>
      </c>
      <c r="F312" s="12" t="s">
        <v>68</v>
      </c>
      <c r="G312" s="12"/>
      <c r="H312" s="12" t="s">
        <v>66</v>
      </c>
      <c r="I312" s="12" t="s">
        <v>1342</v>
      </c>
      <c r="J312" s="34" t="s">
        <v>68</v>
      </c>
      <c r="K312" s="12"/>
      <c r="L312" s="13" t="s">
        <v>2542</v>
      </c>
      <c r="M312" s="12" t="s">
        <v>68</v>
      </c>
      <c r="N312" s="182"/>
      <c r="O312" s="12" t="s">
        <v>2520</v>
      </c>
      <c r="P312" s="12" t="s">
        <v>132</v>
      </c>
      <c r="Q312" s="12" t="s">
        <v>453</v>
      </c>
      <c r="R312" s="12">
        <v>554541</v>
      </c>
      <c r="S312" s="12" t="s">
        <v>454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75</v>
      </c>
      <c r="Z312" s="12"/>
      <c r="AA312" s="12" t="s">
        <v>108</v>
      </c>
      <c r="AB312" s="32" t="s">
        <v>967</v>
      </c>
      <c r="AC312" s="14">
        <v>45969</v>
      </c>
      <c r="AD312" s="15">
        <v>45</v>
      </c>
      <c r="AE312" s="176" t="s">
        <v>3815</v>
      </c>
      <c r="AF312" s="12">
        <v>371009136</v>
      </c>
      <c r="AG312" s="12" t="s">
        <v>122</v>
      </c>
      <c r="AH312" s="12" t="s">
        <v>314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66</v>
      </c>
      <c r="AP312" s="12" t="s">
        <v>3816</v>
      </c>
      <c r="AQ312" s="12"/>
      <c r="AR312" s="12" t="s">
        <v>3817</v>
      </c>
      <c r="AS312" s="12" t="s">
        <v>3818</v>
      </c>
      <c r="AT312" s="12" t="s">
        <v>3818</v>
      </c>
      <c r="AU312" s="12">
        <v>47</v>
      </c>
      <c r="AV312" s="12" t="s">
        <v>83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2525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10">
      <c r="A313" s="11" t="s">
        <v>3819</v>
      </c>
      <c r="B313" s="12" t="s">
        <v>111</v>
      </c>
      <c r="C313" s="12" t="s">
        <v>3767</v>
      </c>
      <c r="D313" s="12" t="s">
        <v>63</v>
      </c>
      <c r="E313" s="12" t="s">
        <v>68</v>
      </c>
      <c r="F313" s="12" t="s">
        <v>68</v>
      </c>
      <c r="G313" s="12"/>
      <c r="H313" s="12" t="s">
        <v>66</v>
      </c>
      <c r="I313" s="12" t="s">
        <v>1559</v>
      </c>
      <c r="J313" s="34" t="s">
        <v>68</v>
      </c>
      <c r="K313" s="12"/>
      <c r="L313" s="13" t="s">
        <v>2542</v>
      </c>
      <c r="M313" s="12" t="s">
        <v>68</v>
      </c>
      <c r="N313" s="182"/>
      <c r="O313" s="12" t="s">
        <v>2520</v>
      </c>
      <c r="P313" s="12" t="s">
        <v>132</v>
      </c>
      <c r="Q313" s="12" t="s">
        <v>453</v>
      </c>
      <c r="R313" s="12">
        <v>554541</v>
      </c>
      <c r="S313" s="12" t="s">
        <v>454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75</v>
      </c>
      <c r="Z313" s="12"/>
      <c r="AA313" s="12" t="s">
        <v>108</v>
      </c>
      <c r="AB313" s="32" t="s">
        <v>967</v>
      </c>
      <c r="AC313" s="14">
        <v>45969</v>
      </c>
      <c r="AD313" s="15">
        <v>45</v>
      </c>
      <c r="AE313" s="176" t="s">
        <v>3820</v>
      </c>
      <c r="AF313" s="12">
        <v>371009137</v>
      </c>
      <c r="AG313" s="12" t="s">
        <v>122</v>
      </c>
      <c r="AH313" s="12" t="s">
        <v>1561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66</v>
      </c>
      <c r="AP313" s="12" t="s">
        <v>3816</v>
      </c>
      <c r="AQ313" s="12"/>
      <c r="AR313" s="12" t="s">
        <v>3821</v>
      </c>
      <c r="AS313" s="12" t="s">
        <v>3822</v>
      </c>
      <c r="AT313" s="12" t="s">
        <v>3822</v>
      </c>
      <c r="AU313" s="12">
        <v>51</v>
      </c>
      <c r="AV313" s="12" t="s">
        <v>83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2525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10">
      <c r="A314" s="11" t="s">
        <v>3823</v>
      </c>
      <c r="B314" s="12" t="s">
        <v>111</v>
      </c>
      <c r="C314" s="12" t="s">
        <v>3824</v>
      </c>
      <c r="D314" s="12" t="s">
        <v>63</v>
      </c>
      <c r="E314" s="12" t="s">
        <v>64</v>
      </c>
      <c r="F314" s="12" t="s">
        <v>100</v>
      </c>
      <c r="G314" s="12" t="s">
        <v>67</v>
      </c>
      <c r="H314" s="12" t="s">
        <v>402</v>
      </c>
      <c r="I314" s="12" t="s">
        <v>677</v>
      </c>
      <c r="J314" s="34" t="s">
        <v>68</v>
      </c>
      <c r="K314" s="12">
        <v>14130754</v>
      </c>
      <c r="L314" s="13" t="s">
        <v>2777</v>
      </c>
      <c r="M314" s="213" t="s">
        <v>68</v>
      </c>
      <c r="N314" s="182"/>
      <c r="O314" s="12" t="s">
        <v>2520</v>
      </c>
      <c r="P314" s="12" t="s">
        <v>70</v>
      </c>
      <c r="Q314" s="12" t="s">
        <v>1002</v>
      </c>
      <c r="R314" s="12">
        <v>554246</v>
      </c>
      <c r="S314" s="12" t="s">
        <v>330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75</v>
      </c>
      <c r="Z314" s="12"/>
      <c r="AA314" s="12" t="s">
        <v>3825</v>
      </c>
      <c r="AB314" s="247" t="s">
        <v>3778</v>
      </c>
      <c r="AC314" s="14">
        <v>45970</v>
      </c>
      <c r="AD314" s="15">
        <v>45</v>
      </c>
      <c r="AE314" s="176" t="s">
        <v>3826</v>
      </c>
      <c r="AF314" s="12">
        <v>371009177</v>
      </c>
      <c r="AG314" s="12" t="s">
        <v>122</v>
      </c>
      <c r="AH314" s="12" t="s">
        <v>105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402</v>
      </c>
      <c r="AP314" s="12" t="s">
        <v>3827</v>
      </c>
      <c r="AQ314" s="12"/>
      <c r="AR314" s="12" t="s">
        <v>3828</v>
      </c>
      <c r="AS314" s="12" t="s">
        <v>3829</v>
      </c>
      <c r="AT314" s="12" t="s">
        <v>3829</v>
      </c>
      <c r="AU314" s="12">
        <v>42</v>
      </c>
      <c r="AV314" s="12" t="s">
        <v>2538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2525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10">
      <c r="A315" s="11" t="s">
        <v>3830</v>
      </c>
      <c r="B315" s="12" t="s">
        <v>111</v>
      </c>
      <c r="C315" s="12" t="s">
        <v>2928</v>
      </c>
      <c r="D315" s="12" t="s">
        <v>113</v>
      </c>
      <c r="E315" s="12" t="s">
        <v>68</v>
      </c>
      <c r="F315" s="12" t="s">
        <v>68</v>
      </c>
      <c r="G315" s="12"/>
      <c r="H315" s="12" t="s">
        <v>66</v>
      </c>
      <c r="I315" s="12" t="s">
        <v>3551</v>
      </c>
      <c r="J315" s="34" t="s">
        <v>68</v>
      </c>
      <c r="K315" s="12">
        <v>16102590</v>
      </c>
      <c r="L315" s="13" t="s">
        <v>2527</v>
      </c>
      <c r="M315" s="12" t="s">
        <v>68</v>
      </c>
      <c r="N315" s="182"/>
      <c r="O315" s="12" t="s">
        <v>2520</v>
      </c>
      <c r="P315" s="12" t="s">
        <v>132</v>
      </c>
      <c r="Q315" s="12" t="s">
        <v>2929</v>
      </c>
      <c r="R315" s="12">
        <v>555076</v>
      </c>
      <c r="S315" s="12" t="s">
        <v>1300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75</v>
      </c>
      <c r="Z315" s="12"/>
      <c r="AA315" s="12" t="s">
        <v>108</v>
      </c>
      <c r="AB315" s="32" t="s">
        <v>992</v>
      </c>
      <c r="AC315" s="14">
        <v>45972</v>
      </c>
      <c r="AD315" s="15">
        <v>46</v>
      </c>
      <c r="AE315" s="176" t="s">
        <v>3831</v>
      </c>
      <c r="AF315" s="12">
        <v>371009130</v>
      </c>
      <c r="AG315" s="12" t="s">
        <v>122</v>
      </c>
      <c r="AH315" s="12" t="s">
        <v>124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66</v>
      </c>
      <c r="AP315" s="12" t="s">
        <v>3832</v>
      </c>
      <c r="AQ315" s="12"/>
      <c r="AR315" s="12" t="s">
        <v>3833</v>
      </c>
      <c r="AS315" s="12" t="s">
        <v>3834</v>
      </c>
      <c r="AT315" s="12" t="s">
        <v>3834</v>
      </c>
      <c r="AU315" s="12">
        <v>44</v>
      </c>
      <c r="AV315" s="12" t="s">
        <v>3556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2525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10">
      <c r="A316" s="11" t="s">
        <v>3835</v>
      </c>
      <c r="B316" s="12" t="s">
        <v>111</v>
      </c>
      <c r="C316" s="12" t="s">
        <v>2928</v>
      </c>
      <c r="D316" s="12" t="s">
        <v>113</v>
      </c>
      <c r="E316" s="12" t="s">
        <v>68</v>
      </c>
      <c r="F316" s="12" t="s">
        <v>68</v>
      </c>
      <c r="G316" s="12"/>
      <c r="H316" s="12" t="s">
        <v>66</v>
      </c>
      <c r="I316" s="12" t="s">
        <v>3551</v>
      </c>
      <c r="J316" s="34" t="s">
        <v>68</v>
      </c>
      <c r="K316" s="12">
        <v>16102590</v>
      </c>
      <c r="L316" s="13" t="s">
        <v>2527</v>
      </c>
      <c r="M316" s="12" t="s">
        <v>68</v>
      </c>
      <c r="N316" s="182"/>
      <c r="O316" s="12" t="s">
        <v>2520</v>
      </c>
      <c r="P316" s="12" t="s">
        <v>132</v>
      </c>
      <c r="Q316" s="12" t="s">
        <v>2929</v>
      </c>
      <c r="R316" s="12">
        <v>555076</v>
      </c>
      <c r="S316" s="12" t="s">
        <v>1300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75</v>
      </c>
      <c r="Z316" s="12"/>
      <c r="AA316" s="12" t="s">
        <v>108</v>
      </c>
      <c r="AB316" s="32" t="s">
        <v>992</v>
      </c>
      <c r="AC316" s="14">
        <v>45973</v>
      </c>
      <c r="AD316" s="15">
        <v>46</v>
      </c>
      <c r="AE316" s="176" t="s">
        <v>3836</v>
      </c>
      <c r="AF316" s="12">
        <v>371009131</v>
      </c>
      <c r="AG316" s="12" t="s">
        <v>122</v>
      </c>
      <c r="AH316" s="12" t="s">
        <v>124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66</v>
      </c>
      <c r="AP316" s="12" t="s">
        <v>3832</v>
      </c>
      <c r="AQ316" s="12"/>
      <c r="AR316" s="12" t="s">
        <v>3833</v>
      </c>
      <c r="AS316" s="12" t="s">
        <v>3834</v>
      </c>
      <c r="AT316" s="12" t="s">
        <v>3834</v>
      </c>
      <c r="AU316" s="12">
        <v>44</v>
      </c>
      <c r="AV316" s="12" t="s">
        <v>3556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2525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10">
      <c r="A317" s="11" t="s">
        <v>3837</v>
      </c>
      <c r="B317" s="12" t="s">
        <v>111</v>
      </c>
      <c r="C317" s="12" t="s">
        <v>3824</v>
      </c>
      <c r="D317" s="12" t="s">
        <v>63</v>
      </c>
      <c r="E317" s="12" t="s">
        <v>64</v>
      </c>
      <c r="F317" s="12" t="s">
        <v>100</v>
      </c>
      <c r="G317" s="12" t="s">
        <v>67</v>
      </c>
      <c r="H317" s="12" t="s">
        <v>402</v>
      </c>
      <c r="I317" s="12" t="s">
        <v>677</v>
      </c>
      <c r="J317" s="34" t="s">
        <v>68</v>
      </c>
      <c r="K317" s="12">
        <v>14130754</v>
      </c>
      <c r="L317" s="13" t="s">
        <v>2777</v>
      </c>
      <c r="M317" s="213" t="s">
        <v>68</v>
      </c>
      <c r="N317" s="182"/>
      <c r="O317" s="12" t="s">
        <v>2520</v>
      </c>
      <c r="P317" s="12" t="s">
        <v>70</v>
      </c>
      <c r="Q317" s="12" t="s">
        <v>1002</v>
      </c>
      <c r="R317" s="12">
        <v>554246</v>
      </c>
      <c r="S317" s="12" t="s">
        <v>330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75</v>
      </c>
      <c r="Z317" s="12"/>
      <c r="AA317" s="12" t="s">
        <v>3825</v>
      </c>
      <c r="AB317" s="247" t="s">
        <v>3778</v>
      </c>
      <c r="AC317" s="14">
        <v>45975</v>
      </c>
      <c r="AD317" s="15">
        <v>46</v>
      </c>
      <c r="AE317" s="176" t="s">
        <v>3838</v>
      </c>
      <c r="AF317" s="12">
        <v>371009164</v>
      </c>
      <c r="AG317" s="12" t="s">
        <v>122</v>
      </c>
      <c r="AH317" s="12" t="s">
        <v>105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402</v>
      </c>
      <c r="AP317" s="12" t="s">
        <v>3839</v>
      </c>
      <c r="AQ317" s="12"/>
      <c r="AR317" s="12" t="s">
        <v>3840</v>
      </c>
      <c r="AS317" s="12" t="s">
        <v>3841</v>
      </c>
      <c r="AT317" s="12" t="s">
        <v>3841</v>
      </c>
      <c r="AU317" s="12">
        <v>37</v>
      </c>
      <c r="AV317" s="12" t="s">
        <v>2538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2525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10">
      <c r="A318" s="11" t="s">
        <v>3842</v>
      </c>
      <c r="B318" s="12" t="s">
        <v>61</v>
      </c>
      <c r="C318" s="12" t="s">
        <v>3804</v>
      </c>
      <c r="D318" s="12" t="s">
        <v>63</v>
      </c>
      <c r="E318" s="12" t="s">
        <v>64</v>
      </c>
      <c r="F318" s="31" t="s">
        <v>310</v>
      </c>
      <c r="G318" s="12" t="s">
        <v>311</v>
      </c>
      <c r="H318" s="12" t="s">
        <v>66</v>
      </c>
      <c r="I318" s="12" t="s">
        <v>1559</v>
      </c>
      <c r="J318" s="34" t="s">
        <v>68</v>
      </c>
      <c r="K318" s="12"/>
      <c r="L318" s="13" t="s">
        <v>2542</v>
      </c>
      <c r="M318" s="213" t="s">
        <v>68</v>
      </c>
      <c r="N318" s="182"/>
      <c r="O318" s="12" t="s">
        <v>2520</v>
      </c>
      <c r="P318" s="12" t="s">
        <v>70</v>
      </c>
      <c r="Q318" s="12" t="s">
        <v>102</v>
      </c>
      <c r="R318" s="12">
        <v>554245</v>
      </c>
      <c r="S318" s="12" t="s">
        <v>103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75</v>
      </c>
      <c r="Z318" s="12"/>
      <c r="AA318" s="12" t="s">
        <v>108</v>
      </c>
      <c r="AB318" s="13" t="s">
        <v>967</v>
      </c>
      <c r="AC318" s="14">
        <v>45971</v>
      </c>
      <c r="AD318" s="15">
        <v>46</v>
      </c>
      <c r="AE318" s="176" t="s">
        <v>3843</v>
      </c>
      <c r="AF318" s="12">
        <v>371009135</v>
      </c>
      <c r="AG318" s="12" t="s">
        <v>77</v>
      </c>
      <c r="AH318" s="12" t="s">
        <v>1561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66</v>
      </c>
      <c r="AP318" s="12" t="s">
        <v>3800</v>
      </c>
      <c r="AQ318" s="12"/>
      <c r="AR318" s="12" t="s">
        <v>3844</v>
      </c>
      <c r="AS318" s="12" t="s">
        <v>3845</v>
      </c>
      <c r="AT318" s="12" t="s">
        <v>3845</v>
      </c>
      <c r="AU318" s="12">
        <v>68</v>
      </c>
      <c r="AV318" s="12" t="s">
        <v>83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2525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10">
      <c r="A319" s="11" t="s">
        <v>3846</v>
      </c>
      <c r="B319" s="12" t="s">
        <v>111</v>
      </c>
      <c r="C319" s="12" t="s">
        <v>3777</v>
      </c>
      <c r="D319" s="12" t="s">
        <v>63</v>
      </c>
      <c r="E319" s="12" t="s">
        <v>64</v>
      </c>
      <c r="F319" s="12" t="s">
        <v>100</v>
      </c>
      <c r="G319" s="12" t="s">
        <v>67</v>
      </c>
      <c r="H319" s="12" t="s">
        <v>402</v>
      </c>
      <c r="I319" s="12" t="s">
        <v>677</v>
      </c>
      <c r="J319" s="34" t="s">
        <v>68</v>
      </c>
      <c r="K319" s="12">
        <v>14130733</v>
      </c>
      <c r="L319" s="13" t="s">
        <v>2777</v>
      </c>
      <c r="M319" s="213" t="s">
        <v>68</v>
      </c>
      <c r="N319" s="182"/>
      <c r="O319" s="12" t="s">
        <v>2520</v>
      </c>
      <c r="P319" s="12" t="s">
        <v>70</v>
      </c>
      <c r="Q319" s="12" t="s">
        <v>102</v>
      </c>
      <c r="R319" s="12">
        <v>554245</v>
      </c>
      <c r="S319" s="12" t="s">
        <v>103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75</v>
      </c>
      <c r="Z319" s="12"/>
      <c r="AA319" s="12" t="s">
        <v>108</v>
      </c>
      <c r="AB319" s="247" t="s">
        <v>3778</v>
      </c>
      <c r="AC319" s="14">
        <v>45977</v>
      </c>
      <c r="AD319" s="15">
        <v>46</v>
      </c>
      <c r="AE319" s="176" t="s">
        <v>3847</v>
      </c>
      <c r="AF319" s="12">
        <v>371009160</v>
      </c>
      <c r="AG319" s="12" t="s">
        <v>122</v>
      </c>
      <c r="AH319" s="12" t="s">
        <v>105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402</v>
      </c>
      <c r="AP319" s="12" t="s">
        <v>3839</v>
      </c>
      <c r="AQ319" s="12"/>
      <c r="AR319" s="12" t="s">
        <v>3848</v>
      </c>
      <c r="AS319" s="12" t="s">
        <v>3849</v>
      </c>
      <c r="AT319" s="12" t="s">
        <v>3849</v>
      </c>
      <c r="AU319" s="12">
        <v>37</v>
      </c>
      <c r="AV319" s="12" t="s">
        <v>2538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2525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10">
      <c r="A320" s="11" t="s">
        <v>3850</v>
      </c>
      <c r="B320" s="12" t="s">
        <v>61</v>
      </c>
      <c r="C320" s="12" t="s">
        <v>3794</v>
      </c>
      <c r="D320" s="12" t="s">
        <v>63</v>
      </c>
      <c r="E320" s="12" t="s">
        <v>64</v>
      </c>
      <c r="F320" s="31" t="s">
        <v>310</v>
      </c>
      <c r="G320" s="12" t="s">
        <v>311</v>
      </c>
      <c r="H320" s="12" t="s">
        <v>66</v>
      </c>
      <c r="I320" s="12" t="s">
        <v>1559</v>
      </c>
      <c r="J320" s="34" t="s">
        <v>68</v>
      </c>
      <c r="K320" s="12"/>
      <c r="L320" s="13" t="s">
        <v>2542</v>
      </c>
      <c r="M320" s="213" t="s">
        <v>68</v>
      </c>
      <c r="N320" s="182"/>
      <c r="O320" s="12" t="s">
        <v>2520</v>
      </c>
      <c r="P320" s="12" t="s">
        <v>70</v>
      </c>
      <c r="Q320" s="12" t="s">
        <v>420</v>
      </c>
      <c r="R320" s="12">
        <v>554476</v>
      </c>
      <c r="S320" s="12" t="s">
        <v>421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75</v>
      </c>
      <c r="Z320" s="12"/>
      <c r="AA320" s="12" t="e">
        <v>#N/A</v>
      </c>
      <c r="AB320" s="13" t="s">
        <v>992</v>
      </c>
      <c r="AC320" s="14">
        <v>45971</v>
      </c>
      <c r="AD320" s="15">
        <v>46</v>
      </c>
      <c r="AE320" s="176" t="s">
        <v>3851</v>
      </c>
      <c r="AF320" s="12">
        <v>371009133</v>
      </c>
      <c r="AG320" s="12" t="s">
        <v>77</v>
      </c>
      <c r="AH320" s="12" t="s">
        <v>1561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66</v>
      </c>
      <c r="AP320" s="12" t="s">
        <v>3800</v>
      </c>
      <c r="AQ320" s="12"/>
      <c r="AR320" s="12" t="s">
        <v>3844</v>
      </c>
      <c r="AS320" s="12" t="s">
        <v>3845</v>
      </c>
      <c r="AT320" s="12" t="s">
        <v>3845</v>
      </c>
      <c r="AU320" s="12">
        <v>68</v>
      </c>
      <c r="AV320" s="12" t="s">
        <v>83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2525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10">
      <c r="A321" s="11" t="s">
        <v>3852</v>
      </c>
      <c r="B321" s="12" t="s">
        <v>61</v>
      </c>
      <c r="C321" s="12" t="s">
        <v>193</v>
      </c>
      <c r="D321" s="12" t="s">
        <v>63</v>
      </c>
      <c r="E321" s="12" t="s">
        <v>64</v>
      </c>
      <c r="F321" s="12" t="s">
        <v>100</v>
      </c>
      <c r="G321" s="12" t="s">
        <v>67</v>
      </c>
      <c r="H321" s="12" t="s">
        <v>66</v>
      </c>
      <c r="I321" s="12" t="s">
        <v>2776</v>
      </c>
      <c r="J321" s="34" t="s">
        <v>68</v>
      </c>
      <c r="K321" s="12" t="s">
        <v>328</v>
      </c>
      <c r="L321" s="13" t="s">
        <v>2777</v>
      </c>
      <c r="M321" s="213" t="s">
        <v>68</v>
      </c>
      <c r="N321" s="182"/>
      <c r="O321" s="12" t="s">
        <v>2520</v>
      </c>
      <c r="P321" s="12" t="s">
        <v>70</v>
      </c>
      <c r="Q321" s="12" t="s">
        <v>195</v>
      </c>
      <c r="R321" s="12">
        <v>554473</v>
      </c>
      <c r="S321" s="12" t="s">
        <v>196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75</v>
      </c>
      <c r="Z321" s="12"/>
      <c r="AA321" s="12" t="s">
        <v>85</v>
      </c>
      <c r="AB321" s="13" t="s">
        <v>967</v>
      </c>
      <c r="AC321" s="14">
        <v>45971</v>
      </c>
      <c r="AD321" s="15">
        <v>46</v>
      </c>
      <c r="AE321" s="176" t="s">
        <v>3853</v>
      </c>
      <c r="AF321" s="12">
        <v>371009123</v>
      </c>
      <c r="AG321" s="12" t="s">
        <v>77</v>
      </c>
      <c r="AH321" s="12" t="s">
        <v>105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66</v>
      </c>
      <c r="AP321" s="12" t="s">
        <v>3800</v>
      </c>
      <c r="AQ321" s="12"/>
      <c r="AR321" s="12" t="s">
        <v>3854</v>
      </c>
      <c r="AS321" s="12" t="s">
        <v>3855</v>
      </c>
      <c r="AT321" s="12" t="s">
        <v>3855</v>
      </c>
      <c r="AU321" s="12">
        <v>44</v>
      </c>
      <c r="AV321" s="12" t="s">
        <v>83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2525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10">
      <c r="A322" s="11" t="s">
        <v>3856</v>
      </c>
      <c r="B322" s="12" t="s">
        <v>111</v>
      </c>
      <c r="C322" s="12" t="s">
        <v>3777</v>
      </c>
      <c r="D322" s="12" t="s">
        <v>63</v>
      </c>
      <c r="E322" s="12" t="s">
        <v>64</v>
      </c>
      <c r="F322" s="12" t="s">
        <v>100</v>
      </c>
      <c r="G322" s="12" t="s">
        <v>67</v>
      </c>
      <c r="H322" s="12" t="s">
        <v>402</v>
      </c>
      <c r="I322" s="12" t="s">
        <v>677</v>
      </c>
      <c r="J322" s="34" t="s">
        <v>68</v>
      </c>
      <c r="K322" s="12">
        <v>14130755</v>
      </c>
      <c r="L322" s="13" t="s">
        <v>2777</v>
      </c>
      <c r="M322" s="213" t="s">
        <v>68</v>
      </c>
      <c r="N322" s="182"/>
      <c r="O322" s="12" t="s">
        <v>2520</v>
      </c>
      <c r="P322" s="12" t="s">
        <v>70</v>
      </c>
      <c r="Q322" s="12" t="s">
        <v>102</v>
      </c>
      <c r="R322" s="12">
        <v>554245</v>
      </c>
      <c r="S322" s="12" t="s">
        <v>103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75</v>
      </c>
      <c r="Z322" s="12"/>
      <c r="AA322" s="12" t="s">
        <v>108</v>
      </c>
      <c r="AB322" s="247" t="s">
        <v>3778</v>
      </c>
      <c r="AC322" s="14">
        <v>45982</v>
      </c>
      <c r="AD322" s="15">
        <v>47</v>
      </c>
      <c r="AE322" s="176" t="s">
        <v>3857</v>
      </c>
      <c r="AF322" s="12">
        <v>371009162</v>
      </c>
      <c r="AG322" s="12" t="s">
        <v>122</v>
      </c>
      <c r="AH322" s="12" t="s">
        <v>105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402</v>
      </c>
      <c r="AP322" s="12" t="s">
        <v>3839</v>
      </c>
      <c r="AQ322" s="12"/>
      <c r="AR322" s="12" t="s">
        <v>3858</v>
      </c>
      <c r="AS322" s="12" t="s">
        <v>3859</v>
      </c>
      <c r="AT322" s="12" t="s">
        <v>3859</v>
      </c>
      <c r="AU322" s="12">
        <v>44</v>
      </c>
      <c r="AV322" s="12" t="s">
        <v>2538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2525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10">
      <c r="A323" s="11" t="s">
        <v>3860</v>
      </c>
      <c r="B323" s="12" t="s">
        <v>111</v>
      </c>
      <c r="C323" s="12" t="s">
        <v>3777</v>
      </c>
      <c r="D323" s="12" t="s">
        <v>63</v>
      </c>
      <c r="E323" s="12" t="s">
        <v>64</v>
      </c>
      <c r="F323" s="12" t="s">
        <v>100</v>
      </c>
      <c r="G323" s="12" t="s">
        <v>67</v>
      </c>
      <c r="H323" s="12" t="s">
        <v>402</v>
      </c>
      <c r="I323" s="12" t="s">
        <v>677</v>
      </c>
      <c r="J323" s="34" t="s">
        <v>68</v>
      </c>
      <c r="K323" s="12">
        <v>14130754</v>
      </c>
      <c r="L323" s="13" t="s">
        <v>2777</v>
      </c>
      <c r="M323" s="213" t="s">
        <v>68</v>
      </c>
      <c r="N323" s="182"/>
      <c r="O323" s="12" t="s">
        <v>2520</v>
      </c>
      <c r="P323" s="12" t="s">
        <v>70</v>
      </c>
      <c r="Q323" s="12" t="s">
        <v>102</v>
      </c>
      <c r="R323" s="12">
        <v>554245</v>
      </c>
      <c r="S323" s="12" t="s">
        <v>103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75</v>
      </c>
      <c r="Z323" s="12"/>
      <c r="AA323" s="12" t="s">
        <v>108</v>
      </c>
      <c r="AB323" s="247" t="s">
        <v>3778</v>
      </c>
      <c r="AC323" s="14">
        <v>45978</v>
      </c>
      <c r="AD323" s="15">
        <v>47</v>
      </c>
      <c r="AE323" s="176" t="s">
        <v>3861</v>
      </c>
      <c r="AF323" s="12">
        <v>371009161</v>
      </c>
      <c r="AG323" s="12" t="s">
        <v>122</v>
      </c>
      <c r="AH323" s="12" t="s">
        <v>105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402</v>
      </c>
      <c r="AP323" s="12" t="s">
        <v>3862</v>
      </c>
      <c r="AQ323" s="12"/>
      <c r="AR323" s="12" t="s">
        <v>3863</v>
      </c>
      <c r="AS323" s="12" t="s">
        <v>3864</v>
      </c>
      <c r="AT323" s="12" t="s">
        <v>3864</v>
      </c>
      <c r="AU323" s="12">
        <v>39</v>
      </c>
      <c r="AV323" s="12" t="s">
        <v>2538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2525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10">
      <c r="A324" s="11" t="s">
        <v>3865</v>
      </c>
      <c r="B324" s="12" t="s">
        <v>61</v>
      </c>
      <c r="C324" s="12" t="s">
        <v>3804</v>
      </c>
      <c r="D324" s="12" t="s">
        <v>63</v>
      </c>
      <c r="E324" s="12" t="s">
        <v>64</v>
      </c>
      <c r="F324" s="31" t="s">
        <v>310</v>
      </c>
      <c r="G324" s="12" t="s">
        <v>311</v>
      </c>
      <c r="H324" s="12" t="s">
        <v>66</v>
      </c>
      <c r="I324" s="12" t="s">
        <v>1559</v>
      </c>
      <c r="J324" s="34" t="s">
        <v>68</v>
      </c>
      <c r="K324" s="12"/>
      <c r="L324" s="13" t="s">
        <v>2542</v>
      </c>
      <c r="M324" s="213" t="s">
        <v>68</v>
      </c>
      <c r="N324" s="182"/>
      <c r="O324" s="12" t="s">
        <v>2520</v>
      </c>
      <c r="P324" s="12" t="s">
        <v>70</v>
      </c>
      <c r="Q324" s="12" t="s">
        <v>102</v>
      </c>
      <c r="R324" s="12">
        <v>554245</v>
      </c>
      <c r="S324" s="12" t="s">
        <v>103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75</v>
      </c>
      <c r="Z324" s="12"/>
      <c r="AA324" s="12" t="s">
        <v>108</v>
      </c>
      <c r="AB324" s="13" t="s">
        <v>967</v>
      </c>
      <c r="AC324" s="14">
        <v>45980</v>
      </c>
      <c r="AD324" s="15">
        <v>47</v>
      </c>
      <c r="AE324" s="176" t="s">
        <v>3866</v>
      </c>
      <c r="AF324" s="12">
        <v>371009156</v>
      </c>
      <c r="AG324" s="12" t="s">
        <v>77</v>
      </c>
      <c r="AH324" s="12" t="s">
        <v>1561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66</v>
      </c>
      <c r="AP324" s="12" t="s">
        <v>3839</v>
      </c>
      <c r="AQ324" s="12"/>
      <c r="AR324" s="12" t="s">
        <v>3867</v>
      </c>
      <c r="AS324" s="12" t="s">
        <v>3868</v>
      </c>
      <c r="AT324" s="12" t="s">
        <v>3868</v>
      </c>
      <c r="AU324" s="12">
        <v>59</v>
      </c>
      <c r="AV324" s="12" t="s">
        <v>83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2525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10">
      <c r="A325" s="11" t="s">
        <v>3869</v>
      </c>
      <c r="B325" s="12" t="s">
        <v>111</v>
      </c>
      <c r="C325" s="12" t="s">
        <v>3824</v>
      </c>
      <c r="D325" s="12" t="s">
        <v>63</v>
      </c>
      <c r="E325" s="12" t="s">
        <v>64</v>
      </c>
      <c r="F325" s="12" t="s">
        <v>100</v>
      </c>
      <c r="G325" s="12" t="s">
        <v>67</v>
      </c>
      <c r="H325" s="12" t="s">
        <v>402</v>
      </c>
      <c r="I325" s="12" t="s">
        <v>677</v>
      </c>
      <c r="J325" s="34" t="s">
        <v>68</v>
      </c>
      <c r="K325" s="12">
        <v>14130755</v>
      </c>
      <c r="L325" s="13" t="s">
        <v>2777</v>
      </c>
      <c r="M325" s="213" t="s">
        <v>68</v>
      </c>
      <c r="N325" s="182"/>
      <c r="O325" s="12" t="s">
        <v>2520</v>
      </c>
      <c r="P325" s="12" t="s">
        <v>70</v>
      </c>
      <c r="Q325" s="12" t="s">
        <v>1002</v>
      </c>
      <c r="R325" s="12">
        <v>554246</v>
      </c>
      <c r="S325" s="12" t="s">
        <v>330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75</v>
      </c>
      <c r="Z325" s="12"/>
      <c r="AA325" s="12" t="s">
        <v>3825</v>
      </c>
      <c r="AB325" s="247" t="s">
        <v>3778</v>
      </c>
      <c r="AC325" s="14">
        <v>45981</v>
      </c>
      <c r="AD325" s="15">
        <v>47</v>
      </c>
      <c r="AE325" s="176" t="s">
        <v>3870</v>
      </c>
      <c r="AF325" s="12">
        <v>371009165</v>
      </c>
      <c r="AG325" s="12" t="s">
        <v>122</v>
      </c>
      <c r="AH325" s="12" t="s">
        <v>105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402</v>
      </c>
      <c r="AP325" s="12" t="s">
        <v>3839</v>
      </c>
      <c r="AQ325" s="12"/>
      <c r="AR325" s="12" t="s">
        <v>3871</v>
      </c>
      <c r="AS325" s="12" t="s">
        <v>3872</v>
      </c>
      <c r="AT325" s="12" t="s">
        <v>3872</v>
      </c>
      <c r="AU325" s="12">
        <v>44</v>
      </c>
      <c r="AV325" s="12" t="s">
        <v>2538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2525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10">
      <c r="A326" s="11" t="s">
        <v>3873</v>
      </c>
      <c r="B326" s="12" t="s">
        <v>111</v>
      </c>
      <c r="C326" s="12" t="s">
        <v>838</v>
      </c>
      <c r="D326" s="12" t="s">
        <v>63</v>
      </c>
      <c r="E326" s="12" t="s">
        <v>68</v>
      </c>
      <c r="F326" s="12" t="s">
        <v>68</v>
      </c>
      <c r="G326" s="12"/>
      <c r="H326" s="12" t="s">
        <v>402</v>
      </c>
      <c r="I326" s="12" t="s">
        <v>594</v>
      </c>
      <c r="J326" s="34" t="s">
        <v>68</v>
      </c>
      <c r="K326" s="12">
        <v>16102586</v>
      </c>
      <c r="L326" s="13" t="s">
        <v>2527</v>
      </c>
      <c r="M326" s="12" t="s">
        <v>68</v>
      </c>
      <c r="N326" s="182"/>
      <c r="O326" s="12" t="s">
        <v>2520</v>
      </c>
      <c r="P326" s="12" t="s">
        <v>132</v>
      </c>
      <c r="Q326" s="12" t="s">
        <v>841</v>
      </c>
      <c r="R326" s="12">
        <v>554542</v>
      </c>
      <c r="S326" s="12" t="s">
        <v>842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75</v>
      </c>
      <c r="Z326" s="12"/>
      <c r="AA326" s="12" t="s">
        <v>108</v>
      </c>
      <c r="AB326" s="32" t="s">
        <v>992</v>
      </c>
      <c r="AC326" s="14">
        <v>45980</v>
      </c>
      <c r="AD326" s="15">
        <v>47</v>
      </c>
      <c r="AE326" s="176" t="s">
        <v>3874</v>
      </c>
      <c r="AF326" s="12">
        <v>371009152</v>
      </c>
      <c r="AG326" s="12" t="s">
        <v>122</v>
      </c>
      <c r="AH326" s="12" t="s">
        <v>124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402</v>
      </c>
      <c r="AP326" s="12" t="s">
        <v>3875</v>
      </c>
      <c r="AQ326" s="12"/>
      <c r="AR326" s="12" t="s">
        <v>3876</v>
      </c>
      <c r="AS326" s="12" t="s">
        <v>3877</v>
      </c>
      <c r="AT326" s="12" t="s">
        <v>3877</v>
      </c>
      <c r="AU326" s="12">
        <v>38</v>
      </c>
      <c r="AV326" s="12" t="s">
        <v>2538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2525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10">
      <c r="A327" s="11" t="s">
        <v>3878</v>
      </c>
      <c r="B327" s="12" t="s">
        <v>111</v>
      </c>
      <c r="C327" s="12" t="s">
        <v>3879</v>
      </c>
      <c r="D327" s="12" t="s">
        <v>63</v>
      </c>
      <c r="E327" s="12" t="s">
        <v>68</v>
      </c>
      <c r="F327" s="12" t="s">
        <v>68</v>
      </c>
      <c r="G327" s="12"/>
      <c r="H327" s="12" t="s">
        <v>66</v>
      </c>
      <c r="I327" s="12" t="s">
        <v>96</v>
      </c>
      <c r="J327" s="34" t="s">
        <v>68</v>
      </c>
      <c r="K327" s="12"/>
      <c r="L327" s="13" t="s">
        <v>2527</v>
      </c>
      <c r="M327" s="12" t="s">
        <v>68</v>
      </c>
      <c r="N327" s="182"/>
      <c r="O327" s="12" t="s">
        <v>2520</v>
      </c>
      <c r="P327" s="12" t="s">
        <v>170</v>
      </c>
      <c r="Q327" s="12" t="s">
        <v>171</v>
      </c>
      <c r="R327" s="12">
        <v>552045</v>
      </c>
      <c r="S327" s="12" t="s">
        <v>172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75</v>
      </c>
      <c r="Z327" s="12"/>
      <c r="AA327" s="12" t="s">
        <v>108</v>
      </c>
      <c r="AB327" s="13" t="s">
        <v>992</v>
      </c>
      <c r="AC327" s="14">
        <v>45982</v>
      </c>
      <c r="AD327" s="15">
        <v>47</v>
      </c>
      <c r="AE327" s="176" t="s">
        <v>3880</v>
      </c>
      <c r="AF327" s="12">
        <v>371009174</v>
      </c>
      <c r="AG327" s="12" t="s">
        <v>122</v>
      </c>
      <c r="AH327" s="12" t="s">
        <v>124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66</v>
      </c>
      <c r="AP327" s="12" t="s">
        <v>3875</v>
      </c>
      <c r="AQ327" s="12"/>
      <c r="AR327" s="12" t="s">
        <v>3881</v>
      </c>
      <c r="AS327" s="12" t="s">
        <v>3882</v>
      </c>
      <c r="AT327" s="12" t="s">
        <v>3882</v>
      </c>
      <c r="AU327" s="12">
        <v>38</v>
      </c>
      <c r="AV327" s="12" t="s">
        <v>83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2525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10">
      <c r="A328" s="11" t="s">
        <v>3883</v>
      </c>
      <c r="B328" s="12" t="s">
        <v>111</v>
      </c>
      <c r="C328" s="12" t="s">
        <v>545</v>
      </c>
      <c r="D328" s="12" t="s">
        <v>63</v>
      </c>
      <c r="E328" s="12" t="s">
        <v>68</v>
      </c>
      <c r="F328" s="12" t="s">
        <v>68</v>
      </c>
      <c r="G328" s="12"/>
      <c r="H328" s="12" t="s">
        <v>66</v>
      </c>
      <c r="I328" s="12" t="s">
        <v>96</v>
      </c>
      <c r="J328" s="34" t="s">
        <v>68</v>
      </c>
      <c r="K328" s="12"/>
      <c r="L328" s="13" t="s">
        <v>2527</v>
      </c>
      <c r="M328" s="12" t="s">
        <v>68</v>
      </c>
      <c r="N328" s="182"/>
      <c r="O328" s="12" t="s">
        <v>2520</v>
      </c>
      <c r="P328" s="12" t="s">
        <v>473</v>
      </c>
      <c r="Q328" s="12" t="s">
        <v>529</v>
      </c>
      <c r="R328" s="12">
        <v>553145</v>
      </c>
      <c r="S328" s="12" t="s">
        <v>530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75</v>
      </c>
      <c r="Z328" s="12"/>
      <c r="AA328" s="12" t="s">
        <v>85</v>
      </c>
      <c r="AB328" s="13" t="s">
        <v>967</v>
      </c>
      <c r="AC328" s="14">
        <v>45982</v>
      </c>
      <c r="AD328" s="15">
        <v>47</v>
      </c>
      <c r="AE328" s="176" t="s">
        <v>3884</v>
      </c>
      <c r="AF328" s="12">
        <v>371009167</v>
      </c>
      <c r="AG328" s="12" t="s">
        <v>122</v>
      </c>
      <c r="AH328" s="12" t="s">
        <v>124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66</v>
      </c>
      <c r="AP328" s="12" t="s">
        <v>3875</v>
      </c>
      <c r="AQ328" s="12"/>
      <c r="AR328" s="12" t="s">
        <v>3881</v>
      </c>
      <c r="AS328" s="12" t="s">
        <v>3882</v>
      </c>
      <c r="AT328" s="12" t="s">
        <v>3882</v>
      </c>
      <c r="AU328" s="12">
        <v>38</v>
      </c>
      <c r="AV328" s="12" t="s">
        <v>83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2525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10">
      <c r="A329" s="11" t="s">
        <v>3885</v>
      </c>
      <c r="B329" s="12" t="s">
        <v>111</v>
      </c>
      <c r="C329" s="12" t="s">
        <v>3767</v>
      </c>
      <c r="D329" s="12" t="s">
        <v>63</v>
      </c>
      <c r="E329" s="12" t="s">
        <v>64</v>
      </c>
      <c r="F329" s="31" t="s">
        <v>310</v>
      </c>
      <c r="G329" s="12" t="s">
        <v>311</v>
      </c>
      <c r="H329" s="12" t="s">
        <v>66</v>
      </c>
      <c r="I329" s="12" t="s">
        <v>1559</v>
      </c>
      <c r="J329" s="34" t="s">
        <v>68</v>
      </c>
      <c r="K329" s="12"/>
      <c r="L329" s="13" t="s">
        <v>2542</v>
      </c>
      <c r="M329" s="213" t="s">
        <v>68</v>
      </c>
      <c r="N329" s="182"/>
      <c r="O329" s="12" t="s">
        <v>2520</v>
      </c>
      <c r="P329" s="12" t="s">
        <v>132</v>
      </c>
      <c r="Q329" s="12" t="s">
        <v>453</v>
      </c>
      <c r="R329" s="12">
        <v>554541</v>
      </c>
      <c r="S329" s="12" t="s">
        <v>454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75</v>
      </c>
      <c r="Z329" s="12"/>
      <c r="AA329" s="12" t="s">
        <v>108</v>
      </c>
      <c r="AB329" s="32" t="s">
        <v>967</v>
      </c>
      <c r="AC329" s="14">
        <v>45984</v>
      </c>
      <c r="AD329" s="15">
        <v>47</v>
      </c>
      <c r="AE329" s="289" t="s">
        <v>3886</v>
      </c>
      <c r="AF329" s="12">
        <v>371009157</v>
      </c>
      <c r="AG329" s="12" t="s">
        <v>122</v>
      </c>
      <c r="AH329" s="12" t="s">
        <v>1561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66</v>
      </c>
      <c r="AP329" s="12" t="s">
        <v>3887</v>
      </c>
      <c r="AQ329" s="12"/>
      <c r="AR329" s="12" t="s">
        <v>3888</v>
      </c>
      <c r="AS329" s="12" t="s">
        <v>3889</v>
      </c>
      <c r="AT329" s="12" t="s">
        <v>3889</v>
      </c>
      <c r="AU329" s="12">
        <v>44</v>
      </c>
      <c r="AV329" s="12" t="s">
        <v>83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2525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10">
      <c r="A330" s="11" t="s">
        <v>3890</v>
      </c>
      <c r="B330" s="12" t="s">
        <v>111</v>
      </c>
      <c r="C330" s="12" t="s">
        <v>3767</v>
      </c>
      <c r="D330" s="12" t="s">
        <v>63</v>
      </c>
      <c r="E330" s="12" t="s">
        <v>68</v>
      </c>
      <c r="F330" s="12" t="s">
        <v>68</v>
      </c>
      <c r="G330" s="12"/>
      <c r="H330" s="12" t="s">
        <v>66</v>
      </c>
      <c r="I330" s="12" t="s">
        <v>1292</v>
      </c>
      <c r="J330" s="34" t="s">
        <v>68</v>
      </c>
      <c r="K330" s="12"/>
      <c r="L330" s="13" t="s">
        <v>2876</v>
      </c>
      <c r="M330" s="12" t="s">
        <v>68</v>
      </c>
      <c r="N330" s="182"/>
      <c r="O330" s="12" t="s">
        <v>2520</v>
      </c>
      <c r="P330" s="12" t="s">
        <v>132</v>
      </c>
      <c r="Q330" s="12" t="s">
        <v>453</v>
      </c>
      <c r="R330" s="12">
        <v>554541</v>
      </c>
      <c r="S330" s="12" t="s">
        <v>454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75</v>
      </c>
      <c r="Z330" s="12"/>
      <c r="AA330" s="12" t="s">
        <v>108</v>
      </c>
      <c r="AB330" s="32" t="s">
        <v>967</v>
      </c>
      <c r="AC330" s="14">
        <v>45982</v>
      </c>
      <c r="AD330" s="15">
        <v>47</v>
      </c>
      <c r="AE330" s="176" t="s">
        <v>3891</v>
      </c>
      <c r="AF330" s="12">
        <v>371009159</v>
      </c>
      <c r="AG330" s="12" t="s">
        <v>122</v>
      </c>
      <c r="AH330" s="12" t="s">
        <v>456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66</v>
      </c>
      <c r="AP330" s="12" t="s">
        <v>3892</v>
      </c>
      <c r="AQ330" s="12"/>
      <c r="AR330" s="12" t="s">
        <v>3893</v>
      </c>
      <c r="AS330" s="12" t="s">
        <v>3894</v>
      </c>
      <c r="AT330" s="12" t="s">
        <v>3894</v>
      </c>
      <c r="AU330" s="12">
        <v>46</v>
      </c>
      <c r="AV330" s="12" t="s">
        <v>83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2525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10">
      <c r="A331" s="11" t="s">
        <v>3895</v>
      </c>
      <c r="B331" s="12" t="s">
        <v>111</v>
      </c>
      <c r="C331" s="12" t="s">
        <v>548</v>
      </c>
      <c r="D331" s="12" t="s">
        <v>63</v>
      </c>
      <c r="E331" s="12" t="s">
        <v>68</v>
      </c>
      <c r="F331" s="12" t="s">
        <v>68</v>
      </c>
      <c r="G331" s="12"/>
      <c r="H331" s="12" t="s">
        <v>66</v>
      </c>
      <c r="I331" s="12" t="s">
        <v>1292</v>
      </c>
      <c r="J331" s="34" t="s">
        <v>68</v>
      </c>
      <c r="K331" s="12"/>
      <c r="L331" s="13" t="s">
        <v>2876</v>
      </c>
      <c r="M331" s="12" t="s">
        <v>68</v>
      </c>
      <c r="N331" s="182"/>
      <c r="O331" s="12" t="s">
        <v>2520</v>
      </c>
      <c r="P331" s="12" t="s">
        <v>550</v>
      </c>
      <c r="Q331" s="12" t="s">
        <v>551</v>
      </c>
      <c r="R331" s="12">
        <v>553118</v>
      </c>
      <c r="S331" s="12" t="s">
        <v>552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75</v>
      </c>
      <c r="Z331" s="12"/>
      <c r="AA331" s="12" t="s">
        <v>85</v>
      </c>
      <c r="AB331" s="13" t="s">
        <v>2136</v>
      </c>
      <c r="AC331" s="14">
        <v>45980</v>
      </c>
      <c r="AD331" s="15">
        <v>47</v>
      </c>
      <c r="AE331" s="177" t="s">
        <v>3896</v>
      </c>
      <c r="AF331" s="12">
        <v>371009153</v>
      </c>
      <c r="AG331" s="12" t="s">
        <v>122</v>
      </c>
      <c r="AH331" s="12" t="s">
        <v>456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66</v>
      </c>
      <c r="AP331" s="12" t="s">
        <v>3892</v>
      </c>
      <c r="AQ331" s="12"/>
      <c r="AR331" s="12" t="s">
        <v>3897</v>
      </c>
      <c r="AS331" s="12" t="s">
        <v>3898</v>
      </c>
      <c r="AT331" s="12" t="s">
        <v>3898</v>
      </c>
      <c r="AU331" s="12">
        <v>46</v>
      </c>
      <c r="AV331" s="12" t="s">
        <v>83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2525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10">
      <c r="A332" s="11" t="s">
        <v>3899</v>
      </c>
      <c r="B332" s="12" t="s">
        <v>111</v>
      </c>
      <c r="C332" s="12" t="s">
        <v>3900</v>
      </c>
      <c r="D332" s="12" t="s">
        <v>63</v>
      </c>
      <c r="E332" s="12" t="s">
        <v>68</v>
      </c>
      <c r="F332" s="12" t="s">
        <v>68</v>
      </c>
      <c r="G332" s="12"/>
      <c r="H332" s="12" t="s">
        <v>66</v>
      </c>
      <c r="I332" s="12" t="s">
        <v>1342</v>
      </c>
      <c r="J332" s="34" t="s">
        <v>68</v>
      </c>
      <c r="K332" s="12"/>
      <c r="L332" s="13" t="s">
        <v>2542</v>
      </c>
      <c r="M332" s="12" t="s">
        <v>68</v>
      </c>
      <c r="N332" s="182"/>
      <c r="O332" s="12" t="s">
        <v>2520</v>
      </c>
      <c r="P332" s="12" t="s">
        <v>70</v>
      </c>
      <c r="Q332" s="12" t="s">
        <v>1355</v>
      </c>
      <c r="R332" s="12">
        <v>554472</v>
      </c>
      <c r="S332" s="12" t="s">
        <v>1356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75</v>
      </c>
      <c r="Z332" s="12"/>
      <c r="AA332" s="12" t="s">
        <v>2703</v>
      </c>
      <c r="AB332" s="32" t="s">
        <v>992</v>
      </c>
      <c r="AC332" s="14">
        <v>45984</v>
      </c>
      <c r="AD332" s="15">
        <v>47</v>
      </c>
      <c r="AE332" s="176" t="s">
        <v>3901</v>
      </c>
      <c r="AF332" s="12">
        <v>371009155</v>
      </c>
      <c r="AG332" s="12" t="s">
        <v>122</v>
      </c>
      <c r="AH332" s="12" t="s">
        <v>314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66</v>
      </c>
      <c r="AP332" s="12" t="s">
        <v>3887</v>
      </c>
      <c r="AQ332" s="12"/>
      <c r="AR332" s="12" t="s">
        <v>3902</v>
      </c>
      <c r="AS332" s="12" t="s">
        <v>3903</v>
      </c>
      <c r="AT332" s="12" t="s">
        <v>3903</v>
      </c>
      <c r="AU332" s="12">
        <v>44</v>
      </c>
      <c r="AV332" s="12" t="s">
        <v>83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2525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10">
      <c r="A333" s="11" t="s">
        <v>3904</v>
      </c>
      <c r="B333" s="12" t="s">
        <v>111</v>
      </c>
      <c r="C333" s="12" t="s">
        <v>548</v>
      </c>
      <c r="D333" s="12" t="s">
        <v>63</v>
      </c>
      <c r="E333" s="12" t="s">
        <v>68</v>
      </c>
      <c r="F333" s="12" t="s">
        <v>68</v>
      </c>
      <c r="G333" s="12"/>
      <c r="H333" s="12" t="s">
        <v>66</v>
      </c>
      <c r="I333" s="12" t="s">
        <v>1342</v>
      </c>
      <c r="J333" s="34" t="s">
        <v>68</v>
      </c>
      <c r="K333" s="12"/>
      <c r="L333" s="13" t="s">
        <v>2542</v>
      </c>
      <c r="M333" s="12" t="s">
        <v>68</v>
      </c>
      <c r="N333" s="182"/>
      <c r="O333" s="12" t="s">
        <v>2520</v>
      </c>
      <c r="P333" s="12" t="s">
        <v>550</v>
      </c>
      <c r="Q333" s="12" t="s">
        <v>551</v>
      </c>
      <c r="R333" s="12">
        <v>553118</v>
      </c>
      <c r="S333" s="12" t="s">
        <v>552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75</v>
      </c>
      <c r="Z333" s="12"/>
      <c r="AA333" s="12" t="s">
        <v>85</v>
      </c>
      <c r="AB333" s="13" t="s">
        <v>2136</v>
      </c>
      <c r="AC333" s="14">
        <v>45984</v>
      </c>
      <c r="AD333" s="15">
        <v>47</v>
      </c>
      <c r="AE333" s="176" t="s">
        <v>3905</v>
      </c>
      <c r="AF333" s="12">
        <v>371009154</v>
      </c>
      <c r="AG333" s="12" t="s">
        <v>122</v>
      </c>
      <c r="AH333" s="12" t="s">
        <v>314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66</v>
      </c>
      <c r="AP333" s="12" t="s">
        <v>3887</v>
      </c>
      <c r="AQ333" s="12"/>
      <c r="AR333" s="12" t="s">
        <v>3902</v>
      </c>
      <c r="AS333" s="12" t="s">
        <v>3903</v>
      </c>
      <c r="AT333" s="12" t="s">
        <v>3903</v>
      </c>
      <c r="AU333" s="12">
        <v>44</v>
      </c>
      <c r="AV333" s="12" t="s">
        <v>83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2525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10">
      <c r="A334" s="11" t="s">
        <v>3906</v>
      </c>
      <c r="B334" s="12" t="s">
        <v>111</v>
      </c>
      <c r="C334" s="12" t="s">
        <v>3767</v>
      </c>
      <c r="D334" s="12" t="s">
        <v>63</v>
      </c>
      <c r="E334" s="12" t="s">
        <v>68</v>
      </c>
      <c r="F334" s="12" t="s">
        <v>68</v>
      </c>
      <c r="G334" s="12"/>
      <c r="H334" s="12" t="s">
        <v>66</v>
      </c>
      <c r="I334" s="12" t="s">
        <v>1342</v>
      </c>
      <c r="J334" s="34" t="s">
        <v>68</v>
      </c>
      <c r="K334" s="12"/>
      <c r="L334" s="13" t="s">
        <v>2542</v>
      </c>
      <c r="M334" s="12" t="s">
        <v>68</v>
      </c>
      <c r="N334" s="182"/>
      <c r="O334" s="12" t="s">
        <v>2520</v>
      </c>
      <c r="P334" s="12" t="s">
        <v>132</v>
      </c>
      <c r="Q334" s="12" t="s">
        <v>453</v>
      </c>
      <c r="R334" s="12">
        <v>554541</v>
      </c>
      <c r="S334" s="12" t="s">
        <v>454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75</v>
      </c>
      <c r="Z334" s="12"/>
      <c r="AA334" s="12" t="s">
        <v>108</v>
      </c>
      <c r="AB334" s="32" t="s">
        <v>967</v>
      </c>
      <c r="AC334" s="14">
        <v>45986</v>
      </c>
      <c r="AD334" s="15">
        <v>48</v>
      </c>
      <c r="AE334" s="289" t="s">
        <v>3907</v>
      </c>
      <c r="AF334" s="12">
        <v>371009158</v>
      </c>
      <c r="AG334" s="12" t="s">
        <v>122</v>
      </c>
      <c r="AH334" s="12" t="s">
        <v>314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66</v>
      </c>
      <c r="AP334" s="12" t="s">
        <v>3887</v>
      </c>
      <c r="AQ334" s="12"/>
      <c r="AR334" s="12" t="s">
        <v>3902</v>
      </c>
      <c r="AS334" s="12" t="s">
        <v>3903</v>
      </c>
      <c r="AT334" s="12" t="s">
        <v>3903</v>
      </c>
      <c r="AU334" s="12">
        <v>44</v>
      </c>
      <c r="AV334" s="12" t="s">
        <v>83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2525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10">
      <c r="A335" s="11" t="s">
        <v>3908</v>
      </c>
      <c r="B335" s="12" t="s">
        <v>111</v>
      </c>
      <c r="C335" s="12" t="s">
        <v>548</v>
      </c>
      <c r="D335" s="12" t="s">
        <v>63</v>
      </c>
      <c r="E335" s="12" t="s">
        <v>64</v>
      </c>
      <c r="F335" s="12" t="s">
        <v>100</v>
      </c>
      <c r="G335" s="12" t="s">
        <v>67</v>
      </c>
      <c r="H335" s="12" t="s">
        <v>66</v>
      </c>
      <c r="I335" s="12" t="s">
        <v>96</v>
      </c>
      <c r="J335" s="34" t="s">
        <v>68</v>
      </c>
      <c r="K335" s="12"/>
      <c r="L335" s="13" t="s">
        <v>2519</v>
      </c>
      <c r="M335" s="213" t="s">
        <v>68</v>
      </c>
      <c r="N335" s="182"/>
      <c r="O335" s="12" t="s">
        <v>2520</v>
      </c>
      <c r="P335" s="12" t="s">
        <v>550</v>
      </c>
      <c r="Q335" s="12" t="s">
        <v>551</v>
      </c>
      <c r="R335" s="12">
        <v>553118</v>
      </c>
      <c r="S335" s="12" t="s">
        <v>552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75</v>
      </c>
      <c r="Z335" s="12"/>
      <c r="AA335" s="12" t="s">
        <v>85</v>
      </c>
      <c r="AB335" s="13" t="s">
        <v>2136</v>
      </c>
      <c r="AC335" s="14">
        <v>45986</v>
      </c>
      <c r="AD335" s="15">
        <v>48</v>
      </c>
      <c r="AE335" s="176" t="s">
        <v>3909</v>
      </c>
      <c r="AF335" s="12">
        <v>371009173</v>
      </c>
      <c r="AG335" s="12" t="s">
        <v>122</v>
      </c>
      <c r="AH335" s="12" t="s">
        <v>105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66</v>
      </c>
      <c r="AP335" s="12" t="s">
        <v>3910</v>
      </c>
      <c r="AQ335" s="12"/>
      <c r="AR335" s="12" t="s">
        <v>3911</v>
      </c>
      <c r="AS335" s="12" t="s">
        <v>3912</v>
      </c>
      <c r="AT335" s="12" t="s">
        <v>3912</v>
      </c>
      <c r="AU335" s="12">
        <v>40</v>
      </c>
      <c r="AV335" s="12" t="s">
        <v>83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2525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10">
      <c r="A336" s="11" t="s">
        <v>3913</v>
      </c>
      <c r="B336" s="12" t="s">
        <v>111</v>
      </c>
      <c r="C336" s="12" t="s">
        <v>545</v>
      </c>
      <c r="D336" s="12" t="s">
        <v>63</v>
      </c>
      <c r="E336" s="12" t="s">
        <v>64</v>
      </c>
      <c r="F336" s="31" t="s">
        <v>310</v>
      </c>
      <c r="G336" s="12" t="s">
        <v>311</v>
      </c>
      <c r="H336" s="12" t="s">
        <v>66</v>
      </c>
      <c r="I336" s="12" t="s">
        <v>1342</v>
      </c>
      <c r="J336" s="34" t="s">
        <v>68</v>
      </c>
      <c r="K336" s="12"/>
      <c r="L336" s="13" t="s">
        <v>2542</v>
      </c>
      <c r="M336" s="213" t="s">
        <v>68</v>
      </c>
      <c r="N336" s="182"/>
      <c r="O336" s="12" t="s">
        <v>2520</v>
      </c>
      <c r="P336" s="12" t="s">
        <v>473</v>
      </c>
      <c r="Q336" s="12" t="s">
        <v>529</v>
      </c>
      <c r="R336" s="12">
        <v>553145</v>
      </c>
      <c r="S336" s="12" t="s">
        <v>530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75</v>
      </c>
      <c r="Z336" s="12"/>
      <c r="AA336" s="12" t="s">
        <v>85</v>
      </c>
      <c r="AB336" s="13" t="s">
        <v>967</v>
      </c>
      <c r="AC336" s="14">
        <v>45990</v>
      </c>
      <c r="AD336" s="15">
        <v>48</v>
      </c>
      <c r="AE336" s="55" t="s">
        <v>3914</v>
      </c>
      <c r="AF336" s="12">
        <v>371009212</v>
      </c>
      <c r="AG336" s="12" t="s">
        <v>122</v>
      </c>
      <c r="AH336" s="12" t="s">
        <v>314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66</v>
      </c>
      <c r="AP336" s="12" t="s">
        <v>3915</v>
      </c>
      <c r="AQ336" s="12"/>
      <c r="AR336" s="12" t="s">
        <v>3916</v>
      </c>
      <c r="AS336" s="12" t="s">
        <v>3917</v>
      </c>
      <c r="AT336" s="12" t="s">
        <v>3917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2525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10">
      <c r="A337" s="11" t="s">
        <v>3804</v>
      </c>
      <c r="B337" s="12" t="s">
        <v>61</v>
      </c>
      <c r="C337" s="12" t="s">
        <v>203</v>
      </c>
      <c r="D337" s="12" t="s">
        <v>63</v>
      </c>
      <c r="E337" s="12" t="s">
        <v>144</v>
      </c>
      <c r="F337" s="12" t="s">
        <v>145</v>
      </c>
      <c r="G337" s="12" t="s">
        <v>3918</v>
      </c>
      <c r="H337" s="12" t="s">
        <v>156</v>
      </c>
      <c r="I337" s="12" t="s">
        <v>3918</v>
      </c>
      <c r="J337" s="34" t="s">
        <v>68</v>
      </c>
      <c r="K337" s="12">
        <v>14130773</v>
      </c>
      <c r="L337" s="13" t="s">
        <v>2777</v>
      </c>
      <c r="M337" s="236" t="s">
        <v>68</v>
      </c>
      <c r="N337" s="182"/>
      <c r="O337" s="12" t="s">
        <v>2520</v>
      </c>
      <c r="P337" s="12" t="s">
        <v>70</v>
      </c>
      <c r="Q337" s="12" t="s">
        <v>102</v>
      </c>
      <c r="R337" s="12">
        <v>554245</v>
      </c>
      <c r="S337" s="12" t="s">
        <v>103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75</v>
      </c>
      <c r="Z337" s="12"/>
      <c r="AA337" s="12" t="s">
        <v>108</v>
      </c>
      <c r="AB337" s="13" t="s">
        <v>967</v>
      </c>
      <c r="AC337" s="14">
        <v>45986</v>
      </c>
      <c r="AD337" s="15">
        <v>48</v>
      </c>
      <c r="AE337" s="176" t="s">
        <v>3919</v>
      </c>
      <c r="AF337" s="12">
        <v>371009205</v>
      </c>
      <c r="AG337" s="12" t="s">
        <v>77</v>
      </c>
      <c r="AH337" s="12" t="s">
        <v>105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156</v>
      </c>
      <c r="AP337" s="12" t="s">
        <v>3920</v>
      </c>
      <c r="AQ337" s="12"/>
      <c r="AR337" s="12" t="s">
        <v>3921</v>
      </c>
      <c r="AS337" s="12" t="s">
        <v>3922</v>
      </c>
      <c r="AT337" s="12" t="s">
        <v>3923</v>
      </c>
      <c r="AU337" s="12">
        <v>61</v>
      </c>
      <c r="AV337" s="12" t="s">
        <v>2538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2525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10">
      <c r="A338" s="11" t="s">
        <v>3924</v>
      </c>
      <c r="B338" s="12" t="s">
        <v>61</v>
      </c>
      <c r="C338" s="12" t="s">
        <v>99</v>
      </c>
      <c r="D338" s="12" t="s">
        <v>63</v>
      </c>
      <c r="E338" s="12" t="s">
        <v>144</v>
      </c>
      <c r="F338" s="12" t="s">
        <v>145</v>
      </c>
      <c r="G338" s="12" t="s">
        <v>3918</v>
      </c>
      <c r="H338" s="12" t="s">
        <v>156</v>
      </c>
      <c r="I338" s="12" t="s">
        <v>3918</v>
      </c>
      <c r="J338" s="34" t="s">
        <v>68</v>
      </c>
      <c r="K338" s="12">
        <v>14130773</v>
      </c>
      <c r="L338" s="13" t="s">
        <v>2777</v>
      </c>
      <c r="M338" s="236" t="s">
        <v>68</v>
      </c>
      <c r="N338" s="182"/>
      <c r="O338" s="12" t="s">
        <v>2520</v>
      </c>
      <c r="P338" s="12" t="s">
        <v>70</v>
      </c>
      <c r="Q338" s="12" t="s">
        <v>102</v>
      </c>
      <c r="R338" s="12">
        <v>554245</v>
      </c>
      <c r="S338" s="12" t="s">
        <v>103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75</v>
      </c>
      <c r="Z338" s="12"/>
      <c r="AA338" s="12" t="s">
        <v>108</v>
      </c>
      <c r="AB338" s="13" t="s">
        <v>967</v>
      </c>
      <c r="AC338" s="14">
        <v>45986</v>
      </c>
      <c r="AD338" s="15">
        <v>48</v>
      </c>
      <c r="AE338" s="176" t="s">
        <v>3925</v>
      </c>
      <c r="AF338" s="12">
        <v>371009208</v>
      </c>
      <c r="AG338" s="12" t="s">
        <v>77</v>
      </c>
      <c r="AH338" s="12" t="s">
        <v>105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156</v>
      </c>
      <c r="AP338" s="12" t="s">
        <v>3920</v>
      </c>
      <c r="AQ338" s="12"/>
      <c r="AR338" s="12" t="s">
        <v>3921</v>
      </c>
      <c r="AS338" s="12" t="s">
        <v>3922</v>
      </c>
      <c r="AT338" s="12" t="s">
        <v>3923</v>
      </c>
      <c r="AU338" s="12">
        <v>61</v>
      </c>
      <c r="AV338" s="12" t="s">
        <v>2538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2525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10">
      <c r="A339" s="11" t="s">
        <v>3926</v>
      </c>
      <c r="B339" s="12" t="s">
        <v>61</v>
      </c>
      <c r="C339" s="12" t="s">
        <v>203</v>
      </c>
      <c r="D339" s="12" t="s">
        <v>63</v>
      </c>
      <c r="E339" s="12" t="s">
        <v>144</v>
      </c>
      <c r="F339" s="12" t="s">
        <v>145</v>
      </c>
      <c r="G339" s="12" t="s">
        <v>3918</v>
      </c>
      <c r="H339" s="12" t="s">
        <v>156</v>
      </c>
      <c r="I339" s="12" t="s">
        <v>3918</v>
      </c>
      <c r="J339" s="34" t="s">
        <v>68</v>
      </c>
      <c r="K339" s="12">
        <v>14130773</v>
      </c>
      <c r="L339" s="13" t="s">
        <v>2777</v>
      </c>
      <c r="M339" s="236" t="s">
        <v>68</v>
      </c>
      <c r="N339" s="182"/>
      <c r="O339" s="12" t="s">
        <v>2520</v>
      </c>
      <c r="P339" s="12" t="s">
        <v>70</v>
      </c>
      <c r="Q339" s="12" t="s">
        <v>1002</v>
      </c>
      <c r="R339" s="12">
        <v>554246</v>
      </c>
      <c r="S339" s="12" t="s">
        <v>330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75</v>
      </c>
      <c r="Z339" s="12"/>
      <c r="AA339" s="12" t="s">
        <v>128</v>
      </c>
      <c r="AB339" s="32" t="s">
        <v>992</v>
      </c>
      <c r="AC339" s="14">
        <v>45986</v>
      </c>
      <c r="AD339" s="15">
        <v>48</v>
      </c>
      <c r="AE339" s="176" t="s">
        <v>3927</v>
      </c>
      <c r="AF339" s="12">
        <v>371009209</v>
      </c>
      <c r="AG339" s="12" t="s">
        <v>77</v>
      </c>
      <c r="AH339" s="12" t="s">
        <v>105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156</v>
      </c>
      <c r="AP339" s="12" t="s">
        <v>3920</v>
      </c>
      <c r="AQ339" s="12"/>
      <c r="AR339" s="12" t="s">
        <v>3928</v>
      </c>
      <c r="AS339" s="12" t="s">
        <v>3929</v>
      </c>
      <c r="AT339" s="12" t="s">
        <v>3930</v>
      </c>
      <c r="AU339" s="12">
        <v>61</v>
      </c>
      <c r="AV339" s="12" t="s">
        <v>2538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2525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10">
      <c r="A340" s="11" t="s">
        <v>3931</v>
      </c>
      <c r="B340" s="12" t="s">
        <v>296</v>
      </c>
      <c r="C340" s="12" t="s">
        <v>3932</v>
      </c>
      <c r="D340" s="12" t="s">
        <v>63</v>
      </c>
      <c r="E340" s="12" t="s">
        <v>64</v>
      </c>
      <c r="F340" s="12" t="s">
        <v>100</v>
      </c>
      <c r="G340" s="12" t="s">
        <v>67</v>
      </c>
      <c r="H340" s="12" t="s">
        <v>66</v>
      </c>
      <c r="I340" s="12" t="s">
        <v>96</v>
      </c>
      <c r="J340" s="34" t="s">
        <v>68</v>
      </c>
      <c r="K340" s="12"/>
      <c r="L340" s="13" t="s">
        <v>2519</v>
      </c>
      <c r="M340" s="213" t="s">
        <v>68</v>
      </c>
      <c r="N340" s="182"/>
      <c r="O340" s="12" t="s">
        <v>2520</v>
      </c>
      <c r="P340" s="12" t="s">
        <v>298</v>
      </c>
      <c r="Q340" s="12" t="s">
        <v>299</v>
      </c>
      <c r="R340" s="12">
        <v>554251</v>
      </c>
      <c r="S340" s="12" t="s">
        <v>300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75</v>
      </c>
      <c r="Z340" s="12"/>
      <c r="AA340" s="12" t="s">
        <v>85</v>
      </c>
      <c r="AB340" s="13" t="s">
        <v>967</v>
      </c>
      <c r="AC340" s="14">
        <v>45987</v>
      </c>
      <c r="AD340" s="15">
        <v>48</v>
      </c>
      <c r="AE340" s="176" t="s">
        <v>3933</v>
      </c>
      <c r="AF340" s="12">
        <v>371009168</v>
      </c>
      <c r="AG340" s="12" t="s">
        <v>288</v>
      </c>
      <c r="AH340" s="12" t="s">
        <v>105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66</v>
      </c>
      <c r="AP340" s="12" t="s">
        <v>3892</v>
      </c>
      <c r="AQ340" s="12"/>
      <c r="AR340" s="12" t="s">
        <v>3934</v>
      </c>
      <c r="AS340" s="12" t="s">
        <v>3935</v>
      </c>
      <c r="AT340" s="12" t="s">
        <v>3935</v>
      </c>
      <c r="AU340" s="12">
        <v>27</v>
      </c>
      <c r="AV340" s="12" t="s">
        <v>83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2525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10">
      <c r="A341" s="11" t="s">
        <v>3936</v>
      </c>
      <c r="B341" s="12" t="s">
        <v>296</v>
      </c>
      <c r="C341" s="12" t="s">
        <v>3937</v>
      </c>
      <c r="D341" s="12" t="s">
        <v>63</v>
      </c>
      <c r="E341" s="12" t="s">
        <v>64</v>
      </c>
      <c r="F341" s="12" t="s">
        <v>100</v>
      </c>
      <c r="G341" s="12" t="s">
        <v>67</v>
      </c>
      <c r="H341" s="12" t="s">
        <v>66</v>
      </c>
      <c r="I341" s="12" t="s">
        <v>96</v>
      </c>
      <c r="J341" s="34" t="s">
        <v>68</v>
      </c>
      <c r="K341" s="12"/>
      <c r="L341" s="13" t="s">
        <v>2519</v>
      </c>
      <c r="M341" s="213" t="s">
        <v>68</v>
      </c>
      <c r="N341" s="182"/>
      <c r="O341" s="12" t="s">
        <v>2520</v>
      </c>
      <c r="P341" s="12" t="s">
        <v>298</v>
      </c>
      <c r="Q341" s="12" t="s">
        <v>306</v>
      </c>
      <c r="R341" s="12">
        <v>554252</v>
      </c>
      <c r="S341" s="12" t="s">
        <v>307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75</v>
      </c>
      <c r="Z341" s="12"/>
      <c r="AA341" s="12" t="s">
        <v>85</v>
      </c>
      <c r="AB341" s="13" t="s">
        <v>967</v>
      </c>
      <c r="AC341" s="14">
        <v>45987</v>
      </c>
      <c r="AD341" s="15">
        <v>48</v>
      </c>
      <c r="AE341" s="176" t="s">
        <v>3938</v>
      </c>
      <c r="AF341" s="12">
        <v>371009171</v>
      </c>
      <c r="AG341" s="12" t="s">
        <v>288</v>
      </c>
      <c r="AH341" s="12" t="s">
        <v>105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66</v>
      </c>
      <c r="AP341" s="12" t="s">
        <v>3892</v>
      </c>
      <c r="AQ341" s="12"/>
      <c r="AR341" s="12" t="s">
        <v>3934</v>
      </c>
      <c r="AS341" s="12" t="s">
        <v>3935</v>
      </c>
      <c r="AT341" s="12" t="s">
        <v>3935</v>
      </c>
      <c r="AU341" s="12">
        <v>27</v>
      </c>
      <c r="AV341" s="12" t="s">
        <v>83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2525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10">
      <c r="A342" s="11" t="s">
        <v>3939</v>
      </c>
      <c r="B342" s="12" t="s">
        <v>296</v>
      </c>
      <c r="C342" s="12" t="s">
        <v>3932</v>
      </c>
      <c r="D342" s="12" t="s">
        <v>63</v>
      </c>
      <c r="E342" s="12" t="s">
        <v>68</v>
      </c>
      <c r="F342" s="12" t="s">
        <v>68</v>
      </c>
      <c r="G342" s="12"/>
      <c r="H342" s="12" t="s">
        <v>66</v>
      </c>
      <c r="I342" s="12" t="s">
        <v>1342</v>
      </c>
      <c r="J342" s="34" t="s">
        <v>68</v>
      </c>
      <c r="K342" s="12"/>
      <c r="L342" s="13" t="s">
        <v>2542</v>
      </c>
      <c r="M342" s="12" t="s">
        <v>68</v>
      </c>
      <c r="N342" s="182"/>
      <c r="O342" s="12" t="s">
        <v>2520</v>
      </c>
      <c r="P342" s="12" t="s">
        <v>298</v>
      </c>
      <c r="Q342" s="12" t="s">
        <v>299</v>
      </c>
      <c r="R342" s="12">
        <v>554251</v>
      </c>
      <c r="S342" s="12" t="s">
        <v>300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75</v>
      </c>
      <c r="Z342" s="12"/>
      <c r="AA342" s="12" t="s">
        <v>85</v>
      </c>
      <c r="AB342" s="13" t="s">
        <v>967</v>
      </c>
      <c r="AC342" s="14">
        <v>45992</v>
      </c>
      <c r="AD342" s="15">
        <v>49</v>
      </c>
      <c r="AE342" s="176" t="s">
        <v>3940</v>
      </c>
      <c r="AF342" s="12">
        <v>371009169</v>
      </c>
      <c r="AG342" s="12" t="s">
        <v>288</v>
      </c>
      <c r="AH342" s="12" t="s">
        <v>314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66</v>
      </c>
      <c r="AP342" s="12" t="s">
        <v>3915</v>
      </c>
      <c r="AQ342" s="12"/>
      <c r="AR342" s="12" t="s">
        <v>3941</v>
      </c>
      <c r="AS342" s="12" t="s">
        <v>3942</v>
      </c>
      <c r="AT342" s="12" t="s">
        <v>3942</v>
      </c>
      <c r="AU342" s="12">
        <v>37</v>
      </c>
      <c r="AV342" s="12" t="s">
        <v>83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2525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10">
      <c r="A343" s="11" t="s">
        <v>3943</v>
      </c>
      <c r="B343" s="12" t="s">
        <v>296</v>
      </c>
      <c r="C343" s="12" t="s">
        <v>3937</v>
      </c>
      <c r="D343" s="12" t="s">
        <v>63</v>
      </c>
      <c r="E343" s="12" t="s">
        <v>68</v>
      </c>
      <c r="F343" s="12" t="s">
        <v>68</v>
      </c>
      <c r="G343" s="12"/>
      <c r="H343" s="12" t="s">
        <v>66</v>
      </c>
      <c r="I343" s="12" t="s">
        <v>1342</v>
      </c>
      <c r="J343" s="34" t="s">
        <v>68</v>
      </c>
      <c r="K343" s="12"/>
      <c r="L343" s="13" t="s">
        <v>2542</v>
      </c>
      <c r="M343" s="12" t="s">
        <v>68</v>
      </c>
      <c r="N343" s="182"/>
      <c r="O343" s="12" t="s">
        <v>2520</v>
      </c>
      <c r="P343" s="12" t="s">
        <v>298</v>
      </c>
      <c r="Q343" s="12" t="s">
        <v>306</v>
      </c>
      <c r="R343" s="12">
        <v>554252</v>
      </c>
      <c r="S343" s="12" t="s">
        <v>307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75</v>
      </c>
      <c r="Z343" s="12"/>
      <c r="AA343" s="12" t="s">
        <v>85</v>
      </c>
      <c r="AB343" s="13" t="s">
        <v>967</v>
      </c>
      <c r="AC343" s="14">
        <v>45992</v>
      </c>
      <c r="AD343" s="15">
        <v>49</v>
      </c>
      <c r="AE343" s="176" t="s">
        <v>3944</v>
      </c>
      <c r="AF343" s="12">
        <v>371009172</v>
      </c>
      <c r="AG343" s="12" t="s">
        <v>288</v>
      </c>
      <c r="AH343" s="12" t="s">
        <v>314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66</v>
      </c>
      <c r="AP343" s="12" t="s">
        <v>3915</v>
      </c>
      <c r="AQ343" s="12"/>
      <c r="AR343" s="12" t="s">
        <v>3941</v>
      </c>
      <c r="AS343" s="12" t="s">
        <v>3942</v>
      </c>
      <c r="AT343" s="12" t="s">
        <v>3942</v>
      </c>
      <c r="AU343" s="12">
        <v>37</v>
      </c>
      <c r="AV343" s="12" t="s">
        <v>83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2525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10">
      <c r="A344" s="11" t="s">
        <v>3945</v>
      </c>
      <c r="B344" s="12" t="s">
        <v>296</v>
      </c>
      <c r="C344" s="12" t="s">
        <v>3932</v>
      </c>
      <c r="D344" s="12" t="s">
        <v>63</v>
      </c>
      <c r="E344" s="12" t="s">
        <v>64</v>
      </c>
      <c r="F344" s="31" t="s">
        <v>310</v>
      </c>
      <c r="G344" s="12" t="s">
        <v>311</v>
      </c>
      <c r="H344" s="12" t="s">
        <v>66</v>
      </c>
      <c r="I344" s="12" t="s">
        <v>1559</v>
      </c>
      <c r="J344" s="34" t="s">
        <v>68</v>
      </c>
      <c r="K344" s="12"/>
      <c r="L344" s="13" t="s">
        <v>2542</v>
      </c>
      <c r="M344" s="213" t="s">
        <v>68</v>
      </c>
      <c r="N344" s="182"/>
      <c r="O344" s="12" t="s">
        <v>2520</v>
      </c>
      <c r="P344" s="12" t="s">
        <v>298</v>
      </c>
      <c r="Q344" s="12" t="s">
        <v>299</v>
      </c>
      <c r="R344" s="12">
        <v>554251</v>
      </c>
      <c r="S344" s="12" t="s">
        <v>300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75</v>
      </c>
      <c r="Z344" s="12"/>
      <c r="AA344" s="12" t="s">
        <v>85</v>
      </c>
      <c r="AB344" s="13" t="s">
        <v>967</v>
      </c>
      <c r="AC344" s="14">
        <v>45992</v>
      </c>
      <c r="AD344" s="15">
        <v>49</v>
      </c>
      <c r="AE344" s="176" t="s">
        <v>3946</v>
      </c>
      <c r="AF344" s="12">
        <v>371009170</v>
      </c>
      <c r="AG344" s="12" t="s">
        <v>288</v>
      </c>
      <c r="AH344" s="12" t="s">
        <v>1561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66</v>
      </c>
      <c r="AP344" s="12" t="s">
        <v>3915</v>
      </c>
      <c r="AQ344" s="12"/>
      <c r="AR344" s="12" t="s">
        <v>3947</v>
      </c>
      <c r="AS344" s="12" t="s">
        <v>3948</v>
      </c>
      <c r="AT344" s="12" t="s">
        <v>3948</v>
      </c>
      <c r="AU344" s="12">
        <v>37</v>
      </c>
      <c r="AV344" s="12" t="s">
        <v>83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2525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10">
      <c r="A345" s="11" t="s">
        <v>3949</v>
      </c>
      <c r="B345" s="12" t="s">
        <v>111</v>
      </c>
      <c r="C345" s="12" t="s">
        <v>3761</v>
      </c>
      <c r="D345" s="12" t="s">
        <v>63</v>
      </c>
      <c r="E345" s="12" t="s">
        <v>64</v>
      </c>
      <c r="F345" s="12" t="s">
        <v>100</v>
      </c>
      <c r="G345" s="12" t="s">
        <v>67</v>
      </c>
      <c r="H345" s="12" t="s">
        <v>66</v>
      </c>
      <c r="I345" s="12" t="s">
        <v>96</v>
      </c>
      <c r="J345" s="34" t="s">
        <v>68</v>
      </c>
      <c r="K345" s="12"/>
      <c r="L345" s="13" t="s">
        <v>2519</v>
      </c>
      <c r="M345" s="213" t="s">
        <v>68</v>
      </c>
      <c r="N345" s="182"/>
      <c r="O345" s="12" t="s">
        <v>2520</v>
      </c>
      <c r="P345" s="12" t="s">
        <v>170</v>
      </c>
      <c r="Q345" s="12" t="s">
        <v>462</v>
      </c>
      <c r="R345" s="12">
        <v>552026</v>
      </c>
      <c r="S345" s="12" t="s">
        <v>463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75</v>
      </c>
      <c r="Z345" s="12"/>
      <c r="AA345" s="12" t="s">
        <v>108</v>
      </c>
      <c r="AB345" s="13" t="s">
        <v>1187</v>
      </c>
      <c r="AC345" s="14">
        <v>45989</v>
      </c>
      <c r="AD345" s="15">
        <v>48</v>
      </c>
      <c r="AE345" s="55" t="s">
        <v>3950</v>
      </c>
      <c r="AF345" s="12">
        <v>371009198</v>
      </c>
      <c r="AG345" s="12" t="s">
        <v>122</v>
      </c>
      <c r="AH345" s="12" t="s">
        <v>105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66</v>
      </c>
      <c r="AP345" s="12" t="s">
        <v>3951</v>
      </c>
      <c r="AQ345" s="12"/>
      <c r="AR345" s="12" t="s">
        <v>3952</v>
      </c>
      <c r="AS345" s="12" t="s">
        <v>3953</v>
      </c>
      <c r="AT345" s="12" t="s">
        <v>3953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2525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10">
      <c r="A346" s="11" t="s">
        <v>3954</v>
      </c>
      <c r="B346" s="12" t="s">
        <v>111</v>
      </c>
      <c r="C346" s="12" t="s">
        <v>545</v>
      </c>
      <c r="D346" s="12" t="s">
        <v>63</v>
      </c>
      <c r="E346" s="12" t="s">
        <v>64</v>
      </c>
      <c r="F346" s="12" t="s">
        <v>100</v>
      </c>
      <c r="G346" s="12" t="s">
        <v>67</v>
      </c>
      <c r="H346" s="12" t="s">
        <v>66</v>
      </c>
      <c r="I346" s="12" t="s">
        <v>96</v>
      </c>
      <c r="J346" s="34" t="s">
        <v>68</v>
      </c>
      <c r="K346" s="12"/>
      <c r="L346" s="13" t="s">
        <v>2519</v>
      </c>
      <c r="M346" s="213" t="s">
        <v>68</v>
      </c>
      <c r="N346" s="182"/>
      <c r="O346" s="12" t="s">
        <v>2520</v>
      </c>
      <c r="P346" s="12" t="s">
        <v>473</v>
      </c>
      <c r="Q346" s="12" t="s">
        <v>529</v>
      </c>
      <c r="R346" s="12">
        <v>553145</v>
      </c>
      <c r="S346" s="12" t="s">
        <v>530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75</v>
      </c>
      <c r="Z346" s="12"/>
      <c r="AA346" s="12" t="s">
        <v>85</v>
      </c>
      <c r="AB346" s="13" t="s">
        <v>967</v>
      </c>
      <c r="AC346" s="14">
        <v>45989</v>
      </c>
      <c r="AD346" s="15">
        <v>48</v>
      </c>
      <c r="AE346" s="55" t="s">
        <v>3955</v>
      </c>
      <c r="AF346" s="12">
        <v>371009211</v>
      </c>
      <c r="AG346" s="12" t="s">
        <v>122</v>
      </c>
      <c r="AH346" s="12" t="s">
        <v>105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66</v>
      </c>
      <c r="AP346" s="12" t="s">
        <v>3951</v>
      </c>
      <c r="AQ346" s="12"/>
      <c r="AR346" s="12" t="s">
        <v>3952</v>
      </c>
      <c r="AS346" s="12" t="s">
        <v>3953</v>
      </c>
      <c r="AT346" s="12" t="s">
        <v>3953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2525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10">
      <c r="A347" s="11" t="s">
        <v>3956</v>
      </c>
      <c r="B347" s="12" t="s">
        <v>111</v>
      </c>
      <c r="C347" s="12" t="s">
        <v>3879</v>
      </c>
      <c r="D347" s="12" t="s">
        <v>63</v>
      </c>
      <c r="E347" s="12" t="s">
        <v>64</v>
      </c>
      <c r="F347" s="12" t="s">
        <v>100</v>
      </c>
      <c r="G347" s="12" t="s">
        <v>67</v>
      </c>
      <c r="H347" s="12" t="s">
        <v>66</v>
      </c>
      <c r="I347" s="12" t="s">
        <v>96</v>
      </c>
      <c r="J347" s="34" t="s">
        <v>68</v>
      </c>
      <c r="K347" s="12"/>
      <c r="L347" s="13" t="s">
        <v>2519</v>
      </c>
      <c r="M347" s="213" t="s">
        <v>68</v>
      </c>
      <c r="N347" s="182"/>
      <c r="O347" s="12" t="s">
        <v>2520</v>
      </c>
      <c r="P347" s="12" t="s">
        <v>170</v>
      </c>
      <c r="Q347" s="12" t="s">
        <v>171</v>
      </c>
      <c r="R347" s="12">
        <v>552045</v>
      </c>
      <c r="S347" s="12" t="s">
        <v>172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75</v>
      </c>
      <c r="Z347" s="12"/>
      <c r="AA347" s="12" t="s">
        <v>108</v>
      </c>
      <c r="AB347" s="13" t="s">
        <v>992</v>
      </c>
      <c r="AC347" s="14">
        <v>45989</v>
      </c>
      <c r="AD347" s="15">
        <v>48</v>
      </c>
      <c r="AE347" s="55" t="s">
        <v>3957</v>
      </c>
      <c r="AF347" s="12">
        <v>371009200</v>
      </c>
      <c r="AG347" s="12" t="s">
        <v>122</v>
      </c>
      <c r="AH347" s="12" t="s">
        <v>105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66</v>
      </c>
      <c r="AP347" s="12" t="s">
        <v>3951</v>
      </c>
      <c r="AQ347" s="12"/>
      <c r="AR347" s="12" t="s">
        <v>3952</v>
      </c>
      <c r="AS347" s="12" t="s">
        <v>3953</v>
      </c>
      <c r="AT347" s="12" t="s">
        <v>3953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2525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10">
      <c r="A348" s="11" t="s">
        <v>3958</v>
      </c>
      <c r="B348" s="12" t="s">
        <v>111</v>
      </c>
      <c r="C348" s="12" t="s">
        <v>187</v>
      </c>
      <c r="D348" s="12" t="s">
        <v>63</v>
      </c>
      <c r="E348" s="12" t="s">
        <v>64</v>
      </c>
      <c r="F348" s="12" t="s">
        <v>310</v>
      </c>
      <c r="G348" s="12" t="s">
        <v>311</v>
      </c>
      <c r="H348" s="12" t="s">
        <v>66</v>
      </c>
      <c r="I348" s="12" t="s">
        <v>1559</v>
      </c>
      <c r="J348" s="34" t="s">
        <v>68</v>
      </c>
      <c r="K348" s="12"/>
      <c r="L348" s="13" t="s">
        <v>2542</v>
      </c>
      <c r="M348" s="213" t="s">
        <v>68</v>
      </c>
      <c r="N348" s="182"/>
      <c r="O348" s="12" t="s">
        <v>2520</v>
      </c>
      <c r="P348" s="12" t="s">
        <v>132</v>
      </c>
      <c r="Q348" s="12" t="s">
        <v>189</v>
      </c>
      <c r="R348" s="12">
        <v>555536</v>
      </c>
      <c r="S348" s="12" t="s">
        <v>190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75</v>
      </c>
      <c r="Z348" s="12"/>
      <c r="AA348" s="12" t="s">
        <v>108</v>
      </c>
      <c r="AB348" s="32" t="s">
        <v>967</v>
      </c>
      <c r="AC348" s="14">
        <v>45989</v>
      </c>
      <c r="AD348" s="15">
        <v>48</v>
      </c>
      <c r="AE348" s="176" t="s">
        <v>3959</v>
      </c>
      <c r="AF348" s="12">
        <v>371009253</v>
      </c>
      <c r="AG348" s="12" t="s">
        <v>122</v>
      </c>
      <c r="AH348" s="12" t="s">
        <v>1561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66</v>
      </c>
      <c r="AP348" s="12" t="s">
        <v>3960</v>
      </c>
      <c r="AQ348" s="12"/>
      <c r="AR348" s="12" t="s">
        <v>3961</v>
      </c>
      <c r="AS348" s="12" t="s">
        <v>3962</v>
      </c>
      <c r="AT348" s="12" t="s">
        <v>3962</v>
      </c>
      <c r="AU348" s="12">
        <v>46</v>
      </c>
      <c r="AV348" s="12" t="s">
        <v>83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2525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10">
      <c r="A349" s="11" t="s">
        <v>3963</v>
      </c>
      <c r="B349" s="12" t="s">
        <v>111</v>
      </c>
      <c r="C349" s="12" t="s">
        <v>203</v>
      </c>
      <c r="D349" s="12" t="s">
        <v>63</v>
      </c>
      <c r="E349" s="12" t="s">
        <v>64</v>
      </c>
      <c r="F349" s="12" t="s">
        <v>65</v>
      </c>
      <c r="G349" s="12" t="s">
        <v>67</v>
      </c>
      <c r="H349" s="12" t="s">
        <v>66</v>
      </c>
      <c r="I349" s="12" t="s">
        <v>96</v>
      </c>
      <c r="J349" s="34" t="s">
        <v>68</v>
      </c>
      <c r="K349" s="12"/>
      <c r="L349" s="13" t="s">
        <v>2519</v>
      </c>
      <c r="M349" s="213" t="s">
        <v>68</v>
      </c>
      <c r="N349" s="182"/>
      <c r="O349" s="12" t="s">
        <v>2520</v>
      </c>
      <c r="P349" s="12" t="s">
        <v>473</v>
      </c>
      <c r="Q349" s="12" t="s">
        <v>763</v>
      </c>
      <c r="R349" s="12">
        <v>553146</v>
      </c>
      <c r="S349" s="12" t="s">
        <v>764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75</v>
      </c>
      <c r="Z349" s="12"/>
      <c r="AA349" s="12" t="s">
        <v>85</v>
      </c>
      <c r="AB349" s="13" t="s">
        <v>967</v>
      </c>
      <c r="AC349" s="14">
        <v>45988</v>
      </c>
      <c r="AD349" s="15">
        <v>48</v>
      </c>
      <c r="AE349" s="55" t="s">
        <v>3964</v>
      </c>
      <c r="AF349" s="12">
        <v>371009210</v>
      </c>
      <c r="AG349" s="12" t="s">
        <v>122</v>
      </c>
      <c r="AH349" s="12" t="s">
        <v>78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66</v>
      </c>
      <c r="AP349" s="12" t="s">
        <v>3915</v>
      </c>
      <c r="AQ349" s="12"/>
      <c r="AR349" s="12" t="s">
        <v>3965</v>
      </c>
      <c r="AS349" s="12" t="s">
        <v>3966</v>
      </c>
      <c r="AT349" s="12" t="s">
        <v>3966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2525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10">
      <c r="A350" s="172" t="s">
        <v>3967</v>
      </c>
      <c r="B350" s="41" t="s">
        <v>111</v>
      </c>
      <c r="C350" s="41" t="s">
        <v>3968</v>
      </c>
      <c r="D350" s="41" t="s">
        <v>113</v>
      </c>
      <c r="E350" s="41" t="s">
        <v>64</v>
      </c>
      <c r="F350" s="41" t="s">
        <v>65</v>
      </c>
      <c r="G350" s="41" t="s">
        <v>67</v>
      </c>
      <c r="H350" s="41" t="s">
        <v>66</v>
      </c>
      <c r="I350" s="41" t="s">
        <v>3969</v>
      </c>
      <c r="J350" s="173" t="s">
        <v>68</v>
      </c>
      <c r="K350" s="12" t="s">
        <v>3970</v>
      </c>
      <c r="L350" s="13" t="s">
        <v>113</v>
      </c>
      <c r="M350" s="213" t="s">
        <v>68</v>
      </c>
      <c r="N350" s="182">
        <v>46045</v>
      </c>
      <c r="O350" s="12" t="s">
        <v>2520</v>
      </c>
      <c r="P350" s="41" t="s">
        <v>713</v>
      </c>
      <c r="Q350" s="41" t="s">
        <v>1185</v>
      </c>
      <c r="R350" s="12">
        <v>553179</v>
      </c>
      <c r="S350" s="41" t="s">
        <v>3971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75</v>
      </c>
      <c r="Z350" s="41"/>
      <c r="AA350" s="12" t="s">
        <v>108</v>
      </c>
      <c r="AB350" s="13" t="s">
        <v>1187</v>
      </c>
      <c r="AC350" s="37">
        <v>45987</v>
      </c>
      <c r="AD350" s="15">
        <v>48</v>
      </c>
      <c r="AE350" s="287" t="s">
        <v>3972</v>
      </c>
      <c r="AF350" s="12">
        <v>371009217</v>
      </c>
      <c r="AG350" s="41" t="s">
        <v>122</v>
      </c>
      <c r="AH350" s="41" t="s">
        <v>78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66</v>
      </c>
      <c r="AP350" s="12" t="s">
        <v>3973</v>
      </c>
      <c r="AQ350" s="41"/>
      <c r="AR350" s="41" t="s">
        <v>3974</v>
      </c>
      <c r="AS350" s="41" t="s">
        <v>3975</v>
      </c>
      <c r="AT350" s="41" t="s">
        <v>3975</v>
      </c>
      <c r="AU350" s="41">
        <v>49</v>
      </c>
      <c r="AV350" s="41" t="s">
        <v>83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2525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10">
      <c r="A351" s="172" t="s">
        <v>3976</v>
      </c>
      <c r="B351" s="41" t="s">
        <v>111</v>
      </c>
      <c r="C351" s="41" t="s">
        <v>3968</v>
      </c>
      <c r="D351" s="41" t="s">
        <v>113</v>
      </c>
      <c r="E351" s="41" t="s">
        <v>64</v>
      </c>
      <c r="F351" s="41" t="s">
        <v>65</v>
      </c>
      <c r="G351" s="41" t="s">
        <v>67</v>
      </c>
      <c r="H351" s="41" t="s">
        <v>66</v>
      </c>
      <c r="I351" s="41" t="s">
        <v>3977</v>
      </c>
      <c r="J351" s="173" t="s">
        <v>68</v>
      </c>
      <c r="K351" s="12" t="s">
        <v>3978</v>
      </c>
      <c r="L351" s="13" t="s">
        <v>113</v>
      </c>
      <c r="M351" s="213" t="s">
        <v>68</v>
      </c>
      <c r="N351" s="182">
        <v>46045</v>
      </c>
      <c r="O351" s="12" t="s">
        <v>2520</v>
      </c>
      <c r="P351" s="41" t="s">
        <v>713</v>
      </c>
      <c r="Q351" s="41" t="s">
        <v>1185</v>
      </c>
      <c r="R351" s="12">
        <v>553179</v>
      </c>
      <c r="S351" s="41" t="s">
        <v>3971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75</v>
      </c>
      <c r="Z351" s="41"/>
      <c r="AA351" s="12" t="s">
        <v>108</v>
      </c>
      <c r="AB351" s="13" t="s">
        <v>1187</v>
      </c>
      <c r="AC351" s="37">
        <v>45988</v>
      </c>
      <c r="AD351" s="15">
        <v>48</v>
      </c>
      <c r="AE351" s="287" t="s">
        <v>3979</v>
      </c>
      <c r="AF351" s="12">
        <v>371009218</v>
      </c>
      <c r="AG351" s="41" t="s">
        <v>122</v>
      </c>
      <c r="AH351" s="41" t="s">
        <v>78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66</v>
      </c>
      <c r="AP351" s="12" t="s">
        <v>3915</v>
      </c>
      <c r="AQ351" s="41"/>
      <c r="AR351" s="41" t="s">
        <v>3980</v>
      </c>
      <c r="AS351" s="41" t="s">
        <v>3981</v>
      </c>
      <c r="AT351" s="41" t="s">
        <v>3981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2525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10">
      <c r="A352" s="172" t="s">
        <v>3982</v>
      </c>
      <c r="B352" s="41" t="s">
        <v>111</v>
      </c>
      <c r="C352" s="41" t="s">
        <v>3879</v>
      </c>
      <c r="D352" s="41" t="s">
        <v>63</v>
      </c>
      <c r="E352" s="41" t="s">
        <v>64</v>
      </c>
      <c r="F352" s="41" t="s">
        <v>310</v>
      </c>
      <c r="G352" s="41" t="s">
        <v>311</v>
      </c>
      <c r="H352" s="41" t="s">
        <v>66</v>
      </c>
      <c r="I352" s="41" t="s">
        <v>1342</v>
      </c>
      <c r="J352" s="173" t="s">
        <v>68</v>
      </c>
      <c r="K352" s="12"/>
      <c r="L352" s="13" t="s">
        <v>2542</v>
      </c>
      <c r="M352" s="213" t="s">
        <v>68</v>
      </c>
      <c r="N352" s="182"/>
      <c r="O352" s="12" t="s">
        <v>2520</v>
      </c>
      <c r="P352" s="41" t="s">
        <v>170</v>
      </c>
      <c r="Q352" s="41" t="s">
        <v>171</v>
      </c>
      <c r="R352" s="41">
        <v>552045</v>
      </c>
      <c r="S352" s="41" t="s">
        <v>172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75</v>
      </c>
      <c r="Z352" s="41"/>
      <c r="AA352" s="12" t="s">
        <v>108</v>
      </c>
      <c r="AB352" s="173" t="s">
        <v>992</v>
      </c>
      <c r="AC352" s="37">
        <v>45988</v>
      </c>
      <c r="AD352" s="15">
        <v>48</v>
      </c>
      <c r="AE352" s="239" t="s">
        <v>3983</v>
      </c>
      <c r="AF352" s="12">
        <v>371009201</v>
      </c>
      <c r="AG352" s="41" t="s">
        <v>122</v>
      </c>
      <c r="AH352" s="41" t="s">
        <v>314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66</v>
      </c>
      <c r="AP352" s="12" t="s">
        <v>3915</v>
      </c>
      <c r="AQ352" s="41"/>
      <c r="AR352" s="41" t="s">
        <v>3984</v>
      </c>
      <c r="AS352" s="41" t="s">
        <v>3985</v>
      </c>
      <c r="AT352" s="41" t="s">
        <v>3985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2525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10">
      <c r="A353" s="172" t="s">
        <v>3986</v>
      </c>
      <c r="B353" s="41" t="s">
        <v>111</v>
      </c>
      <c r="C353" s="41" t="s">
        <v>3761</v>
      </c>
      <c r="D353" s="41" t="s">
        <v>63</v>
      </c>
      <c r="E353" s="41" t="s">
        <v>64</v>
      </c>
      <c r="F353" s="41" t="s">
        <v>310</v>
      </c>
      <c r="G353" s="41" t="s">
        <v>311</v>
      </c>
      <c r="H353" s="41" t="s">
        <v>66</v>
      </c>
      <c r="I353" s="41" t="s">
        <v>1342</v>
      </c>
      <c r="J353" s="173" t="s">
        <v>68</v>
      </c>
      <c r="K353" s="12"/>
      <c r="L353" s="13" t="s">
        <v>2542</v>
      </c>
      <c r="M353" s="213" t="s">
        <v>68</v>
      </c>
      <c r="N353" s="182"/>
      <c r="O353" s="12" t="s">
        <v>2520</v>
      </c>
      <c r="P353" s="41" t="s">
        <v>170</v>
      </c>
      <c r="Q353" s="41" t="s">
        <v>462</v>
      </c>
      <c r="R353" s="41">
        <v>552026</v>
      </c>
      <c r="S353" s="41" t="s">
        <v>463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75</v>
      </c>
      <c r="Z353" s="41"/>
      <c r="AA353" s="12" t="s">
        <v>108</v>
      </c>
      <c r="AB353" s="173" t="s">
        <v>1187</v>
      </c>
      <c r="AC353" s="37">
        <v>45988</v>
      </c>
      <c r="AD353" s="15">
        <v>48</v>
      </c>
      <c r="AE353" s="290" t="s">
        <v>3987</v>
      </c>
      <c r="AF353" s="12">
        <v>371009199</v>
      </c>
      <c r="AG353" s="41" t="s">
        <v>122</v>
      </c>
      <c r="AH353" s="41" t="s">
        <v>314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66</v>
      </c>
      <c r="AP353" s="12" t="s">
        <v>3915</v>
      </c>
      <c r="AQ353" s="41"/>
      <c r="AR353" s="41" t="s">
        <v>3984</v>
      </c>
      <c r="AS353" s="41" t="s">
        <v>3985</v>
      </c>
      <c r="AT353" s="41" t="s">
        <v>3985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2525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10">
      <c r="A354" s="11" t="s">
        <v>3988</v>
      </c>
      <c r="B354" s="12" t="s">
        <v>111</v>
      </c>
      <c r="C354" s="12" t="s">
        <v>3989</v>
      </c>
      <c r="D354" s="12" t="s">
        <v>63</v>
      </c>
      <c r="E354" s="12" t="s">
        <v>64</v>
      </c>
      <c r="F354" s="12" t="s">
        <v>310</v>
      </c>
      <c r="G354" s="12" t="s">
        <v>311</v>
      </c>
      <c r="H354" s="12" t="s">
        <v>66</v>
      </c>
      <c r="I354" s="12" t="s">
        <v>1342</v>
      </c>
      <c r="J354" s="34" t="s">
        <v>68</v>
      </c>
      <c r="K354" s="12"/>
      <c r="L354" s="13" t="s">
        <v>2542</v>
      </c>
      <c r="M354" s="213" t="s">
        <v>68</v>
      </c>
      <c r="N354" s="182"/>
      <c r="O354" s="12" t="s">
        <v>2520</v>
      </c>
      <c r="P354" s="12" t="s">
        <v>132</v>
      </c>
      <c r="Q354" s="12" t="s">
        <v>453</v>
      </c>
      <c r="R354" s="12">
        <v>554541</v>
      </c>
      <c r="S354" s="12" t="s">
        <v>454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75</v>
      </c>
      <c r="Z354" s="12"/>
      <c r="AA354" s="12" t="s">
        <v>108</v>
      </c>
      <c r="AB354" s="32" t="s">
        <v>967</v>
      </c>
      <c r="AC354" s="14">
        <v>45990</v>
      </c>
      <c r="AD354" s="15">
        <v>48</v>
      </c>
      <c r="AE354" s="176" t="s">
        <v>3990</v>
      </c>
      <c r="AF354" s="12">
        <v>371009214</v>
      </c>
      <c r="AG354" s="12" t="s">
        <v>122</v>
      </c>
      <c r="AH354" s="12" t="s">
        <v>314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66</v>
      </c>
      <c r="AP354" s="12" t="s">
        <v>3915</v>
      </c>
      <c r="AQ354" s="12"/>
      <c r="AR354" s="12" t="s">
        <v>3916</v>
      </c>
      <c r="AS354" s="12" t="s">
        <v>3917</v>
      </c>
      <c r="AT354" s="12" t="s">
        <v>3917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2525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10">
      <c r="A355" s="172" t="s">
        <v>3991</v>
      </c>
      <c r="B355" s="41" t="s">
        <v>111</v>
      </c>
      <c r="C355" s="41" t="s">
        <v>3989</v>
      </c>
      <c r="D355" s="41" t="s">
        <v>63</v>
      </c>
      <c r="E355" s="41" t="s">
        <v>64</v>
      </c>
      <c r="F355" s="41" t="s">
        <v>310</v>
      </c>
      <c r="G355" s="41" t="s">
        <v>311</v>
      </c>
      <c r="H355" s="41" t="s">
        <v>66</v>
      </c>
      <c r="I355" s="41" t="s">
        <v>1559</v>
      </c>
      <c r="J355" s="173" t="s">
        <v>68</v>
      </c>
      <c r="K355" s="12"/>
      <c r="L355" s="13" t="s">
        <v>2542</v>
      </c>
      <c r="M355" s="213" t="s">
        <v>68</v>
      </c>
      <c r="N355" s="182"/>
      <c r="O355" s="12" t="s">
        <v>2520</v>
      </c>
      <c r="P355" s="41" t="s">
        <v>132</v>
      </c>
      <c r="Q355" s="41" t="s">
        <v>453</v>
      </c>
      <c r="R355" s="41">
        <v>554541</v>
      </c>
      <c r="S355" s="41" t="s">
        <v>454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75</v>
      </c>
      <c r="Z355" s="41"/>
      <c r="AA355" s="12" t="s">
        <v>108</v>
      </c>
      <c r="AB355" s="175" t="s">
        <v>967</v>
      </c>
      <c r="AC355" s="37">
        <v>45991</v>
      </c>
      <c r="AD355" s="15">
        <v>48</v>
      </c>
      <c r="AE355" s="287" t="s">
        <v>3992</v>
      </c>
      <c r="AF355" s="12">
        <v>371009215</v>
      </c>
      <c r="AG355" s="41" t="s">
        <v>122</v>
      </c>
      <c r="AH355" s="41" t="s">
        <v>1561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66</v>
      </c>
      <c r="AP355" s="12" t="s">
        <v>3960</v>
      </c>
      <c r="AQ355" s="41"/>
      <c r="AR355" s="41" t="s">
        <v>3993</v>
      </c>
      <c r="AS355" s="41" t="s">
        <v>3994</v>
      </c>
      <c r="AT355" s="41" t="s">
        <v>3994</v>
      </c>
      <c r="AU355" s="41">
        <v>50</v>
      </c>
      <c r="AV355" s="41" t="s">
        <v>83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2525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10">
      <c r="A356" s="172" t="s">
        <v>3995</v>
      </c>
      <c r="B356" s="41" t="s">
        <v>111</v>
      </c>
      <c r="C356" s="41" t="s">
        <v>3996</v>
      </c>
      <c r="D356" s="41" t="s">
        <v>63</v>
      </c>
      <c r="E356" s="41" t="s">
        <v>64</v>
      </c>
      <c r="F356" s="41" t="s">
        <v>310</v>
      </c>
      <c r="G356" s="41" t="s">
        <v>311</v>
      </c>
      <c r="H356" s="41" t="s">
        <v>66</v>
      </c>
      <c r="I356" s="41" t="s">
        <v>1559</v>
      </c>
      <c r="J356" s="173" t="s">
        <v>68</v>
      </c>
      <c r="K356" s="12"/>
      <c r="L356" s="13" t="s">
        <v>2542</v>
      </c>
      <c r="M356" s="213" t="s">
        <v>68</v>
      </c>
      <c r="N356" s="182"/>
      <c r="O356" s="12" t="s">
        <v>2520</v>
      </c>
      <c r="P356" s="41" t="s">
        <v>132</v>
      </c>
      <c r="Q356" s="41" t="s">
        <v>3997</v>
      </c>
      <c r="R356" s="41">
        <v>554431</v>
      </c>
      <c r="S356" s="41" t="s">
        <v>1105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75</v>
      </c>
      <c r="Z356" s="41"/>
      <c r="AA356" s="12" t="s">
        <v>108</v>
      </c>
      <c r="AB356" s="175" t="s">
        <v>967</v>
      </c>
      <c r="AC356" s="37">
        <v>45991</v>
      </c>
      <c r="AD356" s="15">
        <v>48</v>
      </c>
      <c r="AE356" s="287" t="s">
        <v>3998</v>
      </c>
      <c r="AF356" s="12">
        <v>371009206</v>
      </c>
      <c r="AG356" s="41" t="s">
        <v>122</v>
      </c>
      <c r="AH356" s="41" t="s">
        <v>1561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66</v>
      </c>
      <c r="AP356" s="12" t="s">
        <v>3960</v>
      </c>
      <c r="AQ356" s="41"/>
      <c r="AR356" s="41" t="s">
        <v>3993</v>
      </c>
      <c r="AS356" s="41" t="s">
        <v>3994</v>
      </c>
      <c r="AT356" s="41" t="s">
        <v>3994</v>
      </c>
      <c r="AU356" s="41">
        <v>49</v>
      </c>
      <c r="AV356" s="41" t="s">
        <v>83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2525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10">
      <c r="A357" s="172" t="s">
        <v>3999</v>
      </c>
      <c r="B357" s="41" t="s">
        <v>111</v>
      </c>
      <c r="C357" s="41" t="s">
        <v>4000</v>
      </c>
      <c r="D357" s="41" t="s">
        <v>63</v>
      </c>
      <c r="E357" s="41" t="s">
        <v>64</v>
      </c>
      <c r="F357" s="41" t="s">
        <v>310</v>
      </c>
      <c r="G357" s="41" t="s">
        <v>311</v>
      </c>
      <c r="H357" s="41" t="s">
        <v>66</v>
      </c>
      <c r="I357" s="41" t="s">
        <v>1559</v>
      </c>
      <c r="J357" s="173" t="s">
        <v>68</v>
      </c>
      <c r="K357" s="12"/>
      <c r="L357" s="13" t="s">
        <v>2542</v>
      </c>
      <c r="M357" s="213" t="s">
        <v>68</v>
      </c>
      <c r="N357" s="182"/>
      <c r="O357" s="12" t="s">
        <v>2520</v>
      </c>
      <c r="P357" s="41" t="s">
        <v>132</v>
      </c>
      <c r="Q357" s="41" t="s">
        <v>133</v>
      </c>
      <c r="R357" s="41">
        <v>554304</v>
      </c>
      <c r="S357" s="41" t="s">
        <v>134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75</v>
      </c>
      <c r="Z357" s="41"/>
      <c r="AA357" s="12" t="s">
        <v>108</v>
      </c>
      <c r="AB357" s="173" t="s">
        <v>992</v>
      </c>
      <c r="AC357" s="37">
        <v>45991</v>
      </c>
      <c r="AD357" s="15">
        <v>48</v>
      </c>
      <c r="AE357" s="287" t="s">
        <v>4001</v>
      </c>
      <c r="AF357" s="12">
        <v>371009216</v>
      </c>
      <c r="AG357" s="41" t="s">
        <v>122</v>
      </c>
      <c r="AH357" s="41" t="s">
        <v>1561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66</v>
      </c>
      <c r="AP357" s="12" t="s">
        <v>3960</v>
      </c>
      <c r="AQ357" s="41"/>
      <c r="AR357" s="41" t="s">
        <v>3993</v>
      </c>
      <c r="AS357" s="41" t="s">
        <v>3994</v>
      </c>
      <c r="AT357" s="41" t="s">
        <v>3994</v>
      </c>
      <c r="AU357" s="41">
        <v>48</v>
      </c>
      <c r="AV357" s="41" t="s">
        <v>83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2525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10">
      <c r="A358" s="33" t="s">
        <v>4002</v>
      </c>
      <c r="B358" s="31" t="s">
        <v>111</v>
      </c>
      <c r="C358" s="31" t="s">
        <v>545</v>
      </c>
      <c r="D358" s="31" t="s">
        <v>63</v>
      </c>
      <c r="E358" s="31" t="s">
        <v>64</v>
      </c>
      <c r="F358" s="31" t="s">
        <v>310</v>
      </c>
      <c r="G358" s="31" t="s">
        <v>311</v>
      </c>
      <c r="H358" s="31" t="s">
        <v>66</v>
      </c>
      <c r="I358" s="31" t="s">
        <v>1559</v>
      </c>
      <c r="J358" s="34" t="s">
        <v>68</v>
      </c>
      <c r="K358" s="12"/>
      <c r="L358" s="13" t="s">
        <v>2542</v>
      </c>
      <c r="M358" s="213" t="s">
        <v>68</v>
      </c>
      <c r="N358" s="182"/>
      <c r="O358" s="12" t="s">
        <v>2520</v>
      </c>
      <c r="P358" s="31" t="s">
        <v>473</v>
      </c>
      <c r="Q358" s="31" t="s">
        <v>529</v>
      </c>
      <c r="R358" s="31">
        <v>553145</v>
      </c>
      <c r="S358" s="31" t="s">
        <v>530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75</v>
      </c>
      <c r="Z358" s="31"/>
      <c r="AA358" s="12" t="s">
        <v>85</v>
      </c>
      <c r="AB358" s="13" t="s">
        <v>967</v>
      </c>
      <c r="AC358" s="30">
        <v>45991</v>
      </c>
      <c r="AD358" s="15">
        <v>48</v>
      </c>
      <c r="AE358" s="55" t="s">
        <v>4003</v>
      </c>
      <c r="AF358" s="12">
        <v>371009213</v>
      </c>
      <c r="AG358" s="31" t="s">
        <v>122</v>
      </c>
      <c r="AH358" s="31" t="s">
        <v>1561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66</v>
      </c>
      <c r="AP358" s="12" t="s">
        <v>3960</v>
      </c>
      <c r="AQ358" s="31"/>
      <c r="AR358" s="31" t="s">
        <v>3993</v>
      </c>
      <c r="AS358" s="31" t="s">
        <v>3994</v>
      </c>
      <c r="AT358" s="31" t="s">
        <v>3994</v>
      </c>
      <c r="AU358" s="31">
        <v>47</v>
      </c>
      <c r="AV358" s="31" t="s">
        <v>83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2525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10">
      <c r="A359" s="172" t="s">
        <v>4004</v>
      </c>
      <c r="B359" s="41" t="s">
        <v>111</v>
      </c>
      <c r="C359" s="41" t="s">
        <v>3879</v>
      </c>
      <c r="D359" s="41" t="s">
        <v>63</v>
      </c>
      <c r="E359" s="41" t="s">
        <v>64</v>
      </c>
      <c r="F359" s="41" t="s">
        <v>310</v>
      </c>
      <c r="G359" s="41" t="s">
        <v>311</v>
      </c>
      <c r="H359" s="41" t="s">
        <v>66</v>
      </c>
      <c r="I359" s="41" t="s">
        <v>1559</v>
      </c>
      <c r="J359" s="173" t="s">
        <v>68</v>
      </c>
      <c r="K359" s="12"/>
      <c r="L359" s="13" t="s">
        <v>2542</v>
      </c>
      <c r="M359" s="213" t="s">
        <v>68</v>
      </c>
      <c r="N359" s="182"/>
      <c r="O359" s="12" t="s">
        <v>2520</v>
      </c>
      <c r="P359" s="41" t="s">
        <v>170</v>
      </c>
      <c r="Q359" s="41" t="s">
        <v>171</v>
      </c>
      <c r="R359" s="41">
        <v>552045</v>
      </c>
      <c r="S359" s="41" t="s">
        <v>172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75</v>
      </c>
      <c r="Z359" s="41"/>
      <c r="AA359" s="12" t="s">
        <v>108</v>
      </c>
      <c r="AB359" s="173" t="s">
        <v>992</v>
      </c>
      <c r="AC359" s="37">
        <v>45991</v>
      </c>
      <c r="AD359" s="15">
        <v>48</v>
      </c>
      <c r="AE359" s="239" t="s">
        <v>4005</v>
      </c>
      <c r="AF359" s="12">
        <v>371009202</v>
      </c>
      <c r="AG359" s="41" t="s">
        <v>122</v>
      </c>
      <c r="AH359" s="41" t="s">
        <v>1561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66</v>
      </c>
      <c r="AP359" s="12" t="s">
        <v>3960</v>
      </c>
      <c r="AQ359" s="41"/>
      <c r="AR359" s="41" t="s">
        <v>3993</v>
      </c>
      <c r="AS359" s="41" t="s">
        <v>3994</v>
      </c>
      <c r="AT359" s="41" t="s">
        <v>3994</v>
      </c>
      <c r="AU359" s="41">
        <v>46</v>
      </c>
      <c r="AV359" s="41" t="s">
        <v>83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2525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10">
      <c r="A360" s="11" t="s">
        <v>4006</v>
      </c>
      <c r="B360" s="12" t="s">
        <v>61</v>
      </c>
      <c r="C360" s="12" t="s">
        <v>193</v>
      </c>
      <c r="D360" s="12" t="s">
        <v>63</v>
      </c>
      <c r="E360" s="12" t="s">
        <v>144</v>
      </c>
      <c r="F360" s="12" t="s">
        <v>145</v>
      </c>
      <c r="G360" s="18" t="s">
        <v>526</v>
      </c>
      <c r="H360" s="12" t="s">
        <v>402</v>
      </c>
      <c r="I360" s="12" t="s">
        <v>527</v>
      </c>
      <c r="J360" s="34" t="s">
        <v>68</v>
      </c>
      <c r="K360" s="12">
        <v>46010943</v>
      </c>
      <c r="L360" s="13" t="s">
        <v>2814</v>
      </c>
      <c r="M360" s="236" t="s">
        <v>68</v>
      </c>
      <c r="N360" s="182"/>
      <c r="O360" s="12" t="s">
        <v>2520</v>
      </c>
      <c r="P360" s="12" t="s">
        <v>70</v>
      </c>
      <c r="Q360" s="12" t="s">
        <v>195</v>
      </c>
      <c r="R360" s="12">
        <v>554473</v>
      </c>
      <c r="S360" s="12" t="s">
        <v>196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75</v>
      </c>
      <c r="Z360" s="12"/>
      <c r="AA360" s="12" t="s">
        <v>85</v>
      </c>
      <c r="AB360" s="13" t="s">
        <v>967</v>
      </c>
      <c r="AC360" s="14">
        <v>45989</v>
      </c>
      <c r="AD360" s="15">
        <v>48</v>
      </c>
      <c r="AE360" s="176" t="s">
        <v>4007</v>
      </c>
      <c r="AF360" s="12">
        <v>371009207</v>
      </c>
      <c r="AG360" s="12" t="s">
        <v>77</v>
      </c>
      <c r="AH360" s="12" t="s">
        <v>532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402</v>
      </c>
      <c r="AP360" s="12" t="s">
        <v>4008</v>
      </c>
      <c r="AQ360" s="12"/>
      <c r="AR360" s="12" t="s">
        <v>4009</v>
      </c>
      <c r="AS360" s="12" t="s">
        <v>4010</v>
      </c>
      <c r="AT360" s="12" t="s">
        <v>4011</v>
      </c>
      <c r="AU360" s="12">
        <v>67</v>
      </c>
      <c r="AV360" s="12" t="s">
        <v>2538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2525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10">
      <c r="A361" s="11" t="s">
        <v>4012</v>
      </c>
      <c r="B361" s="12" t="s">
        <v>61</v>
      </c>
      <c r="C361" s="12" t="s">
        <v>3388</v>
      </c>
      <c r="D361" s="12" t="s">
        <v>63</v>
      </c>
      <c r="E361" s="12" t="s">
        <v>144</v>
      </c>
      <c r="F361" s="12" t="s">
        <v>145</v>
      </c>
      <c r="G361" s="18" t="s">
        <v>526</v>
      </c>
      <c r="H361" s="12" t="s">
        <v>402</v>
      </c>
      <c r="I361" s="12" t="s">
        <v>527</v>
      </c>
      <c r="J361" s="34" t="s">
        <v>68</v>
      </c>
      <c r="K361" s="12">
        <v>46010943</v>
      </c>
      <c r="L361" s="13" t="s">
        <v>2814</v>
      </c>
      <c r="M361" s="236" t="s">
        <v>68</v>
      </c>
      <c r="N361" s="182"/>
      <c r="O361" s="12" t="s">
        <v>2520</v>
      </c>
      <c r="P361" s="12" t="s">
        <v>70</v>
      </c>
      <c r="Q361" s="12" t="s">
        <v>195</v>
      </c>
      <c r="R361" s="12">
        <v>554473</v>
      </c>
      <c r="S361" s="12" t="s">
        <v>196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75</v>
      </c>
      <c r="Z361" s="12"/>
      <c r="AA361" s="12" t="s">
        <v>85</v>
      </c>
      <c r="AB361" s="13" t="s">
        <v>967</v>
      </c>
      <c r="AC361" s="14">
        <v>45989</v>
      </c>
      <c r="AD361" s="15">
        <v>48</v>
      </c>
      <c r="AE361" s="176" t="s">
        <v>4013</v>
      </c>
      <c r="AF361" s="12">
        <v>371009203</v>
      </c>
      <c r="AG361" s="12" t="s">
        <v>77</v>
      </c>
      <c r="AH361" s="12" t="s">
        <v>532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402</v>
      </c>
      <c r="AP361" s="12" t="s">
        <v>4008</v>
      </c>
      <c r="AQ361" s="12"/>
      <c r="AR361" s="12" t="s">
        <v>4009</v>
      </c>
      <c r="AS361" s="12" t="s">
        <v>4010</v>
      </c>
      <c r="AT361" s="12" t="s">
        <v>4011</v>
      </c>
      <c r="AU361" s="12">
        <v>67</v>
      </c>
      <c r="AV361" s="12" t="s">
        <v>2538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2525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10">
      <c r="A362" s="11" t="s">
        <v>4014</v>
      </c>
      <c r="B362" s="12" t="s">
        <v>61</v>
      </c>
      <c r="C362" s="12" t="s">
        <v>3804</v>
      </c>
      <c r="D362" s="12" t="s">
        <v>63</v>
      </c>
      <c r="E362" s="12" t="s">
        <v>64</v>
      </c>
      <c r="F362" s="31" t="s">
        <v>310</v>
      </c>
      <c r="G362" s="12" t="s">
        <v>311</v>
      </c>
      <c r="H362" s="12" t="s">
        <v>66</v>
      </c>
      <c r="I362" s="12" t="s">
        <v>1342</v>
      </c>
      <c r="J362" s="34" t="s">
        <v>68</v>
      </c>
      <c r="K362" s="12"/>
      <c r="L362" s="13" t="s">
        <v>2542</v>
      </c>
      <c r="M362" s="213" t="s">
        <v>68</v>
      </c>
      <c r="N362" s="182"/>
      <c r="O362" s="12" t="s">
        <v>2520</v>
      </c>
      <c r="P362" s="12" t="s">
        <v>70</v>
      </c>
      <c r="Q362" s="12" t="s">
        <v>102</v>
      </c>
      <c r="R362" s="12">
        <v>554245</v>
      </c>
      <c r="S362" s="12" t="s">
        <v>103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75</v>
      </c>
      <c r="Z362" s="12"/>
      <c r="AA362" s="12" t="s">
        <v>108</v>
      </c>
      <c r="AB362" s="13" t="s">
        <v>967</v>
      </c>
      <c r="AC362" s="14">
        <v>45985</v>
      </c>
      <c r="AD362" s="15">
        <v>48</v>
      </c>
      <c r="AE362" s="176" t="s">
        <v>4015</v>
      </c>
      <c r="AF362" s="12">
        <v>371009204</v>
      </c>
      <c r="AG362" s="12" t="s">
        <v>77</v>
      </c>
      <c r="AH362" s="12" t="s">
        <v>314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66</v>
      </c>
      <c r="AP362" s="12" t="s">
        <v>4016</v>
      </c>
      <c r="AQ362" s="12"/>
      <c r="AR362" s="12" t="s">
        <v>4017</v>
      </c>
      <c r="AS362" s="12" t="s">
        <v>4018</v>
      </c>
      <c r="AT362" s="12" t="s">
        <v>4018</v>
      </c>
      <c r="AU362" s="12">
        <v>60</v>
      </c>
      <c r="AV362" s="12" t="s">
        <v>83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2525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10">
      <c r="A363" s="11" t="s">
        <v>4019</v>
      </c>
      <c r="B363" s="12" t="s">
        <v>111</v>
      </c>
      <c r="C363" s="12" t="s">
        <v>215</v>
      </c>
      <c r="D363" s="12" t="s">
        <v>113</v>
      </c>
      <c r="E363" s="12" t="s">
        <v>64</v>
      </c>
      <c r="F363" s="12" t="s">
        <v>100</v>
      </c>
      <c r="G363" s="12" t="s">
        <v>67</v>
      </c>
      <c r="H363" s="12" t="s">
        <v>66</v>
      </c>
      <c r="I363" s="12" t="s">
        <v>363</v>
      </c>
      <c r="J363" s="34" t="s">
        <v>68</v>
      </c>
      <c r="K363" s="12" t="s">
        <v>364</v>
      </c>
      <c r="L363" s="13" t="s">
        <v>113</v>
      </c>
      <c r="M363" s="213" t="s">
        <v>68</v>
      </c>
      <c r="N363" s="182"/>
      <c r="O363" s="12" t="s">
        <v>2520</v>
      </c>
      <c r="P363" s="12" t="s">
        <v>70</v>
      </c>
      <c r="Q363" s="12" t="s">
        <v>218</v>
      </c>
      <c r="R363" s="12">
        <v>555364</v>
      </c>
      <c r="S363" s="12" t="s">
        <v>219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75</v>
      </c>
      <c r="Z363" s="12"/>
      <c r="AA363" s="12" t="s">
        <v>128</v>
      </c>
      <c r="AB363" s="13" t="s">
        <v>992</v>
      </c>
      <c r="AC363" s="14">
        <v>45991</v>
      </c>
      <c r="AD363" s="15">
        <v>48</v>
      </c>
      <c r="AE363" s="176" t="s">
        <v>4020</v>
      </c>
      <c r="AF363" s="12">
        <v>371009255</v>
      </c>
      <c r="AG363" s="12" t="s">
        <v>1525</v>
      </c>
      <c r="AH363" s="12" t="s">
        <v>105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66</v>
      </c>
      <c r="AP363" s="12" t="s">
        <v>3910</v>
      </c>
      <c r="AQ363" s="12"/>
      <c r="AR363" s="12" t="s">
        <v>4021</v>
      </c>
      <c r="AS363" s="12" t="s">
        <v>4022</v>
      </c>
      <c r="AT363" s="12" t="s">
        <v>4023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2525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10">
      <c r="A364" s="11" t="s">
        <v>4024</v>
      </c>
      <c r="B364" s="12" t="s">
        <v>111</v>
      </c>
      <c r="C364" s="12" t="s">
        <v>4025</v>
      </c>
      <c r="D364" s="12" t="s">
        <v>63</v>
      </c>
      <c r="E364" s="12" t="s">
        <v>144</v>
      </c>
      <c r="F364" s="12" t="s">
        <v>145</v>
      </c>
      <c r="G364" s="12" t="s">
        <v>677</v>
      </c>
      <c r="H364" s="12" t="s">
        <v>156</v>
      </c>
      <c r="I364" s="12" t="s">
        <v>677</v>
      </c>
      <c r="J364" s="34" t="s">
        <v>68</v>
      </c>
      <c r="K364" s="12"/>
      <c r="L364" s="13" t="s">
        <v>2777</v>
      </c>
      <c r="M364" s="236" t="s">
        <v>68</v>
      </c>
      <c r="N364" s="182"/>
      <c r="O364" s="12" t="s">
        <v>2520</v>
      </c>
      <c r="P364" s="12" t="s">
        <v>70</v>
      </c>
      <c r="Q364" s="12" t="s">
        <v>1002</v>
      </c>
      <c r="R364" s="12">
        <v>554246</v>
      </c>
      <c r="S364" s="12" t="s">
        <v>330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75</v>
      </c>
      <c r="Z364" s="12"/>
      <c r="AA364" s="12" t="s">
        <v>3825</v>
      </c>
      <c r="AB364" s="247" t="s">
        <v>3778</v>
      </c>
      <c r="AC364" s="14">
        <v>45993</v>
      </c>
      <c r="AD364" s="15">
        <v>49</v>
      </c>
      <c r="AE364" s="176" t="s">
        <v>4026</v>
      </c>
      <c r="AF364" s="12">
        <v>371009259</v>
      </c>
      <c r="AG364" s="12" t="s">
        <v>122</v>
      </c>
      <c r="AH364" s="12" t="s">
        <v>105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156</v>
      </c>
      <c r="AP364" s="12" t="s">
        <v>4027</v>
      </c>
      <c r="AQ364" s="12"/>
      <c r="AR364" s="12" t="s">
        <v>4028</v>
      </c>
      <c r="AS364" s="12" t="s">
        <v>4029</v>
      </c>
      <c r="AT364" s="12" t="s">
        <v>4030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2525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10">
      <c r="A365" s="11" t="s">
        <v>4031</v>
      </c>
      <c r="B365" s="12" t="s">
        <v>111</v>
      </c>
      <c r="C365" s="12" t="s">
        <v>4025</v>
      </c>
      <c r="D365" s="12" t="s">
        <v>63</v>
      </c>
      <c r="E365" s="12" t="s">
        <v>144</v>
      </c>
      <c r="F365" s="12" t="s">
        <v>145</v>
      </c>
      <c r="G365" s="12" t="s">
        <v>677</v>
      </c>
      <c r="H365" s="12" t="s">
        <v>156</v>
      </c>
      <c r="I365" s="12" t="s">
        <v>677</v>
      </c>
      <c r="J365" s="34" t="s">
        <v>68</v>
      </c>
      <c r="K365" s="12"/>
      <c r="L365" s="13" t="s">
        <v>2777</v>
      </c>
      <c r="M365" s="236" t="s">
        <v>68</v>
      </c>
      <c r="N365" s="182"/>
      <c r="O365" s="12" t="s">
        <v>2520</v>
      </c>
      <c r="P365" s="12" t="s">
        <v>70</v>
      </c>
      <c r="Q365" s="12" t="s">
        <v>1002</v>
      </c>
      <c r="R365" s="12">
        <v>554246</v>
      </c>
      <c r="S365" s="12" t="s">
        <v>330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75</v>
      </c>
      <c r="Z365" s="12"/>
      <c r="AA365" s="12" t="s">
        <v>3825</v>
      </c>
      <c r="AB365" s="247" t="s">
        <v>3778</v>
      </c>
      <c r="AC365" s="14">
        <v>45994</v>
      </c>
      <c r="AD365" s="15">
        <v>49</v>
      </c>
      <c r="AE365" s="176" t="s">
        <v>4032</v>
      </c>
      <c r="AF365" s="12">
        <v>371009260</v>
      </c>
      <c r="AG365" s="12" t="s">
        <v>122</v>
      </c>
      <c r="AH365" s="12" t="s">
        <v>105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156</v>
      </c>
      <c r="AP365" s="12" t="s">
        <v>4027</v>
      </c>
      <c r="AQ365" s="12"/>
      <c r="AR365" s="12" t="s">
        <v>4028</v>
      </c>
      <c r="AS365" s="12" t="s">
        <v>4029</v>
      </c>
      <c r="AT365" s="12" t="s">
        <v>4030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2525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10">
      <c r="A366" s="11" t="s">
        <v>4033</v>
      </c>
      <c r="B366" s="12" t="s">
        <v>111</v>
      </c>
      <c r="C366" s="12" t="s">
        <v>4025</v>
      </c>
      <c r="D366" s="12" t="s">
        <v>63</v>
      </c>
      <c r="E366" s="12" t="s">
        <v>144</v>
      </c>
      <c r="F366" s="12" t="s">
        <v>145</v>
      </c>
      <c r="G366" s="12" t="s">
        <v>677</v>
      </c>
      <c r="H366" s="12" t="s">
        <v>156</v>
      </c>
      <c r="I366" s="12" t="s">
        <v>677</v>
      </c>
      <c r="J366" s="34" t="s">
        <v>68</v>
      </c>
      <c r="K366" s="12"/>
      <c r="L366" s="13" t="s">
        <v>2777</v>
      </c>
      <c r="M366" s="236" t="s">
        <v>68</v>
      </c>
      <c r="N366" s="182"/>
      <c r="O366" s="12" t="s">
        <v>2520</v>
      </c>
      <c r="P366" s="12" t="s">
        <v>70</v>
      </c>
      <c r="Q366" s="12" t="s">
        <v>1002</v>
      </c>
      <c r="R366" s="12">
        <v>554246</v>
      </c>
      <c r="S366" s="12" t="s">
        <v>330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75</v>
      </c>
      <c r="Z366" s="12"/>
      <c r="AA366" s="12" t="s">
        <v>3825</v>
      </c>
      <c r="AB366" s="247" t="s">
        <v>3778</v>
      </c>
      <c r="AC366" s="14">
        <v>46000</v>
      </c>
      <c r="AD366" s="15">
        <v>50</v>
      </c>
      <c r="AE366" s="176" t="s">
        <v>4034</v>
      </c>
      <c r="AF366" s="12">
        <v>371009304</v>
      </c>
      <c r="AG366" s="12" t="s">
        <v>122</v>
      </c>
      <c r="AH366" s="12" t="s">
        <v>105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156</v>
      </c>
      <c r="AP366" s="12" t="s">
        <v>4035</v>
      </c>
      <c r="AQ366" s="12"/>
      <c r="AR366" s="12" t="s">
        <v>4036</v>
      </c>
      <c r="AS366" s="12" t="s">
        <v>4037</v>
      </c>
      <c r="AT366" s="12" t="s">
        <v>4038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2525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10">
      <c r="A367" s="11" t="s">
        <v>4039</v>
      </c>
      <c r="B367" s="12" t="s">
        <v>111</v>
      </c>
      <c r="C367" s="12" t="s">
        <v>4040</v>
      </c>
      <c r="D367" s="12" t="s">
        <v>63</v>
      </c>
      <c r="E367" s="12" t="s">
        <v>144</v>
      </c>
      <c r="F367" s="12" t="s">
        <v>145</v>
      </c>
      <c r="G367" s="12" t="s">
        <v>677</v>
      </c>
      <c r="H367" s="12" t="s">
        <v>156</v>
      </c>
      <c r="I367" s="12" t="s">
        <v>677</v>
      </c>
      <c r="J367" s="34" t="s">
        <v>68</v>
      </c>
      <c r="K367" s="12"/>
      <c r="L367" s="13" t="s">
        <v>2777</v>
      </c>
      <c r="M367" s="236" t="s">
        <v>68</v>
      </c>
      <c r="N367" s="182"/>
      <c r="O367" s="12" t="s">
        <v>2520</v>
      </c>
      <c r="P367" s="12" t="s">
        <v>70</v>
      </c>
      <c r="Q367" s="12" t="s">
        <v>102</v>
      </c>
      <c r="R367" s="12">
        <v>554245</v>
      </c>
      <c r="S367" s="12" t="s">
        <v>103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75</v>
      </c>
      <c r="Z367" s="12"/>
      <c r="AA367" s="12" t="s">
        <v>108</v>
      </c>
      <c r="AB367" s="247" t="s">
        <v>3778</v>
      </c>
      <c r="AC367" s="14">
        <v>46001</v>
      </c>
      <c r="AD367" s="15">
        <v>50</v>
      </c>
      <c r="AE367" s="176" t="s">
        <v>4041</v>
      </c>
      <c r="AF367" s="12">
        <v>371009302</v>
      </c>
      <c r="AG367" s="12" t="s">
        <v>122</v>
      </c>
      <c r="AH367" s="12" t="s">
        <v>105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156</v>
      </c>
      <c r="AP367" s="12" t="s">
        <v>4035</v>
      </c>
      <c r="AQ367" s="12"/>
      <c r="AR367" s="12" t="s">
        <v>4036</v>
      </c>
      <c r="AS367" s="12" t="s">
        <v>4037</v>
      </c>
      <c r="AT367" s="12" t="s">
        <v>4038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2525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10">
      <c r="A368" s="11" t="s">
        <v>4042</v>
      </c>
      <c r="B368" s="12" t="s">
        <v>111</v>
      </c>
      <c r="C368" s="12" t="s">
        <v>4040</v>
      </c>
      <c r="D368" s="12" t="s">
        <v>63</v>
      </c>
      <c r="E368" s="12" t="s">
        <v>144</v>
      </c>
      <c r="F368" s="12" t="s">
        <v>145</v>
      </c>
      <c r="G368" s="12" t="s">
        <v>677</v>
      </c>
      <c r="H368" s="12" t="s">
        <v>156</v>
      </c>
      <c r="I368" s="12" t="s">
        <v>677</v>
      </c>
      <c r="J368" s="34" t="s">
        <v>68</v>
      </c>
      <c r="K368" s="12"/>
      <c r="L368" s="13" t="s">
        <v>2777</v>
      </c>
      <c r="M368" s="236" t="s">
        <v>68</v>
      </c>
      <c r="N368" s="182"/>
      <c r="O368" s="12" t="s">
        <v>2520</v>
      </c>
      <c r="P368" s="12" t="s">
        <v>70</v>
      </c>
      <c r="Q368" s="12" t="s">
        <v>102</v>
      </c>
      <c r="R368" s="12">
        <v>554245</v>
      </c>
      <c r="S368" s="12" t="s">
        <v>103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75</v>
      </c>
      <c r="Z368" s="12"/>
      <c r="AA368" s="12" t="s">
        <v>108</v>
      </c>
      <c r="AB368" s="247" t="s">
        <v>3778</v>
      </c>
      <c r="AC368" s="14">
        <v>45995</v>
      </c>
      <c r="AD368" s="15">
        <v>49</v>
      </c>
      <c r="AE368" s="176" t="s">
        <v>4043</v>
      </c>
      <c r="AF368" s="12">
        <v>371009257</v>
      </c>
      <c r="AG368" s="12" t="s">
        <v>122</v>
      </c>
      <c r="AH368" s="12" t="s">
        <v>105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156</v>
      </c>
      <c r="AP368" s="12" t="s">
        <v>4044</v>
      </c>
      <c r="AQ368" s="12"/>
      <c r="AR368" s="12" t="s">
        <v>4045</v>
      </c>
      <c r="AS368" s="12" t="s">
        <v>4046</v>
      </c>
      <c r="AT368" s="12" t="s">
        <v>4047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2525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10">
      <c r="A369" s="11" t="s">
        <v>4048</v>
      </c>
      <c r="B369" s="12" t="s">
        <v>111</v>
      </c>
      <c r="C369" s="12" t="s">
        <v>4040</v>
      </c>
      <c r="D369" s="12" t="s">
        <v>63</v>
      </c>
      <c r="E369" s="12" t="s">
        <v>144</v>
      </c>
      <c r="F369" s="12" t="s">
        <v>145</v>
      </c>
      <c r="G369" s="12" t="s">
        <v>677</v>
      </c>
      <c r="H369" s="12" t="s">
        <v>156</v>
      </c>
      <c r="I369" s="12" t="s">
        <v>677</v>
      </c>
      <c r="J369" s="34" t="s">
        <v>68</v>
      </c>
      <c r="K369" s="12"/>
      <c r="L369" s="13" t="s">
        <v>2777</v>
      </c>
      <c r="M369" s="236" t="s">
        <v>68</v>
      </c>
      <c r="N369" s="182"/>
      <c r="O369" s="12" t="s">
        <v>2520</v>
      </c>
      <c r="P369" s="12" t="s">
        <v>70</v>
      </c>
      <c r="Q369" s="12" t="s">
        <v>102</v>
      </c>
      <c r="R369" s="12">
        <v>554245</v>
      </c>
      <c r="S369" s="12" t="s">
        <v>103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75</v>
      </c>
      <c r="Z369" s="12"/>
      <c r="AA369" s="12" t="s">
        <v>108</v>
      </c>
      <c r="AB369" s="13" t="s">
        <v>967</v>
      </c>
      <c r="AC369" s="14">
        <v>45995</v>
      </c>
      <c r="AD369" s="15">
        <v>49</v>
      </c>
      <c r="AE369" s="176" t="s">
        <v>4049</v>
      </c>
      <c r="AF369" s="12">
        <v>371009258</v>
      </c>
      <c r="AG369" s="12" t="s">
        <v>122</v>
      </c>
      <c r="AH369" s="12" t="s">
        <v>105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156</v>
      </c>
      <c r="AP369" s="12" t="s">
        <v>4044</v>
      </c>
      <c r="AQ369" s="12"/>
      <c r="AR369" s="12" t="s">
        <v>4050</v>
      </c>
      <c r="AS369" s="12" t="s">
        <v>4051</v>
      </c>
      <c r="AT369" s="12" t="s">
        <v>4052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2525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10">
      <c r="A370" s="11" t="s">
        <v>4053</v>
      </c>
      <c r="B370" s="12" t="s">
        <v>111</v>
      </c>
      <c r="C370" s="12" t="s">
        <v>4025</v>
      </c>
      <c r="D370" s="12" t="s">
        <v>63</v>
      </c>
      <c r="E370" s="12" t="s">
        <v>144</v>
      </c>
      <c r="F370" s="12" t="s">
        <v>145</v>
      </c>
      <c r="G370" s="12" t="s">
        <v>677</v>
      </c>
      <c r="H370" s="12" t="s">
        <v>156</v>
      </c>
      <c r="I370" s="12" t="s">
        <v>677</v>
      </c>
      <c r="J370" s="34" t="s">
        <v>68</v>
      </c>
      <c r="K370" s="12"/>
      <c r="L370" s="13" t="s">
        <v>2777</v>
      </c>
      <c r="M370" s="236" t="s">
        <v>68</v>
      </c>
      <c r="N370" s="182"/>
      <c r="O370" s="12" t="s">
        <v>2520</v>
      </c>
      <c r="P370" s="12" t="s">
        <v>70</v>
      </c>
      <c r="Q370" s="12" t="s">
        <v>1002</v>
      </c>
      <c r="R370" s="12">
        <v>554246</v>
      </c>
      <c r="S370" s="12" t="s">
        <v>330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75</v>
      </c>
      <c r="Z370" s="12"/>
      <c r="AA370" s="12" t="s">
        <v>3825</v>
      </c>
      <c r="AB370" s="247" t="s">
        <v>3778</v>
      </c>
      <c r="AC370" s="14">
        <v>45996</v>
      </c>
      <c r="AD370" s="15">
        <v>49</v>
      </c>
      <c r="AE370" s="176" t="s">
        <v>4054</v>
      </c>
      <c r="AF370" s="12">
        <v>371009262</v>
      </c>
      <c r="AG370" s="12" t="s">
        <v>122</v>
      </c>
      <c r="AH370" s="12" t="s">
        <v>105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156</v>
      </c>
      <c r="AP370" s="12" t="s">
        <v>4044</v>
      </c>
      <c r="AQ370" s="12"/>
      <c r="AR370" s="12" t="s">
        <v>4055</v>
      </c>
      <c r="AS370" s="12" t="s">
        <v>4056</v>
      </c>
      <c r="AT370" s="12" t="s">
        <v>4057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2525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10">
      <c r="A371" s="11" t="s">
        <v>4058</v>
      </c>
      <c r="B371" s="12" t="s">
        <v>111</v>
      </c>
      <c r="C371" s="12" t="s">
        <v>4040</v>
      </c>
      <c r="D371" s="12" t="s">
        <v>63</v>
      </c>
      <c r="E371" s="12" t="s">
        <v>144</v>
      </c>
      <c r="F371" s="12" t="s">
        <v>145</v>
      </c>
      <c r="G371" s="12" t="s">
        <v>677</v>
      </c>
      <c r="H371" s="12" t="s">
        <v>156</v>
      </c>
      <c r="I371" s="12" t="s">
        <v>677</v>
      </c>
      <c r="J371" s="34" t="s">
        <v>68</v>
      </c>
      <c r="K371" s="12"/>
      <c r="L371" s="13" t="s">
        <v>2777</v>
      </c>
      <c r="M371" s="236" t="s">
        <v>68</v>
      </c>
      <c r="N371" s="182"/>
      <c r="O371" s="12" t="s">
        <v>2520</v>
      </c>
      <c r="P371" s="12" t="s">
        <v>70</v>
      </c>
      <c r="Q371" s="12" t="s">
        <v>102</v>
      </c>
      <c r="R371" s="12">
        <v>554245</v>
      </c>
      <c r="S371" s="12" t="s">
        <v>103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75</v>
      </c>
      <c r="Z371" s="12"/>
      <c r="AA371" s="12" t="s">
        <v>108</v>
      </c>
      <c r="AB371" s="247" t="s">
        <v>3778</v>
      </c>
      <c r="AC371" s="14">
        <v>46002</v>
      </c>
      <c r="AD371" s="15">
        <v>50</v>
      </c>
      <c r="AE371" s="176" t="s">
        <v>4059</v>
      </c>
      <c r="AF371" s="12">
        <v>371009300</v>
      </c>
      <c r="AG371" s="12" t="s">
        <v>122</v>
      </c>
      <c r="AH371" s="12" t="s">
        <v>105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156</v>
      </c>
      <c r="AP371" s="12" t="s">
        <v>4060</v>
      </c>
      <c r="AQ371" s="12"/>
      <c r="AR371" s="12" t="s">
        <v>4061</v>
      </c>
      <c r="AS371" s="12" t="s">
        <v>4062</v>
      </c>
      <c r="AT371" s="12" t="s">
        <v>4063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2525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10">
      <c r="A372" s="11" t="s">
        <v>4064</v>
      </c>
      <c r="B372" s="12" t="s">
        <v>111</v>
      </c>
      <c r="C372" s="12" t="s">
        <v>4040</v>
      </c>
      <c r="D372" s="12" t="s">
        <v>63</v>
      </c>
      <c r="E372" s="12" t="s">
        <v>144</v>
      </c>
      <c r="F372" s="12" t="s">
        <v>145</v>
      </c>
      <c r="G372" s="12" t="s">
        <v>677</v>
      </c>
      <c r="H372" s="12" t="s">
        <v>156</v>
      </c>
      <c r="I372" s="12" t="s">
        <v>677</v>
      </c>
      <c r="J372" s="34" t="s">
        <v>68</v>
      </c>
      <c r="K372" s="12"/>
      <c r="L372" s="13" t="s">
        <v>2777</v>
      </c>
      <c r="M372" s="236" t="s">
        <v>68</v>
      </c>
      <c r="N372" s="182"/>
      <c r="O372" s="12" t="s">
        <v>2520</v>
      </c>
      <c r="P372" s="12" t="s">
        <v>70</v>
      </c>
      <c r="Q372" s="12" t="s">
        <v>102</v>
      </c>
      <c r="R372" s="12">
        <v>554245</v>
      </c>
      <c r="S372" s="12" t="s">
        <v>103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75</v>
      </c>
      <c r="Z372" s="12"/>
      <c r="AA372" s="12" t="s">
        <v>108</v>
      </c>
      <c r="AB372" s="247" t="s">
        <v>3778</v>
      </c>
      <c r="AC372" s="14">
        <v>46003</v>
      </c>
      <c r="AD372" s="15">
        <v>50</v>
      </c>
      <c r="AE372" s="176" t="s">
        <v>4065</v>
      </c>
      <c r="AF372" s="12">
        <v>371009301</v>
      </c>
      <c r="AG372" s="12" t="s">
        <v>122</v>
      </c>
      <c r="AH372" s="12" t="s">
        <v>105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156</v>
      </c>
      <c r="AP372" s="12" t="s">
        <v>4060</v>
      </c>
      <c r="AQ372" s="12"/>
      <c r="AR372" s="12" t="s">
        <v>4066</v>
      </c>
      <c r="AS372" s="12" t="s">
        <v>4067</v>
      </c>
      <c r="AT372" s="12" t="s">
        <v>4068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2525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10">
      <c r="A373" s="11" t="s">
        <v>4069</v>
      </c>
      <c r="B373" s="12" t="s">
        <v>111</v>
      </c>
      <c r="C373" s="12" t="s">
        <v>4025</v>
      </c>
      <c r="D373" s="12" t="s">
        <v>63</v>
      </c>
      <c r="E373" s="12" t="s">
        <v>144</v>
      </c>
      <c r="F373" s="12" t="s">
        <v>145</v>
      </c>
      <c r="G373" s="12" t="s">
        <v>677</v>
      </c>
      <c r="H373" s="12" t="s">
        <v>156</v>
      </c>
      <c r="I373" s="12" t="s">
        <v>677</v>
      </c>
      <c r="J373" s="34" t="s">
        <v>68</v>
      </c>
      <c r="K373" s="12"/>
      <c r="L373" s="13" t="s">
        <v>2777</v>
      </c>
      <c r="M373" s="236" t="s">
        <v>68</v>
      </c>
      <c r="N373" s="182"/>
      <c r="O373" s="12" t="s">
        <v>2520</v>
      </c>
      <c r="P373" s="12" t="s">
        <v>70</v>
      </c>
      <c r="Q373" s="12" t="s">
        <v>1002</v>
      </c>
      <c r="R373" s="12">
        <v>554246</v>
      </c>
      <c r="S373" s="12" t="s">
        <v>330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75</v>
      </c>
      <c r="Z373" s="12"/>
      <c r="AA373" s="12" t="s">
        <v>3825</v>
      </c>
      <c r="AB373" s="247" t="s">
        <v>3778</v>
      </c>
      <c r="AC373" s="14">
        <v>46003</v>
      </c>
      <c r="AD373" s="15">
        <v>50</v>
      </c>
      <c r="AE373" s="176" t="s">
        <v>4070</v>
      </c>
      <c r="AF373" s="12">
        <v>371009303</v>
      </c>
      <c r="AG373" s="12" t="s">
        <v>122</v>
      </c>
      <c r="AH373" s="12" t="s">
        <v>105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156</v>
      </c>
      <c r="AP373" s="12" t="s">
        <v>4060</v>
      </c>
      <c r="AQ373" s="12"/>
      <c r="AR373" s="12" t="s">
        <v>4066</v>
      </c>
      <c r="AS373" s="12" t="s">
        <v>4067</v>
      </c>
      <c r="AT373" s="12" t="s">
        <v>4068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2525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10">
      <c r="A374" s="11" t="s">
        <v>4071</v>
      </c>
      <c r="B374" s="12" t="s">
        <v>4072</v>
      </c>
      <c r="C374" s="12" t="s">
        <v>4073</v>
      </c>
      <c r="D374" s="12" t="s">
        <v>63</v>
      </c>
      <c r="E374" s="12" t="s">
        <v>68</v>
      </c>
      <c r="F374" s="12" t="s">
        <v>68</v>
      </c>
      <c r="G374" s="12"/>
      <c r="H374" s="12" t="s">
        <v>156</v>
      </c>
      <c r="I374" s="12" t="s">
        <v>677</v>
      </c>
      <c r="J374" s="34" t="s">
        <v>68</v>
      </c>
      <c r="K374" s="12"/>
      <c r="L374" s="13" t="s">
        <v>2777</v>
      </c>
      <c r="M374" s="12" t="s">
        <v>68</v>
      </c>
      <c r="N374" s="182"/>
      <c r="O374" s="12" t="s">
        <v>2520</v>
      </c>
      <c r="P374" s="12" t="s">
        <v>284</v>
      </c>
      <c r="Q374" s="12" t="s">
        <v>4074</v>
      </c>
      <c r="R374" s="12">
        <v>554313</v>
      </c>
      <c r="S374" s="12" t="s">
        <v>4075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75</v>
      </c>
      <c r="Z374" s="12"/>
      <c r="AA374" s="12" t="s">
        <v>108</v>
      </c>
      <c r="AB374" s="13" t="s">
        <v>992</v>
      </c>
      <c r="AC374" s="14">
        <v>45992</v>
      </c>
      <c r="AD374" s="15">
        <v>49</v>
      </c>
      <c r="AE374" s="176" t="s">
        <v>4076</v>
      </c>
      <c r="AF374" s="12">
        <v>371009265</v>
      </c>
      <c r="AG374" s="12" t="s">
        <v>1525</v>
      </c>
      <c r="AH374" s="12" t="s">
        <v>105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156</v>
      </c>
      <c r="AP374" s="12" t="s">
        <v>4077</v>
      </c>
      <c r="AQ374" s="12"/>
      <c r="AR374" s="12" t="s">
        <v>4078</v>
      </c>
      <c r="AS374" s="12" t="s">
        <v>4079</v>
      </c>
      <c r="AT374" s="12" t="s">
        <v>4080</v>
      </c>
      <c r="AU374" s="12">
        <v>38</v>
      </c>
      <c r="AV374" s="12" t="s">
        <v>2538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2525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10">
      <c r="A375" s="11" t="s">
        <v>4081</v>
      </c>
      <c r="B375" s="12" t="s">
        <v>4072</v>
      </c>
      <c r="C375" s="12" t="s">
        <v>4082</v>
      </c>
      <c r="D375" s="12" t="s">
        <v>63</v>
      </c>
      <c r="E375" s="12" t="s">
        <v>68</v>
      </c>
      <c r="F375" s="12" t="s">
        <v>68</v>
      </c>
      <c r="G375" s="12"/>
      <c r="H375" s="12" t="s">
        <v>156</v>
      </c>
      <c r="I375" s="12" t="s">
        <v>677</v>
      </c>
      <c r="J375" s="34" t="s">
        <v>68</v>
      </c>
      <c r="K375" s="12"/>
      <c r="L375" s="13" t="s">
        <v>2777</v>
      </c>
      <c r="M375" s="12" t="s">
        <v>68</v>
      </c>
      <c r="N375" s="182"/>
      <c r="O375" s="12" t="s">
        <v>2520</v>
      </c>
      <c r="P375" s="12" t="s">
        <v>284</v>
      </c>
      <c r="Q375" s="12" t="s">
        <v>4083</v>
      </c>
      <c r="R375" s="12">
        <v>554312</v>
      </c>
      <c r="S375" s="12" t="s">
        <v>4084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75</v>
      </c>
      <c r="Z375" s="12"/>
      <c r="AA375" s="12" t="s">
        <v>108</v>
      </c>
      <c r="AB375" s="13" t="s">
        <v>992</v>
      </c>
      <c r="AC375" s="14">
        <v>45994</v>
      </c>
      <c r="AD375" s="15">
        <v>49</v>
      </c>
      <c r="AE375" s="176" t="s">
        <v>4085</v>
      </c>
      <c r="AF375" s="12">
        <v>371009263</v>
      </c>
      <c r="AG375" s="12" t="s">
        <v>1525</v>
      </c>
      <c r="AH375" s="12" t="s">
        <v>105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156</v>
      </c>
      <c r="AP375" s="12" t="s">
        <v>4077</v>
      </c>
      <c r="AQ375" s="12"/>
      <c r="AR375" s="12" t="s">
        <v>4086</v>
      </c>
      <c r="AS375" s="12" t="s">
        <v>4087</v>
      </c>
      <c r="AT375" s="12" t="s">
        <v>4088</v>
      </c>
      <c r="AU375" s="12">
        <v>38</v>
      </c>
      <c r="AV375" s="12" t="s">
        <v>2538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2525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10">
      <c r="A376" s="11" t="s">
        <v>4089</v>
      </c>
      <c r="B376" s="12" t="s">
        <v>4072</v>
      </c>
      <c r="C376" s="12" t="s">
        <v>4073</v>
      </c>
      <c r="D376" s="12" t="s">
        <v>63</v>
      </c>
      <c r="E376" s="12" t="s">
        <v>144</v>
      </c>
      <c r="F376" s="12" t="s">
        <v>145</v>
      </c>
      <c r="G376" s="12" t="s">
        <v>677</v>
      </c>
      <c r="H376" s="12" t="s">
        <v>156</v>
      </c>
      <c r="I376" s="12" t="s">
        <v>677</v>
      </c>
      <c r="J376" s="34" t="s">
        <v>68</v>
      </c>
      <c r="K376" s="12"/>
      <c r="L376" s="13" t="s">
        <v>2777</v>
      </c>
      <c r="M376" s="236" t="s">
        <v>68</v>
      </c>
      <c r="N376" s="182"/>
      <c r="O376" s="12" t="s">
        <v>2520</v>
      </c>
      <c r="P376" s="12" t="s">
        <v>284</v>
      </c>
      <c r="Q376" s="12" t="s">
        <v>4074</v>
      </c>
      <c r="R376" s="12">
        <v>554313</v>
      </c>
      <c r="S376" s="12" t="s">
        <v>4075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75</v>
      </c>
      <c r="Z376" s="12"/>
      <c r="AA376" s="12" t="s">
        <v>108</v>
      </c>
      <c r="AB376" s="13" t="s">
        <v>992</v>
      </c>
      <c r="AC376" s="14">
        <v>45995</v>
      </c>
      <c r="AD376" s="15">
        <v>49</v>
      </c>
      <c r="AE376" s="176" t="s">
        <v>4090</v>
      </c>
      <c r="AF376" s="12">
        <v>371009266</v>
      </c>
      <c r="AG376" s="12" t="s">
        <v>1525</v>
      </c>
      <c r="AH376" s="12" t="s">
        <v>105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156</v>
      </c>
      <c r="AP376" s="12" t="s">
        <v>4044</v>
      </c>
      <c r="AQ376" s="12"/>
      <c r="AR376" s="12" t="s">
        <v>4091</v>
      </c>
      <c r="AS376" s="12" t="s">
        <v>4092</v>
      </c>
      <c r="AT376" s="12" t="s">
        <v>4093</v>
      </c>
      <c r="AU376" s="12">
        <v>46</v>
      </c>
      <c r="AV376" s="12" t="s">
        <v>2538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2525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10">
      <c r="A377" s="11" t="s">
        <v>4094</v>
      </c>
      <c r="B377" s="12" t="s">
        <v>4072</v>
      </c>
      <c r="C377" s="12" t="s">
        <v>4082</v>
      </c>
      <c r="D377" s="12" t="s">
        <v>63</v>
      </c>
      <c r="E377" s="12" t="s">
        <v>144</v>
      </c>
      <c r="F377" s="12" t="s">
        <v>145</v>
      </c>
      <c r="G377" s="12" t="s">
        <v>677</v>
      </c>
      <c r="H377" s="12" t="s">
        <v>156</v>
      </c>
      <c r="I377" s="12" t="s">
        <v>677</v>
      </c>
      <c r="J377" s="34" t="s">
        <v>68</v>
      </c>
      <c r="K377" s="12"/>
      <c r="L377" s="13" t="s">
        <v>2777</v>
      </c>
      <c r="M377" s="236" t="s">
        <v>68</v>
      </c>
      <c r="N377" s="182"/>
      <c r="O377" s="12" t="s">
        <v>2520</v>
      </c>
      <c r="P377" s="12" t="s">
        <v>284</v>
      </c>
      <c r="Q377" s="12" t="s">
        <v>4083</v>
      </c>
      <c r="R377" s="12">
        <v>554312</v>
      </c>
      <c r="S377" s="12" t="s">
        <v>4084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75</v>
      </c>
      <c r="Z377" s="12"/>
      <c r="AA377" s="12" t="s">
        <v>108</v>
      </c>
      <c r="AB377" s="13" t="s">
        <v>992</v>
      </c>
      <c r="AC377" s="14">
        <v>45996</v>
      </c>
      <c r="AD377" s="15">
        <v>49</v>
      </c>
      <c r="AE377" s="176" t="s">
        <v>4095</v>
      </c>
      <c r="AF377" s="12">
        <v>371009264</v>
      </c>
      <c r="AG377" s="12" t="s">
        <v>1525</v>
      </c>
      <c r="AH377" s="12" t="s">
        <v>105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156</v>
      </c>
      <c r="AP377" s="12" t="s">
        <v>4044</v>
      </c>
      <c r="AQ377" s="12"/>
      <c r="AR377" s="12" t="s">
        <v>4096</v>
      </c>
      <c r="AS377" s="12" t="s">
        <v>4097</v>
      </c>
      <c r="AT377" s="12" t="s">
        <v>4098</v>
      </c>
      <c r="AU377" s="12">
        <v>46</v>
      </c>
      <c r="AV377" s="12" t="s">
        <v>2538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2525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10">
      <c r="A378" s="11" t="s">
        <v>4099</v>
      </c>
      <c r="B378" s="12" t="s">
        <v>4072</v>
      </c>
      <c r="C378" s="12" t="s">
        <v>4082</v>
      </c>
      <c r="D378" s="12" t="s">
        <v>63</v>
      </c>
      <c r="E378" s="12" t="s">
        <v>144</v>
      </c>
      <c r="F378" s="12" t="s">
        <v>145</v>
      </c>
      <c r="G378" s="12" t="s">
        <v>677</v>
      </c>
      <c r="H378" s="12" t="s">
        <v>156</v>
      </c>
      <c r="I378" s="12" t="s">
        <v>677</v>
      </c>
      <c r="J378" s="34" t="s">
        <v>68</v>
      </c>
      <c r="K378" s="12"/>
      <c r="L378" s="13" t="s">
        <v>2777</v>
      </c>
      <c r="M378" s="236" t="s">
        <v>68</v>
      </c>
      <c r="N378" s="182"/>
      <c r="O378" s="12" t="s">
        <v>2520</v>
      </c>
      <c r="P378" s="12" t="s">
        <v>284</v>
      </c>
      <c r="Q378" s="12" t="s">
        <v>4083</v>
      </c>
      <c r="R378" s="12">
        <v>554312</v>
      </c>
      <c r="S378" s="12" t="s">
        <v>4084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75</v>
      </c>
      <c r="Z378" s="12"/>
      <c r="AA378" s="12" t="s">
        <v>108</v>
      </c>
      <c r="AB378" s="13" t="s">
        <v>992</v>
      </c>
      <c r="AC378" s="14">
        <v>45998</v>
      </c>
      <c r="AD378" s="15">
        <v>49</v>
      </c>
      <c r="AE378" s="176" t="s">
        <v>4100</v>
      </c>
      <c r="AF378" s="12">
        <v>371009305</v>
      </c>
      <c r="AG378" s="12" t="s">
        <v>1525</v>
      </c>
      <c r="AH378" s="12" t="s">
        <v>105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156</v>
      </c>
      <c r="AP378" s="12" t="s">
        <v>4101</v>
      </c>
      <c r="AQ378" s="12"/>
      <c r="AR378" s="12" t="s">
        <v>4102</v>
      </c>
      <c r="AS378" s="12" t="s">
        <v>4103</v>
      </c>
      <c r="AT378" s="12" t="s">
        <v>4104</v>
      </c>
      <c r="AU378" s="12">
        <v>35</v>
      </c>
      <c r="AV378" s="12" t="s">
        <v>2538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2525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10">
      <c r="A379" s="11" t="s">
        <v>4105</v>
      </c>
      <c r="B379" s="12" t="s">
        <v>4072</v>
      </c>
      <c r="C379" s="12" t="s">
        <v>4073</v>
      </c>
      <c r="D379" s="12" t="s">
        <v>63</v>
      </c>
      <c r="E379" s="12" t="s">
        <v>144</v>
      </c>
      <c r="F379" s="12" t="s">
        <v>145</v>
      </c>
      <c r="G379" s="12" t="s">
        <v>677</v>
      </c>
      <c r="H379" s="12" t="s">
        <v>156</v>
      </c>
      <c r="I379" s="12" t="s">
        <v>677</v>
      </c>
      <c r="J379" s="34" t="s">
        <v>68</v>
      </c>
      <c r="K379" s="12"/>
      <c r="L379" s="13" t="s">
        <v>2777</v>
      </c>
      <c r="M379" s="236" t="s">
        <v>68</v>
      </c>
      <c r="N379" s="182"/>
      <c r="O379" s="12" t="s">
        <v>2520</v>
      </c>
      <c r="P379" s="12" t="s">
        <v>284</v>
      </c>
      <c r="Q379" s="12" t="s">
        <v>4074</v>
      </c>
      <c r="R379" s="12">
        <v>554313</v>
      </c>
      <c r="S379" s="12" t="s">
        <v>4075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75</v>
      </c>
      <c r="Z379" s="12"/>
      <c r="AA379" s="12" t="s">
        <v>108</v>
      </c>
      <c r="AB379" s="13" t="s">
        <v>992</v>
      </c>
      <c r="AC379" s="14">
        <v>45998</v>
      </c>
      <c r="AD379" s="15">
        <v>49</v>
      </c>
      <c r="AE379" s="176" t="s">
        <v>4106</v>
      </c>
      <c r="AF379" s="12">
        <v>371009306</v>
      </c>
      <c r="AG379" s="12" t="s">
        <v>1525</v>
      </c>
      <c r="AH379" s="12" t="s">
        <v>105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156</v>
      </c>
      <c r="AP379" s="12" t="s">
        <v>4101</v>
      </c>
      <c r="AQ379" s="12"/>
      <c r="AR379" s="12" t="s">
        <v>4102</v>
      </c>
      <c r="AS379" s="12" t="s">
        <v>4103</v>
      </c>
      <c r="AT379" s="12" t="s">
        <v>4104</v>
      </c>
      <c r="AU379" s="12">
        <v>35</v>
      </c>
      <c r="AV379" s="12" t="s">
        <v>2538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2525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10">
      <c r="A380" s="11" t="s">
        <v>4073</v>
      </c>
      <c r="B380" s="12" t="s">
        <v>4072</v>
      </c>
      <c r="C380" s="12" t="s">
        <v>203</v>
      </c>
      <c r="D380" s="12" t="s">
        <v>63</v>
      </c>
      <c r="E380" s="12" t="s">
        <v>144</v>
      </c>
      <c r="F380" s="12" t="s">
        <v>145</v>
      </c>
      <c r="G380" s="12" t="s">
        <v>677</v>
      </c>
      <c r="H380" s="12" t="s">
        <v>156</v>
      </c>
      <c r="I380" s="12" t="s">
        <v>677</v>
      </c>
      <c r="J380" s="34" t="s">
        <v>68</v>
      </c>
      <c r="K380" s="12"/>
      <c r="L380" s="13" t="s">
        <v>2777</v>
      </c>
      <c r="M380" s="236" t="s">
        <v>68</v>
      </c>
      <c r="N380" s="182"/>
      <c r="O380" s="12" t="s">
        <v>2520</v>
      </c>
      <c r="P380" s="12" t="s">
        <v>284</v>
      </c>
      <c r="Q380" s="12" t="s">
        <v>4074</v>
      </c>
      <c r="R380" s="12">
        <v>554313</v>
      </c>
      <c r="S380" s="12" t="s">
        <v>4075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75</v>
      </c>
      <c r="Z380" s="12"/>
      <c r="AA380" s="12" t="s">
        <v>108</v>
      </c>
      <c r="AB380" s="13" t="s">
        <v>992</v>
      </c>
      <c r="AC380" s="14">
        <v>45998</v>
      </c>
      <c r="AD380" s="15">
        <v>49</v>
      </c>
      <c r="AE380" s="176" t="s">
        <v>4107</v>
      </c>
      <c r="AF380" s="12">
        <v>371009307</v>
      </c>
      <c r="AG380" s="12" t="s">
        <v>1525</v>
      </c>
      <c r="AH380" s="12" t="s">
        <v>105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156</v>
      </c>
      <c r="AP380" s="12" t="s">
        <v>4108</v>
      </c>
      <c r="AQ380" s="12"/>
      <c r="AR380" s="12" t="s">
        <v>4109</v>
      </c>
      <c r="AS380" s="12" t="s">
        <v>4110</v>
      </c>
      <c r="AT380" s="12" t="s">
        <v>4111</v>
      </c>
      <c r="AU380" s="12">
        <v>35</v>
      </c>
      <c r="AV380" s="12" t="s">
        <v>2538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2525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10">
      <c r="A381" s="11" t="s">
        <v>4112</v>
      </c>
      <c r="B381" s="12" t="s">
        <v>281</v>
      </c>
      <c r="C381" s="12" t="s">
        <v>282</v>
      </c>
      <c r="D381" s="12" t="s">
        <v>63</v>
      </c>
      <c r="E381" s="12" t="s">
        <v>68</v>
      </c>
      <c r="F381" s="12" t="s">
        <v>68</v>
      </c>
      <c r="G381" s="12"/>
      <c r="H381" s="12" t="s">
        <v>66</v>
      </c>
      <c r="I381" s="12" t="s">
        <v>1292</v>
      </c>
      <c r="J381" s="34" t="s">
        <v>68</v>
      </c>
      <c r="K381" s="12"/>
      <c r="L381" s="13" t="s">
        <v>2876</v>
      </c>
      <c r="M381" s="12" t="s">
        <v>68</v>
      </c>
      <c r="N381" s="182"/>
      <c r="O381" s="12" t="s">
        <v>2520</v>
      </c>
      <c r="P381" s="12" t="s">
        <v>284</v>
      </c>
      <c r="Q381" s="12" t="s">
        <v>285</v>
      </c>
      <c r="R381" s="12">
        <v>554319</v>
      </c>
      <c r="S381" s="12" t="s">
        <v>286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75</v>
      </c>
      <c r="Z381" s="12"/>
      <c r="AA381" s="12" t="s">
        <v>85</v>
      </c>
      <c r="AB381" s="13" t="s">
        <v>992</v>
      </c>
      <c r="AC381" s="14">
        <v>45994</v>
      </c>
      <c r="AD381" s="15">
        <v>49</v>
      </c>
      <c r="AE381" s="176" t="s">
        <v>4113</v>
      </c>
      <c r="AF381" s="12">
        <v>371009231</v>
      </c>
      <c r="AG381" s="12" t="s">
        <v>288</v>
      </c>
      <c r="AH381" s="12" t="s">
        <v>456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66</v>
      </c>
      <c r="AP381" s="12" t="s">
        <v>4114</v>
      </c>
      <c r="AQ381" s="12"/>
      <c r="AR381" s="12" t="s">
        <v>4115</v>
      </c>
      <c r="AS381" s="12" t="s">
        <v>4116</v>
      </c>
      <c r="AT381" s="12" t="s">
        <v>4116</v>
      </c>
      <c r="AU381" s="12">
        <v>32</v>
      </c>
      <c r="AV381" s="12" t="s">
        <v>83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2525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10">
      <c r="A382" s="11" t="s">
        <v>4117</v>
      </c>
      <c r="B382" s="12" t="s">
        <v>111</v>
      </c>
      <c r="C382" s="12" t="s">
        <v>4025</v>
      </c>
      <c r="D382" s="12" t="s">
        <v>63</v>
      </c>
      <c r="E382" s="12" t="s">
        <v>144</v>
      </c>
      <c r="F382" s="12" t="s">
        <v>145</v>
      </c>
      <c r="G382" s="12" t="s">
        <v>677</v>
      </c>
      <c r="H382" s="12" t="s">
        <v>156</v>
      </c>
      <c r="I382" s="12" t="s">
        <v>677</v>
      </c>
      <c r="J382" s="34" t="s">
        <v>68</v>
      </c>
      <c r="K382" s="12"/>
      <c r="L382" s="13" t="s">
        <v>2777</v>
      </c>
      <c r="M382" s="236" t="s">
        <v>68</v>
      </c>
      <c r="N382" s="182"/>
      <c r="O382" s="12" t="s">
        <v>2520</v>
      </c>
      <c r="P382" s="12" t="s">
        <v>70</v>
      </c>
      <c r="Q382" s="12" t="s">
        <v>1002</v>
      </c>
      <c r="R382" s="12">
        <v>554246</v>
      </c>
      <c r="S382" s="12" t="s">
        <v>330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75</v>
      </c>
      <c r="Z382" s="12"/>
      <c r="AA382" s="12" t="s">
        <v>3825</v>
      </c>
      <c r="AB382" s="247" t="s">
        <v>3778</v>
      </c>
      <c r="AC382" s="14">
        <v>45995</v>
      </c>
      <c r="AD382" s="15">
        <v>49</v>
      </c>
      <c r="AE382" s="176" t="s">
        <v>4118</v>
      </c>
      <c r="AF382" s="12">
        <v>371009261</v>
      </c>
      <c r="AG382" s="12" t="s">
        <v>122</v>
      </c>
      <c r="AH382" s="12" t="s">
        <v>105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156</v>
      </c>
      <c r="AP382" s="12" t="s">
        <v>4044</v>
      </c>
      <c r="AQ382" s="12"/>
      <c r="AR382" s="12" t="s">
        <v>4050</v>
      </c>
      <c r="AS382" s="12" t="s">
        <v>4051</v>
      </c>
      <c r="AT382" s="12" t="s">
        <v>4052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2525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10">
      <c r="A383" s="11" t="s">
        <v>4119</v>
      </c>
      <c r="B383" s="12" t="s">
        <v>281</v>
      </c>
      <c r="C383" s="12" t="s">
        <v>601</v>
      </c>
      <c r="D383" s="12" t="s">
        <v>63</v>
      </c>
      <c r="E383" s="12" t="s">
        <v>64</v>
      </c>
      <c r="F383" s="31" t="s">
        <v>310</v>
      </c>
      <c r="G383" s="12" t="s">
        <v>311</v>
      </c>
      <c r="H383" s="12" t="s">
        <v>66</v>
      </c>
      <c r="I383" s="12" t="s">
        <v>1342</v>
      </c>
      <c r="J383" s="34" t="s">
        <v>68</v>
      </c>
      <c r="K383" s="12"/>
      <c r="L383" s="13" t="s">
        <v>2542</v>
      </c>
      <c r="M383" s="213" t="s">
        <v>68</v>
      </c>
      <c r="N383" s="182"/>
      <c r="O383" s="12" t="s">
        <v>2520</v>
      </c>
      <c r="P383" s="12" t="s">
        <v>284</v>
      </c>
      <c r="Q383" s="12" t="s">
        <v>602</v>
      </c>
      <c r="R383" s="12">
        <v>554440</v>
      </c>
      <c r="S383" s="12" t="s">
        <v>603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75</v>
      </c>
      <c r="Z383" s="12"/>
      <c r="AA383" s="12" t="s">
        <v>108</v>
      </c>
      <c r="AB383" s="13" t="s">
        <v>992</v>
      </c>
      <c r="AC383" s="14">
        <v>45999</v>
      </c>
      <c r="AD383" s="15">
        <v>50</v>
      </c>
      <c r="AE383" s="176" t="s">
        <v>4120</v>
      </c>
      <c r="AF383" s="12">
        <v>371009233</v>
      </c>
      <c r="AG383" s="12" t="s">
        <v>288</v>
      </c>
      <c r="AH383" s="12" t="s">
        <v>314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66</v>
      </c>
      <c r="AP383" s="12" t="s">
        <v>3915</v>
      </c>
      <c r="AQ383" s="12"/>
      <c r="AR383" s="12" t="s">
        <v>4121</v>
      </c>
      <c r="AS383" s="12" t="s">
        <v>4122</v>
      </c>
      <c r="AT383" s="12" t="s">
        <v>4122</v>
      </c>
      <c r="AU383" s="12">
        <v>40</v>
      </c>
      <c r="AV383" s="12" t="s">
        <v>83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2525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10">
      <c r="A384" s="11" t="s">
        <v>4123</v>
      </c>
      <c r="B384" s="12" t="s">
        <v>281</v>
      </c>
      <c r="C384" s="12" t="s">
        <v>282</v>
      </c>
      <c r="D384" s="12" t="s">
        <v>63</v>
      </c>
      <c r="E384" s="12" t="s">
        <v>64</v>
      </c>
      <c r="F384" s="31" t="s">
        <v>310</v>
      </c>
      <c r="G384" s="12" t="s">
        <v>311</v>
      </c>
      <c r="H384" s="12" t="s">
        <v>66</v>
      </c>
      <c r="I384" s="12" t="s">
        <v>1342</v>
      </c>
      <c r="J384" s="34" t="s">
        <v>68</v>
      </c>
      <c r="K384" s="12"/>
      <c r="L384" s="13" t="s">
        <v>2542</v>
      </c>
      <c r="M384" s="213" t="s">
        <v>68</v>
      </c>
      <c r="N384" s="182"/>
      <c r="O384" s="12" t="s">
        <v>2520</v>
      </c>
      <c r="P384" s="12" t="s">
        <v>284</v>
      </c>
      <c r="Q384" s="12" t="s">
        <v>285</v>
      </c>
      <c r="R384" s="12">
        <v>554319</v>
      </c>
      <c r="S384" s="12" t="s">
        <v>286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75</v>
      </c>
      <c r="Z384" s="12"/>
      <c r="AA384" s="12" t="s">
        <v>85</v>
      </c>
      <c r="AB384" s="13" t="s">
        <v>992</v>
      </c>
      <c r="AC384" s="14">
        <v>45999</v>
      </c>
      <c r="AD384" s="15">
        <v>50</v>
      </c>
      <c r="AE384" s="176" t="s">
        <v>4124</v>
      </c>
      <c r="AF384" s="12">
        <v>371009232</v>
      </c>
      <c r="AG384" s="12" t="s">
        <v>288</v>
      </c>
      <c r="AH384" s="12" t="s">
        <v>314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66</v>
      </c>
      <c r="AP384" s="12" t="s">
        <v>3915</v>
      </c>
      <c r="AQ384" s="12"/>
      <c r="AR384" s="12" t="s">
        <v>4121</v>
      </c>
      <c r="AS384" s="12" t="s">
        <v>4122</v>
      </c>
      <c r="AT384" s="12" t="s">
        <v>4122</v>
      </c>
      <c r="AU384" s="12">
        <v>40</v>
      </c>
      <c r="AV384" s="12" t="s">
        <v>83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2525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10">
      <c r="A385" s="11" t="s">
        <v>4125</v>
      </c>
      <c r="B385" s="12" t="s">
        <v>111</v>
      </c>
      <c r="C385" s="12" t="s">
        <v>545</v>
      </c>
      <c r="D385" s="12" t="s">
        <v>63</v>
      </c>
      <c r="E385" s="12" t="s">
        <v>144</v>
      </c>
      <c r="F385" s="12" t="s">
        <v>145</v>
      </c>
      <c r="G385" s="18" t="s">
        <v>526</v>
      </c>
      <c r="H385" s="12" t="s">
        <v>402</v>
      </c>
      <c r="I385" s="12" t="s">
        <v>527</v>
      </c>
      <c r="J385" s="34" t="s">
        <v>68</v>
      </c>
      <c r="K385" s="12">
        <v>46010946</v>
      </c>
      <c r="L385" s="13" t="s">
        <v>2814</v>
      </c>
      <c r="M385" s="236" t="s">
        <v>68</v>
      </c>
      <c r="N385" s="182"/>
      <c r="O385" s="12" t="s">
        <v>2520</v>
      </c>
      <c r="P385" s="12" t="s">
        <v>473</v>
      </c>
      <c r="Q385" s="12" t="s">
        <v>529</v>
      </c>
      <c r="R385" s="12">
        <v>553145</v>
      </c>
      <c r="S385" s="12" t="s">
        <v>530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75</v>
      </c>
      <c r="Z385" s="12"/>
      <c r="AA385" s="12" t="s">
        <v>85</v>
      </c>
      <c r="AB385" s="13" t="s">
        <v>967</v>
      </c>
      <c r="AC385" s="14">
        <v>45992</v>
      </c>
      <c r="AD385" s="15">
        <v>49</v>
      </c>
      <c r="AE385" s="176" t="s">
        <v>4126</v>
      </c>
      <c r="AF385" s="12">
        <v>371009247</v>
      </c>
      <c r="AG385" s="12" t="s">
        <v>122</v>
      </c>
      <c r="AH385" s="12" t="s">
        <v>532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402</v>
      </c>
      <c r="AP385" s="12" t="s">
        <v>4127</v>
      </c>
      <c r="AQ385" s="12"/>
      <c r="AR385" s="12" t="s">
        <v>4128</v>
      </c>
      <c r="AS385" s="12" t="s">
        <v>4129</v>
      </c>
      <c r="AT385" s="12" t="s">
        <v>4130</v>
      </c>
      <c r="AU385" s="12">
        <v>50</v>
      </c>
      <c r="AV385" s="12" t="s">
        <v>2538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2525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10">
      <c r="A386" s="11" t="s">
        <v>4131</v>
      </c>
      <c r="B386" s="12" t="s">
        <v>111</v>
      </c>
      <c r="C386" s="12" t="s">
        <v>3989</v>
      </c>
      <c r="D386" s="12" t="s">
        <v>63</v>
      </c>
      <c r="E386" s="12" t="s">
        <v>64</v>
      </c>
      <c r="F386" s="12" t="s">
        <v>450</v>
      </c>
      <c r="G386" s="39" t="s">
        <v>451</v>
      </c>
      <c r="H386" s="12" t="s">
        <v>66</v>
      </c>
      <c r="I386" s="12" t="s">
        <v>452</v>
      </c>
      <c r="J386" s="34" t="s">
        <v>68</v>
      </c>
      <c r="K386" s="12">
        <v>20519249</v>
      </c>
      <c r="L386" s="13" t="s">
        <v>2876</v>
      </c>
      <c r="M386" s="213" t="s">
        <v>68</v>
      </c>
      <c r="N386" s="182"/>
      <c r="O386" s="12" t="s">
        <v>2520</v>
      </c>
      <c r="P386" s="12" t="s">
        <v>132</v>
      </c>
      <c r="Q386" s="12" t="s">
        <v>453</v>
      </c>
      <c r="R386" s="12">
        <v>554541</v>
      </c>
      <c r="S386" s="12" t="s">
        <v>454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75</v>
      </c>
      <c r="Z386" s="12"/>
      <c r="AA386" s="12" t="s">
        <v>108</v>
      </c>
      <c r="AB386" s="32" t="s">
        <v>967</v>
      </c>
      <c r="AC386" s="14">
        <v>45993</v>
      </c>
      <c r="AD386" s="15">
        <v>49</v>
      </c>
      <c r="AE386" s="176" t="s">
        <v>4132</v>
      </c>
      <c r="AF386" s="12">
        <v>371009277</v>
      </c>
      <c r="AG386" s="12" t="s">
        <v>122</v>
      </c>
      <c r="AH386" s="12" t="s">
        <v>456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66</v>
      </c>
      <c r="AP386" s="12" t="s">
        <v>4133</v>
      </c>
      <c r="AQ386" s="12"/>
      <c r="AR386" s="12" t="s">
        <v>4134</v>
      </c>
      <c r="AS386" s="12" t="s">
        <v>4135</v>
      </c>
      <c r="AT386" s="12" t="s">
        <v>4135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2525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10">
      <c r="A387" s="11" t="s">
        <v>4136</v>
      </c>
      <c r="B387" s="12" t="s">
        <v>111</v>
      </c>
      <c r="C387" s="12" t="s">
        <v>3777</v>
      </c>
      <c r="D387" s="12" t="s">
        <v>63</v>
      </c>
      <c r="E387" s="12" t="s">
        <v>64</v>
      </c>
      <c r="F387" s="12" t="s">
        <v>100</v>
      </c>
      <c r="G387" s="12" t="s">
        <v>67</v>
      </c>
      <c r="H387" s="12" t="s">
        <v>402</v>
      </c>
      <c r="I387" s="12" t="s">
        <v>677</v>
      </c>
      <c r="J387" s="34" t="s">
        <v>68</v>
      </c>
      <c r="K387" s="12">
        <v>14130756</v>
      </c>
      <c r="L387" s="13" t="s">
        <v>2777</v>
      </c>
      <c r="M387" s="213" t="s">
        <v>68</v>
      </c>
      <c r="N387" s="182"/>
      <c r="O387" s="12" t="s">
        <v>2520</v>
      </c>
      <c r="P387" s="12" t="s">
        <v>70</v>
      </c>
      <c r="Q387" s="12" t="s">
        <v>102</v>
      </c>
      <c r="R387" s="12">
        <v>554245</v>
      </c>
      <c r="S387" s="12" t="s">
        <v>103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75</v>
      </c>
      <c r="Z387" s="12"/>
      <c r="AA387" s="12" t="s">
        <v>108</v>
      </c>
      <c r="AB387" s="247" t="s">
        <v>3778</v>
      </c>
      <c r="AC387" s="14">
        <v>45992</v>
      </c>
      <c r="AD387" s="15">
        <v>49</v>
      </c>
      <c r="AE387" s="176" t="s">
        <v>4137</v>
      </c>
      <c r="AF387" s="12">
        <v>371009245</v>
      </c>
      <c r="AG387" s="12" t="s">
        <v>122</v>
      </c>
      <c r="AH387" s="12" t="s">
        <v>105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402</v>
      </c>
      <c r="AP387" s="12" t="s">
        <v>4127</v>
      </c>
      <c r="AQ387" s="12"/>
      <c r="AR387" s="12" t="s">
        <v>4138</v>
      </c>
      <c r="AS387" s="12" t="s">
        <v>4139</v>
      </c>
      <c r="AT387" s="12" t="s">
        <v>4139</v>
      </c>
      <c r="AU387" s="12">
        <v>39</v>
      </c>
      <c r="AV387" s="12" t="s">
        <v>2538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2525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10">
      <c r="A388" s="11" t="s">
        <v>4140</v>
      </c>
      <c r="B388" s="12" t="s">
        <v>111</v>
      </c>
      <c r="C388" s="12" t="s">
        <v>3824</v>
      </c>
      <c r="D388" s="12" t="s">
        <v>63</v>
      </c>
      <c r="E388" s="12" t="s">
        <v>64</v>
      </c>
      <c r="F388" s="12" t="s">
        <v>100</v>
      </c>
      <c r="G388" s="12" t="s">
        <v>67</v>
      </c>
      <c r="H388" s="12" t="s">
        <v>402</v>
      </c>
      <c r="I388" s="12" t="s">
        <v>677</v>
      </c>
      <c r="J388" s="34" t="s">
        <v>68</v>
      </c>
      <c r="K388" s="12">
        <v>14130756</v>
      </c>
      <c r="L388" s="13" t="s">
        <v>2777</v>
      </c>
      <c r="M388" s="213" t="s">
        <v>68</v>
      </c>
      <c r="N388" s="182"/>
      <c r="O388" s="12" t="s">
        <v>2520</v>
      </c>
      <c r="P388" s="12" t="s">
        <v>70</v>
      </c>
      <c r="Q388" s="12" t="s">
        <v>1002</v>
      </c>
      <c r="R388" s="12">
        <v>554246</v>
      </c>
      <c r="S388" s="12" t="s">
        <v>330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75</v>
      </c>
      <c r="Z388" s="12"/>
      <c r="AA388" s="12" t="s">
        <v>3825</v>
      </c>
      <c r="AB388" s="247" t="s">
        <v>3778</v>
      </c>
      <c r="AC388" s="14">
        <v>45990</v>
      </c>
      <c r="AD388" s="15">
        <v>48</v>
      </c>
      <c r="AE388" s="176" t="s">
        <v>4141</v>
      </c>
      <c r="AF388" s="12">
        <v>371009246</v>
      </c>
      <c r="AG388" s="12" t="s">
        <v>122</v>
      </c>
      <c r="AH388" s="12" t="s">
        <v>105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402</v>
      </c>
      <c r="AP388" s="12" t="s">
        <v>4127</v>
      </c>
      <c r="AQ388" s="12"/>
      <c r="AR388" s="12" t="s">
        <v>4142</v>
      </c>
      <c r="AS388" s="12" t="s">
        <v>4143</v>
      </c>
      <c r="AT388" s="12" t="s">
        <v>4143</v>
      </c>
      <c r="AU388" s="12">
        <v>33</v>
      </c>
      <c r="AV388" s="12" t="s">
        <v>2538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2525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10">
      <c r="A389" s="172" t="s">
        <v>4144</v>
      </c>
      <c r="B389" s="41" t="s">
        <v>111</v>
      </c>
      <c r="C389" s="41" t="s">
        <v>638</v>
      </c>
      <c r="D389" s="41" t="s">
        <v>63</v>
      </c>
      <c r="E389" s="41" t="s">
        <v>64</v>
      </c>
      <c r="F389" s="41" t="s">
        <v>100</v>
      </c>
      <c r="G389" s="41" t="s">
        <v>67</v>
      </c>
      <c r="H389" s="41" t="s">
        <v>66</v>
      </c>
      <c r="I389" s="41" t="s">
        <v>96</v>
      </c>
      <c r="J389" s="173" t="s">
        <v>68</v>
      </c>
      <c r="K389" s="12"/>
      <c r="L389" s="13" t="s">
        <v>2519</v>
      </c>
      <c r="M389" s="213" t="s">
        <v>68</v>
      </c>
      <c r="N389" s="182"/>
      <c r="O389" s="12" t="s">
        <v>2520</v>
      </c>
      <c r="P389" s="41" t="s">
        <v>473</v>
      </c>
      <c r="Q389" s="41" t="s">
        <v>474</v>
      </c>
      <c r="R389" s="41">
        <v>553144</v>
      </c>
      <c r="S389" s="41" t="s">
        <v>475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75</v>
      </c>
      <c r="Z389" s="41"/>
      <c r="AA389" s="12" t="s">
        <v>85</v>
      </c>
      <c r="AB389" s="13" t="s">
        <v>967</v>
      </c>
      <c r="AC389" s="37">
        <v>45991</v>
      </c>
      <c r="AD389" s="15">
        <v>48</v>
      </c>
      <c r="AE389" s="239" t="s">
        <v>4145</v>
      </c>
      <c r="AF389" s="12">
        <v>371009251</v>
      </c>
      <c r="AG389" s="41" t="s">
        <v>122</v>
      </c>
      <c r="AH389" s="41" t="s">
        <v>105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66</v>
      </c>
      <c r="AP389" s="12" t="s">
        <v>3951</v>
      </c>
      <c r="AQ389" s="41"/>
      <c r="AR389" s="41" t="s">
        <v>4146</v>
      </c>
      <c r="AS389" s="41" t="s">
        <v>4147</v>
      </c>
      <c r="AT389" s="41" t="s">
        <v>4147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2525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10">
      <c r="A390" s="172" t="s">
        <v>4148</v>
      </c>
      <c r="B390" s="41" t="s">
        <v>111</v>
      </c>
      <c r="C390" s="41" t="s">
        <v>545</v>
      </c>
      <c r="D390" s="41" t="s">
        <v>63</v>
      </c>
      <c r="E390" s="41" t="s">
        <v>64</v>
      </c>
      <c r="F390" s="41" t="s">
        <v>100</v>
      </c>
      <c r="G390" s="41" t="s">
        <v>67</v>
      </c>
      <c r="H390" s="41" t="s">
        <v>66</v>
      </c>
      <c r="I390" s="41" t="s">
        <v>96</v>
      </c>
      <c r="J390" s="173" t="s">
        <v>68</v>
      </c>
      <c r="K390" s="12"/>
      <c r="L390" s="13" t="s">
        <v>2519</v>
      </c>
      <c r="M390" s="213" t="s">
        <v>68</v>
      </c>
      <c r="N390" s="182"/>
      <c r="O390" s="12" t="s">
        <v>2520</v>
      </c>
      <c r="P390" s="41" t="s">
        <v>473</v>
      </c>
      <c r="Q390" s="41" t="s">
        <v>529</v>
      </c>
      <c r="R390" s="41">
        <v>553145</v>
      </c>
      <c r="S390" s="41" t="s">
        <v>530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75</v>
      </c>
      <c r="Z390" s="41"/>
      <c r="AA390" s="12" t="s">
        <v>85</v>
      </c>
      <c r="AB390" s="13" t="s">
        <v>967</v>
      </c>
      <c r="AC390" s="37">
        <v>45991</v>
      </c>
      <c r="AD390" s="15">
        <v>48</v>
      </c>
      <c r="AE390" s="239" t="s">
        <v>4149</v>
      </c>
      <c r="AF390" s="12">
        <v>371009248</v>
      </c>
      <c r="AG390" s="41" t="s">
        <v>122</v>
      </c>
      <c r="AH390" s="41" t="s">
        <v>105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66</v>
      </c>
      <c r="AP390" s="12" t="s">
        <v>3951</v>
      </c>
      <c r="AQ390" s="41"/>
      <c r="AR390" s="41" t="s">
        <v>4146</v>
      </c>
      <c r="AS390" s="41" t="s">
        <v>4147</v>
      </c>
      <c r="AT390" s="41" t="s">
        <v>4147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2525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10">
      <c r="A391" s="11" t="s">
        <v>4150</v>
      </c>
      <c r="B391" s="12" t="s">
        <v>111</v>
      </c>
      <c r="C391" s="12" t="s">
        <v>548</v>
      </c>
      <c r="D391" s="12" t="s">
        <v>63</v>
      </c>
      <c r="E391" s="12" t="s">
        <v>64</v>
      </c>
      <c r="F391" s="12" t="s">
        <v>100</v>
      </c>
      <c r="G391" s="12" t="s">
        <v>67</v>
      </c>
      <c r="H391" s="12" t="s">
        <v>66</v>
      </c>
      <c r="I391" s="12" t="s">
        <v>96</v>
      </c>
      <c r="J391" s="34" t="s">
        <v>68</v>
      </c>
      <c r="K391" s="12"/>
      <c r="L391" s="13" t="s">
        <v>2519</v>
      </c>
      <c r="M391" s="213" t="s">
        <v>68</v>
      </c>
      <c r="N391" s="182"/>
      <c r="O391" s="12" t="s">
        <v>2520</v>
      </c>
      <c r="P391" s="12" t="s">
        <v>550</v>
      </c>
      <c r="Q391" s="12" t="s">
        <v>551</v>
      </c>
      <c r="R391" s="12">
        <v>553118</v>
      </c>
      <c r="S391" s="12" t="s">
        <v>552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75</v>
      </c>
      <c r="Z391" s="12"/>
      <c r="AA391" s="12" t="s">
        <v>85</v>
      </c>
      <c r="AB391" s="13" t="s">
        <v>2136</v>
      </c>
      <c r="AC391" s="14">
        <v>45991</v>
      </c>
      <c r="AD391" s="15">
        <v>48</v>
      </c>
      <c r="AE391" s="55" t="s">
        <v>4151</v>
      </c>
      <c r="AF391" s="12">
        <v>371009236</v>
      </c>
      <c r="AG391" s="12" t="s">
        <v>122</v>
      </c>
      <c r="AH391" s="12" t="s">
        <v>105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66</v>
      </c>
      <c r="AP391" s="12" t="s">
        <v>3951</v>
      </c>
      <c r="AQ391" s="12"/>
      <c r="AR391" s="12" t="s">
        <v>4146</v>
      </c>
      <c r="AS391" s="12" t="s">
        <v>4147</v>
      </c>
      <c r="AT391" s="12" t="s">
        <v>4147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2525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10">
      <c r="A392" s="11" t="s">
        <v>4152</v>
      </c>
      <c r="B392" s="12" t="s">
        <v>111</v>
      </c>
      <c r="C392" s="12" t="s">
        <v>638</v>
      </c>
      <c r="D392" s="12" t="s">
        <v>63</v>
      </c>
      <c r="E392" s="12" t="s">
        <v>64</v>
      </c>
      <c r="F392" s="12" t="s">
        <v>65</v>
      </c>
      <c r="G392" s="12" t="s">
        <v>67</v>
      </c>
      <c r="H392" s="12" t="s">
        <v>66</v>
      </c>
      <c r="I392" s="12" t="s">
        <v>96</v>
      </c>
      <c r="J392" s="34" t="s">
        <v>68</v>
      </c>
      <c r="K392" s="12"/>
      <c r="L392" s="13" t="s">
        <v>2519</v>
      </c>
      <c r="M392" s="213" t="s">
        <v>68</v>
      </c>
      <c r="N392" s="182"/>
      <c r="O392" s="12" t="s">
        <v>2520</v>
      </c>
      <c r="P392" s="12" t="s">
        <v>473</v>
      </c>
      <c r="Q392" s="12" t="s">
        <v>474</v>
      </c>
      <c r="R392" s="12">
        <v>553144</v>
      </c>
      <c r="S392" s="12" t="s">
        <v>475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75</v>
      </c>
      <c r="Z392" s="12"/>
      <c r="AA392" s="12" t="s">
        <v>85</v>
      </c>
      <c r="AB392" s="13" t="s">
        <v>967</v>
      </c>
      <c r="AC392" s="14">
        <v>45993</v>
      </c>
      <c r="AD392" s="15">
        <v>49</v>
      </c>
      <c r="AE392" s="176" t="s">
        <v>4153</v>
      </c>
      <c r="AF392" s="12">
        <v>371009252</v>
      </c>
      <c r="AG392" s="12" t="s">
        <v>122</v>
      </c>
      <c r="AH392" s="12" t="s">
        <v>356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66</v>
      </c>
      <c r="AP392" s="12" t="s">
        <v>4077</v>
      </c>
      <c r="AQ392" s="12"/>
      <c r="AR392" s="12" t="s">
        <v>4154</v>
      </c>
      <c r="AS392" s="12" t="s">
        <v>4155</v>
      </c>
      <c r="AT392" s="12" t="s">
        <v>4155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2525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10">
      <c r="A393" s="11" t="s">
        <v>4156</v>
      </c>
      <c r="B393" s="12" t="s">
        <v>111</v>
      </c>
      <c r="C393" s="12" t="s">
        <v>215</v>
      </c>
      <c r="D393" s="12" t="s">
        <v>113</v>
      </c>
      <c r="E393" s="12" t="s">
        <v>64</v>
      </c>
      <c r="F393" s="12" t="s">
        <v>100</v>
      </c>
      <c r="G393" s="12" t="s">
        <v>67</v>
      </c>
      <c r="H393" s="12" t="s">
        <v>66</v>
      </c>
      <c r="I393" s="12" t="s">
        <v>363</v>
      </c>
      <c r="J393" s="34" t="s">
        <v>68</v>
      </c>
      <c r="K393" s="12" t="s">
        <v>364</v>
      </c>
      <c r="L393" s="13" t="s">
        <v>113</v>
      </c>
      <c r="M393" s="213" t="s">
        <v>68</v>
      </c>
      <c r="N393" s="182"/>
      <c r="O393" s="12" t="s">
        <v>2520</v>
      </c>
      <c r="P393" s="12" t="s">
        <v>70</v>
      </c>
      <c r="Q393" s="12" t="s">
        <v>218</v>
      </c>
      <c r="R393" s="12">
        <v>555364</v>
      </c>
      <c r="S393" s="12" t="s">
        <v>219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75</v>
      </c>
      <c r="Z393" s="12"/>
      <c r="AA393" s="12" t="s">
        <v>128</v>
      </c>
      <c r="AB393" s="13" t="s">
        <v>992</v>
      </c>
      <c r="AC393" s="14">
        <v>45993</v>
      </c>
      <c r="AD393" s="15">
        <v>49</v>
      </c>
      <c r="AE393" s="176" t="s">
        <v>4157</v>
      </c>
      <c r="AF393" s="12">
        <v>371009256</v>
      </c>
      <c r="AG393" s="12" t="s">
        <v>122</v>
      </c>
      <c r="AH393" s="12" t="s">
        <v>105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66</v>
      </c>
      <c r="AP393" s="12" t="s">
        <v>4158</v>
      </c>
      <c r="AQ393" s="12"/>
      <c r="AR393" s="12" t="s">
        <v>4159</v>
      </c>
      <c r="AS393" s="12" t="s">
        <v>4160</v>
      </c>
      <c r="AT393" s="12" t="s">
        <v>4160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2525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10">
      <c r="A394" s="11" t="s">
        <v>4161</v>
      </c>
      <c r="B394" s="12" t="s">
        <v>111</v>
      </c>
      <c r="C394" s="12" t="s">
        <v>548</v>
      </c>
      <c r="D394" s="12" t="s">
        <v>63</v>
      </c>
      <c r="E394" s="12" t="s">
        <v>64</v>
      </c>
      <c r="F394" s="12" t="s">
        <v>65</v>
      </c>
      <c r="G394" s="12" t="s">
        <v>67</v>
      </c>
      <c r="H394" s="12" t="s">
        <v>66</v>
      </c>
      <c r="I394" s="12" t="s">
        <v>96</v>
      </c>
      <c r="J394" s="34" t="s">
        <v>68</v>
      </c>
      <c r="K394" s="12"/>
      <c r="L394" s="13" t="s">
        <v>2519</v>
      </c>
      <c r="M394" s="213" t="s">
        <v>68</v>
      </c>
      <c r="N394" s="182"/>
      <c r="O394" s="12" t="s">
        <v>2520</v>
      </c>
      <c r="P394" s="12" t="s">
        <v>550</v>
      </c>
      <c r="Q394" s="12" t="s">
        <v>551</v>
      </c>
      <c r="R394" s="12">
        <v>553118</v>
      </c>
      <c r="S394" s="12" t="s">
        <v>552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75</v>
      </c>
      <c r="Z394" s="12"/>
      <c r="AA394" s="12" t="s">
        <v>85</v>
      </c>
      <c r="AB394" s="13" t="s">
        <v>2136</v>
      </c>
      <c r="AC394" s="14">
        <v>45994</v>
      </c>
      <c r="AD394" s="15">
        <v>49</v>
      </c>
      <c r="AE394" s="55" t="s">
        <v>4162</v>
      </c>
      <c r="AF394" s="12">
        <v>371009237</v>
      </c>
      <c r="AG394" s="12" t="s">
        <v>122</v>
      </c>
      <c r="AH394" s="12" t="s">
        <v>78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66</v>
      </c>
      <c r="AP394" s="12" t="s">
        <v>4163</v>
      </c>
      <c r="AQ394" s="12"/>
      <c r="AR394" s="12" t="s">
        <v>4164</v>
      </c>
      <c r="AS394" s="12" t="s">
        <v>4165</v>
      </c>
      <c r="AT394" s="12" t="s">
        <v>4165</v>
      </c>
      <c r="AU394" s="12">
        <v>47</v>
      </c>
      <c r="AV394" s="12" t="s">
        <v>2538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2525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10">
      <c r="A395" s="11" t="s">
        <v>4166</v>
      </c>
      <c r="B395" s="12" t="s">
        <v>111</v>
      </c>
      <c r="C395" s="12" t="s">
        <v>3761</v>
      </c>
      <c r="D395" s="12" t="s">
        <v>63</v>
      </c>
      <c r="E395" s="12" t="s">
        <v>64</v>
      </c>
      <c r="F395" s="12" t="s">
        <v>65</v>
      </c>
      <c r="G395" s="12" t="s">
        <v>67</v>
      </c>
      <c r="H395" s="12" t="s">
        <v>66</v>
      </c>
      <c r="I395" s="12" t="s">
        <v>96</v>
      </c>
      <c r="J395" s="34" t="s">
        <v>68</v>
      </c>
      <c r="K395" s="12"/>
      <c r="L395" s="13" t="s">
        <v>2519</v>
      </c>
      <c r="M395" s="213" t="s">
        <v>68</v>
      </c>
      <c r="N395" s="182"/>
      <c r="O395" s="12" t="s">
        <v>2520</v>
      </c>
      <c r="P395" s="12" t="s">
        <v>170</v>
      </c>
      <c r="Q395" s="12" t="s">
        <v>462</v>
      </c>
      <c r="R395" s="12">
        <v>552026</v>
      </c>
      <c r="S395" s="12" t="s">
        <v>463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75</v>
      </c>
      <c r="Z395" s="12"/>
      <c r="AA395" s="12" t="s">
        <v>108</v>
      </c>
      <c r="AB395" s="32" t="s">
        <v>1187</v>
      </c>
      <c r="AC395" s="14">
        <v>45994</v>
      </c>
      <c r="AD395" s="15">
        <v>49</v>
      </c>
      <c r="AE395" s="55" t="s">
        <v>4167</v>
      </c>
      <c r="AF395" s="12">
        <v>371009228</v>
      </c>
      <c r="AG395" s="12" t="s">
        <v>122</v>
      </c>
      <c r="AH395" s="12" t="s">
        <v>78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66</v>
      </c>
      <c r="AP395" s="12" t="s">
        <v>4163</v>
      </c>
      <c r="AQ395" s="12"/>
      <c r="AR395" s="12" t="s">
        <v>4164</v>
      </c>
      <c r="AS395" s="12" t="s">
        <v>4165</v>
      </c>
      <c r="AT395" s="12" t="s">
        <v>4165</v>
      </c>
      <c r="AU395" s="12">
        <v>47</v>
      </c>
      <c r="AV395" s="12" t="s">
        <v>2538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2525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10">
      <c r="A396" s="11" t="s">
        <v>4168</v>
      </c>
      <c r="B396" s="12" t="s">
        <v>111</v>
      </c>
      <c r="C396" s="12" t="s">
        <v>545</v>
      </c>
      <c r="D396" s="12" t="s">
        <v>63</v>
      </c>
      <c r="E396" s="12" t="s">
        <v>64</v>
      </c>
      <c r="F396" s="12" t="s">
        <v>65</v>
      </c>
      <c r="G396" s="12" t="s">
        <v>67</v>
      </c>
      <c r="H396" s="12" t="s">
        <v>66</v>
      </c>
      <c r="I396" s="12" t="s">
        <v>96</v>
      </c>
      <c r="J396" s="34" t="s">
        <v>68</v>
      </c>
      <c r="K396" s="12"/>
      <c r="L396" s="13" t="s">
        <v>2519</v>
      </c>
      <c r="M396" s="213" t="s">
        <v>68</v>
      </c>
      <c r="N396" s="182"/>
      <c r="O396" s="12" t="s">
        <v>2520</v>
      </c>
      <c r="P396" s="12" t="s">
        <v>473</v>
      </c>
      <c r="Q396" s="12" t="s">
        <v>529</v>
      </c>
      <c r="R396" s="12">
        <v>553145</v>
      </c>
      <c r="S396" s="12" t="s">
        <v>530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75</v>
      </c>
      <c r="Z396" s="12"/>
      <c r="AA396" s="12" t="s">
        <v>85</v>
      </c>
      <c r="AB396" s="13" t="s">
        <v>967</v>
      </c>
      <c r="AC396" s="14">
        <v>45998</v>
      </c>
      <c r="AD396" s="15">
        <v>49</v>
      </c>
      <c r="AE396" s="55" t="s">
        <v>4169</v>
      </c>
      <c r="AF396" s="12">
        <v>371009249</v>
      </c>
      <c r="AG396" s="12" t="s">
        <v>122</v>
      </c>
      <c r="AH396" s="12" t="s">
        <v>78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66</v>
      </c>
      <c r="AP396" s="12" t="s">
        <v>4170</v>
      </c>
      <c r="AQ396" s="12"/>
      <c r="AR396" s="12" t="s">
        <v>4171</v>
      </c>
      <c r="AS396" s="12" t="s">
        <v>4172</v>
      </c>
      <c r="AT396" s="12" t="s">
        <v>4172</v>
      </c>
      <c r="AU396" s="12">
        <v>48</v>
      </c>
      <c r="AV396" s="12" t="s">
        <v>83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973</v>
      </c>
      <c r="BB396" s="14" t="s">
        <v>4173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10">
      <c r="A397" s="11" t="s">
        <v>4174</v>
      </c>
      <c r="B397" s="12" t="s">
        <v>111</v>
      </c>
      <c r="C397" s="12" t="s">
        <v>3761</v>
      </c>
      <c r="D397" s="12" t="s">
        <v>63</v>
      </c>
      <c r="E397" s="12" t="s">
        <v>64</v>
      </c>
      <c r="F397" s="12" t="s">
        <v>65</v>
      </c>
      <c r="G397" s="12" t="s">
        <v>67</v>
      </c>
      <c r="H397" s="12" t="s">
        <v>66</v>
      </c>
      <c r="I397" s="12" t="s">
        <v>96</v>
      </c>
      <c r="J397" s="34" t="s">
        <v>68</v>
      </c>
      <c r="K397" s="12"/>
      <c r="L397" s="13" t="s">
        <v>2519</v>
      </c>
      <c r="M397" s="213" t="s">
        <v>68</v>
      </c>
      <c r="N397" s="182"/>
      <c r="O397" s="12" t="s">
        <v>2520</v>
      </c>
      <c r="P397" s="12" t="s">
        <v>170</v>
      </c>
      <c r="Q397" s="12" t="s">
        <v>462</v>
      </c>
      <c r="R397" s="12">
        <v>552026</v>
      </c>
      <c r="S397" s="12" t="s">
        <v>463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75</v>
      </c>
      <c r="Z397" s="12"/>
      <c r="AA397" s="12" t="s">
        <v>108</v>
      </c>
      <c r="AB397" s="32" t="s">
        <v>1187</v>
      </c>
      <c r="AC397" s="14">
        <v>45998</v>
      </c>
      <c r="AD397" s="15">
        <v>49</v>
      </c>
      <c r="AE397" s="55" t="s">
        <v>4175</v>
      </c>
      <c r="AF397" s="12">
        <v>371009229</v>
      </c>
      <c r="AG397" s="12" t="s">
        <v>122</v>
      </c>
      <c r="AH397" s="12" t="s">
        <v>78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66</v>
      </c>
      <c r="AP397" s="12" t="s">
        <v>4170</v>
      </c>
      <c r="AQ397" s="12"/>
      <c r="AR397" s="12" t="s">
        <v>4171</v>
      </c>
      <c r="AS397" s="12" t="s">
        <v>4172</v>
      </c>
      <c r="AT397" s="12" t="s">
        <v>4172</v>
      </c>
      <c r="AU397" s="12">
        <v>48</v>
      </c>
      <c r="AV397" s="12" t="s">
        <v>83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973</v>
      </c>
      <c r="BB397" s="14" t="s">
        <v>4173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10">
      <c r="A398" s="11" t="s">
        <v>4176</v>
      </c>
      <c r="B398" s="12" t="s">
        <v>111</v>
      </c>
      <c r="C398" s="12" t="s">
        <v>548</v>
      </c>
      <c r="D398" s="12" t="s">
        <v>63</v>
      </c>
      <c r="E398" s="12" t="s">
        <v>64</v>
      </c>
      <c r="F398" s="12" t="s">
        <v>65</v>
      </c>
      <c r="G398" s="12" t="s">
        <v>67</v>
      </c>
      <c r="H398" s="12" t="s">
        <v>66</v>
      </c>
      <c r="I398" s="12" t="s">
        <v>96</v>
      </c>
      <c r="J398" s="34" t="s">
        <v>68</v>
      </c>
      <c r="K398" s="12"/>
      <c r="L398" s="13" t="s">
        <v>2519</v>
      </c>
      <c r="M398" s="213" t="s">
        <v>68</v>
      </c>
      <c r="N398" s="182"/>
      <c r="O398" s="12" t="s">
        <v>2520</v>
      </c>
      <c r="P398" s="12" t="s">
        <v>550</v>
      </c>
      <c r="Q398" s="12" t="s">
        <v>551</v>
      </c>
      <c r="R398" s="12">
        <v>553118</v>
      </c>
      <c r="S398" s="12" t="s">
        <v>552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75</v>
      </c>
      <c r="Z398" s="12"/>
      <c r="AA398" s="12" t="s">
        <v>85</v>
      </c>
      <c r="AB398" s="13" t="s">
        <v>2136</v>
      </c>
      <c r="AC398" s="14">
        <v>45998</v>
      </c>
      <c r="AD398" s="15">
        <v>49</v>
      </c>
      <c r="AE398" s="55" t="s">
        <v>4177</v>
      </c>
      <c r="AF398" s="12">
        <v>371009238</v>
      </c>
      <c r="AG398" s="12" t="s">
        <v>122</v>
      </c>
      <c r="AH398" s="12" t="s">
        <v>78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66</v>
      </c>
      <c r="AP398" s="12" t="s">
        <v>4170</v>
      </c>
      <c r="AQ398" s="12"/>
      <c r="AR398" s="12" t="s">
        <v>4171</v>
      </c>
      <c r="AS398" s="12" t="s">
        <v>4172</v>
      </c>
      <c r="AT398" s="12" t="s">
        <v>4172</v>
      </c>
      <c r="AU398" s="12">
        <v>48</v>
      </c>
      <c r="AV398" s="12" t="s">
        <v>83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973</v>
      </c>
      <c r="BB398" s="14" t="s">
        <v>4173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10">
      <c r="A399" s="11" t="s">
        <v>4178</v>
      </c>
      <c r="B399" s="12" t="s">
        <v>111</v>
      </c>
      <c r="C399" s="12" t="s">
        <v>4179</v>
      </c>
      <c r="D399" s="12" t="s">
        <v>63</v>
      </c>
      <c r="E399" s="12" t="s">
        <v>64</v>
      </c>
      <c r="F399" s="12" t="s">
        <v>65</v>
      </c>
      <c r="G399" s="12" t="s">
        <v>67</v>
      </c>
      <c r="H399" s="12" t="s">
        <v>66</v>
      </c>
      <c r="I399" s="12" t="s">
        <v>131</v>
      </c>
      <c r="J399" s="34" t="s">
        <v>68</v>
      </c>
      <c r="K399" s="12"/>
      <c r="L399" s="13" t="s">
        <v>2542</v>
      </c>
      <c r="M399" s="213" t="s">
        <v>68</v>
      </c>
      <c r="N399" s="182"/>
      <c r="O399" s="12" t="s">
        <v>2520</v>
      </c>
      <c r="P399" s="12" t="s">
        <v>132</v>
      </c>
      <c r="Q399" s="12" t="s">
        <v>453</v>
      </c>
      <c r="R399" s="12">
        <v>554541</v>
      </c>
      <c r="S399" s="12" t="s">
        <v>454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75</v>
      </c>
      <c r="Z399" s="12"/>
      <c r="AA399" s="12" t="s">
        <v>108</v>
      </c>
      <c r="AB399" s="13" t="s">
        <v>967</v>
      </c>
      <c r="AC399" s="14">
        <v>45996</v>
      </c>
      <c r="AD399" s="15">
        <v>49</v>
      </c>
      <c r="AE399" s="55" t="s">
        <v>4180</v>
      </c>
      <c r="AF399" s="12">
        <v>371009235</v>
      </c>
      <c r="AG399" s="12" t="s">
        <v>122</v>
      </c>
      <c r="AH399" s="243" t="s">
        <v>78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66</v>
      </c>
      <c r="AP399" s="12" t="s">
        <v>4170</v>
      </c>
      <c r="AQ399" s="12"/>
      <c r="AR399" s="12" t="s">
        <v>4181</v>
      </c>
      <c r="AS399" s="12" t="s">
        <v>4182</v>
      </c>
      <c r="AT399" s="12" t="s">
        <v>4182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973</v>
      </c>
      <c r="BB399" s="14" t="s">
        <v>4183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10">
      <c r="A400" s="11" t="s">
        <v>4184</v>
      </c>
      <c r="B400" s="12" t="s">
        <v>111</v>
      </c>
      <c r="C400" s="12" t="s">
        <v>3661</v>
      </c>
      <c r="D400" s="12" t="s">
        <v>63</v>
      </c>
      <c r="E400" s="12" t="s">
        <v>64</v>
      </c>
      <c r="F400" s="12" t="s">
        <v>65</v>
      </c>
      <c r="G400" s="12" t="s">
        <v>67</v>
      </c>
      <c r="H400" s="12" t="s">
        <v>66</v>
      </c>
      <c r="I400" s="12" t="s">
        <v>131</v>
      </c>
      <c r="J400" s="34" t="s">
        <v>68</v>
      </c>
      <c r="K400" s="12"/>
      <c r="L400" s="13" t="s">
        <v>2542</v>
      </c>
      <c r="M400" s="213" t="s">
        <v>68</v>
      </c>
      <c r="N400" s="182"/>
      <c r="O400" s="12" t="s">
        <v>2520</v>
      </c>
      <c r="P400" s="12" t="s">
        <v>70</v>
      </c>
      <c r="Q400" s="12" t="s">
        <v>1347</v>
      </c>
      <c r="R400" s="12">
        <v>554471</v>
      </c>
      <c r="S400" s="12" t="s">
        <v>1348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75</v>
      </c>
      <c r="Z400" s="12"/>
      <c r="AA400" s="12" t="s">
        <v>2703</v>
      </c>
      <c r="AB400" s="32" t="s">
        <v>992</v>
      </c>
      <c r="AC400" s="14">
        <v>45996</v>
      </c>
      <c r="AD400" s="15">
        <v>49</v>
      </c>
      <c r="AE400" s="55" t="s">
        <v>4185</v>
      </c>
      <c r="AF400" s="12">
        <v>371009240</v>
      </c>
      <c r="AG400" s="12" t="s">
        <v>122</v>
      </c>
      <c r="AH400" s="243" t="s">
        <v>78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66</v>
      </c>
      <c r="AP400" s="12" t="s">
        <v>4170</v>
      </c>
      <c r="AQ400" s="12"/>
      <c r="AR400" s="12" t="s">
        <v>4181</v>
      </c>
      <c r="AS400" s="12" t="s">
        <v>4182</v>
      </c>
      <c r="AT400" s="12" t="s">
        <v>4182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973</v>
      </c>
      <c r="BB400" s="14" t="s">
        <v>4183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10">
      <c r="A401" s="11" t="s">
        <v>4186</v>
      </c>
      <c r="B401" s="12" t="s">
        <v>111</v>
      </c>
      <c r="C401" s="12" t="s">
        <v>3996</v>
      </c>
      <c r="D401" s="12" t="s">
        <v>63</v>
      </c>
      <c r="E401" s="12" t="s">
        <v>64</v>
      </c>
      <c r="F401" s="12" t="s">
        <v>65</v>
      </c>
      <c r="G401" s="12" t="s">
        <v>67</v>
      </c>
      <c r="H401" s="12" t="s">
        <v>66</v>
      </c>
      <c r="I401" s="12" t="s">
        <v>131</v>
      </c>
      <c r="J401" s="34" t="s">
        <v>68</v>
      </c>
      <c r="K401" s="12"/>
      <c r="L401" s="13" t="s">
        <v>2542</v>
      </c>
      <c r="M401" s="213" t="s">
        <v>68</v>
      </c>
      <c r="N401" s="182"/>
      <c r="O401" s="12" t="s">
        <v>2520</v>
      </c>
      <c r="P401" s="12" t="s">
        <v>132</v>
      </c>
      <c r="Q401" s="12" t="s">
        <v>3997</v>
      </c>
      <c r="R401" s="12">
        <v>554431</v>
      </c>
      <c r="S401" s="12" t="s">
        <v>1105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75</v>
      </c>
      <c r="Z401" s="12"/>
      <c r="AA401" s="12" t="s">
        <v>108</v>
      </c>
      <c r="AB401" s="32" t="s">
        <v>967</v>
      </c>
      <c r="AC401" s="14">
        <v>45996</v>
      </c>
      <c r="AD401" s="15">
        <v>49</v>
      </c>
      <c r="AE401" s="55" t="s">
        <v>4187</v>
      </c>
      <c r="AF401" s="12">
        <v>371009242</v>
      </c>
      <c r="AG401" s="12" t="s">
        <v>122</v>
      </c>
      <c r="AH401" s="243" t="s">
        <v>78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66</v>
      </c>
      <c r="AP401" s="12" t="s">
        <v>4170</v>
      </c>
      <c r="AQ401" s="12"/>
      <c r="AR401" s="12" t="s">
        <v>4181</v>
      </c>
      <c r="AS401" s="12" t="s">
        <v>4182</v>
      </c>
      <c r="AT401" s="12" t="s">
        <v>4182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973</v>
      </c>
      <c r="BB401" s="14" t="s">
        <v>4183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10">
      <c r="A402" s="11" t="s">
        <v>4188</v>
      </c>
      <c r="B402" s="12" t="s">
        <v>111</v>
      </c>
      <c r="C402" s="12" t="s">
        <v>3996</v>
      </c>
      <c r="D402" s="12" t="s">
        <v>63</v>
      </c>
      <c r="E402" s="12" t="s">
        <v>64</v>
      </c>
      <c r="F402" s="12" t="s">
        <v>65</v>
      </c>
      <c r="G402" s="12" t="s">
        <v>67</v>
      </c>
      <c r="H402" s="12" t="s">
        <v>66</v>
      </c>
      <c r="I402" s="12" t="s">
        <v>131</v>
      </c>
      <c r="J402" s="34" t="s">
        <v>68</v>
      </c>
      <c r="K402" s="12"/>
      <c r="L402" s="13" t="s">
        <v>2542</v>
      </c>
      <c r="M402" s="213" t="s">
        <v>68</v>
      </c>
      <c r="N402" s="182"/>
      <c r="O402" s="12" t="s">
        <v>2520</v>
      </c>
      <c r="P402" s="12" t="s">
        <v>132</v>
      </c>
      <c r="Q402" s="12" t="s">
        <v>3997</v>
      </c>
      <c r="R402" s="12">
        <v>554431</v>
      </c>
      <c r="S402" s="12" t="s">
        <v>1105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75</v>
      </c>
      <c r="Z402" s="12"/>
      <c r="AA402" s="12" t="s">
        <v>108</v>
      </c>
      <c r="AB402" s="32" t="s">
        <v>967</v>
      </c>
      <c r="AC402" s="14">
        <v>45996</v>
      </c>
      <c r="AD402" s="15">
        <v>49</v>
      </c>
      <c r="AE402" s="55" t="s">
        <v>4189</v>
      </c>
      <c r="AF402" s="12">
        <v>371009243</v>
      </c>
      <c r="AG402" s="12" t="s">
        <v>122</v>
      </c>
      <c r="AH402" s="243" t="s">
        <v>78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66</v>
      </c>
      <c r="AP402" s="12" t="s">
        <v>4170</v>
      </c>
      <c r="AQ402" s="12"/>
      <c r="AR402" s="12" t="s">
        <v>4181</v>
      </c>
      <c r="AS402" s="12" t="s">
        <v>4182</v>
      </c>
      <c r="AT402" s="12" t="s">
        <v>4182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973</v>
      </c>
      <c r="BB402" s="14" t="s">
        <v>4183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10">
      <c r="A403" s="11" t="s">
        <v>4190</v>
      </c>
      <c r="B403" s="12" t="s">
        <v>111</v>
      </c>
      <c r="C403" s="12" t="s">
        <v>3996</v>
      </c>
      <c r="D403" s="12" t="s">
        <v>63</v>
      </c>
      <c r="E403" s="12" t="s">
        <v>64</v>
      </c>
      <c r="F403" s="31" t="s">
        <v>310</v>
      </c>
      <c r="G403" s="12" t="s">
        <v>311</v>
      </c>
      <c r="H403" s="12" t="s">
        <v>66</v>
      </c>
      <c r="I403" s="12" t="s">
        <v>1559</v>
      </c>
      <c r="J403" s="34" t="s">
        <v>68</v>
      </c>
      <c r="K403" s="12"/>
      <c r="L403" s="13" t="s">
        <v>2542</v>
      </c>
      <c r="M403" s="213" t="s">
        <v>68</v>
      </c>
      <c r="N403" s="182"/>
      <c r="O403" s="12" t="s">
        <v>2520</v>
      </c>
      <c r="P403" s="12" t="s">
        <v>132</v>
      </c>
      <c r="Q403" s="12" t="s">
        <v>3997</v>
      </c>
      <c r="R403" s="12">
        <v>554431</v>
      </c>
      <c r="S403" s="12" t="s">
        <v>1105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75</v>
      </c>
      <c r="Z403" s="12"/>
      <c r="AA403" s="12" t="s">
        <v>108</v>
      </c>
      <c r="AB403" s="32" t="s">
        <v>967</v>
      </c>
      <c r="AC403" s="14">
        <v>45998</v>
      </c>
      <c r="AD403" s="15">
        <v>49</v>
      </c>
      <c r="AE403" s="55" t="s">
        <v>4191</v>
      </c>
      <c r="AF403" s="12">
        <v>371009244</v>
      </c>
      <c r="AG403" s="12" t="s">
        <v>122</v>
      </c>
      <c r="AH403" s="12" t="s">
        <v>1561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66</v>
      </c>
      <c r="AP403" s="12" t="s">
        <v>4192</v>
      </c>
      <c r="AQ403" s="12"/>
      <c r="AR403" s="12" t="s">
        <v>4193</v>
      </c>
      <c r="AS403" s="12" t="s">
        <v>4194</v>
      </c>
      <c r="AT403" s="12" t="s">
        <v>4194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973</v>
      </c>
      <c r="BB403" s="14" t="s">
        <v>4195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10">
      <c r="A404" s="11" t="s">
        <v>4196</v>
      </c>
      <c r="B404" s="12" t="s">
        <v>111</v>
      </c>
      <c r="C404" s="12" t="s">
        <v>545</v>
      </c>
      <c r="D404" s="12" t="s">
        <v>63</v>
      </c>
      <c r="E404" s="12" t="s">
        <v>64</v>
      </c>
      <c r="F404" s="31" t="s">
        <v>310</v>
      </c>
      <c r="G404" s="12" t="s">
        <v>311</v>
      </c>
      <c r="H404" s="12" t="s">
        <v>66</v>
      </c>
      <c r="I404" s="12" t="s">
        <v>1559</v>
      </c>
      <c r="J404" s="34" t="s">
        <v>68</v>
      </c>
      <c r="K404" s="12"/>
      <c r="L404" s="13" t="s">
        <v>2542</v>
      </c>
      <c r="M404" s="213" t="s">
        <v>68</v>
      </c>
      <c r="N404" s="182"/>
      <c r="O404" s="12" t="s">
        <v>2520</v>
      </c>
      <c r="P404" s="12" t="s">
        <v>473</v>
      </c>
      <c r="Q404" s="12" t="s">
        <v>529</v>
      </c>
      <c r="R404" s="12">
        <v>553145</v>
      </c>
      <c r="S404" s="12" t="s">
        <v>530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75</v>
      </c>
      <c r="Z404" s="12"/>
      <c r="AA404" s="12" t="s">
        <v>85</v>
      </c>
      <c r="AB404" s="13" t="s">
        <v>967</v>
      </c>
      <c r="AC404" s="14">
        <v>45998</v>
      </c>
      <c r="AD404" s="15">
        <v>49</v>
      </c>
      <c r="AE404" s="55" t="s">
        <v>4197</v>
      </c>
      <c r="AF404" s="12">
        <v>371009250</v>
      </c>
      <c r="AG404" s="12" t="s">
        <v>122</v>
      </c>
      <c r="AH404" s="12" t="s">
        <v>1561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66</v>
      </c>
      <c r="AP404" s="12" t="s">
        <v>4192</v>
      </c>
      <c r="AQ404" s="12"/>
      <c r="AR404" s="12" t="s">
        <v>4193</v>
      </c>
      <c r="AS404" s="12" t="s">
        <v>4194</v>
      </c>
      <c r="AT404" s="12" t="s">
        <v>4194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973</v>
      </c>
      <c r="BB404" s="14" t="s">
        <v>4195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10">
      <c r="A405" s="11" t="s">
        <v>4198</v>
      </c>
      <c r="B405" s="12" t="s">
        <v>111</v>
      </c>
      <c r="C405" s="12" t="s">
        <v>4000</v>
      </c>
      <c r="D405" s="12" t="s">
        <v>63</v>
      </c>
      <c r="E405" s="12" t="s">
        <v>64</v>
      </c>
      <c r="F405" s="31" t="s">
        <v>310</v>
      </c>
      <c r="G405" s="12" t="s">
        <v>311</v>
      </c>
      <c r="H405" s="12" t="s">
        <v>66</v>
      </c>
      <c r="I405" s="12" t="s">
        <v>1559</v>
      </c>
      <c r="J405" s="34" t="s">
        <v>68</v>
      </c>
      <c r="K405" s="12"/>
      <c r="L405" s="13" t="s">
        <v>2542</v>
      </c>
      <c r="M405" s="213" t="s">
        <v>68</v>
      </c>
      <c r="N405" s="182"/>
      <c r="O405" s="12" t="s">
        <v>2520</v>
      </c>
      <c r="P405" s="12" t="s">
        <v>132</v>
      </c>
      <c r="Q405" s="12" t="s">
        <v>133</v>
      </c>
      <c r="R405" s="12">
        <v>554304</v>
      </c>
      <c r="S405" s="12" t="s">
        <v>134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75</v>
      </c>
      <c r="Z405" s="12"/>
      <c r="AA405" s="12" t="s">
        <v>108</v>
      </c>
      <c r="AB405" s="13" t="s">
        <v>992</v>
      </c>
      <c r="AC405" s="14">
        <v>45998</v>
      </c>
      <c r="AD405" s="15">
        <v>49</v>
      </c>
      <c r="AE405" s="55" t="s">
        <v>4199</v>
      </c>
      <c r="AF405" s="12">
        <v>371009254</v>
      </c>
      <c r="AG405" s="12" t="s">
        <v>122</v>
      </c>
      <c r="AH405" s="12" t="s">
        <v>1561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66</v>
      </c>
      <c r="AP405" s="12" t="s">
        <v>4192</v>
      </c>
      <c r="AQ405" s="12"/>
      <c r="AR405" s="12" t="s">
        <v>4193</v>
      </c>
      <c r="AS405" s="12" t="s">
        <v>4194</v>
      </c>
      <c r="AT405" s="12" t="s">
        <v>4194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973</v>
      </c>
      <c r="BB405" s="14" t="s">
        <v>4195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10">
      <c r="A406" s="11" t="s">
        <v>4200</v>
      </c>
      <c r="B406" s="12" t="s">
        <v>111</v>
      </c>
      <c r="C406" s="12" t="s">
        <v>3784</v>
      </c>
      <c r="D406" s="12" t="s">
        <v>63</v>
      </c>
      <c r="E406" s="12" t="s">
        <v>68</v>
      </c>
      <c r="F406" s="12" t="s">
        <v>68</v>
      </c>
      <c r="G406" s="12"/>
      <c r="H406" s="12" t="s">
        <v>402</v>
      </c>
      <c r="I406" s="12" t="s">
        <v>594</v>
      </c>
      <c r="J406" s="34" t="s">
        <v>68</v>
      </c>
      <c r="K406" s="12">
        <v>16102605</v>
      </c>
      <c r="L406" s="13" t="s">
        <v>2527</v>
      </c>
      <c r="M406" s="12" t="s">
        <v>68</v>
      </c>
      <c r="N406" s="182"/>
      <c r="O406" s="12" t="s">
        <v>2520</v>
      </c>
      <c r="P406" s="12" t="s">
        <v>132</v>
      </c>
      <c r="Q406" s="12" t="s">
        <v>1905</v>
      </c>
      <c r="R406" s="12">
        <v>554547</v>
      </c>
      <c r="S406" s="12" t="s">
        <v>1906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75</v>
      </c>
      <c r="Z406" s="12"/>
      <c r="AA406" s="12" t="s">
        <v>108</v>
      </c>
      <c r="AB406" s="13" t="s">
        <v>992</v>
      </c>
      <c r="AC406" s="14">
        <v>45997</v>
      </c>
      <c r="AD406" s="15">
        <v>49</v>
      </c>
      <c r="AE406" s="176" t="s">
        <v>4201</v>
      </c>
      <c r="AF406" s="12">
        <v>371009230</v>
      </c>
      <c r="AG406" s="12" t="s">
        <v>122</v>
      </c>
      <c r="AH406" s="12" t="s">
        <v>124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402</v>
      </c>
      <c r="AP406" s="12" t="s">
        <v>4192</v>
      </c>
      <c r="AQ406" s="12"/>
      <c r="AR406" s="12" t="s">
        <v>4202</v>
      </c>
      <c r="AS406" s="12" t="s">
        <v>4203</v>
      </c>
      <c r="AT406" s="12" t="s">
        <v>4203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2525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10">
      <c r="A407" s="11" t="s">
        <v>4204</v>
      </c>
      <c r="B407" s="12" t="s">
        <v>61</v>
      </c>
      <c r="C407" s="12" t="s">
        <v>3730</v>
      </c>
      <c r="D407" s="12" t="s">
        <v>63</v>
      </c>
      <c r="E407" s="12" t="s">
        <v>64</v>
      </c>
      <c r="F407" s="12" t="s">
        <v>65</v>
      </c>
      <c r="G407" s="12" t="s">
        <v>67</v>
      </c>
      <c r="H407" s="12" t="s">
        <v>66</v>
      </c>
      <c r="I407" s="12" t="s">
        <v>69</v>
      </c>
      <c r="J407" s="34" t="s">
        <v>68</v>
      </c>
      <c r="K407" s="12"/>
      <c r="L407" s="13" t="s">
        <v>2519</v>
      </c>
      <c r="M407" s="213" t="s">
        <v>68</v>
      </c>
      <c r="N407" s="182"/>
      <c r="O407" s="12" t="s">
        <v>2520</v>
      </c>
      <c r="P407" s="12" t="s">
        <v>70</v>
      </c>
      <c r="Q407" s="12" t="s">
        <v>71</v>
      </c>
      <c r="R407" s="12">
        <v>554475</v>
      </c>
      <c r="S407" s="12" t="s">
        <v>72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75</v>
      </c>
      <c r="Z407" s="12"/>
      <c r="AA407" s="12" t="s">
        <v>2703</v>
      </c>
      <c r="AB407" s="13" t="s">
        <v>967</v>
      </c>
      <c r="AC407" s="14">
        <v>45992</v>
      </c>
      <c r="AD407" s="15">
        <v>49</v>
      </c>
      <c r="AE407" s="55" t="s">
        <v>4205</v>
      </c>
      <c r="AF407" s="12">
        <v>371009241</v>
      </c>
      <c r="AG407" s="12" t="s">
        <v>77</v>
      </c>
      <c r="AH407" s="12" t="s">
        <v>78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66</v>
      </c>
      <c r="AP407" s="12" t="s">
        <v>4206</v>
      </c>
      <c r="AQ407" s="12"/>
      <c r="AR407" s="12" t="s">
        <v>4207</v>
      </c>
      <c r="AS407" s="12" t="s">
        <v>4208</v>
      </c>
      <c r="AT407" s="12" t="s">
        <v>4208</v>
      </c>
      <c r="AU407" s="12">
        <v>64</v>
      </c>
      <c r="AV407" s="12" t="s">
        <v>83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973</v>
      </c>
      <c r="BB407" s="14" t="s">
        <v>4195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10">
      <c r="A408" s="11" t="s">
        <v>4209</v>
      </c>
      <c r="B408" s="12" t="s">
        <v>61</v>
      </c>
      <c r="C408" s="12" t="s">
        <v>3203</v>
      </c>
      <c r="D408" s="12" t="s">
        <v>63</v>
      </c>
      <c r="E408" s="12" t="s">
        <v>64</v>
      </c>
      <c r="F408" s="12" t="s">
        <v>65</v>
      </c>
      <c r="G408" s="12" t="s">
        <v>67</v>
      </c>
      <c r="H408" s="12" t="s">
        <v>66</v>
      </c>
      <c r="I408" s="12" t="s">
        <v>96</v>
      </c>
      <c r="J408" s="34" t="s">
        <v>68</v>
      </c>
      <c r="K408" s="12"/>
      <c r="L408" s="13" t="s">
        <v>2519</v>
      </c>
      <c r="M408" s="213" t="s">
        <v>68</v>
      </c>
      <c r="N408" s="182"/>
      <c r="O408" s="12" t="s">
        <v>2520</v>
      </c>
      <c r="P408" s="12" t="s">
        <v>70</v>
      </c>
      <c r="Q408" s="12" t="s">
        <v>71</v>
      </c>
      <c r="R408" s="12">
        <v>554475</v>
      </c>
      <c r="S408" s="12" t="s">
        <v>72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75</v>
      </c>
      <c r="Z408" s="12"/>
      <c r="AA408" s="12" t="s">
        <v>2703</v>
      </c>
      <c r="AB408" s="13" t="s">
        <v>967</v>
      </c>
      <c r="AC408" s="14">
        <v>45992</v>
      </c>
      <c r="AD408" s="15">
        <v>49</v>
      </c>
      <c r="AE408" s="55" t="s">
        <v>4210</v>
      </c>
      <c r="AF408" s="12">
        <v>371009239</v>
      </c>
      <c r="AG408" s="12" t="s">
        <v>77</v>
      </c>
      <c r="AH408" s="12" t="s">
        <v>78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66</v>
      </c>
      <c r="AP408" s="12" t="s">
        <v>4206</v>
      </c>
      <c r="AQ408" s="12"/>
      <c r="AR408" s="12" t="s">
        <v>4207</v>
      </c>
      <c r="AS408" s="12" t="s">
        <v>4208</v>
      </c>
      <c r="AT408" s="12" t="s">
        <v>4208</v>
      </c>
      <c r="AU408" s="12">
        <v>64</v>
      </c>
      <c r="AV408" s="12" t="s">
        <v>83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973</v>
      </c>
      <c r="BB408" s="14" t="s">
        <v>4195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10">
      <c r="A409" s="11" t="s">
        <v>4211</v>
      </c>
      <c r="B409" s="12" t="s">
        <v>61</v>
      </c>
      <c r="C409" s="12" t="s">
        <v>3388</v>
      </c>
      <c r="D409" s="12" t="s">
        <v>63</v>
      </c>
      <c r="E409" s="12" t="s">
        <v>144</v>
      </c>
      <c r="F409" s="12" t="s">
        <v>145</v>
      </c>
      <c r="G409" s="12" t="s">
        <v>1081</v>
      </c>
      <c r="H409" s="12" t="s">
        <v>146</v>
      </c>
      <c r="I409" s="12" t="s">
        <v>1081</v>
      </c>
      <c r="J409" s="34" t="s">
        <v>68</v>
      </c>
      <c r="K409" s="12">
        <v>46010928</v>
      </c>
      <c r="L409" s="13" t="s">
        <v>2764</v>
      </c>
      <c r="M409" s="236" t="s">
        <v>68</v>
      </c>
      <c r="N409" s="182"/>
      <c r="O409" s="12" t="s">
        <v>2520</v>
      </c>
      <c r="P409" s="12" t="s">
        <v>70</v>
      </c>
      <c r="Q409" s="12" t="s">
        <v>195</v>
      </c>
      <c r="R409" s="12">
        <v>554473</v>
      </c>
      <c r="S409" s="12" t="s">
        <v>196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75</v>
      </c>
      <c r="Z409" s="12"/>
      <c r="AA409" s="12" t="s">
        <v>85</v>
      </c>
      <c r="AB409" s="13" t="s">
        <v>967</v>
      </c>
      <c r="AC409" s="14">
        <v>46000</v>
      </c>
      <c r="AD409" s="15">
        <v>50</v>
      </c>
      <c r="AE409" s="176" t="s">
        <v>4212</v>
      </c>
      <c r="AF409" s="12">
        <v>371009288</v>
      </c>
      <c r="AG409" s="12" t="s">
        <v>77</v>
      </c>
      <c r="AH409" s="12" t="s">
        <v>105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146</v>
      </c>
      <c r="AP409" s="12" t="s">
        <v>79</v>
      </c>
      <c r="AQ409" s="12"/>
      <c r="AR409" s="12">
        <v>46010928</v>
      </c>
      <c r="AS409" s="12" t="s">
        <v>4213</v>
      </c>
      <c r="AT409" s="12" t="s">
        <v>4213</v>
      </c>
      <c r="AU409" s="12">
        <v>40</v>
      </c>
      <c r="AV409" s="12" t="s">
        <v>2538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2525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10">
      <c r="A410" s="11" t="s">
        <v>4214</v>
      </c>
      <c r="B410" s="12" t="s">
        <v>111</v>
      </c>
      <c r="C410" s="12" t="s">
        <v>215</v>
      </c>
      <c r="D410" s="12" t="s">
        <v>113</v>
      </c>
      <c r="E410" s="12" t="s">
        <v>64</v>
      </c>
      <c r="F410" s="12" t="s">
        <v>65</v>
      </c>
      <c r="G410" s="12" t="s">
        <v>67</v>
      </c>
      <c r="H410" s="12" t="s">
        <v>66</v>
      </c>
      <c r="I410" s="12" t="s">
        <v>363</v>
      </c>
      <c r="J410" s="34" t="s">
        <v>68</v>
      </c>
      <c r="K410" s="12" t="s">
        <v>364</v>
      </c>
      <c r="L410" s="13" t="s">
        <v>113</v>
      </c>
      <c r="M410" s="213" t="s">
        <v>68</v>
      </c>
      <c r="N410" s="182"/>
      <c r="O410" s="12" t="s">
        <v>2520</v>
      </c>
      <c r="P410" s="12" t="s">
        <v>70</v>
      </c>
      <c r="Q410" s="12" t="s">
        <v>218</v>
      </c>
      <c r="R410" s="12">
        <v>555364</v>
      </c>
      <c r="S410" s="12" t="s">
        <v>219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75</v>
      </c>
      <c r="Z410" s="12"/>
      <c r="AA410" s="12" t="s">
        <v>128</v>
      </c>
      <c r="AB410" s="13" t="s">
        <v>992</v>
      </c>
      <c r="AC410" s="14">
        <v>46000</v>
      </c>
      <c r="AD410" s="15">
        <v>50</v>
      </c>
      <c r="AE410" s="176" t="s">
        <v>4215</v>
      </c>
      <c r="AF410" s="12">
        <v>371009299</v>
      </c>
      <c r="AG410" s="12" t="s">
        <v>122</v>
      </c>
      <c r="AH410" s="12" t="s">
        <v>356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66</v>
      </c>
      <c r="AP410" s="12" t="s">
        <v>4216</v>
      </c>
      <c r="AQ410" s="12"/>
      <c r="AR410" s="12" t="s">
        <v>4217</v>
      </c>
      <c r="AS410" s="12" t="s">
        <v>4218</v>
      </c>
      <c r="AT410" s="12" t="s">
        <v>4219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2525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4220</v>
      </c>
      <c r="B411" s="31" t="s">
        <v>111</v>
      </c>
      <c r="C411" s="31" t="s">
        <v>548</v>
      </c>
      <c r="D411" s="49" t="s">
        <v>63</v>
      </c>
      <c r="E411" s="12" t="s">
        <v>64</v>
      </c>
      <c r="F411" s="12" t="s">
        <v>100</v>
      </c>
      <c r="G411" s="12" t="s">
        <v>67</v>
      </c>
      <c r="H411" s="31" t="s">
        <v>66</v>
      </c>
      <c r="I411" s="31" t="s">
        <v>96</v>
      </c>
      <c r="J411" s="34" t="s">
        <v>68</v>
      </c>
      <c r="K411" s="31"/>
      <c r="L411" s="13" t="s">
        <v>2519</v>
      </c>
      <c r="M411" s="213" t="s">
        <v>68</v>
      </c>
      <c r="N411" s="183"/>
      <c r="O411" s="12" t="s">
        <v>2520</v>
      </c>
      <c r="P411" s="49" t="s">
        <v>550</v>
      </c>
      <c r="Q411" s="12" t="s">
        <v>551</v>
      </c>
      <c r="R411" s="50">
        <v>553118</v>
      </c>
      <c r="S411" s="49" t="s">
        <v>552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75</v>
      </c>
      <c r="Z411" s="12"/>
      <c r="AA411" s="12" t="s">
        <v>85</v>
      </c>
      <c r="AB411" s="13" t="s">
        <v>2136</v>
      </c>
      <c r="AC411" s="51">
        <v>45999</v>
      </c>
      <c r="AD411" s="35">
        <v>50</v>
      </c>
      <c r="AE411" s="55" t="s">
        <v>4221</v>
      </c>
      <c r="AF411" s="57">
        <v>371009286</v>
      </c>
      <c r="AG411" s="52" t="s">
        <v>122</v>
      </c>
      <c r="AH411" s="53" t="s">
        <v>105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66</v>
      </c>
      <c r="AP411" s="49" t="s">
        <v>4108</v>
      </c>
      <c r="AQ411" s="31"/>
      <c r="AR411" s="49" t="s">
        <v>4222</v>
      </c>
      <c r="AS411" s="49" t="s">
        <v>4223</v>
      </c>
      <c r="AT411" s="49" t="s">
        <v>4223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2525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10">
      <c r="A412" s="11" t="s">
        <v>4224</v>
      </c>
      <c r="B412" s="12" t="s">
        <v>111</v>
      </c>
      <c r="C412" s="12" t="s">
        <v>4000</v>
      </c>
      <c r="D412" s="12" t="s">
        <v>63</v>
      </c>
      <c r="E412" s="12" t="s">
        <v>64</v>
      </c>
      <c r="F412" s="31" t="s">
        <v>310</v>
      </c>
      <c r="G412" s="12" t="s">
        <v>311</v>
      </c>
      <c r="H412" s="12" t="s">
        <v>66</v>
      </c>
      <c r="I412" s="12" t="s">
        <v>1559</v>
      </c>
      <c r="J412" s="34" t="s">
        <v>68</v>
      </c>
      <c r="K412" s="12"/>
      <c r="L412" s="13" t="s">
        <v>2542</v>
      </c>
      <c r="M412" s="213" t="s">
        <v>68</v>
      </c>
      <c r="N412" s="182"/>
      <c r="O412" s="12" t="s">
        <v>2520</v>
      </c>
      <c r="P412" s="12" t="s">
        <v>132</v>
      </c>
      <c r="Q412" s="12" t="s">
        <v>133</v>
      </c>
      <c r="R412" s="12">
        <v>554304</v>
      </c>
      <c r="S412" s="12" t="s">
        <v>134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75</v>
      </c>
      <c r="Z412" s="12"/>
      <c r="AA412" s="12" t="s">
        <v>108</v>
      </c>
      <c r="AB412" s="13" t="s">
        <v>992</v>
      </c>
      <c r="AC412" s="14">
        <v>46003</v>
      </c>
      <c r="AD412" s="15">
        <v>50</v>
      </c>
      <c r="AE412" s="55" t="s">
        <v>4225</v>
      </c>
      <c r="AF412" s="12">
        <v>371009294</v>
      </c>
      <c r="AG412" s="12" t="s">
        <v>122</v>
      </c>
      <c r="AH412" s="12" t="s">
        <v>1561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66</v>
      </c>
      <c r="AP412" s="12" t="s">
        <v>4226</v>
      </c>
      <c r="AQ412" s="12"/>
      <c r="AR412" s="12" t="s">
        <v>4227</v>
      </c>
      <c r="AS412" s="12" t="s">
        <v>4228</v>
      </c>
      <c r="AT412" s="12" t="s">
        <v>4228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973</v>
      </c>
      <c r="BB412" s="14" t="s">
        <v>4195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10">
      <c r="A413" s="11" t="s">
        <v>4229</v>
      </c>
      <c r="B413" s="12" t="s">
        <v>111</v>
      </c>
      <c r="C413" s="12" t="s">
        <v>3592</v>
      </c>
      <c r="D413" s="12" t="s">
        <v>113</v>
      </c>
      <c r="E413" s="12" t="s">
        <v>64</v>
      </c>
      <c r="F413" s="12" t="s">
        <v>114</v>
      </c>
      <c r="G413" s="12" t="s">
        <v>115</v>
      </c>
      <c r="H413" s="12" t="s">
        <v>66</v>
      </c>
      <c r="I413" s="12" t="s">
        <v>3581</v>
      </c>
      <c r="J413" s="34" t="s">
        <v>68</v>
      </c>
      <c r="K413" s="12">
        <v>16102578</v>
      </c>
      <c r="L413" s="13" t="s">
        <v>2527</v>
      </c>
      <c r="M413" s="213" t="s">
        <v>68</v>
      </c>
      <c r="N413" s="182"/>
      <c r="O413" s="12" t="s">
        <v>2520</v>
      </c>
      <c r="P413" s="12" t="s">
        <v>70</v>
      </c>
      <c r="Q413" s="12" t="s">
        <v>3593</v>
      </c>
      <c r="R413" s="12">
        <v>554812</v>
      </c>
      <c r="S413" s="12" t="s">
        <v>3594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75</v>
      </c>
      <c r="Z413" s="12"/>
      <c r="AA413" s="12" t="s">
        <v>108</v>
      </c>
      <c r="AB413" s="13" t="s">
        <v>3582</v>
      </c>
      <c r="AC413" s="14">
        <v>46002</v>
      </c>
      <c r="AD413" s="15">
        <v>50</v>
      </c>
      <c r="AE413" s="55" t="s">
        <v>4230</v>
      </c>
      <c r="AF413" s="12">
        <v>371009283</v>
      </c>
      <c r="AG413" s="12" t="s">
        <v>122</v>
      </c>
      <c r="AH413" s="12" t="s">
        <v>124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66</v>
      </c>
      <c r="AP413" s="12" t="s">
        <v>4231</v>
      </c>
      <c r="AQ413" s="12"/>
      <c r="AR413" s="12" t="s">
        <v>4232</v>
      </c>
      <c r="AS413" s="12" t="s">
        <v>4233</v>
      </c>
      <c r="AT413" s="12" t="s">
        <v>4233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2525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10">
      <c r="A414" s="11" t="s">
        <v>4234</v>
      </c>
      <c r="B414" s="12" t="s">
        <v>111</v>
      </c>
      <c r="C414" s="12" t="s">
        <v>3580</v>
      </c>
      <c r="D414" s="12" t="s">
        <v>113</v>
      </c>
      <c r="E414" s="12" t="s">
        <v>64</v>
      </c>
      <c r="F414" s="12" t="s">
        <v>114</v>
      </c>
      <c r="G414" s="12" t="s">
        <v>115</v>
      </c>
      <c r="H414" s="12" t="s">
        <v>66</v>
      </c>
      <c r="I414" s="12" t="s">
        <v>3581</v>
      </c>
      <c r="J414" s="34" t="s">
        <v>68</v>
      </c>
      <c r="K414" s="12">
        <v>16102578</v>
      </c>
      <c r="L414" s="13" t="s">
        <v>2527</v>
      </c>
      <c r="M414" s="213" t="s">
        <v>68</v>
      </c>
      <c r="N414" s="182"/>
      <c r="O414" s="12" t="s">
        <v>2520</v>
      </c>
      <c r="P414" s="12" t="s">
        <v>70</v>
      </c>
      <c r="Q414" s="12" t="s">
        <v>1355</v>
      </c>
      <c r="R414" s="12">
        <v>554472</v>
      </c>
      <c r="S414" s="12" t="s">
        <v>1356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75</v>
      </c>
      <c r="Z414" s="12"/>
      <c r="AA414" s="12" t="s">
        <v>108</v>
      </c>
      <c r="AB414" s="13" t="s">
        <v>3582</v>
      </c>
      <c r="AC414" s="14">
        <v>46002</v>
      </c>
      <c r="AD414" s="15">
        <v>50</v>
      </c>
      <c r="AE414" s="55" t="s">
        <v>4235</v>
      </c>
      <c r="AF414" s="12">
        <v>371009285</v>
      </c>
      <c r="AG414" s="12" t="s">
        <v>122</v>
      </c>
      <c r="AH414" s="12" t="s">
        <v>124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66</v>
      </c>
      <c r="AP414" s="12" t="s">
        <v>4231</v>
      </c>
      <c r="AQ414" s="12"/>
      <c r="AR414" s="12" t="s">
        <v>4232</v>
      </c>
      <c r="AS414" s="12" t="s">
        <v>4233</v>
      </c>
      <c r="AT414" s="12" t="s">
        <v>4233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2525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10">
      <c r="A415" s="11" t="s">
        <v>4236</v>
      </c>
      <c r="B415" s="12" t="s">
        <v>111</v>
      </c>
      <c r="C415" s="12" t="s">
        <v>3586</v>
      </c>
      <c r="D415" s="12" t="s">
        <v>113</v>
      </c>
      <c r="E415" s="12" t="s">
        <v>64</v>
      </c>
      <c r="F415" s="12" t="s">
        <v>114</v>
      </c>
      <c r="G415" s="12" t="s">
        <v>115</v>
      </c>
      <c r="H415" s="12" t="s">
        <v>66</v>
      </c>
      <c r="I415" s="12" t="s">
        <v>3581</v>
      </c>
      <c r="J415" s="34" t="s">
        <v>68</v>
      </c>
      <c r="K415" s="12">
        <v>16102578</v>
      </c>
      <c r="L415" s="13" t="s">
        <v>2527</v>
      </c>
      <c r="M415" s="213" t="s">
        <v>68</v>
      </c>
      <c r="N415" s="182"/>
      <c r="O415" s="12" t="s">
        <v>2520</v>
      </c>
      <c r="P415" s="12" t="s">
        <v>70</v>
      </c>
      <c r="Q415" s="12" t="s">
        <v>1347</v>
      </c>
      <c r="R415" s="12">
        <v>554471</v>
      </c>
      <c r="S415" s="12" t="s">
        <v>1348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75</v>
      </c>
      <c r="Z415" s="12"/>
      <c r="AA415" s="12" t="s">
        <v>108</v>
      </c>
      <c r="AB415" s="13" t="s">
        <v>3582</v>
      </c>
      <c r="AC415" s="14">
        <v>46002</v>
      </c>
      <c r="AD415" s="15">
        <v>50</v>
      </c>
      <c r="AE415" s="55" t="s">
        <v>4237</v>
      </c>
      <c r="AF415" s="12">
        <v>371009284</v>
      </c>
      <c r="AG415" s="12" t="s">
        <v>122</v>
      </c>
      <c r="AH415" s="12" t="s">
        <v>124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66</v>
      </c>
      <c r="AP415" s="12" t="s">
        <v>4231</v>
      </c>
      <c r="AQ415" s="12"/>
      <c r="AR415" s="12" t="s">
        <v>4232</v>
      </c>
      <c r="AS415" s="12" t="s">
        <v>4233</v>
      </c>
      <c r="AT415" s="12" t="s">
        <v>4233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2525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10">
      <c r="A416" s="11" t="s">
        <v>4238</v>
      </c>
      <c r="B416" s="12" t="s">
        <v>111</v>
      </c>
      <c r="C416" s="12" t="s">
        <v>112</v>
      </c>
      <c r="D416" s="12" t="s">
        <v>113</v>
      </c>
      <c r="E416" s="12" t="s">
        <v>64</v>
      </c>
      <c r="F416" s="12" t="s">
        <v>114</v>
      </c>
      <c r="G416" s="12" t="s">
        <v>115</v>
      </c>
      <c r="H416" s="12" t="s">
        <v>66</v>
      </c>
      <c r="I416" s="12" t="s">
        <v>116</v>
      </c>
      <c r="J416" s="34" t="s">
        <v>68</v>
      </c>
      <c r="K416" s="12" t="s">
        <v>266</v>
      </c>
      <c r="L416" s="13" t="s">
        <v>2527</v>
      </c>
      <c r="M416" s="213" t="s">
        <v>68</v>
      </c>
      <c r="N416" s="182"/>
      <c r="O416" s="12" t="s">
        <v>2520</v>
      </c>
      <c r="P416" s="12" t="s">
        <v>70</v>
      </c>
      <c r="Q416" s="12" t="s">
        <v>118</v>
      </c>
      <c r="R416" s="12">
        <v>555431</v>
      </c>
      <c r="S416" s="12" t="s">
        <v>119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75</v>
      </c>
      <c r="Z416" s="12"/>
      <c r="AA416" s="13" t="s">
        <v>3825</v>
      </c>
      <c r="AB416" s="13" t="s">
        <v>992</v>
      </c>
      <c r="AC416" s="14">
        <v>46004</v>
      </c>
      <c r="AD416" s="15">
        <v>50</v>
      </c>
      <c r="AE416" s="55" t="s">
        <v>4239</v>
      </c>
      <c r="AF416" s="12">
        <v>371009308</v>
      </c>
      <c r="AG416" s="12" t="s">
        <v>122</v>
      </c>
      <c r="AH416" s="12" t="s">
        <v>124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66</v>
      </c>
      <c r="AP416" s="12" t="s">
        <v>241</v>
      </c>
      <c r="AQ416" s="12"/>
      <c r="AR416" s="12" t="s">
        <v>4240</v>
      </c>
      <c r="AS416" s="12" t="s">
        <v>4241</v>
      </c>
      <c r="AT416" s="12" t="s">
        <v>4241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973</v>
      </c>
      <c r="BB416" s="14" t="s">
        <v>4195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10">
      <c r="A417" s="11" t="s">
        <v>4242</v>
      </c>
      <c r="B417" s="12" t="s">
        <v>111</v>
      </c>
      <c r="C417" s="12" t="s">
        <v>112</v>
      </c>
      <c r="D417" s="12" t="s">
        <v>113</v>
      </c>
      <c r="E417" s="12" t="s">
        <v>64</v>
      </c>
      <c r="F417" s="12" t="s">
        <v>114</v>
      </c>
      <c r="G417" s="12" t="s">
        <v>115</v>
      </c>
      <c r="H417" s="12" t="s">
        <v>66</v>
      </c>
      <c r="I417" s="12" t="s">
        <v>116</v>
      </c>
      <c r="J417" s="34" t="s">
        <v>68</v>
      </c>
      <c r="K417" s="12" t="s">
        <v>117</v>
      </c>
      <c r="L417" s="13" t="s">
        <v>2527</v>
      </c>
      <c r="M417" s="213" t="s">
        <v>68</v>
      </c>
      <c r="N417" s="182"/>
      <c r="O417" s="12" t="s">
        <v>2520</v>
      </c>
      <c r="P417" s="12" t="s">
        <v>70</v>
      </c>
      <c r="Q417" s="12" t="s">
        <v>118</v>
      </c>
      <c r="R417" s="12">
        <v>555431</v>
      </c>
      <c r="S417" s="12" t="s">
        <v>119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75</v>
      </c>
      <c r="Z417" s="12"/>
      <c r="AA417" s="13" t="s">
        <v>3825</v>
      </c>
      <c r="AB417" s="13" t="s">
        <v>992</v>
      </c>
      <c r="AC417" s="14">
        <v>46004</v>
      </c>
      <c r="AD417" s="15">
        <v>50</v>
      </c>
      <c r="AE417" s="55" t="s">
        <v>4243</v>
      </c>
      <c r="AF417" s="12">
        <v>371009309</v>
      </c>
      <c r="AG417" s="12" t="s">
        <v>122</v>
      </c>
      <c r="AH417" s="12" t="s">
        <v>124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66</v>
      </c>
      <c r="AP417" s="12" t="s">
        <v>241</v>
      </c>
      <c r="AQ417" s="12"/>
      <c r="AR417" s="12" t="s">
        <v>4240</v>
      </c>
      <c r="AS417" s="12" t="s">
        <v>4241</v>
      </c>
      <c r="AT417" s="12" t="s">
        <v>4241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973</v>
      </c>
      <c r="BB417" s="14" t="s">
        <v>4195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10">
      <c r="A418" s="11" t="s">
        <v>4244</v>
      </c>
      <c r="B418" s="12" t="s">
        <v>111</v>
      </c>
      <c r="C418" s="12" t="s">
        <v>548</v>
      </c>
      <c r="D418" s="12" t="s">
        <v>63</v>
      </c>
      <c r="E418" s="12" t="s">
        <v>64</v>
      </c>
      <c r="F418" s="12" t="s">
        <v>114</v>
      </c>
      <c r="G418" s="12" t="s">
        <v>115</v>
      </c>
      <c r="H418" s="12" t="s">
        <v>66</v>
      </c>
      <c r="I418" s="12" t="s">
        <v>96</v>
      </c>
      <c r="J418" s="34" t="s">
        <v>68</v>
      </c>
      <c r="K418" s="12"/>
      <c r="L418" s="13" t="s">
        <v>2527</v>
      </c>
      <c r="M418" s="213" t="s">
        <v>68</v>
      </c>
      <c r="N418" s="182"/>
      <c r="O418" s="12" t="s">
        <v>2520</v>
      </c>
      <c r="P418" s="12" t="s">
        <v>550</v>
      </c>
      <c r="Q418" s="12" t="s">
        <v>551</v>
      </c>
      <c r="R418" s="12">
        <v>553118</v>
      </c>
      <c r="S418" s="12" t="s">
        <v>552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75</v>
      </c>
      <c r="Z418" s="12"/>
      <c r="AA418" s="13" t="s">
        <v>85</v>
      </c>
      <c r="AB418" s="13" t="s">
        <v>2136</v>
      </c>
      <c r="AC418" s="14">
        <v>46002</v>
      </c>
      <c r="AD418" s="15">
        <v>50</v>
      </c>
      <c r="AE418" s="55" t="s">
        <v>4245</v>
      </c>
      <c r="AF418" s="12">
        <v>371009287</v>
      </c>
      <c r="AG418" s="12" t="s">
        <v>122</v>
      </c>
      <c r="AH418" s="12" t="s">
        <v>124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66</v>
      </c>
      <c r="AP418" s="12" t="s">
        <v>4231</v>
      </c>
      <c r="AQ418" s="12"/>
      <c r="AR418" s="12" t="s">
        <v>4246</v>
      </c>
      <c r="AS418" s="12" t="s">
        <v>4247</v>
      </c>
      <c r="AT418" s="12" t="s">
        <v>4247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2525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10">
      <c r="A419" s="11" t="s">
        <v>4248</v>
      </c>
      <c r="B419" s="12" t="s">
        <v>281</v>
      </c>
      <c r="C419" s="12" t="s">
        <v>282</v>
      </c>
      <c r="D419" s="12" t="s">
        <v>63</v>
      </c>
      <c r="E419" s="12" t="s">
        <v>64</v>
      </c>
      <c r="F419" s="31" t="s">
        <v>310</v>
      </c>
      <c r="G419" s="12" t="s">
        <v>311</v>
      </c>
      <c r="H419" s="12" t="s">
        <v>66</v>
      </c>
      <c r="I419" s="12" t="s">
        <v>1342</v>
      </c>
      <c r="J419" s="34" t="s">
        <v>68</v>
      </c>
      <c r="K419" s="12"/>
      <c r="L419" s="13" t="s">
        <v>2542</v>
      </c>
      <c r="M419" s="213" t="s">
        <v>68</v>
      </c>
      <c r="N419" s="182"/>
      <c r="O419" s="12" t="s">
        <v>2520</v>
      </c>
      <c r="P419" s="12" t="s">
        <v>284</v>
      </c>
      <c r="Q419" s="12" t="s">
        <v>285</v>
      </c>
      <c r="R419" s="12">
        <v>554319</v>
      </c>
      <c r="S419" s="12" t="s">
        <v>286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75</v>
      </c>
      <c r="Z419" s="12"/>
      <c r="AA419" s="13" t="s">
        <v>85</v>
      </c>
      <c r="AB419" s="13" t="s">
        <v>992</v>
      </c>
      <c r="AC419" s="14">
        <v>46006</v>
      </c>
      <c r="AD419" s="15">
        <v>51</v>
      </c>
      <c r="AE419" s="55" t="s">
        <v>4249</v>
      </c>
      <c r="AF419" s="12">
        <v>371009281</v>
      </c>
      <c r="AG419" s="12" t="s">
        <v>288</v>
      </c>
      <c r="AH419" s="12" t="s">
        <v>314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66</v>
      </c>
      <c r="AP419" s="12" t="s">
        <v>4170</v>
      </c>
      <c r="AQ419" s="12"/>
      <c r="AR419" s="12" t="s">
        <v>4250</v>
      </c>
      <c r="AS419" s="12" t="s">
        <v>4251</v>
      </c>
      <c r="AT419" s="12" t="s">
        <v>4251</v>
      </c>
      <c r="AU419" s="12">
        <v>40</v>
      </c>
      <c r="AV419" s="12" t="s">
        <v>83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2525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10">
      <c r="A420" s="11" t="s">
        <v>4252</v>
      </c>
      <c r="B420" s="12" t="s">
        <v>281</v>
      </c>
      <c r="C420" s="12" t="s">
        <v>601</v>
      </c>
      <c r="D420" s="12" t="s">
        <v>63</v>
      </c>
      <c r="E420" s="12" t="s">
        <v>64</v>
      </c>
      <c r="F420" s="31" t="s">
        <v>310</v>
      </c>
      <c r="G420" s="12" t="s">
        <v>311</v>
      </c>
      <c r="H420" s="12" t="s">
        <v>66</v>
      </c>
      <c r="I420" s="12" t="s">
        <v>1342</v>
      </c>
      <c r="J420" s="34" t="s">
        <v>68</v>
      </c>
      <c r="K420" s="12"/>
      <c r="L420" s="13" t="s">
        <v>2542</v>
      </c>
      <c r="M420" s="213" t="s">
        <v>68</v>
      </c>
      <c r="N420" s="182"/>
      <c r="O420" s="12" t="s">
        <v>2520</v>
      </c>
      <c r="P420" s="12" t="s">
        <v>284</v>
      </c>
      <c r="Q420" s="12" t="s">
        <v>602</v>
      </c>
      <c r="R420" s="12">
        <v>554440</v>
      </c>
      <c r="S420" s="12" t="s">
        <v>603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75</v>
      </c>
      <c r="Z420" s="12"/>
      <c r="AA420" s="13" t="s">
        <v>108</v>
      </c>
      <c r="AB420" s="13" t="s">
        <v>992</v>
      </c>
      <c r="AC420" s="14">
        <v>46006</v>
      </c>
      <c r="AD420" s="15">
        <v>51</v>
      </c>
      <c r="AE420" s="55" t="s">
        <v>4253</v>
      </c>
      <c r="AF420" s="12">
        <v>371009282</v>
      </c>
      <c r="AG420" s="12" t="s">
        <v>288</v>
      </c>
      <c r="AH420" s="12" t="s">
        <v>314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66</v>
      </c>
      <c r="AP420" s="12" t="s">
        <v>4170</v>
      </c>
      <c r="AQ420" s="12"/>
      <c r="AR420" s="12" t="s">
        <v>4250</v>
      </c>
      <c r="AS420" s="12" t="s">
        <v>4251</v>
      </c>
      <c r="AT420" s="12" t="s">
        <v>4251</v>
      </c>
      <c r="AU420" s="12">
        <v>40</v>
      </c>
      <c r="AV420" s="12" t="s">
        <v>83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2525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10">
      <c r="A421" s="33" t="s">
        <v>4254</v>
      </c>
      <c r="B421" s="31" t="s">
        <v>281</v>
      </c>
      <c r="C421" s="31" t="s">
        <v>282</v>
      </c>
      <c r="D421" s="31" t="s">
        <v>63</v>
      </c>
      <c r="E421" s="12" t="s">
        <v>144</v>
      </c>
      <c r="F421" s="12" t="s">
        <v>145</v>
      </c>
      <c r="G421" s="31" t="s">
        <v>157</v>
      </c>
      <c r="H421" s="31" t="s">
        <v>402</v>
      </c>
      <c r="I421" s="31" t="s">
        <v>157</v>
      </c>
      <c r="J421" s="34" t="s">
        <v>68</v>
      </c>
      <c r="K421" s="31">
        <v>46011029</v>
      </c>
      <c r="L421" s="34" t="s">
        <v>2534</v>
      </c>
      <c r="M421" s="236" t="s">
        <v>68</v>
      </c>
      <c r="N421" s="182"/>
      <c r="O421" s="31" t="s">
        <v>2520</v>
      </c>
      <c r="P421" s="31" t="s">
        <v>284</v>
      </c>
      <c r="Q421" s="31" t="s">
        <v>285</v>
      </c>
      <c r="R421" s="31">
        <v>554319</v>
      </c>
      <c r="S421" s="31" t="s">
        <v>286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75</v>
      </c>
      <c r="Z421" s="12"/>
      <c r="AA421" s="13" t="s">
        <v>85</v>
      </c>
      <c r="AB421" s="13" t="s">
        <v>992</v>
      </c>
      <c r="AC421" s="30">
        <v>46007</v>
      </c>
      <c r="AD421" s="35">
        <v>51</v>
      </c>
      <c r="AE421" s="176" t="s">
        <v>4255</v>
      </c>
      <c r="AF421" s="31">
        <v>371009342</v>
      </c>
      <c r="AG421" s="31" t="s">
        <v>288</v>
      </c>
      <c r="AH421" s="31" t="s">
        <v>105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402</v>
      </c>
      <c r="AP421" s="41" t="s">
        <v>4256</v>
      </c>
      <c r="AQ421" s="31"/>
      <c r="AR421" s="31">
        <v>46011029</v>
      </c>
      <c r="AS421" s="31" t="s">
        <v>4257</v>
      </c>
      <c r="AT421" s="31" t="s">
        <v>4257</v>
      </c>
      <c r="AU421" s="31">
        <v>34</v>
      </c>
      <c r="AV421" s="31" t="s">
        <v>2538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2525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10">
      <c r="A422" s="11" t="s">
        <v>4258</v>
      </c>
      <c r="B422" s="12" t="s">
        <v>61</v>
      </c>
      <c r="C422" s="12" t="s">
        <v>88</v>
      </c>
      <c r="D422" s="12" t="s">
        <v>63</v>
      </c>
      <c r="E422" s="12" t="s">
        <v>64</v>
      </c>
      <c r="F422" s="12" t="s">
        <v>65</v>
      </c>
      <c r="G422" s="12" t="s">
        <v>67</v>
      </c>
      <c r="H422" s="12" t="s">
        <v>66</v>
      </c>
      <c r="I422" s="12" t="s">
        <v>96</v>
      </c>
      <c r="J422" s="34" t="s">
        <v>68</v>
      </c>
      <c r="K422" s="12"/>
      <c r="L422" s="13" t="s">
        <v>2519</v>
      </c>
      <c r="M422" s="213" t="s">
        <v>68</v>
      </c>
      <c r="N422" s="182"/>
      <c r="O422" s="12" t="s">
        <v>2520</v>
      </c>
      <c r="P422" s="12" t="s">
        <v>70</v>
      </c>
      <c r="Q422" s="12" t="s">
        <v>91</v>
      </c>
      <c r="R422" s="12">
        <v>554480</v>
      </c>
      <c r="S422" s="12" t="s">
        <v>92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75</v>
      </c>
      <c r="Z422" s="12"/>
      <c r="AA422" s="13" t="s">
        <v>4259</v>
      </c>
      <c r="AB422" s="32" t="s">
        <v>967</v>
      </c>
      <c r="AC422" s="14">
        <v>46003</v>
      </c>
      <c r="AD422" s="15">
        <v>50</v>
      </c>
      <c r="AE422" s="55" t="s">
        <v>4260</v>
      </c>
      <c r="AF422" s="12">
        <v>371009295</v>
      </c>
      <c r="AG422" s="12" t="s">
        <v>77</v>
      </c>
      <c r="AH422" s="12" t="s">
        <v>356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66</v>
      </c>
      <c r="AP422" s="12" t="s">
        <v>79</v>
      </c>
      <c r="AQ422" s="12"/>
      <c r="AR422" s="12" t="s">
        <v>4261</v>
      </c>
      <c r="AS422" s="12" t="s">
        <v>4262</v>
      </c>
      <c r="AT422" s="12" t="s">
        <v>4262</v>
      </c>
      <c r="AU422" s="12">
        <v>47</v>
      </c>
      <c r="AV422" s="12" t="s">
        <v>83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2525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10">
      <c r="A423" s="11" t="s">
        <v>4263</v>
      </c>
      <c r="B423" s="12" t="s">
        <v>61</v>
      </c>
      <c r="C423" s="12" t="s">
        <v>62</v>
      </c>
      <c r="D423" s="12" t="s">
        <v>63</v>
      </c>
      <c r="E423" s="12" t="s">
        <v>64</v>
      </c>
      <c r="F423" s="12" t="s">
        <v>65</v>
      </c>
      <c r="G423" s="12" t="s">
        <v>67</v>
      </c>
      <c r="H423" s="12" t="s">
        <v>66</v>
      </c>
      <c r="I423" s="12" t="s">
        <v>69</v>
      </c>
      <c r="J423" s="34" t="s">
        <v>68</v>
      </c>
      <c r="K423" s="12"/>
      <c r="L423" s="13" t="s">
        <v>2519</v>
      </c>
      <c r="M423" s="213" t="s">
        <v>68</v>
      </c>
      <c r="N423" s="182"/>
      <c r="O423" s="12" t="s">
        <v>2520</v>
      </c>
      <c r="P423" s="12" t="s">
        <v>70</v>
      </c>
      <c r="Q423" s="12" t="s">
        <v>71</v>
      </c>
      <c r="R423" s="12">
        <v>554475</v>
      </c>
      <c r="S423" s="12" t="s">
        <v>72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75</v>
      </c>
      <c r="Z423" s="12"/>
      <c r="AA423" s="13" t="s">
        <v>85</v>
      </c>
      <c r="AB423" s="13" t="s">
        <v>967</v>
      </c>
      <c r="AC423" s="14">
        <v>46003</v>
      </c>
      <c r="AD423" s="15">
        <v>50</v>
      </c>
      <c r="AE423" s="55" t="s">
        <v>4264</v>
      </c>
      <c r="AF423" s="12">
        <v>371009289</v>
      </c>
      <c r="AG423" s="12" t="s">
        <v>77</v>
      </c>
      <c r="AH423" s="12" t="s">
        <v>356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66</v>
      </c>
      <c r="AP423" s="12" t="s">
        <v>79</v>
      </c>
      <c r="AQ423" s="12"/>
      <c r="AR423" s="12" t="s">
        <v>4261</v>
      </c>
      <c r="AS423" s="12" t="s">
        <v>4262</v>
      </c>
      <c r="AT423" s="12" t="s">
        <v>4262</v>
      </c>
      <c r="AU423" s="12">
        <v>47</v>
      </c>
      <c r="AV423" s="12" t="s">
        <v>83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2525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10">
      <c r="A424" s="11" t="s">
        <v>4265</v>
      </c>
      <c r="B424" s="12" t="s">
        <v>61</v>
      </c>
      <c r="C424" s="12" t="s">
        <v>193</v>
      </c>
      <c r="D424" s="12" t="s">
        <v>63</v>
      </c>
      <c r="E424" s="12" t="s">
        <v>144</v>
      </c>
      <c r="F424" s="12" t="s">
        <v>145</v>
      </c>
      <c r="G424" s="18" t="s">
        <v>526</v>
      </c>
      <c r="H424" s="12" t="s">
        <v>402</v>
      </c>
      <c r="I424" s="12" t="s">
        <v>527</v>
      </c>
      <c r="J424" s="34" t="s">
        <v>68</v>
      </c>
      <c r="K424" s="12">
        <v>46010944</v>
      </c>
      <c r="L424" s="13" t="s">
        <v>2814</v>
      </c>
      <c r="M424" s="236" t="s">
        <v>68</v>
      </c>
      <c r="N424" s="182"/>
      <c r="O424" s="12" t="s">
        <v>2520</v>
      </c>
      <c r="P424" s="12" t="s">
        <v>70</v>
      </c>
      <c r="Q424" s="12" t="s">
        <v>195</v>
      </c>
      <c r="R424" s="12">
        <v>554473</v>
      </c>
      <c r="S424" s="12" t="s">
        <v>196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75</v>
      </c>
      <c r="Z424" s="12"/>
      <c r="AA424" s="13" t="s">
        <v>85</v>
      </c>
      <c r="AB424" s="13" t="s">
        <v>967</v>
      </c>
      <c r="AC424" s="14">
        <v>46004</v>
      </c>
      <c r="AD424" s="15">
        <v>50</v>
      </c>
      <c r="AE424" s="176" t="s">
        <v>4266</v>
      </c>
      <c r="AF424" s="12">
        <v>371009337</v>
      </c>
      <c r="AG424" s="12" t="s">
        <v>77</v>
      </c>
      <c r="AH424" s="12" t="s">
        <v>532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402</v>
      </c>
      <c r="AP424" s="12" t="s">
        <v>4267</v>
      </c>
      <c r="AQ424" s="12"/>
      <c r="AR424" s="12">
        <v>46010944</v>
      </c>
      <c r="AS424" s="12" t="s">
        <v>4268</v>
      </c>
      <c r="AT424" s="12" t="s">
        <v>4269</v>
      </c>
      <c r="AU424" s="12">
        <v>62</v>
      </c>
      <c r="AV424" s="12" t="s">
        <v>2538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2525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10">
      <c r="A425" s="11" t="s">
        <v>4270</v>
      </c>
      <c r="B425" s="12" t="s">
        <v>61</v>
      </c>
      <c r="C425" s="12" t="s">
        <v>88</v>
      </c>
      <c r="D425" s="12" t="s">
        <v>63</v>
      </c>
      <c r="E425" s="12" t="s">
        <v>144</v>
      </c>
      <c r="F425" s="12" t="s">
        <v>145</v>
      </c>
      <c r="G425" s="12" t="s">
        <v>2716</v>
      </c>
      <c r="H425" s="12" t="s">
        <v>146</v>
      </c>
      <c r="I425" s="12" t="s">
        <v>2716</v>
      </c>
      <c r="J425" s="34" t="s">
        <v>68</v>
      </c>
      <c r="K425" s="12">
        <v>46010840</v>
      </c>
      <c r="L425" s="13" t="s">
        <v>2711</v>
      </c>
      <c r="M425" s="236" t="s">
        <v>68</v>
      </c>
      <c r="N425" s="182"/>
      <c r="O425" s="12" t="s">
        <v>2520</v>
      </c>
      <c r="P425" s="12" t="s">
        <v>70</v>
      </c>
      <c r="Q425" s="12" t="s">
        <v>91</v>
      </c>
      <c r="R425" s="12">
        <v>554480</v>
      </c>
      <c r="S425" s="12" t="s">
        <v>92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75</v>
      </c>
      <c r="Z425" s="12"/>
      <c r="AA425" s="13" t="s">
        <v>4259</v>
      </c>
      <c r="AB425" s="32" t="s">
        <v>967</v>
      </c>
      <c r="AC425" s="14">
        <v>46003</v>
      </c>
      <c r="AD425" s="15">
        <v>50</v>
      </c>
      <c r="AE425" s="176" t="s">
        <v>4271</v>
      </c>
      <c r="AF425" s="12">
        <v>371009296</v>
      </c>
      <c r="AG425" s="12" t="s">
        <v>77</v>
      </c>
      <c r="AH425" s="12" t="s">
        <v>78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146</v>
      </c>
      <c r="AP425" s="12" t="s">
        <v>79</v>
      </c>
      <c r="AQ425" s="12"/>
      <c r="AR425" s="12">
        <v>46010840</v>
      </c>
      <c r="AS425" s="12" t="s">
        <v>4272</v>
      </c>
      <c r="AT425" s="12" t="s">
        <v>4272</v>
      </c>
      <c r="AU425" s="12">
        <v>60</v>
      </c>
      <c r="AV425" s="12" t="s">
        <v>83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2525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10">
      <c r="A426" s="11" t="s">
        <v>4273</v>
      </c>
      <c r="B426" s="12" t="s">
        <v>111</v>
      </c>
      <c r="C426" s="12" t="s">
        <v>638</v>
      </c>
      <c r="D426" s="12" t="s">
        <v>63</v>
      </c>
      <c r="E426" s="12" t="s">
        <v>64</v>
      </c>
      <c r="F426" s="12" t="s">
        <v>65</v>
      </c>
      <c r="G426" s="12" t="s">
        <v>67</v>
      </c>
      <c r="H426" s="12" t="s">
        <v>66</v>
      </c>
      <c r="I426" s="12" t="s">
        <v>96</v>
      </c>
      <c r="J426" s="34" t="s">
        <v>68</v>
      </c>
      <c r="K426" s="12"/>
      <c r="L426" s="13" t="s">
        <v>2519</v>
      </c>
      <c r="M426" s="213" t="s">
        <v>68</v>
      </c>
      <c r="N426" s="182"/>
      <c r="O426" s="12" t="s">
        <v>2520</v>
      </c>
      <c r="P426" s="12" t="s">
        <v>473</v>
      </c>
      <c r="Q426" s="12" t="s">
        <v>474</v>
      </c>
      <c r="R426" s="12">
        <v>553144</v>
      </c>
      <c r="S426" s="12" t="s">
        <v>475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75</v>
      </c>
      <c r="Z426" s="12"/>
      <c r="AA426" s="13" t="s">
        <v>85</v>
      </c>
      <c r="AB426" s="13" t="s">
        <v>967</v>
      </c>
      <c r="AC426" s="14">
        <v>45997</v>
      </c>
      <c r="AD426" s="15">
        <v>49</v>
      </c>
      <c r="AE426" s="55" t="s">
        <v>4274</v>
      </c>
      <c r="AF426" s="12">
        <v>371009293</v>
      </c>
      <c r="AG426" s="12" t="s">
        <v>122</v>
      </c>
      <c r="AH426" s="12" t="s">
        <v>356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66</v>
      </c>
      <c r="AP426" s="12" t="s">
        <v>4275</v>
      </c>
      <c r="AQ426" s="12"/>
      <c r="AR426" s="12" t="s">
        <v>4276</v>
      </c>
      <c r="AS426" s="12" t="s">
        <v>4277</v>
      </c>
      <c r="AT426" s="12" t="s">
        <v>4277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2525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10">
      <c r="A427" s="11" t="s">
        <v>4278</v>
      </c>
      <c r="B427" s="12" t="s">
        <v>111</v>
      </c>
      <c r="C427" s="12" t="s">
        <v>545</v>
      </c>
      <c r="D427" s="12" t="s">
        <v>63</v>
      </c>
      <c r="E427" s="12" t="s">
        <v>64</v>
      </c>
      <c r="F427" s="12" t="s">
        <v>65</v>
      </c>
      <c r="G427" s="12" t="s">
        <v>67</v>
      </c>
      <c r="H427" s="12" t="s">
        <v>66</v>
      </c>
      <c r="I427" s="12" t="s">
        <v>96</v>
      </c>
      <c r="J427" s="34" t="s">
        <v>68</v>
      </c>
      <c r="K427" s="12"/>
      <c r="L427" s="13" t="s">
        <v>2519</v>
      </c>
      <c r="M427" s="213" t="s">
        <v>68</v>
      </c>
      <c r="N427" s="182"/>
      <c r="O427" s="12" t="s">
        <v>2520</v>
      </c>
      <c r="P427" s="12" t="s">
        <v>473</v>
      </c>
      <c r="Q427" s="12" t="s">
        <v>529</v>
      </c>
      <c r="R427" s="12">
        <v>553145</v>
      </c>
      <c r="S427" s="12" t="s">
        <v>530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75</v>
      </c>
      <c r="Z427" s="12"/>
      <c r="AA427" s="13" t="s">
        <v>85</v>
      </c>
      <c r="AB427" s="13" t="s">
        <v>967</v>
      </c>
      <c r="AC427" s="14">
        <v>45997</v>
      </c>
      <c r="AD427" s="15">
        <v>49</v>
      </c>
      <c r="AE427" s="55" t="s">
        <v>4279</v>
      </c>
      <c r="AF427" s="12">
        <v>371009292</v>
      </c>
      <c r="AG427" s="12" t="s">
        <v>122</v>
      </c>
      <c r="AH427" s="12" t="s">
        <v>356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66</v>
      </c>
      <c r="AP427" s="12" t="s">
        <v>4275</v>
      </c>
      <c r="AQ427" s="12"/>
      <c r="AR427" s="12" t="s">
        <v>4276</v>
      </c>
      <c r="AS427" s="12" t="s">
        <v>4277</v>
      </c>
      <c r="AT427" s="12" t="s">
        <v>4277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2525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10">
      <c r="A428" s="11" t="s">
        <v>4280</v>
      </c>
      <c r="B428" s="12" t="s">
        <v>111</v>
      </c>
      <c r="C428" s="12" t="s">
        <v>215</v>
      </c>
      <c r="D428" s="12" t="s">
        <v>113</v>
      </c>
      <c r="E428" s="12" t="s">
        <v>64</v>
      </c>
      <c r="F428" s="12" t="s">
        <v>65</v>
      </c>
      <c r="G428" s="12" t="s">
        <v>67</v>
      </c>
      <c r="H428" s="12" t="s">
        <v>66</v>
      </c>
      <c r="I428" s="12" t="s">
        <v>363</v>
      </c>
      <c r="J428" s="34" t="s">
        <v>68</v>
      </c>
      <c r="K428" s="12" t="s">
        <v>364</v>
      </c>
      <c r="L428" s="13" t="s">
        <v>113</v>
      </c>
      <c r="M428" s="213" t="s">
        <v>68</v>
      </c>
      <c r="N428" s="182"/>
      <c r="O428" s="12" t="s">
        <v>2520</v>
      </c>
      <c r="P428" s="12" t="s">
        <v>70</v>
      </c>
      <c r="Q428" s="12" t="s">
        <v>218</v>
      </c>
      <c r="R428" s="12">
        <v>555364</v>
      </c>
      <c r="S428" s="12" t="s">
        <v>219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75</v>
      </c>
      <c r="Z428" s="12"/>
      <c r="AA428" s="13" t="s">
        <v>3825</v>
      </c>
      <c r="AB428" s="13" t="s">
        <v>992</v>
      </c>
      <c r="AC428" s="14">
        <v>46006</v>
      </c>
      <c r="AD428" s="15">
        <v>51</v>
      </c>
      <c r="AE428" s="176" t="s">
        <v>4281</v>
      </c>
      <c r="AF428" s="12" t="s">
        <v>4280</v>
      </c>
      <c r="AG428" s="12" t="s">
        <v>122</v>
      </c>
      <c r="AH428" s="12" t="s">
        <v>356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66</v>
      </c>
      <c r="AP428" s="12" t="s">
        <v>4282</v>
      </c>
      <c r="AQ428" s="12" t="s">
        <v>161</v>
      </c>
      <c r="AR428" s="12" t="s">
        <v>4283</v>
      </c>
      <c r="AS428" s="12" t="s">
        <v>4284</v>
      </c>
      <c r="AT428" s="12" t="s">
        <v>4285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2525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10">
      <c r="A429" s="11" t="s">
        <v>4286</v>
      </c>
      <c r="B429" s="12" t="s">
        <v>111</v>
      </c>
      <c r="C429" s="12" t="s">
        <v>215</v>
      </c>
      <c r="D429" s="12" t="s">
        <v>113</v>
      </c>
      <c r="E429" s="12" t="s">
        <v>64</v>
      </c>
      <c r="F429" s="12" t="s">
        <v>65</v>
      </c>
      <c r="G429" s="12" t="s">
        <v>67</v>
      </c>
      <c r="H429" s="12" t="s">
        <v>66</v>
      </c>
      <c r="I429" s="12" t="s">
        <v>353</v>
      </c>
      <c r="J429" s="34" t="s">
        <v>68</v>
      </c>
      <c r="K429" s="12" t="s">
        <v>354</v>
      </c>
      <c r="L429" s="13" t="s">
        <v>113</v>
      </c>
      <c r="M429" s="213" t="s">
        <v>68</v>
      </c>
      <c r="N429" s="182"/>
      <c r="O429" s="12" t="s">
        <v>2520</v>
      </c>
      <c r="P429" s="12" t="s">
        <v>70</v>
      </c>
      <c r="Q429" s="12" t="s">
        <v>218</v>
      </c>
      <c r="R429" s="12">
        <v>555364</v>
      </c>
      <c r="S429" s="12" t="s">
        <v>219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75</v>
      </c>
      <c r="Z429" s="12"/>
      <c r="AA429" s="13" t="s">
        <v>3825</v>
      </c>
      <c r="AB429" s="13" t="s">
        <v>992</v>
      </c>
      <c r="AC429" s="14">
        <v>46006</v>
      </c>
      <c r="AD429" s="15">
        <v>51</v>
      </c>
      <c r="AE429" s="176" t="s">
        <v>4287</v>
      </c>
      <c r="AF429" s="12" t="s">
        <v>4286</v>
      </c>
      <c r="AG429" s="12" t="s">
        <v>122</v>
      </c>
      <c r="AH429" s="12" t="s">
        <v>356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66</v>
      </c>
      <c r="AP429" s="16" t="s">
        <v>4282</v>
      </c>
      <c r="AQ429" s="12" t="s">
        <v>161</v>
      </c>
      <c r="AR429" s="12" t="s">
        <v>4283</v>
      </c>
      <c r="AS429" s="12" t="s">
        <v>4284</v>
      </c>
      <c r="AT429" s="12" t="s">
        <v>4285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2525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10">
      <c r="A430" s="11" t="s">
        <v>4288</v>
      </c>
      <c r="B430" s="12" t="s">
        <v>111</v>
      </c>
      <c r="C430" s="12" t="s">
        <v>2928</v>
      </c>
      <c r="D430" s="12" t="s">
        <v>63</v>
      </c>
      <c r="E430" s="12" t="s">
        <v>144</v>
      </c>
      <c r="F430" s="12" t="s">
        <v>145</v>
      </c>
      <c r="G430" s="12" t="s">
        <v>594</v>
      </c>
      <c r="H430" s="12" t="s">
        <v>402</v>
      </c>
      <c r="I430" s="12" t="s">
        <v>594</v>
      </c>
      <c r="J430" s="34" t="s">
        <v>68</v>
      </c>
      <c r="K430" s="12">
        <v>16102622</v>
      </c>
      <c r="L430" s="13" t="s">
        <v>2527</v>
      </c>
      <c r="M430" s="236" t="s">
        <v>68</v>
      </c>
      <c r="N430" s="182"/>
      <c r="O430" s="12" t="s">
        <v>2520</v>
      </c>
      <c r="P430" s="12" t="s">
        <v>132</v>
      </c>
      <c r="Q430" s="12" t="s">
        <v>2929</v>
      </c>
      <c r="R430" s="12">
        <v>555076</v>
      </c>
      <c r="S430" s="12" t="s">
        <v>1300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75</v>
      </c>
      <c r="Z430" s="12"/>
      <c r="AA430" s="13" t="s">
        <v>108</v>
      </c>
      <c r="AB430" s="13" t="s">
        <v>967</v>
      </c>
      <c r="AC430" s="14">
        <v>46005</v>
      </c>
      <c r="AD430" s="15">
        <v>50</v>
      </c>
      <c r="AE430" s="176" t="s">
        <v>4289</v>
      </c>
      <c r="AF430" s="12">
        <v>371009334</v>
      </c>
      <c r="AG430" s="12" t="s">
        <v>122</v>
      </c>
      <c r="AH430" s="12" t="s">
        <v>124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402</v>
      </c>
      <c r="AP430" s="12" t="s">
        <v>140</v>
      </c>
      <c r="AQ430" s="12"/>
      <c r="AR430" s="12" t="s">
        <v>4290</v>
      </c>
      <c r="AS430" s="12" t="s">
        <v>4291</v>
      </c>
      <c r="AT430" s="12" t="s">
        <v>4291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2525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10">
      <c r="A431" s="172" t="s">
        <v>3784</v>
      </c>
      <c r="B431" s="41" t="s">
        <v>111</v>
      </c>
      <c r="C431" s="41" t="s">
        <v>203</v>
      </c>
      <c r="D431" s="41" t="s">
        <v>63</v>
      </c>
      <c r="E431" s="12" t="s">
        <v>144</v>
      </c>
      <c r="F431" s="41" t="s">
        <v>145</v>
      </c>
      <c r="G431" s="41" t="s">
        <v>4292</v>
      </c>
      <c r="H431" s="41" t="s">
        <v>146</v>
      </c>
      <c r="I431" s="41" t="s">
        <v>4292</v>
      </c>
      <c r="J431" s="34" t="s">
        <v>68</v>
      </c>
      <c r="K431" s="41">
        <v>16102620</v>
      </c>
      <c r="L431" s="13" t="s">
        <v>2527</v>
      </c>
      <c r="M431" s="237" t="s">
        <v>68</v>
      </c>
      <c r="N431" s="184"/>
      <c r="O431" s="41" t="s">
        <v>2520</v>
      </c>
      <c r="P431" s="41" t="s">
        <v>132</v>
      </c>
      <c r="Q431" s="41" t="s">
        <v>1905</v>
      </c>
      <c r="R431" s="41">
        <v>554547</v>
      </c>
      <c r="S431" s="41" t="s">
        <v>1906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75</v>
      </c>
      <c r="Z431" s="41"/>
      <c r="AA431" s="13" t="s">
        <v>108</v>
      </c>
      <c r="AB431" s="13" t="s">
        <v>992</v>
      </c>
      <c r="AC431" s="37">
        <v>46003</v>
      </c>
      <c r="AD431" s="174">
        <v>50</v>
      </c>
      <c r="AE431" s="287" t="s">
        <v>4293</v>
      </c>
      <c r="AF431" s="41">
        <v>371009280</v>
      </c>
      <c r="AG431" s="41" t="s">
        <v>122</v>
      </c>
      <c r="AH431" s="41" t="s">
        <v>124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146</v>
      </c>
      <c r="AP431" s="41" t="s">
        <v>241</v>
      </c>
      <c r="AQ431" s="41"/>
      <c r="AR431" s="41">
        <v>16102620</v>
      </c>
      <c r="AS431" s="41" t="s">
        <v>4294</v>
      </c>
      <c r="AT431" s="41" t="s">
        <v>4294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2525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10">
      <c r="A432" s="172" t="s">
        <v>4295</v>
      </c>
      <c r="B432" s="41" t="s">
        <v>111</v>
      </c>
      <c r="C432" s="41" t="s">
        <v>3784</v>
      </c>
      <c r="D432" s="41" t="s">
        <v>63</v>
      </c>
      <c r="E432" s="12" t="s">
        <v>144</v>
      </c>
      <c r="F432" s="41" t="s">
        <v>145</v>
      </c>
      <c r="G432" s="41" t="s">
        <v>4292</v>
      </c>
      <c r="H432" s="41" t="s">
        <v>146</v>
      </c>
      <c r="I432" s="41" t="s">
        <v>4292</v>
      </c>
      <c r="J432" s="34" t="s">
        <v>68</v>
      </c>
      <c r="K432" s="41">
        <v>16102620</v>
      </c>
      <c r="L432" s="13" t="s">
        <v>2527</v>
      </c>
      <c r="M432" s="237" t="s">
        <v>68</v>
      </c>
      <c r="N432" s="184"/>
      <c r="O432" s="41" t="s">
        <v>2520</v>
      </c>
      <c r="P432" s="41" t="s">
        <v>132</v>
      </c>
      <c r="Q432" s="41" t="s">
        <v>1905</v>
      </c>
      <c r="R432" s="41">
        <v>554547</v>
      </c>
      <c r="S432" s="41" t="s">
        <v>1906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75</v>
      </c>
      <c r="Z432" s="41"/>
      <c r="AA432" s="13" t="s">
        <v>108</v>
      </c>
      <c r="AB432" s="13" t="s">
        <v>992</v>
      </c>
      <c r="AC432" s="37">
        <v>46003</v>
      </c>
      <c r="AD432" s="174">
        <v>50</v>
      </c>
      <c r="AE432" s="287" t="s">
        <v>4293</v>
      </c>
      <c r="AF432" s="41">
        <v>371009280</v>
      </c>
      <c r="AG432" s="41" t="s">
        <v>122</v>
      </c>
      <c r="AH432" s="41" t="s">
        <v>124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146</v>
      </c>
      <c r="AP432" s="41" t="s">
        <v>241</v>
      </c>
      <c r="AQ432" s="41"/>
      <c r="AR432" s="41" t="s">
        <v>4296</v>
      </c>
      <c r="AS432" s="41" t="s">
        <v>4297</v>
      </c>
      <c r="AT432" s="41" t="s">
        <v>4294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2525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10">
      <c r="A433" s="11" t="s">
        <v>4298</v>
      </c>
      <c r="B433" s="12" t="s">
        <v>111</v>
      </c>
      <c r="C433" s="12" t="s">
        <v>638</v>
      </c>
      <c r="D433" s="12" t="s">
        <v>63</v>
      </c>
      <c r="E433" s="12" t="s">
        <v>64</v>
      </c>
      <c r="F433" s="12" t="s">
        <v>450</v>
      </c>
      <c r="G433" s="39" t="s">
        <v>451</v>
      </c>
      <c r="H433" s="12" t="s">
        <v>66</v>
      </c>
      <c r="I433" s="12" t="s">
        <v>1292</v>
      </c>
      <c r="J433" s="34" t="s">
        <v>68</v>
      </c>
      <c r="K433" s="12"/>
      <c r="L433" s="13" t="s">
        <v>2876</v>
      </c>
      <c r="M433" s="213" t="s">
        <v>68</v>
      </c>
      <c r="N433" s="182"/>
      <c r="O433" s="12" t="s">
        <v>2520</v>
      </c>
      <c r="P433" s="12" t="s">
        <v>473</v>
      </c>
      <c r="Q433" s="12" t="s">
        <v>474</v>
      </c>
      <c r="R433" s="12">
        <v>553144</v>
      </c>
      <c r="S433" s="12" t="s">
        <v>475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75</v>
      </c>
      <c r="Z433" s="12"/>
      <c r="AA433" s="13" t="s">
        <v>85</v>
      </c>
      <c r="AB433" s="13" t="s">
        <v>967</v>
      </c>
      <c r="AC433" s="14">
        <v>46008</v>
      </c>
      <c r="AD433" s="40">
        <v>51</v>
      </c>
      <c r="AE433" s="176" t="s">
        <v>4299</v>
      </c>
      <c r="AF433" s="12"/>
      <c r="AG433" s="12" t="s">
        <v>122</v>
      </c>
      <c r="AH433" s="12" t="s">
        <v>456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66</v>
      </c>
      <c r="AP433" s="12" t="s">
        <v>4101</v>
      </c>
      <c r="AQ433" s="12" t="s">
        <v>80</v>
      </c>
      <c r="AR433" s="12" t="s">
        <v>4300</v>
      </c>
      <c r="AS433" s="12" t="s">
        <v>4301</v>
      </c>
      <c r="AT433" s="12" t="s">
        <v>4301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2525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10">
      <c r="A434" s="11" t="s">
        <v>4302</v>
      </c>
      <c r="B434" s="12" t="s">
        <v>111</v>
      </c>
      <c r="C434" s="12" t="s">
        <v>3989</v>
      </c>
      <c r="D434" s="12" t="s">
        <v>63</v>
      </c>
      <c r="E434" s="12" t="s">
        <v>64</v>
      </c>
      <c r="F434" s="12" t="s">
        <v>450</v>
      </c>
      <c r="G434" s="39" t="s">
        <v>451</v>
      </c>
      <c r="H434" s="12" t="s">
        <v>66</v>
      </c>
      <c r="I434" s="12" t="s">
        <v>452</v>
      </c>
      <c r="J434" s="34" t="s">
        <v>68</v>
      </c>
      <c r="K434" s="12">
        <v>20519249</v>
      </c>
      <c r="L434" s="13" t="s">
        <v>2876</v>
      </c>
      <c r="M434" s="213" t="s">
        <v>68</v>
      </c>
      <c r="N434" s="182"/>
      <c r="O434" s="12" t="s">
        <v>2520</v>
      </c>
      <c r="P434" s="12" t="s">
        <v>132</v>
      </c>
      <c r="Q434" s="12" t="s">
        <v>453</v>
      </c>
      <c r="R434" s="12">
        <v>554541</v>
      </c>
      <c r="S434" s="12" t="s">
        <v>454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75</v>
      </c>
      <c r="Z434" s="12"/>
      <c r="AA434" s="13" t="s">
        <v>108</v>
      </c>
      <c r="AB434" s="32" t="s">
        <v>967</v>
      </c>
      <c r="AC434" s="14">
        <v>46008</v>
      </c>
      <c r="AD434" s="15">
        <v>51</v>
      </c>
      <c r="AE434" s="55" t="s">
        <v>4303</v>
      </c>
      <c r="AF434" s="12"/>
      <c r="AG434" s="12" t="s">
        <v>122</v>
      </c>
      <c r="AH434" s="12" t="s">
        <v>456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66</v>
      </c>
      <c r="AP434" s="12" t="s">
        <v>4101</v>
      </c>
      <c r="AQ434" s="12" t="s">
        <v>80</v>
      </c>
      <c r="AR434" s="12" t="s">
        <v>4300</v>
      </c>
      <c r="AS434" s="12" t="s">
        <v>4301</v>
      </c>
      <c r="AT434" s="12" t="s">
        <v>4301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2525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10">
      <c r="A435" s="11" t="s">
        <v>4304</v>
      </c>
      <c r="B435" s="12" t="s">
        <v>111</v>
      </c>
      <c r="C435" s="12" t="s">
        <v>545</v>
      </c>
      <c r="D435" s="12" t="s">
        <v>63</v>
      </c>
      <c r="E435" s="12" t="s">
        <v>64</v>
      </c>
      <c r="F435" s="12" t="s">
        <v>100</v>
      </c>
      <c r="G435" s="12" t="s">
        <v>67</v>
      </c>
      <c r="H435" s="12" t="s">
        <v>66</v>
      </c>
      <c r="I435" s="12" t="s">
        <v>96</v>
      </c>
      <c r="J435" s="34" t="s">
        <v>68</v>
      </c>
      <c r="K435" s="12"/>
      <c r="L435" s="13" t="s">
        <v>2519</v>
      </c>
      <c r="M435" s="213" t="s">
        <v>68</v>
      </c>
      <c r="N435" s="182"/>
      <c r="O435" s="12" t="s">
        <v>2520</v>
      </c>
      <c r="P435" s="12" t="s">
        <v>473</v>
      </c>
      <c r="Q435" s="12" t="s">
        <v>529</v>
      </c>
      <c r="R435" s="12">
        <v>553145</v>
      </c>
      <c r="S435" s="12" t="s">
        <v>530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75</v>
      </c>
      <c r="Z435" s="12"/>
      <c r="AA435" s="13" t="s">
        <v>85</v>
      </c>
      <c r="AB435" s="13" t="s">
        <v>967</v>
      </c>
      <c r="AC435" s="14">
        <v>46007</v>
      </c>
      <c r="AD435" s="15">
        <v>51</v>
      </c>
      <c r="AE435" s="55" t="s">
        <v>4305</v>
      </c>
      <c r="AF435" s="12"/>
      <c r="AG435" s="12" t="s">
        <v>122</v>
      </c>
      <c r="AH435" s="12" t="s">
        <v>105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66</v>
      </c>
      <c r="AP435" s="12" t="s">
        <v>4306</v>
      </c>
      <c r="AQ435" s="12"/>
      <c r="AR435" s="12" t="s">
        <v>4307</v>
      </c>
      <c r="AS435" s="12" t="s">
        <v>4308</v>
      </c>
      <c r="AT435" s="12" t="s">
        <v>4308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2525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10">
      <c r="A436" s="11" t="s">
        <v>4309</v>
      </c>
      <c r="B436" s="12" t="s">
        <v>111</v>
      </c>
      <c r="C436" s="12" t="s">
        <v>168</v>
      </c>
      <c r="D436" s="12" t="s">
        <v>63</v>
      </c>
      <c r="E436" s="12" t="s">
        <v>64</v>
      </c>
      <c r="F436" s="12" t="s">
        <v>100</v>
      </c>
      <c r="G436" s="12" t="s">
        <v>67</v>
      </c>
      <c r="H436" s="12" t="s">
        <v>66</v>
      </c>
      <c r="I436" s="12" t="s">
        <v>96</v>
      </c>
      <c r="J436" s="34" t="s">
        <v>68</v>
      </c>
      <c r="K436" s="12"/>
      <c r="L436" s="13" t="s">
        <v>2519</v>
      </c>
      <c r="M436" s="213" t="s">
        <v>68</v>
      </c>
      <c r="N436" s="182"/>
      <c r="O436" s="12" t="s">
        <v>2520</v>
      </c>
      <c r="P436" s="12" t="s">
        <v>170</v>
      </c>
      <c r="Q436" s="12" t="s">
        <v>171</v>
      </c>
      <c r="R436" s="12">
        <v>552045</v>
      </c>
      <c r="S436" s="12" t="s">
        <v>172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75</v>
      </c>
      <c r="Z436" s="12"/>
      <c r="AA436" s="13" t="s">
        <v>108</v>
      </c>
      <c r="AB436" s="32" t="s">
        <v>992</v>
      </c>
      <c r="AC436" s="14">
        <v>46010</v>
      </c>
      <c r="AD436" s="15">
        <v>51</v>
      </c>
      <c r="AE436" s="55" t="s">
        <v>4310</v>
      </c>
      <c r="AF436" s="12"/>
      <c r="AG436" s="12" t="s">
        <v>122</v>
      </c>
      <c r="AH436" s="12" t="s">
        <v>105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66</v>
      </c>
      <c r="AP436" s="12" t="s">
        <v>149</v>
      </c>
      <c r="AQ436" s="12"/>
      <c r="AR436" s="12" t="s">
        <v>4311</v>
      </c>
      <c r="AS436" s="12" t="s">
        <v>4312</v>
      </c>
      <c r="AT436" s="12" t="s">
        <v>4312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2525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10">
      <c r="A437" s="11" t="s">
        <v>4313</v>
      </c>
      <c r="B437" s="12" t="s">
        <v>111</v>
      </c>
      <c r="C437" s="12" t="s">
        <v>638</v>
      </c>
      <c r="D437" s="12" t="s">
        <v>63</v>
      </c>
      <c r="E437" s="12" t="s">
        <v>64</v>
      </c>
      <c r="F437" s="12" t="s">
        <v>100</v>
      </c>
      <c r="G437" s="12" t="s">
        <v>67</v>
      </c>
      <c r="H437" s="12" t="s">
        <v>66</v>
      </c>
      <c r="I437" s="12" t="s">
        <v>96</v>
      </c>
      <c r="J437" s="34" t="s">
        <v>68</v>
      </c>
      <c r="K437" s="12"/>
      <c r="L437" s="13" t="s">
        <v>2519</v>
      </c>
      <c r="M437" s="213" t="s">
        <v>68</v>
      </c>
      <c r="N437" s="182"/>
      <c r="O437" s="12" t="s">
        <v>2520</v>
      </c>
      <c r="P437" s="12" t="s">
        <v>473</v>
      </c>
      <c r="Q437" s="12" t="s">
        <v>474</v>
      </c>
      <c r="R437" s="12">
        <v>553144</v>
      </c>
      <c r="S437" s="12" t="s">
        <v>475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75</v>
      </c>
      <c r="Z437" s="12"/>
      <c r="AA437" s="13" t="s">
        <v>85</v>
      </c>
      <c r="AB437" s="13" t="s">
        <v>967</v>
      </c>
      <c r="AC437" s="14">
        <v>46010</v>
      </c>
      <c r="AD437" s="15">
        <v>51</v>
      </c>
      <c r="AE437" s="55" t="s">
        <v>4314</v>
      </c>
      <c r="AF437" s="12"/>
      <c r="AG437" s="12" t="s">
        <v>122</v>
      </c>
      <c r="AH437" s="12" t="s">
        <v>105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66</v>
      </c>
      <c r="AP437" s="12" t="s">
        <v>149</v>
      </c>
      <c r="AQ437" s="12"/>
      <c r="AR437" s="12" t="s">
        <v>4311</v>
      </c>
      <c r="AS437" s="12" t="s">
        <v>4312</v>
      </c>
      <c r="AT437" s="12" t="s">
        <v>4312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2525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10">
      <c r="A438" s="11" t="s">
        <v>4315</v>
      </c>
      <c r="B438" s="12" t="s">
        <v>111</v>
      </c>
      <c r="C438" s="12" t="s">
        <v>112</v>
      </c>
      <c r="D438" s="12" t="s">
        <v>113</v>
      </c>
      <c r="E438" s="12" t="s">
        <v>64</v>
      </c>
      <c r="F438" s="12" t="s">
        <v>114</v>
      </c>
      <c r="G438" s="12" t="s">
        <v>115</v>
      </c>
      <c r="H438" s="12" t="s">
        <v>66</v>
      </c>
      <c r="I438" s="12" t="s">
        <v>116</v>
      </c>
      <c r="J438" s="34" t="s">
        <v>68</v>
      </c>
      <c r="K438" s="12" t="s">
        <v>117</v>
      </c>
      <c r="L438" s="13" t="s">
        <v>2527</v>
      </c>
      <c r="M438" s="213" t="s">
        <v>68</v>
      </c>
      <c r="N438" s="182"/>
      <c r="O438" s="12" t="s">
        <v>2520</v>
      </c>
      <c r="P438" s="12" t="s">
        <v>70</v>
      </c>
      <c r="Q438" s="12" t="s">
        <v>118</v>
      </c>
      <c r="R438" s="12">
        <v>555431</v>
      </c>
      <c r="S438" s="12" t="s">
        <v>119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75</v>
      </c>
      <c r="Z438" s="12"/>
      <c r="AA438" s="13" t="s">
        <v>3825</v>
      </c>
      <c r="AB438" s="13" t="s">
        <v>992</v>
      </c>
      <c r="AC438" s="14">
        <v>46009</v>
      </c>
      <c r="AD438" s="15">
        <v>51</v>
      </c>
      <c r="AE438" s="55" t="s">
        <v>4316</v>
      </c>
      <c r="AF438" s="12"/>
      <c r="AG438" s="12" t="s">
        <v>122</v>
      </c>
      <c r="AH438" s="12" t="s">
        <v>124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66</v>
      </c>
      <c r="AP438" s="12" t="s">
        <v>4317</v>
      </c>
      <c r="AQ438" s="12"/>
      <c r="AR438" s="12" t="s">
        <v>4318</v>
      </c>
      <c r="AS438" s="12" t="s">
        <v>4319</v>
      </c>
      <c r="AT438" s="12" t="s">
        <v>4319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2525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10">
      <c r="A439" s="11" t="s">
        <v>4320</v>
      </c>
      <c r="B439" s="12" t="s">
        <v>111</v>
      </c>
      <c r="C439" s="12" t="s">
        <v>4179</v>
      </c>
      <c r="D439" s="12" t="s">
        <v>63</v>
      </c>
      <c r="E439" s="12" t="s">
        <v>64</v>
      </c>
      <c r="F439" s="12" t="s">
        <v>450</v>
      </c>
      <c r="G439" s="39" t="s">
        <v>451</v>
      </c>
      <c r="H439" s="12" t="s">
        <v>66</v>
      </c>
      <c r="I439" s="12" t="s">
        <v>452</v>
      </c>
      <c r="J439" s="34" t="s">
        <v>68</v>
      </c>
      <c r="K439" s="12">
        <v>20519249</v>
      </c>
      <c r="L439" s="13" t="s">
        <v>2876</v>
      </c>
      <c r="M439" s="213" t="s">
        <v>68</v>
      </c>
      <c r="N439" s="182"/>
      <c r="O439" s="12" t="s">
        <v>2520</v>
      </c>
      <c r="P439" s="12" t="s">
        <v>132</v>
      </c>
      <c r="Q439" s="12" t="s">
        <v>453</v>
      </c>
      <c r="R439" s="12">
        <v>554541</v>
      </c>
      <c r="S439" s="12" t="s">
        <v>454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75</v>
      </c>
      <c r="Z439" s="12"/>
      <c r="AA439" s="13" t="s">
        <v>108</v>
      </c>
      <c r="AB439" s="13" t="s">
        <v>967</v>
      </c>
      <c r="AC439" s="14">
        <v>46008</v>
      </c>
      <c r="AD439" s="15">
        <v>51</v>
      </c>
      <c r="AE439" s="55" t="s">
        <v>4321</v>
      </c>
      <c r="AF439" s="12"/>
      <c r="AG439" s="12" t="s">
        <v>122</v>
      </c>
      <c r="AH439" s="12" t="s">
        <v>456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66</v>
      </c>
      <c r="AP439" s="12" t="s">
        <v>4101</v>
      </c>
      <c r="AQ439" s="12"/>
      <c r="AR439" s="12" t="s">
        <v>4322</v>
      </c>
      <c r="AS439" s="12" t="s">
        <v>4323</v>
      </c>
      <c r="AT439" s="12" t="s">
        <v>4323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973</v>
      </c>
      <c r="BB439" s="14" t="s">
        <v>4324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10">
      <c r="A440" s="11" t="s">
        <v>4325</v>
      </c>
      <c r="B440" s="12" t="s">
        <v>111</v>
      </c>
      <c r="C440" s="12" t="s">
        <v>638</v>
      </c>
      <c r="D440" s="12" t="s">
        <v>63</v>
      </c>
      <c r="E440" s="12" t="s">
        <v>64</v>
      </c>
      <c r="F440" s="12" t="s">
        <v>450</v>
      </c>
      <c r="G440" s="39" t="s">
        <v>451</v>
      </c>
      <c r="H440" s="12" t="s">
        <v>66</v>
      </c>
      <c r="I440" s="12" t="s">
        <v>1292</v>
      </c>
      <c r="J440" s="34" t="s">
        <v>68</v>
      </c>
      <c r="K440" s="12"/>
      <c r="L440" s="13" t="s">
        <v>2876</v>
      </c>
      <c r="M440" s="213" t="s">
        <v>68</v>
      </c>
      <c r="N440" s="182"/>
      <c r="O440" s="12" t="s">
        <v>2520</v>
      </c>
      <c r="P440" s="12" t="s">
        <v>473</v>
      </c>
      <c r="Q440" s="12" t="s">
        <v>474</v>
      </c>
      <c r="R440" s="12">
        <v>553144</v>
      </c>
      <c r="S440" s="12" t="s">
        <v>475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75</v>
      </c>
      <c r="Z440" s="12"/>
      <c r="AA440" s="13" t="s">
        <v>85</v>
      </c>
      <c r="AB440" s="13" t="s">
        <v>967</v>
      </c>
      <c r="AC440" s="14">
        <v>46008</v>
      </c>
      <c r="AD440" s="15">
        <v>51</v>
      </c>
      <c r="AE440" s="55" t="s">
        <v>4326</v>
      </c>
      <c r="AF440" s="12"/>
      <c r="AG440" s="12" t="s">
        <v>122</v>
      </c>
      <c r="AH440" s="12" t="s">
        <v>456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66</v>
      </c>
      <c r="AP440" s="12" t="s">
        <v>4101</v>
      </c>
      <c r="AQ440" s="12"/>
      <c r="AR440" s="12" t="s">
        <v>4322</v>
      </c>
      <c r="AS440" s="12" t="s">
        <v>4323</v>
      </c>
      <c r="AT440" s="12" t="s">
        <v>4323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973</v>
      </c>
      <c r="BB440" s="14" t="s">
        <v>4324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10">
      <c r="A441" s="11" t="s">
        <v>4327</v>
      </c>
      <c r="B441" s="12" t="s">
        <v>111</v>
      </c>
      <c r="C441" s="12" t="s">
        <v>3879</v>
      </c>
      <c r="D441" s="12" t="s">
        <v>63</v>
      </c>
      <c r="E441" s="12" t="s">
        <v>64</v>
      </c>
      <c r="F441" s="12" t="s">
        <v>100</v>
      </c>
      <c r="G441" s="12" t="s">
        <v>67</v>
      </c>
      <c r="H441" s="12" t="s">
        <v>66</v>
      </c>
      <c r="I441" s="12" t="s">
        <v>96</v>
      </c>
      <c r="J441" s="34" t="s">
        <v>68</v>
      </c>
      <c r="K441" s="12"/>
      <c r="L441" s="13" t="s">
        <v>2519</v>
      </c>
      <c r="M441" s="213" t="s">
        <v>68</v>
      </c>
      <c r="N441" s="182"/>
      <c r="O441" s="12" t="s">
        <v>2520</v>
      </c>
      <c r="P441" s="12" t="s">
        <v>170</v>
      </c>
      <c r="Q441" s="12" t="s">
        <v>171</v>
      </c>
      <c r="R441" s="12">
        <v>552045</v>
      </c>
      <c r="S441" s="12" t="s">
        <v>172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75</v>
      </c>
      <c r="Z441" s="12"/>
      <c r="AA441" s="13" t="s">
        <v>108</v>
      </c>
      <c r="AB441" s="32" t="s">
        <v>992</v>
      </c>
      <c r="AC441" s="14">
        <v>46012</v>
      </c>
      <c r="AD441" s="15">
        <v>51</v>
      </c>
      <c r="AE441" s="55" t="s">
        <v>4328</v>
      </c>
      <c r="AF441" s="12"/>
      <c r="AG441" s="12" t="s">
        <v>122</v>
      </c>
      <c r="AH441" s="12" t="s">
        <v>105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66</v>
      </c>
      <c r="AP441" s="12" t="s">
        <v>4329</v>
      </c>
      <c r="AQ441" s="12"/>
      <c r="AR441" s="12" t="s">
        <v>4330</v>
      </c>
      <c r="AS441" s="12" t="s">
        <v>4331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2525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10">
      <c r="A442" s="11" t="s">
        <v>4332</v>
      </c>
      <c r="B442" s="12" t="s">
        <v>61</v>
      </c>
      <c r="C442" s="12" t="s">
        <v>88</v>
      </c>
      <c r="D442" s="12" t="s">
        <v>63</v>
      </c>
      <c r="E442" s="12" t="s">
        <v>144</v>
      </c>
      <c r="F442" s="12" t="s">
        <v>145</v>
      </c>
      <c r="G442" s="12" t="s">
        <v>147</v>
      </c>
      <c r="H442" s="12" t="s">
        <v>146</v>
      </c>
      <c r="I442" s="12" t="s">
        <v>147</v>
      </c>
      <c r="J442" s="34" t="s">
        <v>68</v>
      </c>
      <c r="K442" s="12">
        <v>46010942</v>
      </c>
      <c r="L442" s="13" t="s">
        <v>2711</v>
      </c>
      <c r="M442" s="236" t="s">
        <v>68</v>
      </c>
      <c r="N442" s="182"/>
      <c r="O442" s="12" t="s">
        <v>2520</v>
      </c>
      <c r="P442" s="12" t="s">
        <v>70</v>
      </c>
      <c r="Q442" s="12" t="s">
        <v>91</v>
      </c>
      <c r="R442" s="12">
        <v>554480</v>
      </c>
      <c r="S442" s="12" t="s">
        <v>92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75</v>
      </c>
      <c r="Z442" s="12"/>
      <c r="AA442" s="13" t="s">
        <v>4259</v>
      </c>
      <c r="AB442" s="32" t="s">
        <v>967</v>
      </c>
      <c r="AC442" s="14">
        <v>46009</v>
      </c>
      <c r="AD442" s="15">
        <v>51</v>
      </c>
      <c r="AE442" s="176" t="s">
        <v>4333</v>
      </c>
      <c r="AF442" s="12">
        <v>371009345</v>
      </c>
      <c r="AG442" s="12" t="s">
        <v>77</v>
      </c>
      <c r="AH442" s="12" t="s">
        <v>78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146</v>
      </c>
      <c r="AP442" s="12" t="s">
        <v>149</v>
      </c>
      <c r="AQ442" s="12" t="s">
        <v>80</v>
      </c>
      <c r="AR442" s="12">
        <v>46010942</v>
      </c>
      <c r="AS442" s="12" t="s">
        <v>4334</v>
      </c>
      <c r="AT442" s="12" t="s">
        <v>4334</v>
      </c>
      <c r="AU442" s="12">
        <v>66</v>
      </c>
      <c r="AV442" s="12" t="s">
        <v>83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2525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10">
      <c r="A443" s="11" t="s">
        <v>4335</v>
      </c>
      <c r="B443" s="12" t="s">
        <v>61</v>
      </c>
      <c r="C443" s="12" t="s">
        <v>62</v>
      </c>
      <c r="D443" s="12" t="s">
        <v>63</v>
      </c>
      <c r="E443" s="12" t="s">
        <v>144</v>
      </c>
      <c r="F443" s="12" t="s">
        <v>145</v>
      </c>
      <c r="G443" s="12" t="s">
        <v>147</v>
      </c>
      <c r="H443" s="12" t="s">
        <v>146</v>
      </c>
      <c r="I443" s="12" t="s">
        <v>147</v>
      </c>
      <c r="J443" s="34" t="s">
        <v>68</v>
      </c>
      <c r="K443" s="12">
        <v>46010942</v>
      </c>
      <c r="L443" s="13" t="s">
        <v>2711</v>
      </c>
      <c r="M443" s="236" t="s">
        <v>68</v>
      </c>
      <c r="N443" s="182"/>
      <c r="O443" s="12" t="s">
        <v>2520</v>
      </c>
      <c r="P443" s="12" t="s">
        <v>70</v>
      </c>
      <c r="Q443" s="12" t="s">
        <v>71</v>
      </c>
      <c r="R443" s="12">
        <v>554475</v>
      </c>
      <c r="S443" s="12" t="s">
        <v>72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75</v>
      </c>
      <c r="Z443" s="12"/>
      <c r="AA443" s="13" t="s">
        <v>85</v>
      </c>
      <c r="AB443" s="13" t="s">
        <v>967</v>
      </c>
      <c r="AC443" s="14">
        <v>46009</v>
      </c>
      <c r="AD443" s="15">
        <v>51</v>
      </c>
      <c r="AE443" s="176" t="s">
        <v>4336</v>
      </c>
      <c r="AF443" s="12">
        <v>371009339</v>
      </c>
      <c r="AG443" s="12" t="s">
        <v>77</v>
      </c>
      <c r="AH443" s="12" t="s">
        <v>78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146</v>
      </c>
      <c r="AP443" s="12" t="s">
        <v>149</v>
      </c>
      <c r="AQ443" s="12" t="s">
        <v>80</v>
      </c>
      <c r="AR443" s="12">
        <v>46010942</v>
      </c>
      <c r="AS443" s="12" t="s">
        <v>4334</v>
      </c>
      <c r="AT443" s="12" t="s">
        <v>4334</v>
      </c>
      <c r="AU443" s="12">
        <v>66</v>
      </c>
      <c r="AV443" s="12" t="s">
        <v>83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2525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10">
      <c r="A444" s="11" t="s">
        <v>4337</v>
      </c>
      <c r="B444" s="12" t="s">
        <v>61</v>
      </c>
      <c r="C444" s="12" t="s">
        <v>88</v>
      </c>
      <c r="D444" s="12" t="s">
        <v>63</v>
      </c>
      <c r="E444" s="12" t="s">
        <v>64</v>
      </c>
      <c r="F444" s="12" t="s">
        <v>65</v>
      </c>
      <c r="G444" s="12" t="s">
        <v>67</v>
      </c>
      <c r="H444" s="12" t="s">
        <v>66</v>
      </c>
      <c r="I444" s="12" t="s">
        <v>96</v>
      </c>
      <c r="J444" s="34" t="s">
        <v>68</v>
      </c>
      <c r="K444" s="12"/>
      <c r="L444" s="13" t="s">
        <v>2519</v>
      </c>
      <c r="M444" s="213" t="s">
        <v>68</v>
      </c>
      <c r="N444" s="182"/>
      <c r="O444" s="12" t="s">
        <v>2520</v>
      </c>
      <c r="P444" s="12" t="s">
        <v>70</v>
      </c>
      <c r="Q444" s="12" t="s">
        <v>91</v>
      </c>
      <c r="R444" s="12">
        <v>554480</v>
      </c>
      <c r="S444" s="12" t="s">
        <v>92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75</v>
      </c>
      <c r="Z444" s="12"/>
      <c r="AA444" s="13" t="s">
        <v>4259</v>
      </c>
      <c r="AB444" s="32" t="s">
        <v>967</v>
      </c>
      <c r="AC444" s="14">
        <v>46010</v>
      </c>
      <c r="AD444" s="15">
        <v>51</v>
      </c>
      <c r="AE444" s="55" t="s">
        <v>4338</v>
      </c>
      <c r="AF444" s="12"/>
      <c r="AG444" s="12" t="s">
        <v>77</v>
      </c>
      <c r="AH444" s="12" t="s">
        <v>78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66</v>
      </c>
      <c r="AP444" s="12" t="s">
        <v>149</v>
      </c>
      <c r="AQ444" s="12" t="s">
        <v>80</v>
      </c>
      <c r="AR444" s="12" t="s">
        <v>4339</v>
      </c>
      <c r="AS444" s="12" t="s">
        <v>4340</v>
      </c>
      <c r="AT444" s="12" t="s">
        <v>4340</v>
      </c>
      <c r="AU444" s="12">
        <v>66</v>
      </c>
      <c r="AV444" s="12" t="s">
        <v>83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2434</v>
      </c>
      <c r="BB444" s="14" t="s">
        <v>4341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10">
      <c r="A445" s="11" t="s">
        <v>4342</v>
      </c>
      <c r="B445" s="12" t="s">
        <v>61</v>
      </c>
      <c r="C445" s="12" t="s">
        <v>88</v>
      </c>
      <c r="D445" s="12" t="s">
        <v>63</v>
      </c>
      <c r="E445" s="12" t="s">
        <v>64</v>
      </c>
      <c r="F445" s="12" t="s">
        <v>65</v>
      </c>
      <c r="G445" s="12" t="s">
        <v>67</v>
      </c>
      <c r="H445" s="12" t="s">
        <v>66</v>
      </c>
      <c r="I445" s="12" t="s">
        <v>96</v>
      </c>
      <c r="J445" s="34" t="s">
        <v>68</v>
      </c>
      <c r="K445" s="12"/>
      <c r="L445" s="13" t="s">
        <v>2519</v>
      </c>
      <c r="M445" s="213" t="s">
        <v>68</v>
      </c>
      <c r="N445" s="182"/>
      <c r="O445" s="12" t="s">
        <v>2520</v>
      </c>
      <c r="P445" s="12" t="s">
        <v>70</v>
      </c>
      <c r="Q445" s="12" t="s">
        <v>91</v>
      </c>
      <c r="R445" s="12">
        <v>554480</v>
      </c>
      <c r="S445" s="12" t="s">
        <v>92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75</v>
      </c>
      <c r="Z445" s="12"/>
      <c r="AA445" s="13" t="s">
        <v>4259</v>
      </c>
      <c r="AB445" s="32" t="s">
        <v>967</v>
      </c>
      <c r="AC445" s="14">
        <v>46010</v>
      </c>
      <c r="AD445" s="15">
        <v>51</v>
      </c>
      <c r="AE445" s="177" t="s">
        <v>4343</v>
      </c>
      <c r="AF445" s="12"/>
      <c r="AG445" s="12" t="s">
        <v>77</v>
      </c>
      <c r="AH445" s="12" t="s">
        <v>78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66</v>
      </c>
      <c r="AP445" s="12" t="s">
        <v>149</v>
      </c>
      <c r="AQ445" s="12" t="s">
        <v>80</v>
      </c>
      <c r="AR445" s="12" t="s">
        <v>4339</v>
      </c>
      <c r="AS445" s="12" t="s">
        <v>4340</v>
      </c>
      <c r="AT445" s="12" t="s">
        <v>4340</v>
      </c>
      <c r="AU445" s="12">
        <v>66</v>
      </c>
      <c r="AV445" s="12" t="s">
        <v>83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2434</v>
      </c>
      <c r="BB445" s="14" t="s">
        <v>4341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10">
      <c r="A446" s="11" t="s">
        <v>4344</v>
      </c>
      <c r="B446" s="12" t="s">
        <v>61</v>
      </c>
      <c r="C446" s="12" t="s">
        <v>577</v>
      </c>
      <c r="D446" s="12" t="s">
        <v>63</v>
      </c>
      <c r="E446" s="12" t="s">
        <v>64</v>
      </c>
      <c r="F446" s="12" t="s">
        <v>65</v>
      </c>
      <c r="G446" s="12" t="s">
        <v>67</v>
      </c>
      <c r="H446" s="12" t="s">
        <v>66</v>
      </c>
      <c r="I446" s="12" t="s">
        <v>96</v>
      </c>
      <c r="J446" s="34" t="s">
        <v>68</v>
      </c>
      <c r="K446" s="12"/>
      <c r="L446" s="13" t="s">
        <v>2519</v>
      </c>
      <c r="M446" s="213" t="s">
        <v>68</v>
      </c>
      <c r="N446" s="182"/>
      <c r="O446" s="12" t="s">
        <v>2520</v>
      </c>
      <c r="P446" s="12" t="s">
        <v>70</v>
      </c>
      <c r="Q446" s="12" t="s">
        <v>71</v>
      </c>
      <c r="R446" s="12">
        <v>554475</v>
      </c>
      <c r="S446" s="12" t="s">
        <v>72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75</v>
      </c>
      <c r="Z446" s="12"/>
      <c r="AA446" s="13" t="s">
        <v>85</v>
      </c>
      <c r="AB446" s="32" t="s">
        <v>967</v>
      </c>
      <c r="AC446" s="14">
        <v>46010</v>
      </c>
      <c r="AD446" s="15">
        <v>51</v>
      </c>
      <c r="AE446" s="55" t="s">
        <v>4345</v>
      </c>
      <c r="AF446" s="12"/>
      <c r="AG446" s="12" t="s">
        <v>77</v>
      </c>
      <c r="AH446" s="12" t="s">
        <v>78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66</v>
      </c>
      <c r="AP446" s="12" t="s">
        <v>149</v>
      </c>
      <c r="AQ446" s="12" t="s">
        <v>80</v>
      </c>
      <c r="AR446" s="12" t="s">
        <v>4339</v>
      </c>
      <c r="AS446" s="12" t="s">
        <v>4340</v>
      </c>
      <c r="AT446" s="12" t="s">
        <v>4340</v>
      </c>
      <c r="AU446" s="12">
        <v>66</v>
      </c>
      <c r="AV446" s="12" t="s">
        <v>83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2434</v>
      </c>
      <c r="BB446" s="14" t="s">
        <v>4341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10">
      <c r="A447" s="11" t="s">
        <v>4346</v>
      </c>
      <c r="B447" s="12" t="s">
        <v>61</v>
      </c>
      <c r="C447" s="12" t="s">
        <v>577</v>
      </c>
      <c r="D447" s="12" t="s">
        <v>63</v>
      </c>
      <c r="E447" s="12" t="s">
        <v>64</v>
      </c>
      <c r="F447" s="12" t="s">
        <v>65</v>
      </c>
      <c r="G447" s="12" t="s">
        <v>67</v>
      </c>
      <c r="H447" s="12" t="s">
        <v>66</v>
      </c>
      <c r="I447" s="12" t="s">
        <v>96</v>
      </c>
      <c r="J447" s="34" t="s">
        <v>68</v>
      </c>
      <c r="K447" s="12"/>
      <c r="L447" s="13" t="s">
        <v>2519</v>
      </c>
      <c r="M447" s="213" t="s">
        <v>68</v>
      </c>
      <c r="N447" s="182"/>
      <c r="O447" s="12" t="s">
        <v>2520</v>
      </c>
      <c r="P447" s="12" t="s">
        <v>70</v>
      </c>
      <c r="Q447" s="12" t="s">
        <v>71</v>
      </c>
      <c r="R447" s="12">
        <v>554475</v>
      </c>
      <c r="S447" s="12" t="s">
        <v>72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75</v>
      </c>
      <c r="Z447" s="12"/>
      <c r="AA447" s="13" t="s">
        <v>85</v>
      </c>
      <c r="AB447" s="32" t="s">
        <v>967</v>
      </c>
      <c r="AC447" s="14">
        <v>46010</v>
      </c>
      <c r="AD447" s="15">
        <v>51</v>
      </c>
      <c r="AE447" s="55" t="s">
        <v>4347</v>
      </c>
      <c r="AF447" s="12"/>
      <c r="AG447" s="12" t="s">
        <v>77</v>
      </c>
      <c r="AH447" s="12" t="s">
        <v>78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66</v>
      </c>
      <c r="AP447" s="12" t="s">
        <v>149</v>
      </c>
      <c r="AQ447" s="12" t="s">
        <v>80</v>
      </c>
      <c r="AR447" s="12" t="s">
        <v>4339</v>
      </c>
      <c r="AS447" s="12" t="s">
        <v>4340</v>
      </c>
      <c r="AT447" s="12" t="s">
        <v>4340</v>
      </c>
      <c r="AU447" s="12">
        <v>66</v>
      </c>
      <c r="AV447" s="12" t="s">
        <v>83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2434</v>
      </c>
      <c r="BB447" s="14" t="s">
        <v>4341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10">
      <c r="A448" s="11" t="s">
        <v>4348</v>
      </c>
      <c r="B448" s="12" t="s">
        <v>111</v>
      </c>
      <c r="C448" s="12" t="s">
        <v>537</v>
      </c>
      <c r="D448" s="12" t="s">
        <v>63</v>
      </c>
      <c r="E448" s="12" t="s">
        <v>64</v>
      </c>
      <c r="F448" s="12" t="s">
        <v>100</v>
      </c>
      <c r="G448" s="12" t="s">
        <v>67</v>
      </c>
      <c r="H448" s="12" t="s">
        <v>66</v>
      </c>
      <c r="I448" s="12" t="s">
        <v>96</v>
      </c>
      <c r="J448" s="34" t="s">
        <v>68</v>
      </c>
      <c r="K448" s="12"/>
      <c r="L448" s="13" t="s">
        <v>2519</v>
      </c>
      <c r="M448" s="213" t="s">
        <v>68</v>
      </c>
      <c r="N448" s="182"/>
      <c r="O448" s="12" t="s">
        <v>2520</v>
      </c>
      <c r="P448" s="12" t="s">
        <v>473</v>
      </c>
      <c r="Q448" s="12" t="s">
        <v>529</v>
      </c>
      <c r="R448" s="12">
        <v>553145</v>
      </c>
      <c r="S448" s="12" t="s">
        <v>530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75</v>
      </c>
      <c r="Z448" s="12"/>
      <c r="AA448" s="13" t="s">
        <v>85</v>
      </c>
      <c r="AB448" s="13" t="s">
        <v>967</v>
      </c>
      <c r="AC448" s="14">
        <v>46012</v>
      </c>
      <c r="AD448" s="15">
        <v>51</v>
      </c>
      <c r="AE448" s="55" t="s">
        <v>4349</v>
      </c>
      <c r="AF448" s="12"/>
      <c r="AG448" s="12" t="s">
        <v>122</v>
      </c>
      <c r="AH448" s="12" t="s">
        <v>105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66</v>
      </c>
      <c r="AP448" s="12" t="s">
        <v>4329</v>
      </c>
      <c r="AQ448" s="12" t="s">
        <v>161</v>
      </c>
      <c r="AR448" s="12" t="s">
        <v>4330</v>
      </c>
      <c r="AS448" s="12" t="s">
        <v>4331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2525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10">
      <c r="A449" s="11" t="s">
        <v>4350</v>
      </c>
      <c r="B449" s="12" t="s">
        <v>281</v>
      </c>
      <c r="C449" s="12" t="s">
        <v>282</v>
      </c>
      <c r="D449" s="12" t="s">
        <v>63</v>
      </c>
      <c r="E449" s="12" t="s">
        <v>144</v>
      </c>
      <c r="F449" s="12" t="s">
        <v>145</v>
      </c>
      <c r="G449" s="12" t="s">
        <v>4351</v>
      </c>
      <c r="H449" s="12" t="s">
        <v>402</v>
      </c>
      <c r="I449" s="12" t="s">
        <v>4351</v>
      </c>
      <c r="J449" s="34" t="s">
        <v>68</v>
      </c>
      <c r="K449" s="12">
        <v>46011058</v>
      </c>
      <c r="L449" s="13" t="s">
        <v>2534</v>
      </c>
      <c r="M449" s="236" t="s">
        <v>68</v>
      </c>
      <c r="N449" s="182"/>
      <c r="O449" s="12" t="s">
        <v>2520</v>
      </c>
      <c r="P449" s="12" t="s">
        <v>284</v>
      </c>
      <c r="Q449" s="12" t="s">
        <v>285</v>
      </c>
      <c r="R449" s="12">
        <v>554319</v>
      </c>
      <c r="S449" s="12" t="s">
        <v>286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75</v>
      </c>
      <c r="Z449" s="12"/>
      <c r="AA449" s="13" t="s">
        <v>85</v>
      </c>
      <c r="AB449" s="13" t="s">
        <v>992</v>
      </c>
      <c r="AC449" s="14">
        <v>46014</v>
      </c>
      <c r="AD449" s="15">
        <v>52</v>
      </c>
      <c r="AE449" s="176" t="s">
        <v>4352</v>
      </c>
      <c r="AF449" s="12">
        <v>371009340</v>
      </c>
      <c r="AG449" s="12" t="s">
        <v>288</v>
      </c>
      <c r="AH449" s="12" t="s">
        <v>159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402</v>
      </c>
      <c r="AP449" s="12" t="s">
        <v>4108</v>
      </c>
      <c r="AQ449" s="12" t="s">
        <v>161</v>
      </c>
      <c r="AR449" s="12" t="s">
        <v>4353</v>
      </c>
      <c r="AS449" s="12" t="s">
        <v>4354</v>
      </c>
      <c r="AT449" s="12" t="s">
        <v>4355</v>
      </c>
      <c r="AU449" s="12">
        <v>31</v>
      </c>
      <c r="AV449" s="12" t="s">
        <v>2538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2525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10">
      <c r="A450" s="11" t="s">
        <v>4356</v>
      </c>
      <c r="B450" s="12" t="s">
        <v>111</v>
      </c>
      <c r="C450" s="12" t="s">
        <v>387</v>
      </c>
      <c r="D450" s="12" t="s">
        <v>63</v>
      </c>
      <c r="E450" s="12" t="s">
        <v>64</v>
      </c>
      <c r="F450" s="12" t="s">
        <v>100</v>
      </c>
      <c r="G450" s="12" t="s">
        <v>67</v>
      </c>
      <c r="H450" s="12" t="s">
        <v>66</v>
      </c>
      <c r="I450" s="12" t="s">
        <v>293</v>
      </c>
      <c r="J450" s="34" t="s">
        <v>68</v>
      </c>
      <c r="K450" s="12"/>
      <c r="L450" s="13" t="s">
        <v>2777</v>
      </c>
      <c r="M450" s="213" t="s">
        <v>68</v>
      </c>
      <c r="N450" s="182"/>
      <c r="O450" s="12" t="s">
        <v>2520</v>
      </c>
      <c r="P450" s="12" t="s">
        <v>132</v>
      </c>
      <c r="Q450" s="12" t="s">
        <v>189</v>
      </c>
      <c r="R450" s="12">
        <v>555536</v>
      </c>
      <c r="S450" s="12" t="s">
        <v>190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75</v>
      </c>
      <c r="Z450" s="12"/>
      <c r="AA450" s="13" t="s">
        <v>108</v>
      </c>
      <c r="AB450" s="32" t="s">
        <v>967</v>
      </c>
      <c r="AC450" s="14">
        <v>46020</v>
      </c>
      <c r="AD450" s="15">
        <v>1</v>
      </c>
      <c r="AE450" s="55" t="s">
        <v>4357</v>
      </c>
      <c r="AF450" s="12"/>
      <c r="AG450" s="12" t="s">
        <v>122</v>
      </c>
      <c r="AH450" s="12" t="s">
        <v>105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66</v>
      </c>
      <c r="AP450" s="12" t="s">
        <v>4358</v>
      </c>
      <c r="AQ450" s="12" t="s">
        <v>161</v>
      </c>
      <c r="AR450" s="12" t="s">
        <v>4359</v>
      </c>
      <c r="AS450" s="12" t="s">
        <v>4360</v>
      </c>
      <c r="AT450" s="12" t="s">
        <v>4360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973</v>
      </c>
      <c r="BB450" s="14" t="s">
        <v>4183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10">
      <c r="A451" s="11" t="s">
        <v>4361</v>
      </c>
      <c r="B451" s="12" t="s">
        <v>111</v>
      </c>
      <c r="C451" s="12" t="s">
        <v>3879</v>
      </c>
      <c r="D451" s="12" t="s">
        <v>63</v>
      </c>
      <c r="E451" s="12" t="s">
        <v>64</v>
      </c>
      <c r="F451" s="12" t="s">
        <v>100</v>
      </c>
      <c r="G451" s="12" t="s">
        <v>67</v>
      </c>
      <c r="H451" s="12" t="s">
        <v>66</v>
      </c>
      <c r="I451" s="12" t="s">
        <v>96</v>
      </c>
      <c r="J451" s="34" t="s">
        <v>68</v>
      </c>
      <c r="K451" s="12"/>
      <c r="L451" s="13" t="s">
        <v>2519</v>
      </c>
      <c r="M451" s="213" t="s">
        <v>68</v>
      </c>
      <c r="N451" s="182"/>
      <c r="O451" s="12" t="s">
        <v>2520</v>
      </c>
      <c r="P451" s="12" t="s">
        <v>170</v>
      </c>
      <c r="Q451" s="12" t="s">
        <v>171</v>
      </c>
      <c r="R451" s="12">
        <v>552045</v>
      </c>
      <c r="S451" s="12" t="s">
        <v>172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75</v>
      </c>
      <c r="Z451" s="12"/>
      <c r="AA451" s="13" t="s">
        <v>108</v>
      </c>
      <c r="AB451" s="32" t="s">
        <v>992</v>
      </c>
      <c r="AC451" s="14">
        <v>46020</v>
      </c>
      <c r="AD451" s="15">
        <v>1</v>
      </c>
      <c r="AE451" s="55" t="s">
        <v>4362</v>
      </c>
      <c r="AF451" s="12"/>
      <c r="AG451" s="12" t="s">
        <v>122</v>
      </c>
      <c r="AH451" s="12" t="s">
        <v>105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66</v>
      </c>
      <c r="AP451" s="12" t="s">
        <v>4358</v>
      </c>
      <c r="AQ451" s="12" t="s">
        <v>161</v>
      </c>
      <c r="AR451" s="12" t="s">
        <v>4359</v>
      </c>
      <c r="AS451" s="12" t="s">
        <v>4360</v>
      </c>
      <c r="AT451" s="12" t="s">
        <v>4360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973</v>
      </c>
      <c r="BB451" s="14" t="s">
        <v>4183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10">
      <c r="A452" s="11" t="s">
        <v>4363</v>
      </c>
      <c r="B452" s="12" t="s">
        <v>111</v>
      </c>
      <c r="C452" s="12" t="s">
        <v>537</v>
      </c>
      <c r="D452" s="12" t="s">
        <v>63</v>
      </c>
      <c r="E452" s="12" t="s">
        <v>64</v>
      </c>
      <c r="F452" s="12" t="s">
        <v>100</v>
      </c>
      <c r="G452" s="12" t="s">
        <v>67</v>
      </c>
      <c r="H452" s="12" t="s">
        <v>66</v>
      </c>
      <c r="I452" s="12" t="s">
        <v>96</v>
      </c>
      <c r="J452" s="34" t="s">
        <v>68</v>
      </c>
      <c r="K452" s="12"/>
      <c r="L452" s="13" t="s">
        <v>2519</v>
      </c>
      <c r="M452" s="213" t="s">
        <v>68</v>
      </c>
      <c r="N452" s="182"/>
      <c r="O452" s="12" t="s">
        <v>2520</v>
      </c>
      <c r="P452" s="12" t="s">
        <v>473</v>
      </c>
      <c r="Q452" s="12" t="s">
        <v>529</v>
      </c>
      <c r="R452" s="12">
        <v>553145</v>
      </c>
      <c r="S452" s="12" t="s">
        <v>530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75</v>
      </c>
      <c r="Z452" s="12"/>
      <c r="AA452" s="13" t="s">
        <v>85</v>
      </c>
      <c r="AB452" s="13" t="s">
        <v>967</v>
      </c>
      <c r="AC452" s="14">
        <v>46020</v>
      </c>
      <c r="AD452" s="15">
        <v>1</v>
      </c>
      <c r="AE452" s="55" t="s">
        <v>4364</v>
      </c>
      <c r="AF452" s="12"/>
      <c r="AG452" s="12" t="s">
        <v>122</v>
      </c>
      <c r="AH452" s="12" t="s">
        <v>105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66</v>
      </c>
      <c r="AP452" s="12" t="s">
        <v>4358</v>
      </c>
      <c r="AQ452" s="12" t="s">
        <v>161</v>
      </c>
      <c r="AR452" s="12" t="s">
        <v>4359</v>
      </c>
      <c r="AS452" s="12" t="s">
        <v>4360</v>
      </c>
      <c r="AT452" s="12" t="s">
        <v>4360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973</v>
      </c>
      <c r="BB452" s="14" t="s">
        <v>4183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10">
      <c r="A453" s="11" t="s">
        <v>4365</v>
      </c>
      <c r="B453" s="12" t="s">
        <v>111</v>
      </c>
      <c r="C453" s="12" t="s">
        <v>545</v>
      </c>
      <c r="D453" s="12" t="s">
        <v>63</v>
      </c>
      <c r="E453" s="12" t="s">
        <v>64</v>
      </c>
      <c r="F453" s="12" t="s">
        <v>100</v>
      </c>
      <c r="G453" s="12" t="s">
        <v>67</v>
      </c>
      <c r="H453" s="12" t="s">
        <v>66</v>
      </c>
      <c r="I453" s="12" t="s">
        <v>96</v>
      </c>
      <c r="J453" s="34" t="s">
        <v>68</v>
      </c>
      <c r="K453" s="12"/>
      <c r="L453" s="13" t="s">
        <v>2519</v>
      </c>
      <c r="M453" s="213" t="s">
        <v>68</v>
      </c>
      <c r="N453" s="182"/>
      <c r="O453" s="12" t="s">
        <v>2520</v>
      </c>
      <c r="P453" s="12" t="s">
        <v>473</v>
      </c>
      <c r="Q453" s="12" t="s">
        <v>529</v>
      </c>
      <c r="R453" s="12">
        <v>553145</v>
      </c>
      <c r="S453" s="12" t="s">
        <v>530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75</v>
      </c>
      <c r="Z453" s="12"/>
      <c r="AA453" s="13" t="s">
        <v>85</v>
      </c>
      <c r="AB453" s="13" t="s">
        <v>967</v>
      </c>
      <c r="AC453" s="14">
        <v>46014</v>
      </c>
      <c r="AD453" s="15">
        <v>52</v>
      </c>
      <c r="AE453" s="55" t="s">
        <v>4366</v>
      </c>
      <c r="AF453" s="12"/>
      <c r="AG453" s="12" t="s">
        <v>122</v>
      </c>
      <c r="AH453" s="12" t="s">
        <v>105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66</v>
      </c>
      <c r="AP453" s="12" t="s">
        <v>4367</v>
      </c>
      <c r="AQ453" s="12" t="s">
        <v>80</v>
      </c>
      <c r="AR453" s="12" t="s">
        <v>4368</v>
      </c>
      <c r="AS453" s="12" t="s">
        <v>4369</v>
      </c>
      <c r="AT453" s="12" t="s">
        <v>4369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2525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10">
      <c r="A454" s="11" t="s">
        <v>4370</v>
      </c>
      <c r="B454" s="12" t="s">
        <v>111</v>
      </c>
      <c r="C454" s="12" t="s">
        <v>545</v>
      </c>
      <c r="D454" s="12" t="s">
        <v>63</v>
      </c>
      <c r="E454" s="12" t="s">
        <v>64</v>
      </c>
      <c r="F454" s="12" t="s">
        <v>100</v>
      </c>
      <c r="G454" s="12" t="s">
        <v>67</v>
      </c>
      <c r="H454" s="12" t="s">
        <v>66</v>
      </c>
      <c r="I454" s="12" t="s">
        <v>96</v>
      </c>
      <c r="J454" s="34" t="s">
        <v>68</v>
      </c>
      <c r="K454" s="12"/>
      <c r="L454" s="13" t="s">
        <v>2519</v>
      </c>
      <c r="M454" s="213" t="s">
        <v>68</v>
      </c>
      <c r="N454" s="182"/>
      <c r="O454" s="12" t="s">
        <v>2520</v>
      </c>
      <c r="P454" s="12" t="s">
        <v>473</v>
      </c>
      <c r="Q454" s="12" t="s">
        <v>529</v>
      </c>
      <c r="R454" s="12">
        <v>553145</v>
      </c>
      <c r="S454" s="12" t="s">
        <v>530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75</v>
      </c>
      <c r="Z454" s="12"/>
      <c r="AA454" s="13" t="s">
        <v>85</v>
      </c>
      <c r="AB454" s="13" t="s">
        <v>967</v>
      </c>
      <c r="AC454" s="14">
        <v>46014</v>
      </c>
      <c r="AD454" s="15">
        <v>52</v>
      </c>
      <c r="AE454" s="55" t="s">
        <v>4371</v>
      </c>
      <c r="AF454" s="12"/>
      <c r="AG454" s="12" t="s">
        <v>122</v>
      </c>
      <c r="AH454" s="12" t="s">
        <v>105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66</v>
      </c>
      <c r="AP454" s="12" t="s">
        <v>4367</v>
      </c>
      <c r="AQ454" s="12" t="s">
        <v>80</v>
      </c>
      <c r="AR454" s="12" t="s">
        <v>4372</v>
      </c>
      <c r="AS454" s="12" t="s">
        <v>4373</v>
      </c>
      <c r="AT454" s="12" t="s">
        <v>4373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2525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10">
      <c r="A455" s="11" t="s">
        <v>4374</v>
      </c>
      <c r="B455" s="12" t="s">
        <v>281</v>
      </c>
      <c r="C455" s="12" t="s">
        <v>601</v>
      </c>
      <c r="D455" s="12" t="s">
        <v>63</v>
      </c>
      <c r="E455" s="12" t="s">
        <v>64</v>
      </c>
      <c r="F455" s="31" t="s">
        <v>310</v>
      </c>
      <c r="G455" s="12" t="s">
        <v>311</v>
      </c>
      <c r="H455" s="12" t="s">
        <v>66</v>
      </c>
      <c r="I455" s="12" t="s">
        <v>1342</v>
      </c>
      <c r="J455" s="34" t="s">
        <v>68</v>
      </c>
      <c r="K455" s="12"/>
      <c r="L455" s="13" t="s">
        <v>2542</v>
      </c>
      <c r="M455" s="213" t="s">
        <v>68</v>
      </c>
      <c r="N455" s="182"/>
      <c r="O455" s="12" t="s">
        <v>2520</v>
      </c>
      <c r="P455" s="12" t="s">
        <v>284</v>
      </c>
      <c r="Q455" s="12" t="s">
        <v>602</v>
      </c>
      <c r="R455" s="12">
        <v>554440</v>
      </c>
      <c r="S455" s="12" t="s">
        <v>603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75</v>
      </c>
      <c r="Z455" s="12"/>
      <c r="AA455" s="13" t="s">
        <v>108</v>
      </c>
      <c r="AB455" s="13" t="s">
        <v>992</v>
      </c>
      <c r="AC455" s="14">
        <v>46013</v>
      </c>
      <c r="AD455" s="15">
        <v>52</v>
      </c>
      <c r="AE455" s="55" t="s">
        <v>4375</v>
      </c>
      <c r="AF455" s="12"/>
      <c r="AG455" s="12" t="s">
        <v>288</v>
      </c>
      <c r="AH455" s="12" t="s">
        <v>314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66</v>
      </c>
      <c r="AP455" s="12" t="s">
        <v>4226</v>
      </c>
      <c r="AQ455" s="12" t="s">
        <v>80</v>
      </c>
      <c r="AR455" s="12" t="s">
        <v>4376</v>
      </c>
      <c r="AS455" s="12" t="s">
        <v>4377</v>
      </c>
      <c r="AT455" s="12" t="s">
        <v>4377</v>
      </c>
      <c r="AU455" s="12">
        <v>40</v>
      </c>
      <c r="AV455" s="12" t="s">
        <v>83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2525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10">
      <c r="A456" s="11" t="s">
        <v>4378</v>
      </c>
      <c r="B456" s="12" t="s">
        <v>281</v>
      </c>
      <c r="C456" s="12" t="s">
        <v>601</v>
      </c>
      <c r="D456" s="12" t="s">
        <v>63</v>
      </c>
      <c r="E456" s="12" t="s">
        <v>64</v>
      </c>
      <c r="F456" s="31" t="s">
        <v>310</v>
      </c>
      <c r="G456" s="12" t="s">
        <v>311</v>
      </c>
      <c r="H456" s="12" t="s">
        <v>66</v>
      </c>
      <c r="I456" s="12" t="s">
        <v>1342</v>
      </c>
      <c r="J456" s="34" t="s">
        <v>68</v>
      </c>
      <c r="K456" s="12"/>
      <c r="L456" s="13" t="s">
        <v>2542</v>
      </c>
      <c r="M456" s="213" t="s">
        <v>68</v>
      </c>
      <c r="N456" s="182"/>
      <c r="O456" s="12" t="s">
        <v>2520</v>
      </c>
      <c r="P456" s="12" t="s">
        <v>284</v>
      </c>
      <c r="Q456" s="12" t="s">
        <v>602</v>
      </c>
      <c r="R456" s="12">
        <v>554440</v>
      </c>
      <c r="S456" s="12" t="s">
        <v>603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75</v>
      </c>
      <c r="Z456" s="12"/>
      <c r="AA456" s="13" t="s">
        <v>108</v>
      </c>
      <c r="AB456" s="13" t="s">
        <v>992</v>
      </c>
      <c r="AC456" s="14">
        <v>46020</v>
      </c>
      <c r="AD456" s="15">
        <v>1</v>
      </c>
      <c r="AE456" s="55" t="s">
        <v>4379</v>
      </c>
      <c r="AF456" s="12"/>
      <c r="AG456" s="12" t="s">
        <v>288</v>
      </c>
      <c r="AH456" s="12" t="s">
        <v>314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66</v>
      </c>
      <c r="AP456" s="12" t="s">
        <v>125</v>
      </c>
      <c r="AQ456" s="12" t="s">
        <v>80</v>
      </c>
      <c r="AR456" s="12" t="s">
        <v>4380</v>
      </c>
      <c r="AS456" s="12" t="s">
        <v>4381</v>
      </c>
      <c r="AT456" s="12" t="s">
        <v>4381</v>
      </c>
      <c r="AU456" s="12">
        <v>38</v>
      </c>
      <c r="AV456" s="12" t="s">
        <v>83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973</v>
      </c>
      <c r="BB456" s="14" t="s">
        <v>4382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10">
      <c r="A457" s="11" t="s">
        <v>4383</v>
      </c>
      <c r="B457" s="12" t="s">
        <v>61</v>
      </c>
      <c r="C457" s="12" t="s">
        <v>193</v>
      </c>
      <c r="D457" s="12" t="s">
        <v>63</v>
      </c>
      <c r="E457" s="12" t="s">
        <v>144</v>
      </c>
      <c r="F457" s="12" t="s">
        <v>145</v>
      </c>
      <c r="G457" s="12" t="s">
        <v>1081</v>
      </c>
      <c r="H457" s="12" t="s">
        <v>146</v>
      </c>
      <c r="I457" s="12" t="s">
        <v>1081</v>
      </c>
      <c r="J457" s="34" t="s">
        <v>68</v>
      </c>
      <c r="K457" s="12">
        <v>46011032</v>
      </c>
      <c r="L457" s="13" t="s">
        <v>2764</v>
      </c>
      <c r="M457" s="236" t="s">
        <v>68</v>
      </c>
      <c r="N457" s="182"/>
      <c r="O457" s="12" t="s">
        <v>2520</v>
      </c>
      <c r="P457" s="12" t="s">
        <v>70</v>
      </c>
      <c r="Q457" s="12" t="s">
        <v>195</v>
      </c>
      <c r="R457" s="12">
        <v>554473</v>
      </c>
      <c r="S457" s="12" t="s">
        <v>196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75</v>
      </c>
      <c r="Z457" s="12"/>
      <c r="AA457" s="13" t="s">
        <v>85</v>
      </c>
      <c r="AB457" s="13" t="s">
        <v>967</v>
      </c>
      <c r="AC457" s="14">
        <v>46015</v>
      </c>
      <c r="AD457" s="15">
        <v>52</v>
      </c>
      <c r="AE457" s="176" t="s">
        <v>4384</v>
      </c>
      <c r="AF457" s="12">
        <v>371009341</v>
      </c>
      <c r="AG457" s="12" t="s">
        <v>77</v>
      </c>
      <c r="AH457" s="12" t="s">
        <v>105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146</v>
      </c>
      <c r="AP457" s="12" t="s">
        <v>199</v>
      </c>
      <c r="AQ457" s="12" t="s">
        <v>80</v>
      </c>
      <c r="AR457" s="12">
        <v>46011032</v>
      </c>
      <c r="AS457" s="12" t="s">
        <v>4385</v>
      </c>
      <c r="AT457" s="12" t="s">
        <v>4385</v>
      </c>
      <c r="AU457" s="12">
        <v>40</v>
      </c>
      <c r="AV457" s="12" t="s">
        <v>2538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2525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10">
      <c r="A458" s="11" t="s">
        <v>4386</v>
      </c>
      <c r="B458" s="12" t="s">
        <v>61</v>
      </c>
      <c r="C458" s="12" t="s">
        <v>3388</v>
      </c>
      <c r="D458" s="12" t="s">
        <v>63</v>
      </c>
      <c r="E458" s="12" t="s">
        <v>144</v>
      </c>
      <c r="F458" s="12" t="s">
        <v>145</v>
      </c>
      <c r="G458" s="12" t="s">
        <v>594</v>
      </c>
      <c r="H458" s="12" t="s">
        <v>402</v>
      </c>
      <c r="I458" s="12" t="s">
        <v>594</v>
      </c>
      <c r="J458" s="34" t="s">
        <v>68</v>
      </c>
      <c r="K458" s="12">
        <v>16102622</v>
      </c>
      <c r="L458" s="13" t="s">
        <v>2527</v>
      </c>
      <c r="M458" s="236" t="s">
        <v>68</v>
      </c>
      <c r="N458" s="182"/>
      <c r="O458" s="12" t="s">
        <v>2520</v>
      </c>
      <c r="P458" s="12" t="s">
        <v>70</v>
      </c>
      <c r="Q458" s="12" t="s">
        <v>195</v>
      </c>
      <c r="R458" s="12">
        <v>554473</v>
      </c>
      <c r="S458" s="12" t="s">
        <v>196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75</v>
      </c>
      <c r="Z458" s="12"/>
      <c r="AA458" s="13" t="s">
        <v>85</v>
      </c>
      <c r="AB458" s="13" t="s">
        <v>967</v>
      </c>
      <c r="AC458" s="14">
        <v>46015</v>
      </c>
      <c r="AD458" s="15">
        <v>52</v>
      </c>
      <c r="AE458" s="291" t="s">
        <v>4387</v>
      </c>
      <c r="AF458" s="12"/>
      <c r="AG458" s="12" t="s">
        <v>77</v>
      </c>
      <c r="AH458" s="12" t="s">
        <v>124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402</v>
      </c>
      <c r="AP458" s="12" t="s">
        <v>199</v>
      </c>
      <c r="AQ458" s="12" t="s">
        <v>80</v>
      </c>
      <c r="AR458" s="12" t="s">
        <v>4388</v>
      </c>
      <c r="AS458" s="12" t="s">
        <v>4389</v>
      </c>
      <c r="AT458" s="12" t="s">
        <v>4389</v>
      </c>
      <c r="AU458" s="12">
        <v>52</v>
      </c>
      <c r="AV458" s="12" t="s">
        <v>2538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2525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10">
      <c r="A459" s="11" t="s">
        <v>4390</v>
      </c>
      <c r="B459" s="12" t="s">
        <v>61</v>
      </c>
      <c r="C459" s="12" t="s">
        <v>3388</v>
      </c>
      <c r="D459" s="12" t="s">
        <v>63</v>
      </c>
      <c r="E459" s="12" t="s">
        <v>144</v>
      </c>
      <c r="F459" s="12" t="s">
        <v>145</v>
      </c>
      <c r="G459" s="12" t="s">
        <v>594</v>
      </c>
      <c r="H459" s="12" t="s">
        <v>402</v>
      </c>
      <c r="I459" s="12" t="s">
        <v>594</v>
      </c>
      <c r="J459" s="34" t="s">
        <v>68</v>
      </c>
      <c r="K459" s="12">
        <v>16102622</v>
      </c>
      <c r="L459" s="13" t="s">
        <v>2527</v>
      </c>
      <c r="M459" s="236" t="s">
        <v>68</v>
      </c>
      <c r="N459" s="182"/>
      <c r="O459" s="12" t="s">
        <v>2520</v>
      </c>
      <c r="P459" s="12"/>
      <c r="Q459" s="12" t="s">
        <v>195</v>
      </c>
      <c r="R459" s="12">
        <v>554473</v>
      </c>
      <c r="S459" s="12" t="s">
        <v>196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75</v>
      </c>
      <c r="Z459" s="12"/>
      <c r="AA459" s="13" t="s">
        <v>85</v>
      </c>
      <c r="AB459" s="13" t="s">
        <v>967</v>
      </c>
      <c r="AC459" s="14">
        <v>46015</v>
      </c>
      <c r="AD459" s="15">
        <v>52</v>
      </c>
      <c r="AE459" s="291" t="s">
        <v>4391</v>
      </c>
      <c r="AF459" s="12"/>
      <c r="AG459" s="12" t="s">
        <v>77</v>
      </c>
      <c r="AH459" s="12" t="s">
        <v>124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402</v>
      </c>
      <c r="AP459" s="12" t="s">
        <v>199</v>
      </c>
      <c r="AQ459" s="12" t="s">
        <v>80</v>
      </c>
      <c r="AR459" s="12">
        <v>16102622</v>
      </c>
      <c r="AS459" s="12" t="s">
        <v>4392</v>
      </c>
      <c r="AT459" s="12" t="s">
        <v>4392</v>
      </c>
      <c r="AU459" s="12">
        <v>59</v>
      </c>
      <c r="AV459" s="12" t="s">
        <v>2538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973</v>
      </c>
      <c r="BB459" s="14" t="s">
        <v>4173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10">
      <c r="A460" s="11" t="s">
        <v>4393</v>
      </c>
      <c r="B460" s="12" t="s">
        <v>61</v>
      </c>
      <c r="C460" s="12" t="s">
        <v>193</v>
      </c>
      <c r="D460" s="12" t="s">
        <v>63</v>
      </c>
      <c r="E460" s="12" t="s">
        <v>144</v>
      </c>
      <c r="F460" s="12" t="s">
        <v>145</v>
      </c>
      <c r="G460" s="12" t="s">
        <v>594</v>
      </c>
      <c r="H460" s="12" t="s">
        <v>402</v>
      </c>
      <c r="I460" s="12" t="s">
        <v>594</v>
      </c>
      <c r="J460" s="34" t="s">
        <v>68</v>
      </c>
      <c r="K460" s="12">
        <v>16102622</v>
      </c>
      <c r="L460" s="13" t="s">
        <v>2527</v>
      </c>
      <c r="M460" s="236" t="s">
        <v>68</v>
      </c>
      <c r="N460" s="182"/>
      <c r="O460" s="12" t="s">
        <v>2520</v>
      </c>
      <c r="P460" s="12" t="s">
        <v>70</v>
      </c>
      <c r="Q460" s="12" t="s">
        <v>195</v>
      </c>
      <c r="R460" s="12">
        <v>554473</v>
      </c>
      <c r="S460" s="12" t="s">
        <v>196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75</v>
      </c>
      <c r="Z460" s="12"/>
      <c r="AA460" s="13" t="s">
        <v>85</v>
      </c>
      <c r="AB460" s="13" t="s">
        <v>967</v>
      </c>
      <c r="AC460" s="14">
        <v>46015</v>
      </c>
      <c r="AD460" s="15">
        <v>52</v>
      </c>
      <c r="AE460" s="291" t="s">
        <v>4394</v>
      </c>
      <c r="AF460" s="12"/>
      <c r="AG460" s="12" t="s">
        <v>77</v>
      </c>
      <c r="AH460" s="12" t="s">
        <v>124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402</v>
      </c>
      <c r="AP460" s="12" t="s">
        <v>199</v>
      </c>
      <c r="AQ460" s="12" t="s">
        <v>80</v>
      </c>
      <c r="AR460" s="12">
        <v>16102622</v>
      </c>
      <c r="AS460" s="12" t="s">
        <v>4392</v>
      </c>
      <c r="AT460" s="12" t="s">
        <v>4392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973</v>
      </c>
      <c r="BB460" s="14" t="s">
        <v>4173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10">
      <c r="A461" s="11" t="s">
        <v>4395</v>
      </c>
      <c r="B461" s="12" t="s">
        <v>111</v>
      </c>
      <c r="C461" s="12" t="s">
        <v>545</v>
      </c>
      <c r="D461" s="12" t="s">
        <v>63</v>
      </c>
      <c r="E461" s="12" t="s">
        <v>64</v>
      </c>
      <c r="F461" s="12" t="s">
        <v>100</v>
      </c>
      <c r="G461" s="12" t="s">
        <v>67</v>
      </c>
      <c r="H461" s="12" t="s">
        <v>66</v>
      </c>
      <c r="I461" s="12" t="s">
        <v>96</v>
      </c>
      <c r="J461" s="34" t="s">
        <v>68</v>
      </c>
      <c r="K461" s="12"/>
      <c r="L461" s="13" t="s">
        <v>2519</v>
      </c>
      <c r="M461" s="213" t="s">
        <v>68</v>
      </c>
      <c r="N461" s="182"/>
      <c r="O461" s="12" t="s">
        <v>2520</v>
      </c>
      <c r="P461" s="12" t="s">
        <v>473</v>
      </c>
      <c r="Q461" s="12" t="s">
        <v>529</v>
      </c>
      <c r="R461" s="12">
        <v>553145</v>
      </c>
      <c r="S461" s="12" t="s">
        <v>530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75</v>
      </c>
      <c r="Z461" s="12"/>
      <c r="AA461" s="13" t="s">
        <v>85</v>
      </c>
      <c r="AB461" s="13" t="s">
        <v>967</v>
      </c>
      <c r="AC461" s="14">
        <v>46021</v>
      </c>
      <c r="AD461" s="15">
        <v>1</v>
      </c>
      <c r="AE461" s="177" t="s">
        <v>4396</v>
      </c>
      <c r="AF461" s="11"/>
      <c r="AG461" s="12" t="s">
        <v>122</v>
      </c>
      <c r="AH461" s="12" t="s">
        <v>105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66</v>
      </c>
      <c r="AP461" s="12" t="s">
        <v>4397</v>
      </c>
      <c r="AQ461" s="12" t="s">
        <v>80</v>
      </c>
      <c r="AR461" s="12" t="s">
        <v>4398</v>
      </c>
      <c r="AS461" s="12" t="s">
        <v>4399</v>
      </c>
      <c r="AT461" s="12" t="s">
        <v>4399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973</v>
      </c>
      <c r="BB461" s="14" t="s">
        <v>4183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10">
      <c r="A462" s="11" t="s">
        <v>4400</v>
      </c>
      <c r="B462" s="12" t="s">
        <v>111</v>
      </c>
      <c r="C462" s="12" t="s">
        <v>537</v>
      </c>
      <c r="D462" s="12" t="s">
        <v>63</v>
      </c>
      <c r="E462" s="12" t="s">
        <v>64</v>
      </c>
      <c r="F462" s="12" t="s">
        <v>100</v>
      </c>
      <c r="G462" s="12" t="s">
        <v>67</v>
      </c>
      <c r="H462" s="12" t="s">
        <v>66</v>
      </c>
      <c r="I462" s="12" t="s">
        <v>96</v>
      </c>
      <c r="J462" s="34" t="s">
        <v>68</v>
      </c>
      <c r="K462" s="12"/>
      <c r="L462" s="13" t="s">
        <v>2519</v>
      </c>
      <c r="M462" s="213" t="s">
        <v>68</v>
      </c>
      <c r="N462" s="182"/>
      <c r="O462" s="12" t="s">
        <v>2520</v>
      </c>
      <c r="P462" s="12" t="s">
        <v>473</v>
      </c>
      <c r="Q462" s="12" t="s">
        <v>529</v>
      </c>
      <c r="R462" s="12">
        <v>553145</v>
      </c>
      <c r="S462" s="12" t="s">
        <v>530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75</v>
      </c>
      <c r="Z462" s="12"/>
      <c r="AA462" s="13" t="s">
        <v>85</v>
      </c>
      <c r="AB462" s="13" t="s">
        <v>967</v>
      </c>
      <c r="AC462" s="14">
        <v>46021</v>
      </c>
      <c r="AD462" s="15">
        <v>1</v>
      </c>
      <c r="AE462" s="177" t="s">
        <v>4401</v>
      </c>
      <c r="AF462" s="11"/>
      <c r="AG462" s="12" t="s">
        <v>122</v>
      </c>
      <c r="AH462" s="12" t="s">
        <v>105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66</v>
      </c>
      <c r="AP462" s="12" t="s">
        <v>4397</v>
      </c>
      <c r="AQ462" s="12" t="s">
        <v>80</v>
      </c>
      <c r="AR462" s="12" t="s">
        <v>4398</v>
      </c>
      <c r="AS462" s="12" t="s">
        <v>4399</v>
      </c>
      <c r="AT462" s="12" t="s">
        <v>4399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973</v>
      </c>
      <c r="BB462" s="14" t="s">
        <v>4183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10">
      <c r="A463" s="11" t="s">
        <v>4402</v>
      </c>
      <c r="B463" s="12" t="s">
        <v>61</v>
      </c>
      <c r="C463" s="12" t="s">
        <v>326</v>
      </c>
      <c r="D463" s="12" t="s">
        <v>113</v>
      </c>
      <c r="E463" s="12" t="s">
        <v>64</v>
      </c>
      <c r="F463" s="12" t="s">
        <v>100</v>
      </c>
      <c r="G463" s="12" t="s">
        <v>67</v>
      </c>
      <c r="H463" s="12" t="s">
        <v>66</v>
      </c>
      <c r="I463" s="12" t="s">
        <v>327</v>
      </c>
      <c r="J463" s="34" t="s">
        <v>68</v>
      </c>
      <c r="K463" s="12" t="s">
        <v>328</v>
      </c>
      <c r="L463" s="13" t="s">
        <v>113</v>
      </c>
      <c r="M463" s="213" t="s">
        <v>68</v>
      </c>
      <c r="N463" s="182"/>
      <c r="O463" s="12" t="s">
        <v>2520</v>
      </c>
      <c r="P463" s="12" t="s">
        <v>70</v>
      </c>
      <c r="Q463" s="36" t="s">
        <v>329</v>
      </c>
      <c r="R463" s="31">
        <v>554246</v>
      </c>
      <c r="S463" s="12" t="s">
        <v>330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75</v>
      </c>
      <c r="Z463" s="12"/>
      <c r="AA463" s="13" t="s">
        <v>3825</v>
      </c>
      <c r="AB463" s="13" t="s">
        <v>992</v>
      </c>
      <c r="AC463" s="30">
        <v>46021</v>
      </c>
      <c r="AD463" s="35">
        <v>1</v>
      </c>
      <c r="AE463" s="55" t="s">
        <v>4403</v>
      </c>
      <c r="AF463" s="31"/>
      <c r="AG463" s="31" t="s">
        <v>77</v>
      </c>
      <c r="AH463" s="31" t="s">
        <v>105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66</v>
      </c>
      <c r="AP463" s="31" t="s">
        <v>4404</v>
      </c>
      <c r="AQ463" s="12" t="s">
        <v>161</v>
      </c>
      <c r="AR463" s="12" t="s">
        <v>4405</v>
      </c>
      <c r="AS463" s="12" t="s">
        <v>4406</v>
      </c>
      <c r="AT463" s="12" t="s">
        <v>4406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973</v>
      </c>
      <c r="BB463" s="30" t="s">
        <v>4195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4407</v>
      </c>
    </row>
    <row r="468" spans="1:33"/>
    <row r="471" spans="1:33">
      <c r="S471" s="12" t="s">
        <v>860</v>
      </c>
      <c r="T471" s="12">
        <v>554479</v>
      </c>
      <c r="U471" s="12" t="s">
        <v>861</v>
      </c>
    </row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U465:AE465 U469:Z470 P465:T470 A1:I463 J2:T463 Q479:W1048576 Y479:Z1048576 T472:Z478 U1:XFD463 P472:S472 P471:Z471" name="PV_Data"/>
    <protectedRange sqref="J1" name="PV_Data_2_1"/>
  </protectedRanges>
  <phoneticPr fontId="64" type="noConversion"/>
  <conditionalFormatting sqref="A1:A1048576">
    <cfRule type="duplicateValues" dxfId="88" priority="7"/>
  </conditionalFormatting>
  <conditionalFormatting sqref="M2:M336 M340:M359 M362:M363 M374:M375 M381 M383:M384 M386:M408 M410:M420 M422:M423 M426:M429 M433:M441 M444:M448 M450:M456 M461:M463">
    <cfRule type="cellIs" dxfId="87" priority="5" operator="equal">
      <formula>"Yes"</formula>
    </cfRule>
    <cfRule type="cellIs" dxfId="86" priority="6" operator="equal">
      <formula>"No"</formula>
    </cfRule>
  </conditionalFormatting>
  <dataValidations count="3">
    <dataValidation allowBlank="1" showInputMessage="1" showErrorMessage="1" sqref="AE322:AE330 AE332:AE335 AE449 A340:D463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E1:AE320 S471:U471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350"/>
  <sheetViews>
    <sheetView tabSelected="1" topLeftCell="AM1" zoomScaleNormal="70" workbookViewId="0">
      <pane ySplit="1" topLeftCell="A1315" activePane="bottomLeft" state="frozen"/>
      <selection pane="bottomLeft" activeCell="AX1134" sqref="AX1134:AX1319"/>
    </sheetView>
  </sheetViews>
  <sheetFormatPr defaultColWidth="9.09765625" defaultRowHeight="13" outlineLevelRow="1" outlineLevelCol="1"/>
  <cols>
    <col min="1" max="1" width="12" style="462" customWidth="1"/>
    <col min="2" max="2" width="9.09765625" style="917" customWidth="1"/>
    <col min="3" max="4" width="14.09765625" style="462" customWidth="1"/>
    <col min="5" max="5" width="9.09765625" style="462" customWidth="1"/>
    <col min="6" max="6" width="14.09765625" style="462" customWidth="1"/>
    <col min="7" max="7" width="14.09765625" style="917" customWidth="1"/>
    <col min="8" max="8" width="19" style="917" customWidth="1"/>
    <col min="9" max="9" width="14.09765625" style="917" customWidth="1"/>
    <col min="10" max="10" width="23" style="440" customWidth="1"/>
    <col min="11" max="14" width="14.09765625" style="440" customWidth="1"/>
    <col min="15" max="15" width="9.09765625" style="430" customWidth="1"/>
    <col min="16" max="16" width="11.59765625" style="440" customWidth="1"/>
    <col min="17" max="17" width="19.8984375" style="440" customWidth="1"/>
    <col min="18" max="18" width="8.8984375" style="430" customWidth="1"/>
    <col min="19" max="19" width="13.59765625" style="430" customWidth="1"/>
    <col min="20" max="20" width="4.8984375" style="440" customWidth="1"/>
    <col min="21" max="21" width="9.09765625" style="1056" customWidth="1"/>
    <col min="22" max="23" width="9.09765625" style="964" customWidth="1"/>
    <col min="24" max="24" width="9.09765625" style="1056" customWidth="1"/>
    <col min="25" max="25" width="9.09765625" style="486" customWidth="1"/>
    <col min="26" max="26" width="12" style="486" customWidth="1"/>
    <col min="27" max="27" width="12.8984375" style="440" customWidth="1"/>
    <col min="28" max="28" width="13.09765625" style="487" customWidth="1"/>
    <col min="29" max="29" width="9.09765625" style="430" customWidth="1"/>
    <col min="30" max="30" width="12.09765625" style="430" customWidth="1"/>
    <col min="31" max="31" width="9.09765625" style="433" customWidth="1" outlineLevel="1"/>
    <col min="32" max="32" width="15.8984375" style="430" customWidth="1"/>
    <col min="33" max="33" width="9.09765625" style="430" customWidth="1"/>
    <col min="34" max="34" width="9.09765625" style="435" customWidth="1"/>
    <col min="35" max="35" width="9.09765625" style="713" customWidth="1"/>
    <col min="36" max="36" width="9.09765625" style="437" customWidth="1"/>
    <col min="37" max="37" width="9.09765625" style="589" customWidth="1"/>
    <col min="38" max="39" width="9.09765625" style="437" customWidth="1"/>
    <col min="40" max="40" width="9.09765625" style="441" customWidth="1"/>
    <col min="41" max="41" width="9.09765625" style="430" customWidth="1"/>
    <col min="42" max="42" width="21.3984375" style="430" customWidth="1"/>
    <col min="43" max="43" width="9.09765625" style="438" customWidth="1"/>
    <col min="44" max="44" width="16.09765625" style="440" customWidth="1"/>
    <col min="45" max="45" width="20.8984375" style="440" customWidth="1"/>
    <col min="46" max="46" width="21.3984375" style="430" customWidth="1"/>
    <col min="47" max="48" width="9.09765625" style="430" customWidth="1"/>
    <col min="49" max="51" width="9.09765625" style="437" customWidth="1"/>
    <col min="52" max="52" width="9.09765625" style="430" customWidth="1"/>
    <col min="53" max="53" width="9.09765625" style="437" customWidth="1"/>
    <col min="54" max="58" width="9.09765625" style="430" customWidth="1"/>
    <col min="59" max="60" width="9.09765625" customWidth="1"/>
    <col min="61" max="61" width="9.09765625" style="430" customWidth="1"/>
    <col min="62" max="62" width="9.09765625" style="440" customWidth="1"/>
    <col min="63" max="63" width="9.09765625" style="430" customWidth="1"/>
    <col min="64" max="16384" width="9.09765625" style="430"/>
  </cols>
  <sheetData>
    <row r="1" spans="1:91" s="429" customFormat="1" ht="42" customHeight="1" outlineLevel="1">
      <c r="A1" s="918" t="s">
        <v>0</v>
      </c>
      <c r="B1" s="918" t="s">
        <v>1</v>
      </c>
      <c r="C1" s="1080" t="s">
        <v>2</v>
      </c>
      <c r="D1" s="1081" t="s">
        <v>3</v>
      </c>
      <c r="E1" s="1082" t="s">
        <v>4</v>
      </c>
      <c r="F1" s="1082" t="s">
        <v>5</v>
      </c>
      <c r="G1" s="1082" t="s">
        <v>6</v>
      </c>
      <c r="H1" s="1082" t="s">
        <v>7</v>
      </c>
      <c r="I1" s="1082" t="s">
        <v>8</v>
      </c>
      <c r="J1" s="421" t="s">
        <v>9</v>
      </c>
      <c r="K1" s="421" t="s">
        <v>10</v>
      </c>
      <c r="L1" s="421" t="s">
        <v>11</v>
      </c>
      <c r="M1" s="421" t="s">
        <v>12</v>
      </c>
      <c r="N1" s="418" t="s">
        <v>13</v>
      </c>
      <c r="O1" s="418" t="s">
        <v>14</v>
      </c>
      <c r="P1" s="418" t="s">
        <v>15</v>
      </c>
      <c r="Q1" s="418" t="s">
        <v>16</v>
      </c>
      <c r="R1" s="427" t="s">
        <v>17</v>
      </c>
      <c r="S1" s="427" t="s">
        <v>18</v>
      </c>
      <c r="T1" s="418" t="s">
        <v>19</v>
      </c>
      <c r="U1" s="1087" t="s">
        <v>20</v>
      </c>
      <c r="V1" s="962" t="s">
        <v>21</v>
      </c>
      <c r="W1" s="963" t="s">
        <v>22</v>
      </c>
      <c r="X1" s="1055" t="s">
        <v>23</v>
      </c>
      <c r="Y1" s="418" t="s">
        <v>24</v>
      </c>
      <c r="Z1" s="418" t="s">
        <v>25</v>
      </c>
      <c r="AA1" s="423" t="s">
        <v>26</v>
      </c>
      <c r="AB1" s="424" t="s">
        <v>4408</v>
      </c>
      <c r="AC1" s="420" t="s">
        <v>28</v>
      </c>
      <c r="AD1" s="890" t="s">
        <v>29</v>
      </c>
      <c r="AE1" s="418" t="s">
        <v>30</v>
      </c>
      <c r="AF1" s="421" t="s">
        <v>31</v>
      </c>
      <c r="AG1" s="421" t="s">
        <v>32</v>
      </c>
      <c r="AH1" s="421" t="s">
        <v>33</v>
      </c>
      <c r="AI1" s="1010" t="s">
        <v>34</v>
      </c>
      <c r="AJ1" s="583" t="s">
        <v>35</v>
      </c>
      <c r="AK1" s="584" t="s">
        <v>36</v>
      </c>
      <c r="AL1" s="583" t="s">
        <v>37</v>
      </c>
      <c r="AM1" s="583" t="s">
        <v>38</v>
      </c>
      <c r="AN1" s="583" t="s">
        <v>39</v>
      </c>
      <c r="AO1" s="420" t="s">
        <v>40</v>
      </c>
      <c r="AP1" s="420" t="s">
        <v>41</v>
      </c>
      <c r="AQ1" s="420" t="s">
        <v>42</v>
      </c>
      <c r="AR1" s="420" t="s">
        <v>43</v>
      </c>
      <c r="AS1" s="420" t="s">
        <v>44</v>
      </c>
      <c r="AT1" s="420" t="s">
        <v>45</v>
      </c>
      <c r="AU1" s="542" t="s">
        <v>46</v>
      </c>
      <c r="AV1" s="420" t="s">
        <v>47</v>
      </c>
      <c r="AW1" s="425" t="s">
        <v>48</v>
      </c>
      <c r="AX1" s="425" t="s">
        <v>49</v>
      </c>
      <c r="AY1" s="425" t="s">
        <v>50</v>
      </c>
      <c r="AZ1" s="425" t="s">
        <v>51</v>
      </c>
      <c r="BA1" s="425" t="s">
        <v>52</v>
      </c>
      <c r="BB1" s="426" t="s">
        <v>53</v>
      </c>
      <c r="BC1" s="426" t="s">
        <v>54</v>
      </c>
      <c r="BD1" s="425" t="s">
        <v>55</v>
      </c>
      <c r="BE1" s="427" t="s">
        <v>56</v>
      </c>
      <c r="BF1" s="427" t="s">
        <v>57</v>
      </c>
      <c r="BG1" s="427" t="s">
        <v>58</v>
      </c>
      <c r="BH1" s="428" t="s">
        <v>59</v>
      </c>
    </row>
    <row r="2" spans="1:91" ht="10.5">
      <c r="A2" s="462" t="s">
        <v>60</v>
      </c>
      <c r="B2" s="462" t="s">
        <v>61</v>
      </c>
      <c r="C2" s="462" t="s">
        <v>62</v>
      </c>
      <c r="D2" s="462" t="s">
        <v>63</v>
      </c>
      <c r="E2" s="462" t="s">
        <v>64</v>
      </c>
      <c r="F2" s="462" t="s">
        <v>65</v>
      </c>
      <c r="G2" s="462" t="s">
        <v>66</v>
      </c>
      <c r="H2" s="462" t="s">
        <v>67</v>
      </c>
      <c r="I2" s="439" t="s">
        <v>68</v>
      </c>
      <c r="J2" s="430" t="s">
        <v>69</v>
      </c>
      <c r="K2" s="430"/>
      <c r="L2" s="430"/>
      <c r="M2" s="430" t="s">
        <v>68</v>
      </c>
      <c r="N2" s="432" t="s">
        <v>68</v>
      </c>
      <c r="O2" s="430" t="s">
        <v>70</v>
      </c>
      <c r="P2" s="430" t="s">
        <v>71</v>
      </c>
      <c r="Q2" s="430" t="s">
        <v>72</v>
      </c>
      <c r="R2" s="431" t="s">
        <v>73</v>
      </c>
      <c r="S2" s="442" t="s">
        <v>74</v>
      </c>
      <c r="T2" s="433">
        <v>500</v>
      </c>
      <c r="U2" s="1088">
        <v>2592</v>
      </c>
      <c r="V2" s="434">
        <v>1.296</v>
      </c>
      <c r="W2" s="435">
        <v>72</v>
      </c>
      <c r="X2" s="1040">
        <v>3</v>
      </c>
      <c r="Y2" s="430" t="s">
        <v>75</v>
      </c>
      <c r="Z2" s="430" t="s">
        <v>75</v>
      </c>
      <c r="AA2" s="430"/>
      <c r="AB2" s="437">
        <v>46003</v>
      </c>
      <c r="AC2" s="438">
        <v>50</v>
      </c>
      <c r="AD2" s="439" t="s">
        <v>76</v>
      </c>
      <c r="AE2" s="430">
        <v>371009290</v>
      </c>
      <c r="AF2" s="430" t="s">
        <v>77</v>
      </c>
      <c r="AG2" s="430" t="s">
        <v>61</v>
      </c>
      <c r="AH2" s="430" t="s">
        <v>78</v>
      </c>
      <c r="AI2" s="437">
        <v>46009</v>
      </c>
      <c r="AJ2" s="437">
        <v>46009</v>
      </c>
      <c r="AK2" s="441">
        <v>46012</v>
      </c>
      <c r="AL2" s="437">
        <v>46076</v>
      </c>
      <c r="AM2" s="437">
        <v>46098</v>
      </c>
      <c r="AN2" s="437">
        <v>46099</v>
      </c>
      <c r="AO2" s="430" t="s">
        <v>66</v>
      </c>
      <c r="AP2" s="430" t="s">
        <v>79</v>
      </c>
      <c r="AQ2" s="430" t="s">
        <v>80</v>
      </c>
      <c r="AR2" s="430" t="s">
        <v>81</v>
      </c>
      <c r="AS2" s="430" t="s">
        <v>82</v>
      </c>
      <c r="AT2" s="430" t="s">
        <v>82</v>
      </c>
      <c r="AU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0" t="s">
        <v>83</v>
      </c>
      <c r="AW2" s="437">
        <v>46099</v>
      </c>
      <c r="AX2" s="433" t="s">
        <v>84</v>
      </c>
      <c r="AY2" s="437">
        <v>46112</v>
      </c>
      <c r="AZ2" s="442">
        <v>8</v>
      </c>
      <c r="BA2" s="437">
        <v>46107</v>
      </c>
      <c r="BB2" s="433">
        <v>2026</v>
      </c>
      <c r="BC2" s="430">
        <v>3</v>
      </c>
      <c r="BD2" s="430">
        <v>13</v>
      </c>
      <c r="BE2" s="431">
        <v>36</v>
      </c>
      <c r="BF2" s="431">
        <v>864</v>
      </c>
      <c r="BG2" s="431" t="s">
        <v>85</v>
      </c>
      <c r="BH2" s="431" t="s">
        <v>86</v>
      </c>
      <c r="BI2" s="430" t="s">
        <v>197</v>
      </c>
      <c r="BJ2" s="430" t="s">
        <v>197</v>
      </c>
      <c r="BK2" s="430" t="s">
        <v>197</v>
      </c>
      <c r="BL2" s="430" t="s">
        <v>197</v>
      </c>
      <c r="BM2" s="430" t="s">
        <v>197</v>
      </c>
      <c r="BN2" s="430" t="s">
        <v>197</v>
      </c>
      <c r="BO2" s="430" t="s">
        <v>197</v>
      </c>
      <c r="BP2" s="430" t="s">
        <v>197</v>
      </c>
      <c r="BQ2" s="430" t="s">
        <v>197</v>
      </c>
      <c r="BR2" s="430" t="s">
        <v>197</v>
      </c>
      <c r="BS2" s="430" t="s">
        <v>197</v>
      </c>
      <c r="BT2" s="430" t="s">
        <v>197</v>
      </c>
      <c r="BU2" s="430" t="s">
        <v>197</v>
      </c>
      <c r="BV2" s="430" t="s">
        <v>197</v>
      </c>
      <c r="BW2" s="430" t="s">
        <v>197</v>
      </c>
      <c r="BX2" s="430" t="s">
        <v>197</v>
      </c>
      <c r="BY2" s="430" t="s">
        <v>197</v>
      </c>
      <c r="BZ2" s="430" t="s">
        <v>197</v>
      </c>
      <c r="CA2" s="430" t="s">
        <v>197</v>
      </c>
      <c r="CB2" s="430" t="s">
        <v>197</v>
      </c>
      <c r="CC2" s="430" t="s">
        <v>197</v>
      </c>
      <c r="CD2" s="430" t="s">
        <v>197</v>
      </c>
      <c r="CE2" s="430" t="s">
        <v>197</v>
      </c>
      <c r="CF2" s="430" t="s">
        <v>197</v>
      </c>
      <c r="CG2" s="430" t="s">
        <v>197</v>
      </c>
      <c r="CH2" s="430" t="s">
        <v>197</v>
      </c>
      <c r="CI2" s="430" t="s">
        <v>197</v>
      </c>
      <c r="CJ2" s="430" t="s">
        <v>197</v>
      </c>
      <c r="CK2" s="430" t="s">
        <v>197</v>
      </c>
      <c r="CL2" s="430" t="s">
        <v>197</v>
      </c>
      <c r="CM2" s="430" t="s">
        <v>197</v>
      </c>
    </row>
    <row r="3" spans="1:91" ht="10.5">
      <c r="A3" s="462" t="s">
        <v>87</v>
      </c>
      <c r="B3" s="462" t="s">
        <v>61</v>
      </c>
      <c r="C3" s="462" t="s">
        <v>88</v>
      </c>
      <c r="D3" s="462" t="s">
        <v>63</v>
      </c>
      <c r="E3" s="462" t="s">
        <v>64</v>
      </c>
      <c r="F3" s="462" t="s">
        <v>65</v>
      </c>
      <c r="G3" s="462" t="s">
        <v>66</v>
      </c>
      <c r="H3" s="462" t="s">
        <v>67</v>
      </c>
      <c r="I3" s="439" t="s">
        <v>68</v>
      </c>
      <c r="J3" s="430" t="s">
        <v>89</v>
      </c>
      <c r="K3" s="430" t="s">
        <v>90</v>
      </c>
      <c r="L3" s="430"/>
      <c r="M3" s="430" t="s">
        <v>68</v>
      </c>
      <c r="N3" s="432" t="s">
        <v>68</v>
      </c>
      <c r="O3" s="430" t="s">
        <v>70</v>
      </c>
      <c r="P3" s="430" t="s">
        <v>91</v>
      </c>
      <c r="Q3" s="430" t="s">
        <v>92</v>
      </c>
      <c r="R3" s="431" t="s">
        <v>73</v>
      </c>
      <c r="S3" s="442" t="s">
        <v>74</v>
      </c>
      <c r="T3" s="433">
        <v>450</v>
      </c>
      <c r="U3" s="1088">
        <v>936</v>
      </c>
      <c r="V3" s="434">
        <v>0.42099999999999999</v>
      </c>
      <c r="W3" s="435">
        <v>26</v>
      </c>
      <c r="X3" s="1040">
        <v>1</v>
      </c>
      <c r="Y3" s="430" t="s">
        <v>75</v>
      </c>
      <c r="Z3" s="430" t="s">
        <v>75</v>
      </c>
      <c r="AA3" s="430"/>
      <c r="AB3" s="437">
        <v>46003</v>
      </c>
      <c r="AC3" s="438">
        <v>50</v>
      </c>
      <c r="AD3" s="439" t="s">
        <v>93</v>
      </c>
      <c r="AE3" s="430">
        <v>371009297</v>
      </c>
      <c r="AF3" s="430" t="s">
        <v>77</v>
      </c>
      <c r="AG3" s="430" t="s">
        <v>61</v>
      </c>
      <c r="AH3" s="430" t="s">
        <v>78</v>
      </c>
      <c r="AI3" s="437">
        <v>46009</v>
      </c>
      <c r="AJ3" s="437">
        <v>46009</v>
      </c>
      <c r="AK3" s="441">
        <v>46012</v>
      </c>
      <c r="AL3" s="437">
        <v>46076</v>
      </c>
      <c r="AM3" s="437">
        <v>46098</v>
      </c>
      <c r="AN3" s="437">
        <v>46099</v>
      </c>
      <c r="AO3" s="430" t="s">
        <v>66</v>
      </c>
      <c r="AP3" s="430" t="s">
        <v>79</v>
      </c>
      <c r="AQ3" s="430" t="s">
        <v>80</v>
      </c>
      <c r="AR3" s="430" t="s">
        <v>81</v>
      </c>
      <c r="AS3" s="430" t="s">
        <v>82</v>
      </c>
      <c r="AT3" s="430" t="s">
        <v>82</v>
      </c>
      <c r="AU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0" t="s">
        <v>83</v>
      </c>
      <c r="AW3" s="437">
        <v>46099</v>
      </c>
      <c r="AX3" s="433" t="s">
        <v>84</v>
      </c>
      <c r="AY3" s="437">
        <v>46112</v>
      </c>
      <c r="AZ3" s="442">
        <v>8</v>
      </c>
      <c r="BA3" s="437">
        <v>46107</v>
      </c>
      <c r="BB3" s="433">
        <v>2026</v>
      </c>
      <c r="BC3" s="430">
        <v>3</v>
      </c>
      <c r="BD3" s="430">
        <v>13</v>
      </c>
      <c r="BE3" s="431">
        <v>36</v>
      </c>
      <c r="BF3" s="431">
        <v>936</v>
      </c>
      <c r="BG3" s="431" t="s">
        <v>94</v>
      </c>
      <c r="BH3" s="431" t="s">
        <v>86</v>
      </c>
      <c r="BI3" s="430" t="s">
        <v>197</v>
      </c>
      <c r="BJ3" s="430" t="s">
        <v>197</v>
      </c>
      <c r="BK3" s="430" t="s">
        <v>197</v>
      </c>
      <c r="BL3" s="430" t="s">
        <v>197</v>
      </c>
      <c r="BM3" s="430" t="s">
        <v>197</v>
      </c>
      <c r="BN3" s="430" t="s">
        <v>197</v>
      </c>
      <c r="BO3" s="430" t="s">
        <v>197</v>
      </c>
      <c r="BP3" s="430" t="s">
        <v>197</v>
      </c>
      <c r="BQ3" s="430" t="s">
        <v>197</v>
      </c>
      <c r="BR3" s="430" t="s">
        <v>197</v>
      </c>
      <c r="BS3" s="430" t="s">
        <v>197</v>
      </c>
      <c r="BT3" s="430" t="s">
        <v>197</v>
      </c>
      <c r="BU3" s="430" t="s">
        <v>197</v>
      </c>
      <c r="BV3" s="430" t="s">
        <v>197</v>
      </c>
      <c r="BW3" s="430" t="s">
        <v>197</v>
      </c>
      <c r="BX3" s="430" t="s">
        <v>197</v>
      </c>
      <c r="BY3" s="430" t="s">
        <v>197</v>
      </c>
      <c r="BZ3" s="430" t="s">
        <v>197</v>
      </c>
      <c r="CA3" s="430" t="s">
        <v>197</v>
      </c>
      <c r="CB3" s="430" t="s">
        <v>197</v>
      </c>
      <c r="CC3" s="430" t="s">
        <v>197</v>
      </c>
      <c r="CD3" s="430" t="s">
        <v>197</v>
      </c>
      <c r="CE3" s="430" t="s">
        <v>197</v>
      </c>
      <c r="CF3" s="430" t="s">
        <v>197</v>
      </c>
      <c r="CG3" s="430" t="s">
        <v>197</v>
      </c>
      <c r="CH3" s="430" t="s">
        <v>197</v>
      </c>
      <c r="CI3" s="430" t="s">
        <v>197</v>
      </c>
      <c r="CJ3" s="430" t="s">
        <v>197</v>
      </c>
      <c r="CK3" s="430" t="s">
        <v>197</v>
      </c>
      <c r="CL3" s="430" t="s">
        <v>197</v>
      </c>
      <c r="CM3" s="430" t="s">
        <v>197</v>
      </c>
    </row>
    <row r="4" spans="1:91" ht="10.5">
      <c r="A4" s="462" t="s">
        <v>95</v>
      </c>
      <c r="B4" s="462" t="s">
        <v>61</v>
      </c>
      <c r="C4" s="462" t="s">
        <v>88</v>
      </c>
      <c r="D4" s="462" t="s">
        <v>63</v>
      </c>
      <c r="E4" s="462" t="s">
        <v>64</v>
      </c>
      <c r="F4" s="462" t="s">
        <v>65</v>
      </c>
      <c r="G4" s="462" t="s">
        <v>66</v>
      </c>
      <c r="H4" s="462" t="s">
        <v>67</v>
      </c>
      <c r="I4" s="439" t="s">
        <v>68</v>
      </c>
      <c r="J4" s="430" t="s">
        <v>96</v>
      </c>
      <c r="K4" s="430"/>
      <c r="L4" s="430"/>
      <c r="M4" s="430" t="s">
        <v>68</v>
      </c>
      <c r="N4" s="432" t="s">
        <v>68</v>
      </c>
      <c r="O4" s="430" t="s">
        <v>70</v>
      </c>
      <c r="P4" s="430" t="s">
        <v>91</v>
      </c>
      <c r="Q4" s="430" t="s">
        <v>92</v>
      </c>
      <c r="R4" s="431" t="s">
        <v>73</v>
      </c>
      <c r="S4" s="442" t="s">
        <v>74</v>
      </c>
      <c r="T4" s="433">
        <v>450</v>
      </c>
      <c r="U4" s="1088">
        <v>2808</v>
      </c>
      <c r="V4" s="434">
        <v>1.264</v>
      </c>
      <c r="W4" s="435">
        <v>78</v>
      </c>
      <c r="X4" s="1040">
        <v>3</v>
      </c>
      <c r="Y4" s="430" t="s">
        <v>75</v>
      </c>
      <c r="Z4" s="430" t="s">
        <v>75</v>
      </c>
      <c r="AA4" s="430"/>
      <c r="AB4" s="437">
        <v>46003</v>
      </c>
      <c r="AC4" s="438">
        <v>50</v>
      </c>
      <c r="AD4" s="439" t="s">
        <v>97</v>
      </c>
      <c r="AE4" s="430">
        <v>371009298</v>
      </c>
      <c r="AF4" s="430" t="s">
        <v>77</v>
      </c>
      <c r="AG4" s="430" t="s">
        <v>61</v>
      </c>
      <c r="AH4" s="430" t="s">
        <v>78</v>
      </c>
      <c r="AI4" s="437">
        <v>46009</v>
      </c>
      <c r="AJ4" s="437">
        <v>46009</v>
      </c>
      <c r="AK4" s="441">
        <v>46012</v>
      </c>
      <c r="AL4" s="437">
        <v>46076</v>
      </c>
      <c r="AM4" s="437">
        <v>46098</v>
      </c>
      <c r="AN4" s="437">
        <v>46099</v>
      </c>
      <c r="AO4" s="430" t="s">
        <v>66</v>
      </c>
      <c r="AP4" s="430" t="s">
        <v>79</v>
      </c>
      <c r="AQ4" s="430" t="s">
        <v>80</v>
      </c>
      <c r="AR4" s="430" t="s">
        <v>81</v>
      </c>
      <c r="AS4" s="430" t="s">
        <v>82</v>
      </c>
      <c r="AT4" s="430" t="s">
        <v>82</v>
      </c>
      <c r="AU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0" t="s">
        <v>83</v>
      </c>
      <c r="AW4" s="437">
        <v>46099</v>
      </c>
      <c r="AX4" s="433" t="s">
        <v>84</v>
      </c>
      <c r="AY4" s="437">
        <v>46112</v>
      </c>
      <c r="AZ4" s="442">
        <v>8</v>
      </c>
      <c r="BA4" s="437">
        <v>46107</v>
      </c>
      <c r="BB4" s="433">
        <v>2026</v>
      </c>
      <c r="BC4" s="430">
        <v>3</v>
      </c>
      <c r="BD4" s="430">
        <v>13</v>
      </c>
      <c r="BE4" s="431">
        <v>36</v>
      </c>
      <c r="BF4" s="431">
        <v>936</v>
      </c>
      <c r="BG4" s="431" t="s">
        <v>94</v>
      </c>
      <c r="BH4" s="431" t="s">
        <v>86</v>
      </c>
      <c r="BI4" s="430" t="s">
        <v>197</v>
      </c>
      <c r="BJ4" s="430" t="s">
        <v>197</v>
      </c>
      <c r="BK4" s="430" t="s">
        <v>197</v>
      </c>
      <c r="BL4" s="430" t="s">
        <v>197</v>
      </c>
      <c r="BM4" s="430" t="s">
        <v>197</v>
      </c>
      <c r="BN4" s="430" t="s">
        <v>197</v>
      </c>
      <c r="BO4" s="430" t="s">
        <v>197</v>
      </c>
      <c r="BP4" s="430" t="s">
        <v>197</v>
      </c>
      <c r="BQ4" s="430" t="s">
        <v>197</v>
      </c>
      <c r="BR4" s="430" t="s">
        <v>197</v>
      </c>
      <c r="BS4" s="430" t="s">
        <v>197</v>
      </c>
      <c r="BT4" s="430" t="s">
        <v>197</v>
      </c>
      <c r="BU4" s="430" t="s">
        <v>197</v>
      </c>
      <c r="BV4" s="430" t="s">
        <v>197</v>
      </c>
      <c r="BW4" s="430" t="s">
        <v>197</v>
      </c>
      <c r="BX4" s="430" t="s">
        <v>197</v>
      </c>
      <c r="BY4" s="430" t="s">
        <v>197</v>
      </c>
      <c r="BZ4" s="430" t="s">
        <v>197</v>
      </c>
      <c r="CA4" s="430" t="s">
        <v>197</v>
      </c>
      <c r="CB4" s="430" t="s">
        <v>197</v>
      </c>
      <c r="CC4" s="430" t="s">
        <v>197</v>
      </c>
      <c r="CD4" s="430" t="s">
        <v>197</v>
      </c>
      <c r="CE4" s="430" t="s">
        <v>197</v>
      </c>
      <c r="CF4" s="430" t="s">
        <v>197</v>
      </c>
      <c r="CG4" s="430" t="s">
        <v>197</v>
      </c>
      <c r="CH4" s="430" t="s">
        <v>197</v>
      </c>
      <c r="CI4" s="430" t="s">
        <v>197</v>
      </c>
      <c r="CJ4" s="430" t="s">
        <v>197</v>
      </c>
      <c r="CK4" s="430" t="s">
        <v>197</v>
      </c>
      <c r="CL4" s="430" t="s">
        <v>197</v>
      </c>
      <c r="CM4" s="430" t="s">
        <v>197</v>
      </c>
    </row>
    <row r="5" spans="1:91" ht="10.5">
      <c r="A5" s="462" t="s">
        <v>98</v>
      </c>
      <c r="B5" s="462" t="s">
        <v>61</v>
      </c>
      <c r="C5" s="462" t="s">
        <v>99</v>
      </c>
      <c r="D5" s="462" t="s">
        <v>63</v>
      </c>
      <c r="E5" s="462" t="s">
        <v>64</v>
      </c>
      <c r="F5" s="462" t="s">
        <v>100</v>
      </c>
      <c r="G5" s="462" t="s">
        <v>66</v>
      </c>
      <c r="H5" s="462" t="s">
        <v>67</v>
      </c>
      <c r="I5" s="439" t="s">
        <v>68</v>
      </c>
      <c r="J5" s="430" t="s">
        <v>101</v>
      </c>
      <c r="K5" s="430"/>
      <c r="L5" s="430"/>
      <c r="M5" s="430" t="s">
        <v>68</v>
      </c>
      <c r="N5" s="432" t="s">
        <v>68</v>
      </c>
      <c r="O5" s="430" t="s">
        <v>70</v>
      </c>
      <c r="P5" s="430" t="s">
        <v>102</v>
      </c>
      <c r="Q5" s="430" t="s">
        <v>103</v>
      </c>
      <c r="R5" s="431" t="s">
        <v>73</v>
      </c>
      <c r="S5" s="442" t="s">
        <v>74</v>
      </c>
      <c r="T5" s="433">
        <v>620</v>
      </c>
      <c r="U5" s="1088">
        <v>4320</v>
      </c>
      <c r="V5" s="434">
        <v>2.6779999999999999</v>
      </c>
      <c r="W5" s="435">
        <v>120</v>
      </c>
      <c r="X5" s="1040">
        <v>6</v>
      </c>
      <c r="Y5" s="430" t="s">
        <v>75</v>
      </c>
      <c r="Z5" s="430" t="s">
        <v>75</v>
      </c>
      <c r="AA5" s="430"/>
      <c r="AB5" s="437">
        <v>46000</v>
      </c>
      <c r="AC5" s="438">
        <v>50</v>
      </c>
      <c r="AD5" s="439" t="s">
        <v>104</v>
      </c>
      <c r="AE5" s="430">
        <v>371009291</v>
      </c>
      <c r="AF5" s="430" t="s">
        <v>77</v>
      </c>
      <c r="AG5" s="430" t="s">
        <v>61</v>
      </c>
      <c r="AH5" s="430" t="s">
        <v>105</v>
      </c>
      <c r="AI5" s="437">
        <v>46009</v>
      </c>
      <c r="AJ5" s="437">
        <v>46009</v>
      </c>
      <c r="AK5" s="441">
        <v>46012</v>
      </c>
      <c r="AL5" s="437">
        <v>46061</v>
      </c>
      <c r="AM5" s="437">
        <v>46111</v>
      </c>
      <c r="AN5" s="437">
        <v>46111</v>
      </c>
      <c r="AO5" s="430" t="s">
        <v>66</v>
      </c>
      <c r="AP5" s="430" t="s">
        <v>79</v>
      </c>
      <c r="AQ5" s="430" t="s">
        <v>80</v>
      </c>
      <c r="AR5" s="430" t="s">
        <v>106</v>
      </c>
      <c r="AS5" s="430" t="s">
        <v>107</v>
      </c>
      <c r="AT5" s="430" t="s">
        <v>107</v>
      </c>
      <c r="AU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0" t="s">
        <v>83</v>
      </c>
      <c r="AW5" s="437">
        <v>46111</v>
      </c>
      <c r="AX5" s="433" t="s">
        <v>84</v>
      </c>
      <c r="AY5" s="437">
        <v>46125</v>
      </c>
      <c r="AZ5" s="442">
        <v>7</v>
      </c>
      <c r="BA5" s="437">
        <v>46118</v>
      </c>
      <c r="BB5" s="433">
        <v>2026</v>
      </c>
      <c r="BC5" s="430">
        <v>4</v>
      </c>
      <c r="BD5" s="430">
        <v>15</v>
      </c>
      <c r="BE5" s="431">
        <v>36</v>
      </c>
      <c r="BF5" s="431">
        <v>720</v>
      </c>
      <c r="BG5" s="431" t="s">
        <v>108</v>
      </c>
      <c r="BH5" s="431" t="s">
        <v>109</v>
      </c>
      <c r="BI5" s="430" t="s">
        <v>197</v>
      </c>
      <c r="BJ5" s="430" t="s">
        <v>197</v>
      </c>
      <c r="BK5" s="430" t="s">
        <v>197</v>
      </c>
      <c r="BL5" s="430" t="s">
        <v>197</v>
      </c>
      <c r="BM5" s="430" t="s">
        <v>197</v>
      </c>
      <c r="BN5" s="430" t="s">
        <v>197</v>
      </c>
      <c r="BO5" s="430" t="s">
        <v>197</v>
      </c>
      <c r="BP5" s="430" t="s">
        <v>197</v>
      </c>
      <c r="BQ5" s="430" t="s">
        <v>197</v>
      </c>
      <c r="BR5" s="430" t="s">
        <v>197</v>
      </c>
      <c r="BS5" s="430" t="s">
        <v>197</v>
      </c>
      <c r="BT5" s="430" t="s">
        <v>197</v>
      </c>
      <c r="BU5" s="430" t="s">
        <v>197</v>
      </c>
      <c r="BV5" s="430" t="s">
        <v>197</v>
      </c>
      <c r="BW5" s="430" t="s">
        <v>197</v>
      </c>
      <c r="BX5" s="430" t="s">
        <v>197</v>
      </c>
      <c r="BY5" s="430" t="s">
        <v>197</v>
      </c>
      <c r="BZ5" s="430" t="s">
        <v>197</v>
      </c>
      <c r="CA5" s="430" t="s">
        <v>197</v>
      </c>
      <c r="CB5" s="430" t="s">
        <v>197</v>
      </c>
      <c r="CC5" s="430" t="s">
        <v>197</v>
      </c>
      <c r="CD5" s="430" t="s">
        <v>197</v>
      </c>
      <c r="CE5" s="430" t="s">
        <v>197</v>
      </c>
      <c r="CF5" s="430" t="s">
        <v>197</v>
      </c>
      <c r="CG5" s="430" t="s">
        <v>197</v>
      </c>
      <c r="CH5" s="430" t="s">
        <v>197</v>
      </c>
      <c r="CI5" s="430" t="s">
        <v>197</v>
      </c>
      <c r="CJ5" s="430" t="s">
        <v>197</v>
      </c>
      <c r="CK5" s="430" t="s">
        <v>197</v>
      </c>
      <c r="CL5" s="430" t="s">
        <v>197</v>
      </c>
      <c r="CM5" s="430" t="s">
        <v>197</v>
      </c>
    </row>
    <row r="6" spans="1:91" ht="10.5">
      <c r="A6" s="462" t="s">
        <v>110</v>
      </c>
      <c r="B6" s="462" t="s">
        <v>111</v>
      </c>
      <c r="C6" s="462" t="s">
        <v>112</v>
      </c>
      <c r="D6" s="462" t="s">
        <v>113</v>
      </c>
      <c r="E6" s="462" t="s">
        <v>64</v>
      </c>
      <c r="F6" s="462" t="s">
        <v>114</v>
      </c>
      <c r="G6" s="462" t="s">
        <v>66</v>
      </c>
      <c r="H6" s="462" t="s">
        <v>115</v>
      </c>
      <c r="I6" s="439" t="s">
        <v>68</v>
      </c>
      <c r="J6" s="430" t="s">
        <v>116</v>
      </c>
      <c r="K6" s="430" t="s">
        <v>117</v>
      </c>
      <c r="L6" s="430"/>
      <c r="M6" s="430" t="s">
        <v>68</v>
      </c>
      <c r="N6" s="432" t="s">
        <v>68</v>
      </c>
      <c r="O6" s="430" t="s">
        <v>70</v>
      </c>
      <c r="P6" s="430" t="s">
        <v>118</v>
      </c>
      <c r="Q6" s="430" t="s">
        <v>119</v>
      </c>
      <c r="R6" s="431" t="s">
        <v>73</v>
      </c>
      <c r="S6" s="442" t="s">
        <v>120</v>
      </c>
      <c r="T6" s="433">
        <v>640</v>
      </c>
      <c r="U6" s="1088">
        <v>2304</v>
      </c>
      <c r="V6" s="434">
        <v>1.4750000000000001</v>
      </c>
      <c r="W6" s="435">
        <v>64</v>
      </c>
      <c r="X6" s="1040">
        <v>4</v>
      </c>
      <c r="Y6" s="430" t="s">
        <v>75</v>
      </c>
      <c r="Z6" s="430" t="s">
        <v>75</v>
      </c>
      <c r="AA6" s="430"/>
      <c r="AB6" s="437">
        <v>46015</v>
      </c>
      <c r="AC6" s="438">
        <v>52</v>
      </c>
      <c r="AD6" s="439" t="s">
        <v>121</v>
      </c>
      <c r="AE6" s="430"/>
      <c r="AF6" s="430" t="s">
        <v>122</v>
      </c>
      <c r="AG6" s="430" t="s">
        <v>123</v>
      </c>
      <c r="AH6" s="430" t="s">
        <v>124</v>
      </c>
      <c r="AI6" s="437">
        <v>46020</v>
      </c>
      <c r="AJ6" s="437">
        <v>46030</v>
      </c>
      <c r="AK6" s="441">
        <v>46030</v>
      </c>
      <c r="AL6" s="437">
        <v>46072</v>
      </c>
      <c r="AM6" s="437">
        <v>46092</v>
      </c>
      <c r="AN6" s="437">
        <v>46094</v>
      </c>
      <c r="AO6" s="430" t="s">
        <v>66</v>
      </c>
      <c r="AP6" s="430" t="s">
        <v>125</v>
      </c>
      <c r="AQ6" s="430" t="s">
        <v>80</v>
      </c>
      <c r="AR6" s="430" t="s">
        <v>126</v>
      </c>
      <c r="AS6" s="430" t="s">
        <v>127</v>
      </c>
      <c r="AT6" s="430" t="s">
        <v>127</v>
      </c>
      <c r="AU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7">
        <v>46094</v>
      </c>
      <c r="AX6" s="433" t="s">
        <v>84</v>
      </c>
      <c r="AY6" s="437">
        <v>46104</v>
      </c>
      <c r="AZ6" s="442">
        <v>9</v>
      </c>
      <c r="BA6" s="437">
        <v>46103</v>
      </c>
      <c r="BB6" s="433">
        <v>2026</v>
      </c>
      <c r="BC6" s="430">
        <v>3</v>
      </c>
      <c r="BD6" s="430">
        <v>12</v>
      </c>
      <c r="BE6" s="431">
        <v>36</v>
      </c>
      <c r="BF6" s="431">
        <v>576</v>
      </c>
      <c r="BG6" s="431" t="s">
        <v>128</v>
      </c>
      <c r="BH6" s="431" t="s">
        <v>86</v>
      </c>
      <c r="BI6" s="430" t="s">
        <v>197</v>
      </c>
      <c r="BJ6" s="430" t="s">
        <v>197</v>
      </c>
      <c r="BK6" s="430" t="s">
        <v>197</v>
      </c>
      <c r="BL6" s="430" t="s">
        <v>197</v>
      </c>
      <c r="BM6" s="430" t="s">
        <v>197</v>
      </c>
      <c r="BN6" s="430" t="s">
        <v>197</v>
      </c>
      <c r="BO6" s="430" t="s">
        <v>197</v>
      </c>
      <c r="BP6" s="430" t="s">
        <v>197</v>
      </c>
      <c r="BQ6" s="430" t="s">
        <v>197</v>
      </c>
      <c r="BR6" s="430" t="s">
        <v>197</v>
      </c>
      <c r="BS6" s="430" t="s">
        <v>197</v>
      </c>
      <c r="BT6" s="430" t="s">
        <v>197</v>
      </c>
      <c r="BU6" s="430" t="s">
        <v>197</v>
      </c>
      <c r="BV6" s="430" t="s">
        <v>197</v>
      </c>
      <c r="BW6" s="430" t="s">
        <v>197</v>
      </c>
      <c r="BX6" s="430" t="s">
        <v>197</v>
      </c>
      <c r="BY6" s="430" t="s">
        <v>197</v>
      </c>
      <c r="BZ6" s="430" t="s">
        <v>197</v>
      </c>
      <c r="CA6" s="430" t="s">
        <v>197</v>
      </c>
      <c r="CB6" s="430" t="s">
        <v>197</v>
      </c>
      <c r="CC6" s="430" t="s">
        <v>197</v>
      </c>
      <c r="CD6" s="430" t="s">
        <v>197</v>
      </c>
      <c r="CE6" s="430" t="s">
        <v>197</v>
      </c>
      <c r="CF6" s="430" t="s">
        <v>197</v>
      </c>
      <c r="CG6" s="430" t="s">
        <v>197</v>
      </c>
      <c r="CH6" s="430" t="s">
        <v>197</v>
      </c>
      <c r="CI6" s="430" t="s">
        <v>197</v>
      </c>
      <c r="CJ6" s="430" t="s">
        <v>197</v>
      </c>
      <c r="CK6" s="430" t="s">
        <v>197</v>
      </c>
      <c r="CL6" s="430" t="s">
        <v>197</v>
      </c>
      <c r="CM6" s="430" t="s">
        <v>197</v>
      </c>
    </row>
    <row r="7" spans="1:91" ht="10.5">
      <c r="A7" s="462" t="s">
        <v>129</v>
      </c>
      <c r="B7" s="462" t="s">
        <v>111</v>
      </c>
      <c r="C7" s="462" t="s">
        <v>130</v>
      </c>
      <c r="D7" s="462" t="s">
        <v>63</v>
      </c>
      <c r="E7" s="462" t="s">
        <v>64</v>
      </c>
      <c r="F7" s="462" t="s">
        <v>65</v>
      </c>
      <c r="G7" s="462" t="s">
        <v>66</v>
      </c>
      <c r="H7" s="462" t="s">
        <v>67</v>
      </c>
      <c r="I7" s="439" t="s">
        <v>68</v>
      </c>
      <c r="J7" s="430" t="s">
        <v>131</v>
      </c>
      <c r="K7" s="430"/>
      <c r="L7" s="430"/>
      <c r="M7" s="430" t="s">
        <v>68</v>
      </c>
      <c r="N7" s="432" t="s">
        <v>68</v>
      </c>
      <c r="O7" s="430" t="s">
        <v>132</v>
      </c>
      <c r="P7" s="430" t="s">
        <v>133</v>
      </c>
      <c r="Q7" s="430" t="s">
        <v>134</v>
      </c>
      <c r="R7" s="431" t="s">
        <v>73</v>
      </c>
      <c r="S7" s="442" t="s">
        <v>120</v>
      </c>
      <c r="T7" s="433">
        <v>720</v>
      </c>
      <c r="U7" s="1088">
        <v>1782</v>
      </c>
      <c r="V7" s="434">
        <v>1.2829999999999999</v>
      </c>
      <c r="W7" s="435">
        <v>54</v>
      </c>
      <c r="X7" s="1040">
        <v>3</v>
      </c>
      <c r="Y7" s="430" t="s">
        <v>75</v>
      </c>
      <c r="Z7" s="430" t="s">
        <v>75</v>
      </c>
      <c r="AA7" s="430"/>
      <c r="AB7" s="437">
        <v>46012</v>
      </c>
      <c r="AC7" s="438">
        <v>51</v>
      </c>
      <c r="AD7" s="439" t="s">
        <v>135</v>
      </c>
      <c r="AE7" s="430"/>
      <c r="AF7" s="430" t="s">
        <v>122</v>
      </c>
      <c r="AG7" s="430" t="s">
        <v>123</v>
      </c>
      <c r="AH7" s="430" t="s">
        <v>78</v>
      </c>
      <c r="AI7" s="437">
        <v>46020</v>
      </c>
      <c r="AJ7" s="437">
        <v>46030</v>
      </c>
      <c r="AK7" s="441">
        <v>46030</v>
      </c>
      <c r="AL7" s="437">
        <v>46064</v>
      </c>
      <c r="AM7" s="437">
        <v>46098</v>
      </c>
      <c r="AN7" s="437">
        <v>46099</v>
      </c>
      <c r="AO7" s="430" t="s">
        <v>66</v>
      </c>
      <c r="AP7" s="430" t="s">
        <v>125</v>
      </c>
      <c r="AQ7" s="430" t="s">
        <v>80</v>
      </c>
      <c r="AR7" s="430" t="s">
        <v>136</v>
      </c>
      <c r="AS7" s="430" t="s">
        <v>137</v>
      </c>
      <c r="AT7" s="430" t="s">
        <v>137</v>
      </c>
      <c r="AU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7">
        <v>46099</v>
      </c>
      <c r="AX7" s="433" t="s">
        <v>84</v>
      </c>
      <c r="AY7" s="437">
        <v>46112</v>
      </c>
      <c r="AZ7" s="442">
        <v>8</v>
      </c>
      <c r="BA7" s="437">
        <v>46107</v>
      </c>
      <c r="BB7" s="433">
        <v>2026</v>
      </c>
      <c r="BC7" s="430">
        <v>3</v>
      </c>
      <c r="BD7" s="430">
        <v>13</v>
      </c>
      <c r="BE7" s="431">
        <v>33</v>
      </c>
      <c r="BF7" s="431">
        <v>594</v>
      </c>
      <c r="BG7" s="431" t="s">
        <v>108</v>
      </c>
      <c r="BH7" s="431" t="s">
        <v>86</v>
      </c>
      <c r="BI7" s="430" t="s">
        <v>197</v>
      </c>
      <c r="BJ7" s="430" t="s">
        <v>197</v>
      </c>
      <c r="BK7" s="430" t="s">
        <v>197</v>
      </c>
      <c r="BL7" s="430" t="s">
        <v>197</v>
      </c>
      <c r="BM7" s="430" t="s">
        <v>197</v>
      </c>
      <c r="BN7" s="430" t="s">
        <v>197</v>
      </c>
      <c r="BO7" s="430" t="s">
        <v>197</v>
      </c>
      <c r="BP7" s="430" t="s">
        <v>197</v>
      </c>
      <c r="BQ7" s="430" t="s">
        <v>197</v>
      </c>
      <c r="BR7" s="430" t="s">
        <v>197</v>
      </c>
      <c r="BS7" s="430" t="s">
        <v>197</v>
      </c>
      <c r="BT7" s="430" t="s">
        <v>197</v>
      </c>
      <c r="BU7" s="430" t="s">
        <v>197</v>
      </c>
      <c r="BV7" s="430" t="s">
        <v>197</v>
      </c>
      <c r="BW7" s="430" t="s">
        <v>197</v>
      </c>
      <c r="BX7" s="430" t="s">
        <v>197</v>
      </c>
      <c r="BY7" s="430" t="s">
        <v>197</v>
      </c>
      <c r="BZ7" s="430" t="s">
        <v>197</v>
      </c>
      <c r="CA7" s="430" t="s">
        <v>197</v>
      </c>
      <c r="CB7" s="430" t="s">
        <v>197</v>
      </c>
      <c r="CC7" s="430" t="s">
        <v>197</v>
      </c>
      <c r="CD7" s="430" t="s">
        <v>197</v>
      </c>
      <c r="CE7" s="430" t="s">
        <v>197</v>
      </c>
      <c r="CF7" s="430" t="s">
        <v>197</v>
      </c>
      <c r="CG7" s="430" t="s">
        <v>197</v>
      </c>
      <c r="CH7" s="430" t="s">
        <v>197</v>
      </c>
      <c r="CI7" s="430" t="s">
        <v>197</v>
      </c>
      <c r="CJ7" s="430" t="s">
        <v>197</v>
      </c>
      <c r="CK7" s="430" t="s">
        <v>197</v>
      </c>
      <c r="CL7" s="430" t="s">
        <v>197</v>
      </c>
      <c r="CM7" s="430" t="s">
        <v>197</v>
      </c>
    </row>
    <row r="8" spans="1:91" ht="10.5">
      <c r="A8" s="462" t="s">
        <v>138</v>
      </c>
      <c r="B8" s="462" t="s">
        <v>111</v>
      </c>
      <c r="C8" s="462" t="s">
        <v>130</v>
      </c>
      <c r="D8" s="462" t="s">
        <v>63</v>
      </c>
      <c r="E8" s="462" t="s">
        <v>64</v>
      </c>
      <c r="F8" s="462" t="s">
        <v>100</v>
      </c>
      <c r="G8" s="462" t="s">
        <v>66</v>
      </c>
      <c r="H8" s="462" t="s">
        <v>67</v>
      </c>
      <c r="I8" s="439" t="s">
        <v>68</v>
      </c>
      <c r="J8" s="430" t="s">
        <v>101</v>
      </c>
      <c r="K8" s="430"/>
      <c r="L8" s="430"/>
      <c r="M8" s="430" t="s">
        <v>68</v>
      </c>
      <c r="N8" s="432" t="s">
        <v>68</v>
      </c>
      <c r="O8" s="430" t="s">
        <v>132</v>
      </c>
      <c r="P8" s="430" t="s">
        <v>133</v>
      </c>
      <c r="Q8" s="430" t="s">
        <v>134</v>
      </c>
      <c r="R8" s="431" t="s">
        <v>73</v>
      </c>
      <c r="S8" s="442" t="s">
        <v>120</v>
      </c>
      <c r="T8" s="433">
        <v>720</v>
      </c>
      <c r="U8" s="1088">
        <v>1782</v>
      </c>
      <c r="V8" s="434">
        <v>1.2829999999999999</v>
      </c>
      <c r="W8" s="435">
        <v>54</v>
      </c>
      <c r="X8" s="1040">
        <v>3</v>
      </c>
      <c r="Y8" s="430" t="s">
        <v>75</v>
      </c>
      <c r="Z8" s="430" t="s">
        <v>75</v>
      </c>
      <c r="AA8" s="430"/>
      <c r="AB8" s="437">
        <v>46008</v>
      </c>
      <c r="AC8" s="438">
        <v>51</v>
      </c>
      <c r="AD8" s="439" t="s">
        <v>139</v>
      </c>
      <c r="AE8" s="430"/>
      <c r="AF8" s="430" t="s">
        <v>122</v>
      </c>
      <c r="AG8" s="430" t="s">
        <v>123</v>
      </c>
      <c r="AH8" s="430" t="s">
        <v>105</v>
      </c>
      <c r="AI8" s="437">
        <v>46014</v>
      </c>
      <c r="AJ8" s="437">
        <v>46018</v>
      </c>
      <c r="AK8" s="441">
        <v>46017</v>
      </c>
      <c r="AL8" s="437">
        <v>46073</v>
      </c>
      <c r="AM8" s="437">
        <v>46090</v>
      </c>
      <c r="AN8" s="437">
        <v>46090</v>
      </c>
      <c r="AO8" s="430" t="s">
        <v>66</v>
      </c>
      <c r="AP8" s="430" t="s">
        <v>140</v>
      </c>
      <c r="AQ8" s="430" t="s">
        <v>80</v>
      </c>
      <c r="AR8" s="430" t="s">
        <v>141</v>
      </c>
      <c r="AS8" s="430" t="s">
        <v>142</v>
      </c>
      <c r="AT8" s="430" t="s">
        <v>142</v>
      </c>
      <c r="AU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7">
        <v>46090</v>
      </c>
      <c r="AX8" s="433" t="s">
        <v>84</v>
      </c>
      <c r="AY8" s="437">
        <v>46104</v>
      </c>
      <c r="AZ8" s="442">
        <v>7</v>
      </c>
      <c r="BA8" s="437">
        <v>46097</v>
      </c>
      <c r="BB8" s="433">
        <v>2026</v>
      </c>
      <c r="BC8" s="430">
        <v>3</v>
      </c>
      <c r="BD8" s="430">
        <v>12</v>
      </c>
      <c r="BE8" s="431">
        <v>33</v>
      </c>
      <c r="BF8" s="431">
        <v>594</v>
      </c>
      <c r="BG8" s="431" t="s">
        <v>108</v>
      </c>
      <c r="BH8" s="431" t="s">
        <v>109</v>
      </c>
      <c r="BI8" s="430" t="s">
        <v>197</v>
      </c>
      <c r="BJ8" s="430" t="s">
        <v>197</v>
      </c>
      <c r="BK8" s="430" t="s">
        <v>197</v>
      </c>
      <c r="BL8" s="430" t="s">
        <v>197</v>
      </c>
      <c r="BM8" s="430" t="s">
        <v>197</v>
      </c>
      <c r="BN8" s="430" t="s">
        <v>197</v>
      </c>
      <c r="BO8" s="430" t="s">
        <v>197</v>
      </c>
      <c r="BP8" s="430" t="s">
        <v>197</v>
      </c>
      <c r="BQ8" s="430" t="s">
        <v>197</v>
      </c>
      <c r="BR8" s="430" t="s">
        <v>197</v>
      </c>
      <c r="BS8" s="430" t="s">
        <v>197</v>
      </c>
      <c r="BT8" s="430" t="s">
        <v>197</v>
      </c>
      <c r="BU8" s="430" t="s">
        <v>197</v>
      </c>
      <c r="BV8" s="430" t="s">
        <v>197</v>
      </c>
      <c r="BW8" s="430" t="s">
        <v>197</v>
      </c>
      <c r="BX8" s="430" t="s">
        <v>197</v>
      </c>
      <c r="BY8" s="430" t="s">
        <v>197</v>
      </c>
      <c r="BZ8" s="430" t="s">
        <v>197</v>
      </c>
      <c r="CA8" s="430" t="s">
        <v>197</v>
      </c>
      <c r="CB8" s="430" t="s">
        <v>197</v>
      </c>
      <c r="CC8" s="430" t="s">
        <v>197</v>
      </c>
      <c r="CD8" s="430" t="s">
        <v>197</v>
      </c>
      <c r="CE8" s="430" t="s">
        <v>197</v>
      </c>
      <c r="CF8" s="430" t="s">
        <v>197</v>
      </c>
      <c r="CG8" s="430" t="s">
        <v>197</v>
      </c>
      <c r="CH8" s="430" t="s">
        <v>197</v>
      </c>
      <c r="CI8" s="430" t="s">
        <v>197</v>
      </c>
      <c r="CJ8" s="430" t="s">
        <v>197</v>
      </c>
      <c r="CK8" s="430" t="s">
        <v>197</v>
      </c>
      <c r="CL8" s="430" t="s">
        <v>197</v>
      </c>
      <c r="CM8" s="430" t="s">
        <v>197</v>
      </c>
    </row>
    <row r="9" spans="1:91" ht="10.5">
      <c r="A9" s="462" t="s">
        <v>143</v>
      </c>
      <c r="B9" s="462" t="s">
        <v>61</v>
      </c>
      <c r="C9" s="462" t="s">
        <v>88</v>
      </c>
      <c r="D9" s="462" t="s">
        <v>63</v>
      </c>
      <c r="E9" s="462" t="s">
        <v>144</v>
      </c>
      <c r="F9" s="462" t="s">
        <v>145</v>
      </c>
      <c r="G9" s="462" t="s">
        <v>146</v>
      </c>
      <c r="H9" s="462" t="s">
        <v>147</v>
      </c>
      <c r="I9" s="439" t="s">
        <v>68</v>
      </c>
      <c r="J9" s="430" t="s">
        <v>147</v>
      </c>
      <c r="K9" s="430">
        <v>46010731</v>
      </c>
      <c r="L9" s="430"/>
      <c r="M9" s="430" t="s">
        <v>68</v>
      </c>
      <c r="N9" s="432" t="s">
        <v>68</v>
      </c>
      <c r="O9" s="430" t="s">
        <v>70</v>
      </c>
      <c r="P9" s="430" t="s">
        <v>91</v>
      </c>
      <c r="Q9" s="430" t="s">
        <v>92</v>
      </c>
      <c r="R9" s="431" t="s">
        <v>73</v>
      </c>
      <c r="S9" s="442" t="s">
        <v>74</v>
      </c>
      <c r="T9" s="433">
        <v>450</v>
      </c>
      <c r="U9" s="1088">
        <v>936</v>
      </c>
      <c r="V9" s="434">
        <v>0.42099999999999999</v>
      </c>
      <c r="W9" s="435">
        <v>26</v>
      </c>
      <c r="X9" s="1040">
        <v>1</v>
      </c>
      <c r="Y9" s="430" t="s">
        <v>75</v>
      </c>
      <c r="Z9" s="430" t="s">
        <v>75</v>
      </c>
      <c r="AA9" s="430"/>
      <c r="AB9" s="437">
        <v>46009</v>
      </c>
      <c r="AC9" s="438">
        <v>51</v>
      </c>
      <c r="AD9" s="439" t="s">
        <v>148</v>
      </c>
      <c r="AE9" s="430">
        <v>371009343</v>
      </c>
      <c r="AF9" s="430" t="s">
        <v>77</v>
      </c>
      <c r="AG9" s="430" t="s">
        <v>61</v>
      </c>
      <c r="AH9" s="430" t="s">
        <v>78</v>
      </c>
      <c r="AI9" s="437">
        <v>46017</v>
      </c>
      <c r="AJ9" s="437">
        <v>46018</v>
      </c>
      <c r="AK9" s="441">
        <v>46018</v>
      </c>
      <c r="AL9" s="437">
        <v>46077</v>
      </c>
      <c r="AM9" s="437">
        <v>46090</v>
      </c>
      <c r="AN9" s="437">
        <v>46090</v>
      </c>
      <c r="AO9" s="430" t="s">
        <v>146</v>
      </c>
      <c r="AP9" s="430" t="s">
        <v>149</v>
      </c>
      <c r="AQ9" s="430" t="s">
        <v>80</v>
      </c>
      <c r="AR9" s="430" t="s">
        <v>150</v>
      </c>
      <c r="AS9" s="430" t="s">
        <v>151</v>
      </c>
      <c r="AT9" s="430" t="s">
        <v>151</v>
      </c>
      <c r="AU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0" t="s">
        <v>83</v>
      </c>
      <c r="AW9" s="437">
        <v>46090</v>
      </c>
      <c r="AX9" s="433" t="s">
        <v>84</v>
      </c>
      <c r="AY9" s="437">
        <v>46026</v>
      </c>
      <c r="AZ9" s="442" t="s">
        <v>152</v>
      </c>
      <c r="BA9" s="437">
        <v>46090</v>
      </c>
      <c r="BB9" s="433">
        <v>2026</v>
      </c>
      <c r="BC9" s="430">
        <v>3</v>
      </c>
      <c r="BD9" s="430">
        <v>11</v>
      </c>
      <c r="BE9" s="431">
        <v>36</v>
      </c>
      <c r="BF9" s="431">
        <v>936</v>
      </c>
      <c r="BG9" s="431" t="s">
        <v>94</v>
      </c>
      <c r="BH9" s="431" t="s">
        <v>86</v>
      </c>
      <c r="BI9" s="430" t="s">
        <v>197</v>
      </c>
      <c r="BJ9" s="430" t="s">
        <v>197</v>
      </c>
      <c r="BK9" s="430" t="s">
        <v>197</v>
      </c>
      <c r="BL9" s="430" t="s">
        <v>197</v>
      </c>
      <c r="BM9" s="430" t="s">
        <v>197</v>
      </c>
      <c r="BN9" s="430" t="s">
        <v>197</v>
      </c>
      <c r="BO9" s="430" t="s">
        <v>197</v>
      </c>
      <c r="BP9" s="430" t="s">
        <v>197</v>
      </c>
      <c r="BQ9" s="430" t="s">
        <v>197</v>
      </c>
      <c r="BR9" s="430" t="s">
        <v>197</v>
      </c>
      <c r="BS9" s="430" t="s">
        <v>197</v>
      </c>
      <c r="BT9" s="430" t="s">
        <v>197</v>
      </c>
      <c r="BU9" s="430" t="s">
        <v>197</v>
      </c>
      <c r="BV9" s="430" t="s">
        <v>197</v>
      </c>
      <c r="BW9" s="430" t="s">
        <v>197</v>
      </c>
      <c r="BX9" s="430" t="s">
        <v>197</v>
      </c>
      <c r="BY9" s="430" t="s">
        <v>197</v>
      </c>
      <c r="BZ9" s="430" t="s">
        <v>197</v>
      </c>
      <c r="CA9" s="430" t="s">
        <v>197</v>
      </c>
      <c r="CB9" s="430" t="s">
        <v>197</v>
      </c>
      <c r="CC9" s="430" t="s">
        <v>197</v>
      </c>
      <c r="CD9" s="430" t="s">
        <v>197</v>
      </c>
      <c r="CE9" s="430" t="s">
        <v>197</v>
      </c>
      <c r="CF9" s="430" t="s">
        <v>197</v>
      </c>
      <c r="CG9" s="430" t="s">
        <v>197</v>
      </c>
      <c r="CH9" s="430" t="s">
        <v>197</v>
      </c>
      <c r="CI9" s="430" t="s">
        <v>197</v>
      </c>
      <c r="CJ9" s="430" t="s">
        <v>197</v>
      </c>
      <c r="CK9" s="430" t="s">
        <v>197</v>
      </c>
      <c r="CL9" s="430" t="s">
        <v>197</v>
      </c>
      <c r="CM9" s="430" t="s">
        <v>197</v>
      </c>
    </row>
    <row r="10" spans="1:91" ht="10.5">
      <c r="A10" s="462" t="s">
        <v>153</v>
      </c>
      <c r="B10" s="462" t="s">
        <v>61</v>
      </c>
      <c r="C10" s="462" t="s">
        <v>88</v>
      </c>
      <c r="D10" s="462" t="s">
        <v>63</v>
      </c>
      <c r="E10" s="462" t="s">
        <v>144</v>
      </c>
      <c r="F10" s="462" t="s">
        <v>145</v>
      </c>
      <c r="G10" s="462" t="s">
        <v>146</v>
      </c>
      <c r="H10" s="462" t="s">
        <v>147</v>
      </c>
      <c r="I10" s="439" t="s">
        <v>68</v>
      </c>
      <c r="J10" s="430" t="s">
        <v>147</v>
      </c>
      <c r="K10" s="430">
        <v>46010817</v>
      </c>
      <c r="L10" s="430"/>
      <c r="M10" s="430" t="s">
        <v>68</v>
      </c>
      <c r="N10" s="432" t="s">
        <v>68</v>
      </c>
      <c r="O10" s="430" t="s">
        <v>70</v>
      </c>
      <c r="P10" s="430" t="s">
        <v>91</v>
      </c>
      <c r="Q10" s="430" t="s">
        <v>92</v>
      </c>
      <c r="R10" s="431" t="s">
        <v>73</v>
      </c>
      <c r="S10" s="442" t="s">
        <v>74</v>
      </c>
      <c r="T10" s="433">
        <v>450</v>
      </c>
      <c r="U10" s="1088">
        <v>936</v>
      </c>
      <c r="V10" s="434">
        <v>0.42099999999999999</v>
      </c>
      <c r="W10" s="435">
        <v>26</v>
      </c>
      <c r="X10" s="1040">
        <v>1</v>
      </c>
      <c r="Y10" s="430" t="s">
        <v>75</v>
      </c>
      <c r="Z10" s="430" t="s">
        <v>75</v>
      </c>
      <c r="AA10" s="430"/>
      <c r="AB10" s="437">
        <v>46009</v>
      </c>
      <c r="AC10" s="438">
        <v>51</v>
      </c>
      <c r="AD10" s="439" t="s">
        <v>154</v>
      </c>
      <c r="AE10" s="430">
        <v>371009344</v>
      </c>
      <c r="AF10" s="430" t="s">
        <v>77</v>
      </c>
      <c r="AG10" s="430" t="s">
        <v>61</v>
      </c>
      <c r="AH10" s="430" t="s">
        <v>78</v>
      </c>
      <c r="AI10" s="437">
        <v>46017</v>
      </c>
      <c r="AJ10" s="437">
        <v>46018</v>
      </c>
      <c r="AK10" s="441">
        <v>46018</v>
      </c>
      <c r="AL10" s="437">
        <v>46077</v>
      </c>
      <c r="AM10" s="437">
        <v>46090</v>
      </c>
      <c r="AN10" s="437">
        <v>46090</v>
      </c>
      <c r="AO10" s="430" t="s">
        <v>146</v>
      </c>
      <c r="AP10" s="430" t="s">
        <v>149</v>
      </c>
      <c r="AQ10" s="430" t="s">
        <v>80</v>
      </c>
      <c r="AR10" s="430" t="s">
        <v>150</v>
      </c>
      <c r="AS10" s="430" t="s">
        <v>151</v>
      </c>
      <c r="AT10" s="430" t="s">
        <v>151</v>
      </c>
      <c r="AU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0" t="s">
        <v>83</v>
      </c>
      <c r="AW10" s="437">
        <v>46090</v>
      </c>
      <c r="AX10" s="433" t="s">
        <v>84</v>
      </c>
      <c r="AY10" s="437">
        <v>46026</v>
      </c>
      <c r="AZ10" s="442" t="s">
        <v>152</v>
      </c>
      <c r="BA10" s="437">
        <v>46090</v>
      </c>
      <c r="BB10" s="433">
        <v>2026</v>
      </c>
      <c r="BC10" s="430">
        <v>3</v>
      </c>
      <c r="BD10" s="430">
        <v>11</v>
      </c>
      <c r="BE10" s="431">
        <v>36</v>
      </c>
      <c r="BF10" s="431">
        <v>936</v>
      </c>
      <c r="BG10" s="431" t="s">
        <v>94</v>
      </c>
      <c r="BH10" s="431" t="s">
        <v>86</v>
      </c>
      <c r="BI10" s="430" t="s">
        <v>197</v>
      </c>
      <c r="BJ10" s="430" t="s">
        <v>197</v>
      </c>
      <c r="BK10" s="430" t="s">
        <v>197</v>
      </c>
      <c r="BL10" s="430" t="s">
        <v>197</v>
      </c>
      <c r="BM10" s="430" t="s">
        <v>197</v>
      </c>
      <c r="BN10" s="430" t="s">
        <v>197</v>
      </c>
      <c r="BO10" s="430" t="s">
        <v>197</v>
      </c>
      <c r="BP10" s="430" t="s">
        <v>197</v>
      </c>
      <c r="BQ10" s="430" t="s">
        <v>197</v>
      </c>
      <c r="BR10" s="430" t="s">
        <v>197</v>
      </c>
      <c r="BS10" s="430" t="s">
        <v>197</v>
      </c>
      <c r="BT10" s="430" t="s">
        <v>197</v>
      </c>
      <c r="BU10" s="430" t="s">
        <v>197</v>
      </c>
      <c r="BV10" s="430" t="s">
        <v>197</v>
      </c>
      <c r="BW10" s="430" t="s">
        <v>197</v>
      </c>
      <c r="BX10" s="430" t="s">
        <v>197</v>
      </c>
      <c r="BY10" s="430" t="s">
        <v>197</v>
      </c>
      <c r="BZ10" s="430" t="s">
        <v>197</v>
      </c>
      <c r="CA10" s="430" t="s">
        <v>197</v>
      </c>
      <c r="CB10" s="430" t="s">
        <v>197</v>
      </c>
      <c r="CC10" s="430" t="s">
        <v>197</v>
      </c>
      <c r="CD10" s="430" t="s">
        <v>197</v>
      </c>
      <c r="CE10" s="430" t="s">
        <v>197</v>
      </c>
      <c r="CF10" s="430" t="s">
        <v>197</v>
      </c>
      <c r="CG10" s="430" t="s">
        <v>197</v>
      </c>
      <c r="CH10" s="430" t="s">
        <v>197</v>
      </c>
      <c r="CI10" s="430" t="s">
        <v>197</v>
      </c>
      <c r="CJ10" s="430" t="s">
        <v>197</v>
      </c>
      <c r="CK10" s="430" t="s">
        <v>197</v>
      </c>
      <c r="CL10" s="430" t="s">
        <v>197</v>
      </c>
      <c r="CM10" s="430" t="s">
        <v>197</v>
      </c>
    </row>
    <row r="11" spans="1:91" ht="10.5">
      <c r="A11" s="462" t="s">
        <v>155</v>
      </c>
      <c r="B11" s="462" t="s">
        <v>61</v>
      </c>
      <c r="C11" s="462" t="s">
        <v>62</v>
      </c>
      <c r="D11" s="462" t="s">
        <v>63</v>
      </c>
      <c r="E11" s="462" t="s">
        <v>144</v>
      </c>
      <c r="F11" s="462" t="s">
        <v>145</v>
      </c>
      <c r="G11" s="462" t="s">
        <v>156</v>
      </c>
      <c r="H11" s="462" t="s">
        <v>157</v>
      </c>
      <c r="I11" s="439" t="s">
        <v>68</v>
      </c>
      <c r="J11" s="430" t="s">
        <v>157</v>
      </c>
      <c r="K11" s="430">
        <v>46011026</v>
      </c>
      <c r="L11" s="430"/>
      <c r="M11" s="430" t="s">
        <v>68</v>
      </c>
      <c r="N11" s="432" t="s">
        <v>68</v>
      </c>
      <c r="O11" s="430" t="s">
        <v>70</v>
      </c>
      <c r="P11" s="430" t="s">
        <v>71</v>
      </c>
      <c r="Q11" s="430" t="s">
        <v>72</v>
      </c>
      <c r="R11" s="431" t="s">
        <v>73</v>
      </c>
      <c r="S11" s="442" t="s">
        <v>74</v>
      </c>
      <c r="T11" s="433">
        <v>500</v>
      </c>
      <c r="U11" s="1088">
        <v>2592</v>
      </c>
      <c r="V11" s="434">
        <v>1.296</v>
      </c>
      <c r="W11" s="435">
        <v>72</v>
      </c>
      <c r="X11" s="1040">
        <v>3</v>
      </c>
      <c r="Y11" s="430" t="s">
        <v>75</v>
      </c>
      <c r="Z11" s="430" t="s">
        <v>75</v>
      </c>
      <c r="AA11" s="430"/>
      <c r="AB11" s="437">
        <v>46011</v>
      </c>
      <c r="AC11" s="438">
        <v>51</v>
      </c>
      <c r="AD11" s="439" t="s">
        <v>158</v>
      </c>
      <c r="AE11" s="430">
        <v>371009338</v>
      </c>
      <c r="AF11" s="430" t="s">
        <v>77</v>
      </c>
      <c r="AG11" s="430" t="s">
        <v>61</v>
      </c>
      <c r="AH11" s="430" t="s">
        <v>159</v>
      </c>
      <c r="AI11" s="437">
        <v>46020</v>
      </c>
      <c r="AJ11" s="437">
        <v>46022</v>
      </c>
      <c r="AK11" s="441">
        <v>46020</v>
      </c>
      <c r="AL11" s="437">
        <v>46088</v>
      </c>
      <c r="AM11" s="437">
        <v>46106</v>
      </c>
      <c r="AN11" s="437">
        <v>46106</v>
      </c>
      <c r="AO11" s="430" t="s">
        <v>156</v>
      </c>
      <c r="AP11" s="430" t="s">
        <v>160</v>
      </c>
      <c r="AQ11" s="430" t="s">
        <v>161</v>
      </c>
      <c r="AR11" s="430">
        <v>46011026</v>
      </c>
      <c r="AS11" s="430">
        <v>1071458212</v>
      </c>
      <c r="AT11" s="430" t="s">
        <v>162</v>
      </c>
      <c r="AU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7">
        <v>46106</v>
      </c>
      <c r="AX11" s="433" t="s">
        <v>84</v>
      </c>
      <c r="AY11" s="437">
        <v>46026</v>
      </c>
      <c r="AZ11" s="442" t="s">
        <v>152</v>
      </c>
      <c r="BA11" s="437">
        <v>46106</v>
      </c>
      <c r="BB11" s="433">
        <v>2026</v>
      </c>
      <c r="BC11" s="430">
        <v>3</v>
      </c>
      <c r="BD11" s="430">
        <v>13</v>
      </c>
      <c r="BE11" s="431">
        <v>36</v>
      </c>
      <c r="BF11" s="431">
        <v>864</v>
      </c>
      <c r="BG11" s="431" t="s">
        <v>85</v>
      </c>
      <c r="BH11" s="431" t="s">
        <v>109</v>
      </c>
      <c r="BI11" s="430" t="s">
        <v>197</v>
      </c>
      <c r="BJ11" s="430" t="s">
        <v>197</v>
      </c>
      <c r="BK11" s="430" t="s">
        <v>197</v>
      </c>
      <c r="BL11" s="430" t="s">
        <v>197</v>
      </c>
      <c r="BM11" s="430" t="s">
        <v>197</v>
      </c>
      <c r="BN11" s="430" t="s">
        <v>197</v>
      </c>
      <c r="BO11" s="430" t="s">
        <v>197</v>
      </c>
      <c r="BP11" s="430" t="s">
        <v>197</v>
      </c>
      <c r="BQ11" s="430" t="s">
        <v>197</v>
      </c>
      <c r="BR11" s="430" t="s">
        <v>197</v>
      </c>
      <c r="BS11" s="430" t="s">
        <v>197</v>
      </c>
      <c r="BT11" s="430" t="s">
        <v>197</v>
      </c>
      <c r="BU11" s="430" t="s">
        <v>197</v>
      </c>
      <c r="BV11" s="430" t="s">
        <v>197</v>
      </c>
      <c r="BW11" s="430" t="s">
        <v>197</v>
      </c>
      <c r="BX11" s="430" t="s">
        <v>197</v>
      </c>
      <c r="BY11" s="430" t="s">
        <v>197</v>
      </c>
      <c r="BZ11" s="430" t="s">
        <v>197</v>
      </c>
      <c r="CA11" s="430" t="s">
        <v>197</v>
      </c>
      <c r="CB11" s="430" t="s">
        <v>197</v>
      </c>
      <c r="CC11" s="430" t="s">
        <v>197</v>
      </c>
      <c r="CD11" s="430" t="s">
        <v>197</v>
      </c>
      <c r="CE11" s="430" t="s">
        <v>197</v>
      </c>
      <c r="CF11" s="430" t="s">
        <v>197</v>
      </c>
      <c r="CG11" s="430" t="s">
        <v>197</v>
      </c>
      <c r="CH11" s="430" t="s">
        <v>197</v>
      </c>
      <c r="CI11" s="430" t="s">
        <v>197</v>
      </c>
      <c r="CJ11" s="430" t="s">
        <v>197</v>
      </c>
      <c r="CK11" s="430" t="s">
        <v>197</v>
      </c>
      <c r="CL11" s="430" t="s">
        <v>197</v>
      </c>
      <c r="CM11" s="430" t="s">
        <v>197</v>
      </c>
    </row>
    <row r="12" spans="1:91" ht="10.5">
      <c r="A12" s="462" t="s">
        <v>163</v>
      </c>
      <c r="B12" s="462" t="s">
        <v>61</v>
      </c>
      <c r="C12" s="462" t="s">
        <v>99</v>
      </c>
      <c r="D12" s="462" t="s">
        <v>63</v>
      </c>
      <c r="E12" s="462" t="s">
        <v>64</v>
      </c>
      <c r="F12" s="462" t="s">
        <v>100</v>
      </c>
      <c r="G12" s="462" t="s">
        <v>66</v>
      </c>
      <c r="H12" s="462" t="s">
        <v>67</v>
      </c>
      <c r="I12" s="439" t="s">
        <v>68</v>
      </c>
      <c r="J12" s="430" t="s">
        <v>101</v>
      </c>
      <c r="K12" s="430"/>
      <c r="L12" s="430"/>
      <c r="M12" s="430" t="s">
        <v>68</v>
      </c>
      <c r="N12" s="432" t="s">
        <v>68</v>
      </c>
      <c r="O12" s="430" t="s">
        <v>70</v>
      </c>
      <c r="P12" s="430" t="s">
        <v>102</v>
      </c>
      <c r="Q12" s="430" t="s">
        <v>103</v>
      </c>
      <c r="R12" s="431" t="s">
        <v>73</v>
      </c>
      <c r="S12" s="442" t="s">
        <v>74</v>
      </c>
      <c r="T12" s="433">
        <v>620</v>
      </c>
      <c r="U12" s="1088">
        <v>4320</v>
      </c>
      <c r="V12" s="434">
        <v>2.6779999999999999</v>
      </c>
      <c r="W12" s="435">
        <v>120</v>
      </c>
      <c r="X12" s="1040">
        <v>6</v>
      </c>
      <c r="Y12" s="430" t="s">
        <v>75</v>
      </c>
      <c r="Z12" s="430" t="s">
        <v>75</v>
      </c>
      <c r="AA12" s="430"/>
      <c r="AB12" s="437">
        <v>46009</v>
      </c>
      <c r="AC12" s="438">
        <v>51</v>
      </c>
      <c r="AD12" s="439" t="s">
        <v>164</v>
      </c>
      <c r="AE12" s="430"/>
      <c r="AF12" s="430" t="s">
        <v>77</v>
      </c>
      <c r="AG12" s="430" t="s">
        <v>61</v>
      </c>
      <c r="AH12" s="430" t="s">
        <v>105</v>
      </c>
      <c r="AI12" s="437">
        <v>46017</v>
      </c>
      <c r="AJ12" s="437">
        <v>46018</v>
      </c>
      <c r="AK12" s="441">
        <v>46018</v>
      </c>
      <c r="AL12" s="437">
        <v>46078</v>
      </c>
      <c r="AM12" s="437">
        <v>46111</v>
      </c>
      <c r="AN12" s="437">
        <v>46111</v>
      </c>
      <c r="AO12" s="430" t="s">
        <v>66</v>
      </c>
      <c r="AP12" s="430" t="s">
        <v>149</v>
      </c>
      <c r="AQ12" s="430" t="s">
        <v>80</v>
      </c>
      <c r="AR12" s="430" t="s">
        <v>165</v>
      </c>
      <c r="AS12" s="430" t="s">
        <v>166</v>
      </c>
      <c r="AT12" s="430" t="s">
        <v>166</v>
      </c>
      <c r="AU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0" t="s">
        <v>83</v>
      </c>
      <c r="AW12" s="437">
        <v>46111</v>
      </c>
      <c r="AX12" s="433" t="s">
        <v>84</v>
      </c>
      <c r="AY12" s="437">
        <v>46125</v>
      </c>
      <c r="AZ12" s="442">
        <v>7</v>
      </c>
      <c r="BA12" s="437">
        <v>46118</v>
      </c>
      <c r="BB12" s="433">
        <v>2026</v>
      </c>
      <c r="BC12" s="430">
        <v>4</v>
      </c>
      <c r="BD12" s="430">
        <v>15</v>
      </c>
      <c r="BE12" s="431">
        <v>36</v>
      </c>
      <c r="BF12" s="431">
        <v>720</v>
      </c>
      <c r="BG12" s="431" t="s">
        <v>108</v>
      </c>
      <c r="BH12" s="431" t="s">
        <v>109</v>
      </c>
      <c r="BI12" s="430" t="s">
        <v>197</v>
      </c>
      <c r="BJ12" s="430" t="s">
        <v>197</v>
      </c>
      <c r="BK12" s="430" t="s">
        <v>197</v>
      </c>
      <c r="BL12" s="430" t="s">
        <v>197</v>
      </c>
      <c r="BM12" s="430" t="s">
        <v>197</v>
      </c>
      <c r="BN12" s="430" t="s">
        <v>197</v>
      </c>
      <c r="BO12" s="430" t="s">
        <v>197</v>
      </c>
      <c r="BP12" s="430" t="s">
        <v>197</v>
      </c>
      <c r="BQ12" s="430" t="s">
        <v>197</v>
      </c>
      <c r="BR12" s="430" t="s">
        <v>197</v>
      </c>
      <c r="BS12" s="430" t="s">
        <v>197</v>
      </c>
      <c r="BT12" s="430" t="s">
        <v>197</v>
      </c>
      <c r="BU12" s="430" t="s">
        <v>197</v>
      </c>
      <c r="BV12" s="430" t="s">
        <v>197</v>
      </c>
      <c r="BW12" s="430" t="s">
        <v>197</v>
      </c>
      <c r="BX12" s="430" t="s">
        <v>197</v>
      </c>
      <c r="BY12" s="430" t="s">
        <v>197</v>
      </c>
      <c r="BZ12" s="430" t="s">
        <v>197</v>
      </c>
      <c r="CA12" s="430" t="s">
        <v>197</v>
      </c>
      <c r="CB12" s="430" t="s">
        <v>197</v>
      </c>
      <c r="CC12" s="430" t="s">
        <v>197</v>
      </c>
      <c r="CD12" s="430" t="s">
        <v>197</v>
      </c>
      <c r="CE12" s="430" t="s">
        <v>197</v>
      </c>
      <c r="CF12" s="430" t="s">
        <v>197</v>
      </c>
      <c r="CG12" s="430" t="s">
        <v>197</v>
      </c>
      <c r="CH12" s="430" t="s">
        <v>197</v>
      </c>
      <c r="CI12" s="430" t="s">
        <v>197</v>
      </c>
      <c r="CJ12" s="430" t="s">
        <v>197</v>
      </c>
      <c r="CK12" s="430" t="s">
        <v>197</v>
      </c>
      <c r="CL12" s="430" t="s">
        <v>197</v>
      </c>
      <c r="CM12" s="430" t="s">
        <v>197</v>
      </c>
    </row>
    <row r="13" spans="1:91" ht="10.5">
      <c r="A13" s="462" t="s">
        <v>167</v>
      </c>
      <c r="B13" s="462" t="s">
        <v>111</v>
      </c>
      <c r="C13" s="462" t="s">
        <v>168</v>
      </c>
      <c r="D13" s="462" t="s">
        <v>63</v>
      </c>
      <c r="E13" s="462" t="s">
        <v>64</v>
      </c>
      <c r="F13" s="462" t="s">
        <v>100</v>
      </c>
      <c r="G13" s="462" t="s">
        <v>66</v>
      </c>
      <c r="H13" s="462" t="s">
        <v>67</v>
      </c>
      <c r="I13" s="439" t="s">
        <v>68</v>
      </c>
      <c r="J13" s="430" t="s">
        <v>169</v>
      </c>
      <c r="K13" s="430"/>
      <c r="L13" s="430"/>
      <c r="M13" s="430" t="s">
        <v>68</v>
      </c>
      <c r="N13" s="432" t="s">
        <v>68</v>
      </c>
      <c r="O13" s="430" t="s">
        <v>170</v>
      </c>
      <c r="P13" s="430" t="s">
        <v>171</v>
      </c>
      <c r="Q13" s="430" t="s">
        <v>172</v>
      </c>
      <c r="R13" s="431" t="s">
        <v>73</v>
      </c>
      <c r="S13" s="442" t="s">
        <v>120</v>
      </c>
      <c r="T13" s="433">
        <v>555</v>
      </c>
      <c r="U13" s="1088">
        <v>1320</v>
      </c>
      <c r="V13" s="434">
        <v>0.73299999999999998</v>
      </c>
      <c r="W13" s="435">
        <v>40</v>
      </c>
      <c r="X13" s="1040">
        <v>2</v>
      </c>
      <c r="Y13" s="430" t="s">
        <v>75</v>
      </c>
      <c r="Z13" s="430" t="s">
        <v>75</v>
      </c>
      <c r="AA13" s="430"/>
      <c r="AB13" s="437">
        <v>46013</v>
      </c>
      <c r="AC13" s="438">
        <v>52</v>
      </c>
      <c r="AD13" s="439" t="s">
        <v>173</v>
      </c>
      <c r="AE13" s="430"/>
      <c r="AF13" s="430" t="s">
        <v>122</v>
      </c>
      <c r="AG13" s="430" t="s">
        <v>123</v>
      </c>
      <c r="AH13" s="430" t="s">
        <v>105</v>
      </c>
      <c r="AI13" s="437">
        <v>46021</v>
      </c>
      <c r="AJ13" s="437">
        <v>46031</v>
      </c>
      <c r="AK13" s="441">
        <v>46030</v>
      </c>
      <c r="AL13" s="437">
        <v>46075</v>
      </c>
      <c r="AM13" s="437">
        <v>46111</v>
      </c>
      <c r="AN13" s="437">
        <v>46111</v>
      </c>
      <c r="AO13" s="430" t="s">
        <v>66</v>
      </c>
      <c r="AP13" s="430" t="s">
        <v>174</v>
      </c>
      <c r="AQ13" s="430" t="s">
        <v>80</v>
      </c>
      <c r="AR13" s="430" t="s">
        <v>175</v>
      </c>
      <c r="AS13" s="430" t="s">
        <v>176</v>
      </c>
      <c r="AT13" s="430" t="s">
        <v>176</v>
      </c>
      <c r="AU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7">
        <v>46111</v>
      </c>
      <c r="AX13" s="433" t="s">
        <v>84</v>
      </c>
      <c r="AY13" s="437">
        <v>46125</v>
      </c>
      <c r="AZ13" s="442">
        <v>7</v>
      </c>
      <c r="BA13" s="437">
        <v>46118</v>
      </c>
      <c r="BB13" s="433">
        <v>2026</v>
      </c>
      <c r="BC13" s="430">
        <v>4</v>
      </c>
      <c r="BD13" s="430">
        <v>15</v>
      </c>
      <c r="BE13" s="431">
        <v>33</v>
      </c>
      <c r="BF13" s="431">
        <v>660</v>
      </c>
      <c r="BG13" s="431" t="s">
        <v>108</v>
      </c>
      <c r="BH13" s="431" t="s">
        <v>109</v>
      </c>
      <c r="BI13" s="430" t="s">
        <v>197</v>
      </c>
      <c r="BJ13" s="430" t="s">
        <v>197</v>
      </c>
      <c r="BK13" s="430" t="s">
        <v>197</v>
      </c>
      <c r="BL13" s="430" t="s">
        <v>197</v>
      </c>
      <c r="BM13" s="430" t="s">
        <v>197</v>
      </c>
      <c r="BN13" s="430" t="s">
        <v>197</v>
      </c>
      <c r="BO13" s="430" t="s">
        <v>197</v>
      </c>
      <c r="BP13" s="430" t="s">
        <v>197</v>
      </c>
      <c r="BQ13" s="430" t="s">
        <v>197</v>
      </c>
      <c r="BR13" s="430" t="s">
        <v>197</v>
      </c>
      <c r="BS13" s="430" t="s">
        <v>197</v>
      </c>
      <c r="BT13" s="430" t="s">
        <v>197</v>
      </c>
      <c r="BU13" s="430" t="s">
        <v>197</v>
      </c>
      <c r="BV13" s="430" t="s">
        <v>197</v>
      </c>
      <c r="BW13" s="430" t="s">
        <v>197</v>
      </c>
      <c r="BX13" s="430" t="s">
        <v>197</v>
      </c>
      <c r="BY13" s="430" t="s">
        <v>197</v>
      </c>
      <c r="BZ13" s="430" t="s">
        <v>197</v>
      </c>
      <c r="CA13" s="430" t="s">
        <v>197</v>
      </c>
      <c r="CB13" s="430" t="s">
        <v>197</v>
      </c>
      <c r="CC13" s="430" t="s">
        <v>197</v>
      </c>
      <c r="CD13" s="430" t="s">
        <v>197</v>
      </c>
      <c r="CE13" s="430" t="s">
        <v>197</v>
      </c>
      <c r="CF13" s="430" t="s">
        <v>197</v>
      </c>
      <c r="CG13" s="430" t="s">
        <v>197</v>
      </c>
      <c r="CH13" s="430" t="s">
        <v>197</v>
      </c>
      <c r="CI13" s="430" t="s">
        <v>197</v>
      </c>
      <c r="CJ13" s="430" t="s">
        <v>197</v>
      </c>
      <c r="CK13" s="430" t="s">
        <v>197</v>
      </c>
      <c r="CL13" s="430" t="s">
        <v>197</v>
      </c>
      <c r="CM13" s="430" t="s">
        <v>197</v>
      </c>
    </row>
    <row r="14" spans="1:91" ht="10.5">
      <c r="A14" s="462" t="s">
        <v>177</v>
      </c>
      <c r="B14" s="462" t="s">
        <v>111</v>
      </c>
      <c r="C14" s="462" t="s">
        <v>112</v>
      </c>
      <c r="D14" s="462" t="s">
        <v>113</v>
      </c>
      <c r="E14" s="462" t="s">
        <v>64</v>
      </c>
      <c r="F14" s="462" t="s">
        <v>114</v>
      </c>
      <c r="G14" s="462" t="s">
        <v>66</v>
      </c>
      <c r="H14" s="462" t="s">
        <v>115</v>
      </c>
      <c r="I14" s="439" t="s">
        <v>68</v>
      </c>
      <c r="J14" s="430" t="s">
        <v>116</v>
      </c>
      <c r="K14" s="430" t="s">
        <v>117</v>
      </c>
      <c r="L14" s="430"/>
      <c r="M14" s="430" t="s">
        <v>68</v>
      </c>
      <c r="N14" s="432" t="s">
        <v>68</v>
      </c>
      <c r="O14" s="430" t="s">
        <v>70</v>
      </c>
      <c r="P14" s="430" t="s">
        <v>118</v>
      </c>
      <c r="Q14" s="430" t="s">
        <v>119</v>
      </c>
      <c r="R14" s="431" t="s">
        <v>73</v>
      </c>
      <c r="S14" s="442" t="s">
        <v>120</v>
      </c>
      <c r="T14" s="433">
        <v>640</v>
      </c>
      <c r="U14" s="1088">
        <v>1152</v>
      </c>
      <c r="V14" s="434">
        <v>0.73699999999999999</v>
      </c>
      <c r="W14" s="435">
        <v>32</v>
      </c>
      <c r="X14" s="1040">
        <v>2</v>
      </c>
      <c r="Y14" s="430" t="s">
        <v>75</v>
      </c>
      <c r="Z14" s="430" t="s">
        <v>75</v>
      </c>
      <c r="AA14" s="430"/>
      <c r="AB14" s="437">
        <v>46018</v>
      </c>
      <c r="AC14" s="438">
        <v>52</v>
      </c>
      <c r="AD14" s="439" t="s">
        <v>178</v>
      </c>
      <c r="AE14" s="430"/>
      <c r="AF14" s="430" t="s">
        <v>122</v>
      </c>
      <c r="AG14" s="430" t="s">
        <v>123</v>
      </c>
      <c r="AH14" s="430" t="s">
        <v>124</v>
      </c>
      <c r="AI14" s="437">
        <v>46021</v>
      </c>
      <c r="AJ14" s="437">
        <v>46031</v>
      </c>
      <c r="AK14" s="441">
        <v>46030</v>
      </c>
      <c r="AL14" s="437">
        <v>46065</v>
      </c>
      <c r="AM14" s="437">
        <v>46088</v>
      </c>
      <c r="AN14" s="437">
        <v>46089</v>
      </c>
      <c r="AO14" s="430" t="s">
        <v>66</v>
      </c>
      <c r="AP14" s="430" t="s">
        <v>174</v>
      </c>
      <c r="AQ14" s="430" t="s">
        <v>80</v>
      </c>
      <c r="AR14" s="430" t="s">
        <v>179</v>
      </c>
      <c r="AS14" s="430" t="s">
        <v>180</v>
      </c>
      <c r="AT14" s="430" t="s">
        <v>180</v>
      </c>
      <c r="AU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7">
        <v>46089</v>
      </c>
      <c r="AX14" s="433" t="s">
        <v>84</v>
      </c>
      <c r="AY14" s="437">
        <v>46100</v>
      </c>
      <c r="AZ14" s="442">
        <v>9</v>
      </c>
      <c r="BA14" s="437">
        <v>46098</v>
      </c>
      <c r="BB14" s="433">
        <v>2026</v>
      </c>
      <c r="BC14" s="430">
        <v>3</v>
      </c>
      <c r="BD14" s="430">
        <v>12</v>
      </c>
      <c r="BE14" s="431">
        <v>36</v>
      </c>
      <c r="BF14" s="431">
        <v>576</v>
      </c>
      <c r="BG14" s="431" t="s">
        <v>128</v>
      </c>
      <c r="BH14" s="431" t="s">
        <v>86</v>
      </c>
      <c r="BI14" s="430" t="s">
        <v>197</v>
      </c>
      <c r="BJ14" s="430" t="s">
        <v>197</v>
      </c>
      <c r="BK14" s="430" t="s">
        <v>197</v>
      </c>
      <c r="BL14" s="430" t="s">
        <v>197</v>
      </c>
      <c r="BM14" s="430" t="s">
        <v>197</v>
      </c>
      <c r="BN14" s="430" t="s">
        <v>197</v>
      </c>
      <c r="BO14" s="430" t="s">
        <v>197</v>
      </c>
      <c r="BP14" s="430" t="s">
        <v>197</v>
      </c>
      <c r="BQ14" s="430" t="s">
        <v>197</v>
      </c>
      <c r="BR14" s="430" t="s">
        <v>197</v>
      </c>
      <c r="BS14" s="430" t="s">
        <v>197</v>
      </c>
      <c r="BT14" s="430" t="s">
        <v>197</v>
      </c>
      <c r="BU14" s="430" t="s">
        <v>197</v>
      </c>
      <c r="BV14" s="430" t="s">
        <v>197</v>
      </c>
      <c r="BW14" s="430" t="s">
        <v>197</v>
      </c>
      <c r="BX14" s="430" t="s">
        <v>197</v>
      </c>
      <c r="BY14" s="430" t="s">
        <v>197</v>
      </c>
      <c r="BZ14" s="430" t="s">
        <v>197</v>
      </c>
      <c r="CA14" s="430" t="s">
        <v>197</v>
      </c>
      <c r="CB14" s="430" t="s">
        <v>197</v>
      </c>
      <c r="CC14" s="430" t="s">
        <v>197</v>
      </c>
      <c r="CD14" s="430" t="s">
        <v>197</v>
      </c>
      <c r="CE14" s="430" t="s">
        <v>197</v>
      </c>
      <c r="CF14" s="430" t="s">
        <v>197</v>
      </c>
      <c r="CG14" s="430" t="s">
        <v>197</v>
      </c>
      <c r="CH14" s="430" t="s">
        <v>197</v>
      </c>
      <c r="CI14" s="430" t="s">
        <v>197</v>
      </c>
      <c r="CJ14" s="430" t="s">
        <v>197</v>
      </c>
      <c r="CK14" s="430" t="s">
        <v>197</v>
      </c>
      <c r="CL14" s="430" t="s">
        <v>197</v>
      </c>
      <c r="CM14" s="430" t="s">
        <v>197</v>
      </c>
    </row>
    <row r="15" spans="1:91" ht="10.5">
      <c r="A15" s="462" t="s">
        <v>181</v>
      </c>
      <c r="B15" s="462" t="s">
        <v>111</v>
      </c>
      <c r="C15" s="462" t="s">
        <v>130</v>
      </c>
      <c r="D15" s="462" t="s">
        <v>63</v>
      </c>
      <c r="E15" s="462" t="s">
        <v>64</v>
      </c>
      <c r="F15" s="462" t="s">
        <v>65</v>
      </c>
      <c r="G15" s="462" t="s">
        <v>66</v>
      </c>
      <c r="H15" s="462" t="s">
        <v>67</v>
      </c>
      <c r="I15" s="439" t="s">
        <v>68</v>
      </c>
      <c r="J15" s="430" t="s">
        <v>131</v>
      </c>
      <c r="K15" s="430"/>
      <c r="L15" s="430"/>
      <c r="M15" s="430" t="s">
        <v>68</v>
      </c>
      <c r="N15" s="432" t="s">
        <v>68</v>
      </c>
      <c r="O15" s="430" t="s">
        <v>132</v>
      </c>
      <c r="P15" s="430" t="s">
        <v>133</v>
      </c>
      <c r="Q15" s="430" t="s">
        <v>134</v>
      </c>
      <c r="R15" s="431" t="s">
        <v>73</v>
      </c>
      <c r="S15" s="442" t="s">
        <v>120</v>
      </c>
      <c r="T15" s="433">
        <v>720</v>
      </c>
      <c r="U15" s="1088">
        <v>4752</v>
      </c>
      <c r="V15" s="434">
        <v>3.4209999999999998</v>
      </c>
      <c r="W15" s="435">
        <v>144</v>
      </c>
      <c r="X15" s="1040">
        <v>8</v>
      </c>
      <c r="Y15" s="430" t="s">
        <v>75</v>
      </c>
      <c r="Z15" s="430" t="s">
        <v>75</v>
      </c>
      <c r="AA15" s="430"/>
      <c r="AB15" s="437">
        <v>46021</v>
      </c>
      <c r="AC15" s="438">
        <v>1</v>
      </c>
      <c r="AD15" s="439" t="s">
        <v>182</v>
      </c>
      <c r="AE15" s="430"/>
      <c r="AF15" s="430" t="s">
        <v>122</v>
      </c>
      <c r="AG15" s="430" t="s">
        <v>123</v>
      </c>
      <c r="AH15" s="430" t="s">
        <v>78</v>
      </c>
      <c r="AI15" s="437">
        <v>46027</v>
      </c>
      <c r="AJ15" s="437">
        <v>46029</v>
      </c>
      <c r="AK15" s="441">
        <v>46030</v>
      </c>
      <c r="AL15" s="437">
        <v>46073</v>
      </c>
      <c r="AM15" s="437">
        <v>46098</v>
      </c>
      <c r="AN15" s="437">
        <v>46099</v>
      </c>
      <c r="AO15" s="430" t="s">
        <v>66</v>
      </c>
      <c r="AP15" s="430" t="s">
        <v>183</v>
      </c>
      <c r="AQ15" s="430" t="s">
        <v>80</v>
      </c>
      <c r="AR15" s="430" t="s">
        <v>184</v>
      </c>
      <c r="AS15" s="430" t="s">
        <v>185</v>
      </c>
      <c r="AT15" s="430" t="s">
        <v>185</v>
      </c>
      <c r="AU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7">
        <v>46099</v>
      </c>
      <c r="AX15" s="433" t="s">
        <v>84</v>
      </c>
      <c r="AY15" s="437">
        <v>46112</v>
      </c>
      <c r="AZ15" s="442">
        <v>8</v>
      </c>
      <c r="BA15" s="437">
        <v>46107</v>
      </c>
      <c r="BB15" s="433">
        <v>2026</v>
      </c>
      <c r="BC15" s="430">
        <v>3</v>
      </c>
      <c r="BD15" s="430">
        <v>13</v>
      </c>
      <c r="BE15" s="431">
        <v>33</v>
      </c>
      <c r="BF15" s="431">
        <v>594</v>
      </c>
      <c r="BG15" s="431" t="s">
        <v>108</v>
      </c>
      <c r="BH15" s="431" t="s">
        <v>86</v>
      </c>
      <c r="BI15" s="430" t="s">
        <v>197</v>
      </c>
      <c r="BJ15" s="430" t="s">
        <v>197</v>
      </c>
      <c r="BK15" s="430" t="s">
        <v>197</v>
      </c>
      <c r="BL15" s="430" t="s">
        <v>197</v>
      </c>
      <c r="BM15" s="430" t="s">
        <v>197</v>
      </c>
      <c r="BN15" s="430" t="s">
        <v>197</v>
      </c>
      <c r="BO15" s="430" t="s">
        <v>197</v>
      </c>
      <c r="BP15" s="430" t="s">
        <v>197</v>
      </c>
      <c r="BQ15" s="430" t="s">
        <v>197</v>
      </c>
      <c r="BR15" s="430" t="s">
        <v>197</v>
      </c>
      <c r="BS15" s="430" t="s">
        <v>197</v>
      </c>
      <c r="BT15" s="430" t="s">
        <v>197</v>
      </c>
      <c r="BU15" s="430" t="s">
        <v>197</v>
      </c>
      <c r="BV15" s="430" t="s">
        <v>197</v>
      </c>
      <c r="BW15" s="430" t="s">
        <v>197</v>
      </c>
      <c r="BX15" s="430" t="s">
        <v>197</v>
      </c>
      <c r="BY15" s="430" t="s">
        <v>197</v>
      </c>
      <c r="BZ15" s="430" t="s">
        <v>197</v>
      </c>
      <c r="CA15" s="430" t="s">
        <v>197</v>
      </c>
      <c r="CB15" s="430" t="s">
        <v>197</v>
      </c>
      <c r="CC15" s="430" t="s">
        <v>197</v>
      </c>
      <c r="CD15" s="430" t="s">
        <v>197</v>
      </c>
      <c r="CE15" s="430" t="s">
        <v>197</v>
      </c>
      <c r="CF15" s="430" t="s">
        <v>197</v>
      </c>
      <c r="CG15" s="430" t="s">
        <v>197</v>
      </c>
      <c r="CH15" s="430" t="s">
        <v>197</v>
      </c>
      <c r="CI15" s="430" t="s">
        <v>197</v>
      </c>
      <c r="CJ15" s="430" t="s">
        <v>197</v>
      </c>
      <c r="CK15" s="430" t="s">
        <v>197</v>
      </c>
      <c r="CL15" s="430" t="s">
        <v>197</v>
      </c>
      <c r="CM15" s="430" t="s">
        <v>197</v>
      </c>
    </row>
    <row r="16" spans="1:91" ht="10.5">
      <c r="A16" s="462" t="s">
        <v>186</v>
      </c>
      <c r="B16" s="462" t="s">
        <v>111</v>
      </c>
      <c r="C16" s="462" t="s">
        <v>187</v>
      </c>
      <c r="D16" s="462" t="s">
        <v>63</v>
      </c>
      <c r="E16" s="462" t="s">
        <v>64</v>
      </c>
      <c r="F16" s="462" t="s">
        <v>65</v>
      </c>
      <c r="G16" s="462" t="s">
        <v>66</v>
      </c>
      <c r="H16" s="462" t="s">
        <v>67</v>
      </c>
      <c r="I16" s="439" t="s">
        <v>68</v>
      </c>
      <c r="J16" s="430" t="s">
        <v>188</v>
      </c>
      <c r="K16" s="430"/>
      <c r="L16" s="430"/>
      <c r="M16" s="430" t="s">
        <v>68</v>
      </c>
      <c r="N16" s="432" t="s">
        <v>68</v>
      </c>
      <c r="O16" s="430" t="s">
        <v>132</v>
      </c>
      <c r="P16" s="430" t="s">
        <v>189</v>
      </c>
      <c r="Q16" s="430" t="s">
        <v>190</v>
      </c>
      <c r="R16" s="431" t="s">
        <v>73</v>
      </c>
      <c r="S16" s="442" t="s">
        <v>74</v>
      </c>
      <c r="T16" s="433">
        <v>465</v>
      </c>
      <c r="U16" s="1088">
        <v>4320</v>
      </c>
      <c r="V16" s="434">
        <v>2.0089999999999999</v>
      </c>
      <c r="W16" s="435">
        <v>120</v>
      </c>
      <c r="X16" s="1040">
        <v>5</v>
      </c>
      <c r="Y16" s="430" t="s">
        <v>75</v>
      </c>
      <c r="Z16" s="430" t="s">
        <v>75</v>
      </c>
      <c r="AA16" s="430"/>
      <c r="AB16" s="437">
        <v>46021</v>
      </c>
      <c r="AC16" s="438">
        <v>1</v>
      </c>
      <c r="AD16" s="439" t="s">
        <v>191</v>
      </c>
      <c r="AE16" s="430"/>
      <c r="AF16" s="430" t="s">
        <v>122</v>
      </c>
      <c r="AG16" s="430" t="s">
        <v>123</v>
      </c>
      <c r="AH16" s="430" t="s">
        <v>78</v>
      </c>
      <c r="AI16" s="437">
        <v>46027</v>
      </c>
      <c r="AJ16" s="437">
        <v>46029</v>
      </c>
      <c r="AK16" s="441">
        <v>46030</v>
      </c>
      <c r="AL16" s="437">
        <v>46073</v>
      </c>
      <c r="AM16" s="437">
        <v>46098</v>
      </c>
      <c r="AN16" s="437">
        <v>46099</v>
      </c>
      <c r="AO16" s="430" t="s">
        <v>66</v>
      </c>
      <c r="AP16" s="430" t="s">
        <v>183</v>
      </c>
      <c r="AQ16" s="430" t="s">
        <v>80</v>
      </c>
      <c r="AR16" s="430" t="s">
        <v>184</v>
      </c>
      <c r="AS16" s="430" t="s">
        <v>185</v>
      </c>
      <c r="AT16" s="430" t="s">
        <v>185</v>
      </c>
      <c r="AU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7">
        <v>46099</v>
      </c>
      <c r="AX16" s="433" t="s">
        <v>84</v>
      </c>
      <c r="AY16" s="437">
        <v>46112</v>
      </c>
      <c r="AZ16" s="442">
        <v>8</v>
      </c>
      <c r="BA16" s="437">
        <v>46107</v>
      </c>
      <c r="BB16" s="433">
        <v>2026</v>
      </c>
      <c r="BC16" s="430">
        <v>3</v>
      </c>
      <c r="BD16" s="430">
        <v>13</v>
      </c>
      <c r="BE16" s="431">
        <v>36</v>
      </c>
      <c r="BF16" s="431">
        <v>864</v>
      </c>
      <c r="BG16" s="431" t="s">
        <v>108</v>
      </c>
      <c r="BH16" s="431" t="s">
        <v>86</v>
      </c>
      <c r="BI16" s="430" t="s">
        <v>197</v>
      </c>
      <c r="BJ16" s="430" t="s">
        <v>197</v>
      </c>
      <c r="BK16" s="430" t="s">
        <v>197</v>
      </c>
      <c r="BL16" s="430" t="s">
        <v>197</v>
      </c>
      <c r="BM16" s="430" t="s">
        <v>197</v>
      </c>
      <c r="BN16" s="430" t="s">
        <v>197</v>
      </c>
      <c r="BO16" s="430" t="s">
        <v>197</v>
      </c>
      <c r="BP16" s="430" t="s">
        <v>197</v>
      </c>
      <c r="BQ16" s="430" t="s">
        <v>197</v>
      </c>
      <c r="BR16" s="430" t="s">
        <v>197</v>
      </c>
      <c r="BS16" s="430" t="s">
        <v>197</v>
      </c>
      <c r="BT16" s="430" t="s">
        <v>197</v>
      </c>
      <c r="BU16" s="430" t="s">
        <v>197</v>
      </c>
      <c r="BV16" s="430" t="s">
        <v>197</v>
      </c>
      <c r="BW16" s="430" t="s">
        <v>197</v>
      </c>
      <c r="BX16" s="430" t="s">
        <v>197</v>
      </c>
      <c r="BY16" s="430" t="s">
        <v>197</v>
      </c>
      <c r="BZ16" s="430" t="s">
        <v>197</v>
      </c>
      <c r="CA16" s="430" t="s">
        <v>197</v>
      </c>
      <c r="CB16" s="430" t="s">
        <v>197</v>
      </c>
      <c r="CC16" s="430" t="s">
        <v>197</v>
      </c>
      <c r="CD16" s="430" t="s">
        <v>197</v>
      </c>
      <c r="CE16" s="430" t="s">
        <v>197</v>
      </c>
      <c r="CF16" s="430" t="s">
        <v>197</v>
      </c>
      <c r="CG16" s="430" t="s">
        <v>197</v>
      </c>
      <c r="CH16" s="430" t="s">
        <v>197</v>
      </c>
      <c r="CI16" s="430" t="s">
        <v>197</v>
      </c>
      <c r="CJ16" s="430" t="s">
        <v>197</v>
      </c>
      <c r="CK16" s="430" t="s">
        <v>197</v>
      </c>
      <c r="CL16" s="430" t="s">
        <v>197</v>
      </c>
      <c r="CM16" s="430" t="s">
        <v>197</v>
      </c>
    </row>
    <row r="17" spans="1:91" ht="10.5">
      <c r="A17" s="462" t="s">
        <v>192</v>
      </c>
      <c r="B17" s="462" t="s">
        <v>61</v>
      </c>
      <c r="C17" s="462" t="s">
        <v>193</v>
      </c>
      <c r="D17" s="462" t="s">
        <v>63</v>
      </c>
      <c r="E17" s="462" t="s">
        <v>64</v>
      </c>
      <c r="F17" s="462" t="s">
        <v>100</v>
      </c>
      <c r="G17" s="462" t="s">
        <v>66</v>
      </c>
      <c r="H17" s="462" t="s">
        <v>67</v>
      </c>
      <c r="I17" s="439" t="s">
        <v>68</v>
      </c>
      <c r="J17" s="430" t="s">
        <v>194</v>
      </c>
      <c r="K17" s="430">
        <v>46011059</v>
      </c>
      <c r="L17" s="430"/>
      <c r="M17" s="430" t="s">
        <v>68</v>
      </c>
      <c r="N17" s="432" t="s">
        <v>68</v>
      </c>
      <c r="O17" s="430" t="s">
        <v>70</v>
      </c>
      <c r="P17" s="430" t="s">
        <v>195</v>
      </c>
      <c r="Q17" s="430" t="s">
        <v>196</v>
      </c>
      <c r="R17" s="431" t="s">
        <v>73</v>
      </c>
      <c r="S17" s="442" t="s">
        <v>74</v>
      </c>
      <c r="T17" s="433">
        <v>450</v>
      </c>
      <c r="U17" s="1088">
        <v>1872</v>
      </c>
      <c r="V17" s="434">
        <v>0.84199999999999997</v>
      </c>
      <c r="W17" s="435">
        <v>52</v>
      </c>
      <c r="X17" s="1040">
        <v>2</v>
      </c>
      <c r="Y17" s="430" t="s">
        <v>75</v>
      </c>
      <c r="Z17" s="430" t="s">
        <v>75</v>
      </c>
      <c r="AA17" s="430" t="s">
        <v>197</v>
      </c>
      <c r="AB17" s="437">
        <v>46016</v>
      </c>
      <c r="AC17" s="438">
        <v>52</v>
      </c>
      <c r="AD17" s="439" t="s">
        <v>198</v>
      </c>
      <c r="AE17" s="430" t="s">
        <v>197</v>
      </c>
      <c r="AF17" s="430" t="s">
        <v>77</v>
      </c>
      <c r="AG17" s="430" t="s">
        <v>61</v>
      </c>
      <c r="AH17" s="430" t="s">
        <v>105</v>
      </c>
      <c r="AI17" s="437">
        <v>46027</v>
      </c>
      <c r="AJ17" s="437">
        <v>46027</v>
      </c>
      <c r="AK17" s="441">
        <v>46027</v>
      </c>
      <c r="AL17" s="437">
        <v>46081</v>
      </c>
      <c r="AM17" s="437">
        <v>46094</v>
      </c>
      <c r="AN17" s="437">
        <v>46094</v>
      </c>
      <c r="AO17" s="430" t="s">
        <v>66</v>
      </c>
      <c r="AP17" s="430" t="s">
        <v>199</v>
      </c>
      <c r="AQ17" s="430" t="s">
        <v>80</v>
      </c>
      <c r="AR17" s="430" t="s">
        <v>200</v>
      </c>
      <c r="AS17" s="430" t="s">
        <v>201</v>
      </c>
      <c r="AT17" s="430" t="s">
        <v>201</v>
      </c>
      <c r="AU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0" t="s">
        <v>83</v>
      </c>
      <c r="AW17" s="437">
        <v>46094</v>
      </c>
      <c r="AX17" s="433" t="s">
        <v>84</v>
      </c>
      <c r="AY17" s="437">
        <v>46097</v>
      </c>
      <c r="AZ17" s="442">
        <v>7</v>
      </c>
      <c r="BA17" s="437">
        <v>46101</v>
      </c>
      <c r="BB17" s="433">
        <v>2026</v>
      </c>
      <c r="BC17" s="430">
        <v>3</v>
      </c>
      <c r="BD17" s="430">
        <v>12</v>
      </c>
      <c r="BE17" s="431">
        <v>36</v>
      </c>
      <c r="BF17" s="431">
        <v>936</v>
      </c>
      <c r="BG17" s="431" t="s">
        <v>85</v>
      </c>
      <c r="BH17" s="431" t="s">
        <v>109</v>
      </c>
      <c r="BI17" s="430" t="s">
        <v>197</v>
      </c>
      <c r="BJ17" s="430" t="s">
        <v>197</v>
      </c>
      <c r="BK17" s="430" t="s">
        <v>197</v>
      </c>
      <c r="BL17" s="430" t="s">
        <v>197</v>
      </c>
      <c r="BM17" s="430" t="s">
        <v>197</v>
      </c>
      <c r="BN17" s="430" t="s">
        <v>197</v>
      </c>
      <c r="BO17" s="430" t="s">
        <v>197</v>
      </c>
      <c r="BP17" s="430" t="s">
        <v>197</v>
      </c>
      <c r="BQ17" s="430" t="s">
        <v>197</v>
      </c>
      <c r="BR17" s="430" t="s">
        <v>197</v>
      </c>
      <c r="BS17" s="430" t="s">
        <v>197</v>
      </c>
      <c r="BT17" s="430" t="s">
        <v>197</v>
      </c>
      <c r="BU17" s="430" t="s">
        <v>197</v>
      </c>
      <c r="BV17" s="430" t="s">
        <v>197</v>
      </c>
      <c r="BW17" s="430" t="s">
        <v>197</v>
      </c>
      <c r="BX17" s="430" t="s">
        <v>197</v>
      </c>
      <c r="BY17" s="430" t="s">
        <v>197</v>
      </c>
      <c r="BZ17" s="430" t="s">
        <v>197</v>
      </c>
      <c r="CA17" s="430" t="s">
        <v>197</v>
      </c>
      <c r="CB17" s="430" t="s">
        <v>197</v>
      </c>
      <c r="CC17" s="430" t="s">
        <v>197</v>
      </c>
      <c r="CD17" s="430" t="s">
        <v>197</v>
      </c>
      <c r="CE17" s="430" t="s">
        <v>197</v>
      </c>
      <c r="CF17" s="430" t="s">
        <v>197</v>
      </c>
      <c r="CG17" s="430" t="s">
        <v>197</v>
      </c>
      <c r="CH17" s="430" t="s">
        <v>197</v>
      </c>
      <c r="CI17" s="430" t="s">
        <v>197</v>
      </c>
      <c r="CJ17" s="430" t="s">
        <v>197</v>
      </c>
      <c r="CK17" s="430" t="s">
        <v>197</v>
      </c>
      <c r="CL17" s="430" t="s">
        <v>197</v>
      </c>
      <c r="CM17" s="430" t="s">
        <v>197</v>
      </c>
    </row>
    <row r="18" spans="1:91" ht="10.5">
      <c r="A18" s="462" t="s">
        <v>202</v>
      </c>
      <c r="B18" s="462" t="s">
        <v>61</v>
      </c>
      <c r="C18" s="462" t="s">
        <v>203</v>
      </c>
      <c r="D18" s="462" t="s">
        <v>63</v>
      </c>
      <c r="E18" s="462" t="s">
        <v>64</v>
      </c>
      <c r="F18" s="462" t="s">
        <v>65</v>
      </c>
      <c r="G18" s="462" t="s">
        <v>66</v>
      </c>
      <c r="H18" s="462" t="s">
        <v>67</v>
      </c>
      <c r="I18" s="439" t="s">
        <v>68</v>
      </c>
      <c r="J18" s="430" t="s">
        <v>96</v>
      </c>
      <c r="K18" s="430"/>
      <c r="L18" s="430"/>
      <c r="M18" s="430" t="s">
        <v>68</v>
      </c>
      <c r="N18" s="432" t="s">
        <v>68</v>
      </c>
      <c r="O18" s="430" t="s">
        <v>70</v>
      </c>
      <c r="P18" s="430" t="s">
        <v>204</v>
      </c>
      <c r="Q18" s="430" t="s">
        <v>205</v>
      </c>
      <c r="R18" s="431" t="s">
        <v>73</v>
      </c>
      <c r="S18" s="442" t="s">
        <v>74</v>
      </c>
      <c r="T18" s="433">
        <v>455</v>
      </c>
      <c r="U18" s="1088">
        <v>5616</v>
      </c>
      <c r="V18" s="434">
        <v>2.5550000000000002</v>
      </c>
      <c r="W18" s="435">
        <v>156</v>
      </c>
      <c r="X18" s="1040">
        <v>6</v>
      </c>
      <c r="Y18" s="430" t="s">
        <v>75</v>
      </c>
      <c r="Z18" s="430" t="s">
        <v>75</v>
      </c>
      <c r="AA18" s="430" t="s">
        <v>197</v>
      </c>
      <c r="AB18" s="437">
        <v>46016</v>
      </c>
      <c r="AC18" s="438">
        <v>52</v>
      </c>
      <c r="AD18" s="439" t="s">
        <v>206</v>
      </c>
      <c r="AE18" s="430" t="s">
        <v>197</v>
      </c>
      <c r="AF18" s="430" t="s">
        <v>77</v>
      </c>
      <c r="AG18" s="430" t="s">
        <v>61</v>
      </c>
      <c r="AH18" s="430" t="s">
        <v>78</v>
      </c>
      <c r="AI18" s="437">
        <v>46027</v>
      </c>
      <c r="AJ18" s="437">
        <v>46027</v>
      </c>
      <c r="AK18" s="441">
        <v>46027</v>
      </c>
      <c r="AL18" s="437">
        <v>46090</v>
      </c>
      <c r="AM18" s="437">
        <v>46101</v>
      </c>
      <c r="AN18" s="437">
        <v>46102</v>
      </c>
      <c r="AO18" s="430" t="s">
        <v>66</v>
      </c>
      <c r="AP18" s="430" t="s">
        <v>199</v>
      </c>
      <c r="AQ18" s="430" t="s">
        <v>80</v>
      </c>
      <c r="AR18" s="430" t="s">
        <v>207</v>
      </c>
      <c r="AS18" s="430" t="s">
        <v>208</v>
      </c>
      <c r="AT18" s="430" t="s">
        <v>208</v>
      </c>
      <c r="AU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0" t="s">
        <v>83</v>
      </c>
      <c r="AW18" s="437">
        <v>46102</v>
      </c>
      <c r="AX18" s="433" t="s">
        <v>84</v>
      </c>
      <c r="AY18" s="437">
        <v>46115</v>
      </c>
      <c r="AZ18" s="442">
        <v>8</v>
      </c>
      <c r="BA18" s="437">
        <v>46110</v>
      </c>
      <c r="BB18" s="433">
        <v>2026</v>
      </c>
      <c r="BC18" s="430">
        <v>3</v>
      </c>
      <c r="BD18" s="430">
        <v>13</v>
      </c>
      <c r="BE18" s="431">
        <v>36</v>
      </c>
      <c r="BF18" s="431">
        <v>936</v>
      </c>
      <c r="BG18" s="431" t="s">
        <v>94</v>
      </c>
      <c r="BH18" s="431" t="s">
        <v>86</v>
      </c>
      <c r="BI18" s="430" t="s">
        <v>197</v>
      </c>
      <c r="BJ18" s="430" t="s">
        <v>197</v>
      </c>
      <c r="BK18" s="430" t="s">
        <v>197</v>
      </c>
      <c r="BL18" s="430" t="s">
        <v>197</v>
      </c>
      <c r="BM18" s="430" t="s">
        <v>197</v>
      </c>
      <c r="BN18" s="430" t="s">
        <v>197</v>
      </c>
      <c r="BO18" s="430" t="s">
        <v>197</v>
      </c>
      <c r="BP18" s="430" t="s">
        <v>197</v>
      </c>
      <c r="BQ18" s="430" t="s">
        <v>197</v>
      </c>
      <c r="BR18" s="430" t="s">
        <v>197</v>
      </c>
      <c r="BS18" s="430" t="s">
        <v>197</v>
      </c>
      <c r="BT18" s="430" t="s">
        <v>197</v>
      </c>
      <c r="BU18" s="430" t="s">
        <v>197</v>
      </c>
      <c r="BV18" s="430" t="s">
        <v>197</v>
      </c>
      <c r="BW18" s="430" t="s">
        <v>197</v>
      </c>
      <c r="BX18" s="430" t="s">
        <v>197</v>
      </c>
      <c r="BY18" s="430" t="s">
        <v>197</v>
      </c>
      <c r="BZ18" s="430" t="s">
        <v>197</v>
      </c>
      <c r="CA18" s="430" t="s">
        <v>197</v>
      </c>
      <c r="CB18" s="430" t="s">
        <v>197</v>
      </c>
      <c r="CC18" s="430" t="s">
        <v>197</v>
      </c>
      <c r="CD18" s="430" t="s">
        <v>197</v>
      </c>
      <c r="CE18" s="430" t="s">
        <v>197</v>
      </c>
      <c r="CF18" s="430" t="s">
        <v>197</v>
      </c>
      <c r="CG18" s="430" t="s">
        <v>197</v>
      </c>
      <c r="CH18" s="430" t="s">
        <v>197</v>
      </c>
      <c r="CI18" s="430" t="s">
        <v>197</v>
      </c>
      <c r="CJ18" s="430" t="s">
        <v>197</v>
      </c>
      <c r="CK18" s="430" t="s">
        <v>197</v>
      </c>
      <c r="CL18" s="430" t="s">
        <v>197</v>
      </c>
      <c r="CM18" s="430" t="s">
        <v>197</v>
      </c>
    </row>
    <row r="19" spans="1:91" ht="10.5">
      <c r="A19" s="462" t="s">
        <v>209</v>
      </c>
      <c r="B19" s="462" t="s">
        <v>111</v>
      </c>
      <c r="C19" s="462" t="s">
        <v>168</v>
      </c>
      <c r="D19" s="462" t="s">
        <v>63</v>
      </c>
      <c r="E19" s="462" t="s">
        <v>64</v>
      </c>
      <c r="F19" s="462" t="s">
        <v>100</v>
      </c>
      <c r="G19" s="462" t="s">
        <v>66</v>
      </c>
      <c r="H19" s="462" t="s">
        <v>67</v>
      </c>
      <c r="I19" s="439" t="s">
        <v>68</v>
      </c>
      <c r="J19" s="430" t="s">
        <v>96</v>
      </c>
      <c r="K19" s="430"/>
      <c r="L19" s="430"/>
      <c r="M19" s="430" t="s">
        <v>68</v>
      </c>
      <c r="N19" s="432" t="s">
        <v>68</v>
      </c>
      <c r="O19" s="430" t="s">
        <v>170</v>
      </c>
      <c r="P19" s="430" t="s">
        <v>171</v>
      </c>
      <c r="Q19" s="430" t="s">
        <v>172</v>
      </c>
      <c r="R19" s="431" t="s">
        <v>73</v>
      </c>
      <c r="S19" s="442" t="s">
        <v>120</v>
      </c>
      <c r="T19" s="433">
        <v>555</v>
      </c>
      <c r="U19" s="1088">
        <v>660</v>
      </c>
      <c r="V19" s="434">
        <v>0.36599999999999999</v>
      </c>
      <c r="W19" s="435">
        <v>20</v>
      </c>
      <c r="X19" s="1040">
        <v>1</v>
      </c>
      <c r="Y19" s="430" t="s">
        <v>75</v>
      </c>
      <c r="Z19" s="430" t="s">
        <v>75</v>
      </c>
      <c r="AA19" s="430"/>
      <c r="AB19" s="437">
        <v>46028</v>
      </c>
      <c r="AC19" s="438">
        <v>2</v>
      </c>
      <c r="AD19" s="439" t="s">
        <v>210</v>
      </c>
      <c r="AE19" s="430"/>
      <c r="AF19" s="430" t="s">
        <v>122</v>
      </c>
      <c r="AG19" s="430" t="s">
        <v>123</v>
      </c>
      <c r="AH19" s="430" t="s">
        <v>105</v>
      </c>
      <c r="AI19" s="437">
        <v>46031</v>
      </c>
      <c r="AJ19" s="437">
        <v>46036</v>
      </c>
      <c r="AK19" s="441">
        <v>46035</v>
      </c>
      <c r="AL19" s="437">
        <v>46069</v>
      </c>
      <c r="AM19" s="437">
        <v>46087</v>
      </c>
      <c r="AN19" s="437">
        <v>46087</v>
      </c>
      <c r="AO19" s="430" t="s">
        <v>66</v>
      </c>
      <c r="AP19" s="430" t="s">
        <v>211</v>
      </c>
      <c r="AQ19" s="430" t="s">
        <v>80</v>
      </c>
      <c r="AR19" s="430" t="s">
        <v>212</v>
      </c>
      <c r="AS19" s="430" t="s">
        <v>213</v>
      </c>
      <c r="AT19" s="430" t="s">
        <v>213</v>
      </c>
      <c r="AU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7">
        <v>46087</v>
      </c>
      <c r="AX19" s="433" t="s">
        <v>84</v>
      </c>
      <c r="AY19" s="437">
        <v>46101</v>
      </c>
      <c r="AZ19" s="442">
        <v>7</v>
      </c>
      <c r="BA19" s="437">
        <v>46094</v>
      </c>
      <c r="BB19" s="433">
        <v>2026</v>
      </c>
      <c r="BC19" s="430">
        <v>3</v>
      </c>
      <c r="BD19" s="430">
        <v>11</v>
      </c>
      <c r="BE19" s="431">
        <v>33</v>
      </c>
      <c r="BF19" s="431">
        <v>660</v>
      </c>
      <c r="BG19" s="431" t="s">
        <v>108</v>
      </c>
      <c r="BH19" s="431" t="s">
        <v>109</v>
      </c>
      <c r="BI19" s="430" t="s">
        <v>197</v>
      </c>
      <c r="BJ19" s="430" t="s">
        <v>197</v>
      </c>
      <c r="BK19" s="430" t="s">
        <v>197</v>
      </c>
      <c r="BL19" s="430" t="s">
        <v>197</v>
      </c>
      <c r="BM19" s="430" t="s">
        <v>197</v>
      </c>
      <c r="BN19" s="430" t="s">
        <v>197</v>
      </c>
      <c r="BO19" s="430" t="s">
        <v>197</v>
      </c>
      <c r="BP19" s="430" t="s">
        <v>197</v>
      </c>
      <c r="BQ19" s="430" t="s">
        <v>197</v>
      </c>
      <c r="BR19" s="430" t="s">
        <v>197</v>
      </c>
      <c r="BS19" s="430" t="s">
        <v>197</v>
      </c>
      <c r="BT19" s="430" t="s">
        <v>197</v>
      </c>
      <c r="BU19" s="430" t="s">
        <v>197</v>
      </c>
      <c r="BV19" s="430" t="s">
        <v>197</v>
      </c>
      <c r="BW19" s="430" t="s">
        <v>197</v>
      </c>
      <c r="BX19" s="430" t="s">
        <v>197</v>
      </c>
      <c r="BY19" s="430" t="s">
        <v>197</v>
      </c>
      <c r="BZ19" s="430" t="s">
        <v>197</v>
      </c>
      <c r="CA19" s="430" t="s">
        <v>197</v>
      </c>
      <c r="CB19" s="430" t="s">
        <v>197</v>
      </c>
      <c r="CC19" s="430" t="s">
        <v>197</v>
      </c>
      <c r="CD19" s="430" t="s">
        <v>197</v>
      </c>
      <c r="CE19" s="430" t="s">
        <v>197</v>
      </c>
      <c r="CF19" s="430" t="s">
        <v>197</v>
      </c>
      <c r="CG19" s="430" t="s">
        <v>197</v>
      </c>
      <c r="CH19" s="430" t="s">
        <v>197</v>
      </c>
      <c r="CI19" s="430" t="s">
        <v>197</v>
      </c>
      <c r="CJ19" s="430" t="s">
        <v>197</v>
      </c>
      <c r="CK19" s="430" t="s">
        <v>197</v>
      </c>
      <c r="CL19" s="430" t="s">
        <v>197</v>
      </c>
      <c r="CM19" s="430" t="s">
        <v>197</v>
      </c>
    </row>
    <row r="20" spans="1:91" ht="10.5">
      <c r="A20" s="462" t="s">
        <v>214</v>
      </c>
      <c r="B20" s="462" t="s">
        <v>111</v>
      </c>
      <c r="C20" s="462" t="s">
        <v>215</v>
      </c>
      <c r="D20" s="462" t="s">
        <v>113</v>
      </c>
      <c r="E20" s="462" t="s">
        <v>64</v>
      </c>
      <c r="F20" s="462" t="s">
        <v>100</v>
      </c>
      <c r="G20" s="462" t="s">
        <v>66</v>
      </c>
      <c r="H20" s="462" t="s">
        <v>67</v>
      </c>
      <c r="I20" s="439" t="s">
        <v>68</v>
      </c>
      <c r="J20" s="430" t="s">
        <v>216</v>
      </c>
      <c r="K20" s="430" t="s">
        <v>217</v>
      </c>
      <c r="L20" s="430"/>
      <c r="M20" s="430" t="s">
        <v>68</v>
      </c>
      <c r="N20" s="432" t="s">
        <v>68</v>
      </c>
      <c r="O20" s="430" t="s">
        <v>70</v>
      </c>
      <c r="P20" s="430" t="s">
        <v>218</v>
      </c>
      <c r="Q20" s="430" t="s">
        <v>219</v>
      </c>
      <c r="R20" s="431" t="s">
        <v>73</v>
      </c>
      <c r="S20" s="442" t="s">
        <v>120</v>
      </c>
      <c r="T20" s="433">
        <v>625</v>
      </c>
      <c r="U20" s="1088">
        <v>2880</v>
      </c>
      <c r="V20" s="434">
        <v>1.8</v>
      </c>
      <c r="W20" s="435">
        <v>80</v>
      </c>
      <c r="X20" s="1040">
        <v>4</v>
      </c>
      <c r="Y20" s="430" t="s">
        <v>75</v>
      </c>
      <c r="Z20" s="430" t="s">
        <v>75</v>
      </c>
      <c r="AA20" s="430"/>
      <c r="AB20" s="437">
        <v>46028</v>
      </c>
      <c r="AC20" s="438">
        <v>2</v>
      </c>
      <c r="AD20" s="439" t="s">
        <v>220</v>
      </c>
      <c r="AE20" s="430"/>
      <c r="AF20" s="430" t="s">
        <v>122</v>
      </c>
      <c r="AG20" s="430" t="s">
        <v>123</v>
      </c>
      <c r="AH20" s="430" t="s">
        <v>105</v>
      </c>
      <c r="AI20" s="437">
        <v>46033</v>
      </c>
      <c r="AJ20" s="437">
        <v>46033</v>
      </c>
      <c r="AK20" s="441">
        <v>46032</v>
      </c>
      <c r="AL20" s="437">
        <v>46070</v>
      </c>
      <c r="AM20" s="437">
        <v>46074</v>
      </c>
      <c r="AN20" s="437">
        <v>46078</v>
      </c>
      <c r="AO20" s="430" t="s">
        <v>66</v>
      </c>
      <c r="AP20" s="430" t="s">
        <v>221</v>
      </c>
      <c r="AQ20" s="430" t="s">
        <v>161</v>
      </c>
      <c r="AR20" s="430" t="s">
        <v>222</v>
      </c>
      <c r="AS20" s="430" t="s">
        <v>223</v>
      </c>
      <c r="AT20" s="430" t="s">
        <v>223</v>
      </c>
      <c r="AU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7">
        <v>46078</v>
      </c>
      <c r="AX20" s="433" t="s">
        <v>84</v>
      </c>
      <c r="AY20" s="437">
        <v>46090</v>
      </c>
      <c r="AZ20" s="442">
        <v>7</v>
      </c>
      <c r="BA20" s="437">
        <v>46085</v>
      </c>
      <c r="BB20" s="433">
        <v>2026</v>
      </c>
      <c r="BC20" s="430">
        <v>3</v>
      </c>
      <c r="BD20" s="430">
        <v>10</v>
      </c>
      <c r="BE20" s="431">
        <v>36</v>
      </c>
      <c r="BF20" s="431">
        <v>720</v>
      </c>
      <c r="BG20" s="431" t="s">
        <v>128</v>
      </c>
      <c r="BH20" s="431" t="s">
        <v>109</v>
      </c>
      <c r="BI20" s="430" t="s">
        <v>197</v>
      </c>
      <c r="BJ20" s="430" t="s">
        <v>197</v>
      </c>
      <c r="BK20" s="430" t="s">
        <v>197</v>
      </c>
      <c r="BL20" s="430" t="s">
        <v>197</v>
      </c>
      <c r="BM20" s="430" t="s">
        <v>197</v>
      </c>
      <c r="BN20" s="430" t="s">
        <v>197</v>
      </c>
      <c r="BO20" s="430" t="s">
        <v>197</v>
      </c>
      <c r="BP20" s="430" t="s">
        <v>197</v>
      </c>
      <c r="BQ20" s="430" t="s">
        <v>197</v>
      </c>
      <c r="BR20" s="430" t="s">
        <v>197</v>
      </c>
      <c r="BS20" s="430" t="s">
        <v>197</v>
      </c>
      <c r="BT20" s="430" t="s">
        <v>197</v>
      </c>
      <c r="BU20" s="430" t="s">
        <v>197</v>
      </c>
      <c r="BV20" s="430" t="s">
        <v>197</v>
      </c>
      <c r="BW20" s="430" t="s">
        <v>197</v>
      </c>
      <c r="BX20" s="430" t="s">
        <v>197</v>
      </c>
      <c r="BY20" s="430" t="s">
        <v>197</v>
      </c>
      <c r="BZ20" s="430" t="s">
        <v>197</v>
      </c>
      <c r="CA20" s="430" t="s">
        <v>197</v>
      </c>
      <c r="CB20" s="430" t="s">
        <v>197</v>
      </c>
      <c r="CC20" s="430" t="s">
        <v>197</v>
      </c>
      <c r="CD20" s="430" t="s">
        <v>197</v>
      </c>
      <c r="CE20" s="430" t="s">
        <v>197</v>
      </c>
      <c r="CF20" s="430" t="s">
        <v>197</v>
      </c>
      <c r="CG20" s="430" t="s">
        <v>197</v>
      </c>
      <c r="CH20" s="430" t="s">
        <v>197</v>
      </c>
      <c r="CI20" s="430" t="s">
        <v>197</v>
      </c>
      <c r="CJ20" s="430" t="s">
        <v>197</v>
      </c>
      <c r="CK20" s="430" t="s">
        <v>197</v>
      </c>
      <c r="CL20" s="430" t="s">
        <v>197</v>
      </c>
      <c r="CM20" s="430" t="s">
        <v>197</v>
      </c>
    </row>
    <row r="21" spans="1:91" ht="10.5">
      <c r="A21" s="462" t="s">
        <v>224</v>
      </c>
      <c r="B21" s="462" t="s">
        <v>111</v>
      </c>
      <c r="C21" s="462" t="s">
        <v>215</v>
      </c>
      <c r="D21" s="462" t="s">
        <v>113</v>
      </c>
      <c r="E21" s="462" t="s">
        <v>64</v>
      </c>
      <c r="F21" s="462" t="s">
        <v>100</v>
      </c>
      <c r="G21" s="462" t="s">
        <v>66</v>
      </c>
      <c r="H21" s="462" t="s">
        <v>67</v>
      </c>
      <c r="I21" s="439" t="s">
        <v>68</v>
      </c>
      <c r="J21" s="430" t="s">
        <v>216</v>
      </c>
      <c r="K21" s="430" t="s">
        <v>217</v>
      </c>
      <c r="L21" s="430"/>
      <c r="M21" s="430" t="s">
        <v>68</v>
      </c>
      <c r="N21" s="432" t="s">
        <v>68</v>
      </c>
      <c r="O21" s="430" t="s">
        <v>70</v>
      </c>
      <c r="P21" s="430" t="s">
        <v>218</v>
      </c>
      <c r="Q21" s="430" t="s">
        <v>219</v>
      </c>
      <c r="R21" s="431" t="s">
        <v>73</v>
      </c>
      <c r="S21" s="442" t="s">
        <v>120</v>
      </c>
      <c r="T21" s="433">
        <v>625</v>
      </c>
      <c r="U21" s="1088">
        <v>5040</v>
      </c>
      <c r="V21" s="434">
        <v>3.15</v>
      </c>
      <c r="W21" s="435">
        <v>140</v>
      </c>
      <c r="X21" s="1040">
        <v>7</v>
      </c>
      <c r="Y21" s="430" t="s">
        <v>75</v>
      </c>
      <c r="Z21" s="430" t="s">
        <v>75</v>
      </c>
      <c r="AA21" s="430"/>
      <c r="AB21" s="437">
        <v>46028</v>
      </c>
      <c r="AC21" s="438">
        <v>2</v>
      </c>
      <c r="AD21" s="439" t="s">
        <v>225</v>
      </c>
      <c r="AE21" s="430"/>
      <c r="AF21" s="430" t="s">
        <v>122</v>
      </c>
      <c r="AG21" s="430" t="s">
        <v>123</v>
      </c>
      <c r="AH21" s="430" t="s">
        <v>105</v>
      </c>
      <c r="AI21" s="437">
        <v>46033</v>
      </c>
      <c r="AJ21" s="437">
        <v>46033</v>
      </c>
      <c r="AK21" s="441">
        <v>46032</v>
      </c>
      <c r="AL21" s="437">
        <v>46070</v>
      </c>
      <c r="AM21" s="437">
        <v>46074</v>
      </c>
      <c r="AN21" s="437">
        <v>46078</v>
      </c>
      <c r="AO21" s="430" t="s">
        <v>66</v>
      </c>
      <c r="AP21" s="430" t="s">
        <v>221</v>
      </c>
      <c r="AQ21" s="430" t="s">
        <v>161</v>
      </c>
      <c r="AR21" s="430" t="s">
        <v>222</v>
      </c>
      <c r="AS21" s="430" t="s">
        <v>223</v>
      </c>
      <c r="AT21" s="430" t="s">
        <v>223</v>
      </c>
      <c r="AU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7">
        <v>46078</v>
      </c>
      <c r="AX21" s="433" t="s">
        <v>84</v>
      </c>
      <c r="AY21" s="437">
        <v>46090</v>
      </c>
      <c r="AZ21" s="442">
        <v>7</v>
      </c>
      <c r="BA21" s="437">
        <v>46085</v>
      </c>
      <c r="BB21" s="433">
        <v>2026</v>
      </c>
      <c r="BC21" s="430">
        <v>3</v>
      </c>
      <c r="BD21" s="430">
        <v>10</v>
      </c>
      <c r="BE21" s="431">
        <v>36</v>
      </c>
      <c r="BF21" s="431">
        <v>720</v>
      </c>
      <c r="BG21" s="431" t="s">
        <v>128</v>
      </c>
      <c r="BH21" s="431" t="s">
        <v>109</v>
      </c>
      <c r="BI21" s="430" t="s">
        <v>197</v>
      </c>
      <c r="BJ21" s="430" t="s">
        <v>197</v>
      </c>
      <c r="BK21" s="430" t="s">
        <v>197</v>
      </c>
      <c r="BL21" s="430" t="s">
        <v>197</v>
      </c>
      <c r="BM21" s="430" t="s">
        <v>197</v>
      </c>
      <c r="BN21" s="430" t="s">
        <v>197</v>
      </c>
      <c r="BO21" s="430" t="s">
        <v>197</v>
      </c>
      <c r="BP21" s="430" t="s">
        <v>197</v>
      </c>
      <c r="BQ21" s="430" t="s">
        <v>197</v>
      </c>
      <c r="BR21" s="430" t="s">
        <v>197</v>
      </c>
      <c r="BS21" s="430" t="s">
        <v>197</v>
      </c>
      <c r="BT21" s="430" t="s">
        <v>197</v>
      </c>
      <c r="BU21" s="430" t="s">
        <v>197</v>
      </c>
      <c r="BV21" s="430" t="s">
        <v>197</v>
      </c>
      <c r="BW21" s="430" t="s">
        <v>197</v>
      </c>
      <c r="BX21" s="430" t="s">
        <v>197</v>
      </c>
      <c r="BY21" s="430" t="s">
        <v>197</v>
      </c>
      <c r="BZ21" s="430" t="s">
        <v>197</v>
      </c>
      <c r="CA21" s="430" t="s">
        <v>197</v>
      </c>
      <c r="CB21" s="430" t="s">
        <v>197</v>
      </c>
      <c r="CC21" s="430" t="s">
        <v>197</v>
      </c>
      <c r="CD21" s="430" t="s">
        <v>197</v>
      </c>
      <c r="CE21" s="430" t="s">
        <v>197</v>
      </c>
      <c r="CF21" s="430" t="s">
        <v>197</v>
      </c>
      <c r="CG21" s="430" t="s">
        <v>197</v>
      </c>
      <c r="CH21" s="430" t="s">
        <v>197</v>
      </c>
      <c r="CI21" s="430" t="s">
        <v>197</v>
      </c>
      <c r="CJ21" s="430" t="s">
        <v>197</v>
      </c>
      <c r="CK21" s="430" t="s">
        <v>197</v>
      </c>
      <c r="CL21" s="430" t="s">
        <v>197</v>
      </c>
      <c r="CM21" s="430" t="s">
        <v>197</v>
      </c>
    </row>
    <row r="22" spans="1:91" ht="10.5">
      <c r="A22" s="462" t="s">
        <v>226</v>
      </c>
      <c r="B22" s="462" t="s">
        <v>111</v>
      </c>
      <c r="C22" s="462" t="s">
        <v>168</v>
      </c>
      <c r="D22" s="462" t="s">
        <v>63</v>
      </c>
      <c r="E22" s="462" t="s">
        <v>64</v>
      </c>
      <c r="F22" s="462" t="s">
        <v>65</v>
      </c>
      <c r="G22" s="462" t="s">
        <v>66</v>
      </c>
      <c r="H22" s="462" t="s">
        <v>67</v>
      </c>
      <c r="I22" s="439" t="s">
        <v>68</v>
      </c>
      <c r="J22" s="430" t="s">
        <v>96</v>
      </c>
      <c r="K22" s="430"/>
      <c r="L22" s="430"/>
      <c r="M22" s="430" t="s">
        <v>68</v>
      </c>
      <c r="N22" s="432" t="s">
        <v>68</v>
      </c>
      <c r="O22" s="430" t="s">
        <v>170</v>
      </c>
      <c r="P22" s="430" t="s">
        <v>171</v>
      </c>
      <c r="Q22" s="430" t="s">
        <v>172</v>
      </c>
      <c r="R22" s="431" t="s">
        <v>73</v>
      </c>
      <c r="S22" s="442" t="s">
        <v>120</v>
      </c>
      <c r="T22" s="433">
        <v>555</v>
      </c>
      <c r="U22" s="1088">
        <v>1320</v>
      </c>
      <c r="V22" s="434">
        <v>0.73299999999999998</v>
      </c>
      <c r="W22" s="435">
        <v>40</v>
      </c>
      <c r="X22" s="1040">
        <v>2</v>
      </c>
      <c r="Y22" s="430" t="s">
        <v>75</v>
      </c>
      <c r="Z22" s="430" t="s">
        <v>75</v>
      </c>
      <c r="AA22" s="430"/>
      <c r="AB22" s="437">
        <v>46024</v>
      </c>
      <c r="AC22" s="438">
        <v>1</v>
      </c>
      <c r="AD22" s="439" t="s">
        <v>227</v>
      </c>
      <c r="AE22" s="430"/>
      <c r="AF22" s="430" t="s">
        <v>122</v>
      </c>
      <c r="AG22" s="430" t="s">
        <v>123</v>
      </c>
      <c r="AH22" s="430" t="s">
        <v>78</v>
      </c>
      <c r="AI22" s="437">
        <v>46028</v>
      </c>
      <c r="AJ22" s="437">
        <v>46029</v>
      </c>
      <c r="AK22" s="441">
        <v>46029</v>
      </c>
      <c r="AL22" s="437">
        <v>46077</v>
      </c>
      <c r="AM22" s="437">
        <v>46083</v>
      </c>
      <c r="AN22" s="437">
        <v>46083</v>
      </c>
      <c r="AO22" s="430" t="s">
        <v>66</v>
      </c>
      <c r="AP22" s="430" t="s">
        <v>228</v>
      </c>
      <c r="AQ22" s="430" t="s">
        <v>80</v>
      </c>
      <c r="AR22" s="430" t="s">
        <v>229</v>
      </c>
      <c r="AS22" s="430" t="s">
        <v>230</v>
      </c>
      <c r="AT22" s="430" t="s">
        <v>230</v>
      </c>
      <c r="AU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7">
        <v>46083</v>
      </c>
      <c r="AX22" s="433" t="s">
        <v>84</v>
      </c>
      <c r="AY22" s="437">
        <v>46097</v>
      </c>
      <c r="AZ22" s="442">
        <v>8</v>
      </c>
      <c r="BA22" s="437">
        <v>46091</v>
      </c>
      <c r="BB22" s="433">
        <v>2026</v>
      </c>
      <c r="BC22" s="430">
        <v>3</v>
      </c>
      <c r="BD22" s="430">
        <v>11</v>
      </c>
      <c r="BE22" s="431">
        <v>33</v>
      </c>
      <c r="BF22" s="431">
        <v>660</v>
      </c>
      <c r="BG22" s="431" t="s">
        <v>108</v>
      </c>
      <c r="BH22" s="431" t="s">
        <v>86</v>
      </c>
      <c r="BI22" s="430" t="s">
        <v>197</v>
      </c>
      <c r="BJ22" s="430" t="s">
        <v>197</v>
      </c>
      <c r="BK22" s="430" t="s">
        <v>197</v>
      </c>
      <c r="BL22" s="430" t="s">
        <v>197</v>
      </c>
      <c r="BM22" s="430" t="s">
        <v>197</v>
      </c>
      <c r="BN22" s="430" t="s">
        <v>197</v>
      </c>
      <c r="BO22" s="430" t="s">
        <v>197</v>
      </c>
      <c r="BP22" s="430" t="s">
        <v>197</v>
      </c>
      <c r="BQ22" s="430" t="s">
        <v>197</v>
      </c>
      <c r="BR22" s="430" t="s">
        <v>197</v>
      </c>
      <c r="BS22" s="430" t="s">
        <v>197</v>
      </c>
      <c r="BT22" s="430" t="s">
        <v>197</v>
      </c>
      <c r="BU22" s="430" t="s">
        <v>197</v>
      </c>
      <c r="BV22" s="430" t="s">
        <v>197</v>
      </c>
      <c r="BW22" s="430" t="s">
        <v>197</v>
      </c>
      <c r="BX22" s="430" t="s">
        <v>197</v>
      </c>
      <c r="BY22" s="430" t="s">
        <v>197</v>
      </c>
      <c r="BZ22" s="430" t="s">
        <v>197</v>
      </c>
      <c r="CA22" s="430" t="s">
        <v>197</v>
      </c>
      <c r="CB22" s="430" t="s">
        <v>197</v>
      </c>
      <c r="CC22" s="430" t="s">
        <v>197</v>
      </c>
      <c r="CD22" s="430" t="s">
        <v>197</v>
      </c>
      <c r="CE22" s="430" t="s">
        <v>197</v>
      </c>
      <c r="CF22" s="430" t="s">
        <v>197</v>
      </c>
      <c r="CG22" s="430" t="s">
        <v>197</v>
      </c>
      <c r="CH22" s="430" t="s">
        <v>197</v>
      </c>
      <c r="CI22" s="430" t="s">
        <v>197</v>
      </c>
      <c r="CJ22" s="430" t="s">
        <v>197</v>
      </c>
      <c r="CK22" s="430" t="s">
        <v>197</v>
      </c>
      <c r="CL22" s="430" t="s">
        <v>197</v>
      </c>
      <c r="CM22" s="430" t="s">
        <v>197</v>
      </c>
    </row>
    <row r="23" spans="1:91" ht="10.5">
      <c r="A23" s="462" t="s">
        <v>231</v>
      </c>
      <c r="B23" s="462" t="s">
        <v>111</v>
      </c>
      <c r="C23" s="462" t="s">
        <v>168</v>
      </c>
      <c r="D23" s="462" t="s">
        <v>63</v>
      </c>
      <c r="E23" s="462" t="s">
        <v>64</v>
      </c>
      <c r="F23" s="462" t="s">
        <v>65</v>
      </c>
      <c r="G23" s="462" t="s">
        <v>66</v>
      </c>
      <c r="H23" s="462" t="s">
        <v>67</v>
      </c>
      <c r="I23" s="439" t="s">
        <v>68</v>
      </c>
      <c r="J23" s="430" t="s">
        <v>232</v>
      </c>
      <c r="K23" s="430"/>
      <c r="L23" s="430"/>
      <c r="M23" s="430" t="s">
        <v>68</v>
      </c>
      <c r="N23" s="432" t="s">
        <v>68</v>
      </c>
      <c r="O23" s="430" t="s">
        <v>170</v>
      </c>
      <c r="P23" s="430" t="s">
        <v>171</v>
      </c>
      <c r="Q23" s="430" t="s">
        <v>172</v>
      </c>
      <c r="R23" s="431" t="s">
        <v>73</v>
      </c>
      <c r="S23" s="442" t="s">
        <v>120</v>
      </c>
      <c r="T23" s="433">
        <v>555</v>
      </c>
      <c r="U23" s="1088">
        <v>1320</v>
      </c>
      <c r="V23" s="434">
        <v>0.73299999999999998</v>
      </c>
      <c r="W23" s="435">
        <v>40</v>
      </c>
      <c r="X23" s="1040">
        <v>2</v>
      </c>
      <c r="Y23" s="430" t="s">
        <v>75</v>
      </c>
      <c r="Z23" s="430" t="s">
        <v>75</v>
      </c>
      <c r="AA23" s="430"/>
      <c r="AB23" s="437">
        <v>46024</v>
      </c>
      <c r="AC23" s="438">
        <v>1</v>
      </c>
      <c r="AD23" s="439" t="s">
        <v>233</v>
      </c>
      <c r="AE23" s="430"/>
      <c r="AF23" s="430" t="s">
        <v>122</v>
      </c>
      <c r="AG23" s="430" t="s">
        <v>123</v>
      </c>
      <c r="AH23" s="430" t="s">
        <v>78</v>
      </c>
      <c r="AI23" s="437">
        <v>46028</v>
      </c>
      <c r="AJ23" s="437">
        <v>46029</v>
      </c>
      <c r="AK23" s="441">
        <v>46029</v>
      </c>
      <c r="AL23" s="437">
        <v>46077</v>
      </c>
      <c r="AM23" s="437">
        <v>46083</v>
      </c>
      <c r="AN23" s="437">
        <v>46083</v>
      </c>
      <c r="AO23" s="430" t="s">
        <v>66</v>
      </c>
      <c r="AP23" s="430" t="s">
        <v>234</v>
      </c>
      <c r="AQ23" s="430" t="s">
        <v>80</v>
      </c>
      <c r="AR23" s="430" t="s">
        <v>229</v>
      </c>
      <c r="AS23" s="430" t="s">
        <v>230</v>
      </c>
      <c r="AT23" s="430" t="s">
        <v>230</v>
      </c>
      <c r="AU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7">
        <v>46083</v>
      </c>
      <c r="AX23" s="433" t="s">
        <v>84</v>
      </c>
      <c r="AY23" s="437">
        <v>46097</v>
      </c>
      <c r="AZ23" s="442">
        <v>8</v>
      </c>
      <c r="BA23" s="437">
        <v>46091</v>
      </c>
      <c r="BB23" s="433">
        <v>2026</v>
      </c>
      <c r="BC23" s="430">
        <v>3</v>
      </c>
      <c r="BD23" s="430">
        <v>11</v>
      </c>
      <c r="BE23" s="431">
        <v>33</v>
      </c>
      <c r="BF23" s="431">
        <v>660</v>
      </c>
      <c r="BG23" s="431" t="s">
        <v>108</v>
      </c>
      <c r="BH23" s="431" t="s">
        <v>86</v>
      </c>
      <c r="BI23" s="430" t="s">
        <v>197</v>
      </c>
      <c r="BJ23" s="430" t="s">
        <v>197</v>
      </c>
      <c r="BK23" s="430" t="s">
        <v>197</v>
      </c>
      <c r="BL23" s="430" t="s">
        <v>197</v>
      </c>
      <c r="BM23" s="430" t="s">
        <v>197</v>
      </c>
      <c r="BN23" s="430" t="s">
        <v>197</v>
      </c>
      <c r="BO23" s="430" t="s">
        <v>197</v>
      </c>
      <c r="BP23" s="430" t="s">
        <v>197</v>
      </c>
      <c r="BQ23" s="430" t="s">
        <v>197</v>
      </c>
      <c r="BR23" s="430" t="s">
        <v>197</v>
      </c>
      <c r="BS23" s="430" t="s">
        <v>197</v>
      </c>
      <c r="BT23" s="430" t="s">
        <v>197</v>
      </c>
      <c r="BU23" s="430" t="s">
        <v>197</v>
      </c>
      <c r="BV23" s="430" t="s">
        <v>197</v>
      </c>
      <c r="BW23" s="430" t="s">
        <v>197</v>
      </c>
      <c r="BX23" s="430" t="s">
        <v>197</v>
      </c>
      <c r="BY23" s="430" t="s">
        <v>197</v>
      </c>
      <c r="BZ23" s="430" t="s">
        <v>197</v>
      </c>
      <c r="CA23" s="430" t="s">
        <v>197</v>
      </c>
      <c r="CB23" s="430" t="s">
        <v>197</v>
      </c>
      <c r="CC23" s="430" t="s">
        <v>197</v>
      </c>
      <c r="CD23" s="430" t="s">
        <v>197</v>
      </c>
      <c r="CE23" s="430" t="s">
        <v>197</v>
      </c>
      <c r="CF23" s="430" t="s">
        <v>197</v>
      </c>
      <c r="CG23" s="430" t="s">
        <v>197</v>
      </c>
      <c r="CH23" s="430" t="s">
        <v>197</v>
      </c>
      <c r="CI23" s="430" t="s">
        <v>197</v>
      </c>
      <c r="CJ23" s="430" t="s">
        <v>197</v>
      </c>
      <c r="CK23" s="430" t="s">
        <v>197</v>
      </c>
      <c r="CL23" s="430" t="s">
        <v>197</v>
      </c>
      <c r="CM23" s="430" t="s">
        <v>197</v>
      </c>
    </row>
    <row r="24" spans="1:91" ht="10.5">
      <c r="A24" s="462" t="s">
        <v>235</v>
      </c>
      <c r="B24" s="462" t="s">
        <v>111</v>
      </c>
      <c r="C24" s="462" t="s">
        <v>112</v>
      </c>
      <c r="D24" s="462" t="s">
        <v>113</v>
      </c>
      <c r="E24" s="462" t="s">
        <v>64</v>
      </c>
      <c r="F24" s="462" t="s">
        <v>114</v>
      </c>
      <c r="G24" s="462" t="s">
        <v>66</v>
      </c>
      <c r="H24" s="462" t="s">
        <v>115</v>
      </c>
      <c r="I24" s="439" t="s">
        <v>68</v>
      </c>
      <c r="J24" s="430" t="s">
        <v>116</v>
      </c>
      <c r="K24" s="430" t="s">
        <v>117</v>
      </c>
      <c r="L24" s="430"/>
      <c r="M24" s="430" t="s">
        <v>68</v>
      </c>
      <c r="N24" s="432" t="s">
        <v>68</v>
      </c>
      <c r="O24" s="430" t="s">
        <v>70</v>
      </c>
      <c r="P24" s="430" t="s">
        <v>118</v>
      </c>
      <c r="Q24" s="430" t="s">
        <v>119</v>
      </c>
      <c r="R24" s="431" t="s">
        <v>73</v>
      </c>
      <c r="S24" s="442" t="s">
        <v>120</v>
      </c>
      <c r="T24" s="433">
        <v>640</v>
      </c>
      <c r="U24" s="1088">
        <v>1152</v>
      </c>
      <c r="V24" s="434">
        <v>0.73699999999999999</v>
      </c>
      <c r="W24" s="435">
        <v>32</v>
      </c>
      <c r="X24" s="1040">
        <v>2</v>
      </c>
      <c r="Y24" s="430" t="s">
        <v>75</v>
      </c>
      <c r="Z24" s="430" t="s">
        <v>75</v>
      </c>
      <c r="AA24" s="430"/>
      <c r="AB24" s="437">
        <v>46024</v>
      </c>
      <c r="AC24" s="438">
        <v>1</v>
      </c>
      <c r="AD24" s="439" t="s">
        <v>236</v>
      </c>
      <c r="AE24" s="430"/>
      <c r="AF24" s="430" t="s">
        <v>122</v>
      </c>
      <c r="AG24" s="430" t="s">
        <v>123</v>
      </c>
      <c r="AH24" s="430" t="s">
        <v>124</v>
      </c>
      <c r="AI24" s="437">
        <v>46028</v>
      </c>
      <c r="AJ24" s="437">
        <v>46029</v>
      </c>
      <c r="AK24" s="441">
        <v>46029</v>
      </c>
      <c r="AL24" s="437">
        <v>46072</v>
      </c>
      <c r="AM24" s="437">
        <v>46072</v>
      </c>
      <c r="AN24" s="437">
        <v>46075</v>
      </c>
      <c r="AO24" s="430" t="s">
        <v>66</v>
      </c>
      <c r="AP24" s="430" t="s">
        <v>228</v>
      </c>
      <c r="AQ24" s="430" t="s">
        <v>80</v>
      </c>
      <c r="AR24" s="430" t="s">
        <v>237</v>
      </c>
      <c r="AS24" s="430" t="s">
        <v>238</v>
      </c>
      <c r="AT24" s="430" t="s">
        <v>238</v>
      </c>
      <c r="AU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7">
        <v>46075</v>
      </c>
      <c r="AX24" s="433" t="s">
        <v>84</v>
      </c>
      <c r="AY24" s="437">
        <v>46086</v>
      </c>
      <c r="AZ24" s="442">
        <v>9</v>
      </c>
      <c r="BA24" s="437">
        <v>46084</v>
      </c>
      <c r="BB24" s="433">
        <v>2026</v>
      </c>
      <c r="BC24" s="430">
        <v>3</v>
      </c>
      <c r="BD24" s="430">
        <v>10</v>
      </c>
      <c r="BE24" s="431">
        <v>36</v>
      </c>
      <c r="BF24" s="431">
        <v>576</v>
      </c>
      <c r="BG24" s="431" t="s">
        <v>128</v>
      </c>
      <c r="BH24" s="431" t="s">
        <v>86</v>
      </c>
      <c r="BI24" s="430" t="s">
        <v>197</v>
      </c>
      <c r="BJ24" s="430" t="s">
        <v>197</v>
      </c>
      <c r="BK24" s="430" t="s">
        <v>197</v>
      </c>
      <c r="BL24" s="430" t="s">
        <v>197</v>
      </c>
      <c r="BM24" s="430" t="s">
        <v>197</v>
      </c>
      <c r="BN24" s="430" t="s">
        <v>197</v>
      </c>
      <c r="BO24" s="430" t="s">
        <v>197</v>
      </c>
      <c r="BP24" s="430" t="s">
        <v>197</v>
      </c>
      <c r="BQ24" s="430" t="s">
        <v>197</v>
      </c>
      <c r="BR24" s="430" t="s">
        <v>197</v>
      </c>
      <c r="BS24" s="430" t="s">
        <v>197</v>
      </c>
      <c r="BT24" s="430" t="s">
        <v>197</v>
      </c>
      <c r="BU24" s="430" t="s">
        <v>197</v>
      </c>
      <c r="BV24" s="430" t="s">
        <v>197</v>
      </c>
      <c r="BW24" s="430" t="s">
        <v>197</v>
      </c>
      <c r="BX24" s="430" t="s">
        <v>197</v>
      </c>
      <c r="BY24" s="430" t="s">
        <v>197</v>
      </c>
      <c r="BZ24" s="430" t="s">
        <v>197</v>
      </c>
      <c r="CA24" s="430" t="s">
        <v>197</v>
      </c>
      <c r="CB24" s="430" t="s">
        <v>197</v>
      </c>
      <c r="CC24" s="430" t="s">
        <v>197</v>
      </c>
      <c r="CD24" s="430" t="s">
        <v>197</v>
      </c>
      <c r="CE24" s="430" t="s">
        <v>197</v>
      </c>
      <c r="CF24" s="430" t="s">
        <v>197</v>
      </c>
      <c r="CG24" s="430" t="s">
        <v>197</v>
      </c>
      <c r="CH24" s="430" t="s">
        <v>197</v>
      </c>
      <c r="CI24" s="430" t="s">
        <v>197</v>
      </c>
      <c r="CJ24" s="430" t="s">
        <v>197</v>
      </c>
      <c r="CK24" s="430" t="s">
        <v>197</v>
      </c>
      <c r="CL24" s="430" t="s">
        <v>197</v>
      </c>
      <c r="CM24" s="430" t="s">
        <v>197</v>
      </c>
    </row>
    <row r="25" spans="1:91" ht="10.5">
      <c r="A25" s="462" t="s">
        <v>239</v>
      </c>
      <c r="B25" s="462" t="s">
        <v>111</v>
      </c>
      <c r="C25" s="462" t="s">
        <v>112</v>
      </c>
      <c r="D25" s="462" t="s">
        <v>113</v>
      </c>
      <c r="E25" s="462" t="s">
        <v>64</v>
      </c>
      <c r="F25" s="462" t="s">
        <v>114</v>
      </c>
      <c r="G25" s="462" t="s">
        <v>66</v>
      </c>
      <c r="H25" s="462" t="s">
        <v>115</v>
      </c>
      <c r="I25" s="439" t="s">
        <v>68</v>
      </c>
      <c r="J25" s="430" t="s">
        <v>116</v>
      </c>
      <c r="K25" s="430" t="s">
        <v>117</v>
      </c>
      <c r="L25" s="430"/>
      <c r="M25" s="430" t="s">
        <v>68</v>
      </c>
      <c r="N25" s="432" t="s">
        <v>68</v>
      </c>
      <c r="O25" s="430" t="s">
        <v>70</v>
      </c>
      <c r="P25" s="430" t="s">
        <v>118</v>
      </c>
      <c r="Q25" s="430" t="s">
        <v>119</v>
      </c>
      <c r="R25" s="431" t="s">
        <v>73</v>
      </c>
      <c r="S25" s="442" t="s">
        <v>120</v>
      </c>
      <c r="T25" s="433">
        <v>640</v>
      </c>
      <c r="U25" s="1088">
        <v>967</v>
      </c>
      <c r="V25" s="434">
        <v>0.61899999999999999</v>
      </c>
      <c r="W25" s="435">
        <v>26.9</v>
      </c>
      <c r="X25" s="1040">
        <v>1.7</v>
      </c>
      <c r="Y25" s="430" t="s">
        <v>75</v>
      </c>
      <c r="Z25" s="430" t="s">
        <v>75</v>
      </c>
      <c r="AA25" s="430"/>
      <c r="AB25" s="437">
        <v>46027</v>
      </c>
      <c r="AC25" s="438">
        <v>2</v>
      </c>
      <c r="AD25" s="439" t="s">
        <v>240</v>
      </c>
      <c r="AE25" s="430"/>
      <c r="AF25" s="430" t="s">
        <v>122</v>
      </c>
      <c r="AG25" s="430" t="s">
        <v>123</v>
      </c>
      <c r="AH25" s="430" t="s">
        <v>124</v>
      </c>
      <c r="AI25" s="437">
        <v>46032</v>
      </c>
      <c r="AJ25" s="437">
        <v>45670</v>
      </c>
      <c r="AK25" s="441">
        <v>46035</v>
      </c>
      <c r="AL25" s="437">
        <v>46072</v>
      </c>
      <c r="AM25" s="437">
        <v>46076</v>
      </c>
      <c r="AN25" s="437">
        <v>46078</v>
      </c>
      <c r="AO25" s="430" t="s">
        <v>66</v>
      </c>
      <c r="AP25" s="430" t="s">
        <v>241</v>
      </c>
      <c r="AQ25" s="430" t="s">
        <v>80</v>
      </c>
      <c r="AR25" s="430" t="s">
        <v>242</v>
      </c>
      <c r="AS25" s="430" t="s">
        <v>243</v>
      </c>
      <c r="AT25" s="430" t="s">
        <v>243</v>
      </c>
      <c r="AU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7">
        <v>46078</v>
      </c>
      <c r="AX25" s="433" t="s">
        <v>84</v>
      </c>
      <c r="AY25" s="437">
        <v>46092</v>
      </c>
      <c r="AZ25" s="442">
        <v>9</v>
      </c>
      <c r="BA25" s="437">
        <v>46087</v>
      </c>
      <c r="BB25" s="433">
        <v>2026</v>
      </c>
      <c r="BC25" s="430">
        <v>3</v>
      </c>
      <c r="BD25" s="430">
        <v>10</v>
      </c>
      <c r="BE25" s="431">
        <v>36</v>
      </c>
      <c r="BF25" s="431">
        <v>576</v>
      </c>
      <c r="BG25" s="431" t="s">
        <v>128</v>
      </c>
      <c r="BH25" s="431" t="s">
        <v>86</v>
      </c>
      <c r="BI25" s="430" t="s">
        <v>197</v>
      </c>
      <c r="BJ25" s="430" t="s">
        <v>197</v>
      </c>
      <c r="BK25" s="430" t="s">
        <v>197</v>
      </c>
      <c r="BL25" s="430" t="s">
        <v>197</v>
      </c>
      <c r="BM25" s="430" t="s">
        <v>197</v>
      </c>
      <c r="BN25" s="430" t="s">
        <v>197</v>
      </c>
      <c r="BO25" s="430" t="s">
        <v>197</v>
      </c>
      <c r="BP25" s="430" t="s">
        <v>197</v>
      </c>
      <c r="BQ25" s="430" t="s">
        <v>197</v>
      </c>
      <c r="BR25" s="430" t="s">
        <v>197</v>
      </c>
      <c r="BS25" s="430" t="s">
        <v>197</v>
      </c>
      <c r="BT25" s="430" t="s">
        <v>197</v>
      </c>
      <c r="BU25" s="430" t="s">
        <v>197</v>
      </c>
      <c r="BV25" s="430" t="s">
        <v>197</v>
      </c>
      <c r="BW25" s="430" t="s">
        <v>197</v>
      </c>
      <c r="BX25" s="430" t="s">
        <v>197</v>
      </c>
      <c r="BY25" s="430" t="s">
        <v>197</v>
      </c>
      <c r="BZ25" s="430" t="s">
        <v>197</v>
      </c>
      <c r="CA25" s="430" t="s">
        <v>197</v>
      </c>
      <c r="CB25" s="430" t="s">
        <v>197</v>
      </c>
      <c r="CC25" s="430" t="s">
        <v>197</v>
      </c>
      <c r="CD25" s="430" t="s">
        <v>197</v>
      </c>
      <c r="CE25" s="430" t="s">
        <v>197</v>
      </c>
      <c r="CF25" s="430" t="s">
        <v>197</v>
      </c>
      <c r="CG25" s="430" t="s">
        <v>197</v>
      </c>
      <c r="CH25" s="430" t="s">
        <v>197</v>
      </c>
      <c r="CI25" s="430" t="s">
        <v>197</v>
      </c>
      <c r="CJ25" s="430" t="s">
        <v>197</v>
      </c>
      <c r="CK25" s="430" t="s">
        <v>197</v>
      </c>
      <c r="CL25" s="430" t="s">
        <v>197</v>
      </c>
      <c r="CM25" s="430" t="s">
        <v>197</v>
      </c>
    </row>
    <row r="26" spans="1:91" ht="10.5">
      <c r="A26" s="462" t="s">
        <v>244</v>
      </c>
      <c r="B26" s="462" t="s">
        <v>111</v>
      </c>
      <c r="C26" s="462" t="s">
        <v>112</v>
      </c>
      <c r="D26" s="462" t="s">
        <v>113</v>
      </c>
      <c r="E26" s="462" t="s">
        <v>64</v>
      </c>
      <c r="F26" s="462" t="s">
        <v>114</v>
      </c>
      <c r="G26" s="462" t="s">
        <v>66</v>
      </c>
      <c r="H26" s="462" t="s">
        <v>115</v>
      </c>
      <c r="I26" s="439" t="s">
        <v>68</v>
      </c>
      <c r="J26" s="430" t="s">
        <v>116</v>
      </c>
      <c r="K26" s="430" t="s">
        <v>117</v>
      </c>
      <c r="L26" s="430"/>
      <c r="M26" s="430" t="s">
        <v>68</v>
      </c>
      <c r="N26" s="432" t="s">
        <v>68</v>
      </c>
      <c r="O26" s="430" t="s">
        <v>70</v>
      </c>
      <c r="P26" s="430" t="s">
        <v>118</v>
      </c>
      <c r="Q26" s="430" t="s">
        <v>119</v>
      </c>
      <c r="R26" s="431" t="s">
        <v>73</v>
      </c>
      <c r="S26" s="442" t="s">
        <v>120</v>
      </c>
      <c r="T26" s="433">
        <v>640</v>
      </c>
      <c r="U26" s="1088">
        <v>761</v>
      </c>
      <c r="V26" s="434">
        <v>0.48699999999999999</v>
      </c>
      <c r="W26" s="435">
        <v>21.1</v>
      </c>
      <c r="X26" s="1040">
        <v>1.3</v>
      </c>
      <c r="Y26" s="430" t="s">
        <v>75</v>
      </c>
      <c r="Z26" s="430" t="s">
        <v>75</v>
      </c>
      <c r="AA26" s="430"/>
      <c r="AB26" s="437">
        <v>46027</v>
      </c>
      <c r="AC26" s="438">
        <v>2</v>
      </c>
      <c r="AD26" s="439" t="s">
        <v>240</v>
      </c>
      <c r="AE26" s="430"/>
      <c r="AF26" s="430" t="s">
        <v>122</v>
      </c>
      <c r="AG26" s="430" t="s">
        <v>123</v>
      </c>
      <c r="AH26" s="430" t="s">
        <v>124</v>
      </c>
      <c r="AI26" s="437">
        <v>46032</v>
      </c>
      <c r="AJ26" s="437">
        <v>45670</v>
      </c>
      <c r="AK26" s="441">
        <v>46035</v>
      </c>
      <c r="AL26" s="437">
        <v>46072</v>
      </c>
      <c r="AM26" s="437">
        <v>46076</v>
      </c>
      <c r="AN26" s="437">
        <v>46078</v>
      </c>
      <c r="AO26" s="430" t="s">
        <v>66</v>
      </c>
      <c r="AP26" s="430" t="s">
        <v>241</v>
      </c>
      <c r="AQ26" s="430" t="s">
        <v>80</v>
      </c>
      <c r="AR26" s="430" t="s">
        <v>242</v>
      </c>
      <c r="AS26" s="430" t="s">
        <v>243</v>
      </c>
      <c r="AT26" s="430" t="s">
        <v>243</v>
      </c>
      <c r="AU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7">
        <v>46078</v>
      </c>
      <c r="AX26" s="433" t="s">
        <v>84</v>
      </c>
      <c r="AY26" s="437">
        <v>46092</v>
      </c>
      <c r="AZ26" s="442">
        <v>9</v>
      </c>
      <c r="BA26" s="437">
        <v>46087</v>
      </c>
      <c r="BB26" s="433">
        <v>2026</v>
      </c>
      <c r="BC26" s="430">
        <v>3</v>
      </c>
      <c r="BD26" s="430">
        <v>10</v>
      </c>
      <c r="BE26" s="431">
        <v>36</v>
      </c>
      <c r="BF26" s="431">
        <v>576</v>
      </c>
      <c r="BG26" s="431" t="s">
        <v>128</v>
      </c>
      <c r="BH26" s="431" t="s">
        <v>86</v>
      </c>
      <c r="BI26" s="430" t="s">
        <v>197</v>
      </c>
      <c r="BJ26" s="430" t="s">
        <v>197</v>
      </c>
      <c r="BK26" s="430" t="s">
        <v>197</v>
      </c>
      <c r="BL26" s="430" t="s">
        <v>197</v>
      </c>
      <c r="BM26" s="430" t="s">
        <v>197</v>
      </c>
      <c r="BN26" s="430" t="s">
        <v>197</v>
      </c>
      <c r="BO26" s="430" t="s">
        <v>197</v>
      </c>
      <c r="BP26" s="430" t="s">
        <v>197</v>
      </c>
      <c r="BQ26" s="430" t="s">
        <v>197</v>
      </c>
      <c r="BR26" s="430" t="s">
        <v>197</v>
      </c>
      <c r="BS26" s="430" t="s">
        <v>197</v>
      </c>
      <c r="BT26" s="430" t="s">
        <v>197</v>
      </c>
      <c r="BU26" s="430" t="s">
        <v>197</v>
      </c>
      <c r="BV26" s="430" t="s">
        <v>197</v>
      </c>
      <c r="BW26" s="430" t="s">
        <v>197</v>
      </c>
      <c r="BX26" s="430" t="s">
        <v>197</v>
      </c>
      <c r="BY26" s="430" t="s">
        <v>197</v>
      </c>
      <c r="BZ26" s="430" t="s">
        <v>197</v>
      </c>
      <c r="CA26" s="430" t="s">
        <v>197</v>
      </c>
      <c r="CB26" s="430" t="s">
        <v>197</v>
      </c>
      <c r="CC26" s="430" t="s">
        <v>197</v>
      </c>
      <c r="CD26" s="430" t="s">
        <v>197</v>
      </c>
      <c r="CE26" s="430" t="s">
        <v>197</v>
      </c>
      <c r="CF26" s="430" t="s">
        <v>197</v>
      </c>
      <c r="CG26" s="430" t="s">
        <v>197</v>
      </c>
      <c r="CH26" s="430" t="s">
        <v>197</v>
      </c>
      <c r="CI26" s="430" t="s">
        <v>197</v>
      </c>
      <c r="CJ26" s="430" t="s">
        <v>197</v>
      </c>
      <c r="CK26" s="430" t="s">
        <v>197</v>
      </c>
      <c r="CL26" s="430" t="s">
        <v>197</v>
      </c>
      <c r="CM26" s="430" t="s">
        <v>197</v>
      </c>
    </row>
    <row r="27" spans="1:91" ht="10.5">
      <c r="A27" s="462" t="s">
        <v>245</v>
      </c>
      <c r="B27" s="462" t="s">
        <v>111</v>
      </c>
      <c r="C27" s="462" t="s">
        <v>112</v>
      </c>
      <c r="D27" s="462" t="s">
        <v>113</v>
      </c>
      <c r="E27" s="462" t="s">
        <v>64</v>
      </c>
      <c r="F27" s="462" t="s">
        <v>114</v>
      </c>
      <c r="G27" s="462" t="s">
        <v>66</v>
      </c>
      <c r="H27" s="462" t="s">
        <v>115</v>
      </c>
      <c r="I27" s="439" t="s">
        <v>68</v>
      </c>
      <c r="J27" s="430" t="s">
        <v>116</v>
      </c>
      <c r="K27" s="430" t="s">
        <v>117</v>
      </c>
      <c r="L27" s="430"/>
      <c r="M27" s="430" t="s">
        <v>68</v>
      </c>
      <c r="N27" s="432" t="s">
        <v>68</v>
      </c>
      <c r="O27" s="430" t="s">
        <v>70</v>
      </c>
      <c r="P27" s="430" t="s">
        <v>118</v>
      </c>
      <c r="Q27" s="430" t="s">
        <v>119</v>
      </c>
      <c r="R27" s="431" t="s">
        <v>73</v>
      </c>
      <c r="S27" s="442" t="s">
        <v>120</v>
      </c>
      <c r="T27" s="433">
        <v>640</v>
      </c>
      <c r="U27" s="1088">
        <v>1728</v>
      </c>
      <c r="V27" s="434">
        <v>1.1060000000000001</v>
      </c>
      <c r="W27" s="435">
        <v>48</v>
      </c>
      <c r="X27" s="1040">
        <v>3</v>
      </c>
      <c r="Y27" s="430" t="s">
        <v>75</v>
      </c>
      <c r="Z27" s="430" t="s">
        <v>75</v>
      </c>
      <c r="AA27" s="430"/>
      <c r="AB27" s="437">
        <v>46026</v>
      </c>
      <c r="AC27" s="438">
        <v>1</v>
      </c>
      <c r="AD27" s="439" t="s">
        <v>246</v>
      </c>
      <c r="AE27" s="430"/>
      <c r="AF27" s="430" t="s">
        <v>122</v>
      </c>
      <c r="AG27" s="430" t="s">
        <v>123</v>
      </c>
      <c r="AH27" s="430" t="s">
        <v>124</v>
      </c>
      <c r="AI27" s="437">
        <v>46031</v>
      </c>
      <c r="AK27" s="441">
        <v>46030</v>
      </c>
      <c r="AL27" s="437">
        <v>46086</v>
      </c>
      <c r="AM27" s="437">
        <v>46088</v>
      </c>
      <c r="AN27" s="437">
        <v>46089</v>
      </c>
      <c r="AO27" s="430" t="s">
        <v>66</v>
      </c>
      <c r="AP27" s="430" t="s">
        <v>247</v>
      </c>
      <c r="AQ27" s="430" t="s">
        <v>80</v>
      </c>
      <c r="AR27" s="430" t="s">
        <v>248</v>
      </c>
      <c r="AS27" s="430" t="s">
        <v>249</v>
      </c>
      <c r="AT27" s="430" t="s">
        <v>249</v>
      </c>
      <c r="AU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7">
        <v>46089</v>
      </c>
      <c r="AX27" s="433" t="s">
        <v>84</v>
      </c>
      <c r="AY27" s="437">
        <v>46100</v>
      </c>
      <c r="AZ27" s="442">
        <v>9</v>
      </c>
      <c r="BA27" s="437">
        <v>46098</v>
      </c>
      <c r="BB27" s="433">
        <v>2026</v>
      </c>
      <c r="BC27" s="430">
        <v>3</v>
      </c>
      <c r="BD27" s="430">
        <v>12</v>
      </c>
      <c r="BE27" s="431">
        <v>36</v>
      </c>
      <c r="BF27" s="431">
        <v>576</v>
      </c>
      <c r="BG27" s="431" t="s">
        <v>128</v>
      </c>
      <c r="BH27" s="431" t="s">
        <v>86</v>
      </c>
      <c r="BI27" s="430" t="s">
        <v>197</v>
      </c>
      <c r="BJ27" s="430" t="s">
        <v>197</v>
      </c>
      <c r="BK27" s="430" t="s">
        <v>197</v>
      </c>
      <c r="BL27" s="430" t="s">
        <v>197</v>
      </c>
      <c r="BM27" s="430" t="s">
        <v>197</v>
      </c>
      <c r="BN27" s="430" t="s">
        <v>197</v>
      </c>
      <c r="BO27" s="430" t="s">
        <v>197</v>
      </c>
      <c r="BP27" s="430" t="s">
        <v>197</v>
      </c>
      <c r="BQ27" s="430" t="s">
        <v>197</v>
      </c>
      <c r="BR27" s="430" t="s">
        <v>197</v>
      </c>
      <c r="BS27" s="430" t="s">
        <v>197</v>
      </c>
      <c r="BT27" s="430" t="s">
        <v>197</v>
      </c>
      <c r="BU27" s="430" t="s">
        <v>197</v>
      </c>
      <c r="BV27" s="430" t="s">
        <v>197</v>
      </c>
      <c r="BW27" s="430" t="s">
        <v>197</v>
      </c>
      <c r="BX27" s="430" t="s">
        <v>197</v>
      </c>
      <c r="BY27" s="430" t="s">
        <v>197</v>
      </c>
      <c r="BZ27" s="430" t="s">
        <v>197</v>
      </c>
      <c r="CA27" s="430" t="s">
        <v>197</v>
      </c>
      <c r="CB27" s="430" t="s">
        <v>197</v>
      </c>
      <c r="CC27" s="430" t="s">
        <v>197</v>
      </c>
      <c r="CD27" s="430" t="s">
        <v>197</v>
      </c>
      <c r="CE27" s="430" t="s">
        <v>197</v>
      </c>
      <c r="CF27" s="430" t="s">
        <v>197</v>
      </c>
      <c r="CG27" s="430" t="s">
        <v>197</v>
      </c>
      <c r="CH27" s="430" t="s">
        <v>197</v>
      </c>
      <c r="CI27" s="430" t="s">
        <v>197</v>
      </c>
      <c r="CJ27" s="430" t="s">
        <v>197</v>
      </c>
      <c r="CK27" s="430" t="s">
        <v>197</v>
      </c>
      <c r="CL27" s="430" t="s">
        <v>197</v>
      </c>
      <c r="CM27" s="430" t="s">
        <v>197</v>
      </c>
    </row>
    <row r="28" spans="1:91" ht="10.5">
      <c r="A28" s="462" t="s">
        <v>250</v>
      </c>
      <c r="B28" s="462" t="s">
        <v>111</v>
      </c>
      <c r="C28" s="462" t="s">
        <v>187</v>
      </c>
      <c r="D28" s="462" t="s">
        <v>63</v>
      </c>
      <c r="E28" s="462" t="s">
        <v>64</v>
      </c>
      <c r="F28" s="462" t="s">
        <v>65</v>
      </c>
      <c r="G28" s="462" t="s">
        <v>66</v>
      </c>
      <c r="H28" s="462" t="s">
        <v>67</v>
      </c>
      <c r="I28" s="439" t="s">
        <v>68</v>
      </c>
      <c r="J28" s="430" t="s">
        <v>188</v>
      </c>
      <c r="K28" s="430"/>
      <c r="L28" s="430"/>
      <c r="M28" s="430" t="s">
        <v>68</v>
      </c>
      <c r="N28" s="432" t="s">
        <v>68</v>
      </c>
      <c r="O28" s="430" t="s">
        <v>132</v>
      </c>
      <c r="P28" s="430" t="s">
        <v>189</v>
      </c>
      <c r="Q28" s="430" t="s">
        <v>190</v>
      </c>
      <c r="R28" s="431" t="s">
        <v>73</v>
      </c>
      <c r="S28" s="442" t="s">
        <v>74</v>
      </c>
      <c r="T28" s="433">
        <v>465</v>
      </c>
      <c r="U28" s="1088">
        <v>1728</v>
      </c>
      <c r="V28" s="434">
        <v>0.80400000000000005</v>
      </c>
      <c r="W28" s="435">
        <v>48</v>
      </c>
      <c r="X28" s="1040">
        <v>2</v>
      </c>
      <c r="Y28" s="430" t="s">
        <v>75</v>
      </c>
      <c r="Z28" s="430" t="s">
        <v>75</v>
      </c>
      <c r="AA28" s="430"/>
      <c r="AB28" s="437">
        <v>46026</v>
      </c>
      <c r="AC28" s="438">
        <v>1</v>
      </c>
      <c r="AD28" s="439" t="s">
        <v>251</v>
      </c>
      <c r="AE28" s="430"/>
      <c r="AF28" s="430" t="s">
        <v>122</v>
      </c>
      <c r="AG28" s="430" t="s">
        <v>123</v>
      </c>
      <c r="AH28" s="430" t="s">
        <v>78</v>
      </c>
      <c r="AI28" s="437">
        <v>46031</v>
      </c>
      <c r="AK28" s="441">
        <v>46030</v>
      </c>
      <c r="AL28" s="437">
        <v>46078</v>
      </c>
      <c r="AM28" s="437">
        <v>46083</v>
      </c>
      <c r="AN28" s="437">
        <v>46084</v>
      </c>
      <c r="AO28" s="430" t="s">
        <v>66</v>
      </c>
      <c r="AP28" s="430" t="s">
        <v>247</v>
      </c>
      <c r="AQ28" s="430" t="s">
        <v>80</v>
      </c>
      <c r="AR28" s="430" t="s">
        <v>252</v>
      </c>
      <c r="AS28" s="430" t="s">
        <v>253</v>
      </c>
      <c r="AT28" s="430" t="s">
        <v>253</v>
      </c>
      <c r="AU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7">
        <v>46084</v>
      </c>
      <c r="AX28" s="433" t="s">
        <v>84</v>
      </c>
      <c r="AY28" s="437">
        <v>46097</v>
      </c>
      <c r="AZ28" s="442">
        <v>8</v>
      </c>
      <c r="BA28" s="437">
        <v>46092</v>
      </c>
      <c r="BB28" s="433">
        <v>2026</v>
      </c>
      <c r="BC28" s="430">
        <v>3</v>
      </c>
      <c r="BD28" s="430">
        <v>11</v>
      </c>
      <c r="BE28" s="431">
        <v>36</v>
      </c>
      <c r="BF28" s="431">
        <v>864</v>
      </c>
      <c r="BG28" s="431" t="s">
        <v>108</v>
      </c>
      <c r="BH28" s="431" t="s">
        <v>86</v>
      </c>
      <c r="BI28" s="430" t="s">
        <v>197</v>
      </c>
      <c r="BJ28" s="430" t="s">
        <v>197</v>
      </c>
      <c r="BK28" s="430" t="s">
        <v>197</v>
      </c>
      <c r="BL28" s="430" t="s">
        <v>197</v>
      </c>
      <c r="BM28" s="430" t="s">
        <v>197</v>
      </c>
      <c r="BN28" s="430" t="s">
        <v>197</v>
      </c>
      <c r="BO28" s="430" t="s">
        <v>197</v>
      </c>
      <c r="BP28" s="430" t="s">
        <v>197</v>
      </c>
      <c r="BQ28" s="430" t="s">
        <v>197</v>
      </c>
      <c r="BR28" s="430" t="s">
        <v>197</v>
      </c>
      <c r="BS28" s="430" t="s">
        <v>197</v>
      </c>
      <c r="BT28" s="430" t="s">
        <v>197</v>
      </c>
      <c r="BU28" s="430" t="s">
        <v>197</v>
      </c>
      <c r="BV28" s="430" t="s">
        <v>197</v>
      </c>
      <c r="BW28" s="430" t="s">
        <v>197</v>
      </c>
      <c r="BX28" s="430" t="s">
        <v>197</v>
      </c>
      <c r="BY28" s="430" t="s">
        <v>197</v>
      </c>
      <c r="BZ28" s="430" t="s">
        <v>197</v>
      </c>
      <c r="CA28" s="430" t="s">
        <v>197</v>
      </c>
      <c r="CB28" s="430" t="s">
        <v>197</v>
      </c>
      <c r="CC28" s="430" t="s">
        <v>197</v>
      </c>
      <c r="CD28" s="430" t="s">
        <v>197</v>
      </c>
      <c r="CE28" s="430" t="s">
        <v>197</v>
      </c>
      <c r="CF28" s="430" t="s">
        <v>197</v>
      </c>
      <c r="CG28" s="430" t="s">
        <v>197</v>
      </c>
      <c r="CH28" s="430" t="s">
        <v>197</v>
      </c>
      <c r="CI28" s="430" t="s">
        <v>197</v>
      </c>
      <c r="CJ28" s="430" t="s">
        <v>197</v>
      </c>
      <c r="CK28" s="430" t="s">
        <v>197</v>
      </c>
      <c r="CL28" s="430" t="s">
        <v>197</v>
      </c>
      <c r="CM28" s="430" t="s">
        <v>197</v>
      </c>
    </row>
    <row r="29" spans="1:91" ht="10.5">
      <c r="A29" s="462" t="s">
        <v>254</v>
      </c>
      <c r="B29" s="462" t="s">
        <v>111</v>
      </c>
      <c r="C29" s="462" t="s">
        <v>187</v>
      </c>
      <c r="D29" s="462" t="s">
        <v>63</v>
      </c>
      <c r="E29" s="462" t="s">
        <v>64</v>
      </c>
      <c r="F29" s="462" t="s">
        <v>100</v>
      </c>
      <c r="G29" s="462" t="s">
        <v>66</v>
      </c>
      <c r="H29" s="462" t="s">
        <v>67</v>
      </c>
      <c r="I29" s="439" t="s">
        <v>68</v>
      </c>
      <c r="J29" s="430" t="s">
        <v>101</v>
      </c>
      <c r="K29" s="430"/>
      <c r="L29" s="430"/>
      <c r="M29" s="430" t="s">
        <v>68</v>
      </c>
      <c r="N29" s="432" t="s">
        <v>68</v>
      </c>
      <c r="O29" s="430" t="s">
        <v>132</v>
      </c>
      <c r="P29" s="430" t="s">
        <v>189</v>
      </c>
      <c r="Q29" s="430" t="s">
        <v>190</v>
      </c>
      <c r="R29" s="431" t="s">
        <v>73</v>
      </c>
      <c r="S29" s="442" t="s">
        <v>74</v>
      </c>
      <c r="T29" s="433">
        <v>465</v>
      </c>
      <c r="U29" s="1088">
        <v>864</v>
      </c>
      <c r="V29" s="434">
        <v>0.40200000000000002</v>
      </c>
      <c r="W29" s="435">
        <v>24</v>
      </c>
      <c r="X29" s="1040">
        <v>1</v>
      </c>
      <c r="Y29" s="430" t="s">
        <v>75</v>
      </c>
      <c r="Z29" s="430" t="s">
        <v>75</v>
      </c>
      <c r="AA29" s="430"/>
      <c r="AB29" s="437">
        <v>46026</v>
      </c>
      <c r="AC29" s="438">
        <v>1</v>
      </c>
      <c r="AD29" s="439" t="s">
        <v>255</v>
      </c>
      <c r="AE29" s="430"/>
      <c r="AF29" s="430" t="s">
        <v>122</v>
      </c>
      <c r="AG29" s="430" t="s">
        <v>123</v>
      </c>
      <c r="AH29" s="430" t="s">
        <v>105</v>
      </c>
      <c r="AI29" s="437">
        <v>46031</v>
      </c>
      <c r="AK29" s="441">
        <v>46030</v>
      </c>
      <c r="AL29" s="437">
        <v>46080</v>
      </c>
      <c r="AM29" s="437">
        <v>46111</v>
      </c>
      <c r="AN29" s="437">
        <v>46111</v>
      </c>
      <c r="AO29" s="430" t="s">
        <v>66</v>
      </c>
      <c r="AP29" s="430" t="s">
        <v>247</v>
      </c>
      <c r="AQ29" s="430" t="s">
        <v>80</v>
      </c>
      <c r="AR29" s="430" t="s">
        <v>256</v>
      </c>
      <c r="AS29" s="430" t="s">
        <v>257</v>
      </c>
      <c r="AT29" s="430" t="s">
        <v>257</v>
      </c>
      <c r="AU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7">
        <v>46111</v>
      </c>
      <c r="AX29" s="433" t="s">
        <v>84</v>
      </c>
      <c r="AY29" s="437">
        <v>46146</v>
      </c>
      <c r="AZ29" s="442">
        <v>7</v>
      </c>
      <c r="BA29" s="437">
        <v>46118</v>
      </c>
      <c r="BB29" s="433">
        <v>2026</v>
      </c>
      <c r="BC29" s="430">
        <v>4</v>
      </c>
      <c r="BD29" s="430">
        <v>15</v>
      </c>
      <c r="BE29" s="431">
        <v>36</v>
      </c>
      <c r="BF29" s="431">
        <v>864</v>
      </c>
      <c r="BG29" s="431" t="s">
        <v>108</v>
      </c>
      <c r="BH29" s="431" t="s">
        <v>109</v>
      </c>
      <c r="BI29" s="430" t="s">
        <v>197</v>
      </c>
      <c r="BJ29" s="430" t="s">
        <v>197</v>
      </c>
      <c r="BK29" s="430" t="s">
        <v>197</v>
      </c>
      <c r="BL29" s="430" t="s">
        <v>197</v>
      </c>
      <c r="BM29" s="430" t="s">
        <v>197</v>
      </c>
      <c r="BN29" s="430" t="s">
        <v>197</v>
      </c>
      <c r="BO29" s="430" t="s">
        <v>197</v>
      </c>
      <c r="BP29" s="430" t="s">
        <v>197</v>
      </c>
      <c r="BQ29" s="430" t="s">
        <v>197</v>
      </c>
      <c r="BR29" s="430" t="s">
        <v>197</v>
      </c>
      <c r="BS29" s="430" t="s">
        <v>197</v>
      </c>
      <c r="BT29" s="430" t="s">
        <v>197</v>
      </c>
      <c r="BU29" s="430" t="s">
        <v>197</v>
      </c>
      <c r="BV29" s="430" t="s">
        <v>197</v>
      </c>
      <c r="BW29" s="430" t="s">
        <v>197</v>
      </c>
      <c r="BX29" s="430" t="s">
        <v>197</v>
      </c>
      <c r="BY29" s="430" t="s">
        <v>197</v>
      </c>
      <c r="BZ29" s="430" t="s">
        <v>197</v>
      </c>
      <c r="CA29" s="430" t="s">
        <v>197</v>
      </c>
      <c r="CB29" s="430" t="s">
        <v>197</v>
      </c>
      <c r="CC29" s="430" t="s">
        <v>197</v>
      </c>
      <c r="CD29" s="430" t="s">
        <v>197</v>
      </c>
      <c r="CE29" s="430" t="s">
        <v>197</v>
      </c>
      <c r="CF29" s="430" t="s">
        <v>197</v>
      </c>
      <c r="CG29" s="430" t="s">
        <v>197</v>
      </c>
      <c r="CH29" s="430" t="s">
        <v>197</v>
      </c>
      <c r="CI29" s="430" t="s">
        <v>197</v>
      </c>
      <c r="CJ29" s="430" t="s">
        <v>197</v>
      </c>
      <c r="CK29" s="430" t="s">
        <v>197</v>
      </c>
      <c r="CL29" s="430" t="s">
        <v>197</v>
      </c>
      <c r="CM29" s="430" t="s">
        <v>197</v>
      </c>
    </row>
    <row r="30" spans="1:91" ht="10.5">
      <c r="A30" s="462" t="s">
        <v>258</v>
      </c>
      <c r="B30" s="462" t="s">
        <v>111</v>
      </c>
      <c r="C30" s="462" t="s">
        <v>168</v>
      </c>
      <c r="D30" s="462" t="s">
        <v>63</v>
      </c>
      <c r="E30" s="462" t="s">
        <v>64</v>
      </c>
      <c r="F30" s="462" t="s">
        <v>100</v>
      </c>
      <c r="G30" s="462" t="s">
        <v>66</v>
      </c>
      <c r="H30" s="462" t="s">
        <v>67</v>
      </c>
      <c r="I30" s="439" t="s">
        <v>68</v>
      </c>
      <c r="J30" s="430" t="s">
        <v>169</v>
      </c>
      <c r="K30" s="430"/>
      <c r="L30" s="430"/>
      <c r="M30" s="430" t="s">
        <v>68</v>
      </c>
      <c r="N30" s="432" t="s">
        <v>68</v>
      </c>
      <c r="O30" s="430" t="s">
        <v>170</v>
      </c>
      <c r="P30" s="430" t="s">
        <v>171</v>
      </c>
      <c r="Q30" s="430" t="s">
        <v>172</v>
      </c>
      <c r="R30" s="431" t="s">
        <v>73</v>
      </c>
      <c r="S30" s="442" t="s">
        <v>120</v>
      </c>
      <c r="T30" s="433">
        <v>555</v>
      </c>
      <c r="U30" s="1088">
        <v>660</v>
      </c>
      <c r="V30" s="434">
        <v>0.36599999999999999</v>
      </c>
      <c r="W30" s="435">
        <v>20</v>
      </c>
      <c r="X30" s="1040">
        <v>1</v>
      </c>
      <c r="Y30" s="430" t="s">
        <v>75</v>
      </c>
      <c r="Z30" s="430" t="s">
        <v>75</v>
      </c>
      <c r="AA30" s="430"/>
      <c r="AB30" s="437">
        <v>46026</v>
      </c>
      <c r="AC30" s="438">
        <v>1</v>
      </c>
      <c r="AD30" s="439" t="s">
        <v>259</v>
      </c>
      <c r="AE30" s="430"/>
      <c r="AF30" s="430" t="s">
        <v>122</v>
      </c>
      <c r="AG30" s="430" t="s">
        <v>123</v>
      </c>
      <c r="AH30" s="430" t="s">
        <v>105</v>
      </c>
      <c r="AI30" s="437">
        <v>46031</v>
      </c>
      <c r="AK30" s="441">
        <v>46030</v>
      </c>
      <c r="AL30" s="437">
        <v>46080</v>
      </c>
      <c r="AM30" s="437">
        <v>46111</v>
      </c>
      <c r="AN30" s="437">
        <v>46111</v>
      </c>
      <c r="AO30" s="430" t="s">
        <v>66</v>
      </c>
      <c r="AP30" s="430" t="s">
        <v>247</v>
      </c>
      <c r="AQ30" s="430" t="s">
        <v>80</v>
      </c>
      <c r="AR30" s="430" t="s">
        <v>256</v>
      </c>
      <c r="AS30" s="430" t="s">
        <v>257</v>
      </c>
      <c r="AT30" s="430" t="s">
        <v>257</v>
      </c>
      <c r="AU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7">
        <v>46111</v>
      </c>
      <c r="AX30" s="433" t="s">
        <v>84</v>
      </c>
      <c r="AY30" s="437">
        <v>46125</v>
      </c>
      <c r="AZ30" s="442">
        <v>7</v>
      </c>
      <c r="BA30" s="437">
        <v>46118</v>
      </c>
      <c r="BB30" s="433">
        <v>2026</v>
      </c>
      <c r="BC30" s="430">
        <v>4</v>
      </c>
      <c r="BD30" s="430">
        <v>15</v>
      </c>
      <c r="BE30" s="431">
        <v>33</v>
      </c>
      <c r="BF30" s="431">
        <v>660</v>
      </c>
      <c r="BG30" s="431" t="s">
        <v>108</v>
      </c>
      <c r="BH30" s="431" t="s">
        <v>109</v>
      </c>
      <c r="BI30" s="430" t="s">
        <v>197</v>
      </c>
      <c r="BJ30" s="430" t="s">
        <v>197</v>
      </c>
      <c r="BK30" s="430" t="s">
        <v>197</v>
      </c>
      <c r="BL30" s="430" t="s">
        <v>197</v>
      </c>
      <c r="BM30" s="430" t="s">
        <v>197</v>
      </c>
      <c r="BN30" s="430" t="s">
        <v>197</v>
      </c>
      <c r="BO30" s="430" t="s">
        <v>197</v>
      </c>
      <c r="BP30" s="430" t="s">
        <v>197</v>
      </c>
      <c r="BQ30" s="430" t="s">
        <v>197</v>
      </c>
      <c r="BR30" s="430" t="s">
        <v>197</v>
      </c>
      <c r="BS30" s="430" t="s">
        <v>197</v>
      </c>
      <c r="BT30" s="430" t="s">
        <v>197</v>
      </c>
      <c r="BU30" s="430" t="s">
        <v>197</v>
      </c>
      <c r="BV30" s="430" t="s">
        <v>197</v>
      </c>
      <c r="BW30" s="430" t="s">
        <v>197</v>
      </c>
      <c r="BX30" s="430" t="s">
        <v>197</v>
      </c>
      <c r="BY30" s="430" t="s">
        <v>197</v>
      </c>
      <c r="BZ30" s="430" t="s">
        <v>197</v>
      </c>
      <c r="CA30" s="430" t="s">
        <v>197</v>
      </c>
      <c r="CB30" s="430" t="s">
        <v>197</v>
      </c>
      <c r="CC30" s="430" t="s">
        <v>197</v>
      </c>
      <c r="CD30" s="430" t="s">
        <v>197</v>
      </c>
      <c r="CE30" s="430" t="s">
        <v>197</v>
      </c>
      <c r="CF30" s="430" t="s">
        <v>197</v>
      </c>
      <c r="CG30" s="430" t="s">
        <v>197</v>
      </c>
      <c r="CH30" s="430" t="s">
        <v>197</v>
      </c>
      <c r="CI30" s="430" t="s">
        <v>197</v>
      </c>
      <c r="CJ30" s="430" t="s">
        <v>197</v>
      </c>
      <c r="CK30" s="430" t="s">
        <v>197</v>
      </c>
      <c r="CL30" s="430" t="s">
        <v>197</v>
      </c>
      <c r="CM30" s="430" t="s">
        <v>197</v>
      </c>
    </row>
    <row r="31" spans="1:91" ht="10.5">
      <c r="A31" s="462" t="s">
        <v>260</v>
      </c>
      <c r="B31" s="462" t="s">
        <v>111</v>
      </c>
      <c r="C31" s="462" t="s">
        <v>168</v>
      </c>
      <c r="D31" s="462" t="s">
        <v>63</v>
      </c>
      <c r="E31" s="462" t="s">
        <v>64</v>
      </c>
      <c r="F31" s="462" t="s">
        <v>100</v>
      </c>
      <c r="G31" s="462" t="s">
        <v>66</v>
      </c>
      <c r="H31" s="462" t="s">
        <v>67</v>
      </c>
      <c r="I31" s="439" t="s">
        <v>68</v>
      </c>
      <c r="J31" s="430" t="s">
        <v>96</v>
      </c>
      <c r="K31" s="430"/>
      <c r="L31" s="430"/>
      <c r="M31" s="430" t="s">
        <v>68</v>
      </c>
      <c r="N31" s="432" t="s">
        <v>68</v>
      </c>
      <c r="O31" s="430" t="s">
        <v>170</v>
      </c>
      <c r="P31" s="430" t="s">
        <v>171</v>
      </c>
      <c r="Q31" s="430" t="s">
        <v>172</v>
      </c>
      <c r="R31" s="431" t="s">
        <v>73</v>
      </c>
      <c r="S31" s="442" t="s">
        <v>120</v>
      </c>
      <c r="T31" s="433">
        <v>555</v>
      </c>
      <c r="U31" s="1088">
        <v>1320</v>
      </c>
      <c r="V31" s="434">
        <v>0.73299999999999998</v>
      </c>
      <c r="W31" s="435">
        <v>40</v>
      </c>
      <c r="X31" s="1040">
        <v>2</v>
      </c>
      <c r="Y31" s="430" t="s">
        <v>75</v>
      </c>
      <c r="Z31" s="430" t="s">
        <v>75</v>
      </c>
      <c r="AA31" s="430"/>
      <c r="AB31" s="437">
        <v>46029</v>
      </c>
      <c r="AC31" s="438">
        <v>2</v>
      </c>
      <c r="AD31" s="439" t="s">
        <v>261</v>
      </c>
      <c r="AE31" s="430"/>
      <c r="AF31" s="430" t="s">
        <v>122</v>
      </c>
      <c r="AG31" s="430" t="s">
        <v>123</v>
      </c>
      <c r="AH31" s="430" t="s">
        <v>105</v>
      </c>
      <c r="AI31" s="437">
        <v>46035</v>
      </c>
      <c r="AJ31" s="437">
        <v>46037</v>
      </c>
      <c r="AK31" s="441">
        <v>46037</v>
      </c>
      <c r="AL31" s="437">
        <v>46071</v>
      </c>
      <c r="AM31" s="437">
        <v>46083</v>
      </c>
      <c r="AN31" s="437">
        <v>46083</v>
      </c>
      <c r="AO31" s="430" t="s">
        <v>66</v>
      </c>
      <c r="AP31" s="430" t="s">
        <v>262</v>
      </c>
      <c r="AQ31" s="430" t="s">
        <v>80</v>
      </c>
      <c r="AR31" s="430" t="s">
        <v>263</v>
      </c>
      <c r="AS31" s="430" t="s">
        <v>264</v>
      </c>
      <c r="AT31" s="430" t="s">
        <v>264</v>
      </c>
      <c r="AU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7">
        <v>46083</v>
      </c>
      <c r="AX31" s="433" t="s">
        <v>84</v>
      </c>
      <c r="AY31" s="437">
        <v>46097</v>
      </c>
      <c r="AZ31" s="442">
        <v>7</v>
      </c>
      <c r="BA31" s="437">
        <v>46090</v>
      </c>
      <c r="BB31" s="433">
        <v>2026</v>
      </c>
      <c r="BC31" s="430">
        <v>3</v>
      </c>
      <c r="BD31" s="430">
        <v>11</v>
      </c>
      <c r="BE31" s="431">
        <v>33</v>
      </c>
      <c r="BF31" s="431">
        <v>660</v>
      </c>
      <c r="BG31" s="431" t="s">
        <v>108</v>
      </c>
      <c r="BH31" s="431" t="s">
        <v>109</v>
      </c>
      <c r="BI31" s="430" t="s">
        <v>197</v>
      </c>
      <c r="BJ31" s="430" t="s">
        <v>197</v>
      </c>
      <c r="BK31" s="430" t="s">
        <v>197</v>
      </c>
      <c r="BL31" s="430" t="s">
        <v>197</v>
      </c>
      <c r="BM31" s="430" t="s">
        <v>197</v>
      </c>
      <c r="BN31" s="430" t="s">
        <v>197</v>
      </c>
      <c r="BO31" s="430" t="s">
        <v>197</v>
      </c>
      <c r="BP31" s="430" t="s">
        <v>197</v>
      </c>
      <c r="BQ31" s="430" t="s">
        <v>197</v>
      </c>
      <c r="BR31" s="430" t="s">
        <v>197</v>
      </c>
      <c r="BS31" s="430" t="s">
        <v>197</v>
      </c>
      <c r="BT31" s="430" t="s">
        <v>197</v>
      </c>
      <c r="BU31" s="430" t="s">
        <v>197</v>
      </c>
      <c r="BV31" s="430" t="s">
        <v>197</v>
      </c>
      <c r="BW31" s="430" t="s">
        <v>197</v>
      </c>
      <c r="BX31" s="430" t="s">
        <v>197</v>
      </c>
      <c r="BY31" s="430" t="s">
        <v>197</v>
      </c>
      <c r="BZ31" s="430" t="s">
        <v>197</v>
      </c>
      <c r="CA31" s="430" t="s">
        <v>197</v>
      </c>
      <c r="CB31" s="430" t="s">
        <v>197</v>
      </c>
      <c r="CC31" s="430" t="s">
        <v>197</v>
      </c>
      <c r="CD31" s="430" t="s">
        <v>197</v>
      </c>
      <c r="CE31" s="430" t="s">
        <v>197</v>
      </c>
      <c r="CF31" s="430" t="s">
        <v>197</v>
      </c>
      <c r="CG31" s="430" t="s">
        <v>197</v>
      </c>
      <c r="CH31" s="430" t="s">
        <v>197</v>
      </c>
      <c r="CI31" s="430" t="s">
        <v>197</v>
      </c>
      <c r="CJ31" s="430" t="s">
        <v>197</v>
      </c>
      <c r="CK31" s="430" t="s">
        <v>197</v>
      </c>
      <c r="CL31" s="430" t="s">
        <v>197</v>
      </c>
      <c r="CM31" s="430" t="s">
        <v>197</v>
      </c>
    </row>
    <row r="32" spans="1:91" ht="10.5">
      <c r="A32" s="462" t="s">
        <v>265</v>
      </c>
      <c r="B32" s="462" t="s">
        <v>111</v>
      </c>
      <c r="C32" s="462" t="s">
        <v>112</v>
      </c>
      <c r="D32" s="462" t="s">
        <v>113</v>
      </c>
      <c r="E32" s="462" t="s">
        <v>64</v>
      </c>
      <c r="F32" s="462" t="s">
        <v>114</v>
      </c>
      <c r="G32" s="462" t="s">
        <v>66</v>
      </c>
      <c r="H32" s="462" t="s">
        <v>115</v>
      </c>
      <c r="I32" s="439" t="s">
        <v>68</v>
      </c>
      <c r="J32" s="430" t="s">
        <v>116</v>
      </c>
      <c r="K32" s="430" t="s">
        <v>266</v>
      </c>
      <c r="L32" s="430"/>
      <c r="M32" s="430" t="s">
        <v>68</v>
      </c>
      <c r="N32" s="432" t="s">
        <v>68</v>
      </c>
      <c r="O32" s="430" t="s">
        <v>70</v>
      </c>
      <c r="P32" s="430" t="s">
        <v>118</v>
      </c>
      <c r="Q32" s="430" t="s">
        <v>119</v>
      </c>
      <c r="R32" s="431" t="s">
        <v>73</v>
      </c>
      <c r="S32" s="442" t="s">
        <v>120</v>
      </c>
      <c r="T32" s="433">
        <v>640</v>
      </c>
      <c r="U32" s="1088">
        <v>1152</v>
      </c>
      <c r="V32" s="434">
        <v>0.73699999999999999</v>
      </c>
      <c r="W32" s="435">
        <v>32</v>
      </c>
      <c r="X32" s="1040">
        <v>2</v>
      </c>
      <c r="Y32" s="430" t="s">
        <v>75</v>
      </c>
      <c r="Z32" s="430" t="s">
        <v>75</v>
      </c>
      <c r="AA32" s="430"/>
      <c r="AB32" s="437">
        <v>46034</v>
      </c>
      <c r="AC32" s="438">
        <v>3</v>
      </c>
      <c r="AD32" s="439" t="s">
        <v>267</v>
      </c>
      <c r="AE32" s="430"/>
      <c r="AF32" s="430" t="s">
        <v>122</v>
      </c>
      <c r="AG32" s="430" t="s">
        <v>123</v>
      </c>
      <c r="AH32" s="430" t="s">
        <v>124</v>
      </c>
      <c r="AI32" s="437">
        <v>46042</v>
      </c>
      <c r="AJ32" s="437">
        <v>46044</v>
      </c>
      <c r="AK32" s="441">
        <v>46044</v>
      </c>
      <c r="AL32" s="437">
        <v>46081</v>
      </c>
      <c r="AM32" s="437">
        <v>46083</v>
      </c>
      <c r="AN32" s="437">
        <v>46084</v>
      </c>
      <c r="AO32" s="430" t="s">
        <v>66</v>
      </c>
      <c r="AP32" s="430" t="s">
        <v>268</v>
      </c>
      <c r="AQ32" s="430" t="s">
        <v>80</v>
      </c>
      <c r="AR32" s="430" t="s">
        <v>269</v>
      </c>
      <c r="AS32" s="430" t="s">
        <v>270</v>
      </c>
      <c r="AT32" s="430" t="s">
        <v>270</v>
      </c>
      <c r="AU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7">
        <v>46084</v>
      </c>
      <c r="AX32" s="433" t="s">
        <v>84</v>
      </c>
      <c r="AY32" s="437">
        <v>46095</v>
      </c>
      <c r="AZ32" s="442">
        <v>9</v>
      </c>
      <c r="BA32" s="437">
        <v>46093</v>
      </c>
      <c r="BB32" s="433">
        <v>2026</v>
      </c>
      <c r="BC32" s="430">
        <v>3</v>
      </c>
      <c r="BD32" s="430">
        <v>11</v>
      </c>
      <c r="BE32" s="431">
        <v>36</v>
      </c>
      <c r="BF32" s="431">
        <v>576</v>
      </c>
      <c r="BG32" s="431" t="s">
        <v>128</v>
      </c>
      <c r="BH32" s="431" t="s">
        <v>86</v>
      </c>
      <c r="BI32" s="430" t="s">
        <v>197</v>
      </c>
      <c r="BJ32" s="430" t="s">
        <v>197</v>
      </c>
      <c r="BK32" s="430" t="s">
        <v>197</v>
      </c>
      <c r="BL32" s="430" t="s">
        <v>197</v>
      </c>
      <c r="BM32" s="430" t="s">
        <v>197</v>
      </c>
      <c r="BN32" s="430" t="s">
        <v>197</v>
      </c>
      <c r="BO32" s="430" t="s">
        <v>197</v>
      </c>
      <c r="BP32" s="430" t="s">
        <v>197</v>
      </c>
      <c r="BQ32" s="430" t="s">
        <v>197</v>
      </c>
      <c r="BR32" s="430" t="s">
        <v>197</v>
      </c>
      <c r="BS32" s="430" t="s">
        <v>197</v>
      </c>
      <c r="BT32" s="430" t="s">
        <v>197</v>
      </c>
      <c r="BU32" s="430" t="s">
        <v>197</v>
      </c>
      <c r="BV32" s="430" t="s">
        <v>197</v>
      </c>
      <c r="BW32" s="430" t="s">
        <v>197</v>
      </c>
      <c r="BX32" s="430" t="s">
        <v>197</v>
      </c>
      <c r="BY32" s="430" t="s">
        <v>197</v>
      </c>
      <c r="BZ32" s="430" t="s">
        <v>197</v>
      </c>
      <c r="CA32" s="430" t="s">
        <v>197</v>
      </c>
      <c r="CB32" s="430" t="s">
        <v>197</v>
      </c>
      <c r="CC32" s="430" t="s">
        <v>197</v>
      </c>
      <c r="CD32" s="430" t="s">
        <v>197</v>
      </c>
      <c r="CE32" s="430" t="s">
        <v>197</v>
      </c>
      <c r="CF32" s="430" t="s">
        <v>197</v>
      </c>
      <c r="CG32" s="430" t="s">
        <v>197</v>
      </c>
      <c r="CH32" s="430" t="s">
        <v>197</v>
      </c>
      <c r="CI32" s="430" t="s">
        <v>197</v>
      </c>
      <c r="CJ32" s="430" t="s">
        <v>197</v>
      </c>
      <c r="CK32" s="430" t="s">
        <v>197</v>
      </c>
      <c r="CL32" s="430" t="s">
        <v>197</v>
      </c>
      <c r="CM32" s="430" t="s">
        <v>197</v>
      </c>
    </row>
    <row r="33" spans="1:91" ht="10.5">
      <c r="A33" s="462" t="s">
        <v>271</v>
      </c>
      <c r="B33" s="462" t="s">
        <v>111</v>
      </c>
      <c r="C33" s="462" t="s">
        <v>112</v>
      </c>
      <c r="D33" s="462" t="s">
        <v>113</v>
      </c>
      <c r="E33" s="462" t="s">
        <v>64</v>
      </c>
      <c r="F33" s="462" t="s">
        <v>114</v>
      </c>
      <c r="G33" s="462" t="s">
        <v>66</v>
      </c>
      <c r="H33" s="462" t="s">
        <v>115</v>
      </c>
      <c r="I33" s="439" t="s">
        <v>68</v>
      </c>
      <c r="J33" s="430" t="s">
        <v>116</v>
      </c>
      <c r="K33" s="430" t="s">
        <v>117</v>
      </c>
      <c r="L33" s="430"/>
      <c r="M33" s="430" t="s">
        <v>68</v>
      </c>
      <c r="N33" s="432" t="s">
        <v>68</v>
      </c>
      <c r="O33" s="430" t="s">
        <v>70</v>
      </c>
      <c r="P33" s="430" t="s">
        <v>118</v>
      </c>
      <c r="Q33" s="430" t="s">
        <v>119</v>
      </c>
      <c r="R33" s="431" t="s">
        <v>73</v>
      </c>
      <c r="S33" s="442" t="s">
        <v>120</v>
      </c>
      <c r="T33" s="433">
        <v>640</v>
      </c>
      <c r="U33" s="1088">
        <v>2124</v>
      </c>
      <c r="V33" s="434">
        <v>1.359</v>
      </c>
      <c r="W33" s="435">
        <v>59</v>
      </c>
      <c r="X33" s="1040">
        <v>3.7</v>
      </c>
      <c r="Y33" s="430" t="s">
        <v>75</v>
      </c>
      <c r="Z33" s="430" t="s">
        <v>75</v>
      </c>
      <c r="AA33" s="430"/>
      <c r="AB33" s="437">
        <v>46029</v>
      </c>
      <c r="AC33" s="438">
        <v>2</v>
      </c>
      <c r="AD33" s="439" t="s">
        <v>272</v>
      </c>
      <c r="AE33" s="430"/>
      <c r="AF33" s="430" t="s">
        <v>122</v>
      </c>
      <c r="AG33" s="430" t="s">
        <v>123</v>
      </c>
      <c r="AH33" s="430" t="s">
        <v>124</v>
      </c>
      <c r="AI33" s="437">
        <v>46035</v>
      </c>
      <c r="AJ33" s="437">
        <v>46041</v>
      </c>
      <c r="AK33" s="441">
        <v>46041</v>
      </c>
      <c r="AL33" s="437">
        <v>46079</v>
      </c>
      <c r="AM33" s="437">
        <v>46079</v>
      </c>
      <c r="AN33" s="437">
        <v>46079</v>
      </c>
      <c r="AO33" s="430" t="s">
        <v>66</v>
      </c>
      <c r="AP33" s="430" t="s">
        <v>273</v>
      </c>
      <c r="AQ33" s="430" t="s">
        <v>80</v>
      </c>
      <c r="AR33" s="430" t="s">
        <v>274</v>
      </c>
      <c r="AS33" s="430" t="s">
        <v>275</v>
      </c>
      <c r="AT33" s="430" t="s">
        <v>275</v>
      </c>
      <c r="AU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7">
        <v>46079</v>
      </c>
      <c r="AX33" s="433" t="s">
        <v>84</v>
      </c>
      <c r="AY33" s="437">
        <v>46093</v>
      </c>
      <c r="AZ33" s="442">
        <v>9</v>
      </c>
      <c r="BA33" s="437">
        <v>46088</v>
      </c>
      <c r="BB33" s="433">
        <v>2026</v>
      </c>
      <c r="BC33" s="430">
        <v>3</v>
      </c>
      <c r="BD33" s="430">
        <v>10</v>
      </c>
      <c r="BE33" s="431">
        <v>36</v>
      </c>
      <c r="BF33" s="431">
        <v>576</v>
      </c>
      <c r="BG33" s="431" t="s">
        <v>128</v>
      </c>
      <c r="BH33" s="431" t="s">
        <v>86</v>
      </c>
      <c r="BI33" s="430" t="s">
        <v>197</v>
      </c>
      <c r="BJ33" s="430" t="s">
        <v>197</v>
      </c>
      <c r="BK33" s="430" t="s">
        <v>197</v>
      </c>
      <c r="BL33" s="430" t="s">
        <v>197</v>
      </c>
      <c r="BM33" s="430" t="s">
        <v>197</v>
      </c>
      <c r="BN33" s="430" t="s">
        <v>197</v>
      </c>
      <c r="BO33" s="430" t="s">
        <v>197</v>
      </c>
      <c r="BP33" s="430" t="s">
        <v>197</v>
      </c>
      <c r="BQ33" s="430" t="s">
        <v>197</v>
      </c>
      <c r="BR33" s="430" t="s">
        <v>197</v>
      </c>
      <c r="BS33" s="430" t="s">
        <v>197</v>
      </c>
      <c r="BT33" s="430" t="s">
        <v>197</v>
      </c>
      <c r="BU33" s="430" t="s">
        <v>197</v>
      </c>
      <c r="BV33" s="430" t="s">
        <v>197</v>
      </c>
      <c r="BW33" s="430" t="s">
        <v>197</v>
      </c>
      <c r="BX33" s="430" t="s">
        <v>197</v>
      </c>
      <c r="BY33" s="430" t="s">
        <v>197</v>
      </c>
      <c r="BZ33" s="430" t="s">
        <v>197</v>
      </c>
      <c r="CA33" s="430" t="s">
        <v>197</v>
      </c>
      <c r="CB33" s="430" t="s">
        <v>197</v>
      </c>
      <c r="CC33" s="430" t="s">
        <v>197</v>
      </c>
      <c r="CD33" s="430" t="s">
        <v>197</v>
      </c>
      <c r="CE33" s="430" t="s">
        <v>197</v>
      </c>
      <c r="CF33" s="430" t="s">
        <v>197</v>
      </c>
      <c r="CG33" s="430" t="s">
        <v>197</v>
      </c>
      <c r="CH33" s="430" t="s">
        <v>197</v>
      </c>
      <c r="CI33" s="430" t="s">
        <v>197</v>
      </c>
      <c r="CJ33" s="430" t="s">
        <v>197</v>
      </c>
      <c r="CK33" s="430" t="s">
        <v>197</v>
      </c>
      <c r="CL33" s="430" t="s">
        <v>197</v>
      </c>
      <c r="CM33" s="430" t="s">
        <v>197</v>
      </c>
    </row>
    <row r="34" spans="1:91" ht="10.5">
      <c r="A34" s="462" t="s">
        <v>276</v>
      </c>
      <c r="B34" s="462" t="s">
        <v>111</v>
      </c>
      <c r="C34" s="462" t="s">
        <v>112</v>
      </c>
      <c r="D34" s="462" t="s">
        <v>113</v>
      </c>
      <c r="E34" s="462" t="s">
        <v>64</v>
      </c>
      <c r="F34" s="462" t="s">
        <v>114</v>
      </c>
      <c r="G34" s="462" t="s">
        <v>66</v>
      </c>
      <c r="H34" s="462" t="s">
        <v>115</v>
      </c>
      <c r="I34" s="439" t="s">
        <v>68</v>
      </c>
      <c r="J34" s="430" t="s">
        <v>116</v>
      </c>
      <c r="K34" s="430" t="s">
        <v>266</v>
      </c>
      <c r="L34" s="430"/>
      <c r="M34" s="430" t="s">
        <v>68</v>
      </c>
      <c r="N34" s="432" t="s">
        <v>68</v>
      </c>
      <c r="O34" s="430" t="s">
        <v>70</v>
      </c>
      <c r="P34" s="430" t="s">
        <v>118</v>
      </c>
      <c r="Q34" s="430" t="s">
        <v>119</v>
      </c>
      <c r="R34" s="431" t="s">
        <v>73</v>
      </c>
      <c r="S34" s="442" t="s">
        <v>120</v>
      </c>
      <c r="T34" s="433">
        <v>640</v>
      </c>
      <c r="U34" s="1088">
        <v>180</v>
      </c>
      <c r="V34" s="434">
        <v>0.115</v>
      </c>
      <c r="W34" s="435">
        <v>5</v>
      </c>
      <c r="X34" s="1040">
        <v>0.3</v>
      </c>
      <c r="Y34" s="430" t="s">
        <v>75</v>
      </c>
      <c r="Z34" s="430" t="s">
        <v>75</v>
      </c>
      <c r="AA34" s="430"/>
      <c r="AB34" s="437">
        <v>46029</v>
      </c>
      <c r="AC34" s="438">
        <v>2</v>
      </c>
      <c r="AD34" s="439" t="s">
        <v>277</v>
      </c>
      <c r="AE34" s="430"/>
      <c r="AF34" s="430" t="s">
        <v>122</v>
      </c>
      <c r="AG34" s="430" t="s">
        <v>123</v>
      </c>
      <c r="AH34" s="430" t="s">
        <v>124</v>
      </c>
      <c r="AI34" s="437">
        <v>46035</v>
      </c>
      <c r="AJ34" s="437">
        <v>46041</v>
      </c>
      <c r="AK34" s="441">
        <v>46041</v>
      </c>
      <c r="AL34" s="437">
        <v>46079</v>
      </c>
      <c r="AM34" s="437">
        <v>46079</v>
      </c>
      <c r="AN34" s="437">
        <v>46079</v>
      </c>
      <c r="AO34" s="430" t="s">
        <v>66</v>
      </c>
      <c r="AP34" s="430" t="s">
        <v>273</v>
      </c>
      <c r="AQ34" s="430" t="s">
        <v>80</v>
      </c>
      <c r="AR34" s="430" t="s">
        <v>274</v>
      </c>
      <c r="AS34" s="430" t="s">
        <v>275</v>
      </c>
      <c r="AT34" s="430" t="s">
        <v>275</v>
      </c>
      <c r="AU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7">
        <v>46079</v>
      </c>
      <c r="AX34" s="433" t="s">
        <v>84</v>
      </c>
      <c r="AY34" s="437">
        <v>46093</v>
      </c>
      <c r="AZ34" s="442">
        <v>9</v>
      </c>
      <c r="BA34" s="437">
        <v>46088</v>
      </c>
      <c r="BB34" s="433">
        <v>2026</v>
      </c>
      <c r="BC34" s="430">
        <v>3</v>
      </c>
      <c r="BD34" s="430">
        <v>10</v>
      </c>
      <c r="BE34" s="431">
        <v>36</v>
      </c>
      <c r="BF34" s="431">
        <v>576</v>
      </c>
      <c r="BG34" s="431" t="s">
        <v>128</v>
      </c>
      <c r="BH34" s="431" t="s">
        <v>86</v>
      </c>
      <c r="BI34" s="430" t="s">
        <v>197</v>
      </c>
      <c r="BJ34" s="430" t="s">
        <v>197</v>
      </c>
      <c r="BK34" s="430" t="s">
        <v>197</v>
      </c>
      <c r="BL34" s="430" t="s">
        <v>197</v>
      </c>
      <c r="BM34" s="430" t="s">
        <v>197</v>
      </c>
      <c r="BN34" s="430" t="s">
        <v>197</v>
      </c>
      <c r="BO34" s="430" t="s">
        <v>197</v>
      </c>
      <c r="BP34" s="430" t="s">
        <v>197</v>
      </c>
      <c r="BQ34" s="430" t="s">
        <v>197</v>
      </c>
      <c r="BR34" s="430" t="s">
        <v>197</v>
      </c>
      <c r="BS34" s="430" t="s">
        <v>197</v>
      </c>
      <c r="BT34" s="430" t="s">
        <v>197</v>
      </c>
      <c r="BU34" s="430" t="s">
        <v>197</v>
      </c>
      <c r="BV34" s="430" t="s">
        <v>197</v>
      </c>
      <c r="BW34" s="430" t="s">
        <v>197</v>
      </c>
      <c r="BX34" s="430" t="s">
        <v>197</v>
      </c>
      <c r="BY34" s="430" t="s">
        <v>197</v>
      </c>
      <c r="BZ34" s="430" t="s">
        <v>197</v>
      </c>
      <c r="CA34" s="430" t="s">
        <v>197</v>
      </c>
      <c r="CB34" s="430" t="s">
        <v>197</v>
      </c>
      <c r="CC34" s="430" t="s">
        <v>197</v>
      </c>
      <c r="CD34" s="430" t="s">
        <v>197</v>
      </c>
      <c r="CE34" s="430" t="s">
        <v>197</v>
      </c>
      <c r="CF34" s="430" t="s">
        <v>197</v>
      </c>
      <c r="CG34" s="430" t="s">
        <v>197</v>
      </c>
      <c r="CH34" s="430" t="s">
        <v>197</v>
      </c>
      <c r="CI34" s="430" t="s">
        <v>197</v>
      </c>
      <c r="CJ34" s="430" t="s">
        <v>197</v>
      </c>
      <c r="CK34" s="430" t="s">
        <v>197</v>
      </c>
      <c r="CL34" s="430" t="s">
        <v>197</v>
      </c>
      <c r="CM34" s="430" t="s">
        <v>197</v>
      </c>
    </row>
    <row r="35" spans="1:91" ht="10.5">
      <c r="A35" s="462" t="s">
        <v>278</v>
      </c>
      <c r="B35" s="462" t="s">
        <v>111</v>
      </c>
      <c r="C35" s="462" t="s">
        <v>112</v>
      </c>
      <c r="D35" s="462" t="s">
        <v>113</v>
      </c>
      <c r="E35" s="462" t="s">
        <v>64</v>
      </c>
      <c r="F35" s="462" t="s">
        <v>114</v>
      </c>
      <c r="G35" s="462" t="s">
        <v>66</v>
      </c>
      <c r="H35" s="462" t="s">
        <v>115</v>
      </c>
      <c r="I35" s="439" t="s">
        <v>68</v>
      </c>
      <c r="J35" s="430" t="s">
        <v>116</v>
      </c>
      <c r="K35" s="430" t="s">
        <v>266</v>
      </c>
      <c r="L35" s="430"/>
      <c r="M35" s="430" t="s">
        <v>68</v>
      </c>
      <c r="N35" s="432" t="s">
        <v>68</v>
      </c>
      <c r="O35" s="430" t="s">
        <v>70</v>
      </c>
      <c r="P35" s="430" t="s">
        <v>118</v>
      </c>
      <c r="Q35" s="430" t="s">
        <v>119</v>
      </c>
      <c r="R35" s="431" t="s">
        <v>73</v>
      </c>
      <c r="S35" s="442" t="s">
        <v>120</v>
      </c>
      <c r="T35" s="433">
        <v>640</v>
      </c>
      <c r="U35" s="1088">
        <v>1152</v>
      </c>
      <c r="V35" s="434">
        <v>0.73699999999999999</v>
      </c>
      <c r="W35" s="435">
        <v>32</v>
      </c>
      <c r="X35" s="1040">
        <v>2</v>
      </c>
      <c r="Y35" s="430" t="s">
        <v>75</v>
      </c>
      <c r="Z35" s="430" t="s">
        <v>75</v>
      </c>
      <c r="AA35" s="430"/>
      <c r="AB35" s="437">
        <v>46029</v>
      </c>
      <c r="AC35" s="438">
        <v>2</v>
      </c>
      <c r="AD35" s="439" t="s">
        <v>279</v>
      </c>
      <c r="AE35" s="430"/>
      <c r="AF35" s="430" t="s">
        <v>122</v>
      </c>
      <c r="AG35" s="430" t="s">
        <v>123</v>
      </c>
      <c r="AH35" s="430" t="s">
        <v>124</v>
      </c>
      <c r="AI35" s="437">
        <v>46035</v>
      </c>
      <c r="AJ35" s="437">
        <v>46041</v>
      </c>
      <c r="AK35" s="441">
        <v>46041</v>
      </c>
      <c r="AL35" s="437">
        <v>46079</v>
      </c>
      <c r="AM35" s="437">
        <v>46079</v>
      </c>
      <c r="AN35" s="437">
        <v>46079</v>
      </c>
      <c r="AO35" s="430" t="s">
        <v>66</v>
      </c>
      <c r="AP35" s="430" t="s">
        <v>273</v>
      </c>
      <c r="AQ35" s="430" t="s">
        <v>80</v>
      </c>
      <c r="AR35" s="430" t="s">
        <v>274</v>
      </c>
      <c r="AS35" s="430" t="s">
        <v>275</v>
      </c>
      <c r="AT35" s="430" t="s">
        <v>275</v>
      </c>
      <c r="AU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7">
        <v>46079</v>
      </c>
      <c r="AX35" s="433" t="s">
        <v>84</v>
      </c>
      <c r="AY35" s="437">
        <v>46093</v>
      </c>
      <c r="AZ35" s="442">
        <v>9</v>
      </c>
      <c r="BA35" s="437">
        <v>46088</v>
      </c>
      <c r="BB35" s="433">
        <v>2026</v>
      </c>
      <c r="BC35" s="430">
        <v>3</v>
      </c>
      <c r="BD35" s="430">
        <v>10</v>
      </c>
      <c r="BE35" s="431">
        <v>36</v>
      </c>
      <c r="BF35" s="431">
        <v>576</v>
      </c>
      <c r="BG35" s="431" t="s">
        <v>128</v>
      </c>
      <c r="BH35" s="431" t="s">
        <v>86</v>
      </c>
      <c r="BI35" s="430" t="s">
        <v>197</v>
      </c>
      <c r="BJ35" s="430" t="s">
        <v>197</v>
      </c>
      <c r="BK35" s="430" t="s">
        <v>197</v>
      </c>
      <c r="BL35" s="430" t="s">
        <v>197</v>
      </c>
      <c r="BM35" s="430" t="s">
        <v>197</v>
      </c>
      <c r="BN35" s="430" t="s">
        <v>197</v>
      </c>
      <c r="BO35" s="430" t="s">
        <v>197</v>
      </c>
      <c r="BP35" s="430" t="s">
        <v>197</v>
      </c>
      <c r="BQ35" s="430" t="s">
        <v>197</v>
      </c>
      <c r="BR35" s="430" t="s">
        <v>197</v>
      </c>
      <c r="BS35" s="430" t="s">
        <v>197</v>
      </c>
      <c r="BT35" s="430" t="s">
        <v>197</v>
      </c>
      <c r="BU35" s="430" t="s">
        <v>197</v>
      </c>
      <c r="BV35" s="430" t="s">
        <v>197</v>
      </c>
      <c r="BW35" s="430" t="s">
        <v>197</v>
      </c>
      <c r="BX35" s="430" t="s">
        <v>197</v>
      </c>
      <c r="BY35" s="430" t="s">
        <v>197</v>
      </c>
      <c r="BZ35" s="430" t="s">
        <v>197</v>
      </c>
      <c r="CA35" s="430" t="s">
        <v>197</v>
      </c>
      <c r="CB35" s="430" t="s">
        <v>197</v>
      </c>
      <c r="CC35" s="430" t="s">
        <v>197</v>
      </c>
      <c r="CD35" s="430" t="s">
        <v>197</v>
      </c>
      <c r="CE35" s="430" t="s">
        <v>197</v>
      </c>
      <c r="CF35" s="430" t="s">
        <v>197</v>
      </c>
      <c r="CG35" s="430" t="s">
        <v>197</v>
      </c>
      <c r="CH35" s="430" t="s">
        <v>197</v>
      </c>
      <c r="CI35" s="430" t="s">
        <v>197</v>
      </c>
      <c r="CJ35" s="430" t="s">
        <v>197</v>
      </c>
      <c r="CK35" s="430" t="s">
        <v>197</v>
      </c>
      <c r="CL35" s="430" t="s">
        <v>197</v>
      </c>
      <c r="CM35" s="430" t="s">
        <v>197</v>
      </c>
    </row>
    <row r="36" spans="1:91" ht="10.5">
      <c r="A36" s="462" t="s">
        <v>280</v>
      </c>
      <c r="B36" s="462" t="s">
        <v>281</v>
      </c>
      <c r="C36" s="462" t="s">
        <v>282</v>
      </c>
      <c r="D36" s="462" t="s">
        <v>63</v>
      </c>
      <c r="E36" s="462" t="s">
        <v>64</v>
      </c>
      <c r="F36" s="462" t="s">
        <v>100</v>
      </c>
      <c r="G36" s="462" t="s">
        <v>66</v>
      </c>
      <c r="H36" s="462" t="s">
        <v>67</v>
      </c>
      <c r="I36" s="439" t="s">
        <v>68</v>
      </c>
      <c r="J36" s="430" t="s">
        <v>283</v>
      </c>
      <c r="K36" s="430"/>
      <c r="L36" s="430"/>
      <c r="M36" s="430" t="s">
        <v>68</v>
      </c>
      <c r="N36" s="432" t="s">
        <v>68</v>
      </c>
      <c r="O36" s="430" t="s">
        <v>284</v>
      </c>
      <c r="P36" s="430" t="s">
        <v>285</v>
      </c>
      <c r="Q36" s="430" t="s">
        <v>286</v>
      </c>
      <c r="R36" s="431" t="s">
        <v>73</v>
      </c>
      <c r="S36" s="442" t="s">
        <v>120</v>
      </c>
      <c r="T36" s="433">
        <v>460</v>
      </c>
      <c r="U36" s="1088">
        <v>962</v>
      </c>
      <c r="V36" s="434">
        <v>0.443</v>
      </c>
      <c r="W36" s="435">
        <v>26</v>
      </c>
      <c r="X36" s="1040">
        <v>1</v>
      </c>
      <c r="Y36" s="430" t="s">
        <v>75</v>
      </c>
      <c r="Z36" s="430" t="s">
        <v>75</v>
      </c>
      <c r="AA36" s="430"/>
      <c r="AB36" s="437">
        <v>46030</v>
      </c>
      <c r="AC36" s="438">
        <v>2</v>
      </c>
      <c r="AD36" s="439" t="s">
        <v>287</v>
      </c>
      <c r="AE36" s="430"/>
      <c r="AF36" s="430" t="s">
        <v>288</v>
      </c>
      <c r="AG36" s="430" t="s">
        <v>289</v>
      </c>
      <c r="AH36" s="430" t="s">
        <v>105</v>
      </c>
      <c r="AI36" s="437">
        <v>46038</v>
      </c>
      <c r="AJ36" s="437">
        <v>46041</v>
      </c>
      <c r="AK36" s="441">
        <v>46041</v>
      </c>
      <c r="AL36" s="437">
        <v>46069</v>
      </c>
      <c r="AM36" s="437">
        <v>46087</v>
      </c>
      <c r="AN36" s="437">
        <v>46087</v>
      </c>
      <c r="AO36" s="430" t="s">
        <v>66</v>
      </c>
      <c r="AP36" s="430" t="s">
        <v>211</v>
      </c>
      <c r="AQ36" s="430" t="s">
        <v>80</v>
      </c>
      <c r="AR36" s="430" t="s">
        <v>290</v>
      </c>
      <c r="AS36" s="430" t="s">
        <v>291</v>
      </c>
      <c r="AT36" s="430" t="s">
        <v>291</v>
      </c>
      <c r="AU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0" t="s">
        <v>83</v>
      </c>
      <c r="AW36" s="437">
        <v>46087</v>
      </c>
      <c r="AX36" s="433" t="s">
        <v>84</v>
      </c>
      <c r="AY36" s="437">
        <v>46094</v>
      </c>
      <c r="AZ36" s="442">
        <v>7</v>
      </c>
      <c r="BA36" s="437">
        <v>46094</v>
      </c>
      <c r="BB36" s="433">
        <v>2026</v>
      </c>
      <c r="BC36" s="430">
        <v>3</v>
      </c>
      <c r="BD36" s="430">
        <v>11</v>
      </c>
      <c r="BE36" s="431">
        <v>37</v>
      </c>
      <c r="BF36" s="431">
        <v>962</v>
      </c>
      <c r="BG36" s="431" t="s">
        <v>85</v>
      </c>
      <c r="BH36" s="431" t="s">
        <v>109</v>
      </c>
      <c r="BI36" s="430" t="s">
        <v>197</v>
      </c>
      <c r="BJ36" s="430" t="s">
        <v>197</v>
      </c>
      <c r="BK36" s="430" t="s">
        <v>197</v>
      </c>
      <c r="BL36" s="430" t="s">
        <v>197</v>
      </c>
      <c r="BM36" s="430" t="s">
        <v>197</v>
      </c>
      <c r="BN36" s="430" t="s">
        <v>197</v>
      </c>
      <c r="BO36" s="430" t="s">
        <v>197</v>
      </c>
      <c r="BP36" s="430" t="s">
        <v>197</v>
      </c>
      <c r="BQ36" s="430" t="s">
        <v>197</v>
      </c>
      <c r="BR36" s="430" t="s">
        <v>197</v>
      </c>
      <c r="BS36" s="430" t="s">
        <v>197</v>
      </c>
      <c r="BT36" s="430" t="s">
        <v>197</v>
      </c>
      <c r="BU36" s="430" t="s">
        <v>197</v>
      </c>
      <c r="BV36" s="430" t="s">
        <v>197</v>
      </c>
      <c r="BW36" s="430" t="s">
        <v>197</v>
      </c>
      <c r="BX36" s="430" t="s">
        <v>197</v>
      </c>
      <c r="BY36" s="430" t="s">
        <v>197</v>
      </c>
      <c r="BZ36" s="430" t="s">
        <v>197</v>
      </c>
      <c r="CA36" s="430" t="s">
        <v>197</v>
      </c>
      <c r="CB36" s="430" t="s">
        <v>197</v>
      </c>
      <c r="CC36" s="430" t="s">
        <v>197</v>
      </c>
      <c r="CD36" s="430" t="s">
        <v>197</v>
      </c>
      <c r="CE36" s="430" t="s">
        <v>197</v>
      </c>
      <c r="CF36" s="430" t="s">
        <v>197</v>
      </c>
      <c r="CG36" s="430" t="s">
        <v>197</v>
      </c>
      <c r="CH36" s="430" t="s">
        <v>197</v>
      </c>
      <c r="CI36" s="430" t="s">
        <v>197</v>
      </c>
      <c r="CJ36" s="430" t="s">
        <v>197</v>
      </c>
      <c r="CK36" s="430" t="s">
        <v>197</v>
      </c>
      <c r="CL36" s="430" t="s">
        <v>197</v>
      </c>
      <c r="CM36" s="430" t="s">
        <v>197</v>
      </c>
    </row>
    <row r="37" spans="1:91" ht="10.5">
      <c r="A37" s="462" t="s">
        <v>292</v>
      </c>
      <c r="B37" s="462" t="s">
        <v>281</v>
      </c>
      <c r="C37" s="462" t="s">
        <v>282</v>
      </c>
      <c r="D37" s="462" t="s">
        <v>63</v>
      </c>
      <c r="E37" s="462" t="s">
        <v>64</v>
      </c>
      <c r="F37" s="462" t="s">
        <v>100</v>
      </c>
      <c r="G37" s="462" t="s">
        <v>66</v>
      </c>
      <c r="H37" s="462" t="s">
        <v>67</v>
      </c>
      <c r="I37" s="439" t="s">
        <v>68</v>
      </c>
      <c r="J37" s="430" t="s">
        <v>293</v>
      </c>
      <c r="K37" s="430"/>
      <c r="L37" s="430"/>
      <c r="M37" s="430" t="s">
        <v>68</v>
      </c>
      <c r="N37" s="432" t="s">
        <v>68</v>
      </c>
      <c r="O37" s="430" t="s">
        <v>284</v>
      </c>
      <c r="P37" s="430" t="s">
        <v>285</v>
      </c>
      <c r="Q37" s="430" t="s">
        <v>286</v>
      </c>
      <c r="R37" s="431" t="s">
        <v>73</v>
      </c>
      <c r="S37" s="442" t="s">
        <v>120</v>
      </c>
      <c r="T37" s="433">
        <v>460</v>
      </c>
      <c r="U37" s="1088">
        <v>4810</v>
      </c>
      <c r="V37" s="434">
        <v>2.2130000000000001</v>
      </c>
      <c r="W37" s="435">
        <v>130</v>
      </c>
      <c r="X37" s="1040">
        <v>5</v>
      </c>
      <c r="Y37" s="430" t="s">
        <v>75</v>
      </c>
      <c r="Z37" s="430" t="s">
        <v>75</v>
      </c>
      <c r="AA37" s="430"/>
      <c r="AB37" s="437">
        <v>46030</v>
      </c>
      <c r="AC37" s="438">
        <v>2</v>
      </c>
      <c r="AD37" s="439" t="s">
        <v>294</v>
      </c>
      <c r="AE37" s="430"/>
      <c r="AF37" s="430" t="s">
        <v>288</v>
      </c>
      <c r="AG37" s="430" t="s">
        <v>289</v>
      </c>
      <c r="AH37" s="430" t="s">
        <v>105</v>
      </c>
      <c r="AI37" s="437">
        <v>46038</v>
      </c>
      <c r="AJ37" s="437">
        <v>46041</v>
      </c>
      <c r="AK37" s="441">
        <v>46041</v>
      </c>
      <c r="AL37" s="437">
        <v>46069</v>
      </c>
      <c r="AM37" s="437">
        <v>46087</v>
      </c>
      <c r="AN37" s="437">
        <v>46087</v>
      </c>
      <c r="AO37" s="430" t="s">
        <v>66</v>
      </c>
      <c r="AP37" s="430" t="s">
        <v>211</v>
      </c>
      <c r="AQ37" s="430" t="s">
        <v>80</v>
      </c>
      <c r="AR37" s="430" t="s">
        <v>290</v>
      </c>
      <c r="AS37" s="430" t="s">
        <v>291</v>
      </c>
      <c r="AT37" s="430" t="s">
        <v>291</v>
      </c>
      <c r="AU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0" t="s">
        <v>83</v>
      </c>
      <c r="AW37" s="437">
        <v>46087</v>
      </c>
      <c r="AX37" s="433" t="s">
        <v>84</v>
      </c>
      <c r="AY37" s="437">
        <v>46094</v>
      </c>
      <c r="AZ37" s="442">
        <v>7</v>
      </c>
      <c r="BA37" s="437">
        <v>46094</v>
      </c>
      <c r="BB37" s="433">
        <v>2026</v>
      </c>
      <c r="BC37" s="430">
        <v>3</v>
      </c>
      <c r="BD37" s="430">
        <v>11</v>
      </c>
      <c r="BE37" s="431">
        <v>37</v>
      </c>
      <c r="BF37" s="431">
        <v>962</v>
      </c>
      <c r="BG37" s="431" t="s">
        <v>85</v>
      </c>
      <c r="BH37" s="431" t="s">
        <v>109</v>
      </c>
      <c r="BI37" s="430" t="s">
        <v>197</v>
      </c>
      <c r="BJ37" s="430" t="s">
        <v>197</v>
      </c>
      <c r="BK37" s="430" t="s">
        <v>197</v>
      </c>
      <c r="BL37" s="430" t="s">
        <v>197</v>
      </c>
      <c r="BM37" s="430" t="s">
        <v>197</v>
      </c>
      <c r="BN37" s="430" t="s">
        <v>197</v>
      </c>
      <c r="BO37" s="430" t="s">
        <v>197</v>
      </c>
      <c r="BP37" s="430" t="s">
        <v>197</v>
      </c>
      <c r="BQ37" s="430" t="s">
        <v>197</v>
      </c>
      <c r="BR37" s="430" t="s">
        <v>197</v>
      </c>
      <c r="BS37" s="430" t="s">
        <v>197</v>
      </c>
      <c r="BT37" s="430" t="s">
        <v>197</v>
      </c>
      <c r="BU37" s="430" t="s">
        <v>197</v>
      </c>
      <c r="BV37" s="430" t="s">
        <v>197</v>
      </c>
      <c r="BW37" s="430" t="s">
        <v>197</v>
      </c>
      <c r="BX37" s="430" t="s">
        <v>197</v>
      </c>
      <c r="BY37" s="430" t="s">
        <v>197</v>
      </c>
      <c r="BZ37" s="430" t="s">
        <v>197</v>
      </c>
      <c r="CA37" s="430" t="s">
        <v>197</v>
      </c>
      <c r="CB37" s="430" t="s">
        <v>197</v>
      </c>
      <c r="CC37" s="430" t="s">
        <v>197</v>
      </c>
      <c r="CD37" s="430" t="s">
        <v>197</v>
      </c>
      <c r="CE37" s="430" t="s">
        <v>197</v>
      </c>
      <c r="CF37" s="430" t="s">
        <v>197</v>
      </c>
      <c r="CG37" s="430" t="s">
        <v>197</v>
      </c>
      <c r="CH37" s="430" t="s">
        <v>197</v>
      </c>
      <c r="CI37" s="430" t="s">
        <v>197</v>
      </c>
      <c r="CJ37" s="430" t="s">
        <v>197</v>
      </c>
      <c r="CK37" s="430" t="s">
        <v>197</v>
      </c>
      <c r="CL37" s="430" t="s">
        <v>197</v>
      </c>
      <c r="CM37" s="430" t="s">
        <v>197</v>
      </c>
    </row>
    <row r="38" spans="1:91" ht="10.5">
      <c r="A38" s="462" t="s">
        <v>295</v>
      </c>
      <c r="B38" s="462" t="s">
        <v>296</v>
      </c>
      <c r="C38" s="462" t="s">
        <v>297</v>
      </c>
      <c r="D38" s="462" t="s">
        <v>63</v>
      </c>
      <c r="E38" s="462" t="s">
        <v>64</v>
      </c>
      <c r="F38" s="462" t="s">
        <v>100</v>
      </c>
      <c r="G38" s="462" t="s">
        <v>66</v>
      </c>
      <c r="H38" s="462" t="s">
        <v>67</v>
      </c>
      <c r="I38" s="439" t="s">
        <v>68</v>
      </c>
      <c r="J38" s="430" t="s">
        <v>96</v>
      </c>
      <c r="K38" s="430"/>
      <c r="L38" s="430"/>
      <c r="M38" s="430" t="s">
        <v>68</v>
      </c>
      <c r="N38" s="432" t="s">
        <v>68</v>
      </c>
      <c r="O38" s="430" t="s">
        <v>298</v>
      </c>
      <c r="P38" s="430" t="s">
        <v>299</v>
      </c>
      <c r="Q38" s="430" t="s">
        <v>300</v>
      </c>
      <c r="R38" s="431" t="s">
        <v>73</v>
      </c>
      <c r="S38" s="442" t="s">
        <v>74</v>
      </c>
      <c r="T38" s="433">
        <v>480</v>
      </c>
      <c r="U38" s="1088">
        <v>1924</v>
      </c>
      <c r="V38" s="434">
        <v>0.92400000000000004</v>
      </c>
      <c r="W38" s="435">
        <v>52</v>
      </c>
      <c r="X38" s="1040">
        <v>2</v>
      </c>
      <c r="Y38" s="430" t="s">
        <v>75</v>
      </c>
      <c r="Z38" s="430" t="s">
        <v>75</v>
      </c>
      <c r="AA38" s="430"/>
      <c r="AB38" s="437">
        <v>46031</v>
      </c>
      <c r="AC38" s="438">
        <v>2</v>
      </c>
      <c r="AD38" s="439" t="s">
        <v>301</v>
      </c>
      <c r="AE38" s="430"/>
      <c r="AF38" s="430" t="s">
        <v>288</v>
      </c>
      <c r="AG38" s="430" t="s">
        <v>289</v>
      </c>
      <c r="AH38" s="430" t="s">
        <v>105</v>
      </c>
      <c r="AI38" s="437">
        <v>46038</v>
      </c>
      <c r="AJ38" s="437">
        <v>46041</v>
      </c>
      <c r="AK38" s="441">
        <v>46041</v>
      </c>
      <c r="AL38" s="437">
        <v>46069</v>
      </c>
      <c r="AM38" s="437">
        <v>46087</v>
      </c>
      <c r="AN38" s="437">
        <v>46087</v>
      </c>
      <c r="AO38" s="430" t="s">
        <v>66</v>
      </c>
      <c r="AP38" s="430" t="s">
        <v>211</v>
      </c>
      <c r="AQ38" s="430" t="s">
        <v>80</v>
      </c>
      <c r="AR38" s="430" t="s">
        <v>302</v>
      </c>
      <c r="AS38" s="430" t="s">
        <v>303</v>
      </c>
      <c r="AT38" s="430" t="s">
        <v>303</v>
      </c>
      <c r="AU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0" t="s">
        <v>83</v>
      </c>
      <c r="AW38" s="437">
        <v>46087</v>
      </c>
      <c r="AX38" s="433" t="s">
        <v>84</v>
      </c>
      <c r="AY38" s="437">
        <v>46101</v>
      </c>
      <c r="AZ38" s="442">
        <v>7</v>
      </c>
      <c r="BA38" s="437">
        <v>46094</v>
      </c>
      <c r="BB38" s="433">
        <v>2026</v>
      </c>
      <c r="BC38" s="430">
        <v>3</v>
      </c>
      <c r="BD38" s="430">
        <v>11</v>
      </c>
      <c r="BE38" s="431">
        <v>37</v>
      </c>
      <c r="BF38" s="431">
        <v>962</v>
      </c>
      <c r="BG38" s="431" t="s">
        <v>85</v>
      </c>
      <c r="BH38" s="431" t="s">
        <v>109</v>
      </c>
      <c r="BI38" s="430" t="s">
        <v>197</v>
      </c>
      <c r="BJ38" s="430" t="s">
        <v>197</v>
      </c>
      <c r="BK38" s="430" t="s">
        <v>197</v>
      </c>
      <c r="BL38" s="430" t="s">
        <v>197</v>
      </c>
      <c r="BM38" s="430" t="s">
        <v>197</v>
      </c>
      <c r="BN38" s="430" t="s">
        <v>197</v>
      </c>
      <c r="BO38" s="430" t="s">
        <v>197</v>
      </c>
      <c r="BP38" s="430" t="s">
        <v>197</v>
      </c>
      <c r="BQ38" s="430" t="s">
        <v>197</v>
      </c>
      <c r="BR38" s="430" t="s">
        <v>197</v>
      </c>
      <c r="BS38" s="430" t="s">
        <v>197</v>
      </c>
      <c r="BT38" s="430" t="s">
        <v>197</v>
      </c>
      <c r="BU38" s="430" t="s">
        <v>197</v>
      </c>
      <c r="BV38" s="430" t="s">
        <v>197</v>
      </c>
      <c r="BW38" s="430" t="s">
        <v>197</v>
      </c>
      <c r="BX38" s="430" t="s">
        <v>197</v>
      </c>
      <c r="BY38" s="430" t="s">
        <v>197</v>
      </c>
      <c r="BZ38" s="430" t="s">
        <v>197</v>
      </c>
      <c r="CA38" s="430" t="s">
        <v>197</v>
      </c>
      <c r="CB38" s="430" t="s">
        <v>197</v>
      </c>
      <c r="CC38" s="430" t="s">
        <v>197</v>
      </c>
      <c r="CD38" s="430" t="s">
        <v>197</v>
      </c>
      <c r="CE38" s="430" t="s">
        <v>197</v>
      </c>
      <c r="CF38" s="430" t="s">
        <v>197</v>
      </c>
      <c r="CG38" s="430" t="s">
        <v>197</v>
      </c>
      <c r="CH38" s="430" t="s">
        <v>197</v>
      </c>
      <c r="CI38" s="430" t="s">
        <v>197</v>
      </c>
      <c r="CJ38" s="430" t="s">
        <v>197</v>
      </c>
      <c r="CK38" s="430" t="s">
        <v>197</v>
      </c>
      <c r="CL38" s="430" t="s">
        <v>197</v>
      </c>
      <c r="CM38" s="430" t="s">
        <v>197</v>
      </c>
    </row>
    <row r="39" spans="1:91" ht="10.5">
      <c r="A39" s="462" t="s">
        <v>304</v>
      </c>
      <c r="B39" s="462" t="s">
        <v>296</v>
      </c>
      <c r="C39" s="462" t="s">
        <v>305</v>
      </c>
      <c r="D39" s="462" t="s">
        <v>63</v>
      </c>
      <c r="E39" s="462" t="s">
        <v>64</v>
      </c>
      <c r="F39" s="462" t="s">
        <v>100</v>
      </c>
      <c r="G39" s="462" t="s">
        <v>66</v>
      </c>
      <c r="H39" s="462" t="s">
        <v>67</v>
      </c>
      <c r="I39" s="439" t="s">
        <v>68</v>
      </c>
      <c r="J39" s="430" t="s">
        <v>96</v>
      </c>
      <c r="K39" s="430"/>
      <c r="L39" s="430"/>
      <c r="M39" s="430" t="s">
        <v>68</v>
      </c>
      <c r="N39" s="432" t="s">
        <v>68</v>
      </c>
      <c r="O39" s="430" t="s">
        <v>298</v>
      </c>
      <c r="P39" s="430" t="s">
        <v>306</v>
      </c>
      <c r="Q39" s="430" t="s">
        <v>307</v>
      </c>
      <c r="R39" s="431" t="s">
        <v>73</v>
      </c>
      <c r="S39" s="442" t="s">
        <v>74</v>
      </c>
      <c r="T39" s="433">
        <v>485</v>
      </c>
      <c r="U39" s="1088">
        <v>2886</v>
      </c>
      <c r="V39" s="434">
        <v>1.4</v>
      </c>
      <c r="W39" s="435">
        <v>78</v>
      </c>
      <c r="X39" s="1040">
        <v>3</v>
      </c>
      <c r="Y39" s="430" t="s">
        <v>75</v>
      </c>
      <c r="Z39" s="430" t="s">
        <v>75</v>
      </c>
      <c r="AA39" s="430"/>
      <c r="AB39" s="437">
        <v>46031</v>
      </c>
      <c r="AC39" s="438">
        <v>2</v>
      </c>
      <c r="AD39" s="439" t="s">
        <v>308</v>
      </c>
      <c r="AE39" s="430"/>
      <c r="AF39" s="430" t="s">
        <v>288</v>
      </c>
      <c r="AG39" s="430" t="s">
        <v>289</v>
      </c>
      <c r="AH39" s="430" t="s">
        <v>105</v>
      </c>
      <c r="AI39" s="437">
        <v>46038</v>
      </c>
      <c r="AJ39" s="437">
        <v>46041</v>
      </c>
      <c r="AK39" s="441">
        <v>46041</v>
      </c>
      <c r="AL39" s="437">
        <v>46069</v>
      </c>
      <c r="AM39" s="437">
        <v>46087</v>
      </c>
      <c r="AN39" s="437">
        <v>46087</v>
      </c>
      <c r="AO39" s="430" t="s">
        <v>66</v>
      </c>
      <c r="AP39" s="430" t="s">
        <v>211</v>
      </c>
      <c r="AQ39" s="430" t="s">
        <v>80</v>
      </c>
      <c r="AR39" s="430" t="s">
        <v>302</v>
      </c>
      <c r="AS39" s="430" t="s">
        <v>303</v>
      </c>
      <c r="AT39" s="430" t="s">
        <v>303</v>
      </c>
      <c r="AU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0" t="s">
        <v>83</v>
      </c>
      <c r="AW39" s="437">
        <v>46087</v>
      </c>
      <c r="AX39" s="433" t="s">
        <v>84</v>
      </c>
      <c r="AY39" s="437">
        <v>46101</v>
      </c>
      <c r="AZ39" s="442">
        <v>7</v>
      </c>
      <c r="BA39" s="437">
        <v>46094</v>
      </c>
      <c r="BB39" s="433">
        <v>2026</v>
      </c>
      <c r="BC39" s="430">
        <v>3</v>
      </c>
      <c r="BD39" s="430">
        <v>11</v>
      </c>
      <c r="BE39" s="431">
        <v>37</v>
      </c>
      <c r="BF39" s="431">
        <v>962</v>
      </c>
      <c r="BG39" s="431" t="s">
        <v>85</v>
      </c>
      <c r="BH39" s="431" t="s">
        <v>109</v>
      </c>
      <c r="BI39" s="430" t="s">
        <v>197</v>
      </c>
      <c r="BJ39" s="430" t="s">
        <v>197</v>
      </c>
      <c r="BK39" s="430" t="s">
        <v>197</v>
      </c>
      <c r="BL39" s="430" t="s">
        <v>197</v>
      </c>
      <c r="BM39" s="430" t="s">
        <v>197</v>
      </c>
      <c r="BN39" s="430" t="s">
        <v>197</v>
      </c>
      <c r="BO39" s="430" t="s">
        <v>197</v>
      </c>
      <c r="BP39" s="430" t="s">
        <v>197</v>
      </c>
      <c r="BQ39" s="430" t="s">
        <v>197</v>
      </c>
      <c r="BR39" s="430" t="s">
        <v>197</v>
      </c>
      <c r="BS39" s="430" t="s">
        <v>197</v>
      </c>
      <c r="BT39" s="430" t="s">
        <v>197</v>
      </c>
      <c r="BU39" s="430" t="s">
        <v>197</v>
      </c>
      <c r="BV39" s="430" t="s">
        <v>197</v>
      </c>
      <c r="BW39" s="430" t="s">
        <v>197</v>
      </c>
      <c r="BX39" s="430" t="s">
        <v>197</v>
      </c>
      <c r="BY39" s="430" t="s">
        <v>197</v>
      </c>
      <c r="BZ39" s="430" t="s">
        <v>197</v>
      </c>
      <c r="CA39" s="430" t="s">
        <v>197</v>
      </c>
      <c r="CB39" s="430" t="s">
        <v>197</v>
      </c>
      <c r="CC39" s="430" t="s">
        <v>197</v>
      </c>
      <c r="CD39" s="430" t="s">
        <v>197</v>
      </c>
      <c r="CE39" s="430" t="s">
        <v>197</v>
      </c>
      <c r="CF39" s="430" t="s">
        <v>197</v>
      </c>
      <c r="CG39" s="430" t="s">
        <v>197</v>
      </c>
      <c r="CH39" s="430" t="s">
        <v>197</v>
      </c>
      <c r="CI39" s="430" t="s">
        <v>197</v>
      </c>
      <c r="CJ39" s="430" t="s">
        <v>197</v>
      </c>
      <c r="CK39" s="430" t="s">
        <v>197</v>
      </c>
      <c r="CL39" s="430" t="s">
        <v>197</v>
      </c>
      <c r="CM39" s="430" t="s">
        <v>197</v>
      </c>
    </row>
    <row r="40" spans="1:91" ht="10.5">
      <c r="A40" s="462" t="s">
        <v>309</v>
      </c>
      <c r="B40" s="462" t="s">
        <v>296</v>
      </c>
      <c r="C40" s="462" t="s">
        <v>297</v>
      </c>
      <c r="D40" s="462" t="s">
        <v>63</v>
      </c>
      <c r="E40" s="462" t="s">
        <v>64</v>
      </c>
      <c r="F40" s="462" t="s">
        <v>310</v>
      </c>
      <c r="G40" s="462" t="s">
        <v>66</v>
      </c>
      <c r="H40" s="462" t="s">
        <v>311</v>
      </c>
      <c r="I40" s="439" t="s">
        <v>68</v>
      </c>
      <c r="J40" s="430" t="s">
        <v>312</v>
      </c>
      <c r="K40" s="430"/>
      <c r="L40" s="430"/>
      <c r="M40" s="430" t="s">
        <v>68</v>
      </c>
      <c r="N40" s="432" t="s">
        <v>68</v>
      </c>
      <c r="O40" s="430" t="s">
        <v>298</v>
      </c>
      <c r="P40" s="430" t="s">
        <v>299</v>
      </c>
      <c r="Q40" s="430" t="s">
        <v>300</v>
      </c>
      <c r="R40" s="431" t="s">
        <v>73</v>
      </c>
      <c r="S40" s="442" t="s">
        <v>74</v>
      </c>
      <c r="T40" s="433">
        <v>480</v>
      </c>
      <c r="U40" s="1088">
        <v>1924</v>
      </c>
      <c r="V40" s="434">
        <v>0.92400000000000004</v>
      </c>
      <c r="W40" s="435">
        <v>52</v>
      </c>
      <c r="X40" s="1040">
        <v>2</v>
      </c>
      <c r="Y40" s="430" t="s">
        <v>75</v>
      </c>
      <c r="Z40" s="430" t="s">
        <v>75</v>
      </c>
      <c r="AA40" s="430"/>
      <c r="AB40" s="437">
        <v>46034</v>
      </c>
      <c r="AC40" s="438">
        <v>3</v>
      </c>
      <c r="AD40" s="439" t="s">
        <v>313</v>
      </c>
      <c r="AE40" s="430"/>
      <c r="AF40" s="430" t="s">
        <v>288</v>
      </c>
      <c r="AG40" s="430" t="s">
        <v>289</v>
      </c>
      <c r="AH40" s="430" t="s">
        <v>314</v>
      </c>
      <c r="AI40" s="437">
        <v>46037</v>
      </c>
      <c r="AJ40" s="437">
        <v>46037</v>
      </c>
      <c r="AK40" s="441">
        <v>46038</v>
      </c>
      <c r="AL40" s="437">
        <v>46078</v>
      </c>
      <c r="AM40" s="437">
        <v>46078</v>
      </c>
      <c r="AN40" s="437">
        <v>46078</v>
      </c>
      <c r="AO40" s="430" t="s">
        <v>66</v>
      </c>
      <c r="AP40" s="430" t="s">
        <v>247</v>
      </c>
      <c r="AQ40" s="430" t="s">
        <v>80</v>
      </c>
      <c r="AR40" s="430" t="s">
        <v>315</v>
      </c>
      <c r="AS40" s="430" t="s">
        <v>316</v>
      </c>
      <c r="AT40" s="430" t="s">
        <v>316</v>
      </c>
      <c r="AU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0" t="s">
        <v>83</v>
      </c>
      <c r="AW40" s="437">
        <v>46078</v>
      </c>
      <c r="AX40" s="433" t="s">
        <v>84</v>
      </c>
      <c r="AY40" s="437">
        <v>46092</v>
      </c>
      <c r="AZ40" s="442">
        <v>13</v>
      </c>
      <c r="BA40" s="437">
        <v>46091</v>
      </c>
      <c r="BB40" s="433">
        <v>2026</v>
      </c>
      <c r="BC40" s="430">
        <v>3</v>
      </c>
      <c r="BD40" s="430">
        <v>11</v>
      </c>
      <c r="BE40" s="431">
        <v>37</v>
      </c>
      <c r="BF40" s="431">
        <v>962</v>
      </c>
      <c r="BG40" s="431" t="s">
        <v>85</v>
      </c>
      <c r="BH40" s="431" t="s">
        <v>86</v>
      </c>
      <c r="BI40" s="430" t="s">
        <v>197</v>
      </c>
      <c r="BJ40" s="430" t="s">
        <v>197</v>
      </c>
      <c r="BK40" s="430" t="s">
        <v>197</v>
      </c>
      <c r="BL40" s="430" t="s">
        <v>197</v>
      </c>
      <c r="BM40" s="430" t="s">
        <v>197</v>
      </c>
      <c r="BN40" s="430" t="s">
        <v>197</v>
      </c>
      <c r="BO40" s="430" t="s">
        <v>197</v>
      </c>
      <c r="BP40" s="430" t="s">
        <v>197</v>
      </c>
      <c r="BQ40" s="430" t="s">
        <v>197</v>
      </c>
      <c r="BR40" s="430" t="s">
        <v>197</v>
      </c>
      <c r="BS40" s="430" t="s">
        <v>197</v>
      </c>
      <c r="BT40" s="430" t="s">
        <v>197</v>
      </c>
      <c r="BU40" s="430" t="s">
        <v>197</v>
      </c>
      <c r="BV40" s="430" t="s">
        <v>197</v>
      </c>
      <c r="BW40" s="430" t="s">
        <v>197</v>
      </c>
      <c r="BX40" s="430" t="s">
        <v>197</v>
      </c>
      <c r="BY40" s="430" t="s">
        <v>197</v>
      </c>
      <c r="BZ40" s="430" t="s">
        <v>197</v>
      </c>
      <c r="CA40" s="430" t="s">
        <v>197</v>
      </c>
      <c r="CB40" s="430" t="s">
        <v>197</v>
      </c>
      <c r="CC40" s="430" t="s">
        <v>197</v>
      </c>
      <c r="CD40" s="430" t="s">
        <v>197</v>
      </c>
      <c r="CE40" s="430" t="s">
        <v>197</v>
      </c>
      <c r="CF40" s="430" t="s">
        <v>197</v>
      </c>
      <c r="CG40" s="430" t="s">
        <v>197</v>
      </c>
      <c r="CH40" s="430" t="s">
        <v>197</v>
      </c>
      <c r="CI40" s="430" t="s">
        <v>197</v>
      </c>
      <c r="CJ40" s="430" t="s">
        <v>197</v>
      </c>
      <c r="CK40" s="430" t="s">
        <v>197</v>
      </c>
      <c r="CL40" s="430" t="s">
        <v>197</v>
      </c>
      <c r="CM40" s="430" t="s">
        <v>197</v>
      </c>
    </row>
    <row r="41" spans="1:91" ht="10.5">
      <c r="A41" s="462" t="s">
        <v>317</v>
      </c>
      <c r="B41" s="462" t="s">
        <v>296</v>
      </c>
      <c r="C41" s="462" t="s">
        <v>305</v>
      </c>
      <c r="D41" s="462" t="s">
        <v>63</v>
      </c>
      <c r="E41" s="462" t="s">
        <v>64</v>
      </c>
      <c r="F41" s="462" t="s">
        <v>310</v>
      </c>
      <c r="G41" s="462" t="s">
        <v>66</v>
      </c>
      <c r="H41" s="462" t="s">
        <v>311</v>
      </c>
      <c r="I41" s="439" t="s">
        <v>68</v>
      </c>
      <c r="J41" s="430" t="s">
        <v>312</v>
      </c>
      <c r="K41" s="430"/>
      <c r="L41" s="430"/>
      <c r="M41" s="430" t="s">
        <v>68</v>
      </c>
      <c r="N41" s="432" t="s">
        <v>68</v>
      </c>
      <c r="O41" s="430" t="s">
        <v>298</v>
      </c>
      <c r="P41" s="430" t="s">
        <v>306</v>
      </c>
      <c r="Q41" s="430" t="s">
        <v>307</v>
      </c>
      <c r="R41" s="431" t="s">
        <v>73</v>
      </c>
      <c r="S41" s="442" t="s">
        <v>74</v>
      </c>
      <c r="T41" s="433">
        <v>485</v>
      </c>
      <c r="U41" s="1088">
        <v>1924</v>
      </c>
      <c r="V41" s="434">
        <v>0.93300000000000005</v>
      </c>
      <c r="W41" s="435">
        <v>52</v>
      </c>
      <c r="X41" s="1040">
        <v>2</v>
      </c>
      <c r="Y41" s="430" t="s">
        <v>75</v>
      </c>
      <c r="Z41" s="430" t="s">
        <v>75</v>
      </c>
      <c r="AA41" s="430"/>
      <c r="AB41" s="437">
        <v>46034</v>
      </c>
      <c r="AC41" s="438">
        <v>3</v>
      </c>
      <c r="AD41" s="439" t="s">
        <v>318</v>
      </c>
      <c r="AE41" s="430"/>
      <c r="AF41" s="430" t="s">
        <v>288</v>
      </c>
      <c r="AG41" s="430" t="s">
        <v>289</v>
      </c>
      <c r="AH41" s="430" t="s">
        <v>314</v>
      </c>
      <c r="AI41" s="437">
        <v>46037</v>
      </c>
      <c r="AJ41" s="437">
        <v>46037</v>
      </c>
      <c r="AK41" s="441">
        <v>46038</v>
      </c>
      <c r="AL41" s="437">
        <v>46078</v>
      </c>
      <c r="AM41" s="437">
        <v>46078</v>
      </c>
      <c r="AN41" s="437">
        <v>46078</v>
      </c>
      <c r="AO41" s="430" t="s">
        <v>66</v>
      </c>
      <c r="AP41" s="430" t="s">
        <v>247</v>
      </c>
      <c r="AQ41" s="430" t="s">
        <v>80</v>
      </c>
      <c r="AR41" s="430" t="s">
        <v>315</v>
      </c>
      <c r="AS41" s="430" t="s">
        <v>316</v>
      </c>
      <c r="AT41" s="430" t="s">
        <v>316</v>
      </c>
      <c r="AU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0" t="s">
        <v>83</v>
      </c>
      <c r="AW41" s="437">
        <v>46078</v>
      </c>
      <c r="AX41" s="433" t="s">
        <v>84</v>
      </c>
      <c r="AY41" s="437">
        <v>46092</v>
      </c>
      <c r="AZ41" s="442">
        <v>13</v>
      </c>
      <c r="BA41" s="437">
        <v>46091</v>
      </c>
      <c r="BB41" s="433">
        <v>2026</v>
      </c>
      <c r="BC41" s="430">
        <v>3</v>
      </c>
      <c r="BD41" s="430">
        <v>11</v>
      </c>
      <c r="BE41" s="431">
        <v>37</v>
      </c>
      <c r="BF41" s="431">
        <v>962</v>
      </c>
      <c r="BG41" s="431" t="s">
        <v>85</v>
      </c>
      <c r="BH41" s="431" t="s">
        <v>86</v>
      </c>
      <c r="BI41" s="430" t="s">
        <v>197</v>
      </c>
      <c r="BJ41" s="430" t="s">
        <v>197</v>
      </c>
      <c r="BK41" s="430" t="s">
        <v>197</v>
      </c>
      <c r="BL41" s="430" t="s">
        <v>197</v>
      </c>
      <c r="BM41" s="430" t="s">
        <v>197</v>
      </c>
      <c r="BN41" s="430" t="s">
        <v>197</v>
      </c>
      <c r="BO41" s="430" t="s">
        <v>197</v>
      </c>
      <c r="BP41" s="430" t="s">
        <v>197</v>
      </c>
      <c r="BQ41" s="430" t="s">
        <v>197</v>
      </c>
      <c r="BR41" s="430" t="s">
        <v>197</v>
      </c>
      <c r="BS41" s="430" t="s">
        <v>197</v>
      </c>
      <c r="BT41" s="430" t="s">
        <v>197</v>
      </c>
      <c r="BU41" s="430" t="s">
        <v>197</v>
      </c>
      <c r="BV41" s="430" t="s">
        <v>197</v>
      </c>
      <c r="BW41" s="430" t="s">
        <v>197</v>
      </c>
      <c r="BX41" s="430" t="s">
        <v>197</v>
      </c>
      <c r="BY41" s="430" t="s">
        <v>197</v>
      </c>
      <c r="BZ41" s="430" t="s">
        <v>197</v>
      </c>
      <c r="CA41" s="430" t="s">
        <v>197</v>
      </c>
      <c r="CB41" s="430" t="s">
        <v>197</v>
      </c>
      <c r="CC41" s="430" t="s">
        <v>197</v>
      </c>
      <c r="CD41" s="430" t="s">
        <v>197</v>
      </c>
      <c r="CE41" s="430" t="s">
        <v>197</v>
      </c>
      <c r="CF41" s="430" t="s">
        <v>197</v>
      </c>
      <c r="CG41" s="430" t="s">
        <v>197</v>
      </c>
      <c r="CH41" s="430" t="s">
        <v>197</v>
      </c>
      <c r="CI41" s="430" t="s">
        <v>197</v>
      </c>
      <c r="CJ41" s="430" t="s">
        <v>197</v>
      </c>
      <c r="CK41" s="430" t="s">
        <v>197</v>
      </c>
      <c r="CL41" s="430" t="s">
        <v>197</v>
      </c>
      <c r="CM41" s="430" t="s">
        <v>197</v>
      </c>
    </row>
    <row r="42" spans="1:91" ht="10.5">
      <c r="A42" s="462" t="s">
        <v>319</v>
      </c>
      <c r="B42" s="462" t="s">
        <v>296</v>
      </c>
      <c r="C42" s="462" t="s">
        <v>305</v>
      </c>
      <c r="D42" s="462" t="s">
        <v>63</v>
      </c>
      <c r="E42" s="462" t="s">
        <v>64</v>
      </c>
      <c r="F42" s="462" t="s">
        <v>100</v>
      </c>
      <c r="G42" s="462" t="s">
        <v>66</v>
      </c>
      <c r="H42" s="462" t="s">
        <v>67</v>
      </c>
      <c r="I42" s="439" t="s">
        <v>68</v>
      </c>
      <c r="J42" s="430" t="s">
        <v>169</v>
      </c>
      <c r="K42" s="430"/>
      <c r="L42" s="430"/>
      <c r="M42" s="430" t="s">
        <v>68</v>
      </c>
      <c r="N42" s="432" t="s">
        <v>68</v>
      </c>
      <c r="O42" s="430" t="s">
        <v>298</v>
      </c>
      <c r="P42" s="430" t="s">
        <v>306</v>
      </c>
      <c r="Q42" s="430" t="s">
        <v>307</v>
      </c>
      <c r="R42" s="431" t="s">
        <v>73</v>
      </c>
      <c r="S42" s="442" t="s">
        <v>74</v>
      </c>
      <c r="T42" s="433">
        <v>485</v>
      </c>
      <c r="U42" s="1088">
        <v>962</v>
      </c>
      <c r="V42" s="434">
        <v>0.46700000000000003</v>
      </c>
      <c r="W42" s="435">
        <v>26</v>
      </c>
      <c r="X42" s="1040">
        <v>1</v>
      </c>
      <c r="Y42" s="430" t="s">
        <v>75</v>
      </c>
      <c r="Z42" s="430" t="s">
        <v>75</v>
      </c>
      <c r="AA42" s="430"/>
      <c r="AB42" s="437">
        <v>46031</v>
      </c>
      <c r="AC42" s="438">
        <v>2</v>
      </c>
      <c r="AD42" s="439" t="s">
        <v>320</v>
      </c>
      <c r="AE42" s="430"/>
      <c r="AF42" s="430" t="s">
        <v>288</v>
      </c>
      <c r="AG42" s="430" t="s">
        <v>289</v>
      </c>
      <c r="AH42" s="430" t="s">
        <v>105</v>
      </c>
      <c r="AI42" s="437">
        <v>46041</v>
      </c>
      <c r="AJ42" s="437">
        <v>46042</v>
      </c>
      <c r="AK42" s="441">
        <v>46042</v>
      </c>
      <c r="AL42" s="437">
        <v>46090</v>
      </c>
      <c r="AM42" s="437">
        <v>46111</v>
      </c>
      <c r="AN42" s="437">
        <v>46111</v>
      </c>
      <c r="AO42" s="430" t="s">
        <v>66</v>
      </c>
      <c r="AP42" s="430" t="s">
        <v>241</v>
      </c>
      <c r="AQ42" s="430" t="s">
        <v>80</v>
      </c>
      <c r="AR42" s="430" t="s">
        <v>321</v>
      </c>
      <c r="AS42" s="430" t="s">
        <v>322</v>
      </c>
      <c r="AT42" s="430" t="s">
        <v>322</v>
      </c>
      <c r="AU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7">
        <v>46111</v>
      </c>
      <c r="AX42" s="433" t="s">
        <v>84</v>
      </c>
      <c r="AY42" s="437">
        <v>46125</v>
      </c>
      <c r="AZ42" s="442">
        <v>7</v>
      </c>
      <c r="BA42" s="437">
        <v>46118</v>
      </c>
      <c r="BB42" s="433">
        <v>2026</v>
      </c>
      <c r="BC42" s="430">
        <v>4</v>
      </c>
      <c r="BD42" s="430">
        <v>15</v>
      </c>
      <c r="BE42" s="431">
        <v>37</v>
      </c>
      <c r="BF42" s="431">
        <v>962</v>
      </c>
      <c r="BG42" s="431" t="s">
        <v>85</v>
      </c>
      <c r="BH42" s="431" t="s">
        <v>109</v>
      </c>
      <c r="BI42" s="430" t="s">
        <v>197</v>
      </c>
      <c r="BJ42" s="430" t="s">
        <v>197</v>
      </c>
      <c r="BK42" s="430" t="s">
        <v>197</v>
      </c>
      <c r="BL42" s="430" t="s">
        <v>197</v>
      </c>
      <c r="BM42" s="430" t="s">
        <v>197</v>
      </c>
      <c r="BN42" s="430" t="s">
        <v>197</v>
      </c>
      <c r="BO42" s="430" t="s">
        <v>197</v>
      </c>
      <c r="BP42" s="430" t="s">
        <v>197</v>
      </c>
      <c r="BQ42" s="430" t="s">
        <v>197</v>
      </c>
      <c r="BR42" s="430" t="s">
        <v>197</v>
      </c>
      <c r="BS42" s="430" t="s">
        <v>197</v>
      </c>
      <c r="BT42" s="430" t="s">
        <v>197</v>
      </c>
      <c r="BU42" s="430" t="s">
        <v>197</v>
      </c>
      <c r="BV42" s="430" t="s">
        <v>197</v>
      </c>
      <c r="BW42" s="430" t="s">
        <v>197</v>
      </c>
      <c r="BX42" s="430" t="s">
        <v>197</v>
      </c>
      <c r="BY42" s="430" t="s">
        <v>197</v>
      </c>
      <c r="BZ42" s="430" t="s">
        <v>197</v>
      </c>
      <c r="CA42" s="430" t="s">
        <v>197</v>
      </c>
      <c r="CB42" s="430" t="s">
        <v>197</v>
      </c>
      <c r="CC42" s="430" t="s">
        <v>197</v>
      </c>
      <c r="CD42" s="430" t="s">
        <v>197</v>
      </c>
      <c r="CE42" s="430" t="s">
        <v>197</v>
      </c>
      <c r="CF42" s="430" t="s">
        <v>197</v>
      </c>
      <c r="CG42" s="430" t="s">
        <v>197</v>
      </c>
      <c r="CH42" s="430" t="s">
        <v>197</v>
      </c>
      <c r="CI42" s="430" t="s">
        <v>197</v>
      </c>
      <c r="CJ42" s="430" t="s">
        <v>197</v>
      </c>
      <c r="CK42" s="430" t="s">
        <v>197</v>
      </c>
      <c r="CL42" s="430" t="s">
        <v>197</v>
      </c>
      <c r="CM42" s="430" t="s">
        <v>197</v>
      </c>
    </row>
    <row r="43" spans="1:91" ht="10.5">
      <c r="A43" s="462" t="s">
        <v>323</v>
      </c>
      <c r="B43" s="462" t="s">
        <v>296</v>
      </c>
      <c r="C43" s="462" t="s">
        <v>297</v>
      </c>
      <c r="D43" s="462" t="s">
        <v>63</v>
      </c>
      <c r="E43" s="462" t="s">
        <v>64</v>
      </c>
      <c r="F43" s="462" t="s">
        <v>100</v>
      </c>
      <c r="G43" s="462" t="s">
        <v>66</v>
      </c>
      <c r="H43" s="462" t="s">
        <v>67</v>
      </c>
      <c r="I43" s="439" t="s">
        <v>68</v>
      </c>
      <c r="J43" s="430" t="s">
        <v>169</v>
      </c>
      <c r="K43" s="430"/>
      <c r="L43" s="430"/>
      <c r="M43" s="430" t="s">
        <v>68</v>
      </c>
      <c r="N43" s="432" t="s">
        <v>68</v>
      </c>
      <c r="O43" s="430" t="s">
        <v>298</v>
      </c>
      <c r="P43" s="430" t="s">
        <v>299</v>
      </c>
      <c r="Q43" s="430" t="s">
        <v>300</v>
      </c>
      <c r="R43" s="431" t="s">
        <v>73</v>
      </c>
      <c r="S43" s="442" t="s">
        <v>74</v>
      </c>
      <c r="T43" s="433">
        <v>480</v>
      </c>
      <c r="U43" s="1088">
        <v>962</v>
      </c>
      <c r="V43" s="434">
        <v>0.46200000000000002</v>
      </c>
      <c r="W43" s="435">
        <v>26</v>
      </c>
      <c r="X43" s="1040">
        <v>1</v>
      </c>
      <c r="Y43" s="430" t="s">
        <v>75</v>
      </c>
      <c r="Z43" s="430" t="s">
        <v>75</v>
      </c>
      <c r="AA43" s="430"/>
      <c r="AB43" s="437">
        <v>46031</v>
      </c>
      <c r="AC43" s="438">
        <v>2</v>
      </c>
      <c r="AD43" s="439" t="s">
        <v>324</v>
      </c>
      <c r="AE43" s="430"/>
      <c r="AF43" s="430" t="s">
        <v>288</v>
      </c>
      <c r="AG43" s="430" t="s">
        <v>289</v>
      </c>
      <c r="AH43" s="430" t="s">
        <v>105</v>
      </c>
      <c r="AI43" s="437">
        <v>46041</v>
      </c>
      <c r="AJ43" s="437">
        <v>46042</v>
      </c>
      <c r="AK43" s="441">
        <v>46042</v>
      </c>
      <c r="AL43" s="437">
        <v>46090</v>
      </c>
      <c r="AM43" s="437">
        <v>46111</v>
      </c>
      <c r="AN43" s="437">
        <v>46111</v>
      </c>
      <c r="AO43" s="430" t="s">
        <v>66</v>
      </c>
      <c r="AP43" s="430" t="s">
        <v>241</v>
      </c>
      <c r="AQ43" s="430" t="s">
        <v>80</v>
      </c>
      <c r="AR43" s="430" t="s">
        <v>321</v>
      </c>
      <c r="AS43" s="430" t="s">
        <v>322</v>
      </c>
      <c r="AT43" s="430" t="s">
        <v>322</v>
      </c>
      <c r="AU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7">
        <v>46111</v>
      </c>
      <c r="AX43" s="433" t="s">
        <v>84</v>
      </c>
      <c r="AY43" s="437">
        <v>46125</v>
      </c>
      <c r="AZ43" s="442">
        <v>7</v>
      </c>
      <c r="BA43" s="437">
        <v>46118</v>
      </c>
      <c r="BB43" s="433">
        <v>2026</v>
      </c>
      <c r="BC43" s="430">
        <v>4</v>
      </c>
      <c r="BD43" s="430">
        <v>15</v>
      </c>
      <c r="BE43" s="431">
        <v>37</v>
      </c>
      <c r="BF43" s="431">
        <v>962</v>
      </c>
      <c r="BG43" s="431" t="s">
        <v>85</v>
      </c>
      <c r="BH43" s="431" t="s">
        <v>109</v>
      </c>
      <c r="BI43" s="430" t="s">
        <v>197</v>
      </c>
      <c r="BJ43" s="430" t="s">
        <v>197</v>
      </c>
      <c r="BK43" s="430" t="s">
        <v>197</v>
      </c>
      <c r="BL43" s="430" t="s">
        <v>197</v>
      </c>
      <c r="BM43" s="430" t="s">
        <v>197</v>
      </c>
      <c r="BN43" s="430" t="s">
        <v>197</v>
      </c>
      <c r="BO43" s="430" t="s">
        <v>197</v>
      </c>
      <c r="BP43" s="430" t="s">
        <v>197</v>
      </c>
      <c r="BQ43" s="430" t="s">
        <v>197</v>
      </c>
      <c r="BR43" s="430" t="s">
        <v>197</v>
      </c>
      <c r="BS43" s="430" t="s">
        <v>197</v>
      </c>
      <c r="BT43" s="430" t="s">
        <v>197</v>
      </c>
      <c r="BU43" s="430" t="s">
        <v>197</v>
      </c>
      <c r="BV43" s="430" t="s">
        <v>197</v>
      </c>
      <c r="BW43" s="430" t="s">
        <v>197</v>
      </c>
      <c r="BX43" s="430" t="s">
        <v>197</v>
      </c>
      <c r="BY43" s="430" t="s">
        <v>197</v>
      </c>
      <c r="BZ43" s="430" t="s">
        <v>197</v>
      </c>
      <c r="CA43" s="430" t="s">
        <v>197</v>
      </c>
      <c r="CB43" s="430" t="s">
        <v>197</v>
      </c>
      <c r="CC43" s="430" t="s">
        <v>197</v>
      </c>
      <c r="CD43" s="430" t="s">
        <v>197</v>
      </c>
      <c r="CE43" s="430" t="s">
        <v>197</v>
      </c>
      <c r="CF43" s="430" t="s">
        <v>197</v>
      </c>
      <c r="CG43" s="430" t="s">
        <v>197</v>
      </c>
      <c r="CH43" s="430" t="s">
        <v>197</v>
      </c>
      <c r="CI43" s="430" t="s">
        <v>197</v>
      </c>
      <c r="CJ43" s="430" t="s">
        <v>197</v>
      </c>
      <c r="CK43" s="430" t="s">
        <v>197</v>
      </c>
      <c r="CL43" s="430" t="s">
        <v>197</v>
      </c>
      <c r="CM43" s="430" t="s">
        <v>197</v>
      </c>
    </row>
    <row r="44" spans="1:91" ht="10.5">
      <c r="A44" s="462" t="s">
        <v>325</v>
      </c>
      <c r="B44" s="462" t="s">
        <v>61</v>
      </c>
      <c r="C44" s="462" t="s">
        <v>326</v>
      </c>
      <c r="D44" s="462" t="s">
        <v>113</v>
      </c>
      <c r="E44" s="462" t="s">
        <v>64</v>
      </c>
      <c r="F44" s="462" t="s">
        <v>100</v>
      </c>
      <c r="G44" s="462" t="s">
        <v>66</v>
      </c>
      <c r="H44" s="462" t="s">
        <v>67</v>
      </c>
      <c r="I44" s="439" t="s">
        <v>68</v>
      </c>
      <c r="J44" s="430" t="s">
        <v>327</v>
      </c>
      <c r="K44" s="430" t="s">
        <v>328</v>
      </c>
      <c r="L44" s="430"/>
      <c r="M44" s="430" t="s">
        <v>68</v>
      </c>
      <c r="N44" s="432" t="s">
        <v>68</v>
      </c>
      <c r="O44" s="430" t="s">
        <v>70</v>
      </c>
      <c r="P44" s="430" t="s">
        <v>329</v>
      </c>
      <c r="Q44" s="430" t="s">
        <v>330</v>
      </c>
      <c r="R44" s="431" t="s">
        <v>331</v>
      </c>
      <c r="S44" s="442" t="s">
        <v>120</v>
      </c>
      <c r="T44" s="433">
        <v>625</v>
      </c>
      <c r="U44" s="1088">
        <v>7200</v>
      </c>
      <c r="V44" s="434">
        <v>4.5</v>
      </c>
      <c r="W44" s="435">
        <v>200</v>
      </c>
      <c r="X44" s="1040">
        <v>10</v>
      </c>
      <c r="Y44" s="430" t="s">
        <v>75</v>
      </c>
      <c r="Z44" s="430" t="s">
        <v>75</v>
      </c>
      <c r="AA44" s="430"/>
      <c r="AB44" s="437">
        <v>46030</v>
      </c>
      <c r="AC44" s="438">
        <v>2</v>
      </c>
      <c r="AD44" s="439" t="s">
        <v>332</v>
      </c>
      <c r="AE44" s="430"/>
      <c r="AF44" s="430" t="s">
        <v>77</v>
      </c>
      <c r="AG44" s="430" t="s">
        <v>61</v>
      </c>
      <c r="AH44" s="430" t="s">
        <v>105</v>
      </c>
      <c r="AI44" s="437">
        <v>46036</v>
      </c>
      <c r="AJ44" s="437">
        <v>46038</v>
      </c>
      <c r="AK44" s="441">
        <v>46038</v>
      </c>
      <c r="AL44" s="437">
        <v>46077</v>
      </c>
      <c r="AM44" s="437">
        <v>46094</v>
      </c>
      <c r="AN44" s="437">
        <v>46094</v>
      </c>
      <c r="AO44" s="430" t="s">
        <v>66</v>
      </c>
      <c r="AP44" s="430" t="s">
        <v>333</v>
      </c>
      <c r="AQ44" s="430" t="s">
        <v>161</v>
      </c>
      <c r="AR44" s="430" t="s">
        <v>334</v>
      </c>
      <c r="AS44" s="430" t="s">
        <v>335</v>
      </c>
      <c r="AT44" s="430" t="s">
        <v>335</v>
      </c>
      <c r="AU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7">
        <v>46094</v>
      </c>
      <c r="AX44" s="433" t="s">
        <v>84</v>
      </c>
      <c r="AY44" s="437">
        <v>46104</v>
      </c>
      <c r="AZ44" s="442">
        <v>7</v>
      </c>
      <c r="BA44" s="437">
        <v>46101</v>
      </c>
      <c r="BB44" s="433">
        <v>2026</v>
      </c>
      <c r="BC44" s="430">
        <v>3</v>
      </c>
      <c r="BD44" s="430">
        <v>12</v>
      </c>
      <c r="BE44" s="431">
        <v>36</v>
      </c>
      <c r="BF44" s="431">
        <v>720</v>
      </c>
      <c r="BG44" s="431" t="s">
        <v>128</v>
      </c>
      <c r="BH44" s="431" t="s">
        <v>109</v>
      </c>
      <c r="BI44" s="430" t="s">
        <v>197</v>
      </c>
      <c r="BJ44" s="430" t="s">
        <v>197</v>
      </c>
      <c r="BK44" s="430" t="s">
        <v>197</v>
      </c>
      <c r="BL44" s="430" t="s">
        <v>197</v>
      </c>
      <c r="BM44" s="430" t="s">
        <v>197</v>
      </c>
      <c r="BN44" s="430" t="s">
        <v>197</v>
      </c>
      <c r="BO44" s="430" t="s">
        <v>197</v>
      </c>
      <c r="BP44" s="430" t="s">
        <v>197</v>
      </c>
      <c r="BQ44" s="430" t="s">
        <v>197</v>
      </c>
      <c r="BR44" s="430" t="s">
        <v>197</v>
      </c>
      <c r="BS44" s="430" t="s">
        <v>197</v>
      </c>
      <c r="BT44" s="430" t="s">
        <v>197</v>
      </c>
      <c r="BU44" s="430" t="s">
        <v>197</v>
      </c>
      <c r="BV44" s="430" t="s">
        <v>197</v>
      </c>
      <c r="BW44" s="430" t="s">
        <v>197</v>
      </c>
      <c r="BX44" s="430" t="s">
        <v>197</v>
      </c>
      <c r="BY44" s="430" t="s">
        <v>197</v>
      </c>
      <c r="BZ44" s="430" t="s">
        <v>197</v>
      </c>
      <c r="CA44" s="430" t="s">
        <v>197</v>
      </c>
      <c r="CB44" s="430" t="s">
        <v>197</v>
      </c>
      <c r="CC44" s="430" t="s">
        <v>197</v>
      </c>
      <c r="CD44" s="430" t="s">
        <v>197</v>
      </c>
      <c r="CE44" s="430" t="s">
        <v>197</v>
      </c>
      <c r="CF44" s="430" t="s">
        <v>197</v>
      </c>
      <c r="CG44" s="430" t="s">
        <v>197</v>
      </c>
      <c r="CH44" s="430" t="s">
        <v>197</v>
      </c>
      <c r="CI44" s="430" t="s">
        <v>197</v>
      </c>
      <c r="CJ44" s="430" t="s">
        <v>197</v>
      </c>
      <c r="CK44" s="430" t="s">
        <v>197</v>
      </c>
      <c r="CL44" s="430" t="s">
        <v>197</v>
      </c>
      <c r="CM44" s="430" t="s">
        <v>197</v>
      </c>
    </row>
    <row r="45" spans="1:91" ht="10.5">
      <c r="A45" s="462" t="s">
        <v>336</v>
      </c>
      <c r="B45" s="462" t="s">
        <v>61</v>
      </c>
      <c r="C45" s="462" t="s">
        <v>193</v>
      </c>
      <c r="D45" s="462" t="s">
        <v>63</v>
      </c>
      <c r="E45" s="462" t="s">
        <v>64</v>
      </c>
      <c r="F45" s="462" t="s">
        <v>100</v>
      </c>
      <c r="G45" s="462" t="s">
        <v>66</v>
      </c>
      <c r="H45" s="462" t="s">
        <v>67</v>
      </c>
      <c r="I45" s="439" t="s">
        <v>68</v>
      </c>
      <c r="J45" s="430" t="s">
        <v>283</v>
      </c>
      <c r="K45" s="430"/>
      <c r="L45" s="430"/>
      <c r="M45" s="430" t="s">
        <v>68</v>
      </c>
      <c r="N45" s="432" t="s">
        <v>68</v>
      </c>
      <c r="O45" s="430" t="s">
        <v>70</v>
      </c>
      <c r="P45" s="430" t="s">
        <v>195</v>
      </c>
      <c r="Q45" s="430" t="s">
        <v>196</v>
      </c>
      <c r="R45" s="431" t="s">
        <v>73</v>
      </c>
      <c r="S45" s="442" t="s">
        <v>74</v>
      </c>
      <c r="T45" s="433">
        <v>450</v>
      </c>
      <c r="U45" s="1088">
        <v>936</v>
      </c>
      <c r="V45" s="434">
        <v>0.42099999999999999</v>
      </c>
      <c r="W45" s="435">
        <v>26</v>
      </c>
      <c r="X45" s="1040">
        <v>1</v>
      </c>
      <c r="Y45" s="430" t="s">
        <v>75</v>
      </c>
      <c r="Z45" s="430" t="s">
        <v>75</v>
      </c>
      <c r="AA45" s="430"/>
      <c r="AB45" s="437">
        <v>46030</v>
      </c>
      <c r="AC45" s="438">
        <v>2</v>
      </c>
      <c r="AD45" s="439" t="s">
        <v>337</v>
      </c>
      <c r="AE45" s="430"/>
      <c r="AF45" s="430" t="s">
        <v>77</v>
      </c>
      <c r="AG45" s="430" t="s">
        <v>61</v>
      </c>
      <c r="AH45" s="430" t="s">
        <v>105</v>
      </c>
      <c r="AI45" s="437">
        <v>46036</v>
      </c>
      <c r="AJ45" s="437">
        <v>46038</v>
      </c>
      <c r="AK45" s="441">
        <v>46038</v>
      </c>
      <c r="AL45" s="437">
        <v>46077</v>
      </c>
      <c r="AM45" s="437">
        <v>46094</v>
      </c>
      <c r="AN45" s="437">
        <v>46094</v>
      </c>
      <c r="AO45" s="430" t="s">
        <v>66</v>
      </c>
      <c r="AP45" s="430" t="s">
        <v>338</v>
      </c>
      <c r="AQ45" s="430" t="s">
        <v>80</v>
      </c>
      <c r="AR45" s="430" t="s">
        <v>339</v>
      </c>
      <c r="AS45" s="430" t="s">
        <v>340</v>
      </c>
      <c r="AT45" s="430" t="s">
        <v>340</v>
      </c>
      <c r="AU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7">
        <v>46094</v>
      </c>
      <c r="AX45" s="433" t="s">
        <v>84</v>
      </c>
      <c r="AY45" s="437">
        <v>46107</v>
      </c>
      <c r="AZ45" s="442">
        <v>7</v>
      </c>
      <c r="BA45" s="437">
        <v>46101</v>
      </c>
      <c r="BB45" s="433">
        <v>2026</v>
      </c>
      <c r="BC45" s="430">
        <v>3</v>
      </c>
      <c r="BD45" s="430">
        <v>12</v>
      </c>
      <c r="BE45" s="431">
        <v>36</v>
      </c>
      <c r="BF45" s="431">
        <v>936</v>
      </c>
      <c r="BG45" s="431" t="s">
        <v>85</v>
      </c>
      <c r="BH45" s="431" t="s">
        <v>109</v>
      </c>
      <c r="BI45" s="430" t="s">
        <v>197</v>
      </c>
      <c r="BJ45" s="430" t="s">
        <v>197</v>
      </c>
      <c r="BK45" s="430" t="s">
        <v>197</v>
      </c>
      <c r="BL45" s="430" t="s">
        <v>197</v>
      </c>
      <c r="BM45" s="430" t="s">
        <v>197</v>
      </c>
      <c r="BN45" s="430" t="s">
        <v>197</v>
      </c>
      <c r="BO45" s="430" t="s">
        <v>197</v>
      </c>
      <c r="BP45" s="430" t="s">
        <v>197</v>
      </c>
      <c r="BQ45" s="430" t="s">
        <v>197</v>
      </c>
      <c r="BR45" s="430" t="s">
        <v>197</v>
      </c>
      <c r="BS45" s="430" t="s">
        <v>197</v>
      </c>
      <c r="BT45" s="430" t="s">
        <v>197</v>
      </c>
      <c r="BU45" s="430" t="s">
        <v>197</v>
      </c>
      <c r="BV45" s="430" t="s">
        <v>197</v>
      </c>
      <c r="BW45" s="430" t="s">
        <v>197</v>
      </c>
      <c r="BX45" s="430" t="s">
        <v>197</v>
      </c>
      <c r="BY45" s="430" t="s">
        <v>197</v>
      </c>
      <c r="BZ45" s="430" t="s">
        <v>197</v>
      </c>
      <c r="CA45" s="430" t="s">
        <v>197</v>
      </c>
      <c r="CB45" s="430" t="s">
        <v>197</v>
      </c>
      <c r="CC45" s="430" t="s">
        <v>197</v>
      </c>
      <c r="CD45" s="430" t="s">
        <v>197</v>
      </c>
      <c r="CE45" s="430" t="s">
        <v>197</v>
      </c>
      <c r="CF45" s="430" t="s">
        <v>197</v>
      </c>
      <c r="CG45" s="430" t="s">
        <v>197</v>
      </c>
      <c r="CH45" s="430" t="s">
        <v>197</v>
      </c>
      <c r="CI45" s="430" t="s">
        <v>197</v>
      </c>
      <c r="CJ45" s="430" t="s">
        <v>197</v>
      </c>
      <c r="CK45" s="430" t="s">
        <v>197</v>
      </c>
      <c r="CL45" s="430" t="s">
        <v>197</v>
      </c>
      <c r="CM45" s="430" t="s">
        <v>197</v>
      </c>
    </row>
    <row r="46" spans="1:91" ht="10.5">
      <c r="A46" s="462" t="s">
        <v>341</v>
      </c>
      <c r="B46" s="462" t="s">
        <v>61</v>
      </c>
      <c r="C46" s="462" t="s">
        <v>326</v>
      </c>
      <c r="D46" s="462" t="s">
        <v>113</v>
      </c>
      <c r="E46" s="462" t="s">
        <v>64</v>
      </c>
      <c r="F46" s="462" t="s">
        <v>100</v>
      </c>
      <c r="G46" s="462" t="s">
        <v>66</v>
      </c>
      <c r="H46" s="462" t="s">
        <v>67</v>
      </c>
      <c r="I46" s="439" t="s">
        <v>68</v>
      </c>
      <c r="J46" s="430" t="s">
        <v>327</v>
      </c>
      <c r="K46" s="430" t="s">
        <v>328</v>
      </c>
      <c r="L46" s="430"/>
      <c r="M46" s="430" t="s">
        <v>68</v>
      </c>
      <c r="N46" s="432" t="s">
        <v>68</v>
      </c>
      <c r="O46" s="430" t="s">
        <v>70</v>
      </c>
      <c r="P46" s="430" t="s">
        <v>329</v>
      </c>
      <c r="Q46" s="430" t="s">
        <v>330</v>
      </c>
      <c r="R46" s="431" t="s">
        <v>331</v>
      </c>
      <c r="S46" s="442" t="s">
        <v>120</v>
      </c>
      <c r="T46" s="433">
        <v>625</v>
      </c>
      <c r="U46" s="1088">
        <v>7200</v>
      </c>
      <c r="V46" s="434">
        <v>4.5</v>
      </c>
      <c r="W46" s="435">
        <v>200</v>
      </c>
      <c r="X46" s="1040">
        <v>10</v>
      </c>
      <c r="Y46" s="430" t="s">
        <v>75</v>
      </c>
      <c r="Z46" s="430" t="s">
        <v>75</v>
      </c>
      <c r="AA46" s="430"/>
      <c r="AB46" s="437">
        <v>46026</v>
      </c>
      <c r="AC46" s="438">
        <v>1</v>
      </c>
      <c r="AD46" s="439" t="s">
        <v>342</v>
      </c>
      <c r="AE46" s="430"/>
      <c r="AF46" s="430" t="s">
        <v>77</v>
      </c>
      <c r="AG46" s="430" t="s">
        <v>61</v>
      </c>
      <c r="AH46" s="430" t="s">
        <v>105</v>
      </c>
      <c r="AI46" s="437">
        <v>46036</v>
      </c>
      <c r="AJ46" s="437">
        <v>46038</v>
      </c>
      <c r="AK46" s="441">
        <v>46038</v>
      </c>
      <c r="AL46" s="437">
        <v>46077</v>
      </c>
      <c r="AM46" s="437">
        <v>46094</v>
      </c>
      <c r="AN46" s="437">
        <v>46094</v>
      </c>
      <c r="AO46" s="430" t="s">
        <v>66</v>
      </c>
      <c r="AP46" s="430" t="s">
        <v>333</v>
      </c>
      <c r="AQ46" s="430" t="s">
        <v>161</v>
      </c>
      <c r="AR46" s="430" t="s">
        <v>343</v>
      </c>
      <c r="AS46" s="430" t="s">
        <v>344</v>
      </c>
      <c r="AT46" s="430" t="s">
        <v>344</v>
      </c>
      <c r="AU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7">
        <v>46094</v>
      </c>
      <c r="AX46" s="433" t="s">
        <v>84</v>
      </c>
      <c r="AY46" s="437">
        <v>46107</v>
      </c>
      <c r="AZ46" s="442">
        <v>7</v>
      </c>
      <c r="BA46" s="437">
        <v>46101</v>
      </c>
      <c r="BB46" s="433">
        <v>2026</v>
      </c>
      <c r="BC46" s="430">
        <v>3</v>
      </c>
      <c r="BD46" s="430">
        <v>12</v>
      </c>
      <c r="BE46" s="431">
        <v>36</v>
      </c>
      <c r="BF46" s="431">
        <v>720</v>
      </c>
      <c r="BG46" s="431" t="s">
        <v>128</v>
      </c>
      <c r="BH46" s="431" t="s">
        <v>109</v>
      </c>
      <c r="BI46" s="430" t="s">
        <v>197</v>
      </c>
      <c r="BJ46" s="430" t="s">
        <v>197</v>
      </c>
      <c r="BK46" s="430" t="s">
        <v>197</v>
      </c>
      <c r="BL46" s="430" t="s">
        <v>197</v>
      </c>
      <c r="BM46" s="430" t="s">
        <v>197</v>
      </c>
      <c r="BN46" s="430" t="s">
        <v>197</v>
      </c>
      <c r="BO46" s="430" t="s">
        <v>197</v>
      </c>
      <c r="BP46" s="430" t="s">
        <v>197</v>
      </c>
      <c r="BQ46" s="430" t="s">
        <v>197</v>
      </c>
      <c r="BR46" s="430" t="s">
        <v>197</v>
      </c>
      <c r="BS46" s="430" t="s">
        <v>197</v>
      </c>
      <c r="BT46" s="430" t="s">
        <v>197</v>
      </c>
      <c r="BU46" s="430" t="s">
        <v>197</v>
      </c>
      <c r="BV46" s="430" t="s">
        <v>197</v>
      </c>
      <c r="BW46" s="430" t="s">
        <v>197</v>
      </c>
      <c r="BX46" s="430" t="s">
        <v>197</v>
      </c>
      <c r="BY46" s="430" t="s">
        <v>197</v>
      </c>
      <c r="BZ46" s="430" t="s">
        <v>197</v>
      </c>
      <c r="CA46" s="430" t="s">
        <v>197</v>
      </c>
      <c r="CB46" s="430" t="s">
        <v>197</v>
      </c>
      <c r="CC46" s="430" t="s">
        <v>197</v>
      </c>
      <c r="CD46" s="430" t="s">
        <v>197</v>
      </c>
      <c r="CE46" s="430" t="s">
        <v>197</v>
      </c>
      <c r="CF46" s="430" t="s">
        <v>197</v>
      </c>
      <c r="CG46" s="430" t="s">
        <v>197</v>
      </c>
      <c r="CH46" s="430" t="s">
        <v>197</v>
      </c>
      <c r="CI46" s="430" t="s">
        <v>197</v>
      </c>
      <c r="CJ46" s="430" t="s">
        <v>197</v>
      </c>
      <c r="CK46" s="430" t="s">
        <v>197</v>
      </c>
      <c r="CL46" s="430" t="s">
        <v>197</v>
      </c>
      <c r="CM46" s="430" t="s">
        <v>197</v>
      </c>
    </row>
    <row r="47" spans="1:91" ht="10.5">
      <c r="A47" s="462" t="s">
        <v>345</v>
      </c>
      <c r="B47" s="462" t="s">
        <v>61</v>
      </c>
      <c r="C47" s="462" t="s">
        <v>62</v>
      </c>
      <c r="D47" s="462" t="s">
        <v>63</v>
      </c>
      <c r="E47" s="462" t="s">
        <v>144</v>
      </c>
      <c r="F47" s="462" t="s">
        <v>145</v>
      </c>
      <c r="G47" s="462" t="s">
        <v>146</v>
      </c>
      <c r="H47" s="462" t="s">
        <v>147</v>
      </c>
      <c r="I47" s="439" t="s">
        <v>68</v>
      </c>
      <c r="J47" s="430" t="s">
        <v>147</v>
      </c>
      <c r="K47" s="430" t="s">
        <v>346</v>
      </c>
      <c r="L47" s="430"/>
      <c r="M47" s="430" t="s">
        <v>68</v>
      </c>
      <c r="N47" s="432" t="s">
        <v>68</v>
      </c>
      <c r="O47" s="430" t="s">
        <v>70</v>
      </c>
      <c r="P47" s="430" t="s">
        <v>71</v>
      </c>
      <c r="Q47" s="430" t="s">
        <v>72</v>
      </c>
      <c r="R47" s="431" t="s">
        <v>73</v>
      </c>
      <c r="S47" s="442" t="s">
        <v>74</v>
      </c>
      <c r="T47" s="433">
        <v>500</v>
      </c>
      <c r="U47" s="1088">
        <v>864</v>
      </c>
      <c r="V47" s="434">
        <v>0.432</v>
      </c>
      <c r="W47" s="435">
        <v>24</v>
      </c>
      <c r="X47" s="1040">
        <v>1</v>
      </c>
      <c r="Y47" s="430" t="s">
        <v>75</v>
      </c>
      <c r="Z47" s="430" t="s">
        <v>75</v>
      </c>
      <c r="AA47" s="430"/>
      <c r="AB47" s="437">
        <v>46027</v>
      </c>
      <c r="AC47" s="438">
        <v>2</v>
      </c>
      <c r="AD47" s="439" t="s">
        <v>347</v>
      </c>
      <c r="AE47" s="430"/>
      <c r="AF47" s="430" t="s">
        <v>77</v>
      </c>
      <c r="AG47" s="430" t="s">
        <v>61</v>
      </c>
      <c r="AH47" s="430" t="s">
        <v>78</v>
      </c>
      <c r="AI47" s="437">
        <v>46032</v>
      </c>
      <c r="AJ47" s="437">
        <v>46034</v>
      </c>
      <c r="AK47" s="441">
        <v>46034</v>
      </c>
      <c r="AL47" s="437">
        <v>46091</v>
      </c>
      <c r="AM47" s="437">
        <v>46095</v>
      </c>
      <c r="AN47" s="437">
        <v>46096</v>
      </c>
      <c r="AO47" s="430" t="s">
        <v>146</v>
      </c>
      <c r="AP47" s="430" t="s">
        <v>348</v>
      </c>
      <c r="AQ47" s="430" t="s">
        <v>80</v>
      </c>
      <c r="AR47" s="430" t="s">
        <v>349</v>
      </c>
      <c r="AS47" s="430" t="s">
        <v>350</v>
      </c>
      <c r="AT47" s="430" t="s">
        <v>350</v>
      </c>
      <c r="AU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7">
        <v>46096</v>
      </c>
      <c r="AX47" s="433" t="s">
        <v>84</v>
      </c>
      <c r="AY47" s="437">
        <v>46105</v>
      </c>
      <c r="AZ47" s="442" t="s">
        <v>152</v>
      </c>
      <c r="BA47" s="437">
        <v>46096</v>
      </c>
      <c r="BB47" s="433">
        <v>2026</v>
      </c>
      <c r="BC47" s="430">
        <v>3</v>
      </c>
      <c r="BD47" s="430">
        <v>11</v>
      </c>
      <c r="BE47" s="431">
        <v>36</v>
      </c>
      <c r="BF47" s="431">
        <v>864</v>
      </c>
      <c r="BG47" s="431" t="s">
        <v>85</v>
      </c>
      <c r="BH47" s="431" t="s">
        <v>86</v>
      </c>
      <c r="BI47" s="430" t="s">
        <v>197</v>
      </c>
      <c r="BJ47" s="430" t="s">
        <v>197</v>
      </c>
      <c r="BK47" s="430" t="s">
        <v>197</v>
      </c>
      <c r="BL47" s="430" t="s">
        <v>197</v>
      </c>
      <c r="BM47" s="430" t="s">
        <v>197</v>
      </c>
      <c r="BN47" s="430" t="s">
        <v>197</v>
      </c>
      <c r="BO47" s="430" t="s">
        <v>197</v>
      </c>
      <c r="BP47" s="430" t="s">
        <v>197</v>
      </c>
      <c r="BQ47" s="430" t="s">
        <v>197</v>
      </c>
      <c r="BR47" s="430" t="s">
        <v>197</v>
      </c>
      <c r="BS47" s="430" t="s">
        <v>197</v>
      </c>
      <c r="BT47" s="430" t="s">
        <v>197</v>
      </c>
      <c r="BU47" s="430" t="s">
        <v>197</v>
      </c>
      <c r="BV47" s="430" t="s">
        <v>197</v>
      </c>
      <c r="BW47" s="430" t="s">
        <v>197</v>
      </c>
      <c r="BX47" s="430" t="s">
        <v>197</v>
      </c>
      <c r="BY47" s="430" t="s">
        <v>197</v>
      </c>
      <c r="BZ47" s="430" t="s">
        <v>197</v>
      </c>
      <c r="CA47" s="430" t="s">
        <v>197</v>
      </c>
      <c r="CB47" s="430" t="s">
        <v>197</v>
      </c>
      <c r="CC47" s="430" t="s">
        <v>197</v>
      </c>
      <c r="CD47" s="430" t="s">
        <v>197</v>
      </c>
      <c r="CE47" s="430" t="s">
        <v>197</v>
      </c>
      <c r="CF47" s="430" t="s">
        <v>197</v>
      </c>
      <c r="CG47" s="430" t="s">
        <v>197</v>
      </c>
      <c r="CH47" s="430" t="s">
        <v>197</v>
      </c>
      <c r="CI47" s="430" t="s">
        <v>197</v>
      </c>
      <c r="CJ47" s="430" t="s">
        <v>197</v>
      </c>
      <c r="CK47" s="430" t="s">
        <v>197</v>
      </c>
      <c r="CL47" s="430" t="s">
        <v>197</v>
      </c>
      <c r="CM47" s="430" t="s">
        <v>197</v>
      </c>
    </row>
    <row r="48" spans="1:91" ht="10.5">
      <c r="A48" s="462" t="s">
        <v>351</v>
      </c>
      <c r="B48" s="462" t="s">
        <v>111</v>
      </c>
      <c r="C48" s="462" t="s">
        <v>352</v>
      </c>
      <c r="D48" s="462" t="s">
        <v>113</v>
      </c>
      <c r="E48" s="462" t="s">
        <v>64</v>
      </c>
      <c r="F48" s="462" t="s">
        <v>65</v>
      </c>
      <c r="G48" s="462" t="s">
        <v>66</v>
      </c>
      <c r="H48" s="462" t="s">
        <v>67</v>
      </c>
      <c r="I48" s="439" t="s">
        <v>68</v>
      </c>
      <c r="J48" s="430" t="s">
        <v>353</v>
      </c>
      <c r="K48" s="430" t="s">
        <v>354</v>
      </c>
      <c r="L48" s="430"/>
      <c r="M48" s="430" t="s">
        <v>68</v>
      </c>
      <c r="N48" s="432" t="s">
        <v>68</v>
      </c>
      <c r="O48" s="430" t="s">
        <v>70</v>
      </c>
      <c r="P48" s="430" t="s">
        <v>218</v>
      </c>
      <c r="Q48" s="430" t="s">
        <v>219</v>
      </c>
      <c r="R48" s="431" t="s">
        <v>73</v>
      </c>
      <c r="S48" s="442" t="s">
        <v>120</v>
      </c>
      <c r="T48" s="433">
        <v>625</v>
      </c>
      <c r="U48" s="1088">
        <v>2880</v>
      </c>
      <c r="V48" s="434">
        <v>1.8</v>
      </c>
      <c r="W48" s="435">
        <v>80</v>
      </c>
      <c r="X48" s="1040">
        <v>4</v>
      </c>
      <c r="Y48" s="430" t="s">
        <v>75</v>
      </c>
      <c r="Z48" s="430" t="s">
        <v>75</v>
      </c>
      <c r="AA48" s="430"/>
      <c r="AB48" s="437">
        <v>46035</v>
      </c>
      <c r="AC48" s="438">
        <v>3</v>
      </c>
      <c r="AD48" s="439" t="s">
        <v>355</v>
      </c>
      <c r="AE48" s="430"/>
      <c r="AF48" s="430" t="s">
        <v>122</v>
      </c>
      <c r="AG48" s="430" t="s">
        <v>123</v>
      </c>
      <c r="AH48" s="430" t="s">
        <v>356</v>
      </c>
      <c r="AI48" s="437">
        <v>46040</v>
      </c>
      <c r="AJ48" s="437">
        <v>46045</v>
      </c>
      <c r="AK48" s="441">
        <v>46043</v>
      </c>
      <c r="AL48" s="437">
        <v>46077</v>
      </c>
      <c r="AM48" s="437">
        <v>46077</v>
      </c>
      <c r="AN48" s="437">
        <v>46079</v>
      </c>
      <c r="AO48" s="430" t="s">
        <v>66</v>
      </c>
      <c r="AP48" s="430" t="s">
        <v>357</v>
      </c>
      <c r="AQ48" s="430" t="s">
        <v>161</v>
      </c>
      <c r="AR48" s="430" t="s">
        <v>358</v>
      </c>
      <c r="AS48" s="430" t="s">
        <v>359</v>
      </c>
      <c r="AT48" s="430" t="s">
        <v>359</v>
      </c>
      <c r="AU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7">
        <v>46079</v>
      </c>
      <c r="AX48" s="433" t="s">
        <v>84</v>
      </c>
      <c r="AY48" s="437">
        <v>46091</v>
      </c>
      <c r="AZ48" s="442">
        <v>8</v>
      </c>
      <c r="BA48" s="437">
        <v>46087</v>
      </c>
      <c r="BB48" s="433">
        <v>2026</v>
      </c>
      <c r="BC48" s="430">
        <v>3</v>
      </c>
      <c r="BD48" s="430">
        <v>10</v>
      </c>
      <c r="BE48" s="431">
        <v>36</v>
      </c>
      <c r="BF48" s="431">
        <v>720</v>
      </c>
      <c r="BG48" s="431" t="s">
        <v>128</v>
      </c>
      <c r="BH48" s="431" t="s">
        <v>109</v>
      </c>
      <c r="BI48" s="430" t="s">
        <v>197</v>
      </c>
      <c r="BJ48" s="430" t="s">
        <v>197</v>
      </c>
      <c r="BK48" s="430" t="s">
        <v>197</v>
      </c>
      <c r="BL48" s="430" t="s">
        <v>197</v>
      </c>
      <c r="BM48" s="430" t="s">
        <v>197</v>
      </c>
      <c r="BN48" s="430" t="s">
        <v>197</v>
      </c>
      <c r="BO48" s="430" t="s">
        <v>197</v>
      </c>
      <c r="BP48" s="430" t="s">
        <v>197</v>
      </c>
      <c r="BQ48" s="430" t="s">
        <v>197</v>
      </c>
      <c r="BR48" s="430" t="s">
        <v>197</v>
      </c>
      <c r="BS48" s="430" t="s">
        <v>197</v>
      </c>
      <c r="BT48" s="430" t="s">
        <v>197</v>
      </c>
      <c r="BU48" s="430" t="s">
        <v>197</v>
      </c>
      <c r="BV48" s="430" t="s">
        <v>197</v>
      </c>
      <c r="BW48" s="430" t="s">
        <v>197</v>
      </c>
      <c r="BX48" s="430" t="s">
        <v>197</v>
      </c>
      <c r="BY48" s="430" t="s">
        <v>197</v>
      </c>
      <c r="BZ48" s="430" t="s">
        <v>197</v>
      </c>
      <c r="CA48" s="430" t="s">
        <v>197</v>
      </c>
      <c r="CB48" s="430" t="s">
        <v>197</v>
      </c>
      <c r="CC48" s="430" t="s">
        <v>197</v>
      </c>
      <c r="CD48" s="430" t="s">
        <v>197</v>
      </c>
      <c r="CE48" s="430" t="s">
        <v>197</v>
      </c>
      <c r="CF48" s="430" t="s">
        <v>197</v>
      </c>
      <c r="CG48" s="430" t="s">
        <v>197</v>
      </c>
      <c r="CH48" s="430" t="s">
        <v>197</v>
      </c>
      <c r="CI48" s="430" t="s">
        <v>197</v>
      </c>
      <c r="CJ48" s="430" t="s">
        <v>197</v>
      </c>
      <c r="CK48" s="430" t="s">
        <v>197</v>
      </c>
      <c r="CL48" s="430" t="s">
        <v>197</v>
      </c>
      <c r="CM48" s="430" t="s">
        <v>197</v>
      </c>
    </row>
    <row r="49" spans="1:91" ht="10.5">
      <c r="A49" s="462" t="s">
        <v>360</v>
      </c>
      <c r="B49" s="462" t="s">
        <v>111</v>
      </c>
      <c r="C49" s="462" t="s">
        <v>215</v>
      </c>
      <c r="D49" s="462" t="s">
        <v>113</v>
      </c>
      <c r="E49" s="462" t="s">
        <v>64</v>
      </c>
      <c r="F49" s="462" t="s">
        <v>65</v>
      </c>
      <c r="G49" s="462" t="s">
        <v>66</v>
      </c>
      <c r="H49" s="462" t="s">
        <v>67</v>
      </c>
      <c r="I49" s="439" t="s">
        <v>68</v>
      </c>
      <c r="J49" s="430" t="s">
        <v>353</v>
      </c>
      <c r="K49" s="430" t="s">
        <v>354</v>
      </c>
      <c r="L49" s="430"/>
      <c r="M49" s="430" t="s">
        <v>68</v>
      </c>
      <c r="N49" s="432" t="s">
        <v>68</v>
      </c>
      <c r="O49" s="430" t="s">
        <v>70</v>
      </c>
      <c r="P49" s="430" t="s">
        <v>218</v>
      </c>
      <c r="Q49" s="430" t="s">
        <v>219</v>
      </c>
      <c r="R49" s="431" t="s">
        <v>73</v>
      </c>
      <c r="S49" s="442" t="s">
        <v>120</v>
      </c>
      <c r="T49" s="433">
        <v>625</v>
      </c>
      <c r="U49" s="1088">
        <v>1440</v>
      </c>
      <c r="V49" s="434">
        <v>0.9</v>
      </c>
      <c r="W49" s="435">
        <v>40</v>
      </c>
      <c r="X49" s="1040">
        <v>2</v>
      </c>
      <c r="Y49" s="430" t="s">
        <v>75</v>
      </c>
      <c r="Z49" s="430" t="s">
        <v>75</v>
      </c>
      <c r="AA49" s="430"/>
      <c r="AB49" s="437">
        <v>46035</v>
      </c>
      <c r="AC49" s="438">
        <v>3</v>
      </c>
      <c r="AD49" s="439" t="s">
        <v>361</v>
      </c>
      <c r="AE49" s="430"/>
      <c r="AF49" s="430" t="s">
        <v>122</v>
      </c>
      <c r="AG49" s="430" t="s">
        <v>123</v>
      </c>
      <c r="AH49" s="430" t="s">
        <v>356</v>
      </c>
      <c r="AI49" s="437">
        <v>46040</v>
      </c>
      <c r="AJ49" s="437">
        <v>46045</v>
      </c>
      <c r="AK49" s="441">
        <v>46043</v>
      </c>
      <c r="AL49" s="437">
        <v>46077</v>
      </c>
      <c r="AM49" s="437">
        <v>46077</v>
      </c>
      <c r="AN49" s="437">
        <v>46079</v>
      </c>
      <c r="AO49" s="430" t="s">
        <v>66</v>
      </c>
      <c r="AP49" s="430" t="s">
        <v>357</v>
      </c>
      <c r="AQ49" s="430" t="s">
        <v>161</v>
      </c>
      <c r="AR49" s="430" t="s">
        <v>358</v>
      </c>
      <c r="AS49" s="430" t="s">
        <v>359</v>
      </c>
      <c r="AT49" s="430" t="s">
        <v>359</v>
      </c>
      <c r="AU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7">
        <v>46079</v>
      </c>
      <c r="AX49" s="433" t="s">
        <v>84</v>
      </c>
      <c r="AY49" s="437">
        <v>46091</v>
      </c>
      <c r="AZ49" s="442">
        <v>8</v>
      </c>
      <c r="BA49" s="437">
        <v>46087</v>
      </c>
      <c r="BB49" s="433">
        <v>2026</v>
      </c>
      <c r="BC49" s="430">
        <v>3</v>
      </c>
      <c r="BD49" s="430">
        <v>10</v>
      </c>
      <c r="BE49" s="431">
        <v>36</v>
      </c>
      <c r="BF49" s="431">
        <v>720</v>
      </c>
      <c r="BG49" s="431" t="s">
        <v>128</v>
      </c>
      <c r="BH49" s="431" t="s">
        <v>109</v>
      </c>
      <c r="BI49" s="430" t="s">
        <v>197</v>
      </c>
      <c r="BJ49" s="430" t="s">
        <v>197</v>
      </c>
      <c r="BK49" s="430" t="s">
        <v>197</v>
      </c>
      <c r="BL49" s="430" t="s">
        <v>197</v>
      </c>
      <c r="BM49" s="430" t="s">
        <v>197</v>
      </c>
      <c r="BN49" s="430" t="s">
        <v>197</v>
      </c>
      <c r="BO49" s="430" t="s">
        <v>197</v>
      </c>
      <c r="BP49" s="430" t="s">
        <v>197</v>
      </c>
      <c r="BQ49" s="430" t="s">
        <v>197</v>
      </c>
      <c r="BR49" s="430" t="s">
        <v>197</v>
      </c>
      <c r="BS49" s="430" t="s">
        <v>197</v>
      </c>
      <c r="BT49" s="430" t="s">
        <v>197</v>
      </c>
      <c r="BU49" s="430" t="s">
        <v>197</v>
      </c>
      <c r="BV49" s="430" t="s">
        <v>197</v>
      </c>
      <c r="BW49" s="430" t="s">
        <v>197</v>
      </c>
      <c r="BX49" s="430" t="s">
        <v>197</v>
      </c>
      <c r="BY49" s="430" t="s">
        <v>197</v>
      </c>
      <c r="BZ49" s="430" t="s">
        <v>197</v>
      </c>
      <c r="CA49" s="430" t="s">
        <v>197</v>
      </c>
      <c r="CB49" s="430" t="s">
        <v>197</v>
      </c>
      <c r="CC49" s="430" t="s">
        <v>197</v>
      </c>
      <c r="CD49" s="430" t="s">
        <v>197</v>
      </c>
      <c r="CE49" s="430" t="s">
        <v>197</v>
      </c>
      <c r="CF49" s="430" t="s">
        <v>197</v>
      </c>
      <c r="CG49" s="430" t="s">
        <v>197</v>
      </c>
      <c r="CH49" s="430" t="s">
        <v>197</v>
      </c>
      <c r="CI49" s="430" t="s">
        <v>197</v>
      </c>
      <c r="CJ49" s="430" t="s">
        <v>197</v>
      </c>
      <c r="CK49" s="430" t="s">
        <v>197</v>
      </c>
      <c r="CL49" s="430" t="s">
        <v>197</v>
      </c>
      <c r="CM49" s="430" t="s">
        <v>197</v>
      </c>
    </row>
    <row r="50" spans="1:91" ht="10.5">
      <c r="A50" s="462" t="s">
        <v>362</v>
      </c>
      <c r="B50" s="462" t="s">
        <v>111</v>
      </c>
      <c r="C50" s="462" t="s">
        <v>215</v>
      </c>
      <c r="D50" s="462" t="s">
        <v>113</v>
      </c>
      <c r="E50" s="462" t="s">
        <v>64</v>
      </c>
      <c r="F50" s="462" t="s">
        <v>65</v>
      </c>
      <c r="G50" s="462" t="s">
        <v>66</v>
      </c>
      <c r="H50" s="462" t="s">
        <v>67</v>
      </c>
      <c r="I50" s="439" t="s">
        <v>68</v>
      </c>
      <c r="J50" s="430" t="s">
        <v>363</v>
      </c>
      <c r="K50" s="430" t="s">
        <v>364</v>
      </c>
      <c r="L50" s="430"/>
      <c r="M50" s="430" t="s">
        <v>68</v>
      </c>
      <c r="N50" s="432" t="s">
        <v>68</v>
      </c>
      <c r="O50" s="430" t="s">
        <v>70</v>
      </c>
      <c r="P50" s="430" t="s">
        <v>218</v>
      </c>
      <c r="Q50" s="430" t="s">
        <v>219</v>
      </c>
      <c r="R50" s="431" t="s">
        <v>73</v>
      </c>
      <c r="S50" s="442" t="s">
        <v>120</v>
      </c>
      <c r="T50" s="433">
        <v>625</v>
      </c>
      <c r="U50" s="1088">
        <v>2880</v>
      </c>
      <c r="V50" s="434">
        <v>1.8</v>
      </c>
      <c r="W50" s="435">
        <v>80</v>
      </c>
      <c r="X50" s="1040">
        <v>4</v>
      </c>
      <c r="Y50" s="430" t="s">
        <v>75</v>
      </c>
      <c r="Z50" s="430" t="s">
        <v>75</v>
      </c>
      <c r="AA50" s="430"/>
      <c r="AB50" s="437">
        <v>46035</v>
      </c>
      <c r="AC50" s="438">
        <v>3</v>
      </c>
      <c r="AD50" s="439" t="s">
        <v>365</v>
      </c>
      <c r="AE50" s="430"/>
      <c r="AF50" s="430" t="s">
        <v>122</v>
      </c>
      <c r="AG50" s="430" t="s">
        <v>123</v>
      </c>
      <c r="AH50" s="430" t="s">
        <v>356</v>
      </c>
      <c r="AI50" s="437">
        <v>46040</v>
      </c>
      <c r="AJ50" s="437">
        <v>46045</v>
      </c>
      <c r="AK50" s="441">
        <v>46043</v>
      </c>
      <c r="AL50" s="437">
        <v>46077</v>
      </c>
      <c r="AM50" s="437">
        <v>46077</v>
      </c>
      <c r="AN50" s="437">
        <v>46079</v>
      </c>
      <c r="AO50" s="430" t="s">
        <v>66</v>
      </c>
      <c r="AP50" s="430" t="s">
        <v>357</v>
      </c>
      <c r="AQ50" s="430" t="s">
        <v>161</v>
      </c>
      <c r="AR50" s="430" t="s">
        <v>358</v>
      </c>
      <c r="AS50" s="430" t="s">
        <v>359</v>
      </c>
      <c r="AT50" s="430" t="s">
        <v>359</v>
      </c>
      <c r="AU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7">
        <v>46079</v>
      </c>
      <c r="AX50" s="433" t="s">
        <v>84</v>
      </c>
      <c r="AY50" s="437">
        <v>46091</v>
      </c>
      <c r="AZ50" s="442">
        <v>8</v>
      </c>
      <c r="BA50" s="437">
        <v>46087</v>
      </c>
      <c r="BB50" s="433">
        <v>2026</v>
      </c>
      <c r="BC50" s="430">
        <v>3</v>
      </c>
      <c r="BD50" s="430">
        <v>10</v>
      </c>
      <c r="BE50" s="431">
        <v>36</v>
      </c>
      <c r="BF50" s="431">
        <v>720</v>
      </c>
      <c r="BG50" s="431" t="s">
        <v>128</v>
      </c>
      <c r="BH50" s="431" t="s">
        <v>109</v>
      </c>
      <c r="BI50" s="430" t="s">
        <v>197</v>
      </c>
      <c r="BJ50" s="430" t="s">
        <v>197</v>
      </c>
      <c r="BK50" s="430" t="s">
        <v>197</v>
      </c>
      <c r="BL50" s="430" t="s">
        <v>197</v>
      </c>
      <c r="BM50" s="430" t="s">
        <v>197</v>
      </c>
      <c r="BN50" s="430" t="s">
        <v>197</v>
      </c>
      <c r="BO50" s="430" t="s">
        <v>197</v>
      </c>
      <c r="BP50" s="430" t="s">
        <v>197</v>
      </c>
      <c r="BQ50" s="430" t="s">
        <v>197</v>
      </c>
      <c r="BR50" s="430" t="s">
        <v>197</v>
      </c>
      <c r="BS50" s="430" t="s">
        <v>197</v>
      </c>
      <c r="BT50" s="430" t="s">
        <v>197</v>
      </c>
      <c r="BU50" s="430" t="s">
        <v>197</v>
      </c>
      <c r="BV50" s="430" t="s">
        <v>197</v>
      </c>
      <c r="BW50" s="430" t="s">
        <v>197</v>
      </c>
      <c r="BX50" s="430" t="s">
        <v>197</v>
      </c>
      <c r="BY50" s="430" t="s">
        <v>197</v>
      </c>
      <c r="BZ50" s="430" t="s">
        <v>197</v>
      </c>
      <c r="CA50" s="430" t="s">
        <v>197</v>
      </c>
      <c r="CB50" s="430" t="s">
        <v>197</v>
      </c>
      <c r="CC50" s="430" t="s">
        <v>197</v>
      </c>
      <c r="CD50" s="430" t="s">
        <v>197</v>
      </c>
      <c r="CE50" s="430" t="s">
        <v>197</v>
      </c>
      <c r="CF50" s="430" t="s">
        <v>197</v>
      </c>
      <c r="CG50" s="430" t="s">
        <v>197</v>
      </c>
      <c r="CH50" s="430" t="s">
        <v>197</v>
      </c>
      <c r="CI50" s="430" t="s">
        <v>197</v>
      </c>
      <c r="CJ50" s="430" t="s">
        <v>197</v>
      </c>
      <c r="CK50" s="430" t="s">
        <v>197</v>
      </c>
      <c r="CL50" s="430" t="s">
        <v>197</v>
      </c>
      <c r="CM50" s="430" t="s">
        <v>197</v>
      </c>
    </row>
    <row r="51" spans="1:91" ht="10.5">
      <c r="A51" s="462" t="s">
        <v>366</v>
      </c>
      <c r="B51" s="462" t="s">
        <v>111</v>
      </c>
      <c r="C51" s="462" t="s">
        <v>215</v>
      </c>
      <c r="D51" s="462" t="s">
        <v>113</v>
      </c>
      <c r="E51" s="462" t="s">
        <v>64</v>
      </c>
      <c r="F51" s="462" t="s">
        <v>65</v>
      </c>
      <c r="G51" s="462" t="s">
        <v>66</v>
      </c>
      <c r="H51" s="462" t="s">
        <v>67</v>
      </c>
      <c r="I51" s="439" t="s">
        <v>68</v>
      </c>
      <c r="J51" s="430" t="s">
        <v>363</v>
      </c>
      <c r="K51" s="430" t="s">
        <v>364</v>
      </c>
      <c r="L51" s="430"/>
      <c r="M51" s="430" t="s">
        <v>68</v>
      </c>
      <c r="N51" s="432" t="s">
        <v>68</v>
      </c>
      <c r="O51" s="430" t="s">
        <v>70</v>
      </c>
      <c r="P51" s="430" t="s">
        <v>218</v>
      </c>
      <c r="Q51" s="430" t="s">
        <v>219</v>
      </c>
      <c r="R51" s="431" t="s">
        <v>73</v>
      </c>
      <c r="S51" s="442" t="s">
        <v>120</v>
      </c>
      <c r="T51" s="433">
        <v>625</v>
      </c>
      <c r="U51" s="1088">
        <v>1440</v>
      </c>
      <c r="V51" s="434">
        <v>0.9</v>
      </c>
      <c r="W51" s="435">
        <v>40</v>
      </c>
      <c r="X51" s="1040">
        <v>2</v>
      </c>
      <c r="Y51" s="430" t="s">
        <v>75</v>
      </c>
      <c r="Z51" s="430" t="s">
        <v>75</v>
      </c>
      <c r="AA51" s="430"/>
      <c r="AB51" s="437">
        <v>46035</v>
      </c>
      <c r="AC51" s="438">
        <v>3</v>
      </c>
      <c r="AD51" s="439" t="s">
        <v>367</v>
      </c>
      <c r="AE51" s="430"/>
      <c r="AF51" s="430" t="s">
        <v>122</v>
      </c>
      <c r="AG51" s="430" t="s">
        <v>123</v>
      </c>
      <c r="AH51" s="430" t="s">
        <v>356</v>
      </c>
      <c r="AI51" s="437">
        <v>46040</v>
      </c>
      <c r="AJ51" s="437">
        <v>46045</v>
      </c>
      <c r="AK51" s="441">
        <v>46043</v>
      </c>
      <c r="AL51" s="437">
        <v>46077</v>
      </c>
      <c r="AM51" s="437">
        <v>46077</v>
      </c>
      <c r="AN51" s="437">
        <v>46079</v>
      </c>
      <c r="AO51" s="430" t="s">
        <v>66</v>
      </c>
      <c r="AP51" s="430" t="s">
        <v>357</v>
      </c>
      <c r="AQ51" s="430" t="s">
        <v>161</v>
      </c>
      <c r="AR51" s="430" t="s">
        <v>358</v>
      </c>
      <c r="AS51" s="430" t="s">
        <v>359</v>
      </c>
      <c r="AT51" s="430" t="s">
        <v>359</v>
      </c>
      <c r="AU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7">
        <v>46079</v>
      </c>
      <c r="AX51" s="433" t="s">
        <v>84</v>
      </c>
      <c r="AY51" s="437">
        <v>46091</v>
      </c>
      <c r="AZ51" s="442">
        <v>8</v>
      </c>
      <c r="BA51" s="437">
        <v>46087</v>
      </c>
      <c r="BB51" s="433">
        <v>2026</v>
      </c>
      <c r="BC51" s="430">
        <v>3</v>
      </c>
      <c r="BD51" s="430">
        <v>10</v>
      </c>
      <c r="BE51" s="431">
        <v>36</v>
      </c>
      <c r="BF51" s="431">
        <v>720</v>
      </c>
      <c r="BG51" s="431" t="s">
        <v>128</v>
      </c>
      <c r="BH51" s="431" t="s">
        <v>109</v>
      </c>
      <c r="BI51" s="430" t="s">
        <v>197</v>
      </c>
      <c r="BJ51" s="430" t="s">
        <v>197</v>
      </c>
      <c r="BK51" s="430" t="s">
        <v>197</v>
      </c>
      <c r="BL51" s="430" t="s">
        <v>197</v>
      </c>
      <c r="BM51" s="430" t="s">
        <v>197</v>
      </c>
      <c r="BN51" s="430" t="s">
        <v>197</v>
      </c>
      <c r="BO51" s="430" t="s">
        <v>197</v>
      </c>
      <c r="BP51" s="430" t="s">
        <v>197</v>
      </c>
      <c r="BQ51" s="430" t="s">
        <v>197</v>
      </c>
      <c r="BR51" s="430" t="s">
        <v>197</v>
      </c>
      <c r="BS51" s="430" t="s">
        <v>197</v>
      </c>
      <c r="BT51" s="430" t="s">
        <v>197</v>
      </c>
      <c r="BU51" s="430" t="s">
        <v>197</v>
      </c>
      <c r="BV51" s="430" t="s">
        <v>197</v>
      </c>
      <c r="BW51" s="430" t="s">
        <v>197</v>
      </c>
      <c r="BX51" s="430" t="s">
        <v>197</v>
      </c>
      <c r="BY51" s="430" t="s">
        <v>197</v>
      </c>
      <c r="BZ51" s="430" t="s">
        <v>197</v>
      </c>
      <c r="CA51" s="430" t="s">
        <v>197</v>
      </c>
      <c r="CB51" s="430" t="s">
        <v>197</v>
      </c>
      <c r="CC51" s="430" t="s">
        <v>197</v>
      </c>
      <c r="CD51" s="430" t="s">
        <v>197</v>
      </c>
      <c r="CE51" s="430" t="s">
        <v>197</v>
      </c>
      <c r="CF51" s="430" t="s">
        <v>197</v>
      </c>
      <c r="CG51" s="430" t="s">
        <v>197</v>
      </c>
      <c r="CH51" s="430" t="s">
        <v>197</v>
      </c>
      <c r="CI51" s="430" t="s">
        <v>197</v>
      </c>
      <c r="CJ51" s="430" t="s">
        <v>197</v>
      </c>
      <c r="CK51" s="430" t="s">
        <v>197</v>
      </c>
      <c r="CL51" s="430" t="s">
        <v>197</v>
      </c>
      <c r="CM51" s="430" t="s">
        <v>197</v>
      </c>
    </row>
    <row r="52" spans="1:91" ht="10.5">
      <c r="A52" s="462" t="s">
        <v>368</v>
      </c>
      <c r="B52" s="462" t="s">
        <v>111</v>
      </c>
      <c r="C52" s="462" t="s">
        <v>215</v>
      </c>
      <c r="D52" s="462" t="s">
        <v>113</v>
      </c>
      <c r="E52" s="462" t="s">
        <v>64</v>
      </c>
      <c r="F52" s="462" t="s">
        <v>65</v>
      </c>
      <c r="G52" s="462" t="s">
        <v>66</v>
      </c>
      <c r="H52" s="462" t="s">
        <v>67</v>
      </c>
      <c r="I52" s="439" t="s">
        <v>68</v>
      </c>
      <c r="J52" s="430" t="s">
        <v>216</v>
      </c>
      <c r="K52" s="430" t="s">
        <v>217</v>
      </c>
      <c r="L52" s="430"/>
      <c r="M52" s="430" t="s">
        <v>68</v>
      </c>
      <c r="N52" s="432" t="s">
        <v>68</v>
      </c>
      <c r="O52" s="430" t="s">
        <v>70</v>
      </c>
      <c r="P52" s="430" t="s">
        <v>218</v>
      </c>
      <c r="Q52" s="430" t="s">
        <v>219</v>
      </c>
      <c r="R52" s="431" t="s">
        <v>73</v>
      </c>
      <c r="S52" s="442" t="s">
        <v>120</v>
      </c>
      <c r="T52" s="433">
        <v>625</v>
      </c>
      <c r="U52" s="1088">
        <v>72</v>
      </c>
      <c r="V52" s="434">
        <v>4.4999999999999998E-2</v>
      </c>
      <c r="W52" s="435">
        <v>2</v>
      </c>
      <c r="X52" s="1040">
        <v>0.1</v>
      </c>
      <c r="Y52" s="430" t="s">
        <v>75</v>
      </c>
      <c r="Z52" s="430" t="s">
        <v>75</v>
      </c>
      <c r="AA52" s="430"/>
      <c r="AB52" s="437">
        <v>46035</v>
      </c>
      <c r="AC52" s="438">
        <v>3</v>
      </c>
      <c r="AD52" s="439" t="s">
        <v>369</v>
      </c>
      <c r="AE52" s="430"/>
      <c r="AF52" s="430" t="s">
        <v>122</v>
      </c>
      <c r="AG52" s="430" t="s">
        <v>123</v>
      </c>
      <c r="AH52" s="430" t="s">
        <v>356</v>
      </c>
      <c r="AI52" s="437">
        <v>46040</v>
      </c>
      <c r="AJ52" s="437">
        <v>46043</v>
      </c>
      <c r="AK52" s="441">
        <v>46043</v>
      </c>
      <c r="AL52" s="437">
        <v>46077</v>
      </c>
      <c r="AM52" s="437">
        <v>46077</v>
      </c>
      <c r="AN52" s="437">
        <v>46078</v>
      </c>
      <c r="AO52" s="430" t="s">
        <v>66</v>
      </c>
      <c r="AP52" s="430" t="s">
        <v>370</v>
      </c>
      <c r="AQ52" s="430" t="s">
        <v>80</v>
      </c>
      <c r="AR52" s="430" t="s">
        <v>371</v>
      </c>
      <c r="AS52" s="430" t="s">
        <v>372</v>
      </c>
      <c r="AT52" s="430" t="s">
        <v>372</v>
      </c>
      <c r="AU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7">
        <v>46078</v>
      </c>
      <c r="AX52" s="433" t="s">
        <v>84</v>
      </c>
      <c r="AY52" s="437">
        <v>46091</v>
      </c>
      <c r="AZ52" s="442">
        <v>8</v>
      </c>
      <c r="BA52" s="437">
        <v>46086</v>
      </c>
      <c r="BB52" s="433">
        <v>2026</v>
      </c>
      <c r="BC52" s="430">
        <v>3</v>
      </c>
      <c r="BD52" s="430">
        <v>10</v>
      </c>
      <c r="BE52" s="431">
        <v>36</v>
      </c>
      <c r="BF52" s="431">
        <v>720</v>
      </c>
      <c r="BG52" s="431" t="s">
        <v>128</v>
      </c>
      <c r="BH52" s="431" t="s">
        <v>109</v>
      </c>
      <c r="BI52" s="430" t="s">
        <v>197</v>
      </c>
      <c r="BJ52" s="430" t="s">
        <v>197</v>
      </c>
      <c r="BK52" s="430" t="s">
        <v>197</v>
      </c>
      <c r="BL52" s="430" t="s">
        <v>197</v>
      </c>
      <c r="BM52" s="430" t="s">
        <v>197</v>
      </c>
      <c r="BN52" s="430" t="s">
        <v>197</v>
      </c>
      <c r="BO52" s="430" t="s">
        <v>197</v>
      </c>
      <c r="BP52" s="430" t="s">
        <v>197</v>
      </c>
      <c r="BQ52" s="430" t="s">
        <v>197</v>
      </c>
      <c r="BR52" s="430" t="s">
        <v>197</v>
      </c>
      <c r="BS52" s="430" t="s">
        <v>197</v>
      </c>
      <c r="BT52" s="430" t="s">
        <v>197</v>
      </c>
      <c r="BU52" s="430" t="s">
        <v>197</v>
      </c>
      <c r="BV52" s="430" t="s">
        <v>197</v>
      </c>
      <c r="BW52" s="430" t="s">
        <v>197</v>
      </c>
      <c r="BX52" s="430" t="s">
        <v>197</v>
      </c>
      <c r="BY52" s="430" t="s">
        <v>197</v>
      </c>
      <c r="BZ52" s="430" t="s">
        <v>197</v>
      </c>
      <c r="CA52" s="430" t="s">
        <v>197</v>
      </c>
      <c r="CB52" s="430" t="s">
        <v>197</v>
      </c>
      <c r="CC52" s="430" t="s">
        <v>197</v>
      </c>
      <c r="CD52" s="430" t="s">
        <v>197</v>
      </c>
      <c r="CE52" s="430" t="s">
        <v>197</v>
      </c>
      <c r="CF52" s="430" t="s">
        <v>197</v>
      </c>
      <c r="CG52" s="430" t="s">
        <v>197</v>
      </c>
      <c r="CH52" s="430" t="s">
        <v>197</v>
      </c>
      <c r="CI52" s="430" t="s">
        <v>197</v>
      </c>
      <c r="CJ52" s="430" t="s">
        <v>197</v>
      </c>
      <c r="CK52" s="430" t="s">
        <v>197</v>
      </c>
      <c r="CL52" s="430" t="s">
        <v>197</v>
      </c>
      <c r="CM52" s="430" t="s">
        <v>197</v>
      </c>
    </row>
    <row r="53" spans="1:91" ht="10.5">
      <c r="A53" s="462" t="s">
        <v>373</v>
      </c>
      <c r="B53" s="462" t="s">
        <v>111</v>
      </c>
      <c r="C53" s="462" t="s">
        <v>215</v>
      </c>
      <c r="D53" s="462" t="s">
        <v>113</v>
      </c>
      <c r="E53" s="462" t="s">
        <v>64</v>
      </c>
      <c r="F53" s="462" t="s">
        <v>65</v>
      </c>
      <c r="G53" s="462" t="s">
        <v>66</v>
      </c>
      <c r="H53" s="462" t="s">
        <v>67</v>
      </c>
      <c r="I53" s="439" t="s">
        <v>68</v>
      </c>
      <c r="J53" s="430" t="s">
        <v>363</v>
      </c>
      <c r="K53" s="430" t="s">
        <v>364</v>
      </c>
      <c r="L53" s="430"/>
      <c r="M53" s="430" t="s">
        <v>68</v>
      </c>
      <c r="N53" s="432" t="s">
        <v>68</v>
      </c>
      <c r="O53" s="430" t="s">
        <v>70</v>
      </c>
      <c r="P53" s="430" t="s">
        <v>218</v>
      </c>
      <c r="Q53" s="430" t="s">
        <v>219</v>
      </c>
      <c r="R53" s="431" t="s">
        <v>73</v>
      </c>
      <c r="S53" s="442" t="s">
        <v>120</v>
      </c>
      <c r="T53" s="433">
        <v>625</v>
      </c>
      <c r="U53" s="1088">
        <v>324</v>
      </c>
      <c r="V53" s="434">
        <v>0.20300000000000001</v>
      </c>
      <c r="W53" s="435">
        <v>9</v>
      </c>
      <c r="X53" s="1040">
        <v>0.5</v>
      </c>
      <c r="Y53" s="430" t="s">
        <v>75</v>
      </c>
      <c r="Z53" s="430" t="s">
        <v>75</v>
      </c>
      <c r="AA53" s="430"/>
      <c r="AB53" s="437">
        <v>46035</v>
      </c>
      <c r="AC53" s="438">
        <v>3</v>
      </c>
      <c r="AD53" s="439" t="s">
        <v>374</v>
      </c>
      <c r="AE53" s="430"/>
      <c r="AF53" s="430" t="s">
        <v>122</v>
      </c>
      <c r="AG53" s="430" t="s">
        <v>123</v>
      </c>
      <c r="AH53" s="430" t="s">
        <v>356</v>
      </c>
      <c r="AI53" s="437">
        <v>46040</v>
      </c>
      <c r="AJ53" s="437">
        <v>46043</v>
      </c>
      <c r="AK53" s="441">
        <v>46043</v>
      </c>
      <c r="AL53" s="437">
        <v>46077</v>
      </c>
      <c r="AM53" s="437">
        <v>46077</v>
      </c>
      <c r="AN53" s="437">
        <v>46078</v>
      </c>
      <c r="AO53" s="430" t="s">
        <v>66</v>
      </c>
      <c r="AP53" s="430" t="s">
        <v>370</v>
      </c>
      <c r="AQ53" s="430" t="s">
        <v>80</v>
      </c>
      <c r="AR53" s="430" t="s">
        <v>371</v>
      </c>
      <c r="AS53" s="430" t="s">
        <v>372</v>
      </c>
      <c r="AT53" s="430" t="s">
        <v>372</v>
      </c>
      <c r="AU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7">
        <v>46078</v>
      </c>
      <c r="AX53" s="433" t="s">
        <v>84</v>
      </c>
      <c r="AY53" s="437">
        <v>46091</v>
      </c>
      <c r="AZ53" s="442">
        <v>8</v>
      </c>
      <c r="BA53" s="437">
        <v>46086</v>
      </c>
      <c r="BB53" s="433">
        <v>2026</v>
      </c>
      <c r="BC53" s="430">
        <v>3</v>
      </c>
      <c r="BD53" s="430">
        <v>10</v>
      </c>
      <c r="BE53" s="431">
        <v>36</v>
      </c>
      <c r="BF53" s="431">
        <v>720</v>
      </c>
      <c r="BG53" s="431" t="s">
        <v>128</v>
      </c>
      <c r="BH53" s="431" t="s">
        <v>109</v>
      </c>
      <c r="BI53" s="430" t="s">
        <v>197</v>
      </c>
      <c r="BJ53" s="430" t="s">
        <v>197</v>
      </c>
      <c r="BK53" s="430" t="s">
        <v>197</v>
      </c>
      <c r="BL53" s="430" t="s">
        <v>197</v>
      </c>
      <c r="BM53" s="430" t="s">
        <v>197</v>
      </c>
      <c r="BN53" s="430" t="s">
        <v>197</v>
      </c>
      <c r="BO53" s="430" t="s">
        <v>197</v>
      </c>
      <c r="BP53" s="430" t="s">
        <v>197</v>
      </c>
      <c r="BQ53" s="430" t="s">
        <v>197</v>
      </c>
      <c r="BR53" s="430" t="s">
        <v>197</v>
      </c>
      <c r="BS53" s="430" t="s">
        <v>197</v>
      </c>
      <c r="BT53" s="430" t="s">
        <v>197</v>
      </c>
      <c r="BU53" s="430" t="s">
        <v>197</v>
      </c>
      <c r="BV53" s="430" t="s">
        <v>197</v>
      </c>
      <c r="BW53" s="430" t="s">
        <v>197</v>
      </c>
      <c r="BX53" s="430" t="s">
        <v>197</v>
      </c>
      <c r="BY53" s="430" t="s">
        <v>197</v>
      </c>
      <c r="BZ53" s="430" t="s">
        <v>197</v>
      </c>
      <c r="CA53" s="430" t="s">
        <v>197</v>
      </c>
      <c r="CB53" s="430" t="s">
        <v>197</v>
      </c>
      <c r="CC53" s="430" t="s">
        <v>197</v>
      </c>
      <c r="CD53" s="430" t="s">
        <v>197</v>
      </c>
      <c r="CE53" s="430" t="s">
        <v>197</v>
      </c>
      <c r="CF53" s="430" t="s">
        <v>197</v>
      </c>
      <c r="CG53" s="430" t="s">
        <v>197</v>
      </c>
      <c r="CH53" s="430" t="s">
        <v>197</v>
      </c>
      <c r="CI53" s="430" t="s">
        <v>197</v>
      </c>
      <c r="CJ53" s="430" t="s">
        <v>197</v>
      </c>
      <c r="CK53" s="430" t="s">
        <v>197</v>
      </c>
      <c r="CL53" s="430" t="s">
        <v>197</v>
      </c>
      <c r="CM53" s="430" t="s">
        <v>197</v>
      </c>
    </row>
    <row r="54" spans="1:91" ht="10.5">
      <c r="A54" s="462" t="s">
        <v>375</v>
      </c>
      <c r="B54" s="462" t="s">
        <v>111</v>
      </c>
      <c r="C54" s="462" t="s">
        <v>376</v>
      </c>
      <c r="D54" s="462" t="s">
        <v>113</v>
      </c>
      <c r="E54" s="462" t="s">
        <v>64</v>
      </c>
      <c r="F54" s="462" t="s">
        <v>65</v>
      </c>
      <c r="G54" s="462" t="s">
        <v>66</v>
      </c>
      <c r="H54" s="462" t="s">
        <v>67</v>
      </c>
      <c r="I54" s="439" t="s">
        <v>68</v>
      </c>
      <c r="J54" s="430" t="s">
        <v>377</v>
      </c>
      <c r="K54" s="430" t="s">
        <v>328</v>
      </c>
      <c r="L54" s="430"/>
      <c r="M54" s="430" t="s">
        <v>68</v>
      </c>
      <c r="N54" s="432" t="s">
        <v>68</v>
      </c>
      <c r="O54" s="430" t="s">
        <v>70</v>
      </c>
      <c r="P54" s="430" t="s">
        <v>378</v>
      </c>
      <c r="Q54" s="430" t="s">
        <v>379</v>
      </c>
      <c r="R54" s="431" t="s">
        <v>73</v>
      </c>
      <c r="S54" s="442" t="s">
        <v>120</v>
      </c>
      <c r="T54" s="433">
        <v>620</v>
      </c>
      <c r="U54" s="1088">
        <v>324</v>
      </c>
      <c r="V54" s="434">
        <v>0.20100000000000001</v>
      </c>
      <c r="W54" s="435">
        <v>9</v>
      </c>
      <c r="X54" s="1040">
        <v>0.5</v>
      </c>
      <c r="Y54" s="430" t="s">
        <v>75</v>
      </c>
      <c r="Z54" s="430" t="s">
        <v>75</v>
      </c>
      <c r="AA54" s="430"/>
      <c r="AB54" s="437">
        <v>46035</v>
      </c>
      <c r="AC54" s="438">
        <v>3</v>
      </c>
      <c r="AD54" s="439" t="s">
        <v>380</v>
      </c>
      <c r="AE54" s="430"/>
      <c r="AF54" s="430" t="s">
        <v>122</v>
      </c>
      <c r="AG54" s="430" t="s">
        <v>123</v>
      </c>
      <c r="AH54" s="430" t="s">
        <v>356</v>
      </c>
      <c r="AI54" s="437">
        <v>46040</v>
      </c>
      <c r="AJ54" s="437">
        <v>46043</v>
      </c>
      <c r="AK54" s="441">
        <v>46043</v>
      </c>
      <c r="AL54" s="437">
        <v>46077</v>
      </c>
      <c r="AM54" s="437">
        <v>46077</v>
      </c>
      <c r="AN54" s="437">
        <v>46078</v>
      </c>
      <c r="AO54" s="430" t="s">
        <v>66</v>
      </c>
      <c r="AP54" s="430" t="s">
        <v>370</v>
      </c>
      <c r="AQ54" s="430" t="s">
        <v>80</v>
      </c>
      <c r="AR54" s="430" t="s">
        <v>371</v>
      </c>
      <c r="AS54" s="430" t="s">
        <v>372</v>
      </c>
      <c r="AT54" s="430" t="s">
        <v>372</v>
      </c>
      <c r="AU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7">
        <v>46078</v>
      </c>
      <c r="AX54" s="433" t="s">
        <v>84</v>
      </c>
      <c r="AY54" s="437">
        <v>46091</v>
      </c>
      <c r="AZ54" s="442">
        <v>8</v>
      </c>
      <c r="BA54" s="437">
        <v>46086</v>
      </c>
      <c r="BB54" s="433">
        <v>2026</v>
      </c>
      <c r="BC54" s="430">
        <v>3</v>
      </c>
      <c r="BD54" s="430">
        <v>10</v>
      </c>
      <c r="BE54" s="431">
        <v>36</v>
      </c>
      <c r="BF54" s="431">
        <v>720</v>
      </c>
      <c r="BG54" s="431" t="s">
        <v>128</v>
      </c>
      <c r="BH54" s="431" t="s">
        <v>109</v>
      </c>
      <c r="BI54" s="430" t="s">
        <v>197</v>
      </c>
      <c r="BJ54" s="430" t="s">
        <v>197</v>
      </c>
      <c r="BK54" s="430" t="s">
        <v>197</v>
      </c>
      <c r="BL54" s="430" t="s">
        <v>197</v>
      </c>
      <c r="BM54" s="430" t="s">
        <v>197</v>
      </c>
      <c r="BN54" s="430" t="s">
        <v>197</v>
      </c>
      <c r="BO54" s="430" t="s">
        <v>197</v>
      </c>
      <c r="BP54" s="430" t="s">
        <v>197</v>
      </c>
      <c r="BQ54" s="430" t="s">
        <v>197</v>
      </c>
      <c r="BR54" s="430" t="s">
        <v>197</v>
      </c>
      <c r="BS54" s="430" t="s">
        <v>197</v>
      </c>
      <c r="BT54" s="430" t="s">
        <v>197</v>
      </c>
      <c r="BU54" s="430" t="s">
        <v>197</v>
      </c>
      <c r="BV54" s="430" t="s">
        <v>197</v>
      </c>
      <c r="BW54" s="430" t="s">
        <v>197</v>
      </c>
      <c r="BX54" s="430" t="s">
        <v>197</v>
      </c>
      <c r="BY54" s="430" t="s">
        <v>197</v>
      </c>
      <c r="BZ54" s="430" t="s">
        <v>197</v>
      </c>
      <c r="CA54" s="430" t="s">
        <v>197</v>
      </c>
      <c r="CB54" s="430" t="s">
        <v>197</v>
      </c>
      <c r="CC54" s="430" t="s">
        <v>197</v>
      </c>
      <c r="CD54" s="430" t="s">
        <v>197</v>
      </c>
      <c r="CE54" s="430" t="s">
        <v>197</v>
      </c>
      <c r="CF54" s="430" t="s">
        <v>197</v>
      </c>
      <c r="CG54" s="430" t="s">
        <v>197</v>
      </c>
      <c r="CH54" s="430" t="s">
        <v>197</v>
      </c>
      <c r="CI54" s="430" t="s">
        <v>197</v>
      </c>
      <c r="CJ54" s="430" t="s">
        <v>197</v>
      </c>
      <c r="CK54" s="430" t="s">
        <v>197</v>
      </c>
      <c r="CL54" s="430" t="s">
        <v>197</v>
      </c>
      <c r="CM54" s="430" t="s">
        <v>197</v>
      </c>
    </row>
    <row r="55" spans="1:91" ht="10.5">
      <c r="A55" s="462" t="s">
        <v>381</v>
      </c>
      <c r="B55" s="462" t="s">
        <v>111</v>
      </c>
      <c r="C55" s="462" t="s">
        <v>187</v>
      </c>
      <c r="D55" s="462" t="s">
        <v>63</v>
      </c>
      <c r="E55" s="462" t="s">
        <v>64</v>
      </c>
      <c r="F55" s="462" t="s">
        <v>65</v>
      </c>
      <c r="G55" s="462" t="s">
        <v>66</v>
      </c>
      <c r="H55" s="462" t="s">
        <v>67</v>
      </c>
      <c r="I55" s="439" t="s">
        <v>68</v>
      </c>
      <c r="J55" s="430" t="s">
        <v>188</v>
      </c>
      <c r="K55" s="430"/>
      <c r="L55" s="430"/>
      <c r="M55" s="430" t="s">
        <v>68</v>
      </c>
      <c r="N55" s="432" t="s">
        <v>68</v>
      </c>
      <c r="O55" s="430" t="s">
        <v>132</v>
      </c>
      <c r="P55" s="430" t="s">
        <v>189</v>
      </c>
      <c r="Q55" s="430" t="s">
        <v>190</v>
      </c>
      <c r="R55" s="431" t="s">
        <v>73</v>
      </c>
      <c r="S55" s="442" t="s">
        <v>74</v>
      </c>
      <c r="T55" s="433">
        <v>465</v>
      </c>
      <c r="U55" s="1088">
        <v>1728</v>
      </c>
      <c r="V55" s="434">
        <v>0.80400000000000005</v>
      </c>
      <c r="W55" s="435">
        <v>48</v>
      </c>
      <c r="X55" s="1040">
        <v>2</v>
      </c>
      <c r="Y55" s="430" t="s">
        <v>75</v>
      </c>
      <c r="Z55" s="430" t="s">
        <v>75</v>
      </c>
      <c r="AA55" s="430"/>
      <c r="AB55" s="437">
        <v>46033</v>
      </c>
      <c r="AC55" s="438">
        <v>2</v>
      </c>
      <c r="AD55" s="439" t="s">
        <v>382</v>
      </c>
      <c r="AE55" s="430"/>
      <c r="AF55" s="430" t="s">
        <v>122</v>
      </c>
      <c r="AG55" s="430" t="s">
        <v>123</v>
      </c>
      <c r="AH55" s="430" t="s">
        <v>78</v>
      </c>
      <c r="AI55" s="437">
        <v>46042</v>
      </c>
      <c r="AJ55" s="437">
        <v>46044</v>
      </c>
      <c r="AK55" s="441">
        <v>46044</v>
      </c>
      <c r="AL55" s="437">
        <v>46085</v>
      </c>
      <c r="AM55" s="437">
        <v>46101</v>
      </c>
      <c r="AN55" s="437">
        <v>46102</v>
      </c>
      <c r="AO55" s="430" t="s">
        <v>66</v>
      </c>
      <c r="AP55" s="430" t="s">
        <v>383</v>
      </c>
      <c r="AQ55" s="430" t="s">
        <v>80</v>
      </c>
      <c r="AR55" s="430" t="s">
        <v>384</v>
      </c>
      <c r="AS55" s="430" t="s">
        <v>385</v>
      </c>
      <c r="AT55" s="430" t="s">
        <v>385</v>
      </c>
      <c r="AU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7">
        <v>46102</v>
      </c>
      <c r="AX55" s="433" t="s">
        <v>84</v>
      </c>
      <c r="AY55" s="437">
        <v>46115</v>
      </c>
      <c r="AZ55" s="442">
        <v>8</v>
      </c>
      <c r="BA55" s="437">
        <v>46110</v>
      </c>
      <c r="BB55" s="433">
        <v>2026</v>
      </c>
      <c r="BC55" s="430">
        <v>3</v>
      </c>
      <c r="BD55" s="430">
        <v>13</v>
      </c>
      <c r="BE55" s="431">
        <v>36</v>
      </c>
      <c r="BF55" s="431">
        <v>864</v>
      </c>
      <c r="BG55" s="431" t="s">
        <v>108</v>
      </c>
      <c r="BH55" s="431" t="s">
        <v>86</v>
      </c>
      <c r="BI55" s="430" t="s">
        <v>197</v>
      </c>
      <c r="BJ55" s="430" t="s">
        <v>197</v>
      </c>
      <c r="BK55" s="430" t="s">
        <v>197</v>
      </c>
      <c r="BL55" s="430" t="s">
        <v>197</v>
      </c>
      <c r="BM55" s="430" t="s">
        <v>197</v>
      </c>
      <c r="BN55" s="430" t="s">
        <v>197</v>
      </c>
      <c r="BO55" s="430" t="s">
        <v>197</v>
      </c>
      <c r="BP55" s="430" t="s">
        <v>197</v>
      </c>
      <c r="BQ55" s="430" t="s">
        <v>197</v>
      </c>
      <c r="BR55" s="430" t="s">
        <v>197</v>
      </c>
      <c r="BS55" s="430" t="s">
        <v>197</v>
      </c>
      <c r="BT55" s="430" t="s">
        <v>197</v>
      </c>
      <c r="BU55" s="430" t="s">
        <v>197</v>
      </c>
      <c r="BV55" s="430" t="s">
        <v>197</v>
      </c>
      <c r="BW55" s="430" t="s">
        <v>197</v>
      </c>
      <c r="BX55" s="430" t="s">
        <v>197</v>
      </c>
      <c r="BY55" s="430" t="s">
        <v>197</v>
      </c>
      <c r="BZ55" s="430" t="s">
        <v>197</v>
      </c>
      <c r="CA55" s="430" t="s">
        <v>197</v>
      </c>
      <c r="CB55" s="430" t="s">
        <v>197</v>
      </c>
      <c r="CC55" s="430" t="s">
        <v>197</v>
      </c>
      <c r="CD55" s="430" t="s">
        <v>197</v>
      </c>
      <c r="CE55" s="430" t="s">
        <v>197</v>
      </c>
      <c r="CF55" s="430" t="s">
        <v>197</v>
      </c>
      <c r="CG55" s="430" t="s">
        <v>197</v>
      </c>
      <c r="CH55" s="430" t="s">
        <v>197</v>
      </c>
      <c r="CI55" s="430" t="s">
        <v>197</v>
      </c>
      <c r="CJ55" s="430" t="s">
        <v>197</v>
      </c>
      <c r="CK55" s="430" t="s">
        <v>197</v>
      </c>
      <c r="CL55" s="430" t="s">
        <v>197</v>
      </c>
      <c r="CM55" s="430" t="s">
        <v>197</v>
      </c>
    </row>
    <row r="56" spans="1:91" ht="10.5">
      <c r="A56" s="462" t="s">
        <v>386</v>
      </c>
      <c r="B56" s="462" t="s">
        <v>111</v>
      </c>
      <c r="C56" s="462" t="s">
        <v>387</v>
      </c>
      <c r="D56" s="462" t="s">
        <v>63</v>
      </c>
      <c r="E56" s="462" t="s">
        <v>64</v>
      </c>
      <c r="F56" s="462" t="s">
        <v>65</v>
      </c>
      <c r="G56" s="462" t="s">
        <v>66</v>
      </c>
      <c r="H56" s="462" t="s">
        <v>67</v>
      </c>
      <c r="I56" s="439" t="s">
        <v>68</v>
      </c>
      <c r="J56" s="430" t="s">
        <v>188</v>
      </c>
      <c r="K56" s="430"/>
      <c r="L56" s="430"/>
      <c r="M56" s="430" t="s">
        <v>68</v>
      </c>
      <c r="N56" s="432" t="s">
        <v>68</v>
      </c>
      <c r="O56" s="430" t="s">
        <v>132</v>
      </c>
      <c r="P56" s="430" t="s">
        <v>189</v>
      </c>
      <c r="Q56" s="430" t="s">
        <v>190</v>
      </c>
      <c r="R56" s="431" t="s">
        <v>73</v>
      </c>
      <c r="S56" s="442" t="s">
        <v>74</v>
      </c>
      <c r="T56" s="433">
        <v>465</v>
      </c>
      <c r="U56" s="1088">
        <v>2592</v>
      </c>
      <c r="V56" s="434">
        <v>1.2050000000000001</v>
      </c>
      <c r="W56" s="435">
        <v>72</v>
      </c>
      <c r="X56" s="1040">
        <v>3</v>
      </c>
      <c r="Y56" s="430" t="s">
        <v>75</v>
      </c>
      <c r="Z56" s="430" t="s">
        <v>75</v>
      </c>
      <c r="AA56" s="430"/>
      <c r="AB56" s="437">
        <v>46033</v>
      </c>
      <c r="AC56" s="438">
        <v>2</v>
      </c>
      <c r="AD56" s="439" t="s">
        <v>388</v>
      </c>
      <c r="AE56" s="430"/>
      <c r="AF56" s="430" t="s">
        <v>122</v>
      </c>
      <c r="AG56" s="430" t="s">
        <v>123</v>
      </c>
      <c r="AH56" s="430" t="s">
        <v>78</v>
      </c>
      <c r="AI56" s="437">
        <v>46042</v>
      </c>
      <c r="AJ56" s="437">
        <v>46044</v>
      </c>
      <c r="AK56" s="441">
        <v>46044</v>
      </c>
      <c r="AL56" s="437">
        <v>46085</v>
      </c>
      <c r="AM56" s="437">
        <v>46101</v>
      </c>
      <c r="AN56" s="437">
        <v>46102</v>
      </c>
      <c r="AO56" s="430" t="s">
        <v>66</v>
      </c>
      <c r="AP56" s="430" t="s">
        <v>383</v>
      </c>
      <c r="AQ56" s="430" t="s">
        <v>80</v>
      </c>
      <c r="AR56" s="430" t="s">
        <v>384</v>
      </c>
      <c r="AS56" s="430" t="s">
        <v>385</v>
      </c>
      <c r="AT56" s="430" t="s">
        <v>385</v>
      </c>
      <c r="AU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7">
        <v>46102</v>
      </c>
      <c r="AX56" s="433" t="s">
        <v>84</v>
      </c>
      <c r="AY56" s="437">
        <v>46115</v>
      </c>
      <c r="AZ56" s="442">
        <v>8</v>
      </c>
      <c r="BA56" s="437">
        <v>46110</v>
      </c>
      <c r="BB56" s="433">
        <v>2026</v>
      </c>
      <c r="BC56" s="430">
        <v>3</v>
      </c>
      <c r="BD56" s="430">
        <v>13</v>
      </c>
      <c r="BE56" s="431">
        <v>36</v>
      </c>
      <c r="BF56" s="431">
        <v>864</v>
      </c>
      <c r="BG56" s="431" t="s">
        <v>108</v>
      </c>
      <c r="BH56" s="431" t="s">
        <v>86</v>
      </c>
      <c r="BI56" s="430" t="s">
        <v>197</v>
      </c>
      <c r="BJ56" s="430" t="s">
        <v>197</v>
      </c>
      <c r="BK56" s="430" t="s">
        <v>197</v>
      </c>
      <c r="BL56" s="430" t="s">
        <v>197</v>
      </c>
      <c r="BM56" s="430" t="s">
        <v>197</v>
      </c>
      <c r="BN56" s="430" t="s">
        <v>197</v>
      </c>
      <c r="BO56" s="430" t="s">
        <v>197</v>
      </c>
      <c r="BP56" s="430" t="s">
        <v>197</v>
      </c>
      <c r="BQ56" s="430" t="s">
        <v>197</v>
      </c>
      <c r="BR56" s="430" t="s">
        <v>197</v>
      </c>
      <c r="BS56" s="430" t="s">
        <v>197</v>
      </c>
      <c r="BT56" s="430" t="s">
        <v>197</v>
      </c>
      <c r="BU56" s="430" t="s">
        <v>197</v>
      </c>
      <c r="BV56" s="430" t="s">
        <v>197</v>
      </c>
      <c r="BW56" s="430" t="s">
        <v>197</v>
      </c>
      <c r="BX56" s="430" t="s">
        <v>197</v>
      </c>
      <c r="BY56" s="430" t="s">
        <v>197</v>
      </c>
      <c r="BZ56" s="430" t="s">
        <v>197</v>
      </c>
      <c r="CA56" s="430" t="s">
        <v>197</v>
      </c>
      <c r="CB56" s="430" t="s">
        <v>197</v>
      </c>
      <c r="CC56" s="430" t="s">
        <v>197</v>
      </c>
      <c r="CD56" s="430" t="s">
        <v>197</v>
      </c>
      <c r="CE56" s="430" t="s">
        <v>197</v>
      </c>
      <c r="CF56" s="430" t="s">
        <v>197</v>
      </c>
      <c r="CG56" s="430" t="s">
        <v>197</v>
      </c>
      <c r="CH56" s="430" t="s">
        <v>197</v>
      </c>
      <c r="CI56" s="430" t="s">
        <v>197</v>
      </c>
      <c r="CJ56" s="430" t="s">
        <v>197</v>
      </c>
      <c r="CK56" s="430" t="s">
        <v>197</v>
      </c>
      <c r="CL56" s="430" t="s">
        <v>197</v>
      </c>
      <c r="CM56" s="430" t="s">
        <v>197</v>
      </c>
    </row>
    <row r="57" spans="1:91" ht="10.5">
      <c r="A57" s="462" t="s">
        <v>389</v>
      </c>
      <c r="B57" s="462" t="s">
        <v>111</v>
      </c>
      <c r="C57" s="462" t="s">
        <v>387</v>
      </c>
      <c r="D57" s="462" t="s">
        <v>63</v>
      </c>
      <c r="E57" s="462" t="s">
        <v>64</v>
      </c>
      <c r="F57" s="462" t="s">
        <v>65</v>
      </c>
      <c r="G57" s="462" t="s">
        <v>66</v>
      </c>
      <c r="H57" s="462" t="s">
        <v>67</v>
      </c>
      <c r="I57" s="439" t="s">
        <v>68</v>
      </c>
      <c r="J57" s="430" t="s">
        <v>188</v>
      </c>
      <c r="K57" s="430"/>
      <c r="L57" s="430"/>
      <c r="M57" s="430" t="s">
        <v>68</v>
      </c>
      <c r="N57" s="432" t="s">
        <v>68</v>
      </c>
      <c r="O57" s="430" t="s">
        <v>132</v>
      </c>
      <c r="P57" s="430" t="s">
        <v>189</v>
      </c>
      <c r="Q57" s="430" t="s">
        <v>190</v>
      </c>
      <c r="R57" s="431" t="s">
        <v>73</v>
      </c>
      <c r="S57" s="442" t="s">
        <v>74</v>
      </c>
      <c r="T57" s="433">
        <v>465</v>
      </c>
      <c r="U57" s="1088">
        <v>1728</v>
      </c>
      <c r="V57" s="434">
        <v>0.80400000000000005</v>
      </c>
      <c r="W57" s="435">
        <v>48</v>
      </c>
      <c r="X57" s="1040">
        <v>2</v>
      </c>
      <c r="Y57" s="430" t="s">
        <v>75</v>
      </c>
      <c r="Z57" s="430" t="s">
        <v>75</v>
      </c>
      <c r="AA57" s="430"/>
      <c r="AB57" s="437">
        <v>46033</v>
      </c>
      <c r="AC57" s="438">
        <v>2</v>
      </c>
      <c r="AD57" s="439" t="s">
        <v>390</v>
      </c>
      <c r="AE57" s="430"/>
      <c r="AF57" s="430" t="s">
        <v>122</v>
      </c>
      <c r="AG57" s="430" t="s">
        <v>123</v>
      </c>
      <c r="AH57" s="430" t="s">
        <v>78</v>
      </c>
      <c r="AI57" s="437">
        <v>46042</v>
      </c>
      <c r="AJ57" s="437">
        <v>46044</v>
      </c>
      <c r="AK57" s="441">
        <v>46044</v>
      </c>
      <c r="AL57" s="437">
        <v>46085</v>
      </c>
      <c r="AM57" s="437">
        <v>46101</v>
      </c>
      <c r="AN57" s="437">
        <v>46102</v>
      </c>
      <c r="AO57" s="430" t="s">
        <v>66</v>
      </c>
      <c r="AP57" s="430" t="s">
        <v>383</v>
      </c>
      <c r="AQ57" s="430" t="s">
        <v>80</v>
      </c>
      <c r="AR57" s="430" t="s">
        <v>384</v>
      </c>
      <c r="AS57" s="430" t="s">
        <v>385</v>
      </c>
      <c r="AT57" s="430" t="s">
        <v>385</v>
      </c>
      <c r="AU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7">
        <v>46102</v>
      </c>
      <c r="AX57" s="433" t="s">
        <v>84</v>
      </c>
      <c r="AY57" s="437">
        <v>46115</v>
      </c>
      <c r="AZ57" s="442">
        <v>8</v>
      </c>
      <c r="BA57" s="437">
        <v>46110</v>
      </c>
      <c r="BB57" s="433">
        <v>2026</v>
      </c>
      <c r="BC57" s="430">
        <v>3</v>
      </c>
      <c r="BD57" s="430">
        <v>13</v>
      </c>
      <c r="BE57" s="431">
        <v>36</v>
      </c>
      <c r="BF57" s="431">
        <v>864</v>
      </c>
      <c r="BG57" s="431" t="s">
        <v>108</v>
      </c>
      <c r="BH57" s="431" t="s">
        <v>86</v>
      </c>
      <c r="BI57" s="430" t="s">
        <v>197</v>
      </c>
      <c r="BJ57" s="430" t="s">
        <v>197</v>
      </c>
      <c r="BK57" s="430" t="s">
        <v>197</v>
      </c>
      <c r="BL57" s="430" t="s">
        <v>197</v>
      </c>
      <c r="BM57" s="430" t="s">
        <v>197</v>
      </c>
      <c r="BN57" s="430" t="s">
        <v>197</v>
      </c>
      <c r="BO57" s="430" t="s">
        <v>197</v>
      </c>
      <c r="BP57" s="430" t="s">
        <v>197</v>
      </c>
      <c r="BQ57" s="430" t="s">
        <v>197</v>
      </c>
      <c r="BR57" s="430" t="s">
        <v>197</v>
      </c>
      <c r="BS57" s="430" t="s">
        <v>197</v>
      </c>
      <c r="BT57" s="430" t="s">
        <v>197</v>
      </c>
      <c r="BU57" s="430" t="s">
        <v>197</v>
      </c>
      <c r="BV57" s="430" t="s">
        <v>197</v>
      </c>
      <c r="BW57" s="430" t="s">
        <v>197</v>
      </c>
      <c r="BX57" s="430" t="s">
        <v>197</v>
      </c>
      <c r="BY57" s="430" t="s">
        <v>197</v>
      </c>
      <c r="BZ57" s="430" t="s">
        <v>197</v>
      </c>
      <c r="CA57" s="430" t="s">
        <v>197</v>
      </c>
      <c r="CB57" s="430" t="s">
        <v>197</v>
      </c>
      <c r="CC57" s="430" t="s">
        <v>197</v>
      </c>
      <c r="CD57" s="430" t="s">
        <v>197</v>
      </c>
      <c r="CE57" s="430" t="s">
        <v>197</v>
      </c>
      <c r="CF57" s="430" t="s">
        <v>197</v>
      </c>
      <c r="CG57" s="430" t="s">
        <v>197</v>
      </c>
      <c r="CH57" s="430" t="s">
        <v>197</v>
      </c>
      <c r="CI57" s="430" t="s">
        <v>197</v>
      </c>
      <c r="CJ57" s="430" t="s">
        <v>197</v>
      </c>
      <c r="CK57" s="430" t="s">
        <v>197</v>
      </c>
      <c r="CL57" s="430" t="s">
        <v>197</v>
      </c>
      <c r="CM57" s="430" t="s">
        <v>197</v>
      </c>
    </row>
    <row r="58" spans="1:91" ht="10.5">
      <c r="A58" s="462" t="s">
        <v>391</v>
      </c>
      <c r="B58" s="462" t="s">
        <v>111</v>
      </c>
      <c r="C58" s="462" t="s">
        <v>187</v>
      </c>
      <c r="D58" s="462" t="s">
        <v>63</v>
      </c>
      <c r="E58" s="462" t="s">
        <v>64</v>
      </c>
      <c r="F58" s="462" t="s">
        <v>100</v>
      </c>
      <c r="G58" s="462" t="s">
        <v>66</v>
      </c>
      <c r="H58" s="462" t="s">
        <v>67</v>
      </c>
      <c r="I58" s="439" t="s">
        <v>68</v>
      </c>
      <c r="J58" s="430" t="s">
        <v>101</v>
      </c>
      <c r="K58" s="430"/>
      <c r="L58" s="430"/>
      <c r="M58" s="430" t="s">
        <v>68</v>
      </c>
      <c r="N58" s="432" t="s">
        <v>68</v>
      </c>
      <c r="O58" s="430" t="s">
        <v>132</v>
      </c>
      <c r="P58" s="430" t="s">
        <v>189</v>
      </c>
      <c r="Q58" s="430" t="s">
        <v>190</v>
      </c>
      <c r="R58" s="431" t="s">
        <v>73</v>
      </c>
      <c r="S58" s="442" t="s">
        <v>74</v>
      </c>
      <c r="T58" s="433">
        <v>465</v>
      </c>
      <c r="U58" s="1088">
        <v>1728</v>
      </c>
      <c r="V58" s="434">
        <v>0.80400000000000005</v>
      </c>
      <c r="W58" s="435">
        <v>48</v>
      </c>
      <c r="X58" s="1040">
        <v>2</v>
      </c>
      <c r="Y58" s="430" t="s">
        <v>75</v>
      </c>
      <c r="Z58" s="430" t="s">
        <v>75</v>
      </c>
      <c r="AA58" s="430"/>
      <c r="AB58" s="437">
        <v>46039</v>
      </c>
      <c r="AC58" s="438">
        <v>3</v>
      </c>
      <c r="AD58" s="439" t="s">
        <v>392</v>
      </c>
      <c r="AE58" s="430"/>
      <c r="AF58" s="430" t="s">
        <v>122</v>
      </c>
      <c r="AG58" s="430" t="s">
        <v>123</v>
      </c>
      <c r="AH58" s="430" t="s">
        <v>105</v>
      </c>
      <c r="AI58" s="437">
        <v>46045</v>
      </c>
      <c r="AJ58" s="437">
        <v>46047</v>
      </c>
      <c r="AK58" s="441">
        <v>46047</v>
      </c>
      <c r="AL58" s="437">
        <v>46096</v>
      </c>
      <c r="AM58" s="437">
        <v>46111</v>
      </c>
      <c r="AN58" s="437">
        <v>46116</v>
      </c>
      <c r="AO58" s="430" t="s">
        <v>66</v>
      </c>
      <c r="AP58" s="430" t="s">
        <v>393</v>
      </c>
      <c r="AQ58" s="430" t="s">
        <v>80</v>
      </c>
      <c r="AR58" s="430" t="s">
        <v>394</v>
      </c>
      <c r="AS58" s="430" t="s">
        <v>395</v>
      </c>
      <c r="AT58" s="430" t="s">
        <v>395</v>
      </c>
      <c r="AU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7">
        <v>46116</v>
      </c>
      <c r="AX58" s="433" t="s">
        <v>84</v>
      </c>
      <c r="AY58" s="437">
        <v>46129</v>
      </c>
      <c r="AZ58" s="442">
        <v>7</v>
      </c>
      <c r="BA58" s="437">
        <v>46123</v>
      </c>
      <c r="BB58" s="433">
        <v>2026</v>
      </c>
      <c r="BC58" s="430">
        <v>4</v>
      </c>
      <c r="BD58" s="430">
        <v>15</v>
      </c>
      <c r="BE58" s="431">
        <v>36</v>
      </c>
      <c r="BF58" s="431">
        <v>864</v>
      </c>
      <c r="BG58" s="431" t="s">
        <v>108</v>
      </c>
      <c r="BH58" s="431" t="s">
        <v>109</v>
      </c>
      <c r="BI58" s="430" t="s">
        <v>197</v>
      </c>
      <c r="BJ58" s="430" t="s">
        <v>197</v>
      </c>
      <c r="BK58" s="430" t="s">
        <v>197</v>
      </c>
      <c r="BL58" s="430" t="s">
        <v>197</v>
      </c>
      <c r="BM58" s="430" t="s">
        <v>197</v>
      </c>
      <c r="BN58" s="430" t="s">
        <v>197</v>
      </c>
      <c r="BO58" s="430" t="s">
        <v>197</v>
      </c>
      <c r="BP58" s="430" t="s">
        <v>197</v>
      </c>
      <c r="BQ58" s="430" t="s">
        <v>197</v>
      </c>
      <c r="BR58" s="430" t="s">
        <v>197</v>
      </c>
      <c r="BS58" s="430" t="s">
        <v>197</v>
      </c>
      <c r="BT58" s="430" t="s">
        <v>197</v>
      </c>
      <c r="BU58" s="430" t="s">
        <v>197</v>
      </c>
      <c r="BV58" s="430" t="s">
        <v>197</v>
      </c>
      <c r="BW58" s="430" t="s">
        <v>197</v>
      </c>
      <c r="BX58" s="430" t="s">
        <v>197</v>
      </c>
      <c r="BY58" s="430" t="s">
        <v>197</v>
      </c>
      <c r="BZ58" s="430" t="s">
        <v>197</v>
      </c>
      <c r="CA58" s="430" t="s">
        <v>197</v>
      </c>
      <c r="CB58" s="430" t="s">
        <v>197</v>
      </c>
      <c r="CC58" s="430" t="s">
        <v>197</v>
      </c>
      <c r="CD58" s="430" t="s">
        <v>197</v>
      </c>
      <c r="CE58" s="430" t="s">
        <v>197</v>
      </c>
      <c r="CF58" s="430" t="s">
        <v>197</v>
      </c>
      <c r="CG58" s="430" t="s">
        <v>197</v>
      </c>
      <c r="CH58" s="430" t="s">
        <v>197</v>
      </c>
      <c r="CI58" s="430" t="s">
        <v>197</v>
      </c>
      <c r="CJ58" s="430" t="s">
        <v>197</v>
      </c>
      <c r="CK58" s="430" t="s">
        <v>197</v>
      </c>
      <c r="CL58" s="430" t="s">
        <v>197</v>
      </c>
      <c r="CM58" s="430" t="s">
        <v>197</v>
      </c>
    </row>
    <row r="59" spans="1:91" ht="10.5">
      <c r="A59" s="462" t="s">
        <v>396</v>
      </c>
      <c r="B59" s="462" t="s">
        <v>111</v>
      </c>
      <c r="C59" s="462" t="s">
        <v>112</v>
      </c>
      <c r="D59" s="462" t="s">
        <v>113</v>
      </c>
      <c r="E59" s="462" t="s">
        <v>64</v>
      </c>
      <c r="F59" s="462" t="s">
        <v>114</v>
      </c>
      <c r="G59" s="462" t="s">
        <v>66</v>
      </c>
      <c r="H59" s="462" t="s">
        <v>115</v>
      </c>
      <c r="I59" s="439" t="s">
        <v>68</v>
      </c>
      <c r="J59" s="430" t="s">
        <v>116</v>
      </c>
      <c r="K59" s="430" t="s">
        <v>266</v>
      </c>
      <c r="L59" s="430"/>
      <c r="M59" s="430" t="s">
        <v>68</v>
      </c>
      <c r="N59" s="432" t="s">
        <v>68</v>
      </c>
      <c r="O59" s="430" t="s">
        <v>70</v>
      </c>
      <c r="P59" s="430" t="s">
        <v>118</v>
      </c>
      <c r="Q59" s="430" t="s">
        <v>119</v>
      </c>
      <c r="R59" s="431" t="s">
        <v>73</v>
      </c>
      <c r="S59" s="442" t="s">
        <v>120</v>
      </c>
      <c r="T59" s="433">
        <v>640</v>
      </c>
      <c r="U59" s="1088">
        <v>1152</v>
      </c>
      <c r="V59" s="434">
        <v>0.73699999999999999</v>
      </c>
      <c r="W59" s="435">
        <v>32</v>
      </c>
      <c r="X59" s="1040">
        <v>2</v>
      </c>
      <c r="Y59" s="430" t="s">
        <v>75</v>
      </c>
      <c r="Z59" s="430" t="s">
        <v>75</v>
      </c>
      <c r="AA59" s="430"/>
      <c r="AB59" s="437">
        <v>46039</v>
      </c>
      <c r="AC59" s="438">
        <v>3</v>
      </c>
      <c r="AD59" s="439" t="s">
        <v>397</v>
      </c>
      <c r="AE59" s="430"/>
      <c r="AF59" s="430" t="s">
        <v>122</v>
      </c>
      <c r="AG59" s="430" t="s">
        <v>123</v>
      </c>
      <c r="AH59" s="430" t="s">
        <v>124</v>
      </c>
      <c r="AI59" s="437">
        <v>46043</v>
      </c>
      <c r="AJ59" s="437">
        <v>46046</v>
      </c>
      <c r="AK59" s="441">
        <v>46046</v>
      </c>
      <c r="AL59" s="437">
        <v>46081</v>
      </c>
      <c r="AM59" s="437">
        <v>46091</v>
      </c>
      <c r="AN59" s="437">
        <v>46092</v>
      </c>
      <c r="AO59" s="430" t="s">
        <v>66</v>
      </c>
      <c r="AP59" s="430" t="s">
        <v>398</v>
      </c>
      <c r="AQ59" s="430" t="s">
        <v>161</v>
      </c>
      <c r="AR59" s="430" t="s">
        <v>399</v>
      </c>
      <c r="AS59" s="430">
        <v>263794612</v>
      </c>
      <c r="AT59" s="430">
        <v>263794612</v>
      </c>
      <c r="AU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7">
        <v>46092</v>
      </c>
      <c r="AX59" s="433" t="s">
        <v>84</v>
      </c>
      <c r="AY59" s="437">
        <v>46097</v>
      </c>
      <c r="AZ59" s="442">
        <v>9</v>
      </c>
      <c r="BA59" s="437">
        <v>46101</v>
      </c>
      <c r="BB59" s="433">
        <v>2026</v>
      </c>
      <c r="BC59" s="430">
        <v>3</v>
      </c>
      <c r="BD59" s="430">
        <v>12</v>
      </c>
      <c r="BE59" s="431">
        <v>36</v>
      </c>
      <c r="BF59" s="431">
        <v>576</v>
      </c>
      <c r="BG59" s="431" t="s">
        <v>128</v>
      </c>
      <c r="BH59" s="431" t="s">
        <v>86</v>
      </c>
      <c r="BI59" s="430" t="s">
        <v>197</v>
      </c>
      <c r="BJ59" s="430" t="s">
        <v>197</v>
      </c>
      <c r="BK59" s="430" t="s">
        <v>197</v>
      </c>
      <c r="BL59" s="430" t="s">
        <v>197</v>
      </c>
      <c r="BM59" s="430" t="s">
        <v>197</v>
      </c>
      <c r="BN59" s="430" t="s">
        <v>197</v>
      </c>
      <c r="BO59" s="430" t="s">
        <v>197</v>
      </c>
      <c r="BP59" s="430" t="s">
        <v>197</v>
      </c>
      <c r="BQ59" s="430" t="s">
        <v>197</v>
      </c>
      <c r="BR59" s="430" t="s">
        <v>197</v>
      </c>
      <c r="BS59" s="430" t="s">
        <v>197</v>
      </c>
      <c r="BT59" s="430" t="s">
        <v>197</v>
      </c>
      <c r="BU59" s="430" t="s">
        <v>197</v>
      </c>
      <c r="BV59" s="430" t="s">
        <v>197</v>
      </c>
      <c r="BW59" s="430" t="s">
        <v>197</v>
      </c>
      <c r="BX59" s="430" t="s">
        <v>197</v>
      </c>
      <c r="BY59" s="430" t="s">
        <v>197</v>
      </c>
      <c r="BZ59" s="430" t="s">
        <v>197</v>
      </c>
      <c r="CA59" s="430" t="s">
        <v>197</v>
      </c>
      <c r="CB59" s="430" t="s">
        <v>197</v>
      </c>
      <c r="CC59" s="430" t="s">
        <v>197</v>
      </c>
      <c r="CD59" s="430" t="s">
        <v>197</v>
      </c>
      <c r="CE59" s="430" t="s">
        <v>197</v>
      </c>
      <c r="CF59" s="430" t="s">
        <v>197</v>
      </c>
      <c r="CG59" s="430" t="s">
        <v>197</v>
      </c>
      <c r="CH59" s="430" t="s">
        <v>197</v>
      </c>
      <c r="CI59" s="430" t="s">
        <v>197</v>
      </c>
      <c r="CJ59" s="430" t="s">
        <v>197</v>
      </c>
      <c r="CK59" s="430" t="s">
        <v>197</v>
      </c>
      <c r="CL59" s="430" t="s">
        <v>197</v>
      </c>
      <c r="CM59" s="430" t="s">
        <v>197</v>
      </c>
    </row>
    <row r="60" spans="1:91" ht="10.5">
      <c r="A60" s="462" t="s">
        <v>400</v>
      </c>
      <c r="B60" s="462" t="s">
        <v>111</v>
      </c>
      <c r="C60" s="462" t="s">
        <v>401</v>
      </c>
      <c r="D60" s="462" t="s">
        <v>63</v>
      </c>
      <c r="E60" s="462" t="s">
        <v>144</v>
      </c>
      <c r="F60" s="462" t="s">
        <v>145</v>
      </c>
      <c r="G60" s="462" t="s">
        <v>402</v>
      </c>
      <c r="H60" s="462" t="s">
        <v>403</v>
      </c>
      <c r="I60" s="439" t="s">
        <v>68</v>
      </c>
      <c r="J60" s="430" t="s">
        <v>404</v>
      </c>
      <c r="K60" s="430"/>
      <c r="L60" s="430"/>
      <c r="M60" s="430" t="s">
        <v>68</v>
      </c>
      <c r="N60" s="432" t="s">
        <v>68</v>
      </c>
      <c r="O60" s="430" t="s">
        <v>132</v>
      </c>
      <c r="P60" s="430" t="s">
        <v>405</v>
      </c>
      <c r="Q60" s="430" t="s">
        <v>406</v>
      </c>
      <c r="R60" s="431" t="s">
        <v>73</v>
      </c>
      <c r="S60" s="442" t="s">
        <v>120</v>
      </c>
      <c r="T60" s="433">
        <v>510</v>
      </c>
      <c r="U60" s="1088">
        <v>2376</v>
      </c>
      <c r="V60" s="434">
        <v>1.212</v>
      </c>
      <c r="W60" s="435">
        <v>66</v>
      </c>
      <c r="X60" s="1040">
        <v>3</v>
      </c>
      <c r="Y60" s="430" t="s">
        <v>75</v>
      </c>
      <c r="Z60" s="430" t="s">
        <v>75</v>
      </c>
      <c r="AA60" s="430"/>
      <c r="AB60" s="437">
        <v>46035</v>
      </c>
      <c r="AC60" s="438">
        <v>3</v>
      </c>
      <c r="AD60" s="439" t="s">
        <v>407</v>
      </c>
      <c r="AE60" s="430"/>
      <c r="AF60" s="430" t="s">
        <v>122</v>
      </c>
      <c r="AG60" s="430" t="s">
        <v>123</v>
      </c>
      <c r="AH60" s="430" t="s">
        <v>124</v>
      </c>
      <c r="AI60" s="437">
        <v>46042</v>
      </c>
      <c r="AJ60" s="437">
        <v>46041</v>
      </c>
      <c r="AK60" s="441">
        <v>46041</v>
      </c>
      <c r="AL60" s="437">
        <v>46086</v>
      </c>
      <c r="AM60" s="437">
        <v>46079</v>
      </c>
      <c r="AN60" s="437">
        <v>46079</v>
      </c>
      <c r="AO60" s="430" t="s">
        <v>402</v>
      </c>
      <c r="AP60" s="430" t="s">
        <v>408</v>
      </c>
      <c r="AQ60" s="430" t="s">
        <v>80</v>
      </c>
      <c r="AR60" s="430" t="s">
        <v>409</v>
      </c>
      <c r="AS60" s="430" t="s">
        <v>410</v>
      </c>
      <c r="AT60" s="430" t="s">
        <v>410</v>
      </c>
      <c r="AU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7">
        <v>46079</v>
      </c>
      <c r="AX60" s="433" t="s">
        <v>84</v>
      </c>
      <c r="AY60" s="437">
        <v>46086</v>
      </c>
      <c r="AZ60" s="442" t="s">
        <v>152</v>
      </c>
      <c r="BA60" s="437">
        <v>46079</v>
      </c>
      <c r="BB60" s="433">
        <v>2026</v>
      </c>
      <c r="BC60" s="430">
        <v>2</v>
      </c>
      <c r="BD60" s="430">
        <v>9</v>
      </c>
      <c r="BE60" s="431">
        <v>36</v>
      </c>
      <c r="BF60" s="431">
        <v>792</v>
      </c>
      <c r="BG60" s="431" t="s">
        <v>108</v>
      </c>
      <c r="BH60" s="431" t="s">
        <v>86</v>
      </c>
      <c r="BI60" s="430" t="s">
        <v>197</v>
      </c>
      <c r="BJ60" s="430" t="s">
        <v>197</v>
      </c>
      <c r="BK60" s="430" t="s">
        <v>197</v>
      </c>
      <c r="BL60" s="430" t="s">
        <v>197</v>
      </c>
      <c r="BM60" s="430" t="s">
        <v>197</v>
      </c>
      <c r="BN60" s="430" t="s">
        <v>197</v>
      </c>
      <c r="BO60" s="430" t="s">
        <v>197</v>
      </c>
      <c r="BP60" s="430" t="s">
        <v>197</v>
      </c>
      <c r="BQ60" s="430" t="s">
        <v>197</v>
      </c>
      <c r="BR60" s="430" t="s">
        <v>197</v>
      </c>
      <c r="BS60" s="430" t="s">
        <v>197</v>
      </c>
      <c r="BT60" s="430" t="s">
        <v>197</v>
      </c>
      <c r="BU60" s="430" t="s">
        <v>197</v>
      </c>
      <c r="BV60" s="430" t="s">
        <v>197</v>
      </c>
      <c r="BW60" s="430" t="s">
        <v>197</v>
      </c>
      <c r="BX60" s="430" t="s">
        <v>197</v>
      </c>
      <c r="BY60" s="430" t="s">
        <v>197</v>
      </c>
      <c r="BZ60" s="430" t="s">
        <v>197</v>
      </c>
      <c r="CA60" s="430" t="s">
        <v>197</v>
      </c>
      <c r="CB60" s="430" t="s">
        <v>197</v>
      </c>
      <c r="CC60" s="430" t="s">
        <v>197</v>
      </c>
      <c r="CD60" s="430" t="s">
        <v>197</v>
      </c>
      <c r="CE60" s="430" t="s">
        <v>197</v>
      </c>
      <c r="CF60" s="430" t="s">
        <v>197</v>
      </c>
      <c r="CG60" s="430" t="s">
        <v>197</v>
      </c>
      <c r="CH60" s="430" t="s">
        <v>197</v>
      </c>
      <c r="CI60" s="430" t="s">
        <v>197</v>
      </c>
      <c r="CJ60" s="430" t="s">
        <v>197</v>
      </c>
      <c r="CK60" s="430" t="s">
        <v>197</v>
      </c>
      <c r="CL60" s="430" t="s">
        <v>197</v>
      </c>
      <c r="CM60" s="430" t="s">
        <v>197</v>
      </c>
    </row>
    <row r="61" spans="1:91" ht="10.5">
      <c r="A61" s="462" t="s">
        <v>411</v>
      </c>
      <c r="B61" s="462" t="s">
        <v>111</v>
      </c>
      <c r="C61" s="462" t="s">
        <v>168</v>
      </c>
      <c r="D61" s="462" t="s">
        <v>63</v>
      </c>
      <c r="E61" s="462" t="s">
        <v>64</v>
      </c>
      <c r="F61" s="462" t="s">
        <v>65</v>
      </c>
      <c r="G61" s="462" t="s">
        <v>66</v>
      </c>
      <c r="H61" s="462" t="s">
        <v>67</v>
      </c>
      <c r="I61" s="439" t="s">
        <v>68</v>
      </c>
      <c r="J61" s="430" t="s">
        <v>232</v>
      </c>
      <c r="K61" s="430"/>
      <c r="L61" s="430"/>
      <c r="M61" s="430" t="s">
        <v>68</v>
      </c>
      <c r="N61" s="432" t="s">
        <v>68</v>
      </c>
      <c r="O61" s="430" t="s">
        <v>170</v>
      </c>
      <c r="P61" s="430" t="s">
        <v>171</v>
      </c>
      <c r="Q61" s="430" t="s">
        <v>172</v>
      </c>
      <c r="R61" s="431" t="s">
        <v>73</v>
      </c>
      <c r="S61" s="442" t="s">
        <v>120</v>
      </c>
      <c r="T61" s="433">
        <v>555</v>
      </c>
      <c r="U61" s="1088">
        <v>660</v>
      </c>
      <c r="V61" s="434">
        <v>0.36599999999999999</v>
      </c>
      <c r="W61" s="435">
        <v>20</v>
      </c>
      <c r="X61" s="1040">
        <v>1</v>
      </c>
      <c r="Y61" s="430" t="s">
        <v>75</v>
      </c>
      <c r="Z61" s="430" t="s">
        <v>75</v>
      </c>
      <c r="AA61" s="430"/>
      <c r="AB61" s="437">
        <v>46035</v>
      </c>
      <c r="AC61" s="438">
        <v>3</v>
      </c>
      <c r="AD61" s="439" t="s">
        <v>412</v>
      </c>
      <c r="AE61" s="430"/>
      <c r="AF61" s="430" t="s">
        <v>122</v>
      </c>
      <c r="AG61" s="430" t="s">
        <v>123</v>
      </c>
      <c r="AH61" s="430" t="s">
        <v>78</v>
      </c>
      <c r="AI61" s="437">
        <v>46042</v>
      </c>
      <c r="AJ61" s="437">
        <v>46041</v>
      </c>
      <c r="AK61" s="441">
        <v>46041</v>
      </c>
      <c r="AL61" s="437">
        <v>46091</v>
      </c>
      <c r="AM61" s="437">
        <v>46090</v>
      </c>
      <c r="AN61" s="437">
        <v>46090</v>
      </c>
      <c r="AO61" s="430" t="s">
        <v>66</v>
      </c>
      <c r="AP61" s="430" t="s">
        <v>408</v>
      </c>
      <c r="AQ61" s="430" t="s">
        <v>80</v>
      </c>
      <c r="AR61" s="430" t="s">
        <v>413</v>
      </c>
      <c r="AS61" s="430" t="s">
        <v>414</v>
      </c>
      <c r="AT61" s="430" t="s">
        <v>414</v>
      </c>
      <c r="AU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7">
        <v>46090</v>
      </c>
      <c r="AX61" s="433" t="s">
        <v>84</v>
      </c>
      <c r="AY61" s="437">
        <v>46104</v>
      </c>
      <c r="AZ61" s="442">
        <v>8</v>
      </c>
      <c r="BA61" s="437">
        <v>46098</v>
      </c>
      <c r="BB61" s="433">
        <v>2026</v>
      </c>
      <c r="BC61" s="430">
        <v>3</v>
      </c>
      <c r="BD61" s="430">
        <v>12</v>
      </c>
      <c r="BE61" s="431">
        <v>33</v>
      </c>
      <c r="BF61" s="431">
        <v>660</v>
      </c>
      <c r="BG61" s="431" t="s">
        <v>108</v>
      </c>
      <c r="BH61" s="431" t="s">
        <v>86</v>
      </c>
      <c r="BI61" s="430" t="s">
        <v>197</v>
      </c>
      <c r="BJ61" s="430" t="s">
        <v>197</v>
      </c>
      <c r="BK61" s="430" t="s">
        <v>197</v>
      </c>
      <c r="BL61" s="430" t="s">
        <v>197</v>
      </c>
      <c r="BM61" s="430" t="s">
        <v>197</v>
      </c>
      <c r="BN61" s="430" t="s">
        <v>197</v>
      </c>
      <c r="BO61" s="430" t="s">
        <v>197</v>
      </c>
      <c r="BP61" s="430" t="s">
        <v>197</v>
      </c>
      <c r="BQ61" s="430" t="s">
        <v>197</v>
      </c>
      <c r="BR61" s="430" t="s">
        <v>197</v>
      </c>
      <c r="BS61" s="430" t="s">
        <v>197</v>
      </c>
      <c r="BT61" s="430" t="s">
        <v>197</v>
      </c>
      <c r="BU61" s="430" t="s">
        <v>197</v>
      </c>
      <c r="BV61" s="430" t="s">
        <v>197</v>
      </c>
      <c r="BW61" s="430" t="s">
        <v>197</v>
      </c>
      <c r="BX61" s="430" t="s">
        <v>197</v>
      </c>
      <c r="BY61" s="430" t="s">
        <v>197</v>
      </c>
      <c r="BZ61" s="430" t="s">
        <v>197</v>
      </c>
      <c r="CA61" s="430" t="s">
        <v>197</v>
      </c>
      <c r="CB61" s="430" t="s">
        <v>197</v>
      </c>
      <c r="CC61" s="430" t="s">
        <v>197</v>
      </c>
      <c r="CD61" s="430" t="s">
        <v>197</v>
      </c>
      <c r="CE61" s="430" t="s">
        <v>197</v>
      </c>
      <c r="CF61" s="430" t="s">
        <v>197</v>
      </c>
      <c r="CG61" s="430" t="s">
        <v>197</v>
      </c>
      <c r="CH61" s="430" t="s">
        <v>197</v>
      </c>
      <c r="CI61" s="430" t="s">
        <v>197</v>
      </c>
      <c r="CJ61" s="430" t="s">
        <v>197</v>
      </c>
      <c r="CK61" s="430" t="s">
        <v>197</v>
      </c>
      <c r="CL61" s="430" t="s">
        <v>197</v>
      </c>
      <c r="CM61" s="430" t="s">
        <v>197</v>
      </c>
    </row>
    <row r="62" spans="1:91" ht="10.5">
      <c r="A62" s="462" t="s">
        <v>415</v>
      </c>
      <c r="B62" s="462" t="s">
        <v>111</v>
      </c>
      <c r="C62" s="462" t="s">
        <v>168</v>
      </c>
      <c r="D62" s="462" t="s">
        <v>63</v>
      </c>
      <c r="E62" s="462" t="s">
        <v>64</v>
      </c>
      <c r="F62" s="462" t="s">
        <v>65</v>
      </c>
      <c r="G62" s="462" t="s">
        <v>66</v>
      </c>
      <c r="H62" s="462" t="s">
        <v>67</v>
      </c>
      <c r="I62" s="439" t="s">
        <v>68</v>
      </c>
      <c r="J62" s="430" t="s">
        <v>232</v>
      </c>
      <c r="K62" s="430"/>
      <c r="L62" s="430"/>
      <c r="M62" s="430" t="s">
        <v>68</v>
      </c>
      <c r="N62" s="432" t="s">
        <v>68</v>
      </c>
      <c r="O62" s="430" t="s">
        <v>170</v>
      </c>
      <c r="P62" s="430" t="s">
        <v>171</v>
      </c>
      <c r="Q62" s="430" t="s">
        <v>172</v>
      </c>
      <c r="R62" s="431" t="s">
        <v>73</v>
      </c>
      <c r="S62" s="442" t="s">
        <v>120</v>
      </c>
      <c r="T62" s="433">
        <v>555</v>
      </c>
      <c r="U62" s="1088">
        <v>1320</v>
      </c>
      <c r="V62" s="434">
        <v>0.73299999999999998</v>
      </c>
      <c r="W62" s="435">
        <v>40</v>
      </c>
      <c r="X62" s="1040">
        <v>2</v>
      </c>
      <c r="Y62" s="430" t="s">
        <v>75</v>
      </c>
      <c r="Z62" s="430" t="s">
        <v>75</v>
      </c>
      <c r="AA62" s="430"/>
      <c r="AB62" s="437">
        <v>46035</v>
      </c>
      <c r="AC62" s="438">
        <v>3</v>
      </c>
      <c r="AD62" s="439" t="s">
        <v>416</v>
      </c>
      <c r="AE62" s="430"/>
      <c r="AF62" s="430" t="s">
        <v>122</v>
      </c>
      <c r="AG62" s="430" t="s">
        <v>123</v>
      </c>
      <c r="AH62" s="430" t="s">
        <v>78</v>
      </c>
      <c r="AI62" s="437">
        <v>46042</v>
      </c>
      <c r="AJ62" s="437">
        <v>46041</v>
      </c>
      <c r="AK62" s="441">
        <v>46041</v>
      </c>
      <c r="AL62" s="437">
        <v>46091</v>
      </c>
      <c r="AM62" s="437">
        <v>46090</v>
      </c>
      <c r="AN62" s="437">
        <v>46090</v>
      </c>
      <c r="AO62" s="430" t="s">
        <v>66</v>
      </c>
      <c r="AP62" s="430" t="s">
        <v>408</v>
      </c>
      <c r="AQ62" s="430" t="s">
        <v>80</v>
      </c>
      <c r="AR62" s="430" t="s">
        <v>413</v>
      </c>
      <c r="AS62" s="430" t="s">
        <v>414</v>
      </c>
      <c r="AT62" s="430" t="s">
        <v>414</v>
      </c>
      <c r="AU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7">
        <v>46090</v>
      </c>
      <c r="AX62" s="433" t="s">
        <v>84</v>
      </c>
      <c r="AY62" s="437">
        <v>46104</v>
      </c>
      <c r="AZ62" s="442">
        <v>8</v>
      </c>
      <c r="BA62" s="437">
        <v>46098</v>
      </c>
      <c r="BB62" s="433">
        <v>2026</v>
      </c>
      <c r="BC62" s="430">
        <v>3</v>
      </c>
      <c r="BD62" s="430">
        <v>12</v>
      </c>
      <c r="BE62" s="431">
        <v>33</v>
      </c>
      <c r="BF62" s="431">
        <v>660</v>
      </c>
      <c r="BG62" s="431" t="s">
        <v>108</v>
      </c>
      <c r="BH62" s="431" t="s">
        <v>86</v>
      </c>
      <c r="BI62" s="430" t="s">
        <v>197</v>
      </c>
      <c r="BJ62" s="430" t="s">
        <v>197</v>
      </c>
      <c r="BK62" s="430" t="s">
        <v>197</v>
      </c>
      <c r="BL62" s="430" t="s">
        <v>197</v>
      </c>
      <c r="BM62" s="430" t="s">
        <v>197</v>
      </c>
      <c r="BN62" s="430" t="s">
        <v>197</v>
      </c>
      <c r="BO62" s="430" t="s">
        <v>197</v>
      </c>
      <c r="BP62" s="430" t="s">
        <v>197</v>
      </c>
      <c r="BQ62" s="430" t="s">
        <v>197</v>
      </c>
      <c r="BR62" s="430" t="s">
        <v>197</v>
      </c>
      <c r="BS62" s="430" t="s">
        <v>197</v>
      </c>
      <c r="BT62" s="430" t="s">
        <v>197</v>
      </c>
      <c r="BU62" s="430" t="s">
        <v>197</v>
      </c>
      <c r="BV62" s="430" t="s">
        <v>197</v>
      </c>
      <c r="BW62" s="430" t="s">
        <v>197</v>
      </c>
      <c r="BX62" s="430" t="s">
        <v>197</v>
      </c>
      <c r="BY62" s="430" t="s">
        <v>197</v>
      </c>
      <c r="BZ62" s="430" t="s">
        <v>197</v>
      </c>
      <c r="CA62" s="430" t="s">
        <v>197</v>
      </c>
      <c r="CB62" s="430" t="s">
        <v>197</v>
      </c>
      <c r="CC62" s="430" t="s">
        <v>197</v>
      </c>
      <c r="CD62" s="430" t="s">
        <v>197</v>
      </c>
      <c r="CE62" s="430" t="s">
        <v>197</v>
      </c>
      <c r="CF62" s="430" t="s">
        <v>197</v>
      </c>
      <c r="CG62" s="430" t="s">
        <v>197</v>
      </c>
      <c r="CH62" s="430" t="s">
        <v>197</v>
      </c>
      <c r="CI62" s="430" t="s">
        <v>197</v>
      </c>
      <c r="CJ62" s="430" t="s">
        <v>197</v>
      </c>
      <c r="CK62" s="430" t="s">
        <v>197</v>
      </c>
      <c r="CL62" s="430" t="s">
        <v>197</v>
      </c>
      <c r="CM62" s="430" t="s">
        <v>197</v>
      </c>
    </row>
    <row r="63" spans="1:91" ht="10.5">
      <c r="A63" s="462" t="s">
        <v>417</v>
      </c>
      <c r="B63" s="462" t="s">
        <v>61</v>
      </c>
      <c r="C63" s="462" t="s">
        <v>418</v>
      </c>
      <c r="D63" s="462" t="s">
        <v>63</v>
      </c>
      <c r="E63" s="462" t="s">
        <v>64</v>
      </c>
      <c r="F63" s="462" t="s">
        <v>100</v>
      </c>
      <c r="G63" s="462" t="s">
        <v>66</v>
      </c>
      <c r="H63" s="462" t="s">
        <v>67</v>
      </c>
      <c r="I63" s="439" t="s">
        <v>68</v>
      </c>
      <c r="J63" s="430" t="s">
        <v>419</v>
      </c>
      <c r="K63" s="430"/>
      <c r="L63" s="430"/>
      <c r="M63" s="430" t="s">
        <v>68</v>
      </c>
      <c r="N63" s="432" t="s">
        <v>68</v>
      </c>
      <c r="O63" s="430" t="s">
        <v>70</v>
      </c>
      <c r="P63" s="430" t="s">
        <v>420</v>
      </c>
      <c r="Q63" s="430" t="s">
        <v>421</v>
      </c>
      <c r="R63" s="431" t="s">
        <v>73</v>
      </c>
      <c r="S63" s="442" t="s">
        <v>120</v>
      </c>
      <c r="T63" s="433">
        <v>505</v>
      </c>
      <c r="U63" s="1088">
        <v>1728</v>
      </c>
      <c r="V63" s="434">
        <v>0.873</v>
      </c>
      <c r="W63" s="435">
        <v>48</v>
      </c>
      <c r="X63" s="1040">
        <v>2</v>
      </c>
      <c r="Y63" s="430" t="s">
        <v>75</v>
      </c>
      <c r="Z63" s="430" t="s">
        <v>75</v>
      </c>
      <c r="AA63" s="430"/>
      <c r="AB63" s="437">
        <v>46031</v>
      </c>
      <c r="AC63" s="438">
        <v>2</v>
      </c>
      <c r="AD63" s="439" t="s">
        <v>422</v>
      </c>
      <c r="AE63" s="430"/>
      <c r="AF63" s="430" t="s">
        <v>77</v>
      </c>
      <c r="AG63" s="430" t="s">
        <v>61</v>
      </c>
      <c r="AH63" s="430" t="s">
        <v>105</v>
      </c>
      <c r="AI63" s="437">
        <v>46036</v>
      </c>
      <c r="AJ63" s="437">
        <v>46038</v>
      </c>
      <c r="AK63" s="441">
        <v>46038</v>
      </c>
      <c r="AL63" s="437">
        <v>46077</v>
      </c>
      <c r="AM63" s="437">
        <v>46094</v>
      </c>
      <c r="AN63" s="437">
        <v>46094</v>
      </c>
      <c r="AO63" s="430" t="s">
        <v>66</v>
      </c>
      <c r="AP63" s="430" t="s">
        <v>338</v>
      </c>
      <c r="AQ63" s="430" t="s">
        <v>80</v>
      </c>
      <c r="AR63" s="430" t="s">
        <v>423</v>
      </c>
      <c r="AS63" s="430" t="s">
        <v>424</v>
      </c>
      <c r="AT63" s="430" t="s">
        <v>424</v>
      </c>
      <c r="AU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7">
        <v>46094</v>
      </c>
      <c r="AX63" s="433" t="s">
        <v>84</v>
      </c>
      <c r="AY63" s="437">
        <v>46104</v>
      </c>
      <c r="AZ63" s="442">
        <v>7</v>
      </c>
      <c r="BA63" s="437">
        <v>46101</v>
      </c>
      <c r="BB63" s="433">
        <v>2026</v>
      </c>
      <c r="BC63" s="430">
        <v>3</v>
      </c>
      <c r="BD63" s="430">
        <v>12</v>
      </c>
      <c r="BE63" s="431">
        <v>36</v>
      </c>
      <c r="BF63" s="431">
        <v>864</v>
      </c>
      <c r="BG63" s="431" t="s">
        <v>85</v>
      </c>
      <c r="BH63" s="431" t="s">
        <v>109</v>
      </c>
      <c r="BI63" s="430" t="s">
        <v>197</v>
      </c>
      <c r="BJ63" s="430" t="s">
        <v>197</v>
      </c>
      <c r="BK63" s="430" t="s">
        <v>197</v>
      </c>
      <c r="BL63" s="430" t="s">
        <v>197</v>
      </c>
      <c r="BM63" s="430" t="s">
        <v>197</v>
      </c>
      <c r="BN63" s="430" t="s">
        <v>197</v>
      </c>
      <c r="BO63" s="430" t="s">
        <v>197</v>
      </c>
      <c r="BP63" s="430" t="s">
        <v>197</v>
      </c>
      <c r="BQ63" s="430" t="s">
        <v>197</v>
      </c>
      <c r="BR63" s="430" t="s">
        <v>197</v>
      </c>
      <c r="BS63" s="430" t="s">
        <v>197</v>
      </c>
      <c r="BT63" s="430" t="s">
        <v>197</v>
      </c>
      <c r="BU63" s="430" t="s">
        <v>197</v>
      </c>
      <c r="BV63" s="430" t="s">
        <v>197</v>
      </c>
      <c r="BW63" s="430" t="s">
        <v>197</v>
      </c>
      <c r="BX63" s="430" t="s">
        <v>197</v>
      </c>
      <c r="BY63" s="430" t="s">
        <v>197</v>
      </c>
      <c r="BZ63" s="430" t="s">
        <v>197</v>
      </c>
      <c r="CA63" s="430" t="s">
        <v>197</v>
      </c>
      <c r="CB63" s="430" t="s">
        <v>197</v>
      </c>
      <c r="CC63" s="430" t="s">
        <v>197</v>
      </c>
      <c r="CD63" s="430" t="s">
        <v>197</v>
      </c>
      <c r="CE63" s="430" t="s">
        <v>197</v>
      </c>
      <c r="CF63" s="430" t="s">
        <v>197</v>
      </c>
      <c r="CG63" s="430" t="s">
        <v>197</v>
      </c>
      <c r="CH63" s="430" t="s">
        <v>197</v>
      </c>
      <c r="CI63" s="430" t="s">
        <v>197</v>
      </c>
      <c r="CJ63" s="430" t="s">
        <v>197</v>
      </c>
      <c r="CK63" s="430" t="s">
        <v>197</v>
      </c>
      <c r="CL63" s="430" t="s">
        <v>197</v>
      </c>
      <c r="CM63" s="430" t="s">
        <v>197</v>
      </c>
    </row>
    <row r="64" spans="1:91" ht="10.5">
      <c r="A64" s="462" t="s">
        <v>425</v>
      </c>
      <c r="B64" s="462" t="s">
        <v>61</v>
      </c>
      <c r="C64" s="462" t="s">
        <v>326</v>
      </c>
      <c r="D64" s="462" t="s">
        <v>113</v>
      </c>
      <c r="E64" s="462" t="s">
        <v>64</v>
      </c>
      <c r="F64" s="462" t="s">
        <v>100</v>
      </c>
      <c r="G64" s="462" t="s">
        <v>66</v>
      </c>
      <c r="H64" s="462" t="s">
        <v>67</v>
      </c>
      <c r="I64" s="439" t="s">
        <v>68</v>
      </c>
      <c r="J64" s="430" t="s">
        <v>327</v>
      </c>
      <c r="K64" s="430" t="s">
        <v>328</v>
      </c>
      <c r="L64" s="430"/>
      <c r="M64" s="430" t="s">
        <v>68</v>
      </c>
      <c r="N64" s="432" t="s">
        <v>68</v>
      </c>
      <c r="O64" s="430" t="s">
        <v>70</v>
      </c>
      <c r="P64" s="430" t="s">
        <v>329</v>
      </c>
      <c r="Q64" s="430" t="s">
        <v>330</v>
      </c>
      <c r="R64" s="431" t="s">
        <v>331</v>
      </c>
      <c r="S64" s="442" t="s">
        <v>120</v>
      </c>
      <c r="T64" s="433">
        <v>625</v>
      </c>
      <c r="U64" s="1088">
        <v>7200</v>
      </c>
      <c r="V64" s="434">
        <v>4.5</v>
      </c>
      <c r="W64" s="435">
        <v>200</v>
      </c>
      <c r="X64" s="1040">
        <v>10</v>
      </c>
      <c r="Y64" s="430" t="s">
        <v>75</v>
      </c>
      <c r="Z64" s="430" t="s">
        <v>75</v>
      </c>
      <c r="AA64" s="430"/>
      <c r="AB64" s="437">
        <v>46034</v>
      </c>
      <c r="AC64" s="438">
        <v>3</v>
      </c>
      <c r="AD64" s="439" t="s">
        <v>426</v>
      </c>
      <c r="AE64" s="430"/>
      <c r="AF64" s="430" t="s">
        <v>77</v>
      </c>
      <c r="AG64" s="430" t="s">
        <v>61</v>
      </c>
      <c r="AH64" s="430" t="s">
        <v>105</v>
      </c>
      <c r="AI64" s="437">
        <v>46040</v>
      </c>
      <c r="AJ64" s="437">
        <v>46040</v>
      </c>
      <c r="AK64" s="441">
        <v>46040</v>
      </c>
      <c r="AL64" s="437">
        <v>46084</v>
      </c>
      <c r="AM64" s="437">
        <v>46103</v>
      </c>
      <c r="AN64" s="437">
        <v>46103</v>
      </c>
      <c r="AO64" s="430" t="s">
        <v>66</v>
      </c>
      <c r="AP64" s="430" t="s">
        <v>427</v>
      </c>
      <c r="AQ64" s="430" t="s">
        <v>161</v>
      </c>
      <c r="AR64" s="430" t="s">
        <v>428</v>
      </c>
      <c r="AS64" s="430" t="s">
        <v>429</v>
      </c>
      <c r="AT64" s="430" t="s">
        <v>429</v>
      </c>
      <c r="AU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7">
        <v>46103</v>
      </c>
      <c r="AX64" s="433" t="s">
        <v>84</v>
      </c>
      <c r="AY64" s="437">
        <v>46118</v>
      </c>
      <c r="AZ64" s="442">
        <v>7</v>
      </c>
      <c r="BA64" s="437">
        <v>46110</v>
      </c>
      <c r="BB64" s="433">
        <v>2026</v>
      </c>
      <c r="BC64" s="430">
        <v>3</v>
      </c>
      <c r="BD64" s="430">
        <v>13</v>
      </c>
      <c r="BE64" s="431">
        <v>36</v>
      </c>
      <c r="BF64" s="431">
        <v>720</v>
      </c>
      <c r="BG64" s="431" t="s">
        <v>128</v>
      </c>
      <c r="BH64" s="431" t="s">
        <v>109</v>
      </c>
      <c r="BI64" s="430" t="s">
        <v>197</v>
      </c>
      <c r="BJ64" s="430" t="s">
        <v>197</v>
      </c>
      <c r="BK64" s="430" t="s">
        <v>197</v>
      </c>
      <c r="BL64" s="430" t="s">
        <v>197</v>
      </c>
      <c r="BM64" s="430" t="s">
        <v>197</v>
      </c>
      <c r="BN64" s="430" t="s">
        <v>197</v>
      </c>
      <c r="BO64" s="430" t="s">
        <v>197</v>
      </c>
      <c r="BP64" s="430" t="s">
        <v>197</v>
      </c>
      <c r="BQ64" s="430" t="s">
        <v>197</v>
      </c>
      <c r="BR64" s="430" t="s">
        <v>197</v>
      </c>
      <c r="BS64" s="430" t="s">
        <v>197</v>
      </c>
      <c r="BT64" s="430" t="s">
        <v>197</v>
      </c>
      <c r="BU64" s="430" t="s">
        <v>197</v>
      </c>
      <c r="BV64" s="430" t="s">
        <v>197</v>
      </c>
      <c r="BW64" s="430" t="s">
        <v>197</v>
      </c>
      <c r="BX64" s="430" t="s">
        <v>197</v>
      </c>
      <c r="BY64" s="430" t="s">
        <v>197</v>
      </c>
      <c r="BZ64" s="430" t="s">
        <v>197</v>
      </c>
      <c r="CA64" s="430" t="s">
        <v>197</v>
      </c>
      <c r="CB64" s="430" t="s">
        <v>197</v>
      </c>
      <c r="CC64" s="430" t="s">
        <v>197</v>
      </c>
      <c r="CD64" s="430" t="s">
        <v>197</v>
      </c>
      <c r="CE64" s="430" t="s">
        <v>197</v>
      </c>
      <c r="CF64" s="430" t="s">
        <v>197</v>
      </c>
      <c r="CG64" s="430" t="s">
        <v>197</v>
      </c>
      <c r="CH64" s="430" t="s">
        <v>197</v>
      </c>
      <c r="CI64" s="430" t="s">
        <v>197</v>
      </c>
      <c r="CJ64" s="430" t="s">
        <v>197</v>
      </c>
      <c r="CK64" s="430" t="s">
        <v>197</v>
      </c>
      <c r="CL64" s="430" t="s">
        <v>197</v>
      </c>
      <c r="CM64" s="430" t="s">
        <v>197</v>
      </c>
    </row>
    <row r="65" spans="1:91" ht="10.5">
      <c r="A65" s="462" t="s">
        <v>430</v>
      </c>
      <c r="B65" s="462" t="s">
        <v>111</v>
      </c>
      <c r="C65" s="462" t="s">
        <v>352</v>
      </c>
      <c r="D65" s="462" t="s">
        <v>113</v>
      </c>
      <c r="E65" s="462" t="s">
        <v>64</v>
      </c>
      <c r="F65" s="462" t="s">
        <v>65</v>
      </c>
      <c r="G65" s="462" t="s">
        <v>66</v>
      </c>
      <c r="H65" s="462" t="s">
        <v>67</v>
      </c>
      <c r="I65" s="439" t="s">
        <v>68</v>
      </c>
      <c r="J65" s="430" t="s">
        <v>353</v>
      </c>
      <c r="K65" s="430" t="s">
        <v>354</v>
      </c>
      <c r="L65" s="430"/>
      <c r="M65" s="430" t="s">
        <v>68</v>
      </c>
      <c r="N65" s="432" t="s">
        <v>68</v>
      </c>
      <c r="O65" s="430" t="s">
        <v>70</v>
      </c>
      <c r="P65" s="430" t="s">
        <v>218</v>
      </c>
      <c r="Q65" s="430" t="s">
        <v>219</v>
      </c>
      <c r="R65" s="431" t="s">
        <v>73</v>
      </c>
      <c r="S65" s="442" t="s">
        <v>120</v>
      </c>
      <c r="T65" s="433">
        <v>625</v>
      </c>
      <c r="U65" s="1088">
        <v>2880</v>
      </c>
      <c r="V65" s="434">
        <v>1.8</v>
      </c>
      <c r="W65" s="435">
        <v>80</v>
      </c>
      <c r="X65" s="1040">
        <v>4</v>
      </c>
      <c r="Y65" s="430" t="s">
        <v>75</v>
      </c>
      <c r="Z65" s="430" t="s">
        <v>75</v>
      </c>
      <c r="AA65" s="430"/>
      <c r="AB65" s="437">
        <v>46041</v>
      </c>
      <c r="AC65" s="438">
        <v>4</v>
      </c>
      <c r="AD65" s="439" t="s">
        <v>431</v>
      </c>
      <c r="AE65" s="430"/>
      <c r="AF65" s="430" t="s">
        <v>122</v>
      </c>
      <c r="AG65" s="430" t="s">
        <v>123</v>
      </c>
      <c r="AH65" s="430" t="s">
        <v>356</v>
      </c>
      <c r="AI65" s="437">
        <v>46047</v>
      </c>
      <c r="AJ65" s="437">
        <v>46045</v>
      </c>
      <c r="AK65" s="441">
        <v>46045</v>
      </c>
      <c r="AL65" s="437">
        <v>46084</v>
      </c>
      <c r="AM65" s="437">
        <v>46092</v>
      </c>
      <c r="AN65" s="437">
        <v>46092</v>
      </c>
      <c r="AO65" s="430" t="s">
        <v>66</v>
      </c>
      <c r="AP65" s="430" t="s">
        <v>432</v>
      </c>
      <c r="AQ65" s="430" t="s">
        <v>161</v>
      </c>
      <c r="AR65" s="430" t="s">
        <v>433</v>
      </c>
      <c r="AS65" s="430" t="s">
        <v>434</v>
      </c>
      <c r="AT65" s="430" t="s">
        <v>434</v>
      </c>
      <c r="AU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7">
        <v>46092</v>
      </c>
      <c r="AX65" s="433" t="s">
        <v>84</v>
      </c>
      <c r="AY65" s="437">
        <v>46105</v>
      </c>
      <c r="AZ65" s="442">
        <v>8</v>
      </c>
      <c r="BA65" s="437">
        <v>46100</v>
      </c>
      <c r="BB65" s="433">
        <v>2026</v>
      </c>
      <c r="BC65" s="430">
        <v>3</v>
      </c>
      <c r="BD65" s="430">
        <v>12</v>
      </c>
      <c r="BE65" s="431">
        <v>36</v>
      </c>
      <c r="BF65" s="431">
        <v>720</v>
      </c>
      <c r="BG65" s="431" t="s">
        <v>128</v>
      </c>
      <c r="BH65" s="431" t="s">
        <v>109</v>
      </c>
      <c r="BI65" s="430" t="s">
        <v>197</v>
      </c>
      <c r="BJ65" s="430" t="s">
        <v>197</v>
      </c>
      <c r="BK65" s="430" t="s">
        <v>197</v>
      </c>
      <c r="BL65" s="430" t="s">
        <v>197</v>
      </c>
      <c r="BM65" s="430" t="s">
        <v>197</v>
      </c>
      <c r="BN65" s="430" t="s">
        <v>197</v>
      </c>
      <c r="BO65" s="430" t="s">
        <v>197</v>
      </c>
      <c r="BP65" s="430" t="s">
        <v>197</v>
      </c>
      <c r="BQ65" s="430" t="s">
        <v>197</v>
      </c>
      <c r="BR65" s="430" t="s">
        <v>197</v>
      </c>
      <c r="BS65" s="430" t="s">
        <v>197</v>
      </c>
      <c r="BT65" s="430" t="s">
        <v>197</v>
      </c>
      <c r="BU65" s="430" t="s">
        <v>197</v>
      </c>
      <c r="BV65" s="430" t="s">
        <v>197</v>
      </c>
      <c r="BW65" s="430" t="s">
        <v>197</v>
      </c>
      <c r="BX65" s="430" t="s">
        <v>197</v>
      </c>
      <c r="BY65" s="430" t="s">
        <v>197</v>
      </c>
      <c r="BZ65" s="430" t="s">
        <v>197</v>
      </c>
      <c r="CA65" s="430" t="s">
        <v>197</v>
      </c>
      <c r="CB65" s="430" t="s">
        <v>197</v>
      </c>
      <c r="CC65" s="430" t="s">
        <v>197</v>
      </c>
      <c r="CD65" s="430" t="s">
        <v>197</v>
      </c>
      <c r="CE65" s="430" t="s">
        <v>197</v>
      </c>
      <c r="CF65" s="430" t="s">
        <v>197</v>
      </c>
      <c r="CG65" s="430" t="s">
        <v>197</v>
      </c>
      <c r="CH65" s="430" t="s">
        <v>197</v>
      </c>
      <c r="CI65" s="430" t="s">
        <v>197</v>
      </c>
      <c r="CJ65" s="430" t="s">
        <v>197</v>
      </c>
      <c r="CK65" s="430" t="s">
        <v>197</v>
      </c>
      <c r="CL65" s="430" t="s">
        <v>197</v>
      </c>
      <c r="CM65" s="430" t="s">
        <v>197</v>
      </c>
    </row>
    <row r="66" spans="1:91" ht="10.5">
      <c r="A66" s="462" t="s">
        <v>435</v>
      </c>
      <c r="B66" s="462" t="s">
        <v>111</v>
      </c>
      <c r="C66" s="462" t="s">
        <v>352</v>
      </c>
      <c r="D66" s="462" t="s">
        <v>113</v>
      </c>
      <c r="E66" s="462" t="s">
        <v>64</v>
      </c>
      <c r="F66" s="462" t="s">
        <v>65</v>
      </c>
      <c r="G66" s="462" t="s">
        <v>66</v>
      </c>
      <c r="H66" s="462" t="s">
        <v>67</v>
      </c>
      <c r="I66" s="439" t="s">
        <v>68</v>
      </c>
      <c r="J66" s="430" t="s">
        <v>353</v>
      </c>
      <c r="K66" s="430" t="s">
        <v>354</v>
      </c>
      <c r="L66" s="430"/>
      <c r="M66" s="430" t="s">
        <v>68</v>
      </c>
      <c r="N66" s="432" t="s">
        <v>68</v>
      </c>
      <c r="O66" s="430" t="s">
        <v>70</v>
      </c>
      <c r="P66" s="430" t="s">
        <v>218</v>
      </c>
      <c r="Q66" s="430" t="s">
        <v>219</v>
      </c>
      <c r="R66" s="431" t="s">
        <v>73</v>
      </c>
      <c r="S66" s="442" t="s">
        <v>120</v>
      </c>
      <c r="T66" s="433">
        <v>625</v>
      </c>
      <c r="U66" s="1088">
        <v>1440</v>
      </c>
      <c r="V66" s="434">
        <v>0.9</v>
      </c>
      <c r="W66" s="435">
        <v>40</v>
      </c>
      <c r="X66" s="1040">
        <v>2</v>
      </c>
      <c r="Y66" s="430" t="s">
        <v>75</v>
      </c>
      <c r="Z66" s="430" t="s">
        <v>75</v>
      </c>
      <c r="AA66" s="430"/>
      <c r="AB66" s="437">
        <v>46041</v>
      </c>
      <c r="AC66" s="438">
        <v>4</v>
      </c>
      <c r="AD66" s="439" t="s">
        <v>436</v>
      </c>
      <c r="AE66" s="430"/>
      <c r="AF66" s="430" t="s">
        <v>122</v>
      </c>
      <c r="AG66" s="430" t="s">
        <v>123</v>
      </c>
      <c r="AH66" s="430" t="s">
        <v>356</v>
      </c>
      <c r="AI66" s="437">
        <v>46047</v>
      </c>
      <c r="AJ66" s="437">
        <v>46045</v>
      </c>
      <c r="AK66" s="441">
        <v>46045</v>
      </c>
      <c r="AL66" s="437">
        <v>46084</v>
      </c>
      <c r="AM66" s="437">
        <v>46092</v>
      </c>
      <c r="AN66" s="437">
        <v>46092</v>
      </c>
      <c r="AO66" s="430" t="s">
        <v>66</v>
      </c>
      <c r="AP66" s="430" t="s">
        <v>432</v>
      </c>
      <c r="AQ66" s="430" t="s">
        <v>161</v>
      </c>
      <c r="AR66" s="430" t="s">
        <v>433</v>
      </c>
      <c r="AS66" s="430" t="s">
        <v>434</v>
      </c>
      <c r="AT66" s="430" t="s">
        <v>434</v>
      </c>
      <c r="AU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7">
        <v>46092</v>
      </c>
      <c r="AX66" s="433" t="s">
        <v>84</v>
      </c>
      <c r="AY66" s="437">
        <v>46105</v>
      </c>
      <c r="AZ66" s="442">
        <v>8</v>
      </c>
      <c r="BA66" s="437">
        <v>46100</v>
      </c>
      <c r="BB66" s="433">
        <v>2026</v>
      </c>
      <c r="BC66" s="430">
        <v>3</v>
      </c>
      <c r="BD66" s="430">
        <v>12</v>
      </c>
      <c r="BE66" s="431">
        <v>36</v>
      </c>
      <c r="BF66" s="431">
        <v>720</v>
      </c>
      <c r="BG66" s="431" t="s">
        <v>128</v>
      </c>
      <c r="BH66" s="431" t="s">
        <v>109</v>
      </c>
      <c r="BI66" s="430" t="s">
        <v>197</v>
      </c>
      <c r="BJ66" s="430" t="s">
        <v>197</v>
      </c>
      <c r="BK66" s="430" t="s">
        <v>197</v>
      </c>
      <c r="BL66" s="430" t="s">
        <v>197</v>
      </c>
      <c r="BM66" s="430" t="s">
        <v>197</v>
      </c>
      <c r="BN66" s="430" t="s">
        <v>197</v>
      </c>
      <c r="BO66" s="430" t="s">
        <v>197</v>
      </c>
      <c r="BP66" s="430" t="s">
        <v>197</v>
      </c>
      <c r="BQ66" s="430" t="s">
        <v>197</v>
      </c>
      <c r="BR66" s="430" t="s">
        <v>197</v>
      </c>
      <c r="BS66" s="430" t="s">
        <v>197</v>
      </c>
      <c r="BT66" s="430" t="s">
        <v>197</v>
      </c>
      <c r="BU66" s="430" t="s">
        <v>197</v>
      </c>
      <c r="BV66" s="430" t="s">
        <v>197</v>
      </c>
      <c r="BW66" s="430" t="s">
        <v>197</v>
      </c>
      <c r="BX66" s="430" t="s">
        <v>197</v>
      </c>
      <c r="BY66" s="430" t="s">
        <v>197</v>
      </c>
      <c r="BZ66" s="430" t="s">
        <v>197</v>
      </c>
      <c r="CA66" s="430" t="s">
        <v>197</v>
      </c>
      <c r="CB66" s="430" t="s">
        <v>197</v>
      </c>
      <c r="CC66" s="430" t="s">
        <v>197</v>
      </c>
      <c r="CD66" s="430" t="s">
        <v>197</v>
      </c>
      <c r="CE66" s="430" t="s">
        <v>197</v>
      </c>
      <c r="CF66" s="430" t="s">
        <v>197</v>
      </c>
      <c r="CG66" s="430" t="s">
        <v>197</v>
      </c>
      <c r="CH66" s="430" t="s">
        <v>197</v>
      </c>
      <c r="CI66" s="430" t="s">
        <v>197</v>
      </c>
      <c r="CJ66" s="430" t="s">
        <v>197</v>
      </c>
      <c r="CK66" s="430" t="s">
        <v>197</v>
      </c>
      <c r="CL66" s="430" t="s">
        <v>197</v>
      </c>
      <c r="CM66" s="430" t="s">
        <v>197</v>
      </c>
    </row>
    <row r="67" spans="1:91" ht="10.5">
      <c r="A67" s="462" t="s">
        <v>437</v>
      </c>
      <c r="B67" s="462" t="s">
        <v>111</v>
      </c>
      <c r="C67" s="462" t="s">
        <v>215</v>
      </c>
      <c r="D67" s="462" t="s">
        <v>113</v>
      </c>
      <c r="E67" s="462" t="s">
        <v>64</v>
      </c>
      <c r="F67" s="462" t="s">
        <v>65</v>
      </c>
      <c r="G67" s="462" t="s">
        <v>66</v>
      </c>
      <c r="H67" s="462" t="s">
        <v>67</v>
      </c>
      <c r="I67" s="439" t="s">
        <v>68</v>
      </c>
      <c r="J67" s="430" t="s">
        <v>353</v>
      </c>
      <c r="K67" s="430" t="s">
        <v>438</v>
      </c>
      <c r="L67" s="430"/>
      <c r="M67" s="430" t="s">
        <v>68</v>
      </c>
      <c r="N67" s="432" t="s">
        <v>68</v>
      </c>
      <c r="O67" s="430" t="s">
        <v>70</v>
      </c>
      <c r="P67" s="430" t="s">
        <v>218</v>
      </c>
      <c r="Q67" s="430" t="s">
        <v>219</v>
      </c>
      <c r="R67" s="431" t="s">
        <v>73</v>
      </c>
      <c r="S67" s="442" t="s">
        <v>120</v>
      </c>
      <c r="T67" s="433">
        <v>625</v>
      </c>
      <c r="U67" s="1088">
        <v>2592</v>
      </c>
      <c r="V67" s="434">
        <v>1.62</v>
      </c>
      <c r="W67" s="435">
        <v>72</v>
      </c>
      <c r="X67" s="1040">
        <v>3.6</v>
      </c>
      <c r="Y67" s="430" t="s">
        <v>75</v>
      </c>
      <c r="Z67" s="430" t="s">
        <v>75</v>
      </c>
      <c r="AA67" s="430"/>
      <c r="AB67" s="437">
        <v>46041</v>
      </c>
      <c r="AC67" s="438">
        <v>4</v>
      </c>
      <c r="AD67" s="439" t="s">
        <v>439</v>
      </c>
      <c r="AE67" s="430"/>
      <c r="AF67" s="430" t="s">
        <v>122</v>
      </c>
      <c r="AG67" s="430" t="s">
        <v>123</v>
      </c>
      <c r="AH67" s="430" t="s">
        <v>356</v>
      </c>
      <c r="AI67" s="437">
        <v>46047</v>
      </c>
      <c r="AJ67" s="437">
        <v>46045</v>
      </c>
      <c r="AK67" s="441">
        <v>46045</v>
      </c>
      <c r="AL67" s="437">
        <v>46084</v>
      </c>
      <c r="AM67" s="437">
        <v>46092</v>
      </c>
      <c r="AN67" s="437">
        <v>46092</v>
      </c>
      <c r="AO67" s="430" t="s">
        <v>66</v>
      </c>
      <c r="AP67" s="430" t="s">
        <v>432</v>
      </c>
      <c r="AQ67" s="430" t="s">
        <v>161</v>
      </c>
      <c r="AR67" s="430" t="s">
        <v>433</v>
      </c>
      <c r="AS67" s="430" t="s">
        <v>434</v>
      </c>
      <c r="AT67" s="430" t="s">
        <v>434</v>
      </c>
      <c r="AU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7">
        <v>46092</v>
      </c>
      <c r="AX67" s="433" t="s">
        <v>84</v>
      </c>
      <c r="AY67" s="437">
        <v>46105</v>
      </c>
      <c r="AZ67" s="442">
        <v>8</v>
      </c>
      <c r="BA67" s="437">
        <v>46100</v>
      </c>
      <c r="BB67" s="433">
        <v>2026</v>
      </c>
      <c r="BC67" s="430">
        <v>3</v>
      </c>
      <c r="BD67" s="430">
        <v>12</v>
      </c>
      <c r="BE67" s="431">
        <v>36</v>
      </c>
      <c r="BF67" s="431">
        <v>720</v>
      </c>
      <c r="BG67" s="431" t="s">
        <v>128</v>
      </c>
      <c r="BH67" s="431" t="s">
        <v>109</v>
      </c>
      <c r="BI67" s="430" t="s">
        <v>197</v>
      </c>
      <c r="BJ67" s="430" t="s">
        <v>197</v>
      </c>
      <c r="BK67" s="430" t="s">
        <v>197</v>
      </c>
      <c r="BL67" s="430" t="s">
        <v>197</v>
      </c>
      <c r="BM67" s="430" t="s">
        <v>197</v>
      </c>
      <c r="BN67" s="430" t="s">
        <v>197</v>
      </c>
      <c r="BO67" s="430" t="s">
        <v>197</v>
      </c>
      <c r="BP67" s="430" t="s">
        <v>197</v>
      </c>
      <c r="BQ67" s="430" t="s">
        <v>197</v>
      </c>
      <c r="BR67" s="430" t="s">
        <v>197</v>
      </c>
      <c r="BS67" s="430" t="s">
        <v>197</v>
      </c>
      <c r="BT67" s="430" t="s">
        <v>197</v>
      </c>
      <c r="BU67" s="430" t="s">
        <v>197</v>
      </c>
      <c r="BV67" s="430" t="s">
        <v>197</v>
      </c>
      <c r="BW67" s="430" t="s">
        <v>197</v>
      </c>
      <c r="BX67" s="430" t="s">
        <v>197</v>
      </c>
      <c r="BY67" s="430" t="s">
        <v>197</v>
      </c>
      <c r="BZ67" s="430" t="s">
        <v>197</v>
      </c>
      <c r="CA67" s="430" t="s">
        <v>197</v>
      </c>
      <c r="CB67" s="430" t="s">
        <v>197</v>
      </c>
      <c r="CC67" s="430" t="s">
        <v>197</v>
      </c>
      <c r="CD67" s="430" t="s">
        <v>197</v>
      </c>
      <c r="CE67" s="430" t="s">
        <v>197</v>
      </c>
      <c r="CF67" s="430" t="s">
        <v>197</v>
      </c>
      <c r="CG67" s="430" t="s">
        <v>197</v>
      </c>
      <c r="CH67" s="430" t="s">
        <v>197</v>
      </c>
      <c r="CI67" s="430" t="s">
        <v>197</v>
      </c>
      <c r="CJ67" s="430" t="s">
        <v>197</v>
      </c>
      <c r="CK67" s="430" t="s">
        <v>197</v>
      </c>
      <c r="CL67" s="430" t="s">
        <v>197</v>
      </c>
      <c r="CM67" s="430" t="s">
        <v>197</v>
      </c>
    </row>
    <row r="68" spans="1:91" ht="10.5">
      <c r="A68" s="462" t="s">
        <v>440</v>
      </c>
      <c r="B68" s="462" t="s">
        <v>111</v>
      </c>
      <c r="C68" s="462" t="s">
        <v>352</v>
      </c>
      <c r="D68" s="462" t="s">
        <v>113</v>
      </c>
      <c r="E68" s="462" t="s">
        <v>64</v>
      </c>
      <c r="F68" s="462" t="s">
        <v>65</v>
      </c>
      <c r="G68" s="462" t="s">
        <v>66</v>
      </c>
      <c r="H68" s="462" t="s">
        <v>67</v>
      </c>
      <c r="I68" s="439" t="s">
        <v>68</v>
      </c>
      <c r="J68" s="430" t="s">
        <v>353</v>
      </c>
      <c r="K68" s="430" t="s">
        <v>438</v>
      </c>
      <c r="L68" s="430"/>
      <c r="M68" s="430" t="s">
        <v>68</v>
      </c>
      <c r="N68" s="432" t="s">
        <v>68</v>
      </c>
      <c r="O68" s="430" t="s">
        <v>70</v>
      </c>
      <c r="P68" s="430" t="s">
        <v>218</v>
      </c>
      <c r="Q68" s="430" t="s">
        <v>219</v>
      </c>
      <c r="R68" s="431" t="s">
        <v>73</v>
      </c>
      <c r="S68" s="442" t="s">
        <v>120</v>
      </c>
      <c r="T68" s="433">
        <v>625</v>
      </c>
      <c r="U68" s="1088">
        <v>72</v>
      </c>
      <c r="V68" s="434">
        <v>4.4999999999999998E-2</v>
      </c>
      <c r="W68" s="435">
        <v>2</v>
      </c>
      <c r="X68" s="1040">
        <v>0.1</v>
      </c>
      <c r="Y68" s="430" t="s">
        <v>75</v>
      </c>
      <c r="Z68" s="430" t="s">
        <v>75</v>
      </c>
      <c r="AA68" s="430"/>
      <c r="AB68" s="437">
        <v>46041</v>
      </c>
      <c r="AC68" s="438">
        <v>4</v>
      </c>
      <c r="AD68" s="439" t="s">
        <v>441</v>
      </c>
      <c r="AE68" s="430"/>
      <c r="AF68" s="430" t="s">
        <v>122</v>
      </c>
      <c r="AG68" s="430" t="s">
        <v>123</v>
      </c>
      <c r="AH68" s="430" t="s">
        <v>356</v>
      </c>
      <c r="AI68" s="437">
        <v>45682</v>
      </c>
      <c r="AJ68" s="437">
        <v>46045</v>
      </c>
      <c r="AK68" s="441">
        <v>46045</v>
      </c>
      <c r="AL68" s="437">
        <v>46084</v>
      </c>
      <c r="AM68" s="437">
        <v>46092</v>
      </c>
      <c r="AN68" s="437">
        <v>46092</v>
      </c>
      <c r="AO68" s="430" t="s">
        <v>66</v>
      </c>
      <c r="AP68" s="430" t="s">
        <v>442</v>
      </c>
      <c r="AQ68" s="430" t="s">
        <v>161</v>
      </c>
      <c r="AR68" s="430" t="s">
        <v>433</v>
      </c>
      <c r="AS68" s="430" t="s">
        <v>434</v>
      </c>
      <c r="AT68" s="430" t="s">
        <v>434</v>
      </c>
      <c r="AU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7">
        <v>46092</v>
      </c>
      <c r="AX68" s="433" t="s">
        <v>84</v>
      </c>
      <c r="AY68" s="437">
        <v>46105</v>
      </c>
      <c r="AZ68" s="442">
        <v>8</v>
      </c>
      <c r="BA68" s="437">
        <v>46100</v>
      </c>
      <c r="BB68" s="433">
        <v>2026</v>
      </c>
      <c r="BC68" s="430">
        <v>3</v>
      </c>
      <c r="BD68" s="430">
        <v>12</v>
      </c>
      <c r="BE68" s="431">
        <v>36</v>
      </c>
      <c r="BF68" s="431">
        <v>720</v>
      </c>
      <c r="BG68" s="431" t="s">
        <v>128</v>
      </c>
      <c r="BH68" s="431" t="s">
        <v>109</v>
      </c>
      <c r="BI68" s="430" t="s">
        <v>197</v>
      </c>
      <c r="BJ68" s="430" t="s">
        <v>197</v>
      </c>
      <c r="BK68" s="430" t="s">
        <v>197</v>
      </c>
      <c r="BL68" s="430" t="s">
        <v>197</v>
      </c>
      <c r="BM68" s="430" t="s">
        <v>197</v>
      </c>
      <c r="BN68" s="430" t="s">
        <v>197</v>
      </c>
      <c r="BO68" s="430" t="s">
        <v>197</v>
      </c>
      <c r="BP68" s="430" t="s">
        <v>197</v>
      </c>
      <c r="BQ68" s="430" t="s">
        <v>197</v>
      </c>
      <c r="BR68" s="430" t="s">
        <v>197</v>
      </c>
      <c r="BS68" s="430" t="s">
        <v>197</v>
      </c>
      <c r="BT68" s="430" t="s">
        <v>197</v>
      </c>
      <c r="BU68" s="430" t="s">
        <v>197</v>
      </c>
      <c r="BV68" s="430" t="s">
        <v>197</v>
      </c>
      <c r="BW68" s="430" t="s">
        <v>197</v>
      </c>
      <c r="BX68" s="430" t="s">
        <v>197</v>
      </c>
      <c r="BY68" s="430" t="s">
        <v>197</v>
      </c>
      <c r="BZ68" s="430" t="s">
        <v>197</v>
      </c>
      <c r="CA68" s="430" t="s">
        <v>197</v>
      </c>
      <c r="CB68" s="430" t="s">
        <v>197</v>
      </c>
      <c r="CC68" s="430" t="s">
        <v>197</v>
      </c>
      <c r="CD68" s="430" t="s">
        <v>197</v>
      </c>
      <c r="CE68" s="430" t="s">
        <v>197</v>
      </c>
      <c r="CF68" s="430" t="s">
        <v>197</v>
      </c>
      <c r="CG68" s="430" t="s">
        <v>197</v>
      </c>
      <c r="CH68" s="430" t="s">
        <v>197</v>
      </c>
      <c r="CI68" s="430" t="s">
        <v>197</v>
      </c>
      <c r="CJ68" s="430" t="s">
        <v>197</v>
      </c>
      <c r="CK68" s="430" t="s">
        <v>197</v>
      </c>
      <c r="CL68" s="430" t="s">
        <v>197</v>
      </c>
      <c r="CM68" s="430" t="s">
        <v>197</v>
      </c>
    </row>
    <row r="69" spans="1:91" ht="10.5">
      <c r="A69" s="462" t="s">
        <v>443</v>
      </c>
      <c r="B69" s="462" t="s">
        <v>111</v>
      </c>
      <c r="C69" s="462" t="s">
        <v>376</v>
      </c>
      <c r="D69" s="462" t="s">
        <v>113</v>
      </c>
      <c r="E69" s="462" t="s">
        <v>64</v>
      </c>
      <c r="F69" s="462" t="s">
        <v>65</v>
      </c>
      <c r="G69" s="462" t="s">
        <v>66</v>
      </c>
      <c r="H69" s="462" t="s">
        <v>67</v>
      </c>
      <c r="I69" s="439" t="s">
        <v>68</v>
      </c>
      <c r="J69" s="430" t="s">
        <v>377</v>
      </c>
      <c r="K69" s="430" t="s">
        <v>328</v>
      </c>
      <c r="L69" s="430"/>
      <c r="M69" s="430" t="s">
        <v>68</v>
      </c>
      <c r="N69" s="432" t="s">
        <v>68</v>
      </c>
      <c r="O69" s="430" t="s">
        <v>70</v>
      </c>
      <c r="P69" s="430" t="s">
        <v>378</v>
      </c>
      <c r="Q69" s="430" t="s">
        <v>379</v>
      </c>
      <c r="R69" s="431" t="s">
        <v>73</v>
      </c>
      <c r="S69" s="442" t="s">
        <v>120</v>
      </c>
      <c r="T69" s="433">
        <v>620</v>
      </c>
      <c r="U69" s="1088">
        <v>216</v>
      </c>
      <c r="V69" s="434">
        <v>0.13400000000000001</v>
      </c>
      <c r="W69" s="435">
        <v>6</v>
      </c>
      <c r="X69" s="1040">
        <v>0.3</v>
      </c>
      <c r="Y69" s="430" t="s">
        <v>75</v>
      </c>
      <c r="Z69" s="430" t="s">
        <v>75</v>
      </c>
      <c r="AA69" s="430"/>
      <c r="AB69" s="437">
        <v>46041</v>
      </c>
      <c r="AC69" s="438">
        <v>4</v>
      </c>
      <c r="AD69" s="439" t="s">
        <v>444</v>
      </c>
      <c r="AE69" s="430"/>
      <c r="AF69" s="430" t="s">
        <v>122</v>
      </c>
      <c r="AG69" s="430" t="s">
        <v>123</v>
      </c>
      <c r="AH69" s="430" t="s">
        <v>356</v>
      </c>
      <c r="AI69" s="437">
        <v>45682</v>
      </c>
      <c r="AJ69" s="437">
        <v>46045</v>
      </c>
      <c r="AK69" s="441">
        <v>46045</v>
      </c>
      <c r="AL69" s="437">
        <v>46084</v>
      </c>
      <c r="AM69" s="437">
        <v>46092</v>
      </c>
      <c r="AN69" s="437">
        <v>46092</v>
      </c>
      <c r="AO69" s="430" t="s">
        <v>66</v>
      </c>
      <c r="AP69" s="430" t="s">
        <v>442</v>
      </c>
      <c r="AQ69" s="430" t="s">
        <v>161</v>
      </c>
      <c r="AR69" s="430" t="s">
        <v>433</v>
      </c>
      <c r="AS69" s="430" t="s">
        <v>434</v>
      </c>
      <c r="AT69" s="430" t="s">
        <v>434</v>
      </c>
      <c r="AU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7">
        <v>46092</v>
      </c>
      <c r="AX69" s="433" t="s">
        <v>84</v>
      </c>
      <c r="AY69" s="437">
        <v>46105</v>
      </c>
      <c r="AZ69" s="442">
        <v>8</v>
      </c>
      <c r="BA69" s="437">
        <v>46100</v>
      </c>
      <c r="BB69" s="433">
        <v>2026</v>
      </c>
      <c r="BC69" s="430">
        <v>3</v>
      </c>
      <c r="BD69" s="430">
        <v>12</v>
      </c>
      <c r="BE69" s="431">
        <v>36</v>
      </c>
      <c r="BF69" s="431">
        <v>720</v>
      </c>
      <c r="BG69" s="431" t="s">
        <v>128</v>
      </c>
      <c r="BH69" s="431" t="s">
        <v>109</v>
      </c>
      <c r="BI69" s="430" t="s">
        <v>197</v>
      </c>
      <c r="BJ69" s="430" t="s">
        <v>197</v>
      </c>
      <c r="BK69" s="430" t="s">
        <v>197</v>
      </c>
      <c r="BL69" s="430" t="s">
        <v>197</v>
      </c>
      <c r="BM69" s="430" t="s">
        <v>197</v>
      </c>
      <c r="BN69" s="430" t="s">
        <v>197</v>
      </c>
      <c r="BO69" s="430" t="s">
        <v>197</v>
      </c>
      <c r="BP69" s="430" t="s">
        <v>197</v>
      </c>
      <c r="BQ69" s="430" t="s">
        <v>197</v>
      </c>
      <c r="BR69" s="430" t="s">
        <v>197</v>
      </c>
      <c r="BS69" s="430" t="s">
        <v>197</v>
      </c>
      <c r="BT69" s="430" t="s">
        <v>197</v>
      </c>
      <c r="BU69" s="430" t="s">
        <v>197</v>
      </c>
      <c r="BV69" s="430" t="s">
        <v>197</v>
      </c>
      <c r="BW69" s="430" t="s">
        <v>197</v>
      </c>
      <c r="BX69" s="430" t="s">
        <v>197</v>
      </c>
      <c r="BY69" s="430" t="s">
        <v>197</v>
      </c>
      <c r="BZ69" s="430" t="s">
        <v>197</v>
      </c>
      <c r="CA69" s="430" t="s">
        <v>197</v>
      </c>
      <c r="CB69" s="430" t="s">
        <v>197</v>
      </c>
      <c r="CC69" s="430" t="s">
        <v>197</v>
      </c>
      <c r="CD69" s="430" t="s">
        <v>197</v>
      </c>
      <c r="CE69" s="430" t="s">
        <v>197</v>
      </c>
      <c r="CF69" s="430" t="s">
        <v>197</v>
      </c>
      <c r="CG69" s="430" t="s">
        <v>197</v>
      </c>
      <c r="CH69" s="430" t="s">
        <v>197</v>
      </c>
      <c r="CI69" s="430" t="s">
        <v>197</v>
      </c>
      <c r="CJ69" s="430" t="s">
        <v>197</v>
      </c>
      <c r="CK69" s="430" t="s">
        <v>197</v>
      </c>
      <c r="CL69" s="430" t="s">
        <v>197</v>
      </c>
      <c r="CM69" s="430" t="s">
        <v>197</v>
      </c>
    </row>
    <row r="70" spans="1:91" ht="10.5">
      <c r="A70" s="462" t="s">
        <v>352</v>
      </c>
      <c r="B70" s="462" t="s">
        <v>111</v>
      </c>
      <c r="C70" s="462" t="s">
        <v>203</v>
      </c>
      <c r="D70" s="462" t="s">
        <v>113</v>
      </c>
      <c r="E70" s="462" t="s">
        <v>64</v>
      </c>
      <c r="F70" s="462" t="s">
        <v>65</v>
      </c>
      <c r="G70" s="462" t="s">
        <v>66</v>
      </c>
      <c r="H70" s="462" t="s">
        <v>67</v>
      </c>
      <c r="I70" s="439" t="s">
        <v>68</v>
      </c>
      <c r="J70" s="430" t="s">
        <v>353</v>
      </c>
      <c r="K70" s="430" t="s">
        <v>438</v>
      </c>
      <c r="L70" s="430"/>
      <c r="M70" s="430" t="s">
        <v>68</v>
      </c>
      <c r="N70" s="432" t="s">
        <v>68</v>
      </c>
      <c r="O70" s="430" t="s">
        <v>70</v>
      </c>
      <c r="P70" s="430" t="s">
        <v>218</v>
      </c>
      <c r="Q70" s="430" t="s">
        <v>219</v>
      </c>
      <c r="R70" s="431" t="s">
        <v>73</v>
      </c>
      <c r="S70" s="442" t="s">
        <v>120</v>
      </c>
      <c r="T70" s="433">
        <v>625</v>
      </c>
      <c r="U70" s="1088">
        <v>720</v>
      </c>
      <c r="V70" s="434">
        <v>0.45</v>
      </c>
      <c r="W70" s="435">
        <v>20</v>
      </c>
      <c r="X70" s="1040">
        <v>1</v>
      </c>
      <c r="Y70" s="430" t="s">
        <v>75</v>
      </c>
      <c r="Z70" s="430" t="s">
        <v>75</v>
      </c>
      <c r="AA70" s="430"/>
      <c r="AB70" s="437">
        <v>46041</v>
      </c>
      <c r="AC70" s="438">
        <v>4</v>
      </c>
      <c r="AD70" s="439" t="s">
        <v>445</v>
      </c>
      <c r="AE70" s="430"/>
      <c r="AF70" s="430" t="s">
        <v>122</v>
      </c>
      <c r="AG70" s="430" t="s">
        <v>123</v>
      </c>
      <c r="AH70" s="430" t="s">
        <v>356</v>
      </c>
      <c r="AI70" s="437">
        <v>45682</v>
      </c>
      <c r="AJ70" s="437">
        <v>46045</v>
      </c>
      <c r="AK70" s="441">
        <v>46045</v>
      </c>
      <c r="AL70" s="437">
        <v>46084</v>
      </c>
      <c r="AM70" s="437">
        <v>46086</v>
      </c>
      <c r="AN70" s="437">
        <v>46086</v>
      </c>
      <c r="AO70" s="430" t="s">
        <v>66</v>
      </c>
      <c r="AP70" s="430" t="s">
        <v>442</v>
      </c>
      <c r="AQ70" s="430" t="s">
        <v>80</v>
      </c>
      <c r="AR70" s="430" t="s">
        <v>446</v>
      </c>
      <c r="AS70" s="430" t="s">
        <v>447</v>
      </c>
      <c r="AT70" s="430" t="s">
        <v>447</v>
      </c>
      <c r="AU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7">
        <v>46086</v>
      </c>
      <c r="AX70" s="433" t="s">
        <v>84</v>
      </c>
      <c r="AY70" s="437">
        <v>46099</v>
      </c>
      <c r="AZ70" s="442">
        <v>8</v>
      </c>
      <c r="BA70" s="437">
        <v>46094</v>
      </c>
      <c r="BB70" s="433">
        <v>2026</v>
      </c>
      <c r="BC70" s="430">
        <v>3</v>
      </c>
      <c r="BD70" s="430">
        <v>11</v>
      </c>
      <c r="BE70" s="431">
        <v>36</v>
      </c>
      <c r="BF70" s="431">
        <v>720</v>
      </c>
      <c r="BG70" s="431" t="s">
        <v>128</v>
      </c>
      <c r="BH70" s="431" t="s">
        <v>109</v>
      </c>
      <c r="BI70" s="430" t="s">
        <v>197</v>
      </c>
      <c r="BJ70" s="430" t="s">
        <v>197</v>
      </c>
      <c r="BK70" s="430" t="s">
        <v>197</v>
      </c>
      <c r="BL70" s="430" t="s">
        <v>197</v>
      </c>
      <c r="BM70" s="430" t="s">
        <v>197</v>
      </c>
      <c r="BN70" s="430" t="s">
        <v>197</v>
      </c>
      <c r="BO70" s="430" t="s">
        <v>197</v>
      </c>
      <c r="BP70" s="430" t="s">
        <v>197</v>
      </c>
      <c r="BQ70" s="430" t="s">
        <v>197</v>
      </c>
      <c r="BR70" s="430" t="s">
        <v>197</v>
      </c>
      <c r="BS70" s="430" t="s">
        <v>197</v>
      </c>
      <c r="BT70" s="430" t="s">
        <v>197</v>
      </c>
      <c r="BU70" s="430" t="s">
        <v>197</v>
      </c>
      <c r="BV70" s="430" t="s">
        <v>197</v>
      </c>
      <c r="BW70" s="430" t="s">
        <v>197</v>
      </c>
      <c r="BX70" s="430" t="s">
        <v>197</v>
      </c>
      <c r="BY70" s="430" t="s">
        <v>197</v>
      </c>
      <c r="BZ70" s="430" t="s">
        <v>197</v>
      </c>
      <c r="CA70" s="430" t="s">
        <v>197</v>
      </c>
      <c r="CB70" s="430" t="s">
        <v>197</v>
      </c>
      <c r="CC70" s="430" t="s">
        <v>197</v>
      </c>
      <c r="CD70" s="430" t="s">
        <v>197</v>
      </c>
      <c r="CE70" s="430" t="s">
        <v>197</v>
      </c>
      <c r="CF70" s="430" t="s">
        <v>197</v>
      </c>
      <c r="CG70" s="430" t="s">
        <v>197</v>
      </c>
      <c r="CH70" s="430" t="s">
        <v>197</v>
      </c>
      <c r="CI70" s="430" t="s">
        <v>197</v>
      </c>
      <c r="CJ70" s="430" t="s">
        <v>197</v>
      </c>
      <c r="CK70" s="430" t="s">
        <v>197</v>
      </c>
      <c r="CL70" s="430" t="s">
        <v>197</v>
      </c>
      <c r="CM70" s="430" t="s">
        <v>197</v>
      </c>
    </row>
    <row r="71" spans="1:91" ht="10.5">
      <c r="A71" s="462" t="s">
        <v>448</v>
      </c>
      <c r="B71" s="462" t="s">
        <v>111</v>
      </c>
      <c r="C71" s="462" t="s">
        <v>449</v>
      </c>
      <c r="D71" s="462" t="s">
        <v>63</v>
      </c>
      <c r="E71" s="462" t="s">
        <v>64</v>
      </c>
      <c r="F71" s="462" t="s">
        <v>450</v>
      </c>
      <c r="G71" s="462" t="s">
        <v>66</v>
      </c>
      <c r="H71" s="462" t="s">
        <v>451</v>
      </c>
      <c r="I71" s="439" t="s">
        <v>68</v>
      </c>
      <c r="J71" s="430" t="s">
        <v>452</v>
      </c>
      <c r="K71" s="430">
        <v>20519249</v>
      </c>
      <c r="L71" s="430"/>
      <c r="M71" s="430" t="s">
        <v>68</v>
      </c>
      <c r="N71" s="432" t="s">
        <v>68</v>
      </c>
      <c r="O71" s="430" t="s">
        <v>132</v>
      </c>
      <c r="P71" s="430" t="s">
        <v>453</v>
      </c>
      <c r="Q71" s="430" t="s">
        <v>454</v>
      </c>
      <c r="R71" s="431" t="s">
        <v>73</v>
      </c>
      <c r="S71" s="442" t="s">
        <v>74</v>
      </c>
      <c r="T71" s="433">
        <v>460</v>
      </c>
      <c r="U71" s="1088">
        <v>1728</v>
      </c>
      <c r="V71" s="434">
        <v>0.79500000000000004</v>
      </c>
      <c r="W71" s="435">
        <v>48</v>
      </c>
      <c r="X71" s="1040">
        <v>2</v>
      </c>
      <c r="Y71" s="430" t="s">
        <v>75</v>
      </c>
      <c r="Z71" s="430" t="s">
        <v>75</v>
      </c>
      <c r="AA71" s="430"/>
      <c r="AB71" s="437">
        <v>46042</v>
      </c>
      <c r="AC71" s="438">
        <v>4</v>
      </c>
      <c r="AD71" s="439" t="s">
        <v>455</v>
      </c>
      <c r="AE71" s="430"/>
      <c r="AF71" s="430" t="s">
        <v>122</v>
      </c>
      <c r="AG71" s="430" t="s">
        <v>123</v>
      </c>
      <c r="AH71" s="430" t="s">
        <v>456</v>
      </c>
      <c r="AI71" s="437">
        <v>46050</v>
      </c>
      <c r="AJ71" s="437">
        <v>46053</v>
      </c>
      <c r="AK71" s="441">
        <v>46053</v>
      </c>
      <c r="AL71" s="437">
        <v>46089</v>
      </c>
      <c r="AM71" s="437">
        <v>46108</v>
      </c>
      <c r="AN71" s="437">
        <v>46108</v>
      </c>
      <c r="AO71" s="430" t="s">
        <v>66</v>
      </c>
      <c r="AP71" s="430" t="s">
        <v>457</v>
      </c>
      <c r="AQ71" s="430" t="s">
        <v>80</v>
      </c>
      <c r="AR71" s="430" t="s">
        <v>458</v>
      </c>
      <c r="AS71" s="430" t="s">
        <v>459</v>
      </c>
      <c r="AT71" s="430" t="s">
        <v>459</v>
      </c>
      <c r="AU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7">
        <v>46108</v>
      </c>
      <c r="AX71" s="433" t="s">
        <v>84</v>
      </c>
      <c r="AY71" s="437">
        <v>46120</v>
      </c>
      <c r="AZ71" s="442">
        <v>7</v>
      </c>
      <c r="BA71" s="437">
        <v>46115</v>
      </c>
      <c r="BB71" s="433">
        <v>2026</v>
      </c>
      <c r="BC71" s="430">
        <v>4</v>
      </c>
      <c r="BD71" s="430">
        <v>14</v>
      </c>
      <c r="BE71" s="431">
        <v>36</v>
      </c>
      <c r="BF71" s="431">
        <v>864</v>
      </c>
      <c r="BG71" s="431" t="s">
        <v>108</v>
      </c>
      <c r="BH71" s="431" t="s">
        <v>109</v>
      </c>
      <c r="BI71" s="430" t="s">
        <v>197</v>
      </c>
      <c r="BJ71" s="430" t="s">
        <v>197</v>
      </c>
      <c r="BK71" s="430" t="s">
        <v>197</v>
      </c>
      <c r="BL71" s="430" t="s">
        <v>197</v>
      </c>
      <c r="BM71" s="430" t="s">
        <v>197</v>
      </c>
      <c r="BN71" s="430" t="s">
        <v>197</v>
      </c>
      <c r="BO71" s="430" t="s">
        <v>197</v>
      </c>
      <c r="BP71" s="430" t="s">
        <v>197</v>
      </c>
      <c r="BQ71" s="430" t="s">
        <v>197</v>
      </c>
      <c r="BR71" s="430" t="s">
        <v>197</v>
      </c>
      <c r="BS71" s="430" t="s">
        <v>197</v>
      </c>
      <c r="BT71" s="430" t="s">
        <v>197</v>
      </c>
      <c r="BU71" s="430" t="s">
        <v>197</v>
      </c>
      <c r="BV71" s="430" t="s">
        <v>197</v>
      </c>
      <c r="BW71" s="430" t="s">
        <v>197</v>
      </c>
      <c r="BX71" s="430" t="s">
        <v>197</v>
      </c>
      <c r="BY71" s="430" t="s">
        <v>197</v>
      </c>
      <c r="BZ71" s="430" t="s">
        <v>197</v>
      </c>
      <c r="CA71" s="430" t="s">
        <v>197</v>
      </c>
      <c r="CB71" s="430" t="s">
        <v>197</v>
      </c>
      <c r="CC71" s="430" t="s">
        <v>197</v>
      </c>
      <c r="CD71" s="430" t="s">
        <v>197</v>
      </c>
      <c r="CE71" s="430" t="s">
        <v>197</v>
      </c>
      <c r="CF71" s="430" t="s">
        <v>197</v>
      </c>
      <c r="CG71" s="430" t="s">
        <v>197</v>
      </c>
      <c r="CH71" s="430" t="s">
        <v>197</v>
      </c>
      <c r="CI71" s="430" t="s">
        <v>197</v>
      </c>
      <c r="CJ71" s="430" t="s">
        <v>197</v>
      </c>
      <c r="CK71" s="430" t="s">
        <v>197</v>
      </c>
      <c r="CL71" s="430" t="s">
        <v>197</v>
      </c>
      <c r="CM71" s="430" t="s">
        <v>197</v>
      </c>
    </row>
    <row r="72" spans="1:91" ht="10.5">
      <c r="A72" s="462" t="s">
        <v>460</v>
      </c>
      <c r="B72" s="462" t="s">
        <v>111</v>
      </c>
      <c r="C72" s="462" t="s">
        <v>461</v>
      </c>
      <c r="D72" s="462" t="s">
        <v>63</v>
      </c>
      <c r="E72" s="462" t="s">
        <v>64</v>
      </c>
      <c r="F72" s="462" t="s">
        <v>65</v>
      </c>
      <c r="G72" s="462" t="s">
        <v>66</v>
      </c>
      <c r="H72" s="462" t="s">
        <v>67</v>
      </c>
      <c r="I72" s="439" t="s">
        <v>68</v>
      </c>
      <c r="J72" s="430" t="s">
        <v>232</v>
      </c>
      <c r="K72" s="430"/>
      <c r="L72" s="430"/>
      <c r="M72" s="430" t="s">
        <v>68</v>
      </c>
      <c r="N72" s="432" t="s">
        <v>68</v>
      </c>
      <c r="O72" s="430" t="s">
        <v>170</v>
      </c>
      <c r="P72" s="430" t="s">
        <v>462</v>
      </c>
      <c r="Q72" s="430" t="s">
        <v>463</v>
      </c>
      <c r="R72" s="431" t="s">
        <v>73</v>
      </c>
      <c r="S72" s="442" t="s">
        <v>464</v>
      </c>
      <c r="T72" s="433">
        <v>550</v>
      </c>
      <c r="U72" s="1088">
        <v>660</v>
      </c>
      <c r="V72" s="434">
        <v>0.36299999999999999</v>
      </c>
      <c r="W72" s="435">
        <v>20</v>
      </c>
      <c r="X72" s="1040">
        <v>1</v>
      </c>
      <c r="Y72" s="430" t="s">
        <v>75</v>
      </c>
      <c r="Z72" s="430" t="s">
        <v>75</v>
      </c>
      <c r="AA72" s="430"/>
      <c r="AB72" s="437">
        <v>46044</v>
      </c>
      <c r="AC72" s="438">
        <v>4</v>
      </c>
      <c r="AD72" s="439" t="s">
        <v>465</v>
      </c>
      <c r="AE72" s="430"/>
      <c r="AF72" s="430" t="s">
        <v>122</v>
      </c>
      <c r="AG72" s="430" t="s">
        <v>123</v>
      </c>
      <c r="AH72" s="430" t="s">
        <v>78</v>
      </c>
      <c r="AI72" s="437">
        <v>46049</v>
      </c>
      <c r="AJ72" s="437">
        <v>46055</v>
      </c>
      <c r="AK72" s="441">
        <v>46056</v>
      </c>
      <c r="AL72" s="437">
        <v>46098</v>
      </c>
      <c r="AM72" s="437">
        <v>46101</v>
      </c>
      <c r="AN72" s="437">
        <v>46103</v>
      </c>
      <c r="AO72" s="430" t="s">
        <v>66</v>
      </c>
      <c r="AP72" s="430" t="s">
        <v>466</v>
      </c>
      <c r="AQ72" s="430" t="s">
        <v>80</v>
      </c>
      <c r="AR72" s="430" t="s">
        <v>467</v>
      </c>
      <c r="AS72" s="430" t="s">
        <v>468</v>
      </c>
      <c r="AT72" s="430" t="s">
        <v>468</v>
      </c>
      <c r="AU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7">
        <v>46103</v>
      </c>
      <c r="AX72" s="433" t="s">
        <v>84</v>
      </c>
      <c r="AY72" s="437">
        <v>46115</v>
      </c>
      <c r="AZ72" s="442">
        <v>8</v>
      </c>
      <c r="BA72" s="437">
        <v>46111</v>
      </c>
      <c r="BB72" s="433">
        <v>2026</v>
      </c>
      <c r="BC72" s="430">
        <v>3</v>
      </c>
      <c r="BD72" s="430">
        <v>14</v>
      </c>
      <c r="BE72" s="431">
        <v>33</v>
      </c>
      <c r="BF72" s="431">
        <v>660</v>
      </c>
      <c r="BG72" s="431" t="s">
        <v>108</v>
      </c>
      <c r="BH72" s="431" t="s">
        <v>86</v>
      </c>
      <c r="BI72" s="430" t="s">
        <v>197</v>
      </c>
      <c r="BJ72" s="430" t="s">
        <v>197</v>
      </c>
      <c r="BK72" s="430" t="s">
        <v>197</v>
      </c>
      <c r="BL72" s="430" t="s">
        <v>197</v>
      </c>
      <c r="BM72" s="430" t="s">
        <v>197</v>
      </c>
      <c r="BN72" s="430" t="s">
        <v>197</v>
      </c>
      <c r="BO72" s="430" t="s">
        <v>197</v>
      </c>
      <c r="BP72" s="430" t="s">
        <v>197</v>
      </c>
      <c r="BQ72" s="430" t="s">
        <v>197</v>
      </c>
      <c r="BR72" s="430" t="s">
        <v>197</v>
      </c>
      <c r="BS72" s="430" t="s">
        <v>197</v>
      </c>
      <c r="BT72" s="430" t="s">
        <v>197</v>
      </c>
      <c r="BU72" s="430" t="s">
        <v>197</v>
      </c>
      <c r="BV72" s="430" t="s">
        <v>197</v>
      </c>
      <c r="BW72" s="430" t="s">
        <v>197</v>
      </c>
      <c r="BX72" s="430" t="s">
        <v>197</v>
      </c>
      <c r="BY72" s="430" t="s">
        <v>197</v>
      </c>
      <c r="BZ72" s="430" t="s">
        <v>197</v>
      </c>
      <c r="CA72" s="430" t="s">
        <v>197</v>
      </c>
      <c r="CB72" s="430" t="s">
        <v>197</v>
      </c>
      <c r="CC72" s="430" t="s">
        <v>197</v>
      </c>
      <c r="CD72" s="430" t="s">
        <v>197</v>
      </c>
      <c r="CE72" s="430" t="s">
        <v>197</v>
      </c>
      <c r="CF72" s="430" t="s">
        <v>197</v>
      </c>
      <c r="CG72" s="430" t="s">
        <v>197</v>
      </c>
      <c r="CH72" s="430" t="s">
        <v>197</v>
      </c>
      <c r="CI72" s="430" t="s">
        <v>197</v>
      </c>
      <c r="CJ72" s="430" t="s">
        <v>197</v>
      </c>
      <c r="CK72" s="430" t="s">
        <v>197</v>
      </c>
      <c r="CL72" s="430" t="s">
        <v>197</v>
      </c>
      <c r="CM72" s="430" t="s">
        <v>197</v>
      </c>
    </row>
    <row r="73" spans="1:91" ht="10.5">
      <c r="A73" s="462" t="s">
        <v>469</v>
      </c>
      <c r="B73" s="462" t="s">
        <v>111</v>
      </c>
      <c r="C73" s="462" t="s">
        <v>461</v>
      </c>
      <c r="D73" s="462" t="s">
        <v>63</v>
      </c>
      <c r="E73" s="462" t="s">
        <v>64</v>
      </c>
      <c r="F73" s="462" t="s">
        <v>65</v>
      </c>
      <c r="G73" s="462" t="s">
        <v>66</v>
      </c>
      <c r="H73" s="462" t="s">
        <v>67</v>
      </c>
      <c r="I73" s="439" t="s">
        <v>68</v>
      </c>
      <c r="J73" s="430" t="s">
        <v>232</v>
      </c>
      <c r="K73" s="430"/>
      <c r="L73" s="430"/>
      <c r="M73" s="430" t="s">
        <v>68</v>
      </c>
      <c r="N73" s="432" t="s">
        <v>68</v>
      </c>
      <c r="O73" s="430" t="s">
        <v>170</v>
      </c>
      <c r="P73" s="430" t="s">
        <v>462</v>
      </c>
      <c r="Q73" s="430" t="s">
        <v>463</v>
      </c>
      <c r="R73" s="431" t="s">
        <v>73</v>
      </c>
      <c r="S73" s="442" t="s">
        <v>464</v>
      </c>
      <c r="T73" s="433">
        <v>550</v>
      </c>
      <c r="U73" s="1088">
        <v>1320</v>
      </c>
      <c r="V73" s="434">
        <v>0.72599999999999998</v>
      </c>
      <c r="W73" s="435">
        <v>40</v>
      </c>
      <c r="X73" s="1040">
        <v>2</v>
      </c>
      <c r="Y73" s="430" t="s">
        <v>75</v>
      </c>
      <c r="Z73" s="430" t="s">
        <v>75</v>
      </c>
      <c r="AA73" s="430"/>
      <c r="AB73" s="437">
        <v>46044</v>
      </c>
      <c r="AC73" s="438">
        <v>4</v>
      </c>
      <c r="AD73" s="439" t="s">
        <v>470</v>
      </c>
      <c r="AE73" s="430"/>
      <c r="AF73" s="430" t="s">
        <v>122</v>
      </c>
      <c r="AG73" s="430" t="s">
        <v>123</v>
      </c>
      <c r="AH73" s="430" t="s">
        <v>78</v>
      </c>
      <c r="AI73" s="437">
        <v>46049</v>
      </c>
      <c r="AJ73" s="437">
        <v>46055</v>
      </c>
      <c r="AK73" s="441">
        <v>46056</v>
      </c>
      <c r="AL73" s="437">
        <v>46098</v>
      </c>
      <c r="AM73" s="437">
        <v>46101</v>
      </c>
      <c r="AN73" s="437">
        <v>46103</v>
      </c>
      <c r="AO73" s="430" t="s">
        <v>66</v>
      </c>
      <c r="AP73" s="430" t="s">
        <v>466</v>
      </c>
      <c r="AQ73" s="430" t="s">
        <v>80</v>
      </c>
      <c r="AR73" s="430" t="s">
        <v>467</v>
      </c>
      <c r="AS73" s="430" t="s">
        <v>468</v>
      </c>
      <c r="AT73" s="430" t="s">
        <v>468</v>
      </c>
      <c r="AU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7">
        <v>46103</v>
      </c>
      <c r="AX73" s="433" t="s">
        <v>84</v>
      </c>
      <c r="AY73" s="437">
        <v>46115</v>
      </c>
      <c r="AZ73" s="442">
        <v>8</v>
      </c>
      <c r="BA73" s="437">
        <v>46111</v>
      </c>
      <c r="BB73" s="433">
        <v>2026</v>
      </c>
      <c r="BC73" s="430">
        <v>3</v>
      </c>
      <c r="BD73" s="430">
        <v>14</v>
      </c>
      <c r="BE73" s="431">
        <v>33</v>
      </c>
      <c r="BF73" s="431">
        <v>660</v>
      </c>
      <c r="BG73" s="431" t="s">
        <v>108</v>
      </c>
      <c r="BH73" s="431" t="s">
        <v>86</v>
      </c>
      <c r="BI73" s="430" t="s">
        <v>197</v>
      </c>
      <c r="BJ73" s="430" t="s">
        <v>197</v>
      </c>
      <c r="BK73" s="430" t="s">
        <v>197</v>
      </c>
      <c r="BL73" s="430" t="s">
        <v>197</v>
      </c>
      <c r="BM73" s="430" t="s">
        <v>197</v>
      </c>
      <c r="BN73" s="430" t="s">
        <v>197</v>
      </c>
      <c r="BO73" s="430" t="s">
        <v>197</v>
      </c>
      <c r="BP73" s="430" t="s">
        <v>197</v>
      </c>
      <c r="BQ73" s="430" t="s">
        <v>197</v>
      </c>
      <c r="BR73" s="430" t="s">
        <v>197</v>
      </c>
      <c r="BS73" s="430" t="s">
        <v>197</v>
      </c>
      <c r="BT73" s="430" t="s">
        <v>197</v>
      </c>
      <c r="BU73" s="430" t="s">
        <v>197</v>
      </c>
      <c r="BV73" s="430" t="s">
        <v>197</v>
      </c>
      <c r="BW73" s="430" t="s">
        <v>197</v>
      </c>
      <c r="BX73" s="430" t="s">
        <v>197</v>
      </c>
      <c r="BY73" s="430" t="s">
        <v>197</v>
      </c>
      <c r="BZ73" s="430" t="s">
        <v>197</v>
      </c>
      <c r="CA73" s="430" t="s">
        <v>197</v>
      </c>
      <c r="CB73" s="430" t="s">
        <v>197</v>
      </c>
      <c r="CC73" s="430" t="s">
        <v>197</v>
      </c>
      <c r="CD73" s="430" t="s">
        <v>197</v>
      </c>
      <c r="CE73" s="430" t="s">
        <v>197</v>
      </c>
      <c r="CF73" s="430" t="s">
        <v>197</v>
      </c>
      <c r="CG73" s="430" t="s">
        <v>197</v>
      </c>
      <c r="CH73" s="430" t="s">
        <v>197</v>
      </c>
      <c r="CI73" s="430" t="s">
        <v>197</v>
      </c>
      <c r="CJ73" s="430" t="s">
        <v>197</v>
      </c>
      <c r="CK73" s="430" t="s">
        <v>197</v>
      </c>
      <c r="CL73" s="430" t="s">
        <v>197</v>
      </c>
      <c r="CM73" s="430" t="s">
        <v>197</v>
      </c>
    </row>
    <row r="74" spans="1:91" ht="10.5">
      <c r="A74" s="462" t="s">
        <v>471</v>
      </c>
      <c r="B74" s="462" t="s">
        <v>111</v>
      </c>
      <c r="C74" s="462" t="s">
        <v>472</v>
      </c>
      <c r="D74" s="462" t="s">
        <v>63</v>
      </c>
      <c r="E74" s="462" t="s">
        <v>64</v>
      </c>
      <c r="F74" s="462" t="s">
        <v>65</v>
      </c>
      <c r="G74" s="462" t="s">
        <v>66</v>
      </c>
      <c r="H74" s="462" t="s">
        <v>67</v>
      </c>
      <c r="I74" s="439" t="s">
        <v>68</v>
      </c>
      <c r="J74" s="430" t="s">
        <v>232</v>
      </c>
      <c r="K74" s="430"/>
      <c r="L74" s="430"/>
      <c r="M74" s="430" t="s">
        <v>68</v>
      </c>
      <c r="N74" s="432" t="s">
        <v>68</v>
      </c>
      <c r="O74" s="430" t="s">
        <v>473</v>
      </c>
      <c r="P74" s="430" t="s">
        <v>474</v>
      </c>
      <c r="Q74" s="430" t="s">
        <v>475</v>
      </c>
      <c r="R74" s="431" t="s">
        <v>73</v>
      </c>
      <c r="S74" s="442" t="s">
        <v>74</v>
      </c>
      <c r="T74" s="433">
        <v>460</v>
      </c>
      <c r="U74" s="1088">
        <v>2592</v>
      </c>
      <c r="V74" s="434">
        <v>1.1919999999999999</v>
      </c>
      <c r="W74" s="435">
        <v>72</v>
      </c>
      <c r="X74" s="1040">
        <v>3</v>
      </c>
      <c r="Y74" s="430" t="s">
        <v>75</v>
      </c>
      <c r="Z74" s="430" t="s">
        <v>75</v>
      </c>
      <c r="AA74" s="430"/>
      <c r="AB74" s="437">
        <v>46044</v>
      </c>
      <c r="AC74" s="438">
        <v>4</v>
      </c>
      <c r="AD74" s="439" t="s">
        <v>476</v>
      </c>
      <c r="AE74" s="430"/>
      <c r="AF74" s="430" t="s">
        <v>122</v>
      </c>
      <c r="AG74" s="430" t="s">
        <v>123</v>
      </c>
      <c r="AH74" s="430" t="s">
        <v>78</v>
      </c>
      <c r="AI74" s="437">
        <v>46049</v>
      </c>
      <c r="AJ74" s="437">
        <v>46055</v>
      </c>
      <c r="AK74" s="441">
        <v>46056</v>
      </c>
      <c r="AL74" s="437">
        <v>46098</v>
      </c>
      <c r="AM74" s="437">
        <v>46101</v>
      </c>
      <c r="AN74" s="437">
        <v>46103</v>
      </c>
      <c r="AO74" s="430" t="s">
        <v>66</v>
      </c>
      <c r="AP74" s="430" t="s">
        <v>466</v>
      </c>
      <c r="AQ74" s="430" t="s">
        <v>80</v>
      </c>
      <c r="AR74" s="430" t="s">
        <v>467</v>
      </c>
      <c r="AS74" s="430" t="s">
        <v>468</v>
      </c>
      <c r="AT74" s="430" t="s">
        <v>468</v>
      </c>
      <c r="AU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7">
        <v>46103</v>
      </c>
      <c r="AX74" s="433" t="s">
        <v>84</v>
      </c>
      <c r="AY74" s="437">
        <v>46115</v>
      </c>
      <c r="AZ74" s="442">
        <v>8</v>
      </c>
      <c r="BA74" s="437">
        <v>46111</v>
      </c>
      <c r="BB74" s="433">
        <v>2026</v>
      </c>
      <c r="BC74" s="430">
        <v>3</v>
      </c>
      <c r="BD74" s="430">
        <v>14</v>
      </c>
      <c r="BE74" s="431">
        <v>36</v>
      </c>
      <c r="BF74" s="431">
        <v>864</v>
      </c>
      <c r="BG74" s="431" t="s">
        <v>85</v>
      </c>
      <c r="BH74" s="431" t="s">
        <v>86</v>
      </c>
      <c r="BI74" s="430" t="s">
        <v>197</v>
      </c>
      <c r="BJ74" s="430" t="s">
        <v>197</v>
      </c>
      <c r="BK74" s="430" t="s">
        <v>197</v>
      </c>
      <c r="BL74" s="430" t="s">
        <v>197</v>
      </c>
      <c r="BM74" s="430" t="s">
        <v>197</v>
      </c>
      <c r="BN74" s="430" t="s">
        <v>197</v>
      </c>
      <c r="BO74" s="430" t="s">
        <v>197</v>
      </c>
      <c r="BP74" s="430" t="s">
        <v>197</v>
      </c>
      <c r="BQ74" s="430" t="s">
        <v>197</v>
      </c>
      <c r="BR74" s="430" t="s">
        <v>197</v>
      </c>
      <c r="BS74" s="430" t="s">
        <v>197</v>
      </c>
      <c r="BT74" s="430" t="s">
        <v>197</v>
      </c>
      <c r="BU74" s="430" t="s">
        <v>197</v>
      </c>
      <c r="BV74" s="430" t="s">
        <v>197</v>
      </c>
      <c r="BW74" s="430" t="s">
        <v>197</v>
      </c>
      <c r="BX74" s="430" t="s">
        <v>197</v>
      </c>
      <c r="BY74" s="430" t="s">
        <v>197</v>
      </c>
      <c r="BZ74" s="430" t="s">
        <v>197</v>
      </c>
      <c r="CA74" s="430" t="s">
        <v>197</v>
      </c>
      <c r="CB74" s="430" t="s">
        <v>197</v>
      </c>
      <c r="CC74" s="430" t="s">
        <v>197</v>
      </c>
      <c r="CD74" s="430" t="s">
        <v>197</v>
      </c>
      <c r="CE74" s="430" t="s">
        <v>197</v>
      </c>
      <c r="CF74" s="430" t="s">
        <v>197</v>
      </c>
      <c r="CG74" s="430" t="s">
        <v>197</v>
      </c>
      <c r="CH74" s="430" t="s">
        <v>197</v>
      </c>
      <c r="CI74" s="430" t="s">
        <v>197</v>
      </c>
      <c r="CJ74" s="430" t="s">
        <v>197</v>
      </c>
      <c r="CK74" s="430" t="s">
        <v>197</v>
      </c>
      <c r="CL74" s="430" t="s">
        <v>197</v>
      </c>
      <c r="CM74" s="430" t="s">
        <v>197</v>
      </c>
    </row>
    <row r="75" spans="1:91" ht="10.5">
      <c r="A75" s="462" t="s">
        <v>477</v>
      </c>
      <c r="B75" s="462" t="s">
        <v>111</v>
      </c>
      <c r="C75" s="462" t="s">
        <v>461</v>
      </c>
      <c r="D75" s="462" t="s">
        <v>63</v>
      </c>
      <c r="E75" s="462" t="s">
        <v>64</v>
      </c>
      <c r="F75" s="462" t="s">
        <v>65</v>
      </c>
      <c r="G75" s="462" t="s">
        <v>66</v>
      </c>
      <c r="H75" s="462" t="s">
        <v>67</v>
      </c>
      <c r="I75" s="439" t="s">
        <v>68</v>
      </c>
      <c r="J75" s="430" t="s">
        <v>232</v>
      </c>
      <c r="K75" s="430"/>
      <c r="L75" s="430"/>
      <c r="M75" s="430" t="s">
        <v>68</v>
      </c>
      <c r="N75" s="432" t="s">
        <v>68</v>
      </c>
      <c r="O75" s="430" t="s">
        <v>170</v>
      </c>
      <c r="P75" s="430" t="s">
        <v>462</v>
      </c>
      <c r="Q75" s="430" t="s">
        <v>463</v>
      </c>
      <c r="R75" s="431" t="s">
        <v>73</v>
      </c>
      <c r="S75" s="442" t="s">
        <v>464</v>
      </c>
      <c r="T75" s="433">
        <v>550</v>
      </c>
      <c r="U75" s="1088">
        <v>660</v>
      </c>
      <c r="V75" s="434">
        <v>0.36299999999999999</v>
      </c>
      <c r="W75" s="435">
        <v>20</v>
      </c>
      <c r="X75" s="1040">
        <v>1</v>
      </c>
      <c r="Y75" s="430" t="s">
        <v>75</v>
      </c>
      <c r="Z75" s="430" t="s">
        <v>75</v>
      </c>
      <c r="AA75" s="430"/>
      <c r="AB75" s="437">
        <v>46040</v>
      </c>
      <c r="AC75" s="438">
        <v>3</v>
      </c>
      <c r="AD75" s="439" t="s">
        <v>478</v>
      </c>
      <c r="AE75" s="430"/>
      <c r="AF75" s="430" t="s">
        <v>122</v>
      </c>
      <c r="AG75" s="430" t="s">
        <v>123</v>
      </c>
      <c r="AH75" s="430" t="s">
        <v>78</v>
      </c>
      <c r="AI75" s="437">
        <v>46045</v>
      </c>
      <c r="AJ75" s="437">
        <v>46047</v>
      </c>
      <c r="AK75" s="441">
        <v>46047</v>
      </c>
      <c r="AL75" s="437">
        <v>46097</v>
      </c>
      <c r="AM75" s="437">
        <v>46111</v>
      </c>
      <c r="AN75" s="437">
        <v>46111</v>
      </c>
      <c r="AO75" s="430" t="s">
        <v>66</v>
      </c>
      <c r="AP75" s="430" t="s">
        <v>479</v>
      </c>
      <c r="AQ75" s="430" t="s">
        <v>80</v>
      </c>
      <c r="AR75" s="430" t="s">
        <v>480</v>
      </c>
      <c r="AS75" s="430" t="s">
        <v>481</v>
      </c>
      <c r="AT75" s="430" t="s">
        <v>481</v>
      </c>
      <c r="AU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7">
        <v>46111</v>
      </c>
      <c r="AX75" s="433" t="s">
        <v>84</v>
      </c>
      <c r="AY75" s="437">
        <v>46120</v>
      </c>
      <c r="AZ75" s="442">
        <v>8</v>
      </c>
      <c r="BA75" s="437">
        <v>46119</v>
      </c>
      <c r="BB75" s="433">
        <v>2026</v>
      </c>
      <c r="BC75" s="430">
        <v>4</v>
      </c>
      <c r="BD75" s="430">
        <v>15</v>
      </c>
      <c r="BE75" s="431">
        <v>33</v>
      </c>
      <c r="BF75" s="431">
        <v>660</v>
      </c>
      <c r="BG75" s="431" t="s">
        <v>108</v>
      </c>
      <c r="BH75" s="431" t="s">
        <v>86</v>
      </c>
      <c r="BI75" s="430" t="s">
        <v>197</v>
      </c>
      <c r="BJ75" s="430" t="s">
        <v>197</v>
      </c>
      <c r="BK75" s="430" t="s">
        <v>197</v>
      </c>
      <c r="BL75" s="430" t="s">
        <v>197</v>
      </c>
      <c r="BM75" s="430" t="s">
        <v>197</v>
      </c>
      <c r="BN75" s="430" t="s">
        <v>197</v>
      </c>
      <c r="BO75" s="430" t="s">
        <v>197</v>
      </c>
      <c r="BP75" s="430" t="s">
        <v>197</v>
      </c>
      <c r="BQ75" s="430" t="s">
        <v>197</v>
      </c>
      <c r="BR75" s="430" t="s">
        <v>197</v>
      </c>
      <c r="BS75" s="430" t="s">
        <v>197</v>
      </c>
      <c r="BT75" s="430" t="s">
        <v>197</v>
      </c>
      <c r="BU75" s="430" t="s">
        <v>197</v>
      </c>
      <c r="BV75" s="430" t="s">
        <v>197</v>
      </c>
      <c r="BW75" s="430" t="s">
        <v>197</v>
      </c>
      <c r="BX75" s="430" t="s">
        <v>197</v>
      </c>
      <c r="BY75" s="430" t="s">
        <v>197</v>
      </c>
      <c r="BZ75" s="430" t="s">
        <v>197</v>
      </c>
      <c r="CA75" s="430" t="s">
        <v>197</v>
      </c>
      <c r="CB75" s="430" t="s">
        <v>197</v>
      </c>
      <c r="CC75" s="430" t="s">
        <v>197</v>
      </c>
      <c r="CD75" s="430" t="s">
        <v>197</v>
      </c>
      <c r="CE75" s="430" t="s">
        <v>197</v>
      </c>
      <c r="CF75" s="430" t="s">
        <v>197</v>
      </c>
      <c r="CG75" s="430" t="s">
        <v>197</v>
      </c>
      <c r="CH75" s="430" t="s">
        <v>197</v>
      </c>
      <c r="CI75" s="430" t="s">
        <v>197</v>
      </c>
      <c r="CJ75" s="430" t="s">
        <v>197</v>
      </c>
      <c r="CK75" s="430" t="s">
        <v>197</v>
      </c>
      <c r="CL75" s="430" t="s">
        <v>197</v>
      </c>
      <c r="CM75" s="430" t="s">
        <v>197</v>
      </c>
    </row>
    <row r="76" spans="1:91" ht="10.5">
      <c r="A76" s="462" t="s">
        <v>482</v>
      </c>
      <c r="B76" s="462" t="s">
        <v>111</v>
      </c>
      <c r="C76" s="462" t="s">
        <v>387</v>
      </c>
      <c r="D76" s="462" t="s">
        <v>63</v>
      </c>
      <c r="E76" s="462" t="s">
        <v>64</v>
      </c>
      <c r="F76" s="462" t="s">
        <v>100</v>
      </c>
      <c r="G76" s="462" t="s">
        <v>66</v>
      </c>
      <c r="H76" s="462" t="s">
        <v>67</v>
      </c>
      <c r="I76" s="439" t="s">
        <v>68</v>
      </c>
      <c r="J76" s="430" t="s">
        <v>483</v>
      </c>
      <c r="K76" s="430"/>
      <c r="L76" s="430"/>
      <c r="M76" s="430" t="s">
        <v>68</v>
      </c>
      <c r="N76" s="432" t="s">
        <v>68</v>
      </c>
      <c r="O76" s="430" t="s">
        <v>132</v>
      </c>
      <c r="P76" s="430" t="s">
        <v>189</v>
      </c>
      <c r="Q76" s="430" t="s">
        <v>190</v>
      </c>
      <c r="R76" s="431" t="s">
        <v>73</v>
      </c>
      <c r="S76" s="442" t="s">
        <v>74</v>
      </c>
      <c r="T76" s="433">
        <v>465</v>
      </c>
      <c r="U76" s="1088">
        <v>864</v>
      </c>
      <c r="V76" s="434">
        <v>0.40200000000000002</v>
      </c>
      <c r="W76" s="435">
        <v>24</v>
      </c>
      <c r="X76" s="1040">
        <v>1</v>
      </c>
      <c r="Y76" s="430" t="s">
        <v>75</v>
      </c>
      <c r="Z76" s="430" t="s">
        <v>75</v>
      </c>
      <c r="AA76" s="430"/>
      <c r="AB76" s="437">
        <v>46042</v>
      </c>
      <c r="AC76" s="438">
        <v>4</v>
      </c>
      <c r="AD76" s="439" t="s">
        <v>484</v>
      </c>
      <c r="AE76" s="430"/>
      <c r="AF76" s="430" t="s">
        <v>122</v>
      </c>
      <c r="AG76" s="430" t="s">
        <v>123</v>
      </c>
      <c r="AH76" s="430" t="s">
        <v>105</v>
      </c>
      <c r="AI76" s="437">
        <v>46050</v>
      </c>
      <c r="AJ76" s="437">
        <v>46053</v>
      </c>
      <c r="AK76" s="441">
        <v>46054</v>
      </c>
      <c r="AL76" s="437">
        <v>46101</v>
      </c>
      <c r="AM76" s="437">
        <v>46116</v>
      </c>
      <c r="AN76" s="437">
        <v>46118</v>
      </c>
      <c r="AO76" s="430" t="s">
        <v>66</v>
      </c>
      <c r="AP76" s="430" t="s">
        <v>485</v>
      </c>
      <c r="AQ76" s="430" t="s">
        <v>80</v>
      </c>
      <c r="AR76" s="430" t="s">
        <v>486</v>
      </c>
      <c r="AS76" s="430" t="s">
        <v>487</v>
      </c>
      <c r="AT76" s="430" t="s">
        <v>487</v>
      </c>
      <c r="AU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7">
        <v>46118</v>
      </c>
      <c r="AX76" s="433" t="s">
        <v>84</v>
      </c>
      <c r="AY76" s="437">
        <v>46132</v>
      </c>
      <c r="AZ76" s="442">
        <v>7</v>
      </c>
      <c r="BA76" s="437">
        <v>46125</v>
      </c>
      <c r="BB76" s="433">
        <v>2026</v>
      </c>
      <c r="BC76" s="430">
        <v>4</v>
      </c>
      <c r="BD76" s="430">
        <v>16</v>
      </c>
      <c r="BE76" s="431">
        <v>36</v>
      </c>
      <c r="BF76" s="431">
        <v>864</v>
      </c>
      <c r="BG76" s="431" t="s">
        <v>108</v>
      </c>
      <c r="BH76" s="431" t="s">
        <v>109</v>
      </c>
      <c r="BI76" s="430" t="s">
        <v>197</v>
      </c>
      <c r="BJ76" s="430" t="s">
        <v>197</v>
      </c>
      <c r="BK76" s="430" t="s">
        <v>197</v>
      </c>
      <c r="BL76" s="430" t="s">
        <v>197</v>
      </c>
      <c r="BM76" s="430" t="s">
        <v>197</v>
      </c>
      <c r="BN76" s="430" t="s">
        <v>197</v>
      </c>
      <c r="BO76" s="430" t="s">
        <v>197</v>
      </c>
      <c r="BP76" s="430" t="s">
        <v>197</v>
      </c>
      <c r="BQ76" s="430" t="s">
        <v>197</v>
      </c>
      <c r="BR76" s="430" t="s">
        <v>197</v>
      </c>
      <c r="BS76" s="430" t="s">
        <v>197</v>
      </c>
      <c r="BT76" s="430" t="s">
        <v>197</v>
      </c>
      <c r="BU76" s="430" t="s">
        <v>197</v>
      </c>
      <c r="BV76" s="430" t="s">
        <v>197</v>
      </c>
      <c r="BW76" s="430" t="s">
        <v>197</v>
      </c>
      <c r="BX76" s="430" t="s">
        <v>197</v>
      </c>
      <c r="BY76" s="430" t="s">
        <v>197</v>
      </c>
      <c r="BZ76" s="430" t="s">
        <v>197</v>
      </c>
      <c r="CA76" s="430" t="s">
        <v>197</v>
      </c>
      <c r="CB76" s="430" t="s">
        <v>197</v>
      </c>
      <c r="CC76" s="430" t="s">
        <v>197</v>
      </c>
      <c r="CD76" s="430" t="s">
        <v>197</v>
      </c>
      <c r="CE76" s="430" t="s">
        <v>197</v>
      </c>
      <c r="CF76" s="430" t="s">
        <v>197</v>
      </c>
      <c r="CG76" s="430" t="s">
        <v>197</v>
      </c>
      <c r="CH76" s="430" t="s">
        <v>197</v>
      </c>
      <c r="CI76" s="430" t="s">
        <v>197</v>
      </c>
      <c r="CJ76" s="430" t="s">
        <v>197</v>
      </c>
      <c r="CK76" s="430" t="s">
        <v>197</v>
      </c>
      <c r="CL76" s="430" t="s">
        <v>197</v>
      </c>
      <c r="CM76" s="430" t="s">
        <v>197</v>
      </c>
    </row>
    <row r="77" spans="1:91" ht="10.5">
      <c r="A77" s="462" t="s">
        <v>488</v>
      </c>
      <c r="B77" s="462" t="s">
        <v>111</v>
      </c>
      <c r="C77" s="462" t="s">
        <v>187</v>
      </c>
      <c r="D77" s="462" t="s">
        <v>63</v>
      </c>
      <c r="E77" s="462" t="s">
        <v>64</v>
      </c>
      <c r="F77" s="462" t="s">
        <v>100</v>
      </c>
      <c r="G77" s="462" t="s">
        <v>66</v>
      </c>
      <c r="H77" s="462" t="s">
        <v>67</v>
      </c>
      <c r="I77" s="439" t="s">
        <v>68</v>
      </c>
      <c r="J77" s="430" t="s">
        <v>483</v>
      </c>
      <c r="K77" s="430"/>
      <c r="L77" s="430"/>
      <c r="M77" s="430" t="s">
        <v>68</v>
      </c>
      <c r="N77" s="432" t="s">
        <v>68</v>
      </c>
      <c r="O77" s="430" t="s">
        <v>132</v>
      </c>
      <c r="P77" s="430" t="s">
        <v>189</v>
      </c>
      <c r="Q77" s="430" t="s">
        <v>190</v>
      </c>
      <c r="R77" s="431" t="s">
        <v>73</v>
      </c>
      <c r="S77" s="442" t="s">
        <v>74</v>
      </c>
      <c r="T77" s="433">
        <v>465</v>
      </c>
      <c r="U77" s="1088">
        <v>1728</v>
      </c>
      <c r="V77" s="434">
        <v>0.80400000000000005</v>
      </c>
      <c r="W77" s="435">
        <v>48</v>
      </c>
      <c r="X77" s="1040">
        <v>2</v>
      </c>
      <c r="Y77" s="430" t="s">
        <v>75</v>
      </c>
      <c r="Z77" s="430" t="s">
        <v>75</v>
      </c>
      <c r="AA77" s="430"/>
      <c r="AB77" s="437">
        <v>46042</v>
      </c>
      <c r="AC77" s="438">
        <v>4</v>
      </c>
      <c r="AD77" s="439" t="s">
        <v>489</v>
      </c>
      <c r="AE77" s="430"/>
      <c r="AF77" s="430" t="s">
        <v>122</v>
      </c>
      <c r="AG77" s="430" t="s">
        <v>123</v>
      </c>
      <c r="AH77" s="430" t="s">
        <v>105</v>
      </c>
      <c r="AI77" s="437">
        <v>46050</v>
      </c>
      <c r="AJ77" s="437">
        <v>46053</v>
      </c>
      <c r="AK77" s="441">
        <v>46054</v>
      </c>
      <c r="AL77" s="437">
        <v>46101</v>
      </c>
      <c r="AM77" s="437">
        <v>46116</v>
      </c>
      <c r="AN77" s="437">
        <v>46118</v>
      </c>
      <c r="AO77" s="430" t="s">
        <v>66</v>
      </c>
      <c r="AP77" s="430" t="s">
        <v>485</v>
      </c>
      <c r="AQ77" s="430" t="s">
        <v>80</v>
      </c>
      <c r="AR77" s="430" t="s">
        <v>486</v>
      </c>
      <c r="AS77" s="430" t="s">
        <v>487</v>
      </c>
      <c r="AT77" s="430" t="s">
        <v>487</v>
      </c>
      <c r="AU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7">
        <v>46118</v>
      </c>
      <c r="AX77" s="433" t="s">
        <v>84</v>
      </c>
      <c r="AY77" s="437">
        <v>46132</v>
      </c>
      <c r="AZ77" s="442">
        <v>7</v>
      </c>
      <c r="BA77" s="437">
        <v>46125</v>
      </c>
      <c r="BB77" s="433">
        <v>2026</v>
      </c>
      <c r="BC77" s="430">
        <v>4</v>
      </c>
      <c r="BD77" s="430">
        <v>16</v>
      </c>
      <c r="BE77" s="431">
        <v>36</v>
      </c>
      <c r="BF77" s="431">
        <v>864</v>
      </c>
      <c r="BG77" s="431" t="s">
        <v>108</v>
      </c>
      <c r="BH77" s="431" t="s">
        <v>109</v>
      </c>
      <c r="BI77" s="430" t="s">
        <v>197</v>
      </c>
      <c r="BJ77" s="430" t="s">
        <v>197</v>
      </c>
      <c r="BK77" s="430" t="s">
        <v>197</v>
      </c>
      <c r="BL77" s="430" t="s">
        <v>197</v>
      </c>
      <c r="BM77" s="430" t="s">
        <v>197</v>
      </c>
      <c r="BN77" s="430" t="s">
        <v>197</v>
      </c>
      <c r="BO77" s="430" t="s">
        <v>197</v>
      </c>
      <c r="BP77" s="430" t="s">
        <v>197</v>
      </c>
      <c r="BQ77" s="430" t="s">
        <v>197</v>
      </c>
      <c r="BR77" s="430" t="s">
        <v>197</v>
      </c>
      <c r="BS77" s="430" t="s">
        <v>197</v>
      </c>
      <c r="BT77" s="430" t="s">
        <v>197</v>
      </c>
      <c r="BU77" s="430" t="s">
        <v>197</v>
      </c>
      <c r="BV77" s="430" t="s">
        <v>197</v>
      </c>
      <c r="BW77" s="430" t="s">
        <v>197</v>
      </c>
      <c r="BX77" s="430" t="s">
        <v>197</v>
      </c>
      <c r="BY77" s="430" t="s">
        <v>197</v>
      </c>
      <c r="BZ77" s="430" t="s">
        <v>197</v>
      </c>
      <c r="CA77" s="430" t="s">
        <v>197</v>
      </c>
      <c r="CB77" s="430" t="s">
        <v>197</v>
      </c>
      <c r="CC77" s="430" t="s">
        <v>197</v>
      </c>
      <c r="CD77" s="430" t="s">
        <v>197</v>
      </c>
      <c r="CE77" s="430" t="s">
        <v>197</v>
      </c>
      <c r="CF77" s="430" t="s">
        <v>197</v>
      </c>
      <c r="CG77" s="430" t="s">
        <v>197</v>
      </c>
      <c r="CH77" s="430" t="s">
        <v>197</v>
      </c>
      <c r="CI77" s="430" t="s">
        <v>197</v>
      </c>
      <c r="CJ77" s="430" t="s">
        <v>197</v>
      </c>
      <c r="CK77" s="430" t="s">
        <v>197</v>
      </c>
      <c r="CL77" s="430" t="s">
        <v>197</v>
      </c>
      <c r="CM77" s="430" t="s">
        <v>197</v>
      </c>
    </row>
    <row r="78" spans="1:91" ht="10.5">
      <c r="A78" s="462" t="s">
        <v>490</v>
      </c>
      <c r="B78" s="462" t="s">
        <v>111</v>
      </c>
      <c r="C78" s="462" t="s">
        <v>387</v>
      </c>
      <c r="D78" s="462" t="s">
        <v>63</v>
      </c>
      <c r="E78" s="462" t="s">
        <v>64</v>
      </c>
      <c r="F78" s="462" t="s">
        <v>100</v>
      </c>
      <c r="G78" s="462" t="s">
        <v>66</v>
      </c>
      <c r="H78" s="462" t="s">
        <v>67</v>
      </c>
      <c r="I78" s="439" t="s">
        <v>68</v>
      </c>
      <c r="J78" s="430" t="s">
        <v>101</v>
      </c>
      <c r="K78" s="430"/>
      <c r="L78" s="430"/>
      <c r="M78" s="430" t="s">
        <v>68</v>
      </c>
      <c r="N78" s="432" t="s">
        <v>68</v>
      </c>
      <c r="O78" s="430" t="s">
        <v>132</v>
      </c>
      <c r="P78" s="430" t="s">
        <v>189</v>
      </c>
      <c r="Q78" s="430" t="s">
        <v>190</v>
      </c>
      <c r="R78" s="431" t="s">
        <v>73</v>
      </c>
      <c r="S78" s="442" t="s">
        <v>74</v>
      </c>
      <c r="T78" s="433">
        <v>465</v>
      </c>
      <c r="U78" s="1088">
        <v>1728</v>
      </c>
      <c r="V78" s="434">
        <v>0.80400000000000005</v>
      </c>
      <c r="W78" s="435">
        <v>48</v>
      </c>
      <c r="X78" s="1040">
        <v>2</v>
      </c>
      <c r="Y78" s="430" t="s">
        <v>75</v>
      </c>
      <c r="Z78" s="430" t="s">
        <v>75</v>
      </c>
      <c r="AA78" s="430"/>
      <c r="AB78" s="437">
        <v>46040</v>
      </c>
      <c r="AC78" s="438">
        <v>3</v>
      </c>
      <c r="AD78" s="439" t="s">
        <v>491</v>
      </c>
      <c r="AE78" s="430"/>
      <c r="AF78" s="430" t="s">
        <v>122</v>
      </c>
      <c r="AG78" s="430" t="s">
        <v>123</v>
      </c>
      <c r="AH78" s="430" t="s">
        <v>105</v>
      </c>
      <c r="AI78" s="437">
        <v>46045</v>
      </c>
      <c r="AJ78" s="437">
        <v>46047</v>
      </c>
      <c r="AK78" s="441">
        <v>46047</v>
      </c>
      <c r="AL78" s="437">
        <v>46089</v>
      </c>
      <c r="AM78" s="437">
        <v>46111</v>
      </c>
      <c r="AN78" s="437">
        <v>46111</v>
      </c>
      <c r="AO78" s="430" t="s">
        <v>66</v>
      </c>
      <c r="AP78" s="430" t="s">
        <v>479</v>
      </c>
      <c r="AQ78" s="430" t="s">
        <v>80</v>
      </c>
      <c r="AR78" s="430" t="s">
        <v>492</v>
      </c>
      <c r="AS78" s="430" t="s">
        <v>493</v>
      </c>
      <c r="AT78" s="430" t="s">
        <v>493</v>
      </c>
      <c r="AU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7">
        <v>46111</v>
      </c>
      <c r="AX78" s="433" t="s">
        <v>84</v>
      </c>
      <c r="AY78" s="437">
        <v>46125</v>
      </c>
      <c r="AZ78" s="442">
        <v>7</v>
      </c>
      <c r="BA78" s="437">
        <v>46118</v>
      </c>
      <c r="BB78" s="433">
        <v>2026</v>
      </c>
      <c r="BC78" s="430">
        <v>4</v>
      </c>
      <c r="BD78" s="430">
        <v>15</v>
      </c>
      <c r="BE78" s="431">
        <v>36</v>
      </c>
      <c r="BF78" s="431">
        <v>864</v>
      </c>
      <c r="BG78" s="431" t="s">
        <v>108</v>
      </c>
      <c r="BH78" s="431" t="s">
        <v>109</v>
      </c>
      <c r="BI78" s="430" t="s">
        <v>197</v>
      </c>
      <c r="BJ78" s="430" t="s">
        <v>197</v>
      </c>
      <c r="BK78" s="430" t="s">
        <v>197</v>
      </c>
      <c r="BL78" s="430" t="s">
        <v>197</v>
      </c>
      <c r="BM78" s="430" t="s">
        <v>197</v>
      </c>
      <c r="BN78" s="430" t="s">
        <v>197</v>
      </c>
      <c r="BO78" s="430" t="s">
        <v>197</v>
      </c>
      <c r="BP78" s="430" t="s">
        <v>197</v>
      </c>
      <c r="BQ78" s="430" t="s">
        <v>197</v>
      </c>
      <c r="BR78" s="430" t="s">
        <v>197</v>
      </c>
      <c r="BS78" s="430" t="s">
        <v>197</v>
      </c>
      <c r="BT78" s="430" t="s">
        <v>197</v>
      </c>
      <c r="BU78" s="430" t="s">
        <v>197</v>
      </c>
      <c r="BV78" s="430" t="s">
        <v>197</v>
      </c>
      <c r="BW78" s="430" t="s">
        <v>197</v>
      </c>
      <c r="BX78" s="430" t="s">
        <v>197</v>
      </c>
      <c r="BY78" s="430" t="s">
        <v>197</v>
      </c>
      <c r="BZ78" s="430" t="s">
        <v>197</v>
      </c>
      <c r="CA78" s="430" t="s">
        <v>197</v>
      </c>
      <c r="CB78" s="430" t="s">
        <v>197</v>
      </c>
      <c r="CC78" s="430" t="s">
        <v>197</v>
      </c>
      <c r="CD78" s="430" t="s">
        <v>197</v>
      </c>
      <c r="CE78" s="430" t="s">
        <v>197</v>
      </c>
      <c r="CF78" s="430" t="s">
        <v>197</v>
      </c>
      <c r="CG78" s="430" t="s">
        <v>197</v>
      </c>
      <c r="CH78" s="430" t="s">
        <v>197</v>
      </c>
      <c r="CI78" s="430" t="s">
        <v>197</v>
      </c>
      <c r="CJ78" s="430" t="s">
        <v>197</v>
      </c>
      <c r="CK78" s="430" t="s">
        <v>197</v>
      </c>
      <c r="CL78" s="430" t="s">
        <v>197</v>
      </c>
      <c r="CM78" s="430" t="s">
        <v>197</v>
      </c>
    </row>
    <row r="79" spans="1:91" ht="10.5">
      <c r="A79" s="462" t="s">
        <v>494</v>
      </c>
      <c r="B79" s="462" t="s">
        <v>111</v>
      </c>
      <c r="C79" s="462" t="s">
        <v>387</v>
      </c>
      <c r="D79" s="462" t="s">
        <v>63</v>
      </c>
      <c r="E79" s="462" t="s">
        <v>64</v>
      </c>
      <c r="F79" s="462" t="s">
        <v>100</v>
      </c>
      <c r="G79" s="462" t="s">
        <v>66</v>
      </c>
      <c r="H79" s="462" t="s">
        <v>67</v>
      </c>
      <c r="I79" s="439" t="s">
        <v>68</v>
      </c>
      <c r="J79" s="430" t="s">
        <v>101</v>
      </c>
      <c r="K79" s="430"/>
      <c r="L79" s="430"/>
      <c r="M79" s="430" t="s">
        <v>68</v>
      </c>
      <c r="N79" s="432" t="s">
        <v>68</v>
      </c>
      <c r="O79" s="430" t="s">
        <v>132</v>
      </c>
      <c r="P79" s="430" t="s">
        <v>189</v>
      </c>
      <c r="Q79" s="430" t="s">
        <v>190</v>
      </c>
      <c r="R79" s="431" t="s">
        <v>73</v>
      </c>
      <c r="S79" s="442" t="s">
        <v>74</v>
      </c>
      <c r="T79" s="433">
        <v>465</v>
      </c>
      <c r="U79" s="1088">
        <v>864</v>
      </c>
      <c r="V79" s="434">
        <v>0.40200000000000002</v>
      </c>
      <c r="W79" s="435">
        <v>24</v>
      </c>
      <c r="X79" s="1040">
        <v>1</v>
      </c>
      <c r="Y79" s="430" t="s">
        <v>75</v>
      </c>
      <c r="Z79" s="430" t="s">
        <v>75</v>
      </c>
      <c r="AA79" s="430"/>
      <c r="AB79" s="437">
        <v>46040</v>
      </c>
      <c r="AC79" s="438">
        <v>3</v>
      </c>
      <c r="AD79" s="439" t="s">
        <v>495</v>
      </c>
      <c r="AE79" s="430"/>
      <c r="AF79" s="430" t="s">
        <v>122</v>
      </c>
      <c r="AG79" s="430" t="s">
        <v>123</v>
      </c>
      <c r="AH79" s="430" t="s">
        <v>105</v>
      </c>
      <c r="AI79" s="437">
        <v>46045</v>
      </c>
      <c r="AJ79" s="437">
        <v>46047</v>
      </c>
      <c r="AK79" s="441">
        <v>46047</v>
      </c>
      <c r="AL79" s="437">
        <v>46089</v>
      </c>
      <c r="AM79" s="437">
        <v>46111</v>
      </c>
      <c r="AN79" s="437">
        <v>46111</v>
      </c>
      <c r="AO79" s="430" t="s">
        <v>66</v>
      </c>
      <c r="AP79" s="430" t="s">
        <v>479</v>
      </c>
      <c r="AQ79" s="430" t="s">
        <v>80</v>
      </c>
      <c r="AR79" s="430" t="s">
        <v>492</v>
      </c>
      <c r="AS79" s="430" t="s">
        <v>493</v>
      </c>
      <c r="AT79" s="430" t="s">
        <v>493</v>
      </c>
      <c r="AU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7">
        <v>46111</v>
      </c>
      <c r="AX79" s="433" t="s">
        <v>84</v>
      </c>
      <c r="AY79" s="437">
        <v>46125</v>
      </c>
      <c r="AZ79" s="442">
        <v>7</v>
      </c>
      <c r="BA79" s="437">
        <v>46118</v>
      </c>
      <c r="BB79" s="433">
        <v>2026</v>
      </c>
      <c r="BC79" s="430">
        <v>4</v>
      </c>
      <c r="BD79" s="430">
        <v>15</v>
      </c>
      <c r="BE79" s="431">
        <v>36</v>
      </c>
      <c r="BF79" s="431">
        <v>864</v>
      </c>
      <c r="BG79" s="431" t="s">
        <v>108</v>
      </c>
      <c r="BH79" s="431" t="s">
        <v>109</v>
      </c>
      <c r="BI79" s="430" t="s">
        <v>197</v>
      </c>
      <c r="BJ79" s="430" t="s">
        <v>197</v>
      </c>
      <c r="BK79" s="430" t="s">
        <v>197</v>
      </c>
      <c r="BL79" s="430" t="s">
        <v>197</v>
      </c>
      <c r="BM79" s="430" t="s">
        <v>197</v>
      </c>
      <c r="BN79" s="430" t="s">
        <v>197</v>
      </c>
      <c r="BO79" s="430" t="s">
        <v>197</v>
      </c>
      <c r="BP79" s="430" t="s">
        <v>197</v>
      </c>
      <c r="BQ79" s="430" t="s">
        <v>197</v>
      </c>
      <c r="BR79" s="430" t="s">
        <v>197</v>
      </c>
      <c r="BS79" s="430" t="s">
        <v>197</v>
      </c>
      <c r="BT79" s="430" t="s">
        <v>197</v>
      </c>
      <c r="BU79" s="430" t="s">
        <v>197</v>
      </c>
      <c r="BV79" s="430" t="s">
        <v>197</v>
      </c>
      <c r="BW79" s="430" t="s">
        <v>197</v>
      </c>
      <c r="BX79" s="430" t="s">
        <v>197</v>
      </c>
      <c r="BY79" s="430" t="s">
        <v>197</v>
      </c>
      <c r="BZ79" s="430" t="s">
        <v>197</v>
      </c>
      <c r="CA79" s="430" t="s">
        <v>197</v>
      </c>
      <c r="CB79" s="430" t="s">
        <v>197</v>
      </c>
      <c r="CC79" s="430" t="s">
        <v>197</v>
      </c>
      <c r="CD79" s="430" t="s">
        <v>197</v>
      </c>
      <c r="CE79" s="430" t="s">
        <v>197</v>
      </c>
      <c r="CF79" s="430" t="s">
        <v>197</v>
      </c>
      <c r="CG79" s="430" t="s">
        <v>197</v>
      </c>
      <c r="CH79" s="430" t="s">
        <v>197</v>
      </c>
      <c r="CI79" s="430" t="s">
        <v>197</v>
      </c>
      <c r="CJ79" s="430" t="s">
        <v>197</v>
      </c>
      <c r="CK79" s="430" t="s">
        <v>197</v>
      </c>
      <c r="CL79" s="430" t="s">
        <v>197</v>
      </c>
      <c r="CM79" s="430" t="s">
        <v>197</v>
      </c>
    </row>
    <row r="80" spans="1:91" ht="10.5">
      <c r="A80" s="462" t="s">
        <v>496</v>
      </c>
      <c r="B80" s="462" t="s">
        <v>111</v>
      </c>
      <c r="C80" s="462" t="s">
        <v>461</v>
      </c>
      <c r="D80" s="462" t="s">
        <v>63</v>
      </c>
      <c r="E80" s="462" t="s">
        <v>64</v>
      </c>
      <c r="F80" s="462" t="s">
        <v>100</v>
      </c>
      <c r="G80" s="462" t="s">
        <v>66</v>
      </c>
      <c r="H80" s="462" t="s">
        <v>67</v>
      </c>
      <c r="I80" s="439" t="s">
        <v>68</v>
      </c>
      <c r="J80" s="430" t="s">
        <v>169</v>
      </c>
      <c r="K80" s="430"/>
      <c r="L80" s="430"/>
      <c r="M80" s="430" t="s">
        <v>68</v>
      </c>
      <c r="N80" s="432" t="s">
        <v>68</v>
      </c>
      <c r="O80" s="430" t="s">
        <v>170</v>
      </c>
      <c r="P80" s="430" t="s">
        <v>462</v>
      </c>
      <c r="Q80" s="430" t="s">
        <v>463</v>
      </c>
      <c r="R80" s="431" t="s">
        <v>73</v>
      </c>
      <c r="S80" s="442" t="s">
        <v>464</v>
      </c>
      <c r="T80" s="433">
        <v>550</v>
      </c>
      <c r="U80" s="1088">
        <v>660</v>
      </c>
      <c r="V80" s="434">
        <v>0.36299999999999999</v>
      </c>
      <c r="W80" s="435">
        <v>20</v>
      </c>
      <c r="X80" s="1040">
        <v>1</v>
      </c>
      <c r="Y80" s="430" t="s">
        <v>75</v>
      </c>
      <c r="Z80" s="430" t="s">
        <v>75</v>
      </c>
      <c r="AA80" s="430"/>
      <c r="AB80" s="437">
        <v>46040</v>
      </c>
      <c r="AC80" s="438">
        <v>3</v>
      </c>
      <c r="AD80" s="439" t="s">
        <v>497</v>
      </c>
      <c r="AE80" s="430"/>
      <c r="AF80" s="430" t="s">
        <v>122</v>
      </c>
      <c r="AG80" s="430" t="s">
        <v>123</v>
      </c>
      <c r="AH80" s="430" t="s">
        <v>105</v>
      </c>
      <c r="AI80" s="437">
        <v>46045</v>
      </c>
      <c r="AJ80" s="437">
        <v>46047</v>
      </c>
      <c r="AK80" s="441">
        <v>46047</v>
      </c>
      <c r="AL80" s="437">
        <v>46089</v>
      </c>
      <c r="AM80" s="437">
        <v>46111</v>
      </c>
      <c r="AN80" s="437">
        <v>46111</v>
      </c>
      <c r="AO80" s="430" t="s">
        <v>66</v>
      </c>
      <c r="AP80" s="430" t="s">
        <v>479</v>
      </c>
      <c r="AQ80" s="430" t="s">
        <v>80</v>
      </c>
      <c r="AR80" s="430" t="s">
        <v>492</v>
      </c>
      <c r="AS80" s="430" t="s">
        <v>493</v>
      </c>
      <c r="AT80" s="430" t="s">
        <v>493</v>
      </c>
      <c r="AU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7">
        <v>46111</v>
      </c>
      <c r="AX80" s="433" t="s">
        <v>84</v>
      </c>
      <c r="AY80" s="437">
        <v>46125</v>
      </c>
      <c r="AZ80" s="442">
        <v>7</v>
      </c>
      <c r="BA80" s="437">
        <v>46118</v>
      </c>
      <c r="BB80" s="433">
        <v>2026</v>
      </c>
      <c r="BC80" s="430">
        <v>4</v>
      </c>
      <c r="BD80" s="430">
        <v>15</v>
      </c>
      <c r="BE80" s="431">
        <v>33</v>
      </c>
      <c r="BF80" s="431">
        <v>660</v>
      </c>
      <c r="BG80" s="431" t="s">
        <v>108</v>
      </c>
      <c r="BH80" s="431" t="s">
        <v>109</v>
      </c>
      <c r="BI80" s="430" t="s">
        <v>197</v>
      </c>
      <c r="BJ80" s="430" t="s">
        <v>197</v>
      </c>
      <c r="BK80" s="430" t="s">
        <v>197</v>
      </c>
      <c r="BL80" s="430" t="s">
        <v>197</v>
      </c>
      <c r="BM80" s="430" t="s">
        <v>197</v>
      </c>
      <c r="BN80" s="430" t="s">
        <v>197</v>
      </c>
      <c r="BO80" s="430" t="s">
        <v>197</v>
      </c>
      <c r="BP80" s="430" t="s">
        <v>197</v>
      </c>
      <c r="BQ80" s="430" t="s">
        <v>197</v>
      </c>
      <c r="BR80" s="430" t="s">
        <v>197</v>
      </c>
      <c r="BS80" s="430" t="s">
        <v>197</v>
      </c>
      <c r="BT80" s="430" t="s">
        <v>197</v>
      </c>
      <c r="BU80" s="430" t="s">
        <v>197</v>
      </c>
      <c r="BV80" s="430" t="s">
        <v>197</v>
      </c>
      <c r="BW80" s="430" t="s">
        <v>197</v>
      </c>
      <c r="BX80" s="430" t="s">
        <v>197</v>
      </c>
      <c r="BY80" s="430" t="s">
        <v>197</v>
      </c>
      <c r="BZ80" s="430" t="s">
        <v>197</v>
      </c>
      <c r="CA80" s="430" t="s">
        <v>197</v>
      </c>
      <c r="CB80" s="430" t="s">
        <v>197</v>
      </c>
      <c r="CC80" s="430" t="s">
        <v>197</v>
      </c>
      <c r="CD80" s="430" t="s">
        <v>197</v>
      </c>
      <c r="CE80" s="430" t="s">
        <v>197</v>
      </c>
      <c r="CF80" s="430" t="s">
        <v>197</v>
      </c>
      <c r="CG80" s="430" t="s">
        <v>197</v>
      </c>
      <c r="CH80" s="430" t="s">
        <v>197</v>
      </c>
      <c r="CI80" s="430" t="s">
        <v>197</v>
      </c>
      <c r="CJ80" s="430" t="s">
        <v>197</v>
      </c>
      <c r="CK80" s="430" t="s">
        <v>197</v>
      </c>
      <c r="CL80" s="430" t="s">
        <v>197</v>
      </c>
      <c r="CM80" s="430" t="s">
        <v>197</v>
      </c>
    </row>
    <row r="81" spans="1:91" ht="10.5">
      <c r="A81" s="462" t="s">
        <v>498</v>
      </c>
      <c r="B81" s="462" t="s">
        <v>111</v>
      </c>
      <c r="C81" s="462" t="s">
        <v>461</v>
      </c>
      <c r="D81" s="462" t="s">
        <v>63</v>
      </c>
      <c r="E81" s="462" t="s">
        <v>64</v>
      </c>
      <c r="F81" s="462" t="s">
        <v>100</v>
      </c>
      <c r="G81" s="462" t="s">
        <v>66</v>
      </c>
      <c r="H81" s="462" t="s">
        <v>67</v>
      </c>
      <c r="I81" s="439" t="s">
        <v>68</v>
      </c>
      <c r="J81" s="430" t="s">
        <v>169</v>
      </c>
      <c r="K81" s="430"/>
      <c r="L81" s="430"/>
      <c r="M81" s="430" t="s">
        <v>68</v>
      </c>
      <c r="N81" s="432" t="s">
        <v>68</v>
      </c>
      <c r="O81" s="430" t="s">
        <v>170</v>
      </c>
      <c r="P81" s="430" t="s">
        <v>462</v>
      </c>
      <c r="Q81" s="430" t="s">
        <v>463</v>
      </c>
      <c r="R81" s="431" t="s">
        <v>73</v>
      </c>
      <c r="S81" s="442" t="s">
        <v>464</v>
      </c>
      <c r="T81" s="433">
        <v>550</v>
      </c>
      <c r="U81" s="1088">
        <v>660</v>
      </c>
      <c r="V81" s="434">
        <v>0.36299999999999999</v>
      </c>
      <c r="W81" s="435">
        <v>20</v>
      </c>
      <c r="X81" s="1040">
        <v>1</v>
      </c>
      <c r="Y81" s="430" t="s">
        <v>75</v>
      </c>
      <c r="Z81" s="430" t="s">
        <v>75</v>
      </c>
      <c r="AA81" s="430"/>
      <c r="AB81" s="437">
        <v>46040</v>
      </c>
      <c r="AC81" s="438">
        <v>3</v>
      </c>
      <c r="AD81" s="439" t="s">
        <v>499</v>
      </c>
      <c r="AE81" s="430"/>
      <c r="AF81" s="430" t="s">
        <v>122</v>
      </c>
      <c r="AG81" s="430" t="s">
        <v>123</v>
      </c>
      <c r="AH81" s="430" t="s">
        <v>105</v>
      </c>
      <c r="AI81" s="437">
        <v>46045</v>
      </c>
      <c r="AJ81" s="437">
        <v>46047</v>
      </c>
      <c r="AK81" s="441">
        <v>46047</v>
      </c>
      <c r="AL81" s="437">
        <v>46089</v>
      </c>
      <c r="AM81" s="437">
        <v>46111</v>
      </c>
      <c r="AN81" s="437">
        <v>46111</v>
      </c>
      <c r="AO81" s="430" t="s">
        <v>66</v>
      </c>
      <c r="AP81" s="430" t="s">
        <v>479</v>
      </c>
      <c r="AQ81" s="430" t="s">
        <v>80</v>
      </c>
      <c r="AR81" s="430" t="s">
        <v>492</v>
      </c>
      <c r="AS81" s="430" t="s">
        <v>493</v>
      </c>
      <c r="AT81" s="430" t="s">
        <v>493</v>
      </c>
      <c r="AU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7">
        <v>46111</v>
      </c>
      <c r="AX81" s="433" t="s">
        <v>84</v>
      </c>
      <c r="AY81" s="437">
        <v>46125</v>
      </c>
      <c r="AZ81" s="442">
        <v>7</v>
      </c>
      <c r="BA81" s="437">
        <v>46118</v>
      </c>
      <c r="BB81" s="433">
        <v>2026</v>
      </c>
      <c r="BC81" s="430">
        <v>4</v>
      </c>
      <c r="BD81" s="430">
        <v>15</v>
      </c>
      <c r="BE81" s="431">
        <v>33</v>
      </c>
      <c r="BF81" s="431">
        <v>660</v>
      </c>
      <c r="BG81" s="431" t="s">
        <v>108</v>
      </c>
      <c r="BH81" s="431" t="s">
        <v>109</v>
      </c>
      <c r="BI81" s="430" t="s">
        <v>197</v>
      </c>
      <c r="BJ81" s="430" t="s">
        <v>197</v>
      </c>
      <c r="BK81" s="430" t="s">
        <v>197</v>
      </c>
      <c r="BL81" s="430" t="s">
        <v>197</v>
      </c>
      <c r="BM81" s="430" t="s">
        <v>197</v>
      </c>
      <c r="BN81" s="430" t="s">
        <v>197</v>
      </c>
      <c r="BO81" s="430" t="s">
        <v>197</v>
      </c>
      <c r="BP81" s="430" t="s">
        <v>197</v>
      </c>
      <c r="BQ81" s="430" t="s">
        <v>197</v>
      </c>
      <c r="BR81" s="430" t="s">
        <v>197</v>
      </c>
      <c r="BS81" s="430" t="s">
        <v>197</v>
      </c>
      <c r="BT81" s="430" t="s">
        <v>197</v>
      </c>
      <c r="BU81" s="430" t="s">
        <v>197</v>
      </c>
      <c r="BV81" s="430" t="s">
        <v>197</v>
      </c>
      <c r="BW81" s="430" t="s">
        <v>197</v>
      </c>
      <c r="BX81" s="430" t="s">
        <v>197</v>
      </c>
      <c r="BY81" s="430" t="s">
        <v>197</v>
      </c>
      <c r="BZ81" s="430" t="s">
        <v>197</v>
      </c>
      <c r="CA81" s="430" t="s">
        <v>197</v>
      </c>
      <c r="CB81" s="430" t="s">
        <v>197</v>
      </c>
      <c r="CC81" s="430" t="s">
        <v>197</v>
      </c>
      <c r="CD81" s="430" t="s">
        <v>197</v>
      </c>
      <c r="CE81" s="430" t="s">
        <v>197</v>
      </c>
      <c r="CF81" s="430" t="s">
        <v>197</v>
      </c>
      <c r="CG81" s="430" t="s">
        <v>197</v>
      </c>
      <c r="CH81" s="430" t="s">
        <v>197</v>
      </c>
      <c r="CI81" s="430" t="s">
        <v>197</v>
      </c>
      <c r="CJ81" s="430" t="s">
        <v>197</v>
      </c>
      <c r="CK81" s="430" t="s">
        <v>197</v>
      </c>
      <c r="CL81" s="430" t="s">
        <v>197</v>
      </c>
      <c r="CM81" s="430" t="s">
        <v>197</v>
      </c>
    </row>
    <row r="82" spans="1:91" ht="10.5">
      <c r="A82" s="462" t="s">
        <v>500</v>
      </c>
      <c r="B82" s="462" t="s">
        <v>111</v>
      </c>
      <c r="C82" s="462" t="s">
        <v>387</v>
      </c>
      <c r="D82" s="462" t="s">
        <v>63</v>
      </c>
      <c r="E82" s="462" t="s">
        <v>64</v>
      </c>
      <c r="F82" s="462" t="s">
        <v>65</v>
      </c>
      <c r="G82" s="462" t="s">
        <v>66</v>
      </c>
      <c r="H82" s="462" t="s">
        <v>67</v>
      </c>
      <c r="I82" s="439" t="s">
        <v>68</v>
      </c>
      <c r="J82" s="430" t="s">
        <v>188</v>
      </c>
      <c r="K82" s="430"/>
      <c r="L82" s="430"/>
      <c r="M82" s="430" t="s">
        <v>68</v>
      </c>
      <c r="N82" s="432" t="s">
        <v>68</v>
      </c>
      <c r="O82" s="430" t="s">
        <v>132</v>
      </c>
      <c r="P82" s="430" t="s">
        <v>189</v>
      </c>
      <c r="Q82" s="430" t="s">
        <v>190</v>
      </c>
      <c r="R82" s="431" t="s">
        <v>73</v>
      </c>
      <c r="S82" s="442" t="s">
        <v>74</v>
      </c>
      <c r="T82" s="433">
        <v>465</v>
      </c>
      <c r="U82" s="1088">
        <v>1728</v>
      </c>
      <c r="V82" s="434">
        <v>0.80400000000000005</v>
      </c>
      <c r="W82" s="435">
        <v>48</v>
      </c>
      <c r="X82" s="1040">
        <v>2</v>
      </c>
      <c r="Y82" s="430" t="s">
        <v>75</v>
      </c>
      <c r="Z82" s="430" t="s">
        <v>75</v>
      </c>
      <c r="AA82" s="430"/>
      <c r="AB82" s="437">
        <v>46038</v>
      </c>
      <c r="AC82" s="438">
        <v>3</v>
      </c>
      <c r="AD82" s="439" t="s">
        <v>501</v>
      </c>
      <c r="AE82" s="430"/>
      <c r="AF82" s="430" t="s">
        <v>122</v>
      </c>
      <c r="AG82" s="430" t="s">
        <v>123</v>
      </c>
      <c r="AH82" s="430" t="s">
        <v>78</v>
      </c>
      <c r="AI82" s="437">
        <v>46045</v>
      </c>
      <c r="AJ82" s="437">
        <v>46047</v>
      </c>
      <c r="AK82" s="441">
        <v>46047</v>
      </c>
      <c r="AL82" s="437">
        <v>46092</v>
      </c>
      <c r="AM82" s="437">
        <v>46111</v>
      </c>
      <c r="AN82" s="437">
        <v>46111</v>
      </c>
      <c r="AO82" s="430" t="s">
        <v>66</v>
      </c>
      <c r="AP82" s="430" t="s">
        <v>479</v>
      </c>
      <c r="AQ82" s="430" t="s">
        <v>80</v>
      </c>
      <c r="AR82" s="430" t="s">
        <v>502</v>
      </c>
      <c r="AS82" s="430" t="s">
        <v>503</v>
      </c>
      <c r="AT82" s="430" t="s">
        <v>503</v>
      </c>
      <c r="AU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7">
        <v>46111</v>
      </c>
      <c r="AX82" s="433" t="s">
        <v>84</v>
      </c>
      <c r="AY82" s="437">
        <v>46120</v>
      </c>
      <c r="AZ82" s="442">
        <v>8</v>
      </c>
      <c r="BA82" s="437">
        <v>46119</v>
      </c>
      <c r="BB82" s="433">
        <v>2026</v>
      </c>
      <c r="BC82" s="430">
        <v>4</v>
      </c>
      <c r="BD82" s="430">
        <v>15</v>
      </c>
      <c r="BE82" s="431">
        <v>36</v>
      </c>
      <c r="BF82" s="431">
        <v>864</v>
      </c>
      <c r="BG82" s="431" t="s">
        <v>108</v>
      </c>
      <c r="BH82" s="431" t="s">
        <v>86</v>
      </c>
      <c r="BI82" s="430" t="s">
        <v>197</v>
      </c>
      <c r="BJ82" s="430" t="s">
        <v>197</v>
      </c>
      <c r="BK82" s="430" t="s">
        <v>197</v>
      </c>
      <c r="BL82" s="430" t="s">
        <v>197</v>
      </c>
      <c r="BM82" s="430" t="s">
        <v>197</v>
      </c>
      <c r="BN82" s="430" t="s">
        <v>197</v>
      </c>
      <c r="BO82" s="430" t="s">
        <v>197</v>
      </c>
      <c r="BP82" s="430" t="s">
        <v>197</v>
      </c>
      <c r="BQ82" s="430" t="s">
        <v>197</v>
      </c>
      <c r="BR82" s="430" t="s">
        <v>197</v>
      </c>
      <c r="BS82" s="430" t="s">
        <v>197</v>
      </c>
      <c r="BT82" s="430" t="s">
        <v>197</v>
      </c>
      <c r="BU82" s="430" t="s">
        <v>197</v>
      </c>
      <c r="BV82" s="430" t="s">
        <v>197</v>
      </c>
      <c r="BW82" s="430" t="s">
        <v>197</v>
      </c>
      <c r="BX82" s="430" t="s">
        <v>197</v>
      </c>
      <c r="BY82" s="430" t="s">
        <v>197</v>
      </c>
      <c r="BZ82" s="430" t="s">
        <v>197</v>
      </c>
      <c r="CA82" s="430" t="s">
        <v>197</v>
      </c>
      <c r="CB82" s="430" t="s">
        <v>197</v>
      </c>
      <c r="CC82" s="430" t="s">
        <v>197</v>
      </c>
      <c r="CD82" s="430" t="s">
        <v>197</v>
      </c>
      <c r="CE82" s="430" t="s">
        <v>197</v>
      </c>
      <c r="CF82" s="430" t="s">
        <v>197</v>
      </c>
      <c r="CG82" s="430" t="s">
        <v>197</v>
      </c>
      <c r="CH82" s="430" t="s">
        <v>197</v>
      </c>
      <c r="CI82" s="430" t="s">
        <v>197</v>
      </c>
      <c r="CJ82" s="430" t="s">
        <v>197</v>
      </c>
      <c r="CK82" s="430" t="s">
        <v>197</v>
      </c>
      <c r="CL82" s="430" t="s">
        <v>197</v>
      </c>
      <c r="CM82" s="430" t="s">
        <v>197</v>
      </c>
    </row>
    <row r="83" spans="1:91" ht="10.5">
      <c r="A83" s="462" t="s">
        <v>504</v>
      </c>
      <c r="B83" s="462" t="s">
        <v>111</v>
      </c>
      <c r="C83" s="462" t="s">
        <v>130</v>
      </c>
      <c r="D83" s="462" t="s">
        <v>63</v>
      </c>
      <c r="E83" s="462" t="s">
        <v>64</v>
      </c>
      <c r="F83" s="462" t="s">
        <v>65</v>
      </c>
      <c r="G83" s="462" t="s">
        <v>66</v>
      </c>
      <c r="H83" s="462" t="s">
        <v>67</v>
      </c>
      <c r="I83" s="439" t="s">
        <v>68</v>
      </c>
      <c r="J83" s="430" t="s">
        <v>188</v>
      </c>
      <c r="K83" s="430"/>
      <c r="L83" s="430"/>
      <c r="M83" s="430" t="s">
        <v>68</v>
      </c>
      <c r="N83" s="432" t="s">
        <v>68</v>
      </c>
      <c r="O83" s="430" t="s">
        <v>132</v>
      </c>
      <c r="P83" s="430" t="s">
        <v>133</v>
      </c>
      <c r="Q83" s="430" t="s">
        <v>134</v>
      </c>
      <c r="R83" s="431" t="s">
        <v>73</v>
      </c>
      <c r="S83" s="442" t="s">
        <v>120</v>
      </c>
      <c r="T83" s="433">
        <v>720</v>
      </c>
      <c r="U83" s="1088">
        <v>594</v>
      </c>
      <c r="V83" s="434">
        <v>0.42799999999999999</v>
      </c>
      <c r="W83" s="435">
        <v>18</v>
      </c>
      <c r="X83" s="1040">
        <v>1</v>
      </c>
      <c r="Y83" s="430" t="s">
        <v>75</v>
      </c>
      <c r="Z83" s="430" t="s">
        <v>75</v>
      </c>
      <c r="AA83" s="430"/>
      <c r="AB83" s="437">
        <v>46038</v>
      </c>
      <c r="AC83" s="438">
        <v>3</v>
      </c>
      <c r="AD83" s="439" t="s">
        <v>505</v>
      </c>
      <c r="AE83" s="430"/>
      <c r="AF83" s="430" t="s">
        <v>122</v>
      </c>
      <c r="AG83" s="430" t="s">
        <v>123</v>
      </c>
      <c r="AH83" s="430" t="s">
        <v>78</v>
      </c>
      <c r="AI83" s="437">
        <v>46045</v>
      </c>
      <c r="AJ83" s="437">
        <v>46047</v>
      </c>
      <c r="AK83" s="441">
        <v>46047</v>
      </c>
      <c r="AL83" s="437">
        <v>46092</v>
      </c>
      <c r="AM83" s="437">
        <v>46111</v>
      </c>
      <c r="AN83" s="437">
        <v>46111</v>
      </c>
      <c r="AO83" s="430" t="s">
        <v>66</v>
      </c>
      <c r="AP83" s="430" t="s">
        <v>479</v>
      </c>
      <c r="AQ83" s="430" t="s">
        <v>80</v>
      </c>
      <c r="AR83" s="430" t="s">
        <v>502</v>
      </c>
      <c r="AS83" s="430" t="s">
        <v>503</v>
      </c>
      <c r="AT83" s="430" t="s">
        <v>503</v>
      </c>
      <c r="AU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7">
        <v>46111</v>
      </c>
      <c r="AX83" s="433" t="s">
        <v>84</v>
      </c>
      <c r="AY83" s="437">
        <v>46120</v>
      </c>
      <c r="AZ83" s="442">
        <v>8</v>
      </c>
      <c r="BA83" s="437">
        <v>46119</v>
      </c>
      <c r="BB83" s="433">
        <v>2026</v>
      </c>
      <c r="BC83" s="430">
        <v>4</v>
      </c>
      <c r="BD83" s="430">
        <v>15</v>
      </c>
      <c r="BE83" s="431">
        <v>33</v>
      </c>
      <c r="BF83" s="431">
        <v>594</v>
      </c>
      <c r="BG83" s="431" t="s">
        <v>108</v>
      </c>
      <c r="BH83" s="431" t="s">
        <v>86</v>
      </c>
      <c r="BI83" s="430" t="s">
        <v>197</v>
      </c>
      <c r="BJ83" s="430" t="s">
        <v>197</v>
      </c>
      <c r="BK83" s="430" t="s">
        <v>197</v>
      </c>
      <c r="BL83" s="430" t="s">
        <v>197</v>
      </c>
      <c r="BM83" s="430" t="s">
        <v>197</v>
      </c>
      <c r="BN83" s="430" t="s">
        <v>197</v>
      </c>
      <c r="BO83" s="430" t="s">
        <v>197</v>
      </c>
      <c r="BP83" s="430" t="s">
        <v>197</v>
      </c>
      <c r="BQ83" s="430" t="s">
        <v>197</v>
      </c>
      <c r="BR83" s="430" t="s">
        <v>197</v>
      </c>
      <c r="BS83" s="430" t="s">
        <v>197</v>
      </c>
      <c r="BT83" s="430" t="s">
        <v>197</v>
      </c>
      <c r="BU83" s="430" t="s">
        <v>197</v>
      </c>
      <c r="BV83" s="430" t="s">
        <v>197</v>
      </c>
      <c r="BW83" s="430" t="s">
        <v>197</v>
      </c>
      <c r="BX83" s="430" t="s">
        <v>197</v>
      </c>
      <c r="BY83" s="430" t="s">
        <v>197</v>
      </c>
      <c r="BZ83" s="430" t="s">
        <v>197</v>
      </c>
      <c r="CA83" s="430" t="s">
        <v>197</v>
      </c>
      <c r="CB83" s="430" t="s">
        <v>197</v>
      </c>
      <c r="CC83" s="430" t="s">
        <v>197</v>
      </c>
      <c r="CD83" s="430" t="s">
        <v>197</v>
      </c>
      <c r="CE83" s="430" t="s">
        <v>197</v>
      </c>
      <c r="CF83" s="430" t="s">
        <v>197</v>
      </c>
      <c r="CG83" s="430" t="s">
        <v>197</v>
      </c>
      <c r="CH83" s="430" t="s">
        <v>197</v>
      </c>
      <c r="CI83" s="430" t="s">
        <v>197</v>
      </c>
      <c r="CJ83" s="430" t="s">
        <v>197</v>
      </c>
      <c r="CK83" s="430" t="s">
        <v>197</v>
      </c>
      <c r="CL83" s="430" t="s">
        <v>197</v>
      </c>
      <c r="CM83" s="430" t="s">
        <v>197</v>
      </c>
    </row>
    <row r="84" spans="1:91" ht="10.5">
      <c r="A84" s="462" t="s">
        <v>506</v>
      </c>
      <c r="B84" s="462" t="s">
        <v>111</v>
      </c>
      <c r="C84" s="462" t="s">
        <v>387</v>
      </c>
      <c r="D84" s="462" t="s">
        <v>63</v>
      </c>
      <c r="E84" s="462" t="s">
        <v>64</v>
      </c>
      <c r="F84" s="462" t="s">
        <v>65</v>
      </c>
      <c r="G84" s="462" t="s">
        <v>66</v>
      </c>
      <c r="H84" s="462" t="s">
        <v>67</v>
      </c>
      <c r="I84" s="439" t="s">
        <v>68</v>
      </c>
      <c r="J84" s="430" t="s">
        <v>188</v>
      </c>
      <c r="K84" s="430"/>
      <c r="L84" s="430"/>
      <c r="M84" s="430" t="s">
        <v>68</v>
      </c>
      <c r="N84" s="432" t="s">
        <v>68</v>
      </c>
      <c r="O84" s="430" t="s">
        <v>132</v>
      </c>
      <c r="P84" s="430" t="s">
        <v>189</v>
      </c>
      <c r="Q84" s="430" t="s">
        <v>190</v>
      </c>
      <c r="R84" s="431" t="s">
        <v>73</v>
      </c>
      <c r="S84" s="442" t="s">
        <v>74</v>
      </c>
      <c r="T84" s="433">
        <v>465</v>
      </c>
      <c r="U84" s="1088">
        <v>3456</v>
      </c>
      <c r="V84" s="434">
        <v>1.607</v>
      </c>
      <c r="W84" s="435">
        <v>96</v>
      </c>
      <c r="X84" s="1040">
        <v>4</v>
      </c>
      <c r="Y84" s="430" t="s">
        <v>75</v>
      </c>
      <c r="Z84" s="430" t="s">
        <v>75</v>
      </c>
      <c r="AA84" s="430"/>
      <c r="AB84" s="437">
        <v>46038</v>
      </c>
      <c r="AC84" s="438">
        <v>3</v>
      </c>
      <c r="AD84" s="439" t="s">
        <v>507</v>
      </c>
      <c r="AE84" s="430"/>
      <c r="AF84" s="430" t="s">
        <v>122</v>
      </c>
      <c r="AG84" s="430" t="s">
        <v>123</v>
      </c>
      <c r="AH84" s="430" t="s">
        <v>78</v>
      </c>
      <c r="AI84" s="437">
        <v>46045</v>
      </c>
      <c r="AJ84" s="437">
        <v>46047</v>
      </c>
      <c r="AK84" s="441">
        <v>46047</v>
      </c>
      <c r="AL84" s="437">
        <v>46092</v>
      </c>
      <c r="AM84" s="437">
        <v>46111</v>
      </c>
      <c r="AN84" s="437">
        <v>46111</v>
      </c>
      <c r="AO84" s="430" t="s">
        <v>66</v>
      </c>
      <c r="AP84" s="430" t="s">
        <v>479</v>
      </c>
      <c r="AQ84" s="430" t="s">
        <v>80</v>
      </c>
      <c r="AR84" s="430" t="s">
        <v>502</v>
      </c>
      <c r="AS84" s="430" t="s">
        <v>503</v>
      </c>
      <c r="AT84" s="430" t="s">
        <v>503</v>
      </c>
      <c r="AU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7">
        <v>46111</v>
      </c>
      <c r="AX84" s="433" t="s">
        <v>84</v>
      </c>
      <c r="AY84" s="437">
        <v>46120</v>
      </c>
      <c r="AZ84" s="442">
        <v>8</v>
      </c>
      <c r="BA84" s="437">
        <v>46119</v>
      </c>
      <c r="BB84" s="433">
        <v>2026</v>
      </c>
      <c r="BC84" s="430">
        <v>4</v>
      </c>
      <c r="BD84" s="430">
        <v>15</v>
      </c>
      <c r="BE84" s="431">
        <v>36</v>
      </c>
      <c r="BF84" s="431">
        <v>864</v>
      </c>
      <c r="BG84" s="431" t="s">
        <v>108</v>
      </c>
      <c r="BH84" s="431" t="s">
        <v>86</v>
      </c>
      <c r="BI84" s="430" t="s">
        <v>197</v>
      </c>
      <c r="BJ84" s="430" t="s">
        <v>197</v>
      </c>
      <c r="BK84" s="430" t="s">
        <v>197</v>
      </c>
      <c r="BL84" s="430" t="s">
        <v>197</v>
      </c>
      <c r="BM84" s="430" t="s">
        <v>197</v>
      </c>
      <c r="BN84" s="430" t="s">
        <v>197</v>
      </c>
      <c r="BO84" s="430" t="s">
        <v>197</v>
      </c>
      <c r="BP84" s="430" t="s">
        <v>197</v>
      </c>
      <c r="BQ84" s="430" t="s">
        <v>197</v>
      </c>
      <c r="BR84" s="430" t="s">
        <v>197</v>
      </c>
      <c r="BS84" s="430" t="s">
        <v>197</v>
      </c>
      <c r="BT84" s="430" t="s">
        <v>197</v>
      </c>
      <c r="BU84" s="430" t="s">
        <v>197</v>
      </c>
      <c r="BV84" s="430" t="s">
        <v>197</v>
      </c>
      <c r="BW84" s="430" t="s">
        <v>197</v>
      </c>
      <c r="BX84" s="430" t="s">
        <v>197</v>
      </c>
      <c r="BY84" s="430" t="s">
        <v>197</v>
      </c>
      <c r="BZ84" s="430" t="s">
        <v>197</v>
      </c>
      <c r="CA84" s="430" t="s">
        <v>197</v>
      </c>
      <c r="CB84" s="430" t="s">
        <v>197</v>
      </c>
      <c r="CC84" s="430" t="s">
        <v>197</v>
      </c>
      <c r="CD84" s="430" t="s">
        <v>197</v>
      </c>
      <c r="CE84" s="430" t="s">
        <v>197</v>
      </c>
      <c r="CF84" s="430" t="s">
        <v>197</v>
      </c>
      <c r="CG84" s="430" t="s">
        <v>197</v>
      </c>
      <c r="CH84" s="430" t="s">
        <v>197</v>
      </c>
      <c r="CI84" s="430" t="s">
        <v>197</v>
      </c>
      <c r="CJ84" s="430" t="s">
        <v>197</v>
      </c>
      <c r="CK84" s="430" t="s">
        <v>197</v>
      </c>
      <c r="CL84" s="430" t="s">
        <v>197</v>
      </c>
      <c r="CM84" s="430" t="s">
        <v>197</v>
      </c>
    </row>
    <row r="85" spans="1:91" ht="10.5">
      <c r="A85" s="462" t="s">
        <v>508</v>
      </c>
      <c r="B85" s="462" t="s">
        <v>111</v>
      </c>
      <c r="C85" s="462" t="s">
        <v>130</v>
      </c>
      <c r="D85" s="462" t="s">
        <v>63</v>
      </c>
      <c r="E85" s="462" t="s">
        <v>64</v>
      </c>
      <c r="F85" s="462" t="s">
        <v>65</v>
      </c>
      <c r="G85" s="462" t="s">
        <v>66</v>
      </c>
      <c r="H85" s="462" t="s">
        <v>67</v>
      </c>
      <c r="I85" s="439" t="s">
        <v>68</v>
      </c>
      <c r="J85" s="430" t="s">
        <v>188</v>
      </c>
      <c r="K85" s="430"/>
      <c r="L85" s="430"/>
      <c r="M85" s="430" t="s">
        <v>68</v>
      </c>
      <c r="N85" s="432" t="s">
        <v>68</v>
      </c>
      <c r="O85" s="430" t="s">
        <v>132</v>
      </c>
      <c r="P85" s="430" t="s">
        <v>133</v>
      </c>
      <c r="Q85" s="430" t="s">
        <v>134</v>
      </c>
      <c r="R85" s="431" t="s">
        <v>73</v>
      </c>
      <c r="S85" s="442" t="s">
        <v>120</v>
      </c>
      <c r="T85" s="433">
        <v>720</v>
      </c>
      <c r="U85" s="1088">
        <v>1782</v>
      </c>
      <c r="V85" s="434">
        <v>1.2829999999999999</v>
      </c>
      <c r="W85" s="435">
        <v>54</v>
      </c>
      <c r="X85" s="1040">
        <v>3</v>
      </c>
      <c r="Y85" s="430" t="s">
        <v>75</v>
      </c>
      <c r="Z85" s="430" t="s">
        <v>75</v>
      </c>
      <c r="AA85" s="430"/>
      <c r="AB85" s="437">
        <v>46039</v>
      </c>
      <c r="AC85" s="438">
        <v>3</v>
      </c>
      <c r="AD85" s="439" t="s">
        <v>509</v>
      </c>
      <c r="AE85" s="430"/>
      <c r="AF85" s="430" t="s">
        <v>122</v>
      </c>
      <c r="AG85" s="430" t="s">
        <v>123</v>
      </c>
      <c r="AH85" s="430" t="s">
        <v>78</v>
      </c>
      <c r="AI85" s="437">
        <v>46045</v>
      </c>
      <c r="AJ85" s="437">
        <v>46047</v>
      </c>
      <c r="AK85" s="441">
        <v>46047</v>
      </c>
      <c r="AL85" s="437">
        <v>46092</v>
      </c>
      <c r="AM85" s="437">
        <v>46111</v>
      </c>
      <c r="AN85" s="437">
        <v>46111</v>
      </c>
      <c r="AO85" s="430" t="s">
        <v>66</v>
      </c>
      <c r="AP85" s="430" t="s">
        <v>479</v>
      </c>
      <c r="AQ85" s="430" t="s">
        <v>80</v>
      </c>
      <c r="AR85" s="430" t="s">
        <v>510</v>
      </c>
      <c r="AS85" s="430" t="s">
        <v>511</v>
      </c>
      <c r="AT85" s="430" t="s">
        <v>511</v>
      </c>
      <c r="AU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7">
        <v>46111</v>
      </c>
      <c r="AX85" s="433" t="s">
        <v>84</v>
      </c>
      <c r="AY85" s="437">
        <v>46120</v>
      </c>
      <c r="AZ85" s="442">
        <v>8</v>
      </c>
      <c r="BA85" s="437">
        <v>46119</v>
      </c>
      <c r="BB85" s="433">
        <v>2026</v>
      </c>
      <c r="BC85" s="430">
        <v>4</v>
      </c>
      <c r="BD85" s="430">
        <v>15</v>
      </c>
      <c r="BE85" s="431">
        <v>33</v>
      </c>
      <c r="BF85" s="431">
        <v>594</v>
      </c>
      <c r="BG85" s="431" t="s">
        <v>108</v>
      </c>
      <c r="BH85" s="431" t="s">
        <v>86</v>
      </c>
      <c r="BI85" s="430" t="s">
        <v>197</v>
      </c>
      <c r="BJ85" s="430" t="s">
        <v>197</v>
      </c>
      <c r="BK85" s="430" t="s">
        <v>197</v>
      </c>
      <c r="BL85" s="430" t="s">
        <v>197</v>
      </c>
      <c r="BM85" s="430" t="s">
        <v>197</v>
      </c>
      <c r="BN85" s="430" t="s">
        <v>197</v>
      </c>
      <c r="BO85" s="430" t="s">
        <v>197</v>
      </c>
      <c r="BP85" s="430" t="s">
        <v>197</v>
      </c>
      <c r="BQ85" s="430" t="s">
        <v>197</v>
      </c>
      <c r="BR85" s="430" t="s">
        <v>197</v>
      </c>
      <c r="BS85" s="430" t="s">
        <v>197</v>
      </c>
      <c r="BT85" s="430" t="s">
        <v>197</v>
      </c>
      <c r="BU85" s="430" t="s">
        <v>197</v>
      </c>
      <c r="BV85" s="430" t="s">
        <v>197</v>
      </c>
      <c r="BW85" s="430" t="s">
        <v>197</v>
      </c>
      <c r="BX85" s="430" t="s">
        <v>197</v>
      </c>
      <c r="BY85" s="430" t="s">
        <v>197</v>
      </c>
      <c r="BZ85" s="430" t="s">
        <v>197</v>
      </c>
      <c r="CA85" s="430" t="s">
        <v>197</v>
      </c>
      <c r="CB85" s="430" t="s">
        <v>197</v>
      </c>
      <c r="CC85" s="430" t="s">
        <v>197</v>
      </c>
      <c r="CD85" s="430" t="s">
        <v>197</v>
      </c>
      <c r="CE85" s="430" t="s">
        <v>197</v>
      </c>
      <c r="CF85" s="430" t="s">
        <v>197</v>
      </c>
      <c r="CG85" s="430" t="s">
        <v>197</v>
      </c>
      <c r="CH85" s="430" t="s">
        <v>197</v>
      </c>
      <c r="CI85" s="430" t="s">
        <v>197</v>
      </c>
      <c r="CJ85" s="430" t="s">
        <v>197</v>
      </c>
      <c r="CK85" s="430" t="s">
        <v>197</v>
      </c>
      <c r="CL85" s="430" t="s">
        <v>197</v>
      </c>
      <c r="CM85" s="430" t="s">
        <v>197</v>
      </c>
    </row>
    <row r="86" spans="1:91" ht="10.5">
      <c r="A86" s="462" t="s">
        <v>512</v>
      </c>
      <c r="B86" s="462" t="s">
        <v>111</v>
      </c>
      <c r="C86" s="462" t="s">
        <v>130</v>
      </c>
      <c r="D86" s="462" t="s">
        <v>63</v>
      </c>
      <c r="E86" s="462" t="s">
        <v>64</v>
      </c>
      <c r="F86" s="462" t="s">
        <v>65</v>
      </c>
      <c r="G86" s="462" t="s">
        <v>66</v>
      </c>
      <c r="H86" s="462" t="s">
        <v>67</v>
      </c>
      <c r="I86" s="439" t="s">
        <v>68</v>
      </c>
      <c r="J86" s="430" t="s">
        <v>188</v>
      </c>
      <c r="K86" s="430"/>
      <c r="L86" s="430"/>
      <c r="M86" s="430" t="s">
        <v>68</v>
      </c>
      <c r="N86" s="432" t="s">
        <v>68</v>
      </c>
      <c r="O86" s="430" t="s">
        <v>132</v>
      </c>
      <c r="P86" s="430" t="s">
        <v>133</v>
      </c>
      <c r="Q86" s="430" t="s">
        <v>134</v>
      </c>
      <c r="R86" s="431" t="s">
        <v>73</v>
      </c>
      <c r="S86" s="442" t="s">
        <v>120</v>
      </c>
      <c r="T86" s="433">
        <v>720</v>
      </c>
      <c r="U86" s="1088">
        <v>2376</v>
      </c>
      <c r="V86" s="434">
        <v>1.7110000000000001</v>
      </c>
      <c r="W86" s="435">
        <v>72</v>
      </c>
      <c r="X86" s="1040">
        <v>4</v>
      </c>
      <c r="Y86" s="430" t="s">
        <v>75</v>
      </c>
      <c r="Z86" s="430" t="s">
        <v>75</v>
      </c>
      <c r="AA86" s="430"/>
      <c r="AB86" s="437">
        <v>46039</v>
      </c>
      <c r="AC86" s="438">
        <v>3</v>
      </c>
      <c r="AD86" s="439" t="s">
        <v>513</v>
      </c>
      <c r="AE86" s="430"/>
      <c r="AF86" s="430" t="s">
        <v>122</v>
      </c>
      <c r="AG86" s="430" t="s">
        <v>123</v>
      </c>
      <c r="AH86" s="430" t="s">
        <v>78</v>
      </c>
      <c r="AI86" s="437">
        <v>46045</v>
      </c>
      <c r="AJ86" s="437">
        <v>46047</v>
      </c>
      <c r="AK86" s="441">
        <v>46047</v>
      </c>
      <c r="AL86" s="437">
        <v>46092</v>
      </c>
      <c r="AM86" s="437">
        <v>46111</v>
      </c>
      <c r="AN86" s="437">
        <v>46111</v>
      </c>
      <c r="AO86" s="430" t="s">
        <v>66</v>
      </c>
      <c r="AP86" s="430" t="s">
        <v>479</v>
      </c>
      <c r="AQ86" s="430" t="s">
        <v>80</v>
      </c>
      <c r="AR86" s="430" t="s">
        <v>510</v>
      </c>
      <c r="AS86" s="430" t="s">
        <v>511</v>
      </c>
      <c r="AT86" s="430" t="s">
        <v>511</v>
      </c>
      <c r="AU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7">
        <v>46111</v>
      </c>
      <c r="AX86" s="433" t="s">
        <v>84</v>
      </c>
      <c r="AY86" s="437">
        <v>46120</v>
      </c>
      <c r="AZ86" s="442">
        <v>8</v>
      </c>
      <c r="BA86" s="437">
        <v>46119</v>
      </c>
      <c r="BB86" s="433">
        <v>2026</v>
      </c>
      <c r="BC86" s="430">
        <v>4</v>
      </c>
      <c r="BD86" s="430">
        <v>15</v>
      </c>
      <c r="BE86" s="431">
        <v>33</v>
      </c>
      <c r="BF86" s="431">
        <v>594</v>
      </c>
      <c r="BG86" s="431" t="s">
        <v>108</v>
      </c>
      <c r="BH86" s="431" t="s">
        <v>86</v>
      </c>
      <c r="BI86" s="430" t="s">
        <v>197</v>
      </c>
      <c r="BJ86" s="430" t="s">
        <v>197</v>
      </c>
      <c r="BK86" s="430" t="s">
        <v>197</v>
      </c>
      <c r="BL86" s="430" t="s">
        <v>197</v>
      </c>
      <c r="BM86" s="430" t="s">
        <v>197</v>
      </c>
      <c r="BN86" s="430" t="s">
        <v>197</v>
      </c>
      <c r="BO86" s="430" t="s">
        <v>197</v>
      </c>
      <c r="BP86" s="430" t="s">
        <v>197</v>
      </c>
      <c r="BQ86" s="430" t="s">
        <v>197</v>
      </c>
      <c r="BR86" s="430" t="s">
        <v>197</v>
      </c>
      <c r="BS86" s="430" t="s">
        <v>197</v>
      </c>
      <c r="BT86" s="430" t="s">
        <v>197</v>
      </c>
      <c r="BU86" s="430" t="s">
        <v>197</v>
      </c>
      <c r="BV86" s="430" t="s">
        <v>197</v>
      </c>
      <c r="BW86" s="430" t="s">
        <v>197</v>
      </c>
      <c r="BX86" s="430" t="s">
        <v>197</v>
      </c>
      <c r="BY86" s="430" t="s">
        <v>197</v>
      </c>
      <c r="BZ86" s="430" t="s">
        <v>197</v>
      </c>
      <c r="CA86" s="430" t="s">
        <v>197</v>
      </c>
      <c r="CB86" s="430" t="s">
        <v>197</v>
      </c>
      <c r="CC86" s="430" t="s">
        <v>197</v>
      </c>
      <c r="CD86" s="430" t="s">
        <v>197</v>
      </c>
      <c r="CE86" s="430" t="s">
        <v>197</v>
      </c>
      <c r="CF86" s="430" t="s">
        <v>197</v>
      </c>
      <c r="CG86" s="430" t="s">
        <v>197</v>
      </c>
      <c r="CH86" s="430" t="s">
        <v>197</v>
      </c>
      <c r="CI86" s="430" t="s">
        <v>197</v>
      </c>
      <c r="CJ86" s="430" t="s">
        <v>197</v>
      </c>
      <c r="CK86" s="430" t="s">
        <v>197</v>
      </c>
      <c r="CL86" s="430" t="s">
        <v>197</v>
      </c>
      <c r="CM86" s="430" t="s">
        <v>197</v>
      </c>
    </row>
    <row r="87" spans="1:91" ht="10.5">
      <c r="A87" s="462" t="s">
        <v>514</v>
      </c>
      <c r="B87" s="462" t="s">
        <v>111</v>
      </c>
      <c r="C87" s="462" t="s">
        <v>112</v>
      </c>
      <c r="D87" s="462" t="s">
        <v>113</v>
      </c>
      <c r="E87" s="462" t="s">
        <v>64</v>
      </c>
      <c r="F87" s="462" t="s">
        <v>114</v>
      </c>
      <c r="G87" s="462" t="s">
        <v>66</v>
      </c>
      <c r="H87" s="462" t="s">
        <v>115</v>
      </c>
      <c r="I87" s="439" t="s">
        <v>68</v>
      </c>
      <c r="J87" s="430" t="s">
        <v>116</v>
      </c>
      <c r="K87" s="430" t="s">
        <v>266</v>
      </c>
      <c r="L87" s="430"/>
      <c r="M87" s="430" t="s">
        <v>68</v>
      </c>
      <c r="N87" s="432" t="s">
        <v>68</v>
      </c>
      <c r="O87" s="430" t="s">
        <v>70</v>
      </c>
      <c r="P87" s="430" t="s">
        <v>118</v>
      </c>
      <c r="Q87" s="430" t="s">
        <v>119</v>
      </c>
      <c r="R87" s="431" t="s">
        <v>73</v>
      </c>
      <c r="S87" s="442" t="s">
        <v>120</v>
      </c>
      <c r="T87" s="433">
        <v>640</v>
      </c>
      <c r="U87" s="1088" t="s">
        <v>197</v>
      </c>
      <c r="V87" s="434" t="s">
        <v>515</v>
      </c>
      <c r="W87" s="435" t="s">
        <v>516</v>
      </c>
      <c r="X87" s="1040">
        <v>0</v>
      </c>
      <c r="Y87" s="430" t="s">
        <v>75</v>
      </c>
      <c r="Z87" s="430" t="s">
        <v>75</v>
      </c>
      <c r="AA87" s="430"/>
      <c r="AB87" s="437">
        <v>46040</v>
      </c>
      <c r="AC87" s="438">
        <v>3</v>
      </c>
      <c r="AD87" s="439" t="s">
        <v>517</v>
      </c>
      <c r="AE87" s="430"/>
      <c r="AF87" s="430" t="s">
        <v>122</v>
      </c>
      <c r="AG87" s="430" t="s">
        <v>123</v>
      </c>
      <c r="AH87" s="430" t="s">
        <v>124</v>
      </c>
      <c r="AI87" s="437">
        <v>46045</v>
      </c>
      <c r="AJ87" s="437">
        <v>46047</v>
      </c>
      <c r="AK87" s="441">
        <v>46047</v>
      </c>
      <c r="AL87" s="437">
        <v>46100</v>
      </c>
      <c r="AM87" s="437">
        <v>46114</v>
      </c>
      <c r="AN87" s="437">
        <v>46117</v>
      </c>
      <c r="AO87" s="430" t="s">
        <v>66</v>
      </c>
      <c r="AP87" s="430" t="s">
        <v>479</v>
      </c>
      <c r="AQ87" s="430" t="s">
        <v>80</v>
      </c>
      <c r="AR87" s="430" t="s">
        <v>518</v>
      </c>
      <c r="AS87" s="430" t="s">
        <v>519</v>
      </c>
      <c r="AT87" s="430" t="s">
        <v>519</v>
      </c>
      <c r="AU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7">
        <v>46117</v>
      </c>
      <c r="AX87" s="433" t="s">
        <v>84</v>
      </c>
      <c r="AY87" s="437">
        <v>46120</v>
      </c>
      <c r="AZ87" s="442">
        <v>9</v>
      </c>
      <c r="BA87" s="437">
        <v>46126</v>
      </c>
      <c r="BB87" s="433">
        <v>2026</v>
      </c>
      <c r="BC87" s="430">
        <v>4</v>
      </c>
      <c r="BD87" s="430">
        <v>16</v>
      </c>
      <c r="BE87" s="431">
        <v>36</v>
      </c>
      <c r="BF87" s="431">
        <v>576</v>
      </c>
      <c r="BG87" s="431" t="s">
        <v>128</v>
      </c>
      <c r="BH87" s="431" t="s">
        <v>86</v>
      </c>
      <c r="BI87" s="430" t="s">
        <v>197</v>
      </c>
      <c r="BJ87" s="430" t="s">
        <v>197</v>
      </c>
      <c r="BK87" s="430" t="s">
        <v>197</v>
      </c>
      <c r="BL87" s="430" t="s">
        <v>197</v>
      </c>
      <c r="BM87" s="430" t="s">
        <v>197</v>
      </c>
      <c r="BN87" s="430" t="s">
        <v>197</v>
      </c>
      <c r="BO87" s="430" t="s">
        <v>197</v>
      </c>
      <c r="BP87" s="430" t="s">
        <v>197</v>
      </c>
      <c r="BQ87" s="430" t="s">
        <v>197</v>
      </c>
      <c r="BR87" s="430" t="s">
        <v>197</v>
      </c>
      <c r="BS87" s="430" t="s">
        <v>197</v>
      </c>
      <c r="BT87" s="430" t="s">
        <v>197</v>
      </c>
      <c r="BU87" s="430" t="s">
        <v>197</v>
      </c>
      <c r="BV87" s="430" t="s">
        <v>197</v>
      </c>
      <c r="BW87" s="430" t="s">
        <v>197</v>
      </c>
      <c r="BX87" s="430" t="s">
        <v>197</v>
      </c>
      <c r="BY87" s="430" t="s">
        <v>197</v>
      </c>
      <c r="BZ87" s="430" t="s">
        <v>197</v>
      </c>
      <c r="CA87" s="430" t="s">
        <v>197</v>
      </c>
      <c r="CB87" s="430" t="s">
        <v>197</v>
      </c>
      <c r="CC87" s="430" t="s">
        <v>197</v>
      </c>
      <c r="CD87" s="430" t="s">
        <v>197</v>
      </c>
      <c r="CE87" s="430" t="s">
        <v>197</v>
      </c>
      <c r="CF87" s="430" t="s">
        <v>197</v>
      </c>
      <c r="CG87" s="430" t="s">
        <v>197</v>
      </c>
      <c r="CH87" s="430" t="s">
        <v>197</v>
      </c>
      <c r="CI87" s="430" t="s">
        <v>197</v>
      </c>
      <c r="CJ87" s="430" t="s">
        <v>197</v>
      </c>
      <c r="CK87" s="430" t="s">
        <v>197</v>
      </c>
      <c r="CL87" s="430" t="s">
        <v>197</v>
      </c>
      <c r="CM87" s="430" t="s">
        <v>197</v>
      </c>
    </row>
    <row r="88" spans="1:91" ht="10.5">
      <c r="A88" s="462" t="s">
        <v>520</v>
      </c>
      <c r="B88" s="462" t="s">
        <v>111</v>
      </c>
      <c r="C88" s="462" t="s">
        <v>112</v>
      </c>
      <c r="D88" s="462" t="s">
        <v>113</v>
      </c>
      <c r="E88" s="462" t="s">
        <v>64</v>
      </c>
      <c r="F88" s="462" t="s">
        <v>114</v>
      </c>
      <c r="G88" s="462" t="s">
        <v>66</v>
      </c>
      <c r="H88" s="462" t="s">
        <v>115</v>
      </c>
      <c r="I88" s="439" t="s">
        <v>68</v>
      </c>
      <c r="J88" s="430" t="s">
        <v>116</v>
      </c>
      <c r="K88" s="430" t="s">
        <v>266</v>
      </c>
      <c r="L88" s="430"/>
      <c r="M88" s="430" t="s">
        <v>68</v>
      </c>
      <c r="N88" s="432" t="s">
        <v>68</v>
      </c>
      <c r="O88" s="430" t="s">
        <v>70</v>
      </c>
      <c r="P88" s="430" t="s">
        <v>118</v>
      </c>
      <c r="Q88" s="430" t="s">
        <v>119</v>
      </c>
      <c r="R88" s="431" t="s">
        <v>73</v>
      </c>
      <c r="S88" s="442" t="s">
        <v>120</v>
      </c>
      <c r="T88" s="433">
        <v>640</v>
      </c>
      <c r="U88" s="1088">
        <v>1152</v>
      </c>
      <c r="V88" s="434">
        <v>0.73699999999999999</v>
      </c>
      <c r="W88" s="435">
        <v>32</v>
      </c>
      <c r="X88" s="1040">
        <v>2</v>
      </c>
      <c r="Y88" s="430" t="s">
        <v>75</v>
      </c>
      <c r="Z88" s="430" t="s">
        <v>75</v>
      </c>
      <c r="AA88" s="430"/>
      <c r="AB88" s="437">
        <v>46042</v>
      </c>
      <c r="AC88" s="438">
        <v>4</v>
      </c>
      <c r="AD88" s="439" t="s">
        <v>521</v>
      </c>
      <c r="AE88" s="430"/>
      <c r="AF88" s="430" t="s">
        <v>122</v>
      </c>
      <c r="AG88" s="430" t="s">
        <v>123</v>
      </c>
      <c r="AH88" s="430" t="s">
        <v>124</v>
      </c>
      <c r="AI88" s="437">
        <v>46051</v>
      </c>
      <c r="AJ88" s="437">
        <v>46053</v>
      </c>
      <c r="AK88" s="441">
        <v>46054</v>
      </c>
      <c r="AL88" s="437">
        <v>46093</v>
      </c>
      <c r="AM88" s="437">
        <v>46095</v>
      </c>
      <c r="AN88" s="437">
        <v>46095</v>
      </c>
      <c r="AO88" s="430" t="s">
        <v>66</v>
      </c>
      <c r="AP88" s="430" t="s">
        <v>485</v>
      </c>
      <c r="AQ88" s="430" t="s">
        <v>80</v>
      </c>
      <c r="AR88" s="430" t="s">
        <v>522</v>
      </c>
      <c r="AS88" s="430" t="s">
        <v>523</v>
      </c>
      <c r="AT88" s="430" t="s">
        <v>523</v>
      </c>
      <c r="AU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7">
        <v>46095</v>
      </c>
      <c r="AX88" s="433" t="s">
        <v>84</v>
      </c>
      <c r="AY88" s="437">
        <v>46107</v>
      </c>
      <c r="AZ88" s="442">
        <v>9</v>
      </c>
      <c r="BA88" s="437">
        <v>46104</v>
      </c>
      <c r="BB88" s="433">
        <v>2026</v>
      </c>
      <c r="BC88" s="430">
        <v>3</v>
      </c>
      <c r="BD88" s="430">
        <v>13</v>
      </c>
      <c r="BE88" s="431">
        <v>36</v>
      </c>
      <c r="BF88" s="431">
        <v>576</v>
      </c>
      <c r="BG88" s="431" t="s">
        <v>128</v>
      </c>
      <c r="BH88" s="431" t="s">
        <v>86</v>
      </c>
      <c r="BI88" s="430" t="s">
        <v>197</v>
      </c>
      <c r="BJ88" s="430" t="s">
        <v>197</v>
      </c>
      <c r="BK88" s="430" t="s">
        <v>197</v>
      </c>
      <c r="BL88" s="430" t="s">
        <v>197</v>
      </c>
      <c r="BM88" s="430" t="s">
        <v>197</v>
      </c>
      <c r="BN88" s="430" t="s">
        <v>197</v>
      </c>
      <c r="BO88" s="430" t="s">
        <v>197</v>
      </c>
      <c r="BP88" s="430" t="s">
        <v>197</v>
      </c>
      <c r="BQ88" s="430" t="s">
        <v>197</v>
      </c>
      <c r="BR88" s="430" t="s">
        <v>197</v>
      </c>
      <c r="BS88" s="430" t="s">
        <v>197</v>
      </c>
      <c r="BT88" s="430" t="s">
        <v>197</v>
      </c>
      <c r="BU88" s="430" t="s">
        <v>197</v>
      </c>
      <c r="BV88" s="430" t="s">
        <v>197</v>
      </c>
      <c r="BW88" s="430" t="s">
        <v>197</v>
      </c>
      <c r="BX88" s="430" t="s">
        <v>197</v>
      </c>
      <c r="BY88" s="430" t="s">
        <v>197</v>
      </c>
      <c r="BZ88" s="430" t="s">
        <v>197</v>
      </c>
      <c r="CA88" s="430" t="s">
        <v>197</v>
      </c>
      <c r="CB88" s="430" t="s">
        <v>197</v>
      </c>
      <c r="CC88" s="430" t="s">
        <v>197</v>
      </c>
      <c r="CD88" s="430" t="s">
        <v>197</v>
      </c>
      <c r="CE88" s="430" t="s">
        <v>197</v>
      </c>
      <c r="CF88" s="430" t="s">
        <v>197</v>
      </c>
      <c r="CG88" s="430" t="s">
        <v>197</v>
      </c>
      <c r="CH88" s="430" t="s">
        <v>197</v>
      </c>
      <c r="CI88" s="430" t="s">
        <v>197</v>
      </c>
      <c r="CJ88" s="430" t="s">
        <v>197</v>
      </c>
      <c r="CK88" s="430" t="s">
        <v>197</v>
      </c>
      <c r="CL88" s="430" t="s">
        <v>197</v>
      </c>
      <c r="CM88" s="430" t="s">
        <v>197</v>
      </c>
    </row>
    <row r="89" spans="1:91" ht="10.5">
      <c r="A89" s="462" t="s">
        <v>524</v>
      </c>
      <c r="B89" s="462" t="s">
        <v>111</v>
      </c>
      <c r="C89" s="462" t="s">
        <v>525</v>
      </c>
      <c r="D89" s="462" t="s">
        <v>63</v>
      </c>
      <c r="E89" s="462" t="s">
        <v>144</v>
      </c>
      <c r="F89" s="462" t="s">
        <v>145</v>
      </c>
      <c r="G89" s="462" t="s">
        <v>402</v>
      </c>
      <c r="H89" s="462" t="s">
        <v>526</v>
      </c>
      <c r="I89" s="439" t="s">
        <v>68</v>
      </c>
      <c r="J89" s="430" t="s">
        <v>527</v>
      </c>
      <c r="K89" s="430" t="s">
        <v>528</v>
      </c>
      <c r="L89" s="430"/>
      <c r="M89" s="430" t="s">
        <v>68</v>
      </c>
      <c r="N89" s="432" t="s">
        <v>68</v>
      </c>
      <c r="O89" s="430" t="s">
        <v>473</v>
      </c>
      <c r="P89" s="430" t="s">
        <v>529</v>
      </c>
      <c r="Q89" s="430" t="s">
        <v>530</v>
      </c>
      <c r="R89" s="431" t="s">
        <v>73</v>
      </c>
      <c r="S89" s="442" t="s">
        <v>74</v>
      </c>
      <c r="T89" s="433">
        <v>455</v>
      </c>
      <c r="U89" s="1088">
        <v>4320</v>
      </c>
      <c r="V89" s="434">
        <v>1.966</v>
      </c>
      <c r="W89" s="435">
        <v>120</v>
      </c>
      <c r="X89" s="1040">
        <v>5</v>
      </c>
      <c r="Y89" s="430" t="s">
        <v>75</v>
      </c>
      <c r="Z89" s="430" t="s">
        <v>75</v>
      </c>
      <c r="AA89" s="430"/>
      <c r="AB89" s="437">
        <v>46049</v>
      </c>
      <c r="AC89" s="438">
        <v>5</v>
      </c>
      <c r="AD89" s="439" t="s">
        <v>531</v>
      </c>
      <c r="AE89" s="430"/>
      <c r="AF89" s="430" t="s">
        <v>122</v>
      </c>
      <c r="AG89" s="430" t="s">
        <v>123</v>
      </c>
      <c r="AH89" s="430" t="s">
        <v>532</v>
      </c>
      <c r="AI89" s="437">
        <v>46055</v>
      </c>
      <c r="AJ89" s="437">
        <v>46059</v>
      </c>
      <c r="AK89" s="441">
        <v>46059</v>
      </c>
      <c r="AL89" s="437">
        <v>46106</v>
      </c>
      <c r="AM89" s="437">
        <v>46121</v>
      </c>
      <c r="AN89" s="437">
        <v>46122</v>
      </c>
      <c r="AO89" s="430" t="s">
        <v>402</v>
      </c>
      <c r="AP89" s="430" t="s">
        <v>533</v>
      </c>
      <c r="AQ89" s="430" t="s">
        <v>161</v>
      </c>
      <c r="AR89" s="430" t="s">
        <v>534</v>
      </c>
      <c r="AS89" s="430" t="s">
        <v>535</v>
      </c>
      <c r="AT89" s="430" t="s">
        <v>536</v>
      </c>
      <c r="AU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7">
        <v>46122</v>
      </c>
      <c r="AX89" s="433" t="s">
        <v>84</v>
      </c>
      <c r="AY89" s="437">
        <v>46120</v>
      </c>
      <c r="AZ89" s="442" t="s">
        <v>152</v>
      </c>
      <c r="BA89" s="437">
        <v>46122</v>
      </c>
      <c r="BB89" s="433">
        <v>2026</v>
      </c>
      <c r="BC89" s="430">
        <v>4</v>
      </c>
      <c r="BD89" s="430">
        <v>15</v>
      </c>
      <c r="BE89" s="431">
        <v>36</v>
      </c>
      <c r="BF89" s="431">
        <v>864</v>
      </c>
      <c r="BG89" s="431" t="s">
        <v>85</v>
      </c>
      <c r="BH89" s="431" t="s">
        <v>109</v>
      </c>
      <c r="BI89" s="430" t="s">
        <v>197</v>
      </c>
      <c r="BJ89" s="430" t="s">
        <v>197</v>
      </c>
      <c r="BK89" s="430" t="s">
        <v>197</v>
      </c>
      <c r="BL89" s="430" t="s">
        <v>197</v>
      </c>
      <c r="BM89" s="430" t="s">
        <v>197</v>
      </c>
      <c r="BN89" s="430" t="s">
        <v>197</v>
      </c>
      <c r="BO89" s="430" t="s">
        <v>197</v>
      </c>
      <c r="BP89" s="430" t="s">
        <v>197</v>
      </c>
      <c r="BQ89" s="430" t="s">
        <v>197</v>
      </c>
      <c r="BR89" s="430" t="s">
        <v>197</v>
      </c>
      <c r="BS89" s="430" t="s">
        <v>197</v>
      </c>
      <c r="BT89" s="430" t="s">
        <v>197</v>
      </c>
      <c r="BU89" s="430" t="s">
        <v>197</v>
      </c>
      <c r="BV89" s="430" t="s">
        <v>197</v>
      </c>
      <c r="BW89" s="430" t="s">
        <v>197</v>
      </c>
      <c r="BX89" s="430" t="s">
        <v>197</v>
      </c>
      <c r="BY89" s="430" t="s">
        <v>197</v>
      </c>
      <c r="BZ89" s="430" t="s">
        <v>197</v>
      </c>
      <c r="CA89" s="430" t="s">
        <v>197</v>
      </c>
      <c r="CB89" s="430" t="s">
        <v>197</v>
      </c>
      <c r="CC89" s="430" t="s">
        <v>197</v>
      </c>
      <c r="CD89" s="430" t="s">
        <v>197</v>
      </c>
      <c r="CE89" s="430" t="s">
        <v>197</v>
      </c>
      <c r="CF89" s="430" t="s">
        <v>197</v>
      </c>
      <c r="CG89" s="430" t="s">
        <v>197</v>
      </c>
      <c r="CH89" s="430" t="s">
        <v>197</v>
      </c>
      <c r="CI89" s="430" t="s">
        <v>197</v>
      </c>
      <c r="CJ89" s="430" t="s">
        <v>197</v>
      </c>
      <c r="CK89" s="430" t="s">
        <v>197</v>
      </c>
      <c r="CL89" s="430" t="s">
        <v>197</v>
      </c>
      <c r="CM89" s="430" t="s">
        <v>197</v>
      </c>
    </row>
    <row r="90" spans="1:91" ht="10.5">
      <c r="A90" s="462" t="s">
        <v>537</v>
      </c>
      <c r="B90" s="462" t="s">
        <v>111</v>
      </c>
      <c r="C90" s="462" t="s">
        <v>203</v>
      </c>
      <c r="D90" s="462" t="s">
        <v>63</v>
      </c>
      <c r="E90" s="462" t="s">
        <v>144</v>
      </c>
      <c r="F90" s="462" t="s">
        <v>145</v>
      </c>
      <c r="G90" s="462" t="s">
        <v>402</v>
      </c>
      <c r="H90" s="462" t="s">
        <v>538</v>
      </c>
      <c r="I90" s="439" t="s">
        <v>68</v>
      </c>
      <c r="J90" s="430" t="s">
        <v>538</v>
      </c>
      <c r="K90" s="430" t="s">
        <v>539</v>
      </c>
      <c r="L90" s="430"/>
      <c r="M90" s="430" t="s">
        <v>68</v>
      </c>
      <c r="N90" s="432" t="s">
        <v>68</v>
      </c>
      <c r="O90" s="430" t="s">
        <v>473</v>
      </c>
      <c r="P90" s="430" t="s">
        <v>529</v>
      </c>
      <c r="Q90" s="430" t="s">
        <v>530</v>
      </c>
      <c r="R90" s="431" t="s">
        <v>73</v>
      </c>
      <c r="S90" s="442" t="s">
        <v>74</v>
      </c>
      <c r="T90" s="433">
        <v>455</v>
      </c>
      <c r="U90" s="1088">
        <v>1728</v>
      </c>
      <c r="V90" s="434">
        <v>0.78600000000000003</v>
      </c>
      <c r="W90" s="435">
        <v>48</v>
      </c>
      <c r="X90" s="1040">
        <v>2</v>
      </c>
      <c r="Y90" s="430" t="s">
        <v>75</v>
      </c>
      <c r="Z90" s="430" t="s">
        <v>75</v>
      </c>
      <c r="AA90" s="430"/>
      <c r="AB90" s="437">
        <v>46040</v>
      </c>
      <c r="AC90" s="438">
        <v>3</v>
      </c>
      <c r="AD90" s="439" t="s">
        <v>540</v>
      </c>
      <c r="AE90" s="430"/>
      <c r="AF90" s="430" t="s">
        <v>122</v>
      </c>
      <c r="AG90" s="430" t="s">
        <v>123</v>
      </c>
      <c r="AH90" s="430" t="s">
        <v>541</v>
      </c>
      <c r="AI90" s="437">
        <v>46047</v>
      </c>
      <c r="AJ90" s="437">
        <v>46054</v>
      </c>
      <c r="AK90" s="441">
        <v>46054</v>
      </c>
      <c r="AL90" s="437">
        <v>46093</v>
      </c>
      <c r="AM90" s="437">
        <v>46107</v>
      </c>
      <c r="AN90" s="437">
        <v>46107</v>
      </c>
      <c r="AO90" s="430" t="s">
        <v>402</v>
      </c>
      <c r="AP90" s="430" t="s">
        <v>542</v>
      </c>
      <c r="AQ90" s="430" t="s">
        <v>161</v>
      </c>
      <c r="AR90" s="430" t="s">
        <v>543</v>
      </c>
      <c r="AS90" s="430" t="s">
        <v>544</v>
      </c>
      <c r="AT90" s="430" t="s">
        <v>544</v>
      </c>
      <c r="AU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7">
        <v>46107</v>
      </c>
      <c r="AX90" s="433" t="s">
        <v>84</v>
      </c>
      <c r="AY90" s="437">
        <v>46104</v>
      </c>
      <c r="AZ90" s="442" t="s">
        <v>152</v>
      </c>
      <c r="BA90" s="437">
        <v>46107</v>
      </c>
      <c r="BB90" s="433">
        <v>2026</v>
      </c>
      <c r="BC90" s="430">
        <v>3</v>
      </c>
      <c r="BD90" s="430">
        <v>13</v>
      </c>
      <c r="BE90" s="431">
        <v>36</v>
      </c>
      <c r="BF90" s="431">
        <v>864</v>
      </c>
      <c r="BG90" s="431" t="s">
        <v>85</v>
      </c>
      <c r="BH90" s="431" t="s">
        <v>109</v>
      </c>
      <c r="BI90" s="430" t="s">
        <v>197</v>
      </c>
      <c r="BJ90" s="430" t="s">
        <v>197</v>
      </c>
      <c r="BK90" s="430" t="s">
        <v>197</v>
      </c>
      <c r="BL90" s="430" t="s">
        <v>197</v>
      </c>
      <c r="BM90" s="430" t="s">
        <v>197</v>
      </c>
      <c r="BN90" s="430" t="s">
        <v>197</v>
      </c>
      <c r="BO90" s="430" t="s">
        <v>197</v>
      </c>
      <c r="BP90" s="430" t="s">
        <v>197</v>
      </c>
      <c r="BQ90" s="430" t="s">
        <v>197</v>
      </c>
      <c r="BR90" s="430" t="s">
        <v>197</v>
      </c>
      <c r="BS90" s="430" t="s">
        <v>197</v>
      </c>
      <c r="BT90" s="430" t="s">
        <v>197</v>
      </c>
      <c r="BU90" s="430" t="s">
        <v>197</v>
      </c>
      <c r="BV90" s="430" t="s">
        <v>197</v>
      </c>
      <c r="BW90" s="430" t="s">
        <v>197</v>
      </c>
      <c r="BX90" s="430" t="s">
        <v>197</v>
      </c>
      <c r="BY90" s="430" t="s">
        <v>197</v>
      </c>
      <c r="BZ90" s="430" t="s">
        <v>197</v>
      </c>
      <c r="CA90" s="430" t="s">
        <v>197</v>
      </c>
      <c r="CB90" s="430" t="s">
        <v>197</v>
      </c>
      <c r="CC90" s="430" t="s">
        <v>197</v>
      </c>
      <c r="CD90" s="430" t="s">
        <v>197</v>
      </c>
      <c r="CE90" s="430" t="s">
        <v>197</v>
      </c>
      <c r="CF90" s="430" t="s">
        <v>197</v>
      </c>
      <c r="CG90" s="430" t="s">
        <v>197</v>
      </c>
      <c r="CH90" s="430" t="s">
        <v>197</v>
      </c>
      <c r="CI90" s="430" t="s">
        <v>197</v>
      </c>
      <c r="CJ90" s="430" t="s">
        <v>197</v>
      </c>
      <c r="CK90" s="430" t="s">
        <v>197</v>
      </c>
      <c r="CL90" s="430" t="s">
        <v>197</v>
      </c>
      <c r="CM90" s="430" t="s">
        <v>197</v>
      </c>
    </row>
    <row r="91" spans="1:91" ht="10.5">
      <c r="A91" s="462" t="s">
        <v>545</v>
      </c>
      <c r="B91" s="462" t="s">
        <v>111</v>
      </c>
      <c r="C91" s="462" t="s">
        <v>203</v>
      </c>
      <c r="D91" s="462" t="s">
        <v>63</v>
      </c>
      <c r="E91" s="462" t="s">
        <v>144</v>
      </c>
      <c r="F91" s="462" t="s">
        <v>145</v>
      </c>
      <c r="G91" s="462" t="s">
        <v>402</v>
      </c>
      <c r="H91" s="462" t="s">
        <v>538</v>
      </c>
      <c r="I91" s="439" t="s">
        <v>68</v>
      </c>
      <c r="J91" s="430" t="s">
        <v>538</v>
      </c>
      <c r="K91" s="430" t="s">
        <v>539</v>
      </c>
      <c r="L91" s="430"/>
      <c r="M91" s="430" t="s">
        <v>68</v>
      </c>
      <c r="N91" s="432" t="s">
        <v>68</v>
      </c>
      <c r="O91" s="430" t="s">
        <v>473</v>
      </c>
      <c r="P91" s="430" t="s">
        <v>529</v>
      </c>
      <c r="Q91" s="430" t="s">
        <v>530</v>
      </c>
      <c r="R91" s="431" t="s">
        <v>73</v>
      </c>
      <c r="S91" s="442" t="s">
        <v>74</v>
      </c>
      <c r="T91" s="433">
        <v>455</v>
      </c>
      <c r="U91" s="1088">
        <v>2592</v>
      </c>
      <c r="V91" s="434">
        <v>1.179</v>
      </c>
      <c r="W91" s="435">
        <v>72</v>
      </c>
      <c r="X91" s="1040">
        <v>3</v>
      </c>
      <c r="Y91" s="430" t="s">
        <v>75</v>
      </c>
      <c r="Z91" s="430" t="s">
        <v>75</v>
      </c>
      <c r="AA91" s="430"/>
      <c r="AB91" s="437">
        <v>46040</v>
      </c>
      <c r="AC91" s="438">
        <v>3</v>
      </c>
      <c r="AD91" s="439" t="s">
        <v>546</v>
      </c>
      <c r="AE91" s="430"/>
      <c r="AF91" s="430" t="s">
        <v>122</v>
      </c>
      <c r="AG91" s="430" t="s">
        <v>123</v>
      </c>
      <c r="AH91" s="430" t="s">
        <v>541</v>
      </c>
      <c r="AI91" s="437">
        <v>46047</v>
      </c>
      <c r="AJ91" s="437">
        <v>46054</v>
      </c>
      <c r="AK91" s="441">
        <v>46054</v>
      </c>
      <c r="AL91" s="437">
        <v>46093</v>
      </c>
      <c r="AM91" s="437">
        <v>46107</v>
      </c>
      <c r="AN91" s="437">
        <v>46107</v>
      </c>
      <c r="AO91" s="430" t="s">
        <v>402</v>
      </c>
      <c r="AP91" s="430" t="s">
        <v>542</v>
      </c>
      <c r="AQ91" s="430" t="s">
        <v>161</v>
      </c>
      <c r="AR91" s="430" t="s">
        <v>543</v>
      </c>
      <c r="AS91" s="430" t="s">
        <v>544</v>
      </c>
      <c r="AT91" s="430" t="s">
        <v>544</v>
      </c>
      <c r="AU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7">
        <v>46107</v>
      </c>
      <c r="AX91" s="433" t="s">
        <v>84</v>
      </c>
      <c r="AY91" s="437">
        <v>46104</v>
      </c>
      <c r="AZ91" s="442" t="s">
        <v>152</v>
      </c>
      <c r="BA91" s="437">
        <v>46107</v>
      </c>
      <c r="BB91" s="433">
        <v>2026</v>
      </c>
      <c r="BC91" s="430">
        <v>3</v>
      </c>
      <c r="BD91" s="430">
        <v>13</v>
      </c>
      <c r="BE91" s="431">
        <v>36</v>
      </c>
      <c r="BF91" s="431">
        <v>864</v>
      </c>
      <c r="BG91" s="431" t="s">
        <v>85</v>
      </c>
      <c r="BH91" s="431" t="s">
        <v>109</v>
      </c>
      <c r="BI91" s="430" t="s">
        <v>197</v>
      </c>
      <c r="BJ91" s="430" t="s">
        <v>197</v>
      </c>
      <c r="BK91" s="430" t="s">
        <v>197</v>
      </c>
      <c r="BL91" s="430" t="s">
        <v>197</v>
      </c>
      <c r="BM91" s="430" t="s">
        <v>197</v>
      </c>
      <c r="BN91" s="430" t="s">
        <v>197</v>
      </c>
      <c r="BO91" s="430" t="s">
        <v>197</v>
      </c>
      <c r="BP91" s="430" t="s">
        <v>197</v>
      </c>
      <c r="BQ91" s="430" t="s">
        <v>197</v>
      </c>
      <c r="BR91" s="430" t="s">
        <v>197</v>
      </c>
      <c r="BS91" s="430" t="s">
        <v>197</v>
      </c>
      <c r="BT91" s="430" t="s">
        <v>197</v>
      </c>
      <c r="BU91" s="430" t="s">
        <v>197</v>
      </c>
      <c r="BV91" s="430" t="s">
        <v>197</v>
      </c>
      <c r="BW91" s="430" t="s">
        <v>197</v>
      </c>
      <c r="BX91" s="430" t="s">
        <v>197</v>
      </c>
      <c r="BY91" s="430" t="s">
        <v>197</v>
      </c>
      <c r="BZ91" s="430" t="s">
        <v>197</v>
      </c>
      <c r="CA91" s="430" t="s">
        <v>197</v>
      </c>
      <c r="CB91" s="430" t="s">
        <v>197</v>
      </c>
      <c r="CC91" s="430" t="s">
        <v>197</v>
      </c>
      <c r="CD91" s="430" t="s">
        <v>197</v>
      </c>
      <c r="CE91" s="430" t="s">
        <v>197</v>
      </c>
      <c r="CF91" s="430" t="s">
        <v>197</v>
      </c>
      <c r="CG91" s="430" t="s">
        <v>197</v>
      </c>
      <c r="CH91" s="430" t="s">
        <v>197</v>
      </c>
      <c r="CI91" s="430" t="s">
        <v>197</v>
      </c>
      <c r="CJ91" s="430" t="s">
        <v>197</v>
      </c>
      <c r="CK91" s="430" t="s">
        <v>197</v>
      </c>
      <c r="CL91" s="430" t="s">
        <v>197</v>
      </c>
      <c r="CM91" s="430" t="s">
        <v>197</v>
      </c>
    </row>
    <row r="92" spans="1:91" ht="10.5">
      <c r="A92" s="462" t="s">
        <v>547</v>
      </c>
      <c r="B92" s="462" t="s">
        <v>111</v>
      </c>
      <c r="C92" s="462" t="s">
        <v>548</v>
      </c>
      <c r="D92" s="462" t="s">
        <v>63</v>
      </c>
      <c r="E92" s="462" t="s">
        <v>144</v>
      </c>
      <c r="F92" s="462" t="s">
        <v>145</v>
      </c>
      <c r="G92" s="462" t="s">
        <v>402</v>
      </c>
      <c r="H92" s="462" t="s">
        <v>538</v>
      </c>
      <c r="I92" s="439" t="s">
        <v>68</v>
      </c>
      <c r="J92" s="430" t="s">
        <v>538</v>
      </c>
      <c r="K92" s="430" t="s">
        <v>549</v>
      </c>
      <c r="L92" s="430"/>
      <c r="M92" s="430" t="s">
        <v>68</v>
      </c>
      <c r="N92" s="432" t="s">
        <v>68</v>
      </c>
      <c r="O92" s="430" t="s">
        <v>550</v>
      </c>
      <c r="P92" s="430" t="s">
        <v>551</v>
      </c>
      <c r="Q92" s="430" t="s">
        <v>552</v>
      </c>
      <c r="R92" s="431" t="s">
        <v>73</v>
      </c>
      <c r="S92" s="442" t="s">
        <v>553</v>
      </c>
      <c r="T92" s="433">
        <v>510</v>
      </c>
      <c r="U92" s="1088">
        <v>2376</v>
      </c>
      <c r="V92" s="434">
        <v>1.212</v>
      </c>
      <c r="W92" s="435">
        <v>66</v>
      </c>
      <c r="X92" s="1040">
        <v>3</v>
      </c>
      <c r="Y92" s="430" t="s">
        <v>75</v>
      </c>
      <c r="Z92" s="430" t="s">
        <v>75</v>
      </c>
      <c r="AA92" s="430"/>
      <c r="AB92" s="437">
        <v>46040</v>
      </c>
      <c r="AC92" s="438">
        <v>3</v>
      </c>
      <c r="AD92" s="439" t="s">
        <v>554</v>
      </c>
      <c r="AE92" s="430"/>
      <c r="AF92" s="430" t="s">
        <v>122</v>
      </c>
      <c r="AG92" s="430" t="s">
        <v>123</v>
      </c>
      <c r="AH92" s="430" t="s">
        <v>541</v>
      </c>
      <c r="AI92" s="437">
        <v>46047</v>
      </c>
      <c r="AJ92" s="437">
        <v>46054</v>
      </c>
      <c r="AK92" s="441">
        <v>46054</v>
      </c>
      <c r="AL92" s="437">
        <v>46093</v>
      </c>
      <c r="AM92" s="437">
        <v>46107</v>
      </c>
      <c r="AN92" s="437">
        <v>46107</v>
      </c>
      <c r="AO92" s="430" t="s">
        <v>402</v>
      </c>
      <c r="AP92" s="430" t="s">
        <v>542</v>
      </c>
      <c r="AQ92" s="430" t="s">
        <v>161</v>
      </c>
      <c r="AR92" s="430" t="s">
        <v>543</v>
      </c>
      <c r="AS92" s="430" t="s">
        <v>544</v>
      </c>
      <c r="AT92" s="430" t="s">
        <v>544</v>
      </c>
      <c r="AU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7">
        <v>46107</v>
      </c>
      <c r="AX92" s="433" t="s">
        <v>84</v>
      </c>
      <c r="AY92" s="437">
        <v>46104</v>
      </c>
      <c r="AZ92" s="442" t="s">
        <v>152</v>
      </c>
      <c r="BA92" s="437">
        <v>46107</v>
      </c>
      <c r="BB92" s="433">
        <v>2026</v>
      </c>
      <c r="BC92" s="430">
        <v>3</v>
      </c>
      <c r="BD92" s="430">
        <v>13</v>
      </c>
      <c r="BE92" s="431">
        <v>36</v>
      </c>
      <c r="BF92" s="431">
        <v>792</v>
      </c>
      <c r="BG92" s="431" t="s">
        <v>85</v>
      </c>
      <c r="BH92" s="431" t="s">
        <v>109</v>
      </c>
      <c r="BI92" s="430" t="s">
        <v>197</v>
      </c>
      <c r="BJ92" s="430" t="s">
        <v>197</v>
      </c>
      <c r="BK92" s="430" t="s">
        <v>197</v>
      </c>
      <c r="BL92" s="430" t="s">
        <v>197</v>
      </c>
      <c r="BM92" s="430" t="s">
        <v>197</v>
      </c>
      <c r="BN92" s="430" t="s">
        <v>197</v>
      </c>
      <c r="BO92" s="430" t="s">
        <v>197</v>
      </c>
      <c r="BP92" s="430" t="s">
        <v>197</v>
      </c>
      <c r="BQ92" s="430" t="s">
        <v>197</v>
      </c>
      <c r="BR92" s="430" t="s">
        <v>197</v>
      </c>
      <c r="BS92" s="430" t="s">
        <v>197</v>
      </c>
      <c r="BT92" s="430" t="s">
        <v>197</v>
      </c>
      <c r="BU92" s="430" t="s">
        <v>197</v>
      </c>
      <c r="BV92" s="430" t="s">
        <v>197</v>
      </c>
      <c r="BW92" s="430" t="s">
        <v>197</v>
      </c>
      <c r="BX92" s="430" t="s">
        <v>197</v>
      </c>
      <c r="BY92" s="430" t="s">
        <v>197</v>
      </c>
      <c r="BZ92" s="430" t="s">
        <v>197</v>
      </c>
      <c r="CA92" s="430" t="s">
        <v>197</v>
      </c>
      <c r="CB92" s="430" t="s">
        <v>197</v>
      </c>
      <c r="CC92" s="430" t="s">
        <v>197</v>
      </c>
      <c r="CD92" s="430" t="s">
        <v>197</v>
      </c>
      <c r="CE92" s="430" t="s">
        <v>197</v>
      </c>
      <c r="CF92" s="430" t="s">
        <v>197</v>
      </c>
      <c r="CG92" s="430" t="s">
        <v>197</v>
      </c>
      <c r="CH92" s="430" t="s">
        <v>197</v>
      </c>
      <c r="CI92" s="430" t="s">
        <v>197</v>
      </c>
      <c r="CJ92" s="430" t="s">
        <v>197</v>
      </c>
      <c r="CK92" s="430" t="s">
        <v>197</v>
      </c>
      <c r="CL92" s="430" t="s">
        <v>197</v>
      </c>
      <c r="CM92" s="430" t="s">
        <v>197</v>
      </c>
    </row>
    <row r="93" spans="1:91" ht="10.5">
      <c r="A93" s="462" t="s">
        <v>555</v>
      </c>
      <c r="B93" s="462" t="s">
        <v>111</v>
      </c>
      <c r="C93" s="462" t="s">
        <v>525</v>
      </c>
      <c r="D93" s="462" t="s">
        <v>63</v>
      </c>
      <c r="E93" s="462" t="s">
        <v>144</v>
      </c>
      <c r="F93" s="462" t="s">
        <v>145</v>
      </c>
      <c r="G93" s="462" t="s">
        <v>402</v>
      </c>
      <c r="H93" s="462" t="s">
        <v>538</v>
      </c>
      <c r="I93" s="439" t="s">
        <v>68</v>
      </c>
      <c r="J93" s="430" t="s">
        <v>538</v>
      </c>
      <c r="K93" s="430" t="s">
        <v>549</v>
      </c>
      <c r="L93" s="430"/>
      <c r="M93" s="430" t="s">
        <v>68</v>
      </c>
      <c r="N93" s="432" t="s">
        <v>68</v>
      </c>
      <c r="O93" s="430" t="s">
        <v>473</v>
      </c>
      <c r="P93" s="430" t="s">
        <v>529</v>
      </c>
      <c r="Q93" s="430" t="s">
        <v>530</v>
      </c>
      <c r="R93" s="431" t="s">
        <v>73</v>
      </c>
      <c r="S93" s="442" t="s">
        <v>74</v>
      </c>
      <c r="T93" s="433">
        <v>455</v>
      </c>
      <c r="U93" s="1088">
        <v>5184</v>
      </c>
      <c r="V93" s="434">
        <v>2.359</v>
      </c>
      <c r="W93" s="435">
        <v>144</v>
      </c>
      <c r="X93" s="1040">
        <v>6</v>
      </c>
      <c r="Y93" s="430" t="s">
        <v>75</v>
      </c>
      <c r="Z93" s="430" t="s">
        <v>75</v>
      </c>
      <c r="AA93" s="430"/>
      <c r="AB93" s="437">
        <v>46040</v>
      </c>
      <c r="AC93" s="438">
        <v>3</v>
      </c>
      <c r="AD93" s="439" t="s">
        <v>556</v>
      </c>
      <c r="AE93" s="430"/>
      <c r="AF93" s="430" t="s">
        <v>122</v>
      </c>
      <c r="AG93" s="430" t="s">
        <v>123</v>
      </c>
      <c r="AH93" s="430" t="s">
        <v>541</v>
      </c>
      <c r="AI93" s="437">
        <v>46047</v>
      </c>
      <c r="AJ93" s="437">
        <v>46054</v>
      </c>
      <c r="AK93" s="441">
        <v>46054</v>
      </c>
      <c r="AL93" s="437">
        <v>46093</v>
      </c>
      <c r="AM93" s="437">
        <v>46107</v>
      </c>
      <c r="AN93" s="437">
        <v>46107</v>
      </c>
      <c r="AO93" s="430" t="s">
        <v>402</v>
      </c>
      <c r="AP93" s="430" t="s">
        <v>542</v>
      </c>
      <c r="AQ93" s="430" t="s">
        <v>161</v>
      </c>
      <c r="AR93" s="430" t="s">
        <v>543</v>
      </c>
      <c r="AS93" s="430" t="s">
        <v>544</v>
      </c>
      <c r="AT93" s="430" t="s">
        <v>544</v>
      </c>
      <c r="AU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7">
        <v>46107</v>
      </c>
      <c r="AX93" s="433" t="s">
        <v>84</v>
      </c>
      <c r="AY93" s="437">
        <v>46104</v>
      </c>
      <c r="AZ93" s="442" t="s">
        <v>152</v>
      </c>
      <c r="BA93" s="437">
        <v>46107</v>
      </c>
      <c r="BB93" s="433">
        <v>2026</v>
      </c>
      <c r="BC93" s="430">
        <v>3</v>
      </c>
      <c r="BD93" s="430">
        <v>13</v>
      </c>
      <c r="BE93" s="431">
        <v>36</v>
      </c>
      <c r="BF93" s="431">
        <v>864</v>
      </c>
      <c r="BG93" s="431" t="s">
        <v>85</v>
      </c>
      <c r="BH93" s="431" t="s">
        <v>109</v>
      </c>
      <c r="BI93" s="430" t="s">
        <v>197</v>
      </c>
      <c r="BJ93" s="430" t="s">
        <v>197</v>
      </c>
      <c r="BK93" s="430" t="s">
        <v>197</v>
      </c>
      <c r="BL93" s="430" t="s">
        <v>197</v>
      </c>
      <c r="BM93" s="430" t="s">
        <v>197</v>
      </c>
      <c r="BN93" s="430" t="s">
        <v>197</v>
      </c>
      <c r="BO93" s="430" t="s">
        <v>197</v>
      </c>
      <c r="BP93" s="430" t="s">
        <v>197</v>
      </c>
      <c r="BQ93" s="430" t="s">
        <v>197</v>
      </c>
      <c r="BR93" s="430" t="s">
        <v>197</v>
      </c>
      <c r="BS93" s="430" t="s">
        <v>197</v>
      </c>
      <c r="BT93" s="430" t="s">
        <v>197</v>
      </c>
      <c r="BU93" s="430" t="s">
        <v>197</v>
      </c>
      <c r="BV93" s="430" t="s">
        <v>197</v>
      </c>
      <c r="BW93" s="430" t="s">
        <v>197</v>
      </c>
      <c r="BX93" s="430" t="s">
        <v>197</v>
      </c>
      <c r="BY93" s="430" t="s">
        <v>197</v>
      </c>
      <c r="BZ93" s="430" t="s">
        <v>197</v>
      </c>
      <c r="CA93" s="430" t="s">
        <v>197</v>
      </c>
      <c r="CB93" s="430" t="s">
        <v>197</v>
      </c>
      <c r="CC93" s="430" t="s">
        <v>197</v>
      </c>
      <c r="CD93" s="430" t="s">
        <v>197</v>
      </c>
      <c r="CE93" s="430" t="s">
        <v>197</v>
      </c>
      <c r="CF93" s="430" t="s">
        <v>197</v>
      </c>
      <c r="CG93" s="430" t="s">
        <v>197</v>
      </c>
      <c r="CH93" s="430" t="s">
        <v>197</v>
      </c>
      <c r="CI93" s="430" t="s">
        <v>197</v>
      </c>
      <c r="CJ93" s="430" t="s">
        <v>197</v>
      </c>
      <c r="CK93" s="430" t="s">
        <v>197</v>
      </c>
      <c r="CL93" s="430" t="s">
        <v>197</v>
      </c>
      <c r="CM93" s="430" t="s">
        <v>197</v>
      </c>
    </row>
    <row r="94" spans="1:91" ht="10.5">
      <c r="A94" s="462" t="s">
        <v>557</v>
      </c>
      <c r="B94" s="462" t="s">
        <v>61</v>
      </c>
      <c r="C94" s="462" t="s">
        <v>558</v>
      </c>
      <c r="D94" s="462" t="s">
        <v>63</v>
      </c>
      <c r="E94" s="462" t="s">
        <v>144</v>
      </c>
      <c r="F94" s="462" t="s">
        <v>145</v>
      </c>
      <c r="G94" s="462" t="s">
        <v>402</v>
      </c>
      <c r="H94" s="462" t="s">
        <v>538</v>
      </c>
      <c r="I94" s="439" t="s">
        <v>68</v>
      </c>
      <c r="J94" s="430" t="s">
        <v>538</v>
      </c>
      <c r="K94" s="430" t="s">
        <v>559</v>
      </c>
      <c r="L94" s="430"/>
      <c r="M94" s="430" t="s">
        <v>68</v>
      </c>
      <c r="N94" s="432" t="s">
        <v>68</v>
      </c>
      <c r="O94" s="430" t="s">
        <v>70</v>
      </c>
      <c r="P94" s="430" t="s">
        <v>560</v>
      </c>
      <c r="Q94" s="430" t="s">
        <v>196</v>
      </c>
      <c r="R94" s="431" t="s">
        <v>73</v>
      </c>
      <c r="S94" s="442" t="s">
        <v>120</v>
      </c>
      <c r="T94" s="433">
        <v>450</v>
      </c>
      <c r="U94" s="1088">
        <v>1872</v>
      </c>
      <c r="V94" s="434">
        <v>0.84199999999999997</v>
      </c>
      <c r="W94" s="435">
        <v>52</v>
      </c>
      <c r="X94" s="1040">
        <v>2</v>
      </c>
      <c r="Y94" s="430" t="s">
        <v>75</v>
      </c>
      <c r="Z94" s="430" t="s">
        <v>75</v>
      </c>
      <c r="AA94" s="430"/>
      <c r="AB94" s="437">
        <v>46044</v>
      </c>
      <c r="AC94" s="438">
        <v>4</v>
      </c>
      <c r="AD94" s="439" t="s">
        <v>561</v>
      </c>
      <c r="AE94" s="430"/>
      <c r="AF94" s="430" t="s">
        <v>77</v>
      </c>
      <c r="AG94" s="430" t="s">
        <v>61</v>
      </c>
      <c r="AH94" s="430" t="s">
        <v>541</v>
      </c>
      <c r="AI94" s="437">
        <v>46050</v>
      </c>
      <c r="AJ94" s="437">
        <v>46051</v>
      </c>
      <c r="AK94" s="441">
        <v>46051</v>
      </c>
      <c r="AL94" s="437">
        <v>46119</v>
      </c>
      <c r="AM94" s="437">
        <v>46128</v>
      </c>
      <c r="AN94" s="437">
        <v>46128</v>
      </c>
      <c r="AO94" s="430" t="s">
        <v>402</v>
      </c>
      <c r="AP94" s="430" t="s">
        <v>562</v>
      </c>
      <c r="AQ94" s="430" t="s">
        <v>161</v>
      </c>
      <c r="AR94" s="430" t="s">
        <v>563</v>
      </c>
      <c r="AS94" s="430" t="s">
        <v>564</v>
      </c>
      <c r="AT94" s="430" t="s">
        <v>564</v>
      </c>
      <c r="AU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7">
        <v>46128</v>
      </c>
      <c r="AX94" s="433" t="s">
        <v>84</v>
      </c>
      <c r="AY94" s="437">
        <v>46118</v>
      </c>
      <c r="AZ94" s="442" t="s">
        <v>152</v>
      </c>
      <c r="BA94" s="437">
        <v>46128</v>
      </c>
      <c r="BB94" s="433">
        <v>2026</v>
      </c>
      <c r="BC94" s="430">
        <v>4</v>
      </c>
      <c r="BD94" s="430">
        <v>16</v>
      </c>
      <c r="BE94" s="431">
        <v>36</v>
      </c>
      <c r="BF94" s="431">
        <v>936</v>
      </c>
      <c r="BG94" s="431" t="s">
        <v>94</v>
      </c>
      <c r="BH94" s="431" t="s">
        <v>109</v>
      </c>
      <c r="BI94" s="430" t="s">
        <v>197</v>
      </c>
      <c r="BJ94" s="430" t="s">
        <v>197</v>
      </c>
      <c r="BK94" s="430" t="s">
        <v>197</v>
      </c>
      <c r="BL94" s="430" t="s">
        <v>197</v>
      </c>
      <c r="BM94" s="430" t="s">
        <v>197</v>
      </c>
      <c r="BN94" s="430" t="s">
        <v>197</v>
      </c>
      <c r="BO94" s="430" t="s">
        <v>197</v>
      </c>
      <c r="BP94" s="430" t="s">
        <v>197</v>
      </c>
      <c r="BQ94" s="430" t="s">
        <v>197</v>
      </c>
      <c r="BR94" s="430" t="s">
        <v>197</v>
      </c>
      <c r="BS94" s="430" t="s">
        <v>197</v>
      </c>
      <c r="BT94" s="430" t="s">
        <v>197</v>
      </c>
      <c r="BU94" s="430" t="s">
        <v>197</v>
      </c>
      <c r="BV94" s="430" t="s">
        <v>197</v>
      </c>
      <c r="BW94" s="430" t="s">
        <v>197</v>
      </c>
      <c r="BX94" s="430" t="s">
        <v>197</v>
      </c>
      <c r="BY94" s="430" t="s">
        <v>197</v>
      </c>
      <c r="BZ94" s="430" t="s">
        <v>197</v>
      </c>
      <c r="CA94" s="430" t="s">
        <v>197</v>
      </c>
      <c r="CB94" s="430" t="s">
        <v>197</v>
      </c>
      <c r="CC94" s="430" t="s">
        <v>197</v>
      </c>
      <c r="CD94" s="430" t="s">
        <v>197</v>
      </c>
      <c r="CE94" s="430" t="s">
        <v>197</v>
      </c>
      <c r="CF94" s="430" t="s">
        <v>197</v>
      </c>
      <c r="CG94" s="430" t="s">
        <v>197</v>
      </c>
      <c r="CH94" s="430" t="s">
        <v>197</v>
      </c>
      <c r="CI94" s="430" t="s">
        <v>197</v>
      </c>
      <c r="CJ94" s="430" t="s">
        <v>197</v>
      </c>
      <c r="CK94" s="430" t="s">
        <v>197</v>
      </c>
      <c r="CL94" s="430" t="s">
        <v>197</v>
      </c>
      <c r="CM94" s="430" t="s">
        <v>197</v>
      </c>
    </row>
    <row r="95" spans="1:91" ht="10.5">
      <c r="A95" s="462" t="s">
        <v>565</v>
      </c>
      <c r="B95" s="462" t="s">
        <v>61</v>
      </c>
      <c r="C95" s="462" t="s">
        <v>558</v>
      </c>
      <c r="D95" s="462" t="s">
        <v>63</v>
      </c>
      <c r="E95" s="462" t="s">
        <v>144</v>
      </c>
      <c r="F95" s="462" t="s">
        <v>145</v>
      </c>
      <c r="G95" s="462" t="s">
        <v>402</v>
      </c>
      <c r="H95" s="462" t="s">
        <v>538</v>
      </c>
      <c r="I95" s="439" t="s">
        <v>68</v>
      </c>
      <c r="J95" s="430" t="s">
        <v>538</v>
      </c>
      <c r="K95" s="430" t="s">
        <v>566</v>
      </c>
      <c r="L95" s="430"/>
      <c r="M95" s="430" t="s">
        <v>68</v>
      </c>
      <c r="N95" s="432" t="s">
        <v>68</v>
      </c>
      <c r="O95" s="430" t="s">
        <v>70</v>
      </c>
      <c r="P95" s="430" t="s">
        <v>560</v>
      </c>
      <c r="Q95" s="430" t="s">
        <v>196</v>
      </c>
      <c r="R95" s="431" t="s">
        <v>73</v>
      </c>
      <c r="S95" s="442" t="s">
        <v>120</v>
      </c>
      <c r="T95" s="433">
        <v>450</v>
      </c>
      <c r="U95" s="1088">
        <v>1872</v>
      </c>
      <c r="V95" s="434">
        <v>0.84199999999999997</v>
      </c>
      <c r="W95" s="435">
        <v>52</v>
      </c>
      <c r="X95" s="1040">
        <v>2</v>
      </c>
      <c r="Y95" s="430" t="s">
        <v>75</v>
      </c>
      <c r="Z95" s="430" t="s">
        <v>75</v>
      </c>
      <c r="AA95" s="430"/>
      <c r="AB95" s="437">
        <v>46044</v>
      </c>
      <c r="AC95" s="438">
        <v>4</v>
      </c>
      <c r="AD95" s="439" t="s">
        <v>567</v>
      </c>
      <c r="AE95" s="430"/>
      <c r="AF95" s="430" t="s">
        <v>77</v>
      </c>
      <c r="AG95" s="430" t="s">
        <v>61</v>
      </c>
      <c r="AH95" s="430" t="s">
        <v>541</v>
      </c>
      <c r="AI95" s="437">
        <v>46050</v>
      </c>
      <c r="AJ95" s="437">
        <v>46051</v>
      </c>
      <c r="AK95" s="441">
        <v>46051</v>
      </c>
      <c r="AL95" s="437">
        <v>46119</v>
      </c>
      <c r="AM95" s="437">
        <v>46128</v>
      </c>
      <c r="AN95" s="437">
        <v>46128</v>
      </c>
      <c r="AO95" s="430" t="s">
        <v>402</v>
      </c>
      <c r="AP95" s="430" t="s">
        <v>562</v>
      </c>
      <c r="AQ95" s="430" t="s">
        <v>161</v>
      </c>
      <c r="AR95" s="430" t="s">
        <v>563</v>
      </c>
      <c r="AS95" s="430" t="s">
        <v>564</v>
      </c>
      <c r="AT95" s="430" t="s">
        <v>564</v>
      </c>
      <c r="AU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7">
        <v>46128</v>
      </c>
      <c r="AX95" s="433" t="s">
        <v>84</v>
      </c>
      <c r="AY95" s="437">
        <v>46118</v>
      </c>
      <c r="AZ95" s="442" t="s">
        <v>152</v>
      </c>
      <c r="BA95" s="437">
        <v>46128</v>
      </c>
      <c r="BB95" s="433">
        <v>2026</v>
      </c>
      <c r="BC95" s="430">
        <v>4</v>
      </c>
      <c r="BD95" s="430">
        <v>16</v>
      </c>
      <c r="BE95" s="431">
        <v>36</v>
      </c>
      <c r="BF95" s="431">
        <v>936</v>
      </c>
      <c r="BG95" s="431" t="s">
        <v>94</v>
      </c>
      <c r="BH95" s="431" t="s">
        <v>109</v>
      </c>
      <c r="BI95" s="430" t="s">
        <v>197</v>
      </c>
      <c r="BJ95" s="430" t="s">
        <v>197</v>
      </c>
      <c r="BK95" s="430" t="s">
        <v>197</v>
      </c>
      <c r="BL95" s="430" t="s">
        <v>197</v>
      </c>
      <c r="BM95" s="430" t="s">
        <v>197</v>
      </c>
      <c r="BN95" s="430" t="s">
        <v>197</v>
      </c>
      <c r="BO95" s="430" t="s">
        <v>197</v>
      </c>
      <c r="BP95" s="430" t="s">
        <v>197</v>
      </c>
      <c r="BQ95" s="430" t="s">
        <v>197</v>
      </c>
      <c r="BR95" s="430" t="s">
        <v>197</v>
      </c>
      <c r="BS95" s="430" t="s">
        <v>197</v>
      </c>
      <c r="BT95" s="430" t="s">
        <v>197</v>
      </c>
      <c r="BU95" s="430" t="s">
        <v>197</v>
      </c>
      <c r="BV95" s="430" t="s">
        <v>197</v>
      </c>
      <c r="BW95" s="430" t="s">
        <v>197</v>
      </c>
      <c r="BX95" s="430" t="s">
        <v>197</v>
      </c>
      <c r="BY95" s="430" t="s">
        <v>197</v>
      </c>
      <c r="BZ95" s="430" t="s">
        <v>197</v>
      </c>
      <c r="CA95" s="430" t="s">
        <v>197</v>
      </c>
      <c r="CB95" s="430" t="s">
        <v>197</v>
      </c>
      <c r="CC95" s="430" t="s">
        <v>197</v>
      </c>
      <c r="CD95" s="430" t="s">
        <v>197</v>
      </c>
      <c r="CE95" s="430" t="s">
        <v>197</v>
      </c>
      <c r="CF95" s="430" t="s">
        <v>197</v>
      </c>
      <c r="CG95" s="430" t="s">
        <v>197</v>
      </c>
      <c r="CH95" s="430" t="s">
        <v>197</v>
      </c>
      <c r="CI95" s="430" t="s">
        <v>197</v>
      </c>
      <c r="CJ95" s="430" t="s">
        <v>197</v>
      </c>
      <c r="CK95" s="430" t="s">
        <v>197</v>
      </c>
      <c r="CL95" s="430" t="s">
        <v>197</v>
      </c>
      <c r="CM95" s="430" t="s">
        <v>197</v>
      </c>
    </row>
    <row r="96" spans="1:91" ht="10.5">
      <c r="A96" s="462" t="s">
        <v>568</v>
      </c>
      <c r="B96" s="462" t="s">
        <v>61</v>
      </c>
      <c r="C96" s="462" t="s">
        <v>569</v>
      </c>
      <c r="D96" s="462" t="s">
        <v>63</v>
      </c>
      <c r="E96" s="462" t="s">
        <v>144</v>
      </c>
      <c r="F96" s="462" t="s">
        <v>145</v>
      </c>
      <c r="G96" s="462" t="s">
        <v>402</v>
      </c>
      <c r="H96" s="462" t="s">
        <v>538</v>
      </c>
      <c r="I96" s="439" t="s">
        <v>68</v>
      </c>
      <c r="J96" s="430" t="s">
        <v>538</v>
      </c>
      <c r="K96" s="430" t="s">
        <v>559</v>
      </c>
      <c r="L96" s="430"/>
      <c r="M96" s="430" t="s">
        <v>68</v>
      </c>
      <c r="N96" s="432" t="s">
        <v>68</v>
      </c>
      <c r="O96" s="430" t="s">
        <v>70</v>
      </c>
      <c r="P96" s="430" t="s">
        <v>570</v>
      </c>
      <c r="Q96" s="430" t="s">
        <v>571</v>
      </c>
      <c r="R96" s="431" t="s">
        <v>73</v>
      </c>
      <c r="S96" s="442" t="s">
        <v>120</v>
      </c>
      <c r="T96" s="433">
        <v>445</v>
      </c>
      <c r="U96" s="1088">
        <v>3744</v>
      </c>
      <c r="V96" s="434">
        <v>1.6659999999999999</v>
      </c>
      <c r="W96" s="435">
        <v>104</v>
      </c>
      <c r="X96" s="1040">
        <v>4</v>
      </c>
      <c r="Y96" s="430" t="s">
        <v>75</v>
      </c>
      <c r="Z96" s="430" t="s">
        <v>75</v>
      </c>
      <c r="AA96" s="430"/>
      <c r="AB96" s="437">
        <v>46044</v>
      </c>
      <c r="AC96" s="438">
        <v>4</v>
      </c>
      <c r="AD96" s="439" t="s">
        <v>572</v>
      </c>
      <c r="AE96" s="430"/>
      <c r="AF96" s="430" t="s">
        <v>77</v>
      </c>
      <c r="AG96" s="430" t="s">
        <v>61</v>
      </c>
      <c r="AH96" s="430" t="s">
        <v>541</v>
      </c>
      <c r="AI96" s="437">
        <v>46050</v>
      </c>
      <c r="AJ96" s="437">
        <v>46051</v>
      </c>
      <c r="AK96" s="441">
        <v>46051</v>
      </c>
      <c r="AL96" s="437">
        <v>46119</v>
      </c>
      <c r="AM96" s="437">
        <v>46128</v>
      </c>
      <c r="AN96" s="437">
        <v>46128</v>
      </c>
      <c r="AO96" s="430" t="s">
        <v>402</v>
      </c>
      <c r="AP96" s="430" t="s">
        <v>562</v>
      </c>
      <c r="AQ96" s="430" t="s">
        <v>161</v>
      </c>
      <c r="AR96" s="430" t="s">
        <v>563</v>
      </c>
      <c r="AS96" s="430" t="s">
        <v>564</v>
      </c>
      <c r="AT96" s="430" t="s">
        <v>564</v>
      </c>
      <c r="AU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7">
        <v>46128</v>
      </c>
      <c r="AX96" s="433" t="s">
        <v>84</v>
      </c>
      <c r="AY96" s="437">
        <v>46118</v>
      </c>
      <c r="AZ96" s="442" t="s">
        <v>152</v>
      </c>
      <c r="BA96" s="437">
        <v>46128</v>
      </c>
      <c r="BB96" s="433">
        <v>2026</v>
      </c>
      <c r="BC96" s="430">
        <v>4</v>
      </c>
      <c r="BD96" s="430">
        <v>16</v>
      </c>
      <c r="BE96" s="431">
        <v>36</v>
      </c>
      <c r="BF96" s="431">
        <v>936</v>
      </c>
      <c r="BG96" s="431" t="s">
        <v>94</v>
      </c>
      <c r="BH96" s="431" t="s">
        <v>109</v>
      </c>
      <c r="BI96" s="430" t="s">
        <v>197</v>
      </c>
      <c r="BJ96" s="430" t="s">
        <v>197</v>
      </c>
      <c r="BK96" s="430" t="s">
        <v>197</v>
      </c>
      <c r="BL96" s="430" t="s">
        <v>197</v>
      </c>
      <c r="BM96" s="430" t="s">
        <v>197</v>
      </c>
      <c r="BN96" s="430" t="s">
        <v>197</v>
      </c>
      <c r="BO96" s="430" t="s">
        <v>197</v>
      </c>
      <c r="BP96" s="430" t="s">
        <v>197</v>
      </c>
      <c r="BQ96" s="430" t="s">
        <v>197</v>
      </c>
      <c r="BR96" s="430" t="s">
        <v>197</v>
      </c>
      <c r="BS96" s="430" t="s">
        <v>197</v>
      </c>
      <c r="BT96" s="430" t="s">
        <v>197</v>
      </c>
      <c r="BU96" s="430" t="s">
        <v>197</v>
      </c>
      <c r="BV96" s="430" t="s">
        <v>197</v>
      </c>
      <c r="BW96" s="430" t="s">
        <v>197</v>
      </c>
      <c r="BX96" s="430" t="s">
        <v>197</v>
      </c>
      <c r="BY96" s="430" t="s">
        <v>197</v>
      </c>
      <c r="BZ96" s="430" t="s">
        <v>197</v>
      </c>
      <c r="CA96" s="430" t="s">
        <v>197</v>
      </c>
      <c r="CB96" s="430" t="s">
        <v>197</v>
      </c>
      <c r="CC96" s="430" t="s">
        <v>197</v>
      </c>
      <c r="CD96" s="430" t="s">
        <v>197</v>
      </c>
      <c r="CE96" s="430" t="s">
        <v>197</v>
      </c>
      <c r="CF96" s="430" t="s">
        <v>197</v>
      </c>
      <c r="CG96" s="430" t="s">
        <v>197</v>
      </c>
      <c r="CH96" s="430" t="s">
        <v>197</v>
      </c>
      <c r="CI96" s="430" t="s">
        <v>197</v>
      </c>
      <c r="CJ96" s="430" t="s">
        <v>197</v>
      </c>
      <c r="CK96" s="430" t="s">
        <v>197</v>
      </c>
      <c r="CL96" s="430" t="s">
        <v>197</v>
      </c>
      <c r="CM96" s="430" t="s">
        <v>197</v>
      </c>
    </row>
    <row r="97" spans="1:91" ht="10.5">
      <c r="A97" s="462" t="s">
        <v>573</v>
      </c>
      <c r="B97" s="462" t="s">
        <v>61</v>
      </c>
      <c r="C97" s="462" t="s">
        <v>569</v>
      </c>
      <c r="D97" s="462" t="s">
        <v>63</v>
      </c>
      <c r="E97" s="462" t="s">
        <v>144</v>
      </c>
      <c r="F97" s="462" t="s">
        <v>145</v>
      </c>
      <c r="G97" s="462" t="s">
        <v>402</v>
      </c>
      <c r="H97" s="462" t="s">
        <v>538</v>
      </c>
      <c r="I97" s="439" t="s">
        <v>68</v>
      </c>
      <c r="J97" s="430" t="s">
        <v>538</v>
      </c>
      <c r="K97" s="430" t="s">
        <v>574</v>
      </c>
      <c r="L97" s="430"/>
      <c r="M97" s="430" t="s">
        <v>68</v>
      </c>
      <c r="N97" s="432" t="s">
        <v>68</v>
      </c>
      <c r="O97" s="430" t="s">
        <v>70</v>
      </c>
      <c r="P97" s="430" t="s">
        <v>570</v>
      </c>
      <c r="Q97" s="430" t="s">
        <v>571</v>
      </c>
      <c r="R97" s="431" t="s">
        <v>73</v>
      </c>
      <c r="S97" s="442" t="s">
        <v>120</v>
      </c>
      <c r="T97" s="433">
        <v>445</v>
      </c>
      <c r="U97" s="1088">
        <v>4680</v>
      </c>
      <c r="V97" s="434">
        <v>2.0830000000000002</v>
      </c>
      <c r="W97" s="435">
        <v>130</v>
      </c>
      <c r="X97" s="1040">
        <v>5</v>
      </c>
      <c r="Y97" s="430" t="s">
        <v>75</v>
      </c>
      <c r="Z97" s="430" t="s">
        <v>75</v>
      </c>
      <c r="AA97" s="430"/>
      <c r="AB97" s="437">
        <v>46044</v>
      </c>
      <c r="AC97" s="438">
        <v>4</v>
      </c>
      <c r="AD97" s="439" t="s">
        <v>575</v>
      </c>
      <c r="AE97" s="430"/>
      <c r="AF97" s="430" t="s">
        <v>77</v>
      </c>
      <c r="AG97" s="430" t="s">
        <v>61</v>
      </c>
      <c r="AH97" s="430" t="s">
        <v>541</v>
      </c>
      <c r="AI97" s="437">
        <v>46050</v>
      </c>
      <c r="AJ97" s="437">
        <v>46051</v>
      </c>
      <c r="AK97" s="441">
        <v>46051</v>
      </c>
      <c r="AL97" s="437">
        <v>46119</v>
      </c>
      <c r="AM97" s="437">
        <v>46128</v>
      </c>
      <c r="AN97" s="437">
        <v>46128</v>
      </c>
      <c r="AO97" s="430" t="s">
        <v>402</v>
      </c>
      <c r="AP97" s="430" t="s">
        <v>562</v>
      </c>
      <c r="AQ97" s="430" t="s">
        <v>161</v>
      </c>
      <c r="AR97" s="430" t="s">
        <v>563</v>
      </c>
      <c r="AS97" s="430" t="s">
        <v>564</v>
      </c>
      <c r="AT97" s="430" t="s">
        <v>564</v>
      </c>
      <c r="AU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7">
        <v>46128</v>
      </c>
      <c r="AX97" s="433" t="s">
        <v>84</v>
      </c>
      <c r="AY97" s="437">
        <v>46118</v>
      </c>
      <c r="AZ97" s="442" t="s">
        <v>152</v>
      </c>
      <c r="BA97" s="437">
        <v>46128</v>
      </c>
      <c r="BB97" s="433">
        <v>2026</v>
      </c>
      <c r="BC97" s="430">
        <v>4</v>
      </c>
      <c r="BD97" s="430">
        <v>16</v>
      </c>
      <c r="BE97" s="431">
        <v>36</v>
      </c>
      <c r="BF97" s="431">
        <v>936</v>
      </c>
      <c r="BG97" s="431" t="s">
        <v>94</v>
      </c>
      <c r="BH97" s="431" t="s">
        <v>109</v>
      </c>
      <c r="BI97" s="430" t="s">
        <v>197</v>
      </c>
      <c r="BJ97" s="430" t="s">
        <v>197</v>
      </c>
      <c r="BK97" s="430" t="s">
        <v>197</v>
      </c>
      <c r="BL97" s="430" t="s">
        <v>197</v>
      </c>
      <c r="BM97" s="430" t="s">
        <v>197</v>
      </c>
      <c r="BN97" s="430" t="s">
        <v>197</v>
      </c>
      <c r="BO97" s="430" t="s">
        <v>197</v>
      </c>
      <c r="BP97" s="430" t="s">
        <v>197</v>
      </c>
      <c r="BQ97" s="430" t="s">
        <v>197</v>
      </c>
      <c r="BR97" s="430" t="s">
        <v>197</v>
      </c>
      <c r="BS97" s="430" t="s">
        <v>197</v>
      </c>
      <c r="BT97" s="430" t="s">
        <v>197</v>
      </c>
      <c r="BU97" s="430" t="s">
        <v>197</v>
      </c>
      <c r="BV97" s="430" t="s">
        <v>197</v>
      </c>
      <c r="BW97" s="430" t="s">
        <v>197</v>
      </c>
      <c r="BX97" s="430" t="s">
        <v>197</v>
      </c>
      <c r="BY97" s="430" t="s">
        <v>197</v>
      </c>
      <c r="BZ97" s="430" t="s">
        <v>197</v>
      </c>
      <c r="CA97" s="430" t="s">
        <v>197</v>
      </c>
      <c r="CB97" s="430" t="s">
        <v>197</v>
      </c>
      <c r="CC97" s="430" t="s">
        <v>197</v>
      </c>
      <c r="CD97" s="430" t="s">
        <v>197</v>
      </c>
      <c r="CE97" s="430" t="s">
        <v>197</v>
      </c>
      <c r="CF97" s="430" t="s">
        <v>197</v>
      </c>
      <c r="CG97" s="430" t="s">
        <v>197</v>
      </c>
      <c r="CH97" s="430" t="s">
        <v>197</v>
      </c>
      <c r="CI97" s="430" t="s">
        <v>197</v>
      </c>
      <c r="CJ97" s="430" t="s">
        <v>197</v>
      </c>
      <c r="CK97" s="430" t="s">
        <v>197</v>
      </c>
      <c r="CL97" s="430" t="s">
        <v>197</v>
      </c>
      <c r="CM97" s="430" t="s">
        <v>197</v>
      </c>
    </row>
    <row r="98" spans="1:91" ht="10.5">
      <c r="A98" s="462" t="s">
        <v>576</v>
      </c>
      <c r="B98" s="462" t="s">
        <v>61</v>
      </c>
      <c r="C98" s="462" t="s">
        <v>577</v>
      </c>
      <c r="D98" s="462" t="s">
        <v>63</v>
      </c>
      <c r="E98" s="462" t="s">
        <v>64</v>
      </c>
      <c r="F98" s="462" t="s">
        <v>100</v>
      </c>
      <c r="G98" s="462" t="s">
        <v>66</v>
      </c>
      <c r="H98" s="462" t="s">
        <v>67</v>
      </c>
      <c r="I98" s="439" t="s">
        <v>68</v>
      </c>
      <c r="J98" s="430" t="s">
        <v>578</v>
      </c>
      <c r="K98" s="430" t="s">
        <v>328</v>
      </c>
      <c r="L98" s="430"/>
      <c r="M98" s="430" t="s">
        <v>68</v>
      </c>
      <c r="N98" s="432" t="s">
        <v>68</v>
      </c>
      <c r="O98" s="430" t="s">
        <v>70</v>
      </c>
      <c r="P98" s="430" t="s">
        <v>71</v>
      </c>
      <c r="Q98" s="430" t="s">
        <v>72</v>
      </c>
      <c r="R98" s="431" t="s">
        <v>73</v>
      </c>
      <c r="S98" s="442" t="s">
        <v>74</v>
      </c>
      <c r="T98" s="433">
        <v>500</v>
      </c>
      <c r="U98" s="1088">
        <v>8640</v>
      </c>
      <c r="V98" s="434">
        <v>4.32</v>
      </c>
      <c r="W98" s="435">
        <v>240</v>
      </c>
      <c r="X98" s="1040">
        <v>10</v>
      </c>
      <c r="Y98" s="430" t="s">
        <v>75</v>
      </c>
      <c r="Z98" s="430" t="s">
        <v>75</v>
      </c>
      <c r="AA98" s="430" t="s">
        <v>197</v>
      </c>
      <c r="AB98" s="437">
        <v>46045</v>
      </c>
      <c r="AC98" s="438">
        <v>4</v>
      </c>
      <c r="AD98" s="439" t="s">
        <v>579</v>
      </c>
      <c r="AE98" s="430" t="s">
        <v>197</v>
      </c>
      <c r="AF98" s="430" t="s">
        <v>77</v>
      </c>
      <c r="AG98" s="430" t="s">
        <v>61</v>
      </c>
      <c r="AH98" s="430" t="s">
        <v>105</v>
      </c>
      <c r="AI98" s="437">
        <v>46054</v>
      </c>
      <c r="AJ98" s="437">
        <v>46054</v>
      </c>
      <c r="AK98" s="441">
        <v>46055</v>
      </c>
      <c r="AL98" s="437">
        <v>46094</v>
      </c>
      <c r="AM98" s="437">
        <v>46116</v>
      </c>
      <c r="AN98" s="437">
        <v>46118</v>
      </c>
      <c r="AO98" s="430" t="s">
        <v>66</v>
      </c>
      <c r="AP98" s="430" t="s">
        <v>580</v>
      </c>
      <c r="AQ98" s="430" t="s">
        <v>80</v>
      </c>
      <c r="AR98" s="430" t="s">
        <v>581</v>
      </c>
      <c r="AS98" s="430" t="s">
        <v>582</v>
      </c>
      <c r="AT98" s="430" t="s">
        <v>582</v>
      </c>
      <c r="AU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7">
        <v>46118</v>
      </c>
      <c r="AX98" s="433" t="s">
        <v>84</v>
      </c>
      <c r="AY98" s="437">
        <v>46129</v>
      </c>
      <c r="AZ98" s="442">
        <v>7</v>
      </c>
      <c r="BA98" s="437">
        <v>46125</v>
      </c>
      <c r="BB98" s="433">
        <v>2026</v>
      </c>
      <c r="BC98" s="430">
        <v>4</v>
      </c>
      <c r="BD98" s="430">
        <v>16</v>
      </c>
      <c r="BE98" s="431">
        <v>36</v>
      </c>
      <c r="BF98" s="431">
        <v>864</v>
      </c>
      <c r="BG98" s="431" t="s">
        <v>85</v>
      </c>
      <c r="BH98" s="431" t="s">
        <v>109</v>
      </c>
      <c r="BI98" s="430" t="s">
        <v>197</v>
      </c>
      <c r="BJ98" s="430" t="s">
        <v>197</v>
      </c>
      <c r="BK98" s="430" t="s">
        <v>197</v>
      </c>
      <c r="BL98" s="430" t="s">
        <v>197</v>
      </c>
      <c r="BM98" s="430" t="s">
        <v>197</v>
      </c>
      <c r="BN98" s="430" t="s">
        <v>197</v>
      </c>
      <c r="BO98" s="430" t="s">
        <v>197</v>
      </c>
      <c r="BP98" s="430" t="s">
        <v>197</v>
      </c>
      <c r="BQ98" s="430" t="s">
        <v>197</v>
      </c>
      <c r="BR98" s="430" t="s">
        <v>197</v>
      </c>
      <c r="BS98" s="430" t="s">
        <v>197</v>
      </c>
      <c r="BT98" s="430" t="s">
        <v>197</v>
      </c>
      <c r="BU98" s="430" t="s">
        <v>197</v>
      </c>
      <c r="BV98" s="430" t="s">
        <v>197</v>
      </c>
      <c r="BW98" s="430" t="s">
        <v>197</v>
      </c>
      <c r="BX98" s="430" t="s">
        <v>197</v>
      </c>
      <c r="BY98" s="430" t="s">
        <v>197</v>
      </c>
      <c r="BZ98" s="430" t="s">
        <v>197</v>
      </c>
      <c r="CA98" s="430" t="s">
        <v>197</v>
      </c>
      <c r="CB98" s="430" t="s">
        <v>197</v>
      </c>
      <c r="CC98" s="430" t="s">
        <v>197</v>
      </c>
      <c r="CD98" s="430" t="s">
        <v>197</v>
      </c>
      <c r="CE98" s="430" t="s">
        <v>197</v>
      </c>
      <c r="CF98" s="430" t="s">
        <v>197</v>
      </c>
      <c r="CG98" s="430" t="s">
        <v>197</v>
      </c>
      <c r="CH98" s="430" t="s">
        <v>197</v>
      </c>
      <c r="CI98" s="430" t="s">
        <v>197</v>
      </c>
      <c r="CJ98" s="430" t="s">
        <v>197</v>
      </c>
      <c r="CK98" s="430" t="s">
        <v>197</v>
      </c>
      <c r="CL98" s="430" t="s">
        <v>197</v>
      </c>
      <c r="CM98" s="430" t="s">
        <v>197</v>
      </c>
    </row>
    <row r="99" spans="1:91" ht="10.5">
      <c r="A99" s="462" t="s">
        <v>583</v>
      </c>
      <c r="B99" s="462" t="s">
        <v>61</v>
      </c>
      <c r="C99" s="462" t="s">
        <v>584</v>
      </c>
      <c r="D99" s="462" t="s">
        <v>63</v>
      </c>
      <c r="E99" s="462" t="s">
        <v>64</v>
      </c>
      <c r="F99" s="462" t="s">
        <v>310</v>
      </c>
      <c r="G99" s="462" t="s">
        <v>66</v>
      </c>
      <c r="H99" s="462" t="s">
        <v>311</v>
      </c>
      <c r="I99" s="439" t="s">
        <v>68</v>
      </c>
      <c r="J99" s="430" t="s">
        <v>188</v>
      </c>
      <c r="K99" s="430"/>
      <c r="L99" s="430"/>
      <c r="M99" s="430" t="s">
        <v>68</v>
      </c>
      <c r="N99" s="432" t="s">
        <v>68</v>
      </c>
      <c r="O99" s="430" t="s">
        <v>70</v>
      </c>
      <c r="P99" s="430" t="s">
        <v>585</v>
      </c>
      <c r="Q99" s="430" t="s">
        <v>103</v>
      </c>
      <c r="R99" s="431" t="s">
        <v>331</v>
      </c>
      <c r="S99" s="442" t="s">
        <v>120</v>
      </c>
      <c r="T99" s="433">
        <v>620</v>
      </c>
      <c r="U99" s="1088">
        <v>1440</v>
      </c>
      <c r="V99" s="434">
        <v>0.89300000000000002</v>
      </c>
      <c r="W99" s="435">
        <v>40</v>
      </c>
      <c r="X99" s="1040">
        <v>2</v>
      </c>
      <c r="Y99" s="430" t="s">
        <v>75</v>
      </c>
      <c r="Z99" s="430" t="s">
        <v>75</v>
      </c>
      <c r="AA99" s="430" t="s">
        <v>197</v>
      </c>
      <c r="AB99" s="437">
        <v>46044</v>
      </c>
      <c r="AC99" s="438">
        <v>4</v>
      </c>
      <c r="AD99" s="439" t="s">
        <v>586</v>
      </c>
      <c r="AE99" s="430" t="s">
        <v>197</v>
      </c>
      <c r="AF99" s="430" t="s">
        <v>77</v>
      </c>
      <c r="AG99" s="430" t="s">
        <v>61</v>
      </c>
      <c r="AH99" s="430" t="s">
        <v>314</v>
      </c>
      <c r="AI99" s="437">
        <v>46048</v>
      </c>
      <c r="AJ99" s="437">
        <v>46049</v>
      </c>
      <c r="AK99" s="441">
        <v>46049</v>
      </c>
      <c r="AL99" s="437">
        <v>46106</v>
      </c>
      <c r="AM99" s="437">
        <v>46120</v>
      </c>
      <c r="AN99" s="437">
        <v>46120</v>
      </c>
      <c r="AO99" s="430" t="s">
        <v>66</v>
      </c>
      <c r="AP99" s="430" t="s">
        <v>587</v>
      </c>
      <c r="AQ99" s="430" t="s">
        <v>80</v>
      </c>
      <c r="AR99" s="430" t="s">
        <v>588</v>
      </c>
      <c r="AS99" s="430" t="s">
        <v>589</v>
      </c>
      <c r="AT99" s="430" t="s">
        <v>589</v>
      </c>
      <c r="AU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7">
        <v>46120</v>
      </c>
      <c r="AX99" s="433" t="s">
        <v>84</v>
      </c>
      <c r="AY99" s="437">
        <v>46132</v>
      </c>
      <c r="AZ99" s="442">
        <v>13</v>
      </c>
      <c r="BA99" s="437">
        <v>46133</v>
      </c>
      <c r="BB99" s="433">
        <v>2026</v>
      </c>
      <c r="BC99" s="430">
        <v>4</v>
      </c>
      <c r="BD99" s="430">
        <v>17</v>
      </c>
      <c r="BE99" s="431">
        <v>36</v>
      </c>
      <c r="BF99" s="431">
        <v>720</v>
      </c>
      <c r="BG99" s="431" t="s">
        <v>128</v>
      </c>
      <c r="BH99" s="431" t="s">
        <v>86</v>
      </c>
      <c r="BI99" s="430" t="s">
        <v>197</v>
      </c>
      <c r="BJ99" s="430" t="s">
        <v>197</v>
      </c>
      <c r="BK99" s="430" t="s">
        <v>197</v>
      </c>
      <c r="BL99" s="430" t="s">
        <v>197</v>
      </c>
      <c r="BM99" s="430" t="s">
        <v>197</v>
      </c>
      <c r="BN99" s="430" t="s">
        <v>197</v>
      </c>
      <c r="BO99" s="430" t="s">
        <v>197</v>
      </c>
      <c r="BP99" s="430" t="s">
        <v>197</v>
      </c>
      <c r="BQ99" s="430" t="s">
        <v>197</v>
      </c>
      <c r="BR99" s="430" t="s">
        <v>197</v>
      </c>
      <c r="BS99" s="430" t="s">
        <v>197</v>
      </c>
      <c r="BT99" s="430" t="s">
        <v>197</v>
      </c>
      <c r="BU99" s="430" t="s">
        <v>197</v>
      </c>
      <c r="BV99" s="430" t="s">
        <v>197</v>
      </c>
      <c r="BW99" s="430" t="s">
        <v>197</v>
      </c>
      <c r="BX99" s="430" t="s">
        <v>197</v>
      </c>
      <c r="BY99" s="430" t="s">
        <v>197</v>
      </c>
      <c r="BZ99" s="430" t="s">
        <v>197</v>
      </c>
      <c r="CA99" s="430" t="s">
        <v>197</v>
      </c>
      <c r="CB99" s="430" t="s">
        <v>197</v>
      </c>
      <c r="CC99" s="430" t="s">
        <v>197</v>
      </c>
      <c r="CD99" s="430" t="s">
        <v>197</v>
      </c>
      <c r="CE99" s="430" t="s">
        <v>197</v>
      </c>
      <c r="CF99" s="430" t="s">
        <v>197</v>
      </c>
      <c r="CG99" s="430" t="s">
        <v>197</v>
      </c>
      <c r="CH99" s="430" t="s">
        <v>197</v>
      </c>
      <c r="CI99" s="430" t="s">
        <v>197</v>
      </c>
      <c r="CJ99" s="430" t="s">
        <v>197</v>
      </c>
      <c r="CK99" s="430" t="s">
        <v>197</v>
      </c>
      <c r="CL99" s="430" t="s">
        <v>197</v>
      </c>
      <c r="CM99" s="430" t="s">
        <v>197</v>
      </c>
    </row>
    <row r="100" spans="1:91" ht="10.5">
      <c r="A100" s="462" t="s">
        <v>590</v>
      </c>
      <c r="B100" s="462" t="s">
        <v>61</v>
      </c>
      <c r="C100" s="462" t="s">
        <v>418</v>
      </c>
      <c r="D100" s="462" t="s">
        <v>63</v>
      </c>
      <c r="E100" s="462" t="s">
        <v>64</v>
      </c>
      <c r="F100" s="462" t="s">
        <v>310</v>
      </c>
      <c r="G100" s="462" t="s">
        <v>66</v>
      </c>
      <c r="H100" s="462" t="s">
        <v>311</v>
      </c>
      <c r="I100" s="439" t="s">
        <v>68</v>
      </c>
      <c r="J100" s="430" t="s">
        <v>188</v>
      </c>
      <c r="K100" s="430"/>
      <c r="L100" s="430"/>
      <c r="M100" s="430" t="s">
        <v>68</v>
      </c>
      <c r="N100" s="432" t="s">
        <v>68</v>
      </c>
      <c r="O100" s="430" t="s">
        <v>70</v>
      </c>
      <c r="P100" s="430" t="s">
        <v>420</v>
      </c>
      <c r="Q100" s="430" t="s">
        <v>421</v>
      </c>
      <c r="R100" s="431" t="s">
        <v>73</v>
      </c>
      <c r="S100" s="442" t="s">
        <v>120</v>
      </c>
      <c r="T100" s="433">
        <v>505</v>
      </c>
      <c r="U100" s="1088">
        <v>2592</v>
      </c>
      <c r="V100" s="434">
        <v>1.3089999999999999</v>
      </c>
      <c r="W100" s="435">
        <v>72</v>
      </c>
      <c r="X100" s="1040">
        <v>3</v>
      </c>
      <c r="Y100" s="430" t="s">
        <v>75</v>
      </c>
      <c r="Z100" s="430" t="s">
        <v>75</v>
      </c>
      <c r="AA100" s="430" t="s">
        <v>197</v>
      </c>
      <c r="AB100" s="437">
        <v>46044</v>
      </c>
      <c r="AC100" s="438">
        <v>4</v>
      </c>
      <c r="AD100" s="439" t="s">
        <v>591</v>
      </c>
      <c r="AE100" s="430" t="s">
        <v>197</v>
      </c>
      <c r="AF100" s="430" t="s">
        <v>77</v>
      </c>
      <c r="AG100" s="430" t="s">
        <v>61</v>
      </c>
      <c r="AH100" s="430" t="s">
        <v>314</v>
      </c>
      <c r="AI100" s="437">
        <v>46048</v>
      </c>
      <c r="AJ100" s="437">
        <v>46049</v>
      </c>
      <c r="AK100" s="441">
        <v>46049</v>
      </c>
      <c r="AL100" s="437">
        <v>46106</v>
      </c>
      <c r="AM100" s="437">
        <v>46120</v>
      </c>
      <c r="AN100" s="437">
        <v>46120</v>
      </c>
      <c r="AO100" s="430" t="s">
        <v>66</v>
      </c>
      <c r="AP100" s="430" t="s">
        <v>587</v>
      </c>
      <c r="AQ100" s="430" t="s">
        <v>80</v>
      </c>
      <c r="AR100" s="430" t="s">
        <v>588</v>
      </c>
      <c r="AS100" s="430" t="s">
        <v>589</v>
      </c>
      <c r="AT100" s="430" t="s">
        <v>589</v>
      </c>
      <c r="AU1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7">
        <v>46120</v>
      </c>
      <c r="AX100" s="433" t="s">
        <v>84</v>
      </c>
      <c r="AY100" s="437">
        <v>46133</v>
      </c>
      <c r="AZ100" s="442">
        <v>13</v>
      </c>
      <c r="BA100" s="437">
        <v>46133</v>
      </c>
      <c r="BB100" s="433">
        <v>2026</v>
      </c>
      <c r="BC100" s="430">
        <v>4</v>
      </c>
      <c r="BD100" s="430">
        <v>17</v>
      </c>
      <c r="BE100" s="431">
        <v>36</v>
      </c>
      <c r="BF100" s="431">
        <v>864</v>
      </c>
      <c r="BG100" s="431" t="s">
        <v>85</v>
      </c>
      <c r="BH100" s="431" t="s">
        <v>86</v>
      </c>
      <c r="BI100" s="430" t="s">
        <v>197</v>
      </c>
      <c r="BJ100" s="430" t="s">
        <v>197</v>
      </c>
      <c r="BK100" s="430" t="s">
        <v>197</v>
      </c>
      <c r="BL100" s="430" t="s">
        <v>197</v>
      </c>
      <c r="BM100" s="430" t="s">
        <v>197</v>
      </c>
      <c r="BN100" s="430" t="s">
        <v>197</v>
      </c>
      <c r="BO100" s="430" t="s">
        <v>197</v>
      </c>
      <c r="BP100" s="430" t="s">
        <v>197</v>
      </c>
      <c r="BQ100" s="430" t="s">
        <v>197</v>
      </c>
      <c r="BR100" s="430" t="s">
        <v>197</v>
      </c>
      <c r="BS100" s="430" t="s">
        <v>197</v>
      </c>
      <c r="BT100" s="430" t="s">
        <v>197</v>
      </c>
      <c r="BU100" s="430" t="s">
        <v>197</v>
      </c>
      <c r="BV100" s="430" t="s">
        <v>197</v>
      </c>
      <c r="BW100" s="430" t="s">
        <v>197</v>
      </c>
      <c r="BX100" s="430" t="s">
        <v>197</v>
      </c>
      <c r="BY100" s="430" t="s">
        <v>197</v>
      </c>
      <c r="BZ100" s="430" t="s">
        <v>197</v>
      </c>
      <c r="CA100" s="430" t="s">
        <v>197</v>
      </c>
      <c r="CB100" s="430" t="s">
        <v>197</v>
      </c>
      <c r="CC100" s="430" t="s">
        <v>197</v>
      </c>
      <c r="CD100" s="430" t="s">
        <v>197</v>
      </c>
      <c r="CE100" s="430" t="s">
        <v>197</v>
      </c>
      <c r="CF100" s="430" t="s">
        <v>197</v>
      </c>
      <c r="CG100" s="430" t="s">
        <v>197</v>
      </c>
      <c r="CH100" s="430" t="s">
        <v>197</v>
      </c>
      <c r="CI100" s="430" t="s">
        <v>197</v>
      </c>
      <c r="CJ100" s="430" t="s">
        <v>197</v>
      </c>
      <c r="CK100" s="430" t="s">
        <v>197</v>
      </c>
      <c r="CL100" s="430" t="s">
        <v>197</v>
      </c>
      <c r="CM100" s="430" t="s">
        <v>197</v>
      </c>
    </row>
    <row r="101" spans="1:91" ht="10.5">
      <c r="A101" s="462" t="s">
        <v>592</v>
      </c>
      <c r="B101" s="462" t="s">
        <v>61</v>
      </c>
      <c r="C101" s="462" t="s">
        <v>193</v>
      </c>
      <c r="D101" s="462" t="s">
        <v>63</v>
      </c>
      <c r="E101" s="462" t="s">
        <v>144</v>
      </c>
      <c r="F101" s="462" t="s">
        <v>145</v>
      </c>
      <c r="G101" s="462" t="s">
        <v>402</v>
      </c>
      <c r="H101" s="462" t="s">
        <v>593</v>
      </c>
      <c r="I101" s="439" t="s">
        <v>68</v>
      </c>
      <c r="J101" s="430" t="s">
        <v>594</v>
      </c>
      <c r="K101" s="430" t="s">
        <v>595</v>
      </c>
      <c r="L101" s="430"/>
      <c r="M101" s="430" t="s">
        <v>68</v>
      </c>
      <c r="N101" s="432" t="s">
        <v>68</v>
      </c>
      <c r="O101" s="430" t="s">
        <v>70</v>
      </c>
      <c r="P101" s="430" t="s">
        <v>195</v>
      </c>
      <c r="Q101" s="430" t="s">
        <v>196</v>
      </c>
      <c r="R101" s="431" t="s">
        <v>73</v>
      </c>
      <c r="S101" s="442" t="s">
        <v>74</v>
      </c>
      <c r="T101" s="433">
        <v>450</v>
      </c>
      <c r="U101" s="1088">
        <v>1872</v>
      </c>
      <c r="V101" s="434">
        <v>0.84199999999999997</v>
      </c>
      <c r="W101" s="435">
        <v>52</v>
      </c>
      <c r="X101" s="1040">
        <v>2</v>
      </c>
      <c r="Y101" s="430" t="s">
        <v>75</v>
      </c>
      <c r="Z101" s="430" t="s">
        <v>75</v>
      </c>
      <c r="AA101" s="430" t="s">
        <v>197</v>
      </c>
      <c r="AB101" s="437">
        <v>46041</v>
      </c>
      <c r="AC101" s="438">
        <v>4</v>
      </c>
      <c r="AD101" s="439" t="s">
        <v>596</v>
      </c>
      <c r="AE101" s="430" t="s">
        <v>197</v>
      </c>
      <c r="AF101" s="430" t="s">
        <v>77</v>
      </c>
      <c r="AG101" s="430" t="s">
        <v>61</v>
      </c>
      <c r="AH101" s="430" t="s">
        <v>124</v>
      </c>
      <c r="AI101" s="437">
        <v>46048</v>
      </c>
      <c r="AJ101" s="437">
        <v>46049</v>
      </c>
      <c r="AK101" s="441">
        <v>46049</v>
      </c>
      <c r="AL101" s="437">
        <v>46114</v>
      </c>
      <c r="AN101" s="437">
        <v>46112</v>
      </c>
      <c r="AO101" s="430" t="s">
        <v>402</v>
      </c>
      <c r="AP101" s="430" t="s">
        <v>597</v>
      </c>
      <c r="AQ101" s="430" t="s">
        <v>80</v>
      </c>
      <c r="AR101" s="430" t="s">
        <v>598</v>
      </c>
      <c r="AS101" s="430" t="s">
        <v>599</v>
      </c>
      <c r="AT101" s="430" t="s">
        <v>599</v>
      </c>
      <c r="AU1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7">
        <v>46112</v>
      </c>
      <c r="AX101" s="433" t="s">
        <v>84</v>
      </c>
      <c r="AY101" s="437">
        <v>46114</v>
      </c>
      <c r="AZ101" s="442" t="s">
        <v>152</v>
      </c>
      <c r="BA101" s="437">
        <v>46112</v>
      </c>
      <c r="BB101" s="433">
        <v>2026</v>
      </c>
      <c r="BC101" s="430">
        <v>3</v>
      </c>
      <c r="BD101" s="430">
        <v>14</v>
      </c>
      <c r="BE101" s="431">
        <v>36</v>
      </c>
      <c r="BF101" s="431">
        <v>936</v>
      </c>
      <c r="BG101" s="431" t="s">
        <v>85</v>
      </c>
      <c r="BH101" s="431" t="s">
        <v>86</v>
      </c>
      <c r="BI101" s="430" t="s">
        <v>197</v>
      </c>
      <c r="BJ101" s="430" t="s">
        <v>197</v>
      </c>
      <c r="BK101" s="430" t="s">
        <v>197</v>
      </c>
      <c r="BL101" s="430" t="s">
        <v>197</v>
      </c>
      <c r="BM101" s="430" t="s">
        <v>197</v>
      </c>
      <c r="BN101" s="430" t="s">
        <v>197</v>
      </c>
      <c r="BO101" s="430" t="s">
        <v>197</v>
      </c>
      <c r="BP101" s="430" t="s">
        <v>197</v>
      </c>
      <c r="BQ101" s="430" t="s">
        <v>197</v>
      </c>
      <c r="BR101" s="430" t="s">
        <v>197</v>
      </c>
      <c r="BS101" s="430" t="s">
        <v>197</v>
      </c>
      <c r="BT101" s="430" t="s">
        <v>197</v>
      </c>
      <c r="BU101" s="430" t="s">
        <v>197</v>
      </c>
      <c r="BV101" s="430" t="s">
        <v>197</v>
      </c>
      <c r="BW101" s="430" t="s">
        <v>197</v>
      </c>
      <c r="BX101" s="430" t="s">
        <v>197</v>
      </c>
      <c r="BY101" s="430" t="s">
        <v>197</v>
      </c>
      <c r="BZ101" s="430" t="s">
        <v>197</v>
      </c>
      <c r="CA101" s="430" t="s">
        <v>197</v>
      </c>
      <c r="CB101" s="430" t="s">
        <v>197</v>
      </c>
      <c r="CC101" s="430" t="s">
        <v>197</v>
      </c>
      <c r="CD101" s="430" t="s">
        <v>197</v>
      </c>
      <c r="CE101" s="430" t="s">
        <v>197</v>
      </c>
      <c r="CF101" s="430" t="s">
        <v>197</v>
      </c>
      <c r="CG101" s="430" t="s">
        <v>197</v>
      </c>
      <c r="CH101" s="430" t="s">
        <v>197</v>
      </c>
      <c r="CI101" s="430" t="s">
        <v>197</v>
      </c>
      <c r="CJ101" s="430" t="s">
        <v>197</v>
      </c>
      <c r="CK101" s="430" t="s">
        <v>197</v>
      </c>
      <c r="CL101" s="430" t="s">
        <v>197</v>
      </c>
      <c r="CM101" s="430" t="s">
        <v>197</v>
      </c>
    </row>
    <row r="102" spans="1:91" ht="10.5">
      <c r="A102" s="462" t="s">
        <v>600</v>
      </c>
      <c r="B102" s="462" t="s">
        <v>281</v>
      </c>
      <c r="C102" s="462" t="s">
        <v>601</v>
      </c>
      <c r="D102" s="462" t="s">
        <v>63</v>
      </c>
      <c r="E102" s="462" t="s">
        <v>64</v>
      </c>
      <c r="F102" s="462" t="s">
        <v>100</v>
      </c>
      <c r="G102" s="462" t="s">
        <v>66</v>
      </c>
      <c r="H102" s="462" t="s">
        <v>67</v>
      </c>
      <c r="I102" s="439" t="s">
        <v>68</v>
      </c>
      <c r="J102" s="430" t="s">
        <v>293</v>
      </c>
      <c r="K102" s="430"/>
      <c r="L102" s="430"/>
      <c r="M102" s="430" t="s">
        <v>68</v>
      </c>
      <c r="N102" s="432" t="s">
        <v>68</v>
      </c>
      <c r="O102" s="430" t="s">
        <v>284</v>
      </c>
      <c r="P102" s="430" t="s">
        <v>602</v>
      </c>
      <c r="Q102" s="430" t="s">
        <v>603</v>
      </c>
      <c r="R102" s="431" t="s">
        <v>73</v>
      </c>
      <c r="S102" s="442" t="s">
        <v>120</v>
      </c>
      <c r="T102" s="433">
        <v>465</v>
      </c>
      <c r="U102" s="1088">
        <v>14430</v>
      </c>
      <c r="V102" s="434">
        <v>6.71</v>
      </c>
      <c r="W102" s="435">
        <v>390</v>
      </c>
      <c r="X102" s="1040">
        <v>15</v>
      </c>
      <c r="Y102" s="430" t="s">
        <v>75</v>
      </c>
      <c r="Z102" s="430" t="s">
        <v>75</v>
      </c>
      <c r="AA102" s="430"/>
      <c r="AB102" s="437">
        <v>46043</v>
      </c>
      <c r="AC102" s="438">
        <v>4</v>
      </c>
      <c r="AD102" s="439" t="s">
        <v>604</v>
      </c>
      <c r="AE102" s="430"/>
      <c r="AF102" s="430" t="s">
        <v>288</v>
      </c>
      <c r="AG102" s="430" t="s">
        <v>289</v>
      </c>
      <c r="AH102" s="430" t="s">
        <v>105</v>
      </c>
      <c r="AI102" s="437">
        <v>46050</v>
      </c>
      <c r="AJ102" s="437">
        <v>46050</v>
      </c>
      <c r="AK102" s="441">
        <v>46050</v>
      </c>
      <c r="AL102" s="437">
        <v>46087</v>
      </c>
      <c r="AM102" s="437">
        <v>46102</v>
      </c>
      <c r="AN102" s="437">
        <v>46102</v>
      </c>
      <c r="AO102" s="430" t="s">
        <v>66</v>
      </c>
      <c r="AP102" s="430" t="s">
        <v>605</v>
      </c>
      <c r="AQ102" s="430" t="s">
        <v>161</v>
      </c>
      <c r="AR102" s="430" t="s">
        <v>606</v>
      </c>
      <c r="AS102" s="430" t="s">
        <v>607</v>
      </c>
      <c r="AT102" s="430" t="s">
        <v>608</v>
      </c>
      <c r="AU1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7">
        <v>46102</v>
      </c>
      <c r="AX102" s="433" t="s">
        <v>84</v>
      </c>
      <c r="AY102" s="437">
        <v>46114</v>
      </c>
      <c r="AZ102" s="442">
        <v>7</v>
      </c>
      <c r="BA102" s="437">
        <v>46109</v>
      </c>
      <c r="BB102" s="433">
        <v>2026</v>
      </c>
      <c r="BC102" s="430">
        <v>3</v>
      </c>
      <c r="BD102" s="430">
        <v>13</v>
      </c>
      <c r="BE102" s="431">
        <v>37</v>
      </c>
      <c r="BF102" s="431">
        <v>962</v>
      </c>
      <c r="BG102" s="431" t="s">
        <v>108</v>
      </c>
      <c r="BH102" s="431" t="s">
        <v>109</v>
      </c>
      <c r="BI102" s="430" t="s">
        <v>197</v>
      </c>
      <c r="BJ102" s="430" t="s">
        <v>197</v>
      </c>
      <c r="BK102" s="430" t="s">
        <v>197</v>
      </c>
      <c r="BL102" s="430" t="s">
        <v>197</v>
      </c>
      <c r="BM102" s="430" t="s">
        <v>197</v>
      </c>
      <c r="BN102" s="430" t="s">
        <v>197</v>
      </c>
      <c r="BO102" s="430" t="s">
        <v>197</v>
      </c>
      <c r="BP102" s="430" t="s">
        <v>197</v>
      </c>
      <c r="BQ102" s="430" t="s">
        <v>197</v>
      </c>
      <c r="BR102" s="430" t="s">
        <v>197</v>
      </c>
      <c r="BS102" s="430" t="s">
        <v>197</v>
      </c>
      <c r="BT102" s="430" t="s">
        <v>197</v>
      </c>
      <c r="BU102" s="430" t="s">
        <v>197</v>
      </c>
      <c r="BV102" s="430" t="s">
        <v>197</v>
      </c>
      <c r="BW102" s="430" t="s">
        <v>197</v>
      </c>
      <c r="BX102" s="430" t="s">
        <v>197</v>
      </c>
      <c r="BY102" s="430" t="s">
        <v>197</v>
      </c>
      <c r="BZ102" s="430" t="s">
        <v>197</v>
      </c>
      <c r="CA102" s="430" t="s">
        <v>197</v>
      </c>
      <c r="CB102" s="430" t="s">
        <v>197</v>
      </c>
      <c r="CC102" s="430" t="s">
        <v>197</v>
      </c>
      <c r="CD102" s="430" t="s">
        <v>197</v>
      </c>
      <c r="CE102" s="430" t="s">
        <v>197</v>
      </c>
      <c r="CF102" s="430" t="s">
        <v>197</v>
      </c>
      <c r="CG102" s="430" t="s">
        <v>197</v>
      </c>
      <c r="CH102" s="430" t="s">
        <v>197</v>
      </c>
      <c r="CI102" s="430" t="s">
        <v>197</v>
      </c>
      <c r="CJ102" s="430" t="s">
        <v>197</v>
      </c>
      <c r="CK102" s="430" t="s">
        <v>197</v>
      </c>
      <c r="CL102" s="430" t="s">
        <v>197</v>
      </c>
      <c r="CM102" s="430" t="s">
        <v>197</v>
      </c>
    </row>
    <row r="103" spans="1:91" ht="10.5">
      <c r="A103" s="462" t="s">
        <v>609</v>
      </c>
      <c r="B103" s="462" t="s">
        <v>281</v>
      </c>
      <c r="C103" s="462" t="s">
        <v>601</v>
      </c>
      <c r="D103" s="462" t="s">
        <v>63</v>
      </c>
      <c r="E103" s="462" t="s">
        <v>64</v>
      </c>
      <c r="F103" s="462" t="s">
        <v>100</v>
      </c>
      <c r="G103" s="462" t="s">
        <v>66</v>
      </c>
      <c r="H103" s="462" t="s">
        <v>67</v>
      </c>
      <c r="I103" s="439" t="s">
        <v>68</v>
      </c>
      <c r="J103" s="430" t="s">
        <v>293</v>
      </c>
      <c r="K103" s="430"/>
      <c r="L103" s="430"/>
      <c r="M103" s="430" t="s">
        <v>68</v>
      </c>
      <c r="N103" s="432" t="s">
        <v>68</v>
      </c>
      <c r="O103" s="430" t="s">
        <v>284</v>
      </c>
      <c r="P103" s="430" t="s">
        <v>602</v>
      </c>
      <c r="Q103" s="430" t="s">
        <v>603</v>
      </c>
      <c r="R103" s="431" t="s">
        <v>73</v>
      </c>
      <c r="S103" s="442" t="s">
        <v>120</v>
      </c>
      <c r="T103" s="433">
        <v>465</v>
      </c>
      <c r="U103" s="1088">
        <v>4810</v>
      </c>
      <c r="V103" s="434">
        <v>2.2370000000000001</v>
      </c>
      <c r="W103" s="435">
        <v>130</v>
      </c>
      <c r="X103" s="1040">
        <v>5</v>
      </c>
      <c r="Y103" s="430" t="s">
        <v>75</v>
      </c>
      <c r="Z103" s="430" t="s">
        <v>75</v>
      </c>
      <c r="AA103" s="430"/>
      <c r="AB103" s="437">
        <v>46038</v>
      </c>
      <c r="AC103" s="438">
        <v>3</v>
      </c>
      <c r="AD103" s="439" t="s">
        <v>610</v>
      </c>
      <c r="AE103" s="430"/>
      <c r="AF103" s="430" t="s">
        <v>288</v>
      </c>
      <c r="AG103" s="430" t="s">
        <v>289</v>
      </c>
      <c r="AH103" s="430" t="s">
        <v>105</v>
      </c>
      <c r="AI103" s="437">
        <v>46045</v>
      </c>
      <c r="AJ103" s="437">
        <v>46045</v>
      </c>
      <c r="AK103" s="441">
        <v>46045</v>
      </c>
      <c r="AL103" s="437">
        <v>46087</v>
      </c>
      <c r="AM103" s="437">
        <v>46097</v>
      </c>
      <c r="AN103" s="437">
        <v>46100</v>
      </c>
      <c r="AO103" s="430" t="s">
        <v>66</v>
      </c>
      <c r="AP103" s="430" t="s">
        <v>611</v>
      </c>
      <c r="AQ103" s="430" t="s">
        <v>161</v>
      </c>
      <c r="AR103" s="430" t="s">
        <v>612</v>
      </c>
      <c r="AS103" s="430" t="s">
        <v>613</v>
      </c>
      <c r="AT103" s="430" t="s">
        <v>614</v>
      </c>
      <c r="AU1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7">
        <v>46100</v>
      </c>
      <c r="AX103" s="433" t="s">
        <v>84</v>
      </c>
      <c r="AY103" s="437">
        <v>46104</v>
      </c>
      <c r="AZ103" s="442">
        <v>7</v>
      </c>
      <c r="BA103" s="437">
        <v>46107</v>
      </c>
      <c r="BB103" s="433">
        <v>2026</v>
      </c>
      <c r="BC103" s="430">
        <v>3</v>
      </c>
      <c r="BD103" s="430">
        <v>13</v>
      </c>
      <c r="BE103" s="431">
        <v>37</v>
      </c>
      <c r="BF103" s="431">
        <v>962</v>
      </c>
      <c r="BG103" s="431" t="s">
        <v>108</v>
      </c>
      <c r="BH103" s="431" t="s">
        <v>109</v>
      </c>
      <c r="BI103" s="430" t="s">
        <v>197</v>
      </c>
      <c r="BJ103" s="430" t="s">
        <v>197</v>
      </c>
      <c r="BK103" s="430" t="s">
        <v>197</v>
      </c>
      <c r="BL103" s="430" t="s">
        <v>197</v>
      </c>
      <c r="BM103" s="430" t="s">
        <v>197</v>
      </c>
      <c r="BN103" s="430" t="s">
        <v>197</v>
      </c>
      <c r="BO103" s="430" t="s">
        <v>197</v>
      </c>
      <c r="BP103" s="430" t="s">
        <v>197</v>
      </c>
      <c r="BQ103" s="430" t="s">
        <v>197</v>
      </c>
      <c r="BR103" s="430" t="s">
        <v>197</v>
      </c>
      <c r="BS103" s="430" t="s">
        <v>197</v>
      </c>
      <c r="BT103" s="430" t="s">
        <v>197</v>
      </c>
      <c r="BU103" s="430" t="s">
        <v>197</v>
      </c>
      <c r="BV103" s="430" t="s">
        <v>197</v>
      </c>
      <c r="BW103" s="430" t="s">
        <v>197</v>
      </c>
      <c r="BX103" s="430" t="s">
        <v>197</v>
      </c>
      <c r="BY103" s="430" t="s">
        <v>197</v>
      </c>
      <c r="BZ103" s="430" t="s">
        <v>197</v>
      </c>
      <c r="CA103" s="430" t="s">
        <v>197</v>
      </c>
      <c r="CB103" s="430" t="s">
        <v>197</v>
      </c>
      <c r="CC103" s="430" t="s">
        <v>197</v>
      </c>
      <c r="CD103" s="430" t="s">
        <v>197</v>
      </c>
      <c r="CE103" s="430" t="s">
        <v>197</v>
      </c>
      <c r="CF103" s="430" t="s">
        <v>197</v>
      </c>
      <c r="CG103" s="430" t="s">
        <v>197</v>
      </c>
      <c r="CH103" s="430" t="s">
        <v>197</v>
      </c>
      <c r="CI103" s="430" t="s">
        <v>197</v>
      </c>
      <c r="CJ103" s="430" t="s">
        <v>197</v>
      </c>
      <c r="CK103" s="430" t="s">
        <v>197</v>
      </c>
      <c r="CL103" s="430" t="s">
        <v>197</v>
      </c>
      <c r="CM103" s="430" t="s">
        <v>197</v>
      </c>
    </row>
    <row r="104" spans="1:91" ht="10.5">
      <c r="A104" s="462" t="s">
        <v>615</v>
      </c>
      <c r="B104" s="462" t="s">
        <v>281</v>
      </c>
      <c r="C104" s="462" t="s">
        <v>601</v>
      </c>
      <c r="D104" s="462" t="s">
        <v>63</v>
      </c>
      <c r="E104" s="462" t="s">
        <v>64</v>
      </c>
      <c r="F104" s="462" t="s">
        <v>100</v>
      </c>
      <c r="G104" s="462" t="s">
        <v>66</v>
      </c>
      <c r="H104" s="462" t="s">
        <v>67</v>
      </c>
      <c r="I104" s="439" t="s">
        <v>68</v>
      </c>
      <c r="J104" s="430" t="s">
        <v>293</v>
      </c>
      <c r="K104" s="430"/>
      <c r="L104" s="430"/>
      <c r="M104" s="430" t="s">
        <v>68</v>
      </c>
      <c r="N104" s="432" t="s">
        <v>68</v>
      </c>
      <c r="O104" s="430" t="s">
        <v>284</v>
      </c>
      <c r="P104" s="430" t="s">
        <v>602</v>
      </c>
      <c r="Q104" s="430" t="s">
        <v>603</v>
      </c>
      <c r="R104" s="431" t="s">
        <v>73</v>
      </c>
      <c r="S104" s="442" t="s">
        <v>120</v>
      </c>
      <c r="T104" s="433">
        <v>465</v>
      </c>
      <c r="U104" s="1088">
        <v>4810</v>
      </c>
      <c r="V104" s="434">
        <v>2.2370000000000001</v>
      </c>
      <c r="W104" s="435">
        <v>130</v>
      </c>
      <c r="X104" s="1040">
        <v>5</v>
      </c>
      <c r="Y104" s="430" t="s">
        <v>75</v>
      </c>
      <c r="Z104" s="430" t="s">
        <v>75</v>
      </c>
      <c r="AA104" s="430"/>
      <c r="AB104" s="437">
        <v>46042</v>
      </c>
      <c r="AC104" s="438">
        <v>4</v>
      </c>
      <c r="AD104" s="439" t="s">
        <v>616</v>
      </c>
      <c r="AE104" s="430"/>
      <c r="AF104" s="430" t="s">
        <v>288</v>
      </c>
      <c r="AG104" s="430" t="s">
        <v>289</v>
      </c>
      <c r="AH104" s="430" t="s">
        <v>105</v>
      </c>
      <c r="AI104" s="437">
        <v>46048</v>
      </c>
      <c r="AJ104" s="437">
        <v>46048</v>
      </c>
      <c r="AK104" s="441">
        <v>46048</v>
      </c>
      <c r="AL104" s="437">
        <v>46090</v>
      </c>
      <c r="AM104" s="437">
        <v>46091</v>
      </c>
      <c r="AN104" s="437">
        <v>46089</v>
      </c>
      <c r="AO104" s="430" t="s">
        <v>66</v>
      </c>
      <c r="AP104" s="430" t="s">
        <v>617</v>
      </c>
      <c r="AQ104" s="430" t="s">
        <v>161</v>
      </c>
      <c r="AR104" s="430" t="s">
        <v>618</v>
      </c>
      <c r="AS104" s="430" t="s">
        <v>619</v>
      </c>
      <c r="AT104" s="430" t="s">
        <v>620</v>
      </c>
      <c r="AU1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7">
        <v>46089</v>
      </c>
      <c r="AX104" s="433" t="s">
        <v>84</v>
      </c>
      <c r="AY104" s="437">
        <v>46105</v>
      </c>
      <c r="AZ104" s="442">
        <v>7</v>
      </c>
      <c r="BA104" s="437">
        <v>46096</v>
      </c>
      <c r="BB104" s="433">
        <v>2026</v>
      </c>
      <c r="BC104" s="430">
        <v>3</v>
      </c>
      <c r="BD104" s="430">
        <v>11</v>
      </c>
      <c r="BE104" s="431">
        <v>37</v>
      </c>
      <c r="BF104" s="431">
        <v>962</v>
      </c>
      <c r="BG104" s="431" t="s">
        <v>108</v>
      </c>
      <c r="BH104" s="431" t="s">
        <v>109</v>
      </c>
      <c r="BI104" s="430" t="s">
        <v>197</v>
      </c>
      <c r="BJ104" s="430" t="s">
        <v>197</v>
      </c>
      <c r="BK104" s="430" t="s">
        <v>197</v>
      </c>
      <c r="BL104" s="430" t="s">
        <v>197</v>
      </c>
      <c r="BM104" s="430" t="s">
        <v>197</v>
      </c>
      <c r="BN104" s="430" t="s">
        <v>197</v>
      </c>
      <c r="BO104" s="430" t="s">
        <v>197</v>
      </c>
      <c r="BP104" s="430" t="s">
        <v>197</v>
      </c>
      <c r="BQ104" s="430" t="s">
        <v>197</v>
      </c>
      <c r="BR104" s="430" t="s">
        <v>197</v>
      </c>
      <c r="BS104" s="430" t="s">
        <v>197</v>
      </c>
      <c r="BT104" s="430" t="s">
        <v>197</v>
      </c>
      <c r="BU104" s="430" t="s">
        <v>197</v>
      </c>
      <c r="BV104" s="430" t="s">
        <v>197</v>
      </c>
      <c r="BW104" s="430" t="s">
        <v>197</v>
      </c>
      <c r="BX104" s="430" t="s">
        <v>197</v>
      </c>
      <c r="BY104" s="430" t="s">
        <v>197</v>
      </c>
      <c r="BZ104" s="430" t="s">
        <v>197</v>
      </c>
      <c r="CA104" s="430" t="s">
        <v>197</v>
      </c>
      <c r="CB104" s="430" t="s">
        <v>197</v>
      </c>
      <c r="CC104" s="430" t="s">
        <v>197</v>
      </c>
      <c r="CD104" s="430" t="s">
        <v>197</v>
      </c>
      <c r="CE104" s="430" t="s">
        <v>197</v>
      </c>
      <c r="CF104" s="430" t="s">
        <v>197</v>
      </c>
      <c r="CG104" s="430" t="s">
        <v>197</v>
      </c>
      <c r="CH104" s="430" t="s">
        <v>197</v>
      </c>
      <c r="CI104" s="430" t="s">
        <v>197</v>
      </c>
      <c r="CJ104" s="430" t="s">
        <v>197</v>
      </c>
      <c r="CK104" s="430" t="s">
        <v>197</v>
      </c>
      <c r="CL104" s="430" t="s">
        <v>197</v>
      </c>
      <c r="CM104" s="430" t="s">
        <v>197</v>
      </c>
    </row>
    <row r="105" spans="1:91" ht="10.5">
      <c r="A105" s="462" t="s">
        <v>621</v>
      </c>
      <c r="B105" s="462" t="s">
        <v>281</v>
      </c>
      <c r="C105" s="462" t="s">
        <v>601</v>
      </c>
      <c r="D105" s="462" t="s">
        <v>63</v>
      </c>
      <c r="E105" s="462" t="s">
        <v>64</v>
      </c>
      <c r="F105" s="462" t="s">
        <v>100</v>
      </c>
      <c r="G105" s="462" t="s">
        <v>66</v>
      </c>
      <c r="H105" s="462" t="s">
        <v>67</v>
      </c>
      <c r="I105" s="439" t="s">
        <v>68</v>
      </c>
      <c r="J105" s="430" t="s">
        <v>293</v>
      </c>
      <c r="K105" s="430"/>
      <c r="L105" s="430"/>
      <c r="M105" s="430" t="s">
        <v>68</v>
      </c>
      <c r="N105" s="432" t="s">
        <v>68</v>
      </c>
      <c r="O105" s="430" t="s">
        <v>284</v>
      </c>
      <c r="P105" s="430" t="s">
        <v>602</v>
      </c>
      <c r="Q105" s="430" t="s">
        <v>603</v>
      </c>
      <c r="R105" s="431" t="s">
        <v>73</v>
      </c>
      <c r="S105" s="442" t="s">
        <v>120</v>
      </c>
      <c r="T105" s="433">
        <v>465</v>
      </c>
      <c r="U105" s="1088">
        <v>9620</v>
      </c>
      <c r="V105" s="434">
        <v>4.4729999999999999</v>
      </c>
      <c r="W105" s="435">
        <v>260</v>
      </c>
      <c r="X105" s="1040">
        <v>10</v>
      </c>
      <c r="Y105" s="430" t="s">
        <v>75</v>
      </c>
      <c r="Z105" s="430" t="s">
        <v>75</v>
      </c>
      <c r="AA105" s="430"/>
      <c r="AB105" s="437">
        <v>46049</v>
      </c>
      <c r="AC105" s="438">
        <v>5</v>
      </c>
      <c r="AD105" s="439" t="s">
        <v>622</v>
      </c>
      <c r="AE105" s="430"/>
      <c r="AF105" s="430" t="s">
        <v>288</v>
      </c>
      <c r="AG105" s="430" t="s">
        <v>289</v>
      </c>
      <c r="AH105" s="430" t="s">
        <v>105</v>
      </c>
      <c r="AI105" s="437">
        <v>46057</v>
      </c>
      <c r="AJ105" s="437">
        <v>46067</v>
      </c>
      <c r="AK105" s="441">
        <v>46070</v>
      </c>
      <c r="AL105" s="437">
        <v>46094</v>
      </c>
      <c r="AM105" s="437">
        <v>46106</v>
      </c>
      <c r="AN105" s="437">
        <v>46107</v>
      </c>
      <c r="AO105" s="430" t="s">
        <v>66</v>
      </c>
      <c r="AP105" s="430" t="s">
        <v>623</v>
      </c>
      <c r="AQ105" s="430" t="s">
        <v>161</v>
      </c>
      <c r="AR105" s="430" t="s">
        <v>624</v>
      </c>
      <c r="AS105" s="430" t="s">
        <v>625</v>
      </c>
      <c r="AT105" s="430" t="s">
        <v>625</v>
      </c>
      <c r="AU1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7">
        <v>46107</v>
      </c>
      <c r="AX105" s="433" t="s">
        <v>84</v>
      </c>
      <c r="AY105" s="437">
        <v>46120</v>
      </c>
      <c r="AZ105" s="442">
        <v>7</v>
      </c>
      <c r="BA105" s="437">
        <v>46114</v>
      </c>
      <c r="BB105" s="433">
        <v>2026</v>
      </c>
      <c r="BC105" s="430">
        <v>4</v>
      </c>
      <c r="BD105" s="430">
        <v>14</v>
      </c>
      <c r="BE105" s="431">
        <v>37</v>
      </c>
      <c r="BF105" s="431">
        <v>962</v>
      </c>
      <c r="BG105" s="431" t="s">
        <v>108</v>
      </c>
      <c r="BH105" s="431" t="s">
        <v>109</v>
      </c>
      <c r="BI105" s="430" t="s">
        <v>197</v>
      </c>
      <c r="BJ105" s="430" t="s">
        <v>197</v>
      </c>
      <c r="BK105" s="430" t="s">
        <v>197</v>
      </c>
      <c r="BL105" s="430" t="s">
        <v>197</v>
      </c>
      <c r="BM105" s="430" t="s">
        <v>197</v>
      </c>
      <c r="BN105" s="430" t="s">
        <v>197</v>
      </c>
      <c r="BO105" s="430" t="s">
        <v>197</v>
      </c>
      <c r="BP105" s="430" t="s">
        <v>197</v>
      </c>
      <c r="BQ105" s="430" t="s">
        <v>197</v>
      </c>
      <c r="BR105" s="430" t="s">
        <v>197</v>
      </c>
      <c r="BS105" s="430" t="s">
        <v>197</v>
      </c>
      <c r="BT105" s="430" t="s">
        <v>197</v>
      </c>
      <c r="BU105" s="430" t="s">
        <v>197</v>
      </c>
      <c r="BV105" s="430" t="s">
        <v>197</v>
      </c>
      <c r="BW105" s="430" t="s">
        <v>197</v>
      </c>
      <c r="BX105" s="430" t="s">
        <v>197</v>
      </c>
      <c r="BY105" s="430" t="s">
        <v>197</v>
      </c>
      <c r="BZ105" s="430" t="s">
        <v>197</v>
      </c>
      <c r="CA105" s="430" t="s">
        <v>197</v>
      </c>
      <c r="CB105" s="430" t="s">
        <v>197</v>
      </c>
      <c r="CC105" s="430" t="s">
        <v>197</v>
      </c>
      <c r="CD105" s="430" t="s">
        <v>197</v>
      </c>
      <c r="CE105" s="430" t="s">
        <v>197</v>
      </c>
      <c r="CF105" s="430" t="s">
        <v>197</v>
      </c>
      <c r="CG105" s="430" t="s">
        <v>197</v>
      </c>
      <c r="CH105" s="430" t="s">
        <v>197</v>
      </c>
      <c r="CI105" s="430" t="s">
        <v>197</v>
      </c>
      <c r="CJ105" s="430" t="s">
        <v>197</v>
      </c>
      <c r="CK105" s="430" t="s">
        <v>197</v>
      </c>
      <c r="CL105" s="430" t="s">
        <v>197</v>
      </c>
      <c r="CM105" s="430" t="s">
        <v>197</v>
      </c>
    </row>
    <row r="106" spans="1:91" ht="10.5">
      <c r="A106" s="462" t="s">
        <v>626</v>
      </c>
      <c r="B106" s="462" t="s">
        <v>281</v>
      </c>
      <c r="C106" s="462" t="s">
        <v>601</v>
      </c>
      <c r="D106" s="462" t="s">
        <v>63</v>
      </c>
      <c r="E106" s="462" t="s">
        <v>64</v>
      </c>
      <c r="F106" s="462" t="s">
        <v>100</v>
      </c>
      <c r="G106" s="462" t="s">
        <v>66</v>
      </c>
      <c r="H106" s="462" t="s">
        <v>67</v>
      </c>
      <c r="I106" s="439" t="s">
        <v>68</v>
      </c>
      <c r="J106" s="430" t="s">
        <v>293</v>
      </c>
      <c r="K106" s="430"/>
      <c r="L106" s="430"/>
      <c r="M106" s="430" t="s">
        <v>68</v>
      </c>
      <c r="N106" s="432" t="s">
        <v>68</v>
      </c>
      <c r="O106" s="430" t="s">
        <v>284</v>
      </c>
      <c r="P106" s="430" t="s">
        <v>602</v>
      </c>
      <c r="Q106" s="430" t="s">
        <v>603</v>
      </c>
      <c r="R106" s="431" t="s">
        <v>73</v>
      </c>
      <c r="S106" s="442" t="s">
        <v>120</v>
      </c>
      <c r="T106" s="433">
        <v>465</v>
      </c>
      <c r="U106" s="1088">
        <v>9620</v>
      </c>
      <c r="V106" s="434">
        <v>4.4729999999999999</v>
      </c>
      <c r="W106" s="435">
        <v>260</v>
      </c>
      <c r="X106" s="1040">
        <v>10</v>
      </c>
      <c r="Y106" s="430" t="s">
        <v>75</v>
      </c>
      <c r="Z106" s="430" t="s">
        <v>75</v>
      </c>
      <c r="AA106" s="430"/>
      <c r="AB106" s="437">
        <v>46050</v>
      </c>
      <c r="AC106" s="438">
        <v>5</v>
      </c>
      <c r="AD106" s="439" t="s">
        <v>627</v>
      </c>
      <c r="AE106" s="430"/>
      <c r="AF106" s="430" t="s">
        <v>288</v>
      </c>
      <c r="AG106" s="430" t="s">
        <v>289</v>
      </c>
      <c r="AH106" s="430" t="s">
        <v>105</v>
      </c>
      <c r="AI106" s="437">
        <v>46057</v>
      </c>
      <c r="AJ106" s="437">
        <v>46067</v>
      </c>
      <c r="AK106" s="441">
        <v>46070</v>
      </c>
      <c r="AL106" s="437">
        <v>46094</v>
      </c>
      <c r="AM106" s="437">
        <v>46106</v>
      </c>
      <c r="AN106" s="437">
        <v>46107</v>
      </c>
      <c r="AO106" s="430" t="s">
        <v>66</v>
      </c>
      <c r="AP106" s="430" t="s">
        <v>623</v>
      </c>
      <c r="AQ106" s="430" t="s">
        <v>161</v>
      </c>
      <c r="AR106" s="430" t="s">
        <v>628</v>
      </c>
      <c r="AS106" s="430" t="s">
        <v>629</v>
      </c>
      <c r="AT106" s="430" t="s">
        <v>629</v>
      </c>
      <c r="AU1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7">
        <v>46107</v>
      </c>
      <c r="AX106" s="433" t="s">
        <v>84</v>
      </c>
      <c r="AY106" s="437">
        <v>46120</v>
      </c>
      <c r="AZ106" s="442">
        <v>7</v>
      </c>
      <c r="BA106" s="437">
        <v>46114</v>
      </c>
      <c r="BB106" s="433">
        <v>2026</v>
      </c>
      <c r="BC106" s="430">
        <v>4</v>
      </c>
      <c r="BD106" s="430">
        <v>14</v>
      </c>
      <c r="BE106" s="431">
        <v>37</v>
      </c>
      <c r="BF106" s="431">
        <v>962</v>
      </c>
      <c r="BG106" s="431" t="s">
        <v>108</v>
      </c>
      <c r="BH106" s="431" t="s">
        <v>109</v>
      </c>
      <c r="BI106" s="430" t="s">
        <v>197</v>
      </c>
      <c r="BJ106" s="430" t="s">
        <v>197</v>
      </c>
      <c r="BK106" s="430" t="s">
        <v>197</v>
      </c>
      <c r="BL106" s="430" t="s">
        <v>197</v>
      </c>
      <c r="BM106" s="430" t="s">
        <v>197</v>
      </c>
      <c r="BN106" s="430" t="s">
        <v>197</v>
      </c>
      <c r="BO106" s="430" t="s">
        <v>197</v>
      </c>
      <c r="BP106" s="430" t="s">
        <v>197</v>
      </c>
      <c r="BQ106" s="430" t="s">
        <v>197</v>
      </c>
      <c r="BR106" s="430" t="s">
        <v>197</v>
      </c>
      <c r="BS106" s="430" t="s">
        <v>197</v>
      </c>
      <c r="BT106" s="430" t="s">
        <v>197</v>
      </c>
      <c r="BU106" s="430" t="s">
        <v>197</v>
      </c>
      <c r="BV106" s="430" t="s">
        <v>197</v>
      </c>
      <c r="BW106" s="430" t="s">
        <v>197</v>
      </c>
      <c r="BX106" s="430" t="s">
        <v>197</v>
      </c>
      <c r="BY106" s="430" t="s">
        <v>197</v>
      </c>
      <c r="BZ106" s="430" t="s">
        <v>197</v>
      </c>
      <c r="CA106" s="430" t="s">
        <v>197</v>
      </c>
      <c r="CB106" s="430" t="s">
        <v>197</v>
      </c>
      <c r="CC106" s="430" t="s">
        <v>197</v>
      </c>
      <c r="CD106" s="430" t="s">
        <v>197</v>
      </c>
      <c r="CE106" s="430" t="s">
        <v>197</v>
      </c>
      <c r="CF106" s="430" t="s">
        <v>197</v>
      </c>
      <c r="CG106" s="430" t="s">
        <v>197</v>
      </c>
      <c r="CH106" s="430" t="s">
        <v>197</v>
      </c>
      <c r="CI106" s="430" t="s">
        <v>197</v>
      </c>
      <c r="CJ106" s="430" t="s">
        <v>197</v>
      </c>
      <c r="CK106" s="430" t="s">
        <v>197</v>
      </c>
      <c r="CL106" s="430" t="s">
        <v>197</v>
      </c>
      <c r="CM106" s="430" t="s">
        <v>197</v>
      </c>
    </row>
    <row r="107" spans="1:91" ht="10.5">
      <c r="A107" s="462" t="s">
        <v>630</v>
      </c>
      <c r="B107" s="462" t="s">
        <v>111</v>
      </c>
      <c r="C107" s="462" t="s">
        <v>168</v>
      </c>
      <c r="D107" s="462" t="s">
        <v>63</v>
      </c>
      <c r="E107" s="462" t="s">
        <v>64</v>
      </c>
      <c r="F107" s="462" t="s">
        <v>65</v>
      </c>
      <c r="G107" s="462" t="s">
        <v>66</v>
      </c>
      <c r="H107" s="462" t="s">
        <v>67</v>
      </c>
      <c r="I107" s="439" t="s">
        <v>68</v>
      </c>
      <c r="J107" s="430" t="s">
        <v>232</v>
      </c>
      <c r="K107" s="430"/>
      <c r="L107" s="430"/>
      <c r="M107" s="430" t="s">
        <v>68</v>
      </c>
      <c r="N107" s="432" t="s">
        <v>68</v>
      </c>
      <c r="O107" s="430" t="s">
        <v>170</v>
      </c>
      <c r="P107" s="430" t="s">
        <v>171</v>
      </c>
      <c r="Q107" s="430" t="s">
        <v>172</v>
      </c>
      <c r="R107" s="431" t="s">
        <v>73</v>
      </c>
      <c r="S107" s="442" t="s">
        <v>120</v>
      </c>
      <c r="T107" s="433">
        <v>555</v>
      </c>
      <c r="U107" s="1088">
        <v>3300</v>
      </c>
      <c r="V107" s="434">
        <v>1.8320000000000001</v>
      </c>
      <c r="W107" s="435">
        <v>100</v>
      </c>
      <c r="X107" s="1040">
        <v>5</v>
      </c>
      <c r="Y107" s="430" t="s">
        <v>75</v>
      </c>
      <c r="Z107" s="430" t="s">
        <v>75</v>
      </c>
      <c r="AA107" s="430"/>
      <c r="AB107" s="437">
        <v>46048</v>
      </c>
      <c r="AC107" s="438">
        <v>5</v>
      </c>
      <c r="AD107" s="439" t="s">
        <v>631</v>
      </c>
      <c r="AE107" s="430"/>
      <c r="AF107" s="430" t="s">
        <v>122</v>
      </c>
      <c r="AG107" s="430" t="s">
        <v>123</v>
      </c>
      <c r="AH107" s="430" t="s">
        <v>356</v>
      </c>
      <c r="AI107" s="437">
        <v>46054</v>
      </c>
      <c r="AJ107" s="437">
        <v>46054</v>
      </c>
      <c r="AK107" s="441">
        <v>46054</v>
      </c>
      <c r="AL107" s="437">
        <v>46091</v>
      </c>
      <c r="AM107" s="437">
        <v>46109</v>
      </c>
      <c r="AN107" s="437">
        <v>46110</v>
      </c>
      <c r="AO107" s="430" t="s">
        <v>66</v>
      </c>
      <c r="AP107" s="430" t="s">
        <v>632</v>
      </c>
      <c r="AQ107" s="430" t="s">
        <v>161</v>
      </c>
      <c r="AR107" s="430" t="s">
        <v>633</v>
      </c>
      <c r="AS107" s="430" t="s">
        <v>634</v>
      </c>
      <c r="AT107" s="430" t="s">
        <v>634</v>
      </c>
      <c r="AU1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7">
        <v>46110</v>
      </c>
      <c r="AX107" s="433" t="s">
        <v>84</v>
      </c>
      <c r="AY107" s="437">
        <v>46121</v>
      </c>
      <c r="AZ107" s="442">
        <v>8</v>
      </c>
      <c r="BA107" s="437">
        <v>46118</v>
      </c>
      <c r="BB107" s="433">
        <v>2026</v>
      </c>
      <c r="BC107" s="430">
        <v>4</v>
      </c>
      <c r="BD107" s="430">
        <v>15</v>
      </c>
      <c r="BE107" s="431">
        <v>33</v>
      </c>
      <c r="BF107" s="431">
        <v>660</v>
      </c>
      <c r="BG107" s="431" t="s">
        <v>108</v>
      </c>
      <c r="BH107" s="431" t="s">
        <v>109</v>
      </c>
      <c r="BI107" s="430" t="s">
        <v>197</v>
      </c>
      <c r="BJ107" s="430" t="s">
        <v>197</v>
      </c>
      <c r="BK107" s="430" t="s">
        <v>197</v>
      </c>
      <c r="BL107" s="430" t="s">
        <v>197</v>
      </c>
      <c r="BM107" s="430" t="s">
        <v>197</v>
      </c>
      <c r="BN107" s="430" t="s">
        <v>197</v>
      </c>
      <c r="BO107" s="430" t="s">
        <v>197</v>
      </c>
      <c r="BP107" s="430" t="s">
        <v>197</v>
      </c>
      <c r="BQ107" s="430" t="s">
        <v>197</v>
      </c>
      <c r="BR107" s="430" t="s">
        <v>197</v>
      </c>
      <c r="BS107" s="430" t="s">
        <v>197</v>
      </c>
      <c r="BT107" s="430" t="s">
        <v>197</v>
      </c>
      <c r="BU107" s="430" t="s">
        <v>197</v>
      </c>
      <c r="BV107" s="430" t="s">
        <v>197</v>
      </c>
      <c r="BW107" s="430" t="s">
        <v>197</v>
      </c>
      <c r="BX107" s="430" t="s">
        <v>197</v>
      </c>
      <c r="BY107" s="430" t="s">
        <v>197</v>
      </c>
      <c r="BZ107" s="430" t="s">
        <v>197</v>
      </c>
      <c r="CA107" s="430" t="s">
        <v>197</v>
      </c>
      <c r="CB107" s="430" t="s">
        <v>197</v>
      </c>
      <c r="CC107" s="430" t="s">
        <v>197</v>
      </c>
      <c r="CD107" s="430" t="s">
        <v>197</v>
      </c>
      <c r="CE107" s="430" t="s">
        <v>197</v>
      </c>
      <c r="CF107" s="430" t="s">
        <v>197</v>
      </c>
      <c r="CG107" s="430" t="s">
        <v>197</v>
      </c>
      <c r="CH107" s="430" t="s">
        <v>197</v>
      </c>
      <c r="CI107" s="430" t="s">
        <v>197</v>
      </c>
      <c r="CJ107" s="430" t="s">
        <v>197</v>
      </c>
      <c r="CK107" s="430" t="s">
        <v>197</v>
      </c>
      <c r="CL107" s="430" t="s">
        <v>197</v>
      </c>
      <c r="CM107" s="430" t="s">
        <v>197</v>
      </c>
    </row>
    <row r="108" spans="1:91" ht="10.5">
      <c r="A108" s="462" t="s">
        <v>635</v>
      </c>
      <c r="B108" s="462" t="s">
        <v>111</v>
      </c>
      <c r="C108" s="462" t="s">
        <v>461</v>
      </c>
      <c r="D108" s="462" t="s">
        <v>63</v>
      </c>
      <c r="E108" s="462" t="s">
        <v>64</v>
      </c>
      <c r="F108" s="462" t="s">
        <v>65</v>
      </c>
      <c r="G108" s="462" t="s">
        <v>66</v>
      </c>
      <c r="H108" s="462" t="s">
        <v>67</v>
      </c>
      <c r="I108" s="439" t="s">
        <v>68</v>
      </c>
      <c r="J108" s="430" t="s">
        <v>232</v>
      </c>
      <c r="K108" s="430"/>
      <c r="L108" s="430"/>
      <c r="M108" s="430" t="s">
        <v>68</v>
      </c>
      <c r="N108" s="432" t="s">
        <v>68</v>
      </c>
      <c r="O108" s="430" t="s">
        <v>170</v>
      </c>
      <c r="P108" s="430" t="s">
        <v>462</v>
      </c>
      <c r="Q108" s="430" t="s">
        <v>463</v>
      </c>
      <c r="R108" s="431" t="s">
        <v>73</v>
      </c>
      <c r="S108" s="442" t="s">
        <v>464</v>
      </c>
      <c r="T108" s="433">
        <v>550</v>
      </c>
      <c r="U108" s="1088">
        <v>1320</v>
      </c>
      <c r="V108" s="434">
        <v>0.72599999999999998</v>
      </c>
      <c r="W108" s="435">
        <v>40</v>
      </c>
      <c r="X108" s="1040">
        <v>2</v>
      </c>
      <c r="Y108" s="430" t="s">
        <v>75</v>
      </c>
      <c r="Z108" s="430" t="s">
        <v>75</v>
      </c>
      <c r="AA108" s="430"/>
      <c r="AB108" s="437">
        <v>46048</v>
      </c>
      <c r="AC108" s="438">
        <v>5</v>
      </c>
      <c r="AD108" s="439" t="s">
        <v>636</v>
      </c>
      <c r="AE108" s="430"/>
      <c r="AF108" s="430" t="s">
        <v>122</v>
      </c>
      <c r="AG108" s="430" t="s">
        <v>123</v>
      </c>
      <c r="AH108" s="430" t="s">
        <v>356</v>
      </c>
      <c r="AI108" s="437">
        <v>46054</v>
      </c>
      <c r="AJ108" s="437">
        <v>46054</v>
      </c>
      <c r="AK108" s="441">
        <v>46054</v>
      </c>
      <c r="AL108" s="437">
        <v>46091</v>
      </c>
      <c r="AM108" s="437">
        <v>46109</v>
      </c>
      <c r="AN108" s="437">
        <v>46110</v>
      </c>
      <c r="AO108" s="430" t="s">
        <v>66</v>
      </c>
      <c r="AP108" s="430" t="s">
        <v>632</v>
      </c>
      <c r="AQ108" s="430" t="s">
        <v>161</v>
      </c>
      <c r="AR108" s="430" t="s">
        <v>633</v>
      </c>
      <c r="AS108" s="430" t="s">
        <v>634</v>
      </c>
      <c r="AT108" s="430" t="s">
        <v>634</v>
      </c>
      <c r="AU1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7">
        <v>46110</v>
      </c>
      <c r="AX108" s="433" t="s">
        <v>84</v>
      </c>
      <c r="AY108" s="437">
        <v>46121</v>
      </c>
      <c r="AZ108" s="442">
        <v>8</v>
      </c>
      <c r="BA108" s="437">
        <v>46118</v>
      </c>
      <c r="BB108" s="433">
        <v>2026</v>
      </c>
      <c r="BC108" s="430">
        <v>4</v>
      </c>
      <c r="BD108" s="430">
        <v>15</v>
      </c>
      <c r="BE108" s="431">
        <v>33</v>
      </c>
      <c r="BF108" s="431">
        <v>660</v>
      </c>
      <c r="BG108" s="431" t="s">
        <v>108</v>
      </c>
      <c r="BH108" s="431" t="s">
        <v>109</v>
      </c>
      <c r="BI108" s="430" t="s">
        <v>197</v>
      </c>
      <c r="BJ108" s="430" t="s">
        <v>197</v>
      </c>
      <c r="BK108" s="430" t="s">
        <v>197</v>
      </c>
      <c r="BL108" s="430" t="s">
        <v>197</v>
      </c>
      <c r="BM108" s="430" t="s">
        <v>197</v>
      </c>
      <c r="BN108" s="430" t="s">
        <v>197</v>
      </c>
      <c r="BO108" s="430" t="s">
        <v>197</v>
      </c>
      <c r="BP108" s="430" t="s">
        <v>197</v>
      </c>
      <c r="BQ108" s="430" t="s">
        <v>197</v>
      </c>
      <c r="BR108" s="430" t="s">
        <v>197</v>
      </c>
      <c r="BS108" s="430" t="s">
        <v>197</v>
      </c>
      <c r="BT108" s="430" t="s">
        <v>197</v>
      </c>
      <c r="BU108" s="430" t="s">
        <v>197</v>
      </c>
      <c r="BV108" s="430" t="s">
        <v>197</v>
      </c>
      <c r="BW108" s="430" t="s">
        <v>197</v>
      </c>
      <c r="BX108" s="430" t="s">
        <v>197</v>
      </c>
      <c r="BY108" s="430" t="s">
        <v>197</v>
      </c>
      <c r="BZ108" s="430" t="s">
        <v>197</v>
      </c>
      <c r="CA108" s="430" t="s">
        <v>197</v>
      </c>
      <c r="CB108" s="430" t="s">
        <v>197</v>
      </c>
      <c r="CC108" s="430" t="s">
        <v>197</v>
      </c>
      <c r="CD108" s="430" t="s">
        <v>197</v>
      </c>
      <c r="CE108" s="430" t="s">
        <v>197</v>
      </c>
      <c r="CF108" s="430" t="s">
        <v>197</v>
      </c>
      <c r="CG108" s="430" t="s">
        <v>197</v>
      </c>
      <c r="CH108" s="430" t="s">
        <v>197</v>
      </c>
      <c r="CI108" s="430" t="s">
        <v>197</v>
      </c>
      <c r="CJ108" s="430" t="s">
        <v>197</v>
      </c>
      <c r="CK108" s="430" t="s">
        <v>197</v>
      </c>
      <c r="CL108" s="430" t="s">
        <v>197</v>
      </c>
      <c r="CM108" s="430" t="s">
        <v>197</v>
      </c>
    </row>
    <row r="109" spans="1:91" ht="10.5">
      <c r="A109" s="462" t="s">
        <v>637</v>
      </c>
      <c r="B109" s="462" t="s">
        <v>111</v>
      </c>
      <c r="C109" s="462" t="s">
        <v>638</v>
      </c>
      <c r="D109" s="462" t="s">
        <v>63</v>
      </c>
      <c r="E109" s="462" t="s">
        <v>64</v>
      </c>
      <c r="F109" s="462" t="s">
        <v>65</v>
      </c>
      <c r="G109" s="462" t="s">
        <v>66</v>
      </c>
      <c r="H109" s="462" t="s">
        <v>67</v>
      </c>
      <c r="I109" s="439" t="s">
        <v>68</v>
      </c>
      <c r="J109" s="430" t="s">
        <v>232</v>
      </c>
      <c r="K109" s="430"/>
      <c r="L109" s="430"/>
      <c r="M109" s="430" t="s">
        <v>68</v>
      </c>
      <c r="N109" s="432" t="s">
        <v>68</v>
      </c>
      <c r="O109" s="430" t="s">
        <v>473</v>
      </c>
      <c r="P109" s="430" t="s">
        <v>474</v>
      </c>
      <c r="Q109" s="430" t="s">
        <v>475</v>
      </c>
      <c r="R109" s="431" t="s">
        <v>73</v>
      </c>
      <c r="S109" s="442" t="s">
        <v>74</v>
      </c>
      <c r="T109" s="433">
        <v>460</v>
      </c>
      <c r="U109" s="1088">
        <v>2592</v>
      </c>
      <c r="V109" s="434">
        <v>1.1919999999999999</v>
      </c>
      <c r="W109" s="435">
        <v>72</v>
      </c>
      <c r="X109" s="1040">
        <v>3</v>
      </c>
      <c r="Y109" s="430" t="s">
        <v>75</v>
      </c>
      <c r="Z109" s="430" t="s">
        <v>75</v>
      </c>
      <c r="AA109" s="430"/>
      <c r="AB109" s="437">
        <v>46048</v>
      </c>
      <c r="AC109" s="438">
        <v>5</v>
      </c>
      <c r="AD109" s="439" t="s">
        <v>639</v>
      </c>
      <c r="AE109" s="430"/>
      <c r="AF109" s="430" t="s">
        <v>122</v>
      </c>
      <c r="AG109" s="430" t="s">
        <v>123</v>
      </c>
      <c r="AH109" s="430" t="s">
        <v>356</v>
      </c>
      <c r="AI109" s="437">
        <v>46054</v>
      </c>
      <c r="AJ109" s="437">
        <v>46054</v>
      </c>
      <c r="AK109" s="441">
        <v>46054</v>
      </c>
      <c r="AL109" s="437">
        <v>46091</v>
      </c>
      <c r="AM109" s="437">
        <v>46109</v>
      </c>
      <c r="AN109" s="437">
        <v>46110</v>
      </c>
      <c r="AO109" s="430" t="s">
        <v>66</v>
      </c>
      <c r="AP109" s="430" t="s">
        <v>632</v>
      </c>
      <c r="AQ109" s="430" t="s">
        <v>161</v>
      </c>
      <c r="AR109" s="430" t="s">
        <v>633</v>
      </c>
      <c r="AS109" s="430" t="s">
        <v>634</v>
      </c>
      <c r="AT109" s="430" t="s">
        <v>634</v>
      </c>
      <c r="AU1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7">
        <v>46110</v>
      </c>
      <c r="AX109" s="433" t="s">
        <v>84</v>
      </c>
      <c r="AY109" s="437">
        <v>46121</v>
      </c>
      <c r="AZ109" s="442">
        <v>8</v>
      </c>
      <c r="BA109" s="437">
        <v>46118</v>
      </c>
      <c r="BB109" s="433">
        <v>2026</v>
      </c>
      <c r="BC109" s="430">
        <v>4</v>
      </c>
      <c r="BD109" s="430">
        <v>15</v>
      </c>
      <c r="BE109" s="431">
        <v>36</v>
      </c>
      <c r="BF109" s="431">
        <v>864</v>
      </c>
      <c r="BG109" s="431" t="s">
        <v>85</v>
      </c>
      <c r="BH109" s="431" t="s">
        <v>109</v>
      </c>
      <c r="BI109" s="430" t="s">
        <v>197</v>
      </c>
      <c r="BJ109" s="430" t="s">
        <v>197</v>
      </c>
      <c r="BK109" s="430" t="s">
        <v>197</v>
      </c>
      <c r="BL109" s="430" t="s">
        <v>197</v>
      </c>
      <c r="BM109" s="430" t="s">
        <v>197</v>
      </c>
      <c r="BN109" s="430" t="s">
        <v>197</v>
      </c>
      <c r="BO109" s="430" t="s">
        <v>197</v>
      </c>
      <c r="BP109" s="430" t="s">
        <v>197</v>
      </c>
      <c r="BQ109" s="430" t="s">
        <v>197</v>
      </c>
      <c r="BR109" s="430" t="s">
        <v>197</v>
      </c>
      <c r="BS109" s="430" t="s">
        <v>197</v>
      </c>
      <c r="BT109" s="430" t="s">
        <v>197</v>
      </c>
      <c r="BU109" s="430" t="s">
        <v>197</v>
      </c>
      <c r="BV109" s="430" t="s">
        <v>197</v>
      </c>
      <c r="BW109" s="430" t="s">
        <v>197</v>
      </c>
      <c r="BX109" s="430" t="s">
        <v>197</v>
      </c>
      <c r="BY109" s="430" t="s">
        <v>197</v>
      </c>
      <c r="BZ109" s="430" t="s">
        <v>197</v>
      </c>
      <c r="CA109" s="430" t="s">
        <v>197</v>
      </c>
      <c r="CB109" s="430" t="s">
        <v>197</v>
      </c>
      <c r="CC109" s="430" t="s">
        <v>197</v>
      </c>
      <c r="CD109" s="430" t="s">
        <v>197</v>
      </c>
      <c r="CE109" s="430" t="s">
        <v>197</v>
      </c>
      <c r="CF109" s="430" t="s">
        <v>197</v>
      </c>
      <c r="CG109" s="430" t="s">
        <v>197</v>
      </c>
      <c r="CH109" s="430" t="s">
        <v>197</v>
      </c>
      <c r="CI109" s="430" t="s">
        <v>197</v>
      </c>
      <c r="CJ109" s="430" t="s">
        <v>197</v>
      </c>
      <c r="CK109" s="430" t="s">
        <v>197</v>
      </c>
      <c r="CL109" s="430" t="s">
        <v>197</v>
      </c>
      <c r="CM109" s="430" t="s">
        <v>197</v>
      </c>
    </row>
    <row r="110" spans="1:91" ht="10.5">
      <c r="A110" s="462" t="s">
        <v>640</v>
      </c>
      <c r="B110" s="462" t="s">
        <v>111</v>
      </c>
      <c r="C110" s="462" t="s">
        <v>472</v>
      </c>
      <c r="D110" s="462" t="s">
        <v>63</v>
      </c>
      <c r="E110" s="462" t="s">
        <v>64</v>
      </c>
      <c r="F110" s="462" t="s">
        <v>100</v>
      </c>
      <c r="G110" s="462" t="s">
        <v>66</v>
      </c>
      <c r="H110" s="462" t="s">
        <v>67</v>
      </c>
      <c r="I110" s="439" t="s">
        <v>68</v>
      </c>
      <c r="J110" s="430" t="s">
        <v>483</v>
      </c>
      <c r="K110" s="430"/>
      <c r="L110" s="430"/>
      <c r="M110" s="430" t="s">
        <v>68</v>
      </c>
      <c r="N110" s="432" t="s">
        <v>68</v>
      </c>
      <c r="O110" s="430" t="s">
        <v>473</v>
      </c>
      <c r="P110" s="430" t="s">
        <v>474</v>
      </c>
      <c r="Q110" s="430" t="s">
        <v>475</v>
      </c>
      <c r="R110" s="431" t="s">
        <v>73</v>
      </c>
      <c r="S110" s="442" t="s">
        <v>74</v>
      </c>
      <c r="T110" s="433">
        <v>460</v>
      </c>
      <c r="U110" s="1088">
        <v>2592</v>
      </c>
      <c r="V110" s="434">
        <v>1.1919999999999999</v>
      </c>
      <c r="W110" s="435">
        <v>72</v>
      </c>
      <c r="X110" s="1040">
        <v>3</v>
      </c>
      <c r="Y110" s="430" t="s">
        <v>75</v>
      </c>
      <c r="Z110" s="430" t="s">
        <v>75</v>
      </c>
      <c r="AA110" s="430"/>
      <c r="AB110" s="437">
        <v>46050</v>
      </c>
      <c r="AC110" s="438">
        <v>5</v>
      </c>
      <c r="AD110" s="439" t="s">
        <v>641</v>
      </c>
      <c r="AE110" s="430"/>
      <c r="AF110" s="430" t="s">
        <v>122</v>
      </c>
      <c r="AG110" s="430" t="s">
        <v>123</v>
      </c>
      <c r="AH110" s="430" t="s">
        <v>105</v>
      </c>
      <c r="AI110" s="437">
        <v>46055</v>
      </c>
      <c r="AJ110" s="437">
        <v>46059</v>
      </c>
      <c r="AK110" s="441">
        <v>46059</v>
      </c>
      <c r="AL110" s="437">
        <v>46092</v>
      </c>
      <c r="AM110" s="437">
        <v>46102</v>
      </c>
      <c r="AN110" s="437">
        <v>46103</v>
      </c>
      <c r="AO110" s="430" t="s">
        <v>66</v>
      </c>
      <c r="AP110" s="430" t="s">
        <v>642</v>
      </c>
      <c r="AQ110" s="430" t="s">
        <v>80</v>
      </c>
      <c r="AR110" s="430" t="s">
        <v>643</v>
      </c>
      <c r="AS110" s="430" t="s">
        <v>644</v>
      </c>
      <c r="AT110" s="430" t="s">
        <v>644</v>
      </c>
      <c r="AU1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7">
        <v>46103</v>
      </c>
      <c r="AX110" s="433" t="s">
        <v>84</v>
      </c>
      <c r="AY110" s="437">
        <v>46115</v>
      </c>
      <c r="AZ110" s="442">
        <v>7</v>
      </c>
      <c r="BA110" s="437">
        <v>46110</v>
      </c>
      <c r="BB110" s="433">
        <v>2026</v>
      </c>
      <c r="BC110" s="430">
        <v>3</v>
      </c>
      <c r="BD110" s="430">
        <v>13</v>
      </c>
      <c r="BE110" s="431">
        <v>36</v>
      </c>
      <c r="BF110" s="431">
        <v>864</v>
      </c>
      <c r="BG110" s="431" t="s">
        <v>85</v>
      </c>
      <c r="BH110" s="431" t="s">
        <v>109</v>
      </c>
      <c r="BI110" s="430" t="s">
        <v>197</v>
      </c>
      <c r="BJ110" s="430" t="s">
        <v>197</v>
      </c>
      <c r="BK110" s="430" t="s">
        <v>197</v>
      </c>
      <c r="BL110" s="430" t="s">
        <v>197</v>
      </c>
      <c r="BM110" s="430" t="s">
        <v>197</v>
      </c>
      <c r="BN110" s="430" t="s">
        <v>197</v>
      </c>
      <c r="BO110" s="430" t="s">
        <v>197</v>
      </c>
      <c r="BP110" s="430" t="s">
        <v>197</v>
      </c>
      <c r="BQ110" s="430" t="s">
        <v>197</v>
      </c>
      <c r="BR110" s="430" t="s">
        <v>197</v>
      </c>
      <c r="BS110" s="430" t="s">
        <v>197</v>
      </c>
      <c r="BT110" s="430" t="s">
        <v>197</v>
      </c>
      <c r="BU110" s="430" t="s">
        <v>197</v>
      </c>
      <c r="BV110" s="430" t="s">
        <v>197</v>
      </c>
      <c r="BW110" s="430" t="s">
        <v>197</v>
      </c>
      <c r="BX110" s="430" t="s">
        <v>197</v>
      </c>
      <c r="BY110" s="430" t="s">
        <v>197</v>
      </c>
      <c r="BZ110" s="430" t="s">
        <v>197</v>
      </c>
      <c r="CA110" s="430" t="s">
        <v>197</v>
      </c>
      <c r="CB110" s="430" t="s">
        <v>197</v>
      </c>
      <c r="CC110" s="430" t="s">
        <v>197</v>
      </c>
      <c r="CD110" s="430" t="s">
        <v>197</v>
      </c>
      <c r="CE110" s="430" t="s">
        <v>197</v>
      </c>
      <c r="CF110" s="430" t="s">
        <v>197</v>
      </c>
      <c r="CG110" s="430" t="s">
        <v>197</v>
      </c>
      <c r="CH110" s="430" t="s">
        <v>197</v>
      </c>
      <c r="CI110" s="430" t="s">
        <v>197</v>
      </c>
      <c r="CJ110" s="430" t="s">
        <v>197</v>
      </c>
      <c r="CK110" s="430" t="s">
        <v>197</v>
      </c>
      <c r="CL110" s="430" t="s">
        <v>197</v>
      </c>
      <c r="CM110" s="430" t="s">
        <v>197</v>
      </c>
    </row>
    <row r="111" spans="1:91" ht="10.5">
      <c r="A111" s="462" t="s">
        <v>645</v>
      </c>
      <c r="B111" s="462" t="s">
        <v>111</v>
      </c>
      <c r="C111" s="462" t="s">
        <v>525</v>
      </c>
      <c r="D111" s="462" t="s">
        <v>63</v>
      </c>
      <c r="E111" s="462" t="s">
        <v>64</v>
      </c>
      <c r="F111" s="462" t="s">
        <v>114</v>
      </c>
      <c r="G111" s="462" t="s">
        <v>66</v>
      </c>
      <c r="H111" s="462" t="s">
        <v>115</v>
      </c>
      <c r="I111" s="439" t="s">
        <v>68</v>
      </c>
      <c r="J111" s="430" t="s">
        <v>646</v>
      </c>
      <c r="K111" s="430"/>
      <c r="L111" s="430"/>
      <c r="M111" s="430" t="s">
        <v>68</v>
      </c>
      <c r="N111" s="432" t="s">
        <v>68</v>
      </c>
      <c r="O111" s="430" t="s">
        <v>473</v>
      </c>
      <c r="P111" s="430" t="s">
        <v>529</v>
      </c>
      <c r="Q111" s="430" t="s">
        <v>530</v>
      </c>
      <c r="R111" s="431" t="s">
        <v>73</v>
      </c>
      <c r="S111" s="442" t="s">
        <v>74</v>
      </c>
      <c r="T111" s="433">
        <v>455</v>
      </c>
      <c r="U111" s="1088">
        <v>2592</v>
      </c>
      <c r="V111" s="434">
        <v>1.179</v>
      </c>
      <c r="W111" s="435">
        <v>72</v>
      </c>
      <c r="X111" s="1040">
        <v>3</v>
      </c>
      <c r="Y111" s="430" t="s">
        <v>75</v>
      </c>
      <c r="Z111" s="430" t="s">
        <v>75</v>
      </c>
      <c r="AA111" s="430"/>
      <c r="AB111" s="437">
        <v>46050</v>
      </c>
      <c r="AC111" s="438">
        <v>5</v>
      </c>
      <c r="AD111" s="439" t="s">
        <v>647</v>
      </c>
      <c r="AE111" s="430"/>
      <c r="AF111" s="430" t="s">
        <v>122</v>
      </c>
      <c r="AG111" s="430" t="s">
        <v>123</v>
      </c>
      <c r="AH111" s="430" t="s">
        <v>124</v>
      </c>
      <c r="AI111" s="437">
        <v>46055</v>
      </c>
      <c r="AJ111" s="437">
        <v>46056</v>
      </c>
      <c r="AK111" s="441">
        <v>46056</v>
      </c>
      <c r="AL111" s="437">
        <v>46093</v>
      </c>
      <c r="AM111" s="437">
        <v>46095</v>
      </c>
      <c r="AN111" s="437">
        <v>46095</v>
      </c>
      <c r="AO111" s="430" t="s">
        <v>66</v>
      </c>
      <c r="AP111" s="430" t="s">
        <v>648</v>
      </c>
      <c r="AQ111" s="430" t="s">
        <v>80</v>
      </c>
      <c r="AR111" s="430" t="s">
        <v>649</v>
      </c>
      <c r="AS111" s="430" t="s">
        <v>650</v>
      </c>
      <c r="AT111" s="430" t="s">
        <v>650</v>
      </c>
      <c r="AU1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7">
        <v>46095</v>
      </c>
      <c r="AX111" s="433" t="s">
        <v>84</v>
      </c>
      <c r="AY111" s="437">
        <v>46111</v>
      </c>
      <c r="AZ111" s="442">
        <v>9</v>
      </c>
      <c r="BA111" s="437">
        <v>46104</v>
      </c>
      <c r="BB111" s="433">
        <v>2026</v>
      </c>
      <c r="BC111" s="430">
        <v>3</v>
      </c>
      <c r="BD111" s="430">
        <v>13</v>
      </c>
      <c r="BE111" s="431">
        <v>36</v>
      </c>
      <c r="BF111" s="431">
        <v>864</v>
      </c>
      <c r="BG111" s="431" t="s">
        <v>85</v>
      </c>
      <c r="BH111" s="431" t="s">
        <v>86</v>
      </c>
      <c r="BI111" s="430" t="s">
        <v>197</v>
      </c>
      <c r="BJ111" s="430" t="s">
        <v>197</v>
      </c>
      <c r="BK111" s="430" t="s">
        <v>197</v>
      </c>
      <c r="BL111" s="430" t="s">
        <v>197</v>
      </c>
      <c r="BM111" s="430" t="s">
        <v>197</v>
      </c>
      <c r="BN111" s="430" t="s">
        <v>197</v>
      </c>
      <c r="BO111" s="430" t="s">
        <v>197</v>
      </c>
      <c r="BP111" s="430" t="s">
        <v>197</v>
      </c>
      <c r="BQ111" s="430" t="s">
        <v>197</v>
      </c>
      <c r="BR111" s="430" t="s">
        <v>197</v>
      </c>
      <c r="BS111" s="430" t="s">
        <v>197</v>
      </c>
      <c r="BT111" s="430" t="s">
        <v>197</v>
      </c>
      <c r="BU111" s="430" t="s">
        <v>197</v>
      </c>
      <c r="BV111" s="430" t="s">
        <v>197</v>
      </c>
      <c r="BW111" s="430" t="s">
        <v>197</v>
      </c>
      <c r="BX111" s="430" t="s">
        <v>197</v>
      </c>
      <c r="BY111" s="430" t="s">
        <v>197</v>
      </c>
      <c r="BZ111" s="430" t="s">
        <v>197</v>
      </c>
      <c r="CA111" s="430" t="s">
        <v>197</v>
      </c>
      <c r="CB111" s="430" t="s">
        <v>197</v>
      </c>
      <c r="CC111" s="430" t="s">
        <v>197</v>
      </c>
      <c r="CD111" s="430" t="s">
        <v>197</v>
      </c>
      <c r="CE111" s="430" t="s">
        <v>197</v>
      </c>
      <c r="CF111" s="430" t="s">
        <v>197</v>
      </c>
      <c r="CG111" s="430" t="s">
        <v>197</v>
      </c>
      <c r="CH111" s="430" t="s">
        <v>197</v>
      </c>
      <c r="CI111" s="430" t="s">
        <v>197</v>
      </c>
      <c r="CJ111" s="430" t="s">
        <v>197</v>
      </c>
      <c r="CK111" s="430" t="s">
        <v>197</v>
      </c>
      <c r="CL111" s="430" t="s">
        <v>197</v>
      </c>
      <c r="CM111" s="430" t="s">
        <v>197</v>
      </c>
    </row>
    <row r="112" spans="1:91" ht="10.5">
      <c r="A112" s="462" t="s">
        <v>651</v>
      </c>
      <c r="B112" s="462" t="s">
        <v>111</v>
      </c>
      <c r="C112" s="462" t="s">
        <v>472</v>
      </c>
      <c r="D112" s="462" t="s">
        <v>63</v>
      </c>
      <c r="E112" s="462" t="s">
        <v>64</v>
      </c>
      <c r="F112" s="462" t="s">
        <v>65</v>
      </c>
      <c r="G112" s="462" t="s">
        <v>66</v>
      </c>
      <c r="H112" s="462" t="s">
        <v>67</v>
      </c>
      <c r="I112" s="439" t="s">
        <v>68</v>
      </c>
      <c r="J112" s="430" t="s">
        <v>232</v>
      </c>
      <c r="K112" s="430"/>
      <c r="L112" s="430"/>
      <c r="M112" s="430" t="s">
        <v>68</v>
      </c>
      <c r="N112" s="432" t="s">
        <v>68</v>
      </c>
      <c r="O112" s="430" t="s">
        <v>473</v>
      </c>
      <c r="P112" s="430" t="s">
        <v>474</v>
      </c>
      <c r="Q112" s="430" t="s">
        <v>475</v>
      </c>
      <c r="R112" s="431" t="s">
        <v>73</v>
      </c>
      <c r="S112" s="442" t="s">
        <v>74</v>
      </c>
      <c r="T112" s="433">
        <v>460</v>
      </c>
      <c r="U112" s="1088">
        <v>2592</v>
      </c>
      <c r="V112" s="434">
        <v>1.1919999999999999</v>
      </c>
      <c r="W112" s="435">
        <v>72</v>
      </c>
      <c r="X112" s="1040">
        <v>3</v>
      </c>
      <c r="Y112" s="430" t="s">
        <v>75</v>
      </c>
      <c r="Z112" s="430" t="s">
        <v>75</v>
      </c>
      <c r="AA112" s="430"/>
      <c r="AB112" s="437">
        <v>46050</v>
      </c>
      <c r="AC112" s="438">
        <v>5</v>
      </c>
      <c r="AD112" s="439" t="s">
        <v>652</v>
      </c>
      <c r="AE112" s="430"/>
      <c r="AF112" s="430" t="s">
        <v>122</v>
      </c>
      <c r="AG112" s="430" t="s">
        <v>123</v>
      </c>
      <c r="AH112" s="430" t="s">
        <v>78</v>
      </c>
      <c r="AI112" s="437">
        <v>46055</v>
      </c>
      <c r="AJ112" s="437">
        <v>46056</v>
      </c>
      <c r="AK112" s="441">
        <v>46056</v>
      </c>
      <c r="AL112" s="437">
        <v>46098</v>
      </c>
      <c r="AM112" s="437">
        <v>46101</v>
      </c>
      <c r="AN112" s="437">
        <v>46103</v>
      </c>
      <c r="AO112" s="430" t="s">
        <v>66</v>
      </c>
      <c r="AP112" s="430" t="s">
        <v>653</v>
      </c>
      <c r="AQ112" s="430" t="s">
        <v>80</v>
      </c>
      <c r="AR112" s="430" t="s">
        <v>654</v>
      </c>
      <c r="AS112" s="430" t="s">
        <v>655</v>
      </c>
      <c r="AT112" s="430" t="s">
        <v>655</v>
      </c>
      <c r="AU1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7">
        <v>46103</v>
      </c>
      <c r="AX112" s="433" t="s">
        <v>84</v>
      </c>
      <c r="AY112" s="437">
        <v>46115</v>
      </c>
      <c r="AZ112" s="442">
        <v>8</v>
      </c>
      <c r="BA112" s="437">
        <v>46111</v>
      </c>
      <c r="BB112" s="433">
        <v>2026</v>
      </c>
      <c r="BC112" s="430">
        <v>3</v>
      </c>
      <c r="BD112" s="430">
        <v>14</v>
      </c>
      <c r="BE112" s="431">
        <v>36</v>
      </c>
      <c r="BF112" s="431">
        <v>864</v>
      </c>
      <c r="BG112" s="431" t="s">
        <v>85</v>
      </c>
      <c r="BH112" s="431" t="s">
        <v>86</v>
      </c>
      <c r="BI112" s="430" t="s">
        <v>197</v>
      </c>
      <c r="BJ112" s="430" t="s">
        <v>197</v>
      </c>
      <c r="BK112" s="430" t="s">
        <v>197</v>
      </c>
      <c r="BL112" s="430" t="s">
        <v>197</v>
      </c>
      <c r="BM112" s="430" t="s">
        <v>197</v>
      </c>
      <c r="BN112" s="430" t="s">
        <v>197</v>
      </c>
      <c r="BO112" s="430" t="s">
        <v>197</v>
      </c>
      <c r="BP112" s="430" t="s">
        <v>197</v>
      </c>
      <c r="BQ112" s="430" t="s">
        <v>197</v>
      </c>
      <c r="BR112" s="430" t="s">
        <v>197</v>
      </c>
      <c r="BS112" s="430" t="s">
        <v>197</v>
      </c>
      <c r="BT112" s="430" t="s">
        <v>197</v>
      </c>
      <c r="BU112" s="430" t="s">
        <v>197</v>
      </c>
      <c r="BV112" s="430" t="s">
        <v>197</v>
      </c>
      <c r="BW112" s="430" t="s">
        <v>197</v>
      </c>
      <c r="BX112" s="430" t="s">
        <v>197</v>
      </c>
      <c r="BY112" s="430" t="s">
        <v>197</v>
      </c>
      <c r="BZ112" s="430" t="s">
        <v>197</v>
      </c>
      <c r="CA112" s="430" t="s">
        <v>197</v>
      </c>
      <c r="CB112" s="430" t="s">
        <v>197</v>
      </c>
      <c r="CC112" s="430" t="s">
        <v>197</v>
      </c>
      <c r="CD112" s="430" t="s">
        <v>197</v>
      </c>
      <c r="CE112" s="430" t="s">
        <v>197</v>
      </c>
      <c r="CF112" s="430" t="s">
        <v>197</v>
      </c>
      <c r="CG112" s="430" t="s">
        <v>197</v>
      </c>
      <c r="CH112" s="430" t="s">
        <v>197</v>
      </c>
      <c r="CI112" s="430" t="s">
        <v>197</v>
      </c>
      <c r="CJ112" s="430" t="s">
        <v>197</v>
      </c>
      <c r="CK112" s="430" t="s">
        <v>197</v>
      </c>
      <c r="CL112" s="430" t="s">
        <v>197</v>
      </c>
      <c r="CM112" s="430" t="s">
        <v>197</v>
      </c>
    </row>
    <row r="113" spans="1:91" ht="10.5">
      <c r="A113" s="462" t="s">
        <v>461</v>
      </c>
      <c r="B113" s="462" t="s">
        <v>111</v>
      </c>
      <c r="C113" s="462" t="s">
        <v>203</v>
      </c>
      <c r="D113" s="462" t="s">
        <v>63</v>
      </c>
      <c r="E113" s="462" t="s">
        <v>64</v>
      </c>
      <c r="F113" s="462" t="s">
        <v>65</v>
      </c>
      <c r="G113" s="462" t="s">
        <v>66</v>
      </c>
      <c r="H113" s="462" t="s">
        <v>67</v>
      </c>
      <c r="I113" s="439" t="s">
        <v>68</v>
      </c>
      <c r="J113" s="430" t="s">
        <v>131</v>
      </c>
      <c r="K113" s="430"/>
      <c r="L113" s="430"/>
      <c r="M113" s="430" t="s">
        <v>68</v>
      </c>
      <c r="N113" s="432" t="s">
        <v>68</v>
      </c>
      <c r="O113" s="430" t="s">
        <v>170</v>
      </c>
      <c r="P113" s="430" t="s">
        <v>462</v>
      </c>
      <c r="Q113" s="430" t="s">
        <v>463</v>
      </c>
      <c r="R113" s="431" t="s">
        <v>73</v>
      </c>
      <c r="S113" s="442" t="s">
        <v>464</v>
      </c>
      <c r="T113" s="433">
        <v>550</v>
      </c>
      <c r="U113" s="1088">
        <v>2640</v>
      </c>
      <c r="V113" s="434">
        <v>1.452</v>
      </c>
      <c r="W113" s="435">
        <v>80</v>
      </c>
      <c r="X113" s="1040">
        <v>4</v>
      </c>
      <c r="Y113" s="430" t="s">
        <v>75</v>
      </c>
      <c r="Z113" s="430" t="s">
        <v>75</v>
      </c>
      <c r="AA113" s="430"/>
      <c r="AB113" s="437">
        <v>46049</v>
      </c>
      <c r="AC113" s="438">
        <v>5</v>
      </c>
      <c r="AD113" s="439" t="s">
        <v>656</v>
      </c>
      <c r="AE113" s="430"/>
      <c r="AF113" s="430" t="s">
        <v>122</v>
      </c>
      <c r="AG113" s="430" t="s">
        <v>123</v>
      </c>
      <c r="AH113" s="430" t="s">
        <v>78</v>
      </c>
      <c r="AI113" s="437">
        <v>46055</v>
      </c>
      <c r="AJ113" s="437">
        <v>46058</v>
      </c>
      <c r="AK113" s="441">
        <v>46058</v>
      </c>
      <c r="AL113" s="437">
        <v>46099</v>
      </c>
      <c r="AM113" s="437">
        <v>46112</v>
      </c>
      <c r="AN113" s="437">
        <v>46120</v>
      </c>
      <c r="AO113" s="430" t="s">
        <v>66</v>
      </c>
      <c r="AP113" s="430" t="s">
        <v>657</v>
      </c>
      <c r="AQ113" s="430" t="s">
        <v>80</v>
      </c>
      <c r="AR113" s="430" t="s">
        <v>658</v>
      </c>
      <c r="AS113" s="430" t="s">
        <v>659</v>
      </c>
      <c r="AT113" s="430" t="s">
        <v>659</v>
      </c>
      <c r="AU1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7">
        <v>46120</v>
      </c>
      <c r="AX113" s="433" t="s">
        <v>84</v>
      </c>
      <c r="AY113" s="437">
        <v>46132</v>
      </c>
      <c r="AZ113" s="442">
        <v>8</v>
      </c>
      <c r="BA113" s="437">
        <v>46128</v>
      </c>
      <c r="BB113" s="433">
        <v>2026</v>
      </c>
      <c r="BC113" s="430">
        <v>4</v>
      </c>
      <c r="BD113" s="430">
        <v>16</v>
      </c>
      <c r="BE113" s="431">
        <v>33</v>
      </c>
      <c r="BF113" s="431">
        <v>660</v>
      </c>
      <c r="BG113" s="431" t="s">
        <v>108</v>
      </c>
      <c r="BH113" s="431" t="s">
        <v>86</v>
      </c>
      <c r="BI113" s="430" t="s">
        <v>197</v>
      </c>
      <c r="BJ113" s="430" t="s">
        <v>197</v>
      </c>
      <c r="BK113" s="430" t="s">
        <v>197</v>
      </c>
      <c r="BL113" s="430" t="s">
        <v>197</v>
      </c>
      <c r="BM113" s="430" t="s">
        <v>197</v>
      </c>
      <c r="BN113" s="430" t="s">
        <v>197</v>
      </c>
      <c r="BO113" s="430" t="s">
        <v>197</v>
      </c>
      <c r="BP113" s="430" t="s">
        <v>197</v>
      </c>
      <c r="BQ113" s="430" t="s">
        <v>197</v>
      </c>
      <c r="BR113" s="430" t="s">
        <v>197</v>
      </c>
      <c r="BS113" s="430" t="s">
        <v>197</v>
      </c>
      <c r="BT113" s="430" t="s">
        <v>197</v>
      </c>
      <c r="BU113" s="430" t="s">
        <v>197</v>
      </c>
      <c r="BV113" s="430" t="s">
        <v>197</v>
      </c>
      <c r="BW113" s="430" t="s">
        <v>197</v>
      </c>
      <c r="BX113" s="430" t="s">
        <v>197</v>
      </c>
      <c r="BY113" s="430" t="s">
        <v>197</v>
      </c>
      <c r="BZ113" s="430" t="s">
        <v>197</v>
      </c>
      <c r="CA113" s="430" t="s">
        <v>197</v>
      </c>
      <c r="CB113" s="430" t="s">
        <v>197</v>
      </c>
      <c r="CC113" s="430" t="s">
        <v>197</v>
      </c>
      <c r="CD113" s="430" t="s">
        <v>197</v>
      </c>
      <c r="CE113" s="430" t="s">
        <v>197</v>
      </c>
      <c r="CF113" s="430" t="s">
        <v>197</v>
      </c>
      <c r="CG113" s="430" t="s">
        <v>197</v>
      </c>
      <c r="CH113" s="430" t="s">
        <v>197</v>
      </c>
      <c r="CI113" s="430" t="s">
        <v>197</v>
      </c>
      <c r="CJ113" s="430" t="s">
        <v>197</v>
      </c>
      <c r="CK113" s="430" t="s">
        <v>197</v>
      </c>
      <c r="CL113" s="430" t="s">
        <v>197</v>
      </c>
      <c r="CM113" s="430" t="s">
        <v>197</v>
      </c>
    </row>
    <row r="114" spans="1:91" ht="10.5">
      <c r="A114" s="462" t="s">
        <v>660</v>
      </c>
      <c r="B114" s="462" t="s">
        <v>111</v>
      </c>
      <c r="C114" s="462" t="s">
        <v>461</v>
      </c>
      <c r="D114" s="462" t="s">
        <v>63</v>
      </c>
      <c r="E114" s="462" t="s">
        <v>64</v>
      </c>
      <c r="F114" s="462" t="s">
        <v>100</v>
      </c>
      <c r="G114" s="462" t="s">
        <v>66</v>
      </c>
      <c r="H114" s="462" t="s">
        <v>67</v>
      </c>
      <c r="I114" s="439" t="s">
        <v>68</v>
      </c>
      <c r="J114" s="430" t="s">
        <v>169</v>
      </c>
      <c r="K114" s="430"/>
      <c r="L114" s="430"/>
      <c r="M114" s="430" t="s">
        <v>68</v>
      </c>
      <c r="N114" s="432" t="s">
        <v>68</v>
      </c>
      <c r="O114" s="430" t="s">
        <v>170</v>
      </c>
      <c r="P114" s="430" t="s">
        <v>462</v>
      </c>
      <c r="Q114" s="430" t="s">
        <v>463</v>
      </c>
      <c r="R114" s="431" t="s">
        <v>73</v>
      </c>
      <c r="S114" s="442" t="s">
        <v>464</v>
      </c>
      <c r="T114" s="433">
        <v>550</v>
      </c>
      <c r="U114" s="1088">
        <v>660</v>
      </c>
      <c r="V114" s="434">
        <v>0.36299999999999999</v>
      </c>
      <c r="W114" s="435">
        <v>20</v>
      </c>
      <c r="X114" s="1040">
        <v>1</v>
      </c>
      <c r="Y114" s="430" t="s">
        <v>75</v>
      </c>
      <c r="Z114" s="430" t="s">
        <v>75</v>
      </c>
      <c r="AA114" s="430"/>
      <c r="AB114" s="437">
        <v>46049</v>
      </c>
      <c r="AC114" s="438">
        <v>5</v>
      </c>
      <c r="AD114" s="439" t="s">
        <v>661</v>
      </c>
      <c r="AE114" s="430"/>
      <c r="AF114" s="430" t="s">
        <v>122</v>
      </c>
      <c r="AG114" s="430" t="s">
        <v>123</v>
      </c>
      <c r="AH114" s="430" t="s">
        <v>105</v>
      </c>
      <c r="AI114" s="437">
        <v>46055</v>
      </c>
      <c r="AJ114" s="437">
        <v>46058</v>
      </c>
      <c r="AK114" s="441">
        <v>46058</v>
      </c>
      <c r="AL114" s="437">
        <v>46101</v>
      </c>
      <c r="AM114" s="437">
        <v>46111</v>
      </c>
      <c r="AN114" s="437">
        <v>46118</v>
      </c>
      <c r="AO114" s="430" t="s">
        <v>66</v>
      </c>
      <c r="AP114" s="430" t="s">
        <v>657</v>
      </c>
      <c r="AQ114" s="430" t="s">
        <v>80</v>
      </c>
      <c r="AR114" s="430" t="s">
        <v>662</v>
      </c>
      <c r="AS114" s="430" t="s">
        <v>663</v>
      </c>
      <c r="AT114" s="430" t="s">
        <v>663</v>
      </c>
      <c r="AU1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7">
        <v>46118</v>
      </c>
      <c r="AX114" s="433" t="s">
        <v>84</v>
      </c>
      <c r="AY114" s="437">
        <v>46133</v>
      </c>
      <c r="AZ114" s="442">
        <v>7</v>
      </c>
      <c r="BA114" s="437">
        <v>46125</v>
      </c>
      <c r="BB114" s="433">
        <v>2026</v>
      </c>
      <c r="BC114" s="430">
        <v>4</v>
      </c>
      <c r="BD114" s="430">
        <v>16</v>
      </c>
      <c r="BE114" s="431">
        <v>33</v>
      </c>
      <c r="BF114" s="431">
        <v>660</v>
      </c>
      <c r="BG114" s="431" t="s">
        <v>108</v>
      </c>
      <c r="BH114" s="431" t="s">
        <v>109</v>
      </c>
      <c r="BI114" s="430" t="s">
        <v>197</v>
      </c>
      <c r="BJ114" s="430" t="s">
        <v>197</v>
      </c>
      <c r="BK114" s="430" t="s">
        <v>197</v>
      </c>
      <c r="BL114" s="430" t="s">
        <v>197</v>
      </c>
      <c r="BM114" s="430" t="s">
        <v>197</v>
      </c>
      <c r="BN114" s="430" t="s">
        <v>197</v>
      </c>
      <c r="BO114" s="430" t="s">
        <v>197</v>
      </c>
      <c r="BP114" s="430" t="s">
        <v>197</v>
      </c>
      <c r="BQ114" s="430" t="s">
        <v>197</v>
      </c>
      <c r="BR114" s="430" t="s">
        <v>197</v>
      </c>
      <c r="BS114" s="430" t="s">
        <v>197</v>
      </c>
      <c r="BT114" s="430" t="s">
        <v>197</v>
      </c>
      <c r="BU114" s="430" t="s">
        <v>197</v>
      </c>
      <c r="BV114" s="430" t="s">
        <v>197</v>
      </c>
      <c r="BW114" s="430" t="s">
        <v>197</v>
      </c>
      <c r="BX114" s="430" t="s">
        <v>197</v>
      </c>
      <c r="BY114" s="430" t="s">
        <v>197</v>
      </c>
      <c r="BZ114" s="430" t="s">
        <v>197</v>
      </c>
      <c r="CA114" s="430" t="s">
        <v>197</v>
      </c>
      <c r="CB114" s="430" t="s">
        <v>197</v>
      </c>
      <c r="CC114" s="430" t="s">
        <v>197</v>
      </c>
      <c r="CD114" s="430" t="s">
        <v>197</v>
      </c>
      <c r="CE114" s="430" t="s">
        <v>197</v>
      </c>
      <c r="CF114" s="430" t="s">
        <v>197</v>
      </c>
      <c r="CG114" s="430" t="s">
        <v>197</v>
      </c>
      <c r="CH114" s="430" t="s">
        <v>197</v>
      </c>
      <c r="CI114" s="430" t="s">
        <v>197</v>
      </c>
      <c r="CJ114" s="430" t="s">
        <v>197</v>
      </c>
      <c r="CK114" s="430" t="s">
        <v>197</v>
      </c>
      <c r="CL114" s="430" t="s">
        <v>197</v>
      </c>
      <c r="CM114" s="430" t="s">
        <v>197</v>
      </c>
    </row>
    <row r="115" spans="1:91" ht="10.5">
      <c r="A115" s="462" t="s">
        <v>664</v>
      </c>
      <c r="B115" s="462" t="s">
        <v>111</v>
      </c>
      <c r="C115" s="462" t="s">
        <v>168</v>
      </c>
      <c r="D115" s="462" t="s">
        <v>63</v>
      </c>
      <c r="E115" s="462" t="s">
        <v>64</v>
      </c>
      <c r="F115" s="462" t="s">
        <v>100</v>
      </c>
      <c r="G115" s="462" t="s">
        <v>66</v>
      </c>
      <c r="H115" s="462" t="s">
        <v>67</v>
      </c>
      <c r="I115" s="439" t="s">
        <v>68</v>
      </c>
      <c r="J115" s="430" t="s">
        <v>169</v>
      </c>
      <c r="K115" s="430"/>
      <c r="L115" s="430"/>
      <c r="M115" s="430" t="s">
        <v>68</v>
      </c>
      <c r="N115" s="432" t="s">
        <v>68</v>
      </c>
      <c r="O115" s="430" t="s">
        <v>170</v>
      </c>
      <c r="P115" s="430" t="s">
        <v>171</v>
      </c>
      <c r="Q115" s="430" t="s">
        <v>172</v>
      </c>
      <c r="R115" s="431" t="s">
        <v>73</v>
      </c>
      <c r="S115" s="442" t="s">
        <v>120</v>
      </c>
      <c r="T115" s="433">
        <v>555</v>
      </c>
      <c r="U115" s="1088">
        <v>1320</v>
      </c>
      <c r="V115" s="434">
        <v>0.73299999999999998</v>
      </c>
      <c r="W115" s="435">
        <v>40</v>
      </c>
      <c r="X115" s="1040">
        <v>2</v>
      </c>
      <c r="Y115" s="430" t="s">
        <v>75</v>
      </c>
      <c r="Z115" s="430" t="s">
        <v>75</v>
      </c>
      <c r="AA115" s="430"/>
      <c r="AB115" s="437">
        <v>46049</v>
      </c>
      <c r="AC115" s="438">
        <v>5</v>
      </c>
      <c r="AD115" s="439" t="s">
        <v>665</v>
      </c>
      <c r="AE115" s="430"/>
      <c r="AF115" s="430" t="s">
        <v>122</v>
      </c>
      <c r="AG115" s="430" t="s">
        <v>123</v>
      </c>
      <c r="AH115" s="430" t="s">
        <v>105</v>
      </c>
      <c r="AI115" s="437">
        <v>46055</v>
      </c>
      <c r="AJ115" s="437">
        <v>46058</v>
      </c>
      <c r="AK115" s="441">
        <v>46058</v>
      </c>
      <c r="AL115" s="437">
        <v>46101</v>
      </c>
      <c r="AM115" s="437">
        <v>46111</v>
      </c>
      <c r="AN115" s="437">
        <v>46118</v>
      </c>
      <c r="AO115" s="430" t="s">
        <v>66</v>
      </c>
      <c r="AP115" s="430" t="s">
        <v>657</v>
      </c>
      <c r="AQ115" s="430" t="s">
        <v>80</v>
      </c>
      <c r="AR115" s="430" t="s">
        <v>662</v>
      </c>
      <c r="AS115" s="430" t="s">
        <v>663</v>
      </c>
      <c r="AT115" s="430" t="s">
        <v>663</v>
      </c>
      <c r="AU1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7">
        <v>46118</v>
      </c>
      <c r="AX115" s="433" t="s">
        <v>84</v>
      </c>
      <c r="AY115" s="437">
        <v>46133</v>
      </c>
      <c r="AZ115" s="442">
        <v>7</v>
      </c>
      <c r="BA115" s="437">
        <v>46125</v>
      </c>
      <c r="BB115" s="433">
        <v>2026</v>
      </c>
      <c r="BC115" s="430">
        <v>4</v>
      </c>
      <c r="BD115" s="430">
        <v>16</v>
      </c>
      <c r="BE115" s="431">
        <v>33</v>
      </c>
      <c r="BF115" s="431">
        <v>660</v>
      </c>
      <c r="BG115" s="431" t="s">
        <v>108</v>
      </c>
      <c r="BH115" s="431" t="s">
        <v>109</v>
      </c>
      <c r="BI115" s="430" t="s">
        <v>197</v>
      </c>
      <c r="BJ115" s="430" t="s">
        <v>197</v>
      </c>
      <c r="BK115" s="430" t="s">
        <v>197</v>
      </c>
      <c r="BL115" s="430" t="s">
        <v>197</v>
      </c>
      <c r="BM115" s="430" t="s">
        <v>197</v>
      </c>
      <c r="BN115" s="430" t="s">
        <v>197</v>
      </c>
      <c r="BO115" s="430" t="s">
        <v>197</v>
      </c>
      <c r="BP115" s="430" t="s">
        <v>197</v>
      </c>
      <c r="BQ115" s="430" t="s">
        <v>197</v>
      </c>
      <c r="BR115" s="430" t="s">
        <v>197</v>
      </c>
      <c r="BS115" s="430" t="s">
        <v>197</v>
      </c>
      <c r="BT115" s="430" t="s">
        <v>197</v>
      </c>
      <c r="BU115" s="430" t="s">
        <v>197</v>
      </c>
      <c r="BV115" s="430" t="s">
        <v>197</v>
      </c>
      <c r="BW115" s="430" t="s">
        <v>197</v>
      </c>
      <c r="BX115" s="430" t="s">
        <v>197</v>
      </c>
      <c r="BY115" s="430" t="s">
        <v>197</v>
      </c>
      <c r="BZ115" s="430" t="s">
        <v>197</v>
      </c>
      <c r="CA115" s="430" t="s">
        <v>197</v>
      </c>
      <c r="CB115" s="430" t="s">
        <v>197</v>
      </c>
      <c r="CC115" s="430" t="s">
        <v>197</v>
      </c>
      <c r="CD115" s="430" t="s">
        <v>197</v>
      </c>
      <c r="CE115" s="430" t="s">
        <v>197</v>
      </c>
      <c r="CF115" s="430" t="s">
        <v>197</v>
      </c>
      <c r="CG115" s="430" t="s">
        <v>197</v>
      </c>
      <c r="CH115" s="430" t="s">
        <v>197</v>
      </c>
      <c r="CI115" s="430" t="s">
        <v>197</v>
      </c>
      <c r="CJ115" s="430" t="s">
        <v>197</v>
      </c>
      <c r="CK115" s="430" t="s">
        <v>197</v>
      </c>
      <c r="CL115" s="430" t="s">
        <v>197</v>
      </c>
      <c r="CM115" s="430" t="s">
        <v>197</v>
      </c>
    </row>
    <row r="116" spans="1:91" ht="10.5">
      <c r="A116" s="462" t="s">
        <v>282</v>
      </c>
      <c r="B116" s="462" t="s">
        <v>281</v>
      </c>
      <c r="C116" s="462" t="s">
        <v>203</v>
      </c>
      <c r="D116" s="462" t="s">
        <v>63</v>
      </c>
      <c r="E116" s="462" t="s">
        <v>64</v>
      </c>
      <c r="F116" s="462" t="s">
        <v>100</v>
      </c>
      <c r="G116" s="462" t="s">
        <v>66</v>
      </c>
      <c r="H116" s="462" t="s">
        <v>67</v>
      </c>
      <c r="I116" s="439" t="s">
        <v>68</v>
      </c>
      <c r="J116" s="430" t="s">
        <v>293</v>
      </c>
      <c r="K116" s="430"/>
      <c r="L116" s="430"/>
      <c r="M116" s="430" t="s">
        <v>68</v>
      </c>
      <c r="N116" s="432" t="s">
        <v>68</v>
      </c>
      <c r="O116" s="430" t="s">
        <v>284</v>
      </c>
      <c r="P116" s="430" t="s">
        <v>285</v>
      </c>
      <c r="Q116" s="430" t="s">
        <v>286</v>
      </c>
      <c r="R116" s="431" t="s">
        <v>73</v>
      </c>
      <c r="S116" s="442" t="s">
        <v>120</v>
      </c>
      <c r="T116" s="433">
        <v>460</v>
      </c>
      <c r="U116" s="1088">
        <v>1924</v>
      </c>
      <c r="V116" s="434">
        <v>0.88500000000000001</v>
      </c>
      <c r="W116" s="435">
        <v>52</v>
      </c>
      <c r="X116" s="1040">
        <v>2</v>
      </c>
      <c r="Y116" s="430" t="s">
        <v>75</v>
      </c>
      <c r="Z116" s="430" t="s">
        <v>75</v>
      </c>
      <c r="AA116" s="430"/>
      <c r="AB116" s="437">
        <v>46051</v>
      </c>
      <c r="AC116" s="438">
        <v>5</v>
      </c>
      <c r="AD116" s="439" t="s">
        <v>666</v>
      </c>
      <c r="AE116" s="430"/>
      <c r="AF116" s="430" t="s">
        <v>288</v>
      </c>
      <c r="AG116" s="430" t="s">
        <v>289</v>
      </c>
      <c r="AH116" s="430" t="s">
        <v>105</v>
      </c>
      <c r="AI116" s="437">
        <v>46057</v>
      </c>
      <c r="AJ116" s="437">
        <v>46061</v>
      </c>
      <c r="AK116" s="441">
        <v>46061</v>
      </c>
      <c r="AL116" s="437">
        <v>46087</v>
      </c>
      <c r="AM116" s="437">
        <v>46097</v>
      </c>
      <c r="AN116" s="437">
        <v>46099</v>
      </c>
      <c r="AO116" s="430" t="s">
        <v>66</v>
      </c>
      <c r="AP116" s="430" t="s">
        <v>457</v>
      </c>
      <c r="AQ116" s="430" t="s">
        <v>161</v>
      </c>
      <c r="AR116" s="430" t="s">
        <v>667</v>
      </c>
      <c r="AS116" s="430" t="s">
        <v>668</v>
      </c>
      <c r="AT116" s="482" t="s">
        <v>4409</v>
      </c>
      <c r="AU1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7">
        <v>46099</v>
      </c>
      <c r="AX116" s="433" t="s">
        <v>84</v>
      </c>
      <c r="AY116" s="437">
        <v>46111</v>
      </c>
      <c r="AZ116" s="442">
        <v>7</v>
      </c>
      <c r="BA116" s="437">
        <v>46106</v>
      </c>
      <c r="BB116" s="433">
        <v>2026</v>
      </c>
      <c r="BC116" s="430">
        <v>3</v>
      </c>
      <c r="BD116" s="430">
        <v>13</v>
      </c>
      <c r="BE116" s="431">
        <v>37</v>
      </c>
      <c r="BF116" s="431">
        <v>962</v>
      </c>
      <c r="BG116" s="431" t="s">
        <v>85</v>
      </c>
      <c r="BH116" s="431" t="s">
        <v>109</v>
      </c>
      <c r="BI116" s="430" t="s">
        <v>197</v>
      </c>
      <c r="BJ116" s="430" t="s">
        <v>197</v>
      </c>
      <c r="BK116" s="430" t="s">
        <v>197</v>
      </c>
      <c r="BL116" s="430" t="s">
        <v>197</v>
      </c>
      <c r="BM116" s="430" t="s">
        <v>197</v>
      </c>
      <c r="BN116" s="430" t="s">
        <v>197</v>
      </c>
      <c r="BO116" s="430" t="s">
        <v>197</v>
      </c>
      <c r="BP116" s="430" t="s">
        <v>197</v>
      </c>
      <c r="BQ116" s="430" t="s">
        <v>197</v>
      </c>
      <c r="BR116" s="430" t="s">
        <v>197</v>
      </c>
      <c r="BS116" s="430" t="s">
        <v>197</v>
      </c>
      <c r="BT116" s="430" t="s">
        <v>197</v>
      </c>
      <c r="BU116" s="430" t="s">
        <v>197</v>
      </c>
      <c r="BV116" s="430" t="s">
        <v>197</v>
      </c>
      <c r="BW116" s="430" t="s">
        <v>197</v>
      </c>
      <c r="BX116" s="430" t="s">
        <v>197</v>
      </c>
      <c r="BY116" s="430" t="s">
        <v>197</v>
      </c>
      <c r="BZ116" s="430" t="s">
        <v>197</v>
      </c>
      <c r="CA116" s="430" t="s">
        <v>197</v>
      </c>
      <c r="CB116" s="430" t="s">
        <v>197</v>
      </c>
      <c r="CC116" s="430" t="s">
        <v>197</v>
      </c>
      <c r="CD116" s="430" t="s">
        <v>197</v>
      </c>
      <c r="CE116" s="430" t="s">
        <v>197</v>
      </c>
      <c r="CF116" s="430" t="s">
        <v>197</v>
      </c>
      <c r="CG116" s="430" t="s">
        <v>197</v>
      </c>
      <c r="CH116" s="430" t="s">
        <v>197</v>
      </c>
      <c r="CI116" s="430" t="s">
        <v>197</v>
      </c>
      <c r="CJ116" s="430" t="s">
        <v>197</v>
      </c>
      <c r="CK116" s="430" t="s">
        <v>197</v>
      </c>
      <c r="CL116" s="430" t="s">
        <v>197</v>
      </c>
      <c r="CM116" s="430" t="s">
        <v>197</v>
      </c>
    </row>
    <row r="117" spans="1:91" ht="10.5">
      <c r="A117" s="462" t="s">
        <v>669</v>
      </c>
      <c r="B117" s="462" t="s">
        <v>281</v>
      </c>
      <c r="C117" s="462" t="s">
        <v>601</v>
      </c>
      <c r="D117" s="462" t="s">
        <v>63</v>
      </c>
      <c r="E117" s="462" t="s">
        <v>144</v>
      </c>
      <c r="F117" s="462" t="s">
        <v>145</v>
      </c>
      <c r="G117" s="462" t="s">
        <v>402</v>
      </c>
      <c r="H117" s="462" t="s">
        <v>670</v>
      </c>
      <c r="I117" s="439" t="s">
        <v>68</v>
      </c>
      <c r="J117" s="430" t="s">
        <v>671</v>
      </c>
      <c r="K117" s="430" t="s">
        <v>672</v>
      </c>
      <c r="L117" s="430"/>
      <c r="M117" s="430" t="s">
        <v>68</v>
      </c>
      <c r="N117" s="432" t="s">
        <v>68</v>
      </c>
      <c r="O117" s="430" t="s">
        <v>284</v>
      </c>
      <c r="P117" s="430" t="s">
        <v>602</v>
      </c>
      <c r="Q117" s="430" t="s">
        <v>603</v>
      </c>
      <c r="R117" s="431" t="s">
        <v>73</v>
      </c>
      <c r="S117" s="442" t="s">
        <v>120</v>
      </c>
      <c r="T117" s="433">
        <v>465</v>
      </c>
      <c r="U117" s="1088">
        <v>13468</v>
      </c>
      <c r="V117" s="434">
        <v>6.2629999999999999</v>
      </c>
      <c r="W117" s="435">
        <v>364</v>
      </c>
      <c r="X117" s="1040">
        <v>14</v>
      </c>
      <c r="Y117" s="430" t="s">
        <v>75</v>
      </c>
      <c r="Z117" s="430" t="s">
        <v>75</v>
      </c>
      <c r="AA117" s="430"/>
      <c r="AB117" s="437">
        <v>46041</v>
      </c>
      <c r="AC117" s="438">
        <v>4</v>
      </c>
      <c r="AD117" s="439" t="s">
        <v>673</v>
      </c>
      <c r="AE117" s="430"/>
      <c r="AF117" s="430" t="s">
        <v>288</v>
      </c>
      <c r="AG117" s="430" t="s">
        <v>289</v>
      </c>
      <c r="AH117" s="430" t="s">
        <v>105</v>
      </c>
      <c r="AI117" s="437">
        <v>46045</v>
      </c>
      <c r="AJ117" s="437">
        <v>46045</v>
      </c>
      <c r="AK117" s="441">
        <v>46045</v>
      </c>
      <c r="AL117" s="437">
        <v>46071</v>
      </c>
      <c r="AM117" s="437">
        <v>46080</v>
      </c>
      <c r="AN117" s="437">
        <v>46084</v>
      </c>
      <c r="AO117" s="430" t="s">
        <v>402</v>
      </c>
      <c r="AP117" s="430" t="s">
        <v>262</v>
      </c>
      <c r="AQ117" s="430" t="s">
        <v>161</v>
      </c>
      <c r="AR117" s="430" t="s">
        <v>674</v>
      </c>
      <c r="AS117" s="430" t="s">
        <v>675</v>
      </c>
      <c r="AT117" s="482" t="s">
        <v>4410</v>
      </c>
      <c r="AU1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7">
        <v>46084</v>
      </c>
      <c r="AX117" s="433" t="s">
        <v>84</v>
      </c>
      <c r="AY117" s="437">
        <v>46085</v>
      </c>
      <c r="AZ117" s="442" t="s">
        <v>152</v>
      </c>
      <c r="BA117" s="437">
        <v>46084</v>
      </c>
      <c r="BB117" s="433">
        <v>2026</v>
      </c>
      <c r="BC117" s="430">
        <v>3</v>
      </c>
      <c r="BD117" s="430">
        <v>10</v>
      </c>
      <c r="BE117" s="431">
        <v>37</v>
      </c>
      <c r="BF117" s="431">
        <v>962</v>
      </c>
      <c r="BG117" s="431" t="s">
        <v>108</v>
      </c>
      <c r="BH117" s="431" t="s">
        <v>109</v>
      </c>
      <c r="BI117" s="430" t="s">
        <v>197</v>
      </c>
      <c r="BJ117" s="430" t="s">
        <v>197</v>
      </c>
      <c r="BK117" s="430" t="s">
        <v>197</v>
      </c>
      <c r="BL117" s="430" t="s">
        <v>197</v>
      </c>
      <c r="BM117" s="430" t="s">
        <v>197</v>
      </c>
      <c r="BN117" s="430" t="s">
        <v>197</v>
      </c>
      <c r="BO117" s="430" t="s">
        <v>197</v>
      </c>
      <c r="BP117" s="430" t="s">
        <v>197</v>
      </c>
      <c r="BQ117" s="430" t="s">
        <v>197</v>
      </c>
      <c r="BR117" s="430" t="s">
        <v>197</v>
      </c>
      <c r="BS117" s="430" t="s">
        <v>197</v>
      </c>
      <c r="BT117" s="430" t="s">
        <v>197</v>
      </c>
      <c r="BU117" s="430" t="s">
        <v>197</v>
      </c>
      <c r="BV117" s="430" t="s">
        <v>197</v>
      </c>
      <c r="BW117" s="430" t="s">
        <v>197</v>
      </c>
      <c r="BX117" s="430" t="s">
        <v>197</v>
      </c>
      <c r="BY117" s="430" t="s">
        <v>197</v>
      </c>
      <c r="BZ117" s="430" t="s">
        <v>197</v>
      </c>
      <c r="CA117" s="430" t="s">
        <v>197</v>
      </c>
      <c r="CB117" s="430" t="s">
        <v>197</v>
      </c>
      <c r="CC117" s="430" t="s">
        <v>197</v>
      </c>
      <c r="CD117" s="430" t="s">
        <v>197</v>
      </c>
      <c r="CE117" s="430" t="s">
        <v>197</v>
      </c>
      <c r="CF117" s="430" t="s">
        <v>197</v>
      </c>
      <c r="CG117" s="430" t="s">
        <v>197</v>
      </c>
      <c r="CH117" s="430" t="s">
        <v>197</v>
      </c>
      <c r="CI117" s="430" t="s">
        <v>197</v>
      </c>
      <c r="CJ117" s="430" t="s">
        <v>197</v>
      </c>
      <c r="CK117" s="430" t="s">
        <v>197</v>
      </c>
      <c r="CL117" s="430" t="s">
        <v>197</v>
      </c>
      <c r="CM117" s="430" t="s">
        <v>197</v>
      </c>
    </row>
    <row r="118" spans="1:91" ht="10.5">
      <c r="A118" s="462" t="s">
        <v>676</v>
      </c>
      <c r="B118" s="462" t="s">
        <v>281</v>
      </c>
      <c r="C118" s="462" t="s">
        <v>601</v>
      </c>
      <c r="D118" s="462" t="s">
        <v>63</v>
      </c>
      <c r="E118" s="462" t="s">
        <v>144</v>
      </c>
      <c r="F118" s="462" t="s">
        <v>145</v>
      </c>
      <c r="G118" s="462" t="s">
        <v>402</v>
      </c>
      <c r="H118" s="462" t="s">
        <v>670</v>
      </c>
      <c r="I118" s="439" t="s">
        <v>68</v>
      </c>
      <c r="J118" s="430" t="s">
        <v>677</v>
      </c>
      <c r="K118" s="430" t="s">
        <v>672</v>
      </c>
      <c r="L118" s="430"/>
      <c r="M118" s="430" t="s">
        <v>68</v>
      </c>
      <c r="N118" s="432" t="s">
        <v>68</v>
      </c>
      <c r="O118" s="430" t="s">
        <v>284</v>
      </c>
      <c r="P118" s="430" t="s">
        <v>602</v>
      </c>
      <c r="Q118" s="430" t="s">
        <v>603</v>
      </c>
      <c r="R118" s="431" t="s">
        <v>73</v>
      </c>
      <c r="S118" s="442" t="s">
        <v>120</v>
      </c>
      <c r="T118" s="433">
        <v>465</v>
      </c>
      <c r="U118" s="1088">
        <v>10582</v>
      </c>
      <c r="V118" s="434">
        <v>4.9210000000000003</v>
      </c>
      <c r="W118" s="435">
        <v>286</v>
      </c>
      <c r="X118" s="1040">
        <v>11</v>
      </c>
      <c r="Y118" s="430" t="s">
        <v>75</v>
      </c>
      <c r="Z118" s="430" t="s">
        <v>75</v>
      </c>
      <c r="AA118" s="430"/>
      <c r="AB118" s="437">
        <v>46051</v>
      </c>
      <c r="AC118" s="438">
        <v>5</v>
      </c>
      <c r="AD118" s="439" t="s">
        <v>678</v>
      </c>
      <c r="AE118" s="430"/>
      <c r="AF118" s="430" t="s">
        <v>288</v>
      </c>
      <c r="AG118" s="430" t="s">
        <v>289</v>
      </c>
      <c r="AH118" s="430" t="s">
        <v>105</v>
      </c>
      <c r="AI118" s="437">
        <v>46056</v>
      </c>
      <c r="AJ118" s="437">
        <v>46057</v>
      </c>
      <c r="AK118" s="441">
        <v>46057</v>
      </c>
      <c r="AL118" s="437">
        <v>46090</v>
      </c>
      <c r="AM118" s="437">
        <v>46091</v>
      </c>
      <c r="AN118" s="437">
        <v>46092</v>
      </c>
      <c r="AO118" s="430" t="s">
        <v>402</v>
      </c>
      <c r="AP118" s="430" t="s">
        <v>679</v>
      </c>
      <c r="AQ118" s="430" t="s">
        <v>161</v>
      </c>
      <c r="AR118" s="430" t="s">
        <v>680</v>
      </c>
      <c r="AS118" s="430">
        <v>265292580</v>
      </c>
      <c r="AT118" s="431">
        <v>265292580</v>
      </c>
      <c r="AU1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7">
        <v>46092</v>
      </c>
      <c r="AX118" s="433" t="s">
        <v>84</v>
      </c>
      <c r="AY118" s="437">
        <v>46104</v>
      </c>
      <c r="AZ118" s="442" t="s">
        <v>152</v>
      </c>
      <c r="BA118" s="437">
        <v>46092</v>
      </c>
      <c r="BB118" s="433">
        <v>2026</v>
      </c>
      <c r="BC118" s="430">
        <v>3</v>
      </c>
      <c r="BD118" s="430">
        <v>11</v>
      </c>
      <c r="BE118" s="431">
        <v>37</v>
      </c>
      <c r="BF118" s="431">
        <v>962</v>
      </c>
      <c r="BG118" s="431" t="s">
        <v>108</v>
      </c>
      <c r="BH118" s="431" t="s">
        <v>109</v>
      </c>
      <c r="BI118" s="430" t="s">
        <v>197</v>
      </c>
      <c r="BJ118" s="430" t="s">
        <v>197</v>
      </c>
      <c r="BK118" s="430" t="s">
        <v>197</v>
      </c>
      <c r="BL118" s="430" t="s">
        <v>197</v>
      </c>
      <c r="BM118" s="430" t="s">
        <v>197</v>
      </c>
      <c r="BN118" s="430" t="s">
        <v>197</v>
      </c>
      <c r="BO118" s="430" t="s">
        <v>197</v>
      </c>
      <c r="BP118" s="430" t="s">
        <v>197</v>
      </c>
      <c r="BQ118" s="430" t="s">
        <v>197</v>
      </c>
      <c r="BR118" s="430" t="s">
        <v>197</v>
      </c>
      <c r="BS118" s="430" t="s">
        <v>197</v>
      </c>
      <c r="BT118" s="430" t="s">
        <v>197</v>
      </c>
      <c r="BU118" s="430" t="s">
        <v>197</v>
      </c>
      <c r="BV118" s="430" t="s">
        <v>197</v>
      </c>
      <c r="BW118" s="430" t="s">
        <v>197</v>
      </c>
      <c r="BX118" s="430" t="s">
        <v>197</v>
      </c>
      <c r="BY118" s="430" t="s">
        <v>197</v>
      </c>
      <c r="BZ118" s="430" t="s">
        <v>197</v>
      </c>
      <c r="CA118" s="430" t="s">
        <v>197</v>
      </c>
      <c r="CB118" s="430" t="s">
        <v>197</v>
      </c>
      <c r="CC118" s="430" t="s">
        <v>197</v>
      </c>
      <c r="CD118" s="430" t="s">
        <v>197</v>
      </c>
      <c r="CE118" s="430" t="s">
        <v>197</v>
      </c>
      <c r="CF118" s="430" t="s">
        <v>197</v>
      </c>
      <c r="CG118" s="430" t="s">
        <v>197</v>
      </c>
      <c r="CH118" s="430" t="s">
        <v>197</v>
      </c>
      <c r="CI118" s="430" t="s">
        <v>197</v>
      </c>
      <c r="CJ118" s="430" t="s">
        <v>197</v>
      </c>
      <c r="CK118" s="430" t="s">
        <v>197</v>
      </c>
      <c r="CL118" s="430" t="s">
        <v>197</v>
      </c>
      <c r="CM118" s="430" t="s">
        <v>197</v>
      </c>
    </row>
    <row r="119" spans="1:91" ht="10.5">
      <c r="A119" s="462" t="s">
        <v>681</v>
      </c>
      <c r="B119" s="462" t="s">
        <v>281</v>
      </c>
      <c r="C119" s="462" t="s">
        <v>601</v>
      </c>
      <c r="D119" s="462" t="s">
        <v>63</v>
      </c>
      <c r="E119" s="462" t="s">
        <v>144</v>
      </c>
      <c r="F119" s="462" t="s">
        <v>145</v>
      </c>
      <c r="G119" s="462" t="s">
        <v>402</v>
      </c>
      <c r="H119" s="462" t="s">
        <v>670</v>
      </c>
      <c r="I119" s="439" t="s">
        <v>68</v>
      </c>
      <c r="J119" s="430" t="s">
        <v>677</v>
      </c>
      <c r="K119" s="430" t="s">
        <v>672</v>
      </c>
      <c r="L119" s="430"/>
      <c r="M119" s="430" t="s">
        <v>68</v>
      </c>
      <c r="N119" s="432" t="s">
        <v>68</v>
      </c>
      <c r="O119" s="430" t="s">
        <v>284</v>
      </c>
      <c r="P119" s="430" t="s">
        <v>602</v>
      </c>
      <c r="Q119" s="430" t="s">
        <v>603</v>
      </c>
      <c r="R119" s="431" t="s">
        <v>73</v>
      </c>
      <c r="S119" s="442" t="s">
        <v>120</v>
      </c>
      <c r="T119" s="433">
        <v>465</v>
      </c>
      <c r="U119" s="1088">
        <v>1924</v>
      </c>
      <c r="V119" s="434">
        <v>0.89500000000000002</v>
      </c>
      <c r="W119" s="435">
        <v>52</v>
      </c>
      <c r="X119" s="1040">
        <v>2</v>
      </c>
      <c r="Y119" s="430" t="s">
        <v>75</v>
      </c>
      <c r="Z119" s="430" t="s">
        <v>75</v>
      </c>
      <c r="AA119" s="430"/>
      <c r="AB119" s="437">
        <v>46048</v>
      </c>
      <c r="AC119" s="438">
        <v>5</v>
      </c>
      <c r="AD119" s="439" t="s">
        <v>682</v>
      </c>
      <c r="AE119" s="430"/>
      <c r="AF119" s="430" t="s">
        <v>288</v>
      </c>
      <c r="AG119" s="430" t="s">
        <v>289</v>
      </c>
      <c r="AH119" s="430" t="s">
        <v>105</v>
      </c>
      <c r="AI119" s="437">
        <v>46053</v>
      </c>
      <c r="AJ119" s="437">
        <v>46054</v>
      </c>
      <c r="AK119" s="441">
        <v>46054</v>
      </c>
      <c r="AL119" s="437">
        <v>46087</v>
      </c>
      <c r="AM119" s="437">
        <v>46113</v>
      </c>
      <c r="AN119" s="437">
        <v>46114</v>
      </c>
      <c r="AO119" s="430" t="s">
        <v>402</v>
      </c>
      <c r="AP119" s="430" t="s">
        <v>683</v>
      </c>
      <c r="AQ119" s="430" t="s">
        <v>161</v>
      </c>
      <c r="AR119" s="430" t="s">
        <v>684</v>
      </c>
      <c r="AS119" s="430" t="s">
        <v>685</v>
      </c>
      <c r="AT119" s="482" t="s">
        <v>686</v>
      </c>
      <c r="AU1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7">
        <v>46114</v>
      </c>
      <c r="AX119" s="433" t="s">
        <v>84</v>
      </c>
      <c r="AY119" s="437">
        <v>46101</v>
      </c>
      <c r="AZ119" s="442" t="s">
        <v>152</v>
      </c>
      <c r="BA119" s="437">
        <v>46114</v>
      </c>
      <c r="BB119" s="433">
        <v>2026</v>
      </c>
      <c r="BC119" s="430">
        <v>4</v>
      </c>
      <c r="BD119" s="430">
        <v>14</v>
      </c>
      <c r="BE119" s="431">
        <v>37</v>
      </c>
      <c r="BF119" s="431">
        <v>962</v>
      </c>
      <c r="BG119" s="431" t="s">
        <v>108</v>
      </c>
      <c r="BH119" s="431" t="s">
        <v>109</v>
      </c>
      <c r="BI119" s="430" t="s">
        <v>197</v>
      </c>
      <c r="BJ119" s="430" t="s">
        <v>197</v>
      </c>
      <c r="BK119" s="430" t="s">
        <v>197</v>
      </c>
      <c r="BL119" s="430" t="s">
        <v>197</v>
      </c>
      <c r="BM119" s="430" t="s">
        <v>197</v>
      </c>
      <c r="BN119" s="430" t="s">
        <v>197</v>
      </c>
      <c r="BO119" s="430" t="s">
        <v>197</v>
      </c>
      <c r="BP119" s="430" t="s">
        <v>197</v>
      </c>
      <c r="BQ119" s="430" t="s">
        <v>197</v>
      </c>
      <c r="BR119" s="430" t="s">
        <v>197</v>
      </c>
      <c r="BS119" s="430" t="s">
        <v>197</v>
      </c>
      <c r="BT119" s="430" t="s">
        <v>197</v>
      </c>
      <c r="BU119" s="430" t="s">
        <v>197</v>
      </c>
      <c r="BV119" s="430" t="s">
        <v>197</v>
      </c>
      <c r="BW119" s="430" t="s">
        <v>197</v>
      </c>
      <c r="BX119" s="430" t="s">
        <v>197</v>
      </c>
      <c r="BY119" s="430" t="s">
        <v>197</v>
      </c>
      <c r="BZ119" s="430" t="s">
        <v>197</v>
      </c>
      <c r="CA119" s="430" t="s">
        <v>197</v>
      </c>
      <c r="CB119" s="430" t="s">
        <v>197</v>
      </c>
      <c r="CC119" s="430" t="s">
        <v>197</v>
      </c>
      <c r="CD119" s="430" t="s">
        <v>197</v>
      </c>
      <c r="CE119" s="430" t="s">
        <v>197</v>
      </c>
      <c r="CF119" s="430" t="s">
        <v>197</v>
      </c>
      <c r="CG119" s="430" t="s">
        <v>197</v>
      </c>
      <c r="CH119" s="430" t="s">
        <v>197</v>
      </c>
      <c r="CI119" s="430" t="s">
        <v>197</v>
      </c>
      <c r="CJ119" s="430" t="s">
        <v>197</v>
      </c>
      <c r="CK119" s="430" t="s">
        <v>197</v>
      </c>
      <c r="CL119" s="430" t="s">
        <v>197</v>
      </c>
      <c r="CM119" s="430" t="s">
        <v>197</v>
      </c>
    </row>
    <row r="120" spans="1:91" ht="10.5">
      <c r="A120" s="462" t="s">
        <v>687</v>
      </c>
      <c r="B120" s="462" t="s">
        <v>77</v>
      </c>
      <c r="C120" s="462" t="s">
        <v>688</v>
      </c>
      <c r="D120" s="462" t="s">
        <v>63</v>
      </c>
      <c r="E120" s="462" t="s">
        <v>64</v>
      </c>
      <c r="F120" s="462" t="s">
        <v>65</v>
      </c>
      <c r="G120" s="462" t="s">
        <v>66</v>
      </c>
      <c r="H120" s="462" t="s">
        <v>67</v>
      </c>
      <c r="I120" s="439" t="s">
        <v>689</v>
      </c>
      <c r="J120" s="430" t="s">
        <v>690</v>
      </c>
      <c r="K120" s="430"/>
      <c r="L120" s="430"/>
      <c r="M120" s="430" t="s">
        <v>68</v>
      </c>
      <c r="N120" s="432" t="s">
        <v>68</v>
      </c>
      <c r="O120" s="430" t="s">
        <v>70</v>
      </c>
      <c r="P120" s="430" t="s">
        <v>691</v>
      </c>
      <c r="Q120" s="430" t="s">
        <v>692</v>
      </c>
      <c r="R120" s="431" t="s">
        <v>73</v>
      </c>
      <c r="S120" s="442" t="s">
        <v>74</v>
      </c>
      <c r="T120" s="433">
        <v>505</v>
      </c>
      <c r="U120" s="1088">
        <v>1728</v>
      </c>
      <c r="V120" s="434">
        <v>0.873</v>
      </c>
      <c r="W120" s="435">
        <v>48</v>
      </c>
      <c r="X120" s="1040">
        <v>2</v>
      </c>
      <c r="Y120" s="430" t="s">
        <v>75</v>
      </c>
      <c r="Z120" s="430" t="s">
        <v>75</v>
      </c>
      <c r="AA120" s="430" t="s">
        <v>197</v>
      </c>
      <c r="AB120" s="437">
        <v>46050</v>
      </c>
      <c r="AC120" s="438">
        <v>5</v>
      </c>
      <c r="AD120" s="439" t="s">
        <v>693</v>
      </c>
      <c r="AE120" s="430" t="s">
        <v>197</v>
      </c>
      <c r="AF120" s="430" t="s">
        <v>77</v>
      </c>
      <c r="AG120" s="430" t="s">
        <v>61</v>
      </c>
      <c r="AH120" s="430" t="s">
        <v>356</v>
      </c>
      <c r="AI120" s="437">
        <v>46057</v>
      </c>
      <c r="AJ120" s="437">
        <v>46058</v>
      </c>
      <c r="AK120" s="441">
        <v>46058</v>
      </c>
      <c r="AL120" s="437">
        <v>46112</v>
      </c>
      <c r="AM120" s="437">
        <v>46132</v>
      </c>
      <c r="AN120" s="437">
        <v>46132</v>
      </c>
      <c r="AO120" s="430" t="s">
        <v>66</v>
      </c>
      <c r="AP120" s="430" t="s">
        <v>694</v>
      </c>
      <c r="AQ120" s="430" t="s">
        <v>80</v>
      </c>
      <c r="AR120" s="430" t="s">
        <v>695</v>
      </c>
      <c r="AS120" s="430" t="s">
        <v>696</v>
      </c>
      <c r="AT120" s="482" t="s">
        <v>696</v>
      </c>
      <c r="AU1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7">
        <v>46132</v>
      </c>
      <c r="AX120" s="433" t="s">
        <v>84</v>
      </c>
      <c r="AY120" s="437">
        <v>46146</v>
      </c>
      <c r="AZ120" s="442">
        <v>8</v>
      </c>
      <c r="BA120" s="437">
        <v>46140</v>
      </c>
      <c r="BB120" s="433">
        <v>2026</v>
      </c>
      <c r="BC120" s="430">
        <v>4</v>
      </c>
      <c r="BD120" s="430">
        <v>18</v>
      </c>
      <c r="BE120" s="431">
        <v>36</v>
      </c>
      <c r="BF120" s="431">
        <v>864</v>
      </c>
      <c r="BG120" s="431" t="s">
        <v>85</v>
      </c>
      <c r="BH120" s="431" t="s">
        <v>109</v>
      </c>
      <c r="BI120" s="430" t="s">
        <v>197</v>
      </c>
      <c r="BJ120" s="430" t="s">
        <v>197</v>
      </c>
      <c r="BK120" s="430" t="s">
        <v>197</v>
      </c>
      <c r="BL120" s="430" t="s">
        <v>197</v>
      </c>
      <c r="BM120" s="430" t="s">
        <v>197</v>
      </c>
      <c r="BN120" s="430" t="s">
        <v>197</v>
      </c>
      <c r="BO120" s="430" t="s">
        <v>197</v>
      </c>
      <c r="BP120" s="430" t="s">
        <v>197</v>
      </c>
      <c r="BQ120" s="430" t="s">
        <v>197</v>
      </c>
      <c r="BR120" s="430" t="s">
        <v>197</v>
      </c>
      <c r="BS120" s="430" t="s">
        <v>197</v>
      </c>
      <c r="BT120" s="430" t="s">
        <v>197</v>
      </c>
      <c r="BU120" s="430" t="s">
        <v>197</v>
      </c>
      <c r="BV120" s="430" t="s">
        <v>197</v>
      </c>
      <c r="BW120" s="430" t="s">
        <v>197</v>
      </c>
      <c r="BX120" s="430" t="s">
        <v>197</v>
      </c>
      <c r="BY120" s="430" t="s">
        <v>197</v>
      </c>
      <c r="BZ120" s="430" t="s">
        <v>197</v>
      </c>
      <c r="CA120" s="430" t="s">
        <v>197</v>
      </c>
      <c r="CB120" s="430" t="s">
        <v>197</v>
      </c>
      <c r="CC120" s="430" t="s">
        <v>197</v>
      </c>
      <c r="CD120" s="430" t="s">
        <v>197</v>
      </c>
      <c r="CE120" s="430" t="s">
        <v>197</v>
      </c>
      <c r="CF120" s="430" t="s">
        <v>197</v>
      </c>
      <c r="CG120" s="430" t="s">
        <v>197</v>
      </c>
      <c r="CH120" s="430" t="s">
        <v>197</v>
      </c>
      <c r="CI120" s="430" t="s">
        <v>197</v>
      </c>
      <c r="CJ120" s="430" t="s">
        <v>197</v>
      </c>
      <c r="CK120" s="430" t="s">
        <v>197</v>
      </c>
      <c r="CL120" s="430" t="s">
        <v>197</v>
      </c>
      <c r="CM120" s="430" t="s">
        <v>197</v>
      </c>
    </row>
    <row r="121" spans="1:91" ht="10.5">
      <c r="A121" s="462" t="s">
        <v>697</v>
      </c>
      <c r="B121" s="462" t="s">
        <v>77</v>
      </c>
      <c r="C121" s="462" t="s">
        <v>688</v>
      </c>
      <c r="D121" s="462" t="s">
        <v>63</v>
      </c>
      <c r="E121" s="462" t="s">
        <v>64</v>
      </c>
      <c r="F121" s="462" t="s">
        <v>65</v>
      </c>
      <c r="G121" s="462" t="s">
        <v>66</v>
      </c>
      <c r="H121" s="462" t="s">
        <v>67</v>
      </c>
      <c r="I121" s="439" t="s">
        <v>68</v>
      </c>
      <c r="J121" s="430" t="s">
        <v>690</v>
      </c>
      <c r="K121" s="430"/>
      <c r="L121" s="430"/>
      <c r="M121" s="430" t="s">
        <v>68</v>
      </c>
      <c r="N121" s="432" t="s">
        <v>68</v>
      </c>
      <c r="O121" s="430" t="s">
        <v>70</v>
      </c>
      <c r="P121" s="430" t="s">
        <v>691</v>
      </c>
      <c r="Q121" s="430" t="s">
        <v>692</v>
      </c>
      <c r="R121" s="431" t="s">
        <v>73</v>
      </c>
      <c r="S121" s="442" t="s">
        <v>74</v>
      </c>
      <c r="T121" s="433">
        <v>505</v>
      </c>
      <c r="U121" s="1088">
        <v>1728</v>
      </c>
      <c r="V121" s="434">
        <v>0.873</v>
      </c>
      <c r="W121" s="435">
        <v>48</v>
      </c>
      <c r="X121" s="1040">
        <v>2</v>
      </c>
      <c r="Y121" s="430" t="s">
        <v>75</v>
      </c>
      <c r="Z121" s="430" t="s">
        <v>75</v>
      </c>
      <c r="AA121" s="430" t="s">
        <v>197</v>
      </c>
      <c r="AB121" s="437">
        <v>46050</v>
      </c>
      <c r="AC121" s="438">
        <v>5</v>
      </c>
      <c r="AD121" s="439" t="s">
        <v>698</v>
      </c>
      <c r="AE121" s="430" t="s">
        <v>197</v>
      </c>
      <c r="AF121" s="430" t="s">
        <v>77</v>
      </c>
      <c r="AG121" s="430" t="s">
        <v>61</v>
      </c>
      <c r="AH121" s="430" t="s">
        <v>356</v>
      </c>
      <c r="AI121" s="437">
        <v>46057</v>
      </c>
      <c r="AJ121" s="437">
        <v>46058</v>
      </c>
      <c r="AK121" s="441">
        <v>46058</v>
      </c>
      <c r="AL121" s="437">
        <v>46112</v>
      </c>
      <c r="AM121" s="437">
        <v>46132</v>
      </c>
      <c r="AN121" s="437">
        <v>46132</v>
      </c>
      <c r="AO121" s="430" t="s">
        <v>66</v>
      </c>
      <c r="AP121" s="430" t="s">
        <v>694</v>
      </c>
      <c r="AQ121" s="430" t="s">
        <v>80</v>
      </c>
      <c r="AR121" s="430" t="s">
        <v>695</v>
      </c>
      <c r="AS121" s="430" t="s">
        <v>696</v>
      </c>
      <c r="AT121" s="482" t="s">
        <v>696</v>
      </c>
      <c r="AU1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7">
        <v>46132</v>
      </c>
      <c r="AX121" s="433" t="s">
        <v>84</v>
      </c>
      <c r="AY121" s="437">
        <v>46146</v>
      </c>
      <c r="AZ121" s="442">
        <v>8</v>
      </c>
      <c r="BA121" s="437">
        <v>46140</v>
      </c>
      <c r="BB121" s="433">
        <v>2026</v>
      </c>
      <c r="BC121" s="430">
        <v>4</v>
      </c>
      <c r="BD121" s="430">
        <v>18</v>
      </c>
      <c r="BE121" s="431">
        <v>36</v>
      </c>
      <c r="BF121" s="431">
        <v>864</v>
      </c>
      <c r="BG121" s="431" t="s">
        <v>85</v>
      </c>
      <c r="BH121" s="431" t="s">
        <v>109</v>
      </c>
      <c r="BI121" s="430" t="s">
        <v>197</v>
      </c>
      <c r="BJ121" s="430" t="s">
        <v>197</v>
      </c>
      <c r="BK121" s="430" t="s">
        <v>197</v>
      </c>
      <c r="BL121" s="430" t="s">
        <v>197</v>
      </c>
      <c r="BM121" s="430" t="s">
        <v>197</v>
      </c>
      <c r="BN121" s="430" t="s">
        <v>197</v>
      </c>
      <c r="BO121" s="430" t="s">
        <v>197</v>
      </c>
      <c r="BP121" s="430" t="s">
        <v>197</v>
      </c>
      <c r="BQ121" s="430" t="s">
        <v>197</v>
      </c>
      <c r="BR121" s="430" t="s">
        <v>197</v>
      </c>
      <c r="BS121" s="430" t="s">
        <v>197</v>
      </c>
      <c r="BT121" s="430" t="s">
        <v>197</v>
      </c>
      <c r="BU121" s="430" t="s">
        <v>197</v>
      </c>
      <c r="BV121" s="430" t="s">
        <v>197</v>
      </c>
      <c r="BW121" s="430" t="s">
        <v>197</v>
      </c>
      <c r="BX121" s="430" t="s">
        <v>197</v>
      </c>
      <c r="BY121" s="430" t="s">
        <v>197</v>
      </c>
      <c r="BZ121" s="430" t="s">
        <v>197</v>
      </c>
      <c r="CA121" s="430" t="s">
        <v>197</v>
      </c>
      <c r="CB121" s="430" t="s">
        <v>197</v>
      </c>
      <c r="CC121" s="430" t="s">
        <v>197</v>
      </c>
      <c r="CD121" s="430" t="s">
        <v>197</v>
      </c>
      <c r="CE121" s="430" t="s">
        <v>197</v>
      </c>
      <c r="CF121" s="430" t="s">
        <v>197</v>
      </c>
      <c r="CG121" s="430" t="s">
        <v>197</v>
      </c>
      <c r="CH121" s="430" t="s">
        <v>197</v>
      </c>
      <c r="CI121" s="430" t="s">
        <v>197</v>
      </c>
      <c r="CJ121" s="430" t="s">
        <v>197</v>
      </c>
      <c r="CK121" s="430" t="s">
        <v>197</v>
      </c>
      <c r="CL121" s="430" t="s">
        <v>197</v>
      </c>
      <c r="CM121" s="430" t="s">
        <v>197</v>
      </c>
    </row>
    <row r="122" spans="1:91" ht="10.5">
      <c r="A122" s="462" t="s">
        <v>699</v>
      </c>
      <c r="B122" s="462" t="s">
        <v>61</v>
      </c>
      <c r="C122" s="462" t="s">
        <v>326</v>
      </c>
      <c r="D122" s="462" t="s">
        <v>113</v>
      </c>
      <c r="E122" s="462" t="s">
        <v>64</v>
      </c>
      <c r="F122" s="462" t="s">
        <v>100</v>
      </c>
      <c r="G122" s="462" t="s">
        <v>66</v>
      </c>
      <c r="H122" s="462" t="s">
        <v>67</v>
      </c>
      <c r="I122" s="439" t="s">
        <v>68</v>
      </c>
      <c r="J122" s="430" t="s">
        <v>327</v>
      </c>
      <c r="K122" s="430" t="s">
        <v>328</v>
      </c>
      <c r="L122" s="430"/>
      <c r="M122" s="430" t="s">
        <v>68</v>
      </c>
      <c r="N122" s="432" t="s">
        <v>68</v>
      </c>
      <c r="O122" s="430" t="s">
        <v>70</v>
      </c>
      <c r="P122" s="430" t="s">
        <v>329</v>
      </c>
      <c r="Q122" s="430" t="s">
        <v>330</v>
      </c>
      <c r="R122" s="431" t="s">
        <v>331</v>
      </c>
      <c r="S122" s="442" t="s">
        <v>120</v>
      </c>
      <c r="T122" s="433">
        <v>625</v>
      </c>
      <c r="U122" s="1088">
        <v>2880</v>
      </c>
      <c r="V122" s="434">
        <v>1.8</v>
      </c>
      <c r="W122" s="435">
        <v>80</v>
      </c>
      <c r="X122" s="1040">
        <v>4</v>
      </c>
      <c r="Y122" s="430" t="s">
        <v>75</v>
      </c>
      <c r="Z122" s="430" t="s">
        <v>75</v>
      </c>
      <c r="AA122" s="430" t="s">
        <v>197</v>
      </c>
      <c r="AB122" s="437">
        <v>46048</v>
      </c>
      <c r="AC122" s="438">
        <v>5</v>
      </c>
      <c r="AD122" s="439" t="s">
        <v>700</v>
      </c>
      <c r="AE122" s="430" t="s">
        <v>197</v>
      </c>
      <c r="AF122" s="430" t="s">
        <v>77</v>
      </c>
      <c r="AG122" s="430" t="s">
        <v>61</v>
      </c>
      <c r="AH122" s="430" t="s">
        <v>105</v>
      </c>
      <c r="AI122" s="437">
        <v>46054</v>
      </c>
      <c r="AJ122" s="437">
        <v>46054</v>
      </c>
      <c r="AK122" s="441">
        <v>46055</v>
      </c>
      <c r="AL122" s="437">
        <v>46094</v>
      </c>
      <c r="AM122" s="437">
        <v>46116</v>
      </c>
      <c r="AN122" s="437">
        <v>46118</v>
      </c>
      <c r="AO122" s="430" t="s">
        <v>66</v>
      </c>
      <c r="AP122" s="430" t="s">
        <v>701</v>
      </c>
      <c r="AQ122" s="430" t="s">
        <v>161</v>
      </c>
      <c r="AR122" s="430" t="s">
        <v>702</v>
      </c>
      <c r="AS122" s="430" t="s">
        <v>703</v>
      </c>
      <c r="AT122" s="482" t="s">
        <v>703</v>
      </c>
      <c r="AU1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7">
        <v>46118</v>
      </c>
      <c r="AX122" s="433" t="s">
        <v>84</v>
      </c>
      <c r="AY122" s="437">
        <v>46129</v>
      </c>
      <c r="AZ122" s="442">
        <v>7</v>
      </c>
      <c r="BA122" s="437">
        <v>46125</v>
      </c>
      <c r="BB122" s="433">
        <v>2026</v>
      </c>
      <c r="BC122" s="430">
        <v>4</v>
      </c>
      <c r="BD122" s="430">
        <v>16</v>
      </c>
      <c r="BE122" s="431">
        <v>36</v>
      </c>
      <c r="BF122" s="431">
        <v>720</v>
      </c>
      <c r="BG122" s="431" t="s">
        <v>128</v>
      </c>
      <c r="BH122" s="431" t="s">
        <v>109</v>
      </c>
      <c r="BI122" s="430" t="s">
        <v>197</v>
      </c>
      <c r="BJ122" s="430" t="s">
        <v>197</v>
      </c>
      <c r="BK122" s="430" t="s">
        <v>197</v>
      </c>
      <c r="BL122" s="430" t="s">
        <v>197</v>
      </c>
      <c r="BM122" s="430" t="s">
        <v>197</v>
      </c>
      <c r="BN122" s="430" t="s">
        <v>197</v>
      </c>
      <c r="BO122" s="430" t="s">
        <v>197</v>
      </c>
      <c r="BP122" s="430" t="s">
        <v>197</v>
      </c>
      <c r="BQ122" s="430" t="s">
        <v>197</v>
      </c>
      <c r="BR122" s="430" t="s">
        <v>197</v>
      </c>
      <c r="BS122" s="430" t="s">
        <v>197</v>
      </c>
      <c r="BT122" s="430" t="s">
        <v>197</v>
      </c>
      <c r="BU122" s="430" t="s">
        <v>197</v>
      </c>
      <c r="BV122" s="430" t="s">
        <v>197</v>
      </c>
      <c r="BW122" s="430" t="s">
        <v>197</v>
      </c>
      <c r="BX122" s="430" t="s">
        <v>197</v>
      </c>
      <c r="BY122" s="430" t="s">
        <v>197</v>
      </c>
      <c r="BZ122" s="430" t="s">
        <v>197</v>
      </c>
      <c r="CA122" s="430" t="s">
        <v>197</v>
      </c>
      <c r="CB122" s="430" t="s">
        <v>197</v>
      </c>
      <c r="CC122" s="430" t="s">
        <v>197</v>
      </c>
      <c r="CD122" s="430" t="s">
        <v>197</v>
      </c>
      <c r="CE122" s="430" t="s">
        <v>197</v>
      </c>
      <c r="CF122" s="430" t="s">
        <v>197</v>
      </c>
      <c r="CG122" s="430" t="s">
        <v>197</v>
      </c>
      <c r="CH122" s="430" t="s">
        <v>197</v>
      </c>
      <c r="CI122" s="430" t="s">
        <v>197</v>
      </c>
      <c r="CJ122" s="430" t="s">
        <v>197</v>
      </c>
      <c r="CK122" s="430" t="s">
        <v>197</v>
      </c>
      <c r="CL122" s="430" t="s">
        <v>197</v>
      </c>
      <c r="CM122" s="430" t="s">
        <v>197</v>
      </c>
    </row>
    <row r="123" spans="1:91" ht="10.5">
      <c r="A123" s="462" t="s">
        <v>704</v>
      </c>
      <c r="B123" s="462" t="s">
        <v>77</v>
      </c>
      <c r="C123" s="462" t="s">
        <v>705</v>
      </c>
      <c r="D123" s="462" t="s">
        <v>63</v>
      </c>
      <c r="E123" s="462" t="s">
        <v>64</v>
      </c>
      <c r="F123" s="462" t="s">
        <v>65</v>
      </c>
      <c r="G123" s="462" t="s">
        <v>66</v>
      </c>
      <c r="H123" s="462" t="s">
        <v>67</v>
      </c>
      <c r="I123" s="439" t="s">
        <v>68</v>
      </c>
      <c r="J123" s="430" t="s">
        <v>690</v>
      </c>
      <c r="K123" s="430"/>
      <c r="L123" s="430"/>
      <c r="M123" s="430" t="s">
        <v>68</v>
      </c>
      <c r="N123" s="432" t="s">
        <v>68</v>
      </c>
      <c r="O123" s="430" t="s">
        <v>70</v>
      </c>
      <c r="P123" s="430" t="s">
        <v>706</v>
      </c>
      <c r="Q123" s="430" t="s">
        <v>707</v>
      </c>
      <c r="R123" s="431" t="s">
        <v>73</v>
      </c>
      <c r="S123" s="442" t="s">
        <v>74</v>
      </c>
      <c r="T123" s="433">
        <v>500</v>
      </c>
      <c r="U123" s="1088">
        <v>1728</v>
      </c>
      <c r="V123" s="434">
        <v>0.86399999999999999</v>
      </c>
      <c r="W123" s="435">
        <v>48</v>
      </c>
      <c r="X123" s="1040">
        <v>2</v>
      </c>
      <c r="Y123" s="430" t="s">
        <v>75</v>
      </c>
      <c r="Z123" s="430" t="s">
        <v>75</v>
      </c>
      <c r="AA123" s="430" t="s">
        <v>197</v>
      </c>
      <c r="AB123" s="437">
        <v>46050</v>
      </c>
      <c r="AC123" s="438">
        <v>5</v>
      </c>
      <c r="AD123" s="439" t="s">
        <v>708</v>
      </c>
      <c r="AE123" s="430" t="s">
        <v>197</v>
      </c>
      <c r="AF123" s="430" t="s">
        <v>77</v>
      </c>
      <c r="AG123" s="430" t="s">
        <v>61</v>
      </c>
      <c r="AH123" s="430" t="s">
        <v>78</v>
      </c>
      <c r="AI123" s="437">
        <v>46057</v>
      </c>
      <c r="AJ123" s="437">
        <v>46058</v>
      </c>
      <c r="AK123" s="441">
        <v>46058</v>
      </c>
      <c r="AL123" s="437">
        <v>46119</v>
      </c>
      <c r="AM123" s="437">
        <v>46125</v>
      </c>
      <c r="AN123" s="437">
        <v>46125</v>
      </c>
      <c r="AO123" s="430" t="s">
        <v>66</v>
      </c>
      <c r="AP123" s="430" t="s">
        <v>694</v>
      </c>
      <c r="AQ123" s="430" t="s">
        <v>80</v>
      </c>
      <c r="AR123" s="430" t="s">
        <v>709</v>
      </c>
      <c r="AS123" s="430" t="s">
        <v>710</v>
      </c>
      <c r="AT123" s="482" t="s">
        <v>710</v>
      </c>
      <c r="AU1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7">
        <v>46125</v>
      </c>
      <c r="AX123" s="433" t="s">
        <v>84</v>
      </c>
      <c r="AY123" s="437">
        <v>46139</v>
      </c>
      <c r="AZ123" s="442">
        <v>8</v>
      </c>
      <c r="BA123" s="437">
        <v>46133</v>
      </c>
      <c r="BB123" s="433">
        <v>2026</v>
      </c>
      <c r="BC123" s="430">
        <v>4</v>
      </c>
      <c r="BD123" s="430">
        <v>17</v>
      </c>
      <c r="BE123" s="431">
        <v>36</v>
      </c>
      <c r="BF123" s="431">
        <v>864</v>
      </c>
      <c r="BG123" s="431" t="s">
        <v>85</v>
      </c>
      <c r="BH123" s="431" t="s">
        <v>86</v>
      </c>
      <c r="BI123" s="430" t="s">
        <v>197</v>
      </c>
      <c r="BJ123" s="430" t="s">
        <v>197</v>
      </c>
      <c r="BK123" s="430" t="s">
        <v>197</v>
      </c>
      <c r="BL123" s="430" t="s">
        <v>197</v>
      </c>
      <c r="BM123" s="430" t="s">
        <v>197</v>
      </c>
      <c r="BN123" s="430" t="s">
        <v>197</v>
      </c>
      <c r="BO123" s="430" t="s">
        <v>197</v>
      </c>
      <c r="BP123" s="430" t="s">
        <v>197</v>
      </c>
      <c r="BQ123" s="430" t="s">
        <v>197</v>
      </c>
      <c r="BR123" s="430" t="s">
        <v>197</v>
      </c>
      <c r="BS123" s="430" t="s">
        <v>197</v>
      </c>
      <c r="BT123" s="430" t="s">
        <v>197</v>
      </c>
      <c r="BU123" s="430" t="s">
        <v>197</v>
      </c>
      <c r="BV123" s="430" t="s">
        <v>197</v>
      </c>
      <c r="BW123" s="430" t="s">
        <v>197</v>
      </c>
      <c r="BX123" s="430" t="s">
        <v>197</v>
      </c>
      <c r="BY123" s="430" t="s">
        <v>197</v>
      </c>
      <c r="BZ123" s="430" t="s">
        <v>197</v>
      </c>
      <c r="CA123" s="430" t="s">
        <v>197</v>
      </c>
      <c r="CB123" s="430" t="s">
        <v>197</v>
      </c>
      <c r="CC123" s="430" t="s">
        <v>197</v>
      </c>
      <c r="CD123" s="430" t="s">
        <v>197</v>
      </c>
      <c r="CE123" s="430" t="s">
        <v>197</v>
      </c>
      <c r="CF123" s="430" t="s">
        <v>197</v>
      </c>
      <c r="CG123" s="430" t="s">
        <v>197</v>
      </c>
      <c r="CH123" s="430" t="s">
        <v>197</v>
      </c>
      <c r="CI123" s="430" t="s">
        <v>197</v>
      </c>
      <c r="CJ123" s="430" t="s">
        <v>197</v>
      </c>
      <c r="CK123" s="430" t="s">
        <v>197</v>
      </c>
      <c r="CL123" s="430" t="s">
        <v>197</v>
      </c>
      <c r="CM123" s="430" t="s">
        <v>197</v>
      </c>
    </row>
    <row r="124" spans="1:91" ht="10.5">
      <c r="A124" s="462" t="s">
        <v>711</v>
      </c>
      <c r="B124" s="462" t="s">
        <v>61</v>
      </c>
      <c r="C124" s="462" t="s">
        <v>203</v>
      </c>
      <c r="D124" s="462" t="s">
        <v>113</v>
      </c>
      <c r="E124" s="462" t="s">
        <v>64</v>
      </c>
      <c r="F124" s="462" t="s">
        <v>65</v>
      </c>
      <c r="G124" s="462" t="s">
        <v>66</v>
      </c>
      <c r="H124" s="462" t="s">
        <v>67</v>
      </c>
      <c r="I124" s="439" t="s">
        <v>68</v>
      </c>
      <c r="J124" s="430" t="s">
        <v>712</v>
      </c>
      <c r="K124" s="430" t="s">
        <v>328</v>
      </c>
      <c r="L124" s="430"/>
      <c r="M124" s="430" t="s">
        <v>68</v>
      </c>
      <c r="N124" s="432">
        <v>46045</v>
      </c>
      <c r="O124" s="430" t="s">
        <v>713</v>
      </c>
      <c r="P124" s="430" t="s">
        <v>714</v>
      </c>
      <c r="Q124" s="430" t="s">
        <v>715</v>
      </c>
      <c r="R124" s="431" t="s">
        <v>73</v>
      </c>
      <c r="S124" s="442" t="s">
        <v>716</v>
      </c>
      <c r="T124" s="433">
        <v>625</v>
      </c>
      <c r="U124" s="1088">
        <v>108</v>
      </c>
      <c r="V124" s="434">
        <v>6.8000000000000005E-2</v>
      </c>
      <c r="W124" s="435">
        <v>3</v>
      </c>
      <c r="X124" s="1040">
        <v>0.2</v>
      </c>
      <c r="Y124" s="430" t="s">
        <v>75</v>
      </c>
      <c r="Z124" s="430" t="s">
        <v>75</v>
      </c>
      <c r="AA124" s="430" t="s">
        <v>197</v>
      </c>
      <c r="AB124" s="437">
        <v>46051</v>
      </c>
      <c r="AC124" s="438">
        <v>5</v>
      </c>
      <c r="AD124" s="439" t="s">
        <v>717</v>
      </c>
      <c r="AE124" s="430" t="s">
        <v>197</v>
      </c>
      <c r="AF124" s="430" t="s">
        <v>77</v>
      </c>
      <c r="AG124" s="430" t="s">
        <v>61</v>
      </c>
      <c r="AH124" s="430" t="s">
        <v>78</v>
      </c>
      <c r="AI124" s="437">
        <v>46057</v>
      </c>
      <c r="AJ124" s="437">
        <v>46058</v>
      </c>
      <c r="AK124" s="441">
        <v>46058</v>
      </c>
      <c r="AL124" s="437">
        <v>46125</v>
      </c>
      <c r="AM124" s="437">
        <v>46136</v>
      </c>
      <c r="AN124" s="437">
        <v>46137</v>
      </c>
      <c r="AO124" s="430" t="s">
        <v>66</v>
      </c>
      <c r="AP124" s="430" t="s">
        <v>694</v>
      </c>
      <c r="AQ124" s="430" t="s">
        <v>80</v>
      </c>
      <c r="AR124" s="430" t="s">
        <v>718</v>
      </c>
      <c r="AS124" s="430" t="s">
        <v>719</v>
      </c>
      <c r="AT124" s="482" t="s">
        <v>719</v>
      </c>
      <c r="AU1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7">
        <v>46137</v>
      </c>
      <c r="AX124" s="433" t="s">
        <v>84</v>
      </c>
      <c r="AY124" s="437">
        <v>46150</v>
      </c>
      <c r="AZ124" s="442">
        <v>8</v>
      </c>
      <c r="BA124" s="437">
        <v>46145</v>
      </c>
      <c r="BB124" s="433">
        <v>2026</v>
      </c>
      <c r="BC124" s="430">
        <v>5</v>
      </c>
      <c r="BD124" s="430">
        <v>18</v>
      </c>
      <c r="BE124" s="431">
        <v>36</v>
      </c>
      <c r="BF124" s="431">
        <v>576</v>
      </c>
      <c r="BG124" s="431" t="s">
        <v>108</v>
      </c>
      <c r="BH124" s="431" t="s">
        <v>86</v>
      </c>
      <c r="BI124" s="430" t="s">
        <v>197</v>
      </c>
      <c r="BJ124" s="430" t="s">
        <v>197</v>
      </c>
      <c r="BK124" s="430" t="s">
        <v>197</v>
      </c>
      <c r="BL124" s="430" t="s">
        <v>197</v>
      </c>
      <c r="BM124" s="430" t="s">
        <v>197</v>
      </c>
      <c r="BN124" s="430" t="s">
        <v>197</v>
      </c>
      <c r="BO124" s="430" t="s">
        <v>197</v>
      </c>
      <c r="BP124" s="430" t="s">
        <v>197</v>
      </c>
      <c r="BQ124" s="430" t="s">
        <v>197</v>
      </c>
      <c r="BR124" s="430" t="s">
        <v>197</v>
      </c>
      <c r="BS124" s="430" t="s">
        <v>197</v>
      </c>
      <c r="BT124" s="430" t="s">
        <v>197</v>
      </c>
      <c r="BU124" s="430" t="s">
        <v>197</v>
      </c>
      <c r="BV124" s="430" t="s">
        <v>197</v>
      </c>
      <c r="BW124" s="430" t="s">
        <v>197</v>
      </c>
      <c r="BX124" s="430" t="s">
        <v>197</v>
      </c>
      <c r="BY124" s="430" t="s">
        <v>197</v>
      </c>
      <c r="BZ124" s="430" t="s">
        <v>197</v>
      </c>
      <c r="CA124" s="430" t="s">
        <v>197</v>
      </c>
      <c r="CB124" s="430" t="s">
        <v>197</v>
      </c>
      <c r="CC124" s="430" t="s">
        <v>197</v>
      </c>
      <c r="CD124" s="430" t="s">
        <v>197</v>
      </c>
      <c r="CE124" s="430" t="s">
        <v>197</v>
      </c>
      <c r="CF124" s="430" t="s">
        <v>197</v>
      </c>
      <c r="CG124" s="430" t="s">
        <v>197</v>
      </c>
      <c r="CH124" s="430" t="s">
        <v>197</v>
      </c>
      <c r="CI124" s="430" t="s">
        <v>197</v>
      </c>
      <c r="CJ124" s="430" t="s">
        <v>197</v>
      </c>
      <c r="CK124" s="430" t="s">
        <v>197</v>
      </c>
      <c r="CL124" s="430" t="s">
        <v>197</v>
      </c>
      <c r="CM124" s="430" t="s">
        <v>197</v>
      </c>
    </row>
    <row r="125" spans="1:91" ht="10.5">
      <c r="A125" s="462" t="s">
        <v>720</v>
      </c>
      <c r="B125" s="462" t="s">
        <v>77</v>
      </c>
      <c r="C125" s="462" t="s">
        <v>688</v>
      </c>
      <c r="D125" s="462" t="s">
        <v>63</v>
      </c>
      <c r="E125" s="462" t="s">
        <v>64</v>
      </c>
      <c r="F125" s="462" t="s">
        <v>65</v>
      </c>
      <c r="G125" s="462" t="s">
        <v>66</v>
      </c>
      <c r="H125" s="462" t="s">
        <v>67</v>
      </c>
      <c r="I125" s="439" t="s">
        <v>68</v>
      </c>
      <c r="J125" s="430" t="s">
        <v>690</v>
      </c>
      <c r="K125" s="430"/>
      <c r="L125" s="430"/>
      <c r="M125" s="430" t="s">
        <v>68</v>
      </c>
      <c r="N125" s="432" t="s">
        <v>68</v>
      </c>
      <c r="O125" s="430" t="s">
        <v>70</v>
      </c>
      <c r="P125" s="430" t="s">
        <v>691</v>
      </c>
      <c r="Q125" s="430" t="s">
        <v>692</v>
      </c>
      <c r="R125" s="431" t="s">
        <v>73</v>
      </c>
      <c r="S125" s="442" t="s">
        <v>74</v>
      </c>
      <c r="T125" s="433">
        <v>505</v>
      </c>
      <c r="U125" s="1088">
        <v>684</v>
      </c>
      <c r="V125" s="434">
        <v>0.34499999999999997</v>
      </c>
      <c r="W125" s="435">
        <v>19</v>
      </c>
      <c r="X125" s="1040">
        <v>0.8</v>
      </c>
      <c r="Y125" s="430" t="s">
        <v>75</v>
      </c>
      <c r="Z125" s="430" t="s">
        <v>75</v>
      </c>
      <c r="AA125" s="430" t="s">
        <v>197</v>
      </c>
      <c r="AB125" s="437">
        <v>46051</v>
      </c>
      <c r="AC125" s="438">
        <v>5</v>
      </c>
      <c r="AD125" s="439" t="s">
        <v>721</v>
      </c>
      <c r="AE125" s="430" t="s">
        <v>197</v>
      </c>
      <c r="AF125" s="430" t="s">
        <v>77</v>
      </c>
      <c r="AG125" s="430" t="s">
        <v>61</v>
      </c>
      <c r="AH125" s="430" t="s">
        <v>78</v>
      </c>
      <c r="AI125" s="437">
        <v>46057</v>
      </c>
      <c r="AJ125" s="437">
        <v>46058</v>
      </c>
      <c r="AK125" s="441">
        <v>46058</v>
      </c>
      <c r="AL125" s="437">
        <v>46125</v>
      </c>
      <c r="AM125" s="437">
        <v>46136</v>
      </c>
      <c r="AN125" s="437">
        <v>46137</v>
      </c>
      <c r="AO125" s="430" t="s">
        <v>66</v>
      </c>
      <c r="AP125" s="430" t="s">
        <v>694</v>
      </c>
      <c r="AQ125" s="430" t="s">
        <v>80</v>
      </c>
      <c r="AR125" s="430" t="s">
        <v>718</v>
      </c>
      <c r="AS125" s="430" t="s">
        <v>719</v>
      </c>
      <c r="AT125" s="482" t="s">
        <v>719</v>
      </c>
      <c r="AU1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7">
        <v>46137</v>
      </c>
      <c r="AX125" s="433" t="s">
        <v>84</v>
      </c>
      <c r="AY125" s="437">
        <v>46150</v>
      </c>
      <c r="AZ125" s="442">
        <v>8</v>
      </c>
      <c r="BA125" s="437">
        <v>46145</v>
      </c>
      <c r="BB125" s="433">
        <v>2026</v>
      </c>
      <c r="BC125" s="430">
        <v>5</v>
      </c>
      <c r="BD125" s="430">
        <v>18</v>
      </c>
      <c r="BE125" s="431">
        <v>36</v>
      </c>
      <c r="BF125" s="431">
        <v>864</v>
      </c>
      <c r="BG125" s="431" t="s">
        <v>85</v>
      </c>
      <c r="BH125" s="431" t="s">
        <v>86</v>
      </c>
      <c r="BI125" s="430" t="s">
        <v>197</v>
      </c>
      <c r="BJ125" s="430" t="s">
        <v>197</v>
      </c>
      <c r="BK125" s="430" t="s">
        <v>197</v>
      </c>
      <c r="BL125" s="430" t="s">
        <v>197</v>
      </c>
      <c r="BM125" s="430" t="s">
        <v>197</v>
      </c>
      <c r="BN125" s="430" t="s">
        <v>197</v>
      </c>
      <c r="BO125" s="430" t="s">
        <v>197</v>
      </c>
      <c r="BP125" s="430" t="s">
        <v>197</v>
      </c>
      <c r="BQ125" s="430" t="s">
        <v>197</v>
      </c>
      <c r="BR125" s="430" t="s">
        <v>197</v>
      </c>
      <c r="BS125" s="430" t="s">
        <v>197</v>
      </c>
      <c r="BT125" s="430" t="s">
        <v>197</v>
      </c>
      <c r="BU125" s="430" t="s">
        <v>197</v>
      </c>
      <c r="BV125" s="430" t="s">
        <v>197</v>
      </c>
      <c r="BW125" s="430" t="s">
        <v>197</v>
      </c>
      <c r="BX125" s="430" t="s">
        <v>197</v>
      </c>
      <c r="BY125" s="430" t="s">
        <v>197</v>
      </c>
      <c r="BZ125" s="430" t="s">
        <v>197</v>
      </c>
      <c r="CA125" s="430" t="s">
        <v>197</v>
      </c>
      <c r="CB125" s="430" t="s">
        <v>197</v>
      </c>
      <c r="CC125" s="430" t="s">
        <v>197</v>
      </c>
      <c r="CD125" s="430" t="s">
        <v>197</v>
      </c>
      <c r="CE125" s="430" t="s">
        <v>197</v>
      </c>
      <c r="CF125" s="430" t="s">
        <v>197</v>
      </c>
      <c r="CG125" s="430" t="s">
        <v>197</v>
      </c>
      <c r="CH125" s="430" t="s">
        <v>197</v>
      </c>
      <c r="CI125" s="430" t="s">
        <v>197</v>
      </c>
      <c r="CJ125" s="430" t="s">
        <v>197</v>
      </c>
      <c r="CK125" s="430" t="s">
        <v>197</v>
      </c>
      <c r="CL125" s="430" t="s">
        <v>197</v>
      </c>
      <c r="CM125" s="430" t="s">
        <v>197</v>
      </c>
    </row>
    <row r="126" spans="1:91" ht="10.5">
      <c r="A126" s="462" t="s">
        <v>88</v>
      </c>
      <c r="B126" s="462" t="s">
        <v>61</v>
      </c>
      <c r="C126" s="462" t="s">
        <v>203</v>
      </c>
      <c r="D126" s="462" t="s">
        <v>63</v>
      </c>
      <c r="E126" s="462" t="s">
        <v>64</v>
      </c>
      <c r="F126" s="462" t="s">
        <v>65</v>
      </c>
      <c r="G126" s="462" t="s">
        <v>66</v>
      </c>
      <c r="H126" s="462" t="s">
        <v>67</v>
      </c>
      <c r="I126" s="439" t="s">
        <v>68</v>
      </c>
      <c r="J126" s="430" t="s">
        <v>690</v>
      </c>
      <c r="K126" s="430"/>
      <c r="L126" s="430"/>
      <c r="M126" s="430" t="s">
        <v>68</v>
      </c>
      <c r="N126" s="432" t="s">
        <v>68</v>
      </c>
      <c r="O126" s="430" t="s">
        <v>70</v>
      </c>
      <c r="P126" s="430" t="s">
        <v>91</v>
      </c>
      <c r="Q126" s="430" t="s">
        <v>92</v>
      </c>
      <c r="R126" s="431" t="s">
        <v>73</v>
      </c>
      <c r="S126" s="442" t="s">
        <v>74</v>
      </c>
      <c r="T126" s="433">
        <v>450</v>
      </c>
      <c r="U126" s="1088">
        <v>936</v>
      </c>
      <c r="V126" s="434">
        <v>0.42099999999999999</v>
      </c>
      <c r="W126" s="435">
        <v>26</v>
      </c>
      <c r="X126" s="1040">
        <v>1</v>
      </c>
      <c r="Y126" s="430" t="s">
        <v>75</v>
      </c>
      <c r="Z126" s="430" t="s">
        <v>75</v>
      </c>
      <c r="AA126" s="430" t="s">
        <v>197</v>
      </c>
      <c r="AB126" s="437">
        <v>46051</v>
      </c>
      <c r="AC126" s="438">
        <v>5</v>
      </c>
      <c r="AD126" s="439" t="s">
        <v>722</v>
      </c>
      <c r="AE126" s="430" t="s">
        <v>197</v>
      </c>
      <c r="AF126" s="430" t="s">
        <v>77</v>
      </c>
      <c r="AG126" s="430" t="s">
        <v>61</v>
      </c>
      <c r="AH126" s="430" t="s">
        <v>78</v>
      </c>
      <c r="AI126" s="437">
        <v>46057</v>
      </c>
      <c r="AJ126" s="437">
        <v>46058</v>
      </c>
      <c r="AK126" s="441">
        <v>46058</v>
      </c>
      <c r="AL126" s="437">
        <v>46125</v>
      </c>
      <c r="AM126" s="437">
        <v>46136</v>
      </c>
      <c r="AN126" s="437">
        <v>46137</v>
      </c>
      <c r="AO126" s="430" t="s">
        <v>66</v>
      </c>
      <c r="AP126" s="430" t="s">
        <v>694</v>
      </c>
      <c r="AQ126" s="430" t="s">
        <v>80</v>
      </c>
      <c r="AR126" s="430" t="s">
        <v>718</v>
      </c>
      <c r="AS126" s="430" t="s">
        <v>719</v>
      </c>
      <c r="AT126" s="482" t="s">
        <v>719</v>
      </c>
      <c r="AU1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7">
        <v>46137</v>
      </c>
      <c r="AX126" s="433" t="s">
        <v>84</v>
      </c>
      <c r="AY126" s="437">
        <v>46150</v>
      </c>
      <c r="AZ126" s="442">
        <v>8</v>
      </c>
      <c r="BA126" s="437">
        <v>46145</v>
      </c>
      <c r="BB126" s="433">
        <v>2026</v>
      </c>
      <c r="BC126" s="430">
        <v>5</v>
      </c>
      <c r="BD126" s="430">
        <v>18</v>
      </c>
      <c r="BE126" s="431">
        <v>36</v>
      </c>
      <c r="BF126" s="431">
        <v>936</v>
      </c>
      <c r="BG126" s="431" t="s">
        <v>94</v>
      </c>
      <c r="BH126" s="431" t="s">
        <v>86</v>
      </c>
      <c r="BI126" s="430" t="s">
        <v>197</v>
      </c>
      <c r="BJ126" s="430" t="s">
        <v>197</v>
      </c>
      <c r="BK126" s="430" t="s">
        <v>197</v>
      </c>
      <c r="BL126" s="430" t="s">
        <v>197</v>
      </c>
      <c r="BM126" s="430" t="s">
        <v>197</v>
      </c>
      <c r="BN126" s="430" t="s">
        <v>197</v>
      </c>
      <c r="BO126" s="430" t="s">
        <v>197</v>
      </c>
      <c r="BP126" s="430" t="s">
        <v>197</v>
      </c>
      <c r="BQ126" s="430" t="s">
        <v>197</v>
      </c>
      <c r="BR126" s="430" t="s">
        <v>197</v>
      </c>
      <c r="BS126" s="430" t="s">
        <v>197</v>
      </c>
      <c r="BT126" s="430" t="s">
        <v>197</v>
      </c>
      <c r="BU126" s="430" t="s">
        <v>197</v>
      </c>
      <c r="BV126" s="430" t="s">
        <v>197</v>
      </c>
      <c r="BW126" s="430" t="s">
        <v>197</v>
      </c>
      <c r="BX126" s="430" t="s">
        <v>197</v>
      </c>
      <c r="BY126" s="430" t="s">
        <v>197</v>
      </c>
      <c r="BZ126" s="430" t="s">
        <v>197</v>
      </c>
      <c r="CA126" s="430" t="s">
        <v>197</v>
      </c>
      <c r="CB126" s="430" t="s">
        <v>197</v>
      </c>
      <c r="CC126" s="430" t="s">
        <v>197</v>
      </c>
      <c r="CD126" s="430" t="s">
        <v>197</v>
      </c>
      <c r="CE126" s="430" t="s">
        <v>197</v>
      </c>
      <c r="CF126" s="430" t="s">
        <v>197</v>
      </c>
      <c r="CG126" s="430" t="s">
        <v>197</v>
      </c>
      <c r="CH126" s="430" t="s">
        <v>197</v>
      </c>
      <c r="CI126" s="430" t="s">
        <v>197</v>
      </c>
      <c r="CJ126" s="430" t="s">
        <v>197</v>
      </c>
      <c r="CK126" s="430" t="s">
        <v>197</v>
      </c>
      <c r="CL126" s="430" t="s">
        <v>197</v>
      </c>
      <c r="CM126" s="430" t="s">
        <v>197</v>
      </c>
    </row>
    <row r="127" spans="1:91" ht="10.5">
      <c r="A127" s="462" t="s">
        <v>723</v>
      </c>
      <c r="B127" s="462" t="s">
        <v>111</v>
      </c>
      <c r="C127" s="462" t="s">
        <v>168</v>
      </c>
      <c r="D127" s="462" t="s">
        <v>63</v>
      </c>
      <c r="E127" s="462" t="s">
        <v>64</v>
      </c>
      <c r="F127" s="462" t="s">
        <v>100</v>
      </c>
      <c r="G127" s="462" t="s">
        <v>402</v>
      </c>
      <c r="H127" s="462" t="s">
        <v>67</v>
      </c>
      <c r="I127" s="439" t="s">
        <v>68</v>
      </c>
      <c r="J127" s="430" t="s">
        <v>483</v>
      </c>
      <c r="K127" s="430"/>
      <c r="L127" s="430"/>
      <c r="M127" s="430" t="s">
        <v>68</v>
      </c>
      <c r="N127" s="432" t="s">
        <v>68</v>
      </c>
      <c r="O127" s="430" t="s">
        <v>170</v>
      </c>
      <c r="P127" s="430" t="s">
        <v>171</v>
      </c>
      <c r="Q127" s="430" t="s">
        <v>172</v>
      </c>
      <c r="R127" s="431" t="s">
        <v>73</v>
      </c>
      <c r="S127" s="442" t="s">
        <v>120</v>
      </c>
      <c r="T127" s="433">
        <v>555</v>
      </c>
      <c r="U127" s="1088">
        <v>1980</v>
      </c>
      <c r="V127" s="434">
        <v>1.099</v>
      </c>
      <c r="W127" s="435">
        <v>60</v>
      </c>
      <c r="X127" s="1040">
        <v>3</v>
      </c>
      <c r="Y127" s="430" t="s">
        <v>75</v>
      </c>
      <c r="Z127" s="430" t="s">
        <v>75</v>
      </c>
      <c r="AA127" s="430"/>
      <c r="AB127" s="437">
        <v>46056</v>
      </c>
      <c r="AC127" s="438">
        <v>6</v>
      </c>
      <c r="AD127" s="439" t="s">
        <v>724</v>
      </c>
      <c r="AE127" s="430"/>
      <c r="AF127" s="430" t="s">
        <v>122</v>
      </c>
      <c r="AG127" s="430" t="s">
        <v>123</v>
      </c>
      <c r="AH127" s="430" t="s">
        <v>105</v>
      </c>
      <c r="AI127" s="437">
        <v>46062</v>
      </c>
      <c r="AJ127" s="437">
        <v>46067</v>
      </c>
      <c r="AK127" s="441">
        <v>46068</v>
      </c>
      <c r="AL127" s="437">
        <v>46102</v>
      </c>
      <c r="AM127" s="437">
        <v>46111</v>
      </c>
      <c r="AN127" s="437">
        <v>46113</v>
      </c>
      <c r="AO127" s="430" t="s">
        <v>402</v>
      </c>
      <c r="AP127" s="430" t="s">
        <v>623</v>
      </c>
      <c r="AQ127" s="430" t="s">
        <v>161</v>
      </c>
      <c r="AR127" s="430" t="s">
        <v>725</v>
      </c>
      <c r="AS127" s="430" t="s">
        <v>726</v>
      </c>
      <c r="AT127" s="482" t="s">
        <v>726</v>
      </c>
      <c r="AU1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7">
        <v>46113</v>
      </c>
      <c r="AX127" s="433" t="s">
        <v>84</v>
      </c>
      <c r="AY127" s="437">
        <v>46125</v>
      </c>
      <c r="AZ127" s="442">
        <v>7</v>
      </c>
      <c r="BA127" s="437">
        <v>46120</v>
      </c>
      <c r="BB127" s="433">
        <v>2026</v>
      </c>
      <c r="BC127" s="430">
        <v>4</v>
      </c>
      <c r="BD127" s="430">
        <v>15</v>
      </c>
      <c r="BE127" s="431">
        <v>33</v>
      </c>
      <c r="BF127" s="431">
        <v>660</v>
      </c>
      <c r="BG127" s="431" t="s">
        <v>108</v>
      </c>
      <c r="BH127" s="431" t="s">
        <v>109</v>
      </c>
      <c r="BI127" s="430" t="s">
        <v>197</v>
      </c>
      <c r="BJ127" s="430" t="s">
        <v>197</v>
      </c>
      <c r="BK127" s="430" t="s">
        <v>197</v>
      </c>
      <c r="BL127" s="430" t="s">
        <v>197</v>
      </c>
      <c r="BM127" s="430" t="s">
        <v>197</v>
      </c>
      <c r="BN127" s="430" t="s">
        <v>197</v>
      </c>
      <c r="BO127" s="430" t="s">
        <v>197</v>
      </c>
      <c r="BP127" s="430" t="s">
        <v>197</v>
      </c>
      <c r="BQ127" s="430" t="s">
        <v>197</v>
      </c>
      <c r="BR127" s="430" t="s">
        <v>197</v>
      </c>
      <c r="BS127" s="430" t="s">
        <v>197</v>
      </c>
      <c r="BT127" s="430" t="s">
        <v>197</v>
      </c>
      <c r="BU127" s="430" t="s">
        <v>197</v>
      </c>
      <c r="BV127" s="430" t="s">
        <v>197</v>
      </c>
      <c r="BW127" s="430" t="s">
        <v>197</v>
      </c>
      <c r="BX127" s="430" t="s">
        <v>197</v>
      </c>
      <c r="BY127" s="430" t="s">
        <v>197</v>
      </c>
      <c r="BZ127" s="430" t="s">
        <v>197</v>
      </c>
      <c r="CA127" s="430" t="s">
        <v>197</v>
      </c>
      <c r="CB127" s="430" t="s">
        <v>197</v>
      </c>
      <c r="CC127" s="430" t="s">
        <v>197</v>
      </c>
      <c r="CD127" s="430" t="s">
        <v>197</v>
      </c>
      <c r="CE127" s="430" t="s">
        <v>197</v>
      </c>
      <c r="CF127" s="430" t="s">
        <v>197</v>
      </c>
      <c r="CG127" s="430" t="s">
        <v>197</v>
      </c>
      <c r="CH127" s="430" t="s">
        <v>197</v>
      </c>
      <c r="CI127" s="430" t="s">
        <v>197</v>
      </c>
      <c r="CJ127" s="430" t="s">
        <v>197</v>
      </c>
      <c r="CK127" s="430" t="s">
        <v>197</v>
      </c>
      <c r="CL127" s="430" t="s">
        <v>197</v>
      </c>
      <c r="CM127" s="430" t="s">
        <v>197</v>
      </c>
    </row>
    <row r="128" spans="1:91" ht="10.5">
      <c r="A128" s="462" t="s">
        <v>727</v>
      </c>
      <c r="B128" s="462" t="s">
        <v>111</v>
      </c>
      <c r="C128" s="462" t="s">
        <v>168</v>
      </c>
      <c r="D128" s="462" t="s">
        <v>63</v>
      </c>
      <c r="E128" s="462" t="s">
        <v>64</v>
      </c>
      <c r="F128" s="462" t="s">
        <v>100</v>
      </c>
      <c r="G128" s="462" t="s">
        <v>402</v>
      </c>
      <c r="H128" s="462" t="s">
        <v>67</v>
      </c>
      <c r="I128" s="439" t="s">
        <v>68</v>
      </c>
      <c r="J128" s="430" t="s">
        <v>483</v>
      </c>
      <c r="K128" s="430"/>
      <c r="L128" s="430"/>
      <c r="M128" s="430" t="s">
        <v>68</v>
      </c>
      <c r="N128" s="432" t="s">
        <v>68</v>
      </c>
      <c r="O128" s="430" t="s">
        <v>170</v>
      </c>
      <c r="P128" s="430" t="s">
        <v>171</v>
      </c>
      <c r="Q128" s="430" t="s">
        <v>172</v>
      </c>
      <c r="R128" s="431" t="s">
        <v>73</v>
      </c>
      <c r="S128" s="442" t="s">
        <v>120</v>
      </c>
      <c r="T128" s="433">
        <v>555</v>
      </c>
      <c r="U128" s="1088">
        <v>3300</v>
      </c>
      <c r="V128" s="434">
        <v>1.8320000000000001</v>
      </c>
      <c r="W128" s="435">
        <v>100</v>
      </c>
      <c r="X128" s="1040">
        <v>5</v>
      </c>
      <c r="Y128" s="430" t="s">
        <v>75</v>
      </c>
      <c r="Z128" s="430" t="s">
        <v>75</v>
      </c>
      <c r="AA128" s="430"/>
      <c r="AB128" s="437">
        <v>46056</v>
      </c>
      <c r="AC128" s="438">
        <v>6</v>
      </c>
      <c r="AD128" s="439" t="s">
        <v>728</v>
      </c>
      <c r="AE128" s="430"/>
      <c r="AF128" s="430" t="s">
        <v>122</v>
      </c>
      <c r="AG128" s="430" t="s">
        <v>123</v>
      </c>
      <c r="AH128" s="430" t="s">
        <v>105</v>
      </c>
      <c r="AI128" s="437">
        <v>46062</v>
      </c>
      <c r="AJ128" s="437">
        <v>46067</v>
      </c>
      <c r="AK128" s="441">
        <v>46068</v>
      </c>
      <c r="AL128" s="437">
        <v>46102</v>
      </c>
      <c r="AM128" s="437">
        <v>46111</v>
      </c>
      <c r="AN128" s="437">
        <v>46113</v>
      </c>
      <c r="AO128" s="430" t="s">
        <v>402</v>
      </c>
      <c r="AP128" s="430" t="s">
        <v>623</v>
      </c>
      <c r="AQ128" s="430" t="s">
        <v>161</v>
      </c>
      <c r="AR128" s="430" t="s">
        <v>725</v>
      </c>
      <c r="AS128" s="430" t="s">
        <v>726</v>
      </c>
      <c r="AT128" s="482" t="s">
        <v>726</v>
      </c>
      <c r="AU1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7">
        <v>46113</v>
      </c>
      <c r="AX128" s="433" t="s">
        <v>84</v>
      </c>
      <c r="AY128" s="437">
        <v>46125</v>
      </c>
      <c r="AZ128" s="442">
        <v>7</v>
      </c>
      <c r="BA128" s="437">
        <v>46120</v>
      </c>
      <c r="BB128" s="433">
        <v>2026</v>
      </c>
      <c r="BC128" s="430">
        <v>4</v>
      </c>
      <c r="BD128" s="430">
        <v>15</v>
      </c>
      <c r="BE128" s="431">
        <v>33</v>
      </c>
      <c r="BF128" s="431">
        <v>660</v>
      </c>
      <c r="BG128" s="431" t="s">
        <v>108</v>
      </c>
      <c r="BH128" s="431" t="s">
        <v>109</v>
      </c>
      <c r="BI128" s="430" t="s">
        <v>197</v>
      </c>
      <c r="BJ128" s="430" t="s">
        <v>197</v>
      </c>
      <c r="BK128" s="430" t="s">
        <v>197</v>
      </c>
      <c r="BL128" s="430" t="s">
        <v>197</v>
      </c>
      <c r="BM128" s="430" t="s">
        <v>197</v>
      </c>
      <c r="BN128" s="430" t="s">
        <v>197</v>
      </c>
      <c r="BO128" s="430" t="s">
        <v>197</v>
      </c>
      <c r="BP128" s="430" t="s">
        <v>197</v>
      </c>
      <c r="BQ128" s="430" t="s">
        <v>197</v>
      </c>
      <c r="BR128" s="430" t="s">
        <v>197</v>
      </c>
      <c r="BS128" s="430" t="s">
        <v>197</v>
      </c>
      <c r="BT128" s="430" t="s">
        <v>197</v>
      </c>
      <c r="BU128" s="430" t="s">
        <v>197</v>
      </c>
      <c r="BV128" s="430" t="s">
        <v>197</v>
      </c>
      <c r="BW128" s="430" t="s">
        <v>197</v>
      </c>
      <c r="BX128" s="430" t="s">
        <v>197</v>
      </c>
      <c r="BY128" s="430" t="s">
        <v>197</v>
      </c>
      <c r="BZ128" s="430" t="s">
        <v>197</v>
      </c>
      <c r="CA128" s="430" t="s">
        <v>197</v>
      </c>
      <c r="CB128" s="430" t="s">
        <v>197</v>
      </c>
      <c r="CC128" s="430" t="s">
        <v>197</v>
      </c>
      <c r="CD128" s="430" t="s">
        <v>197</v>
      </c>
      <c r="CE128" s="430" t="s">
        <v>197</v>
      </c>
      <c r="CF128" s="430" t="s">
        <v>197</v>
      </c>
      <c r="CG128" s="430" t="s">
        <v>197</v>
      </c>
      <c r="CH128" s="430" t="s">
        <v>197</v>
      </c>
      <c r="CI128" s="430" t="s">
        <v>197</v>
      </c>
      <c r="CJ128" s="430" t="s">
        <v>197</v>
      </c>
      <c r="CK128" s="430" t="s">
        <v>197</v>
      </c>
      <c r="CL128" s="430" t="s">
        <v>197</v>
      </c>
      <c r="CM128" s="430" t="s">
        <v>197</v>
      </c>
    </row>
    <row r="129" spans="1:91" ht="10.5">
      <c r="A129" s="462" t="s">
        <v>525</v>
      </c>
      <c r="B129" s="462" t="s">
        <v>111</v>
      </c>
      <c r="C129" s="462" t="s">
        <v>203</v>
      </c>
      <c r="D129" s="462" t="s">
        <v>63</v>
      </c>
      <c r="E129" s="462" t="s">
        <v>64</v>
      </c>
      <c r="F129" s="462" t="s">
        <v>100</v>
      </c>
      <c r="G129" s="462" t="s">
        <v>402</v>
      </c>
      <c r="H129" s="462" t="s">
        <v>67</v>
      </c>
      <c r="I129" s="439" t="s">
        <v>68</v>
      </c>
      <c r="J129" s="430" t="s">
        <v>483</v>
      </c>
      <c r="K129" s="430"/>
      <c r="L129" s="430"/>
      <c r="M129" s="430" t="s">
        <v>68</v>
      </c>
      <c r="N129" s="432" t="s">
        <v>68</v>
      </c>
      <c r="O129" s="430" t="s">
        <v>473</v>
      </c>
      <c r="P129" s="430" t="s">
        <v>529</v>
      </c>
      <c r="Q129" s="430" t="s">
        <v>530</v>
      </c>
      <c r="R129" s="431" t="s">
        <v>73</v>
      </c>
      <c r="S129" s="442" t="s">
        <v>74</v>
      </c>
      <c r="T129" s="433">
        <v>455</v>
      </c>
      <c r="U129" s="1088">
        <v>1728</v>
      </c>
      <c r="V129" s="434">
        <v>0.78600000000000003</v>
      </c>
      <c r="W129" s="435">
        <v>48</v>
      </c>
      <c r="X129" s="1040">
        <v>2</v>
      </c>
      <c r="Y129" s="430" t="s">
        <v>75</v>
      </c>
      <c r="Z129" s="430" t="s">
        <v>75</v>
      </c>
      <c r="AA129" s="430"/>
      <c r="AB129" s="437">
        <v>46056</v>
      </c>
      <c r="AC129" s="438">
        <v>6</v>
      </c>
      <c r="AD129" s="439" t="s">
        <v>729</v>
      </c>
      <c r="AE129" s="430"/>
      <c r="AF129" s="430" t="s">
        <v>122</v>
      </c>
      <c r="AG129" s="430" t="s">
        <v>123</v>
      </c>
      <c r="AH129" s="430" t="s">
        <v>105</v>
      </c>
      <c r="AI129" s="437">
        <v>46062</v>
      </c>
      <c r="AJ129" s="437">
        <v>46067</v>
      </c>
      <c r="AK129" s="441">
        <v>46068</v>
      </c>
      <c r="AL129" s="437">
        <v>46102</v>
      </c>
      <c r="AM129" s="437">
        <v>46111</v>
      </c>
      <c r="AN129" s="437">
        <v>46113</v>
      </c>
      <c r="AO129" s="430" t="s">
        <v>402</v>
      </c>
      <c r="AP129" s="430" t="s">
        <v>623</v>
      </c>
      <c r="AQ129" s="430" t="s">
        <v>161</v>
      </c>
      <c r="AR129" s="430" t="s">
        <v>725</v>
      </c>
      <c r="AS129" s="430" t="s">
        <v>726</v>
      </c>
      <c r="AT129" s="482" t="s">
        <v>726</v>
      </c>
      <c r="AU1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7">
        <v>46113</v>
      </c>
      <c r="AX129" s="433" t="s">
        <v>84</v>
      </c>
      <c r="AY129" s="437">
        <v>46125</v>
      </c>
      <c r="AZ129" s="442">
        <v>7</v>
      </c>
      <c r="BA129" s="437">
        <v>46120</v>
      </c>
      <c r="BB129" s="433">
        <v>2026</v>
      </c>
      <c r="BC129" s="430">
        <v>4</v>
      </c>
      <c r="BD129" s="430">
        <v>15</v>
      </c>
      <c r="BE129" s="431">
        <v>36</v>
      </c>
      <c r="BF129" s="431">
        <v>864</v>
      </c>
      <c r="BG129" s="431" t="s">
        <v>85</v>
      </c>
      <c r="BH129" s="431" t="s">
        <v>109</v>
      </c>
      <c r="BI129" s="430" t="s">
        <v>197</v>
      </c>
      <c r="BJ129" s="430" t="s">
        <v>197</v>
      </c>
      <c r="BK129" s="430" t="s">
        <v>197</v>
      </c>
      <c r="BL129" s="430" t="s">
        <v>197</v>
      </c>
      <c r="BM129" s="430" t="s">
        <v>197</v>
      </c>
      <c r="BN129" s="430" t="s">
        <v>197</v>
      </c>
      <c r="BO129" s="430" t="s">
        <v>197</v>
      </c>
      <c r="BP129" s="430" t="s">
        <v>197</v>
      </c>
      <c r="BQ129" s="430" t="s">
        <v>197</v>
      </c>
      <c r="BR129" s="430" t="s">
        <v>197</v>
      </c>
      <c r="BS129" s="430" t="s">
        <v>197</v>
      </c>
      <c r="BT129" s="430" t="s">
        <v>197</v>
      </c>
      <c r="BU129" s="430" t="s">
        <v>197</v>
      </c>
      <c r="BV129" s="430" t="s">
        <v>197</v>
      </c>
      <c r="BW129" s="430" t="s">
        <v>197</v>
      </c>
      <c r="BX129" s="430" t="s">
        <v>197</v>
      </c>
      <c r="BY129" s="430" t="s">
        <v>197</v>
      </c>
      <c r="BZ129" s="430" t="s">
        <v>197</v>
      </c>
      <c r="CA129" s="430" t="s">
        <v>197</v>
      </c>
      <c r="CB129" s="430" t="s">
        <v>197</v>
      </c>
      <c r="CC129" s="430" t="s">
        <v>197</v>
      </c>
      <c r="CD129" s="430" t="s">
        <v>197</v>
      </c>
      <c r="CE129" s="430" t="s">
        <v>197</v>
      </c>
      <c r="CF129" s="430" t="s">
        <v>197</v>
      </c>
      <c r="CG129" s="430" t="s">
        <v>197</v>
      </c>
      <c r="CH129" s="430" t="s">
        <v>197</v>
      </c>
      <c r="CI129" s="430" t="s">
        <v>197</v>
      </c>
      <c r="CJ129" s="430" t="s">
        <v>197</v>
      </c>
      <c r="CK129" s="430" t="s">
        <v>197</v>
      </c>
      <c r="CL129" s="430" t="s">
        <v>197</v>
      </c>
      <c r="CM129" s="430" t="s">
        <v>197</v>
      </c>
    </row>
    <row r="130" spans="1:91" ht="10.5">
      <c r="A130" s="462" t="s">
        <v>638</v>
      </c>
      <c r="B130" s="462" t="s">
        <v>111</v>
      </c>
      <c r="C130" s="462" t="s">
        <v>203</v>
      </c>
      <c r="D130" s="462" t="s">
        <v>63</v>
      </c>
      <c r="E130" s="462" t="s">
        <v>64</v>
      </c>
      <c r="F130" s="462" t="s">
        <v>100</v>
      </c>
      <c r="G130" s="462" t="s">
        <v>402</v>
      </c>
      <c r="H130" s="462" t="s">
        <v>67</v>
      </c>
      <c r="I130" s="439" t="s">
        <v>68</v>
      </c>
      <c r="J130" s="430" t="s">
        <v>483</v>
      </c>
      <c r="K130" s="430"/>
      <c r="L130" s="430"/>
      <c r="M130" s="430" t="s">
        <v>68</v>
      </c>
      <c r="N130" s="432" t="s">
        <v>68</v>
      </c>
      <c r="O130" s="430" t="s">
        <v>473</v>
      </c>
      <c r="P130" s="430" t="s">
        <v>474</v>
      </c>
      <c r="Q130" s="430" t="s">
        <v>475</v>
      </c>
      <c r="R130" s="431" t="s">
        <v>73</v>
      </c>
      <c r="S130" s="442" t="s">
        <v>74</v>
      </c>
      <c r="T130" s="433">
        <v>460</v>
      </c>
      <c r="U130" s="1088">
        <v>864</v>
      </c>
      <c r="V130" s="434">
        <v>0.39700000000000002</v>
      </c>
      <c r="W130" s="435">
        <v>24</v>
      </c>
      <c r="X130" s="1040">
        <v>1</v>
      </c>
      <c r="Y130" s="430" t="s">
        <v>75</v>
      </c>
      <c r="Z130" s="430" t="s">
        <v>75</v>
      </c>
      <c r="AA130" s="430"/>
      <c r="AB130" s="437">
        <v>46057</v>
      </c>
      <c r="AC130" s="438">
        <v>6</v>
      </c>
      <c r="AD130" s="439" t="s">
        <v>730</v>
      </c>
      <c r="AE130" s="430"/>
      <c r="AF130" s="430" t="s">
        <v>122</v>
      </c>
      <c r="AG130" s="430" t="s">
        <v>123</v>
      </c>
      <c r="AH130" s="430" t="s">
        <v>105</v>
      </c>
      <c r="AI130" s="437">
        <v>46062</v>
      </c>
      <c r="AJ130" s="437">
        <v>46067</v>
      </c>
      <c r="AK130" s="441">
        <v>46069</v>
      </c>
      <c r="AL130" s="437">
        <v>46099</v>
      </c>
      <c r="AM130" s="437">
        <v>46126</v>
      </c>
      <c r="AN130" s="437">
        <v>46127</v>
      </c>
      <c r="AO130" s="430" t="s">
        <v>402</v>
      </c>
      <c r="AP130" s="430" t="s">
        <v>731</v>
      </c>
      <c r="AQ130" s="430" t="s">
        <v>80</v>
      </c>
      <c r="AR130" s="430" t="s">
        <v>732</v>
      </c>
      <c r="AS130" s="430" t="s">
        <v>733</v>
      </c>
      <c r="AT130" s="482" t="s">
        <v>733</v>
      </c>
      <c r="AU1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7">
        <v>46127</v>
      </c>
      <c r="AX130" s="433" t="s">
        <v>84</v>
      </c>
      <c r="AY130" s="437">
        <v>46134</v>
      </c>
      <c r="AZ130" s="442">
        <v>7</v>
      </c>
      <c r="BA130" s="437">
        <v>46134</v>
      </c>
      <c r="BB130" s="433">
        <v>2026</v>
      </c>
      <c r="BC130" s="430">
        <v>4</v>
      </c>
      <c r="BD130" s="430">
        <v>17</v>
      </c>
      <c r="BE130" s="431">
        <v>36</v>
      </c>
      <c r="BF130" s="431">
        <v>864</v>
      </c>
      <c r="BG130" s="431" t="s">
        <v>85</v>
      </c>
      <c r="BH130" s="431" t="s">
        <v>109</v>
      </c>
      <c r="BI130" s="430" t="s">
        <v>197</v>
      </c>
      <c r="BJ130" s="430" t="s">
        <v>197</v>
      </c>
      <c r="BK130" s="430" t="s">
        <v>197</v>
      </c>
      <c r="BL130" s="430" t="s">
        <v>197</v>
      </c>
      <c r="BM130" s="430" t="s">
        <v>197</v>
      </c>
      <c r="BN130" s="430" t="s">
        <v>197</v>
      </c>
      <c r="BO130" s="430" t="s">
        <v>197</v>
      </c>
      <c r="BP130" s="430" t="s">
        <v>197</v>
      </c>
      <c r="BQ130" s="430" t="s">
        <v>197</v>
      </c>
      <c r="BR130" s="430" t="s">
        <v>197</v>
      </c>
      <c r="BS130" s="430" t="s">
        <v>197</v>
      </c>
      <c r="BT130" s="430" t="s">
        <v>197</v>
      </c>
      <c r="BU130" s="430" t="s">
        <v>197</v>
      </c>
      <c r="BV130" s="430" t="s">
        <v>197</v>
      </c>
      <c r="BW130" s="430" t="s">
        <v>197</v>
      </c>
      <c r="BX130" s="430" t="s">
        <v>197</v>
      </c>
      <c r="BY130" s="430" t="s">
        <v>197</v>
      </c>
      <c r="BZ130" s="430" t="s">
        <v>197</v>
      </c>
      <c r="CA130" s="430" t="s">
        <v>197</v>
      </c>
      <c r="CB130" s="430" t="s">
        <v>197</v>
      </c>
      <c r="CC130" s="430" t="s">
        <v>197</v>
      </c>
      <c r="CD130" s="430" t="s">
        <v>197</v>
      </c>
      <c r="CE130" s="430" t="s">
        <v>197</v>
      </c>
      <c r="CF130" s="430" t="s">
        <v>197</v>
      </c>
      <c r="CG130" s="430" t="s">
        <v>197</v>
      </c>
      <c r="CH130" s="430" t="s">
        <v>197</v>
      </c>
      <c r="CI130" s="430" t="s">
        <v>197</v>
      </c>
      <c r="CJ130" s="430" t="s">
        <v>197</v>
      </c>
      <c r="CK130" s="430" t="s">
        <v>197</v>
      </c>
      <c r="CL130" s="430" t="s">
        <v>197</v>
      </c>
      <c r="CM130" s="430" t="s">
        <v>197</v>
      </c>
    </row>
    <row r="131" spans="1:91" ht="10.5">
      <c r="A131" s="462" t="s">
        <v>734</v>
      </c>
      <c r="B131" s="462" t="s">
        <v>111</v>
      </c>
      <c r="C131" s="462" t="s">
        <v>387</v>
      </c>
      <c r="D131" s="462" t="s">
        <v>63</v>
      </c>
      <c r="E131" s="462" t="s">
        <v>64</v>
      </c>
      <c r="F131" s="462" t="s">
        <v>100</v>
      </c>
      <c r="G131" s="462" t="s">
        <v>402</v>
      </c>
      <c r="H131" s="462" t="s">
        <v>67</v>
      </c>
      <c r="I131" s="439" t="s">
        <v>68</v>
      </c>
      <c r="J131" s="430" t="s">
        <v>293</v>
      </c>
      <c r="K131" s="430"/>
      <c r="L131" s="430"/>
      <c r="M131" s="430" t="s">
        <v>68</v>
      </c>
      <c r="N131" s="432" t="s">
        <v>68</v>
      </c>
      <c r="O131" s="430" t="s">
        <v>132</v>
      </c>
      <c r="P131" s="430" t="s">
        <v>189</v>
      </c>
      <c r="Q131" s="430" t="s">
        <v>190</v>
      </c>
      <c r="R131" s="431" t="s">
        <v>73</v>
      </c>
      <c r="S131" s="442" t="s">
        <v>74</v>
      </c>
      <c r="T131" s="433">
        <v>465</v>
      </c>
      <c r="U131" s="1088">
        <v>2592</v>
      </c>
      <c r="V131" s="434">
        <v>1.2050000000000001</v>
      </c>
      <c r="W131" s="435">
        <v>72</v>
      </c>
      <c r="X131" s="1040">
        <v>3</v>
      </c>
      <c r="Y131" s="430" t="s">
        <v>75</v>
      </c>
      <c r="Z131" s="430" t="s">
        <v>75</v>
      </c>
      <c r="AA131" s="430"/>
      <c r="AB131" s="437">
        <v>46057</v>
      </c>
      <c r="AC131" s="438">
        <v>6</v>
      </c>
      <c r="AD131" s="439" t="s">
        <v>735</v>
      </c>
      <c r="AE131" s="430"/>
      <c r="AF131" s="430" t="s">
        <v>122</v>
      </c>
      <c r="AG131" s="430" t="s">
        <v>123</v>
      </c>
      <c r="AH131" s="430" t="s">
        <v>105</v>
      </c>
      <c r="AI131" s="437">
        <v>46062</v>
      </c>
      <c r="AJ131" s="437">
        <v>46067</v>
      </c>
      <c r="AK131" s="441">
        <v>46069</v>
      </c>
      <c r="AL131" s="437">
        <v>46099</v>
      </c>
      <c r="AM131" s="437">
        <v>46126</v>
      </c>
      <c r="AN131" s="437">
        <v>46127</v>
      </c>
      <c r="AO131" s="430" t="s">
        <v>402</v>
      </c>
      <c r="AP131" s="430" t="s">
        <v>731</v>
      </c>
      <c r="AQ131" s="430" t="s">
        <v>80</v>
      </c>
      <c r="AR131" s="430" t="s">
        <v>732</v>
      </c>
      <c r="AS131" s="430" t="s">
        <v>733</v>
      </c>
      <c r="AT131" s="482" t="s">
        <v>733</v>
      </c>
      <c r="AU1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7">
        <v>46127</v>
      </c>
      <c r="AX131" s="433" t="s">
        <v>84</v>
      </c>
      <c r="AY131" s="437">
        <v>46134</v>
      </c>
      <c r="AZ131" s="442">
        <v>7</v>
      </c>
      <c r="BA131" s="437">
        <v>46134</v>
      </c>
      <c r="BB131" s="433">
        <v>2026</v>
      </c>
      <c r="BC131" s="430">
        <v>4</v>
      </c>
      <c r="BD131" s="430">
        <v>17</v>
      </c>
      <c r="BE131" s="431">
        <v>36</v>
      </c>
      <c r="BF131" s="431">
        <v>864</v>
      </c>
      <c r="BG131" s="431" t="s">
        <v>108</v>
      </c>
      <c r="BH131" s="431" t="s">
        <v>109</v>
      </c>
      <c r="BI131" s="430" t="s">
        <v>197</v>
      </c>
      <c r="BJ131" s="430" t="s">
        <v>197</v>
      </c>
      <c r="BK131" s="430" t="s">
        <v>197</v>
      </c>
      <c r="BL131" s="430" t="s">
        <v>197</v>
      </c>
      <c r="BM131" s="430" t="s">
        <v>197</v>
      </c>
      <c r="BN131" s="430" t="s">
        <v>197</v>
      </c>
      <c r="BO131" s="430" t="s">
        <v>197</v>
      </c>
      <c r="BP131" s="430" t="s">
        <v>197</v>
      </c>
      <c r="BQ131" s="430" t="s">
        <v>197</v>
      </c>
      <c r="BR131" s="430" t="s">
        <v>197</v>
      </c>
      <c r="BS131" s="430" t="s">
        <v>197</v>
      </c>
      <c r="BT131" s="430" t="s">
        <v>197</v>
      </c>
      <c r="BU131" s="430" t="s">
        <v>197</v>
      </c>
      <c r="BV131" s="430" t="s">
        <v>197</v>
      </c>
      <c r="BW131" s="430" t="s">
        <v>197</v>
      </c>
      <c r="BX131" s="430" t="s">
        <v>197</v>
      </c>
      <c r="BY131" s="430" t="s">
        <v>197</v>
      </c>
      <c r="BZ131" s="430" t="s">
        <v>197</v>
      </c>
      <c r="CA131" s="430" t="s">
        <v>197</v>
      </c>
      <c r="CB131" s="430" t="s">
        <v>197</v>
      </c>
      <c r="CC131" s="430" t="s">
        <v>197</v>
      </c>
      <c r="CD131" s="430" t="s">
        <v>197</v>
      </c>
      <c r="CE131" s="430" t="s">
        <v>197</v>
      </c>
      <c r="CF131" s="430" t="s">
        <v>197</v>
      </c>
      <c r="CG131" s="430" t="s">
        <v>197</v>
      </c>
      <c r="CH131" s="430" t="s">
        <v>197</v>
      </c>
      <c r="CI131" s="430" t="s">
        <v>197</v>
      </c>
      <c r="CJ131" s="430" t="s">
        <v>197</v>
      </c>
      <c r="CK131" s="430" t="s">
        <v>197</v>
      </c>
      <c r="CL131" s="430" t="s">
        <v>197</v>
      </c>
      <c r="CM131" s="430" t="s">
        <v>197</v>
      </c>
    </row>
    <row r="132" spans="1:91" ht="10.5">
      <c r="A132" s="462" t="s">
        <v>736</v>
      </c>
      <c r="B132" s="462" t="s">
        <v>111</v>
      </c>
      <c r="C132" s="462" t="s">
        <v>168</v>
      </c>
      <c r="D132" s="462" t="s">
        <v>63</v>
      </c>
      <c r="E132" s="462" t="s">
        <v>64</v>
      </c>
      <c r="F132" s="462" t="s">
        <v>65</v>
      </c>
      <c r="G132" s="462" t="s">
        <v>402</v>
      </c>
      <c r="H132" s="462" t="s">
        <v>67</v>
      </c>
      <c r="I132" s="439" t="s">
        <v>68</v>
      </c>
      <c r="J132" s="430" t="s">
        <v>737</v>
      </c>
      <c r="K132" s="430"/>
      <c r="L132" s="430"/>
      <c r="M132" s="430" t="s">
        <v>68</v>
      </c>
      <c r="N132" s="432" t="s">
        <v>68</v>
      </c>
      <c r="O132" s="430" t="s">
        <v>170</v>
      </c>
      <c r="P132" s="430" t="s">
        <v>171</v>
      </c>
      <c r="Q132" s="430" t="s">
        <v>172</v>
      </c>
      <c r="R132" s="431" t="s">
        <v>73</v>
      </c>
      <c r="S132" s="442" t="s">
        <v>120</v>
      </c>
      <c r="T132" s="433">
        <v>555</v>
      </c>
      <c r="U132" s="1088">
        <v>3960</v>
      </c>
      <c r="V132" s="434">
        <v>2.198</v>
      </c>
      <c r="W132" s="435">
        <v>120</v>
      </c>
      <c r="X132" s="1040">
        <v>6</v>
      </c>
      <c r="Y132" s="430" t="s">
        <v>75</v>
      </c>
      <c r="Z132" s="430" t="s">
        <v>75</v>
      </c>
      <c r="AA132" s="430"/>
      <c r="AB132" s="437">
        <v>46054</v>
      </c>
      <c r="AC132" s="438">
        <v>5</v>
      </c>
      <c r="AD132" s="439" t="s">
        <v>738</v>
      </c>
      <c r="AE132" s="430"/>
      <c r="AF132" s="430" t="s">
        <v>122</v>
      </c>
      <c r="AG132" s="430" t="s">
        <v>123</v>
      </c>
      <c r="AH132" s="430" t="s">
        <v>78</v>
      </c>
      <c r="AI132" s="437">
        <v>46063</v>
      </c>
      <c r="AJ132" s="437">
        <v>46065</v>
      </c>
      <c r="AK132" s="441">
        <v>46078</v>
      </c>
      <c r="AL132" s="437">
        <v>46111</v>
      </c>
      <c r="AM132" s="437">
        <v>46136</v>
      </c>
      <c r="AN132" s="437">
        <v>46137</v>
      </c>
      <c r="AO132" s="430" t="s">
        <v>402</v>
      </c>
      <c r="AP132" s="430" t="s">
        <v>739</v>
      </c>
      <c r="AQ132" s="430" t="s">
        <v>80</v>
      </c>
      <c r="AR132" s="430" t="s">
        <v>740</v>
      </c>
      <c r="AS132" s="430" t="s">
        <v>741</v>
      </c>
      <c r="AT132" s="482" t="s">
        <v>741</v>
      </c>
      <c r="AU1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7">
        <v>46137</v>
      </c>
      <c r="AX132" s="433" t="s">
        <v>84</v>
      </c>
      <c r="AY132" s="437">
        <v>46150</v>
      </c>
      <c r="AZ132" s="442">
        <v>8</v>
      </c>
      <c r="BA132" s="437">
        <v>46145</v>
      </c>
      <c r="BB132" s="433">
        <v>2026</v>
      </c>
      <c r="BC132" s="430">
        <v>5</v>
      </c>
      <c r="BD132" s="430">
        <v>18</v>
      </c>
      <c r="BE132" s="431">
        <v>33</v>
      </c>
      <c r="BF132" s="431">
        <v>660</v>
      </c>
      <c r="BG132" s="431" t="s">
        <v>108</v>
      </c>
      <c r="BH132" s="431" t="s">
        <v>86</v>
      </c>
      <c r="BI132" s="430" t="s">
        <v>197</v>
      </c>
      <c r="BJ132" s="430" t="s">
        <v>197</v>
      </c>
      <c r="BK132" s="430" t="s">
        <v>197</v>
      </c>
      <c r="BL132" s="430" t="s">
        <v>197</v>
      </c>
      <c r="BM132" s="430" t="s">
        <v>197</v>
      </c>
      <c r="BN132" s="430" t="s">
        <v>197</v>
      </c>
      <c r="BO132" s="430" t="s">
        <v>197</v>
      </c>
      <c r="BP132" s="430" t="s">
        <v>197</v>
      </c>
      <c r="BQ132" s="430" t="s">
        <v>197</v>
      </c>
      <c r="BR132" s="430" t="s">
        <v>197</v>
      </c>
      <c r="BS132" s="430" t="s">
        <v>197</v>
      </c>
      <c r="BT132" s="430" t="s">
        <v>197</v>
      </c>
      <c r="BU132" s="430" t="s">
        <v>197</v>
      </c>
      <c r="BV132" s="430" t="s">
        <v>197</v>
      </c>
      <c r="BW132" s="430" t="s">
        <v>197</v>
      </c>
      <c r="BX132" s="430" t="s">
        <v>197</v>
      </c>
      <c r="BY132" s="430" t="s">
        <v>197</v>
      </c>
      <c r="BZ132" s="430" t="s">
        <v>197</v>
      </c>
      <c r="CA132" s="430" t="s">
        <v>197</v>
      </c>
      <c r="CB132" s="430" t="s">
        <v>197</v>
      </c>
      <c r="CC132" s="430" t="s">
        <v>197</v>
      </c>
      <c r="CD132" s="430" t="s">
        <v>197</v>
      </c>
      <c r="CE132" s="430" t="s">
        <v>197</v>
      </c>
      <c r="CF132" s="430" t="s">
        <v>197</v>
      </c>
      <c r="CG132" s="430" t="s">
        <v>197</v>
      </c>
      <c r="CH132" s="430" t="s">
        <v>197</v>
      </c>
      <c r="CI132" s="430" t="s">
        <v>197</v>
      </c>
      <c r="CJ132" s="430" t="s">
        <v>197</v>
      </c>
      <c r="CK132" s="430" t="s">
        <v>197</v>
      </c>
      <c r="CL132" s="430" t="s">
        <v>197</v>
      </c>
      <c r="CM132" s="430" t="s">
        <v>197</v>
      </c>
    </row>
    <row r="133" spans="1:91" ht="10.5">
      <c r="A133" s="462" t="s">
        <v>742</v>
      </c>
      <c r="B133" s="462" t="s">
        <v>111</v>
      </c>
      <c r="C133" s="462" t="s">
        <v>168</v>
      </c>
      <c r="D133" s="462" t="s">
        <v>63</v>
      </c>
      <c r="E133" s="462" t="s">
        <v>64</v>
      </c>
      <c r="F133" s="462" t="s">
        <v>65</v>
      </c>
      <c r="G133" s="462" t="s">
        <v>402</v>
      </c>
      <c r="H133" s="462" t="s">
        <v>67</v>
      </c>
      <c r="I133" s="439" t="s">
        <v>68</v>
      </c>
      <c r="J133" s="430" t="s">
        <v>737</v>
      </c>
      <c r="K133" s="430"/>
      <c r="L133" s="430"/>
      <c r="M133" s="430" t="s">
        <v>68</v>
      </c>
      <c r="N133" s="432" t="s">
        <v>68</v>
      </c>
      <c r="O133" s="430" t="s">
        <v>170</v>
      </c>
      <c r="P133" s="430" t="s">
        <v>171</v>
      </c>
      <c r="Q133" s="430" t="s">
        <v>172</v>
      </c>
      <c r="R133" s="431" t="s">
        <v>73</v>
      </c>
      <c r="S133" s="442" t="s">
        <v>120</v>
      </c>
      <c r="T133" s="433">
        <v>555</v>
      </c>
      <c r="U133" s="1088">
        <v>660</v>
      </c>
      <c r="V133" s="434">
        <v>0.36599999999999999</v>
      </c>
      <c r="W133" s="435">
        <v>20</v>
      </c>
      <c r="X133" s="1040">
        <v>1</v>
      </c>
      <c r="Y133" s="430" t="s">
        <v>75</v>
      </c>
      <c r="Z133" s="430" t="s">
        <v>75</v>
      </c>
      <c r="AA133" s="430"/>
      <c r="AB133" s="437">
        <v>46054</v>
      </c>
      <c r="AC133" s="438">
        <v>5</v>
      </c>
      <c r="AD133" s="439" t="s">
        <v>743</v>
      </c>
      <c r="AE133" s="430"/>
      <c r="AF133" s="430" t="s">
        <v>122</v>
      </c>
      <c r="AG133" s="430" t="s">
        <v>123</v>
      </c>
      <c r="AH133" s="430" t="s">
        <v>78</v>
      </c>
      <c r="AI133" s="437">
        <v>46063</v>
      </c>
      <c r="AJ133" s="437">
        <v>46065</v>
      </c>
      <c r="AK133" s="441">
        <v>46078</v>
      </c>
      <c r="AL133" s="437">
        <v>46101</v>
      </c>
      <c r="AM133" s="437">
        <v>46136</v>
      </c>
      <c r="AN133" s="437">
        <v>46137</v>
      </c>
      <c r="AO133" s="430" t="s">
        <v>402</v>
      </c>
      <c r="AP133" s="430" t="s">
        <v>739</v>
      </c>
      <c r="AQ133" s="430" t="s">
        <v>80</v>
      </c>
      <c r="AR133" s="430" t="s">
        <v>740</v>
      </c>
      <c r="AS133" s="430" t="s">
        <v>741</v>
      </c>
      <c r="AT133" s="482" t="s">
        <v>741</v>
      </c>
      <c r="AU1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7">
        <v>46137</v>
      </c>
      <c r="AX133" s="433" t="s">
        <v>84</v>
      </c>
      <c r="AY133" s="437">
        <v>46150</v>
      </c>
      <c r="AZ133" s="442">
        <v>8</v>
      </c>
      <c r="BA133" s="437">
        <v>46145</v>
      </c>
      <c r="BB133" s="433">
        <v>2026</v>
      </c>
      <c r="BC133" s="430">
        <v>5</v>
      </c>
      <c r="BD133" s="430">
        <v>18</v>
      </c>
      <c r="BE133" s="431">
        <v>33</v>
      </c>
      <c r="BF133" s="431">
        <v>660</v>
      </c>
      <c r="BG133" s="431" t="s">
        <v>108</v>
      </c>
      <c r="BH133" s="431" t="s">
        <v>86</v>
      </c>
      <c r="BI133" s="430" t="s">
        <v>197</v>
      </c>
      <c r="BJ133" s="430" t="s">
        <v>197</v>
      </c>
      <c r="BK133" s="430" t="s">
        <v>197</v>
      </c>
      <c r="BL133" s="430" t="s">
        <v>197</v>
      </c>
      <c r="BM133" s="430" t="s">
        <v>197</v>
      </c>
      <c r="BN133" s="430" t="s">
        <v>197</v>
      </c>
      <c r="BO133" s="430" t="s">
        <v>197</v>
      </c>
      <c r="BP133" s="430" t="s">
        <v>197</v>
      </c>
      <c r="BQ133" s="430" t="s">
        <v>197</v>
      </c>
      <c r="BR133" s="430" t="s">
        <v>197</v>
      </c>
      <c r="BS133" s="430" t="s">
        <v>197</v>
      </c>
      <c r="BT133" s="430" t="s">
        <v>197</v>
      </c>
      <c r="BU133" s="430" t="s">
        <v>197</v>
      </c>
      <c r="BV133" s="430" t="s">
        <v>197</v>
      </c>
      <c r="BW133" s="430" t="s">
        <v>197</v>
      </c>
      <c r="BX133" s="430" t="s">
        <v>197</v>
      </c>
      <c r="BY133" s="430" t="s">
        <v>197</v>
      </c>
      <c r="BZ133" s="430" t="s">
        <v>197</v>
      </c>
      <c r="CA133" s="430" t="s">
        <v>197</v>
      </c>
      <c r="CB133" s="430" t="s">
        <v>197</v>
      </c>
      <c r="CC133" s="430" t="s">
        <v>197</v>
      </c>
      <c r="CD133" s="430" t="s">
        <v>197</v>
      </c>
      <c r="CE133" s="430" t="s">
        <v>197</v>
      </c>
      <c r="CF133" s="430" t="s">
        <v>197</v>
      </c>
      <c r="CG133" s="430" t="s">
        <v>197</v>
      </c>
      <c r="CH133" s="430" t="s">
        <v>197</v>
      </c>
      <c r="CI133" s="430" t="s">
        <v>197</v>
      </c>
      <c r="CJ133" s="430" t="s">
        <v>197</v>
      </c>
      <c r="CK133" s="430" t="s">
        <v>197</v>
      </c>
      <c r="CL133" s="430" t="s">
        <v>197</v>
      </c>
      <c r="CM133" s="430" t="s">
        <v>197</v>
      </c>
    </row>
    <row r="134" spans="1:91" ht="10.5">
      <c r="A134" s="462" t="s">
        <v>744</v>
      </c>
      <c r="B134" s="462" t="s">
        <v>111</v>
      </c>
      <c r="C134" s="462" t="s">
        <v>168</v>
      </c>
      <c r="D134" s="462" t="s">
        <v>63</v>
      </c>
      <c r="E134" s="462" t="s">
        <v>64</v>
      </c>
      <c r="F134" s="462" t="s">
        <v>65</v>
      </c>
      <c r="G134" s="462" t="s">
        <v>402</v>
      </c>
      <c r="H134" s="462" t="s">
        <v>67</v>
      </c>
      <c r="I134" s="439" t="s">
        <v>68</v>
      </c>
      <c r="J134" s="430" t="s">
        <v>737</v>
      </c>
      <c r="K134" s="430"/>
      <c r="L134" s="430"/>
      <c r="M134" s="430" t="s">
        <v>68</v>
      </c>
      <c r="N134" s="432" t="s">
        <v>68</v>
      </c>
      <c r="O134" s="430" t="s">
        <v>170</v>
      </c>
      <c r="P134" s="430" t="s">
        <v>171</v>
      </c>
      <c r="Q134" s="430" t="s">
        <v>172</v>
      </c>
      <c r="R134" s="431" t="s">
        <v>73</v>
      </c>
      <c r="S134" s="442" t="s">
        <v>120</v>
      </c>
      <c r="T134" s="433">
        <v>555</v>
      </c>
      <c r="U134" s="1088">
        <v>660</v>
      </c>
      <c r="V134" s="434">
        <v>0.36599999999999999</v>
      </c>
      <c r="W134" s="435">
        <v>20</v>
      </c>
      <c r="X134" s="1040">
        <v>1</v>
      </c>
      <c r="Y134" s="430" t="s">
        <v>75</v>
      </c>
      <c r="Z134" s="430" t="s">
        <v>75</v>
      </c>
      <c r="AA134" s="430"/>
      <c r="AB134" s="437">
        <v>46054</v>
      </c>
      <c r="AC134" s="438">
        <v>5</v>
      </c>
      <c r="AD134" s="439" t="s">
        <v>745</v>
      </c>
      <c r="AE134" s="430"/>
      <c r="AF134" s="430" t="s">
        <v>122</v>
      </c>
      <c r="AG134" s="430" t="s">
        <v>123</v>
      </c>
      <c r="AH134" s="430" t="s">
        <v>78</v>
      </c>
      <c r="AI134" s="437">
        <v>46063</v>
      </c>
      <c r="AJ134" s="437">
        <v>46065</v>
      </c>
      <c r="AK134" s="441">
        <v>46078</v>
      </c>
      <c r="AL134" s="437">
        <v>46108</v>
      </c>
      <c r="AM134" s="437">
        <v>46136</v>
      </c>
      <c r="AN134" s="437">
        <v>46137</v>
      </c>
      <c r="AO134" s="430" t="s">
        <v>402</v>
      </c>
      <c r="AP134" s="430" t="s">
        <v>739</v>
      </c>
      <c r="AQ134" s="430" t="s">
        <v>80</v>
      </c>
      <c r="AR134" s="430" t="s">
        <v>740</v>
      </c>
      <c r="AS134" s="430" t="s">
        <v>741</v>
      </c>
      <c r="AT134" s="482" t="s">
        <v>741</v>
      </c>
      <c r="AU1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7">
        <v>46137</v>
      </c>
      <c r="AX134" s="433" t="s">
        <v>84</v>
      </c>
      <c r="AY134" s="437">
        <v>46150</v>
      </c>
      <c r="AZ134" s="442">
        <v>8</v>
      </c>
      <c r="BA134" s="437">
        <v>46145</v>
      </c>
      <c r="BB134" s="433">
        <v>2026</v>
      </c>
      <c r="BC134" s="430">
        <v>5</v>
      </c>
      <c r="BD134" s="430">
        <v>18</v>
      </c>
      <c r="BE134" s="431">
        <v>33</v>
      </c>
      <c r="BF134" s="431">
        <v>660</v>
      </c>
      <c r="BG134" s="431" t="s">
        <v>108</v>
      </c>
      <c r="BH134" s="431" t="s">
        <v>86</v>
      </c>
      <c r="BI134" s="430" t="s">
        <v>197</v>
      </c>
      <c r="BJ134" s="430" t="s">
        <v>197</v>
      </c>
      <c r="BK134" s="430" t="s">
        <v>197</v>
      </c>
      <c r="BL134" s="430" t="s">
        <v>197</v>
      </c>
      <c r="BM134" s="430" t="s">
        <v>197</v>
      </c>
      <c r="BN134" s="430" t="s">
        <v>197</v>
      </c>
      <c r="BO134" s="430" t="s">
        <v>197</v>
      </c>
      <c r="BP134" s="430" t="s">
        <v>197</v>
      </c>
      <c r="BQ134" s="430" t="s">
        <v>197</v>
      </c>
      <c r="BR134" s="430" t="s">
        <v>197</v>
      </c>
      <c r="BS134" s="430" t="s">
        <v>197</v>
      </c>
      <c r="BT134" s="430" t="s">
        <v>197</v>
      </c>
      <c r="BU134" s="430" t="s">
        <v>197</v>
      </c>
      <c r="BV134" s="430" t="s">
        <v>197</v>
      </c>
      <c r="BW134" s="430" t="s">
        <v>197</v>
      </c>
      <c r="BX134" s="430" t="s">
        <v>197</v>
      </c>
      <c r="BY134" s="430" t="s">
        <v>197</v>
      </c>
      <c r="BZ134" s="430" t="s">
        <v>197</v>
      </c>
      <c r="CA134" s="430" t="s">
        <v>197</v>
      </c>
      <c r="CB134" s="430" t="s">
        <v>197</v>
      </c>
      <c r="CC134" s="430" t="s">
        <v>197</v>
      </c>
      <c r="CD134" s="430" t="s">
        <v>197</v>
      </c>
      <c r="CE134" s="430" t="s">
        <v>197</v>
      </c>
      <c r="CF134" s="430" t="s">
        <v>197</v>
      </c>
      <c r="CG134" s="430" t="s">
        <v>197</v>
      </c>
      <c r="CH134" s="430" t="s">
        <v>197</v>
      </c>
      <c r="CI134" s="430" t="s">
        <v>197</v>
      </c>
      <c r="CJ134" s="430" t="s">
        <v>197</v>
      </c>
      <c r="CK134" s="430" t="s">
        <v>197</v>
      </c>
      <c r="CL134" s="430" t="s">
        <v>197</v>
      </c>
      <c r="CM134" s="430" t="s">
        <v>197</v>
      </c>
    </row>
    <row r="135" spans="1:91" ht="10.5">
      <c r="A135" s="462" t="s">
        <v>746</v>
      </c>
      <c r="B135" s="462" t="s">
        <v>111</v>
      </c>
      <c r="C135" s="462" t="s">
        <v>112</v>
      </c>
      <c r="D135" s="462" t="s">
        <v>113</v>
      </c>
      <c r="E135" s="462" t="s">
        <v>64</v>
      </c>
      <c r="F135" s="462" t="s">
        <v>114</v>
      </c>
      <c r="G135" s="462" t="s">
        <v>402</v>
      </c>
      <c r="H135" s="462" t="s">
        <v>115</v>
      </c>
      <c r="I135" s="439" t="s">
        <v>68</v>
      </c>
      <c r="J135" s="430" t="s">
        <v>116</v>
      </c>
      <c r="K135" s="430" t="s">
        <v>266</v>
      </c>
      <c r="L135" s="430"/>
      <c r="M135" s="430" t="s">
        <v>68</v>
      </c>
      <c r="N135" s="432" t="s">
        <v>68</v>
      </c>
      <c r="O135" s="430" t="s">
        <v>70</v>
      </c>
      <c r="P135" s="430" t="s">
        <v>118</v>
      </c>
      <c r="Q135" s="430" t="s">
        <v>119</v>
      </c>
      <c r="R135" s="431" t="s">
        <v>73</v>
      </c>
      <c r="S135" s="442" t="s">
        <v>120</v>
      </c>
      <c r="T135" s="433">
        <v>640</v>
      </c>
      <c r="U135" s="1088">
        <v>3456</v>
      </c>
      <c r="V135" s="434">
        <v>2.2120000000000002</v>
      </c>
      <c r="W135" s="435">
        <v>96</v>
      </c>
      <c r="X135" s="1040">
        <v>6</v>
      </c>
      <c r="Y135" s="430" t="s">
        <v>75</v>
      </c>
      <c r="Z135" s="430" t="s">
        <v>75</v>
      </c>
      <c r="AA135" s="430"/>
      <c r="AB135" s="437">
        <v>46057</v>
      </c>
      <c r="AC135" s="438">
        <v>6</v>
      </c>
      <c r="AD135" s="439" t="s">
        <v>747</v>
      </c>
      <c r="AE135" s="430"/>
      <c r="AF135" s="430" t="s">
        <v>122</v>
      </c>
      <c r="AG135" s="430" t="s">
        <v>123</v>
      </c>
      <c r="AH135" s="430" t="s">
        <v>124</v>
      </c>
      <c r="AI135" s="437">
        <v>46063</v>
      </c>
      <c r="AJ135" s="437">
        <v>46067</v>
      </c>
      <c r="AK135" s="441">
        <v>46067</v>
      </c>
      <c r="AL135" s="437">
        <v>46107</v>
      </c>
      <c r="AM135" s="437">
        <v>46112</v>
      </c>
      <c r="AN135" s="437">
        <v>46112</v>
      </c>
      <c r="AO135" s="430" t="s">
        <v>402</v>
      </c>
      <c r="AP135" s="430" t="s">
        <v>748</v>
      </c>
      <c r="AQ135" s="430" t="s">
        <v>80</v>
      </c>
      <c r="AR135" s="430" t="s">
        <v>749</v>
      </c>
      <c r="AS135" s="430" t="s">
        <v>750</v>
      </c>
      <c r="AT135" s="482" t="s">
        <v>750</v>
      </c>
      <c r="AU1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7">
        <v>46112</v>
      </c>
      <c r="AX135" s="433" t="s">
        <v>84</v>
      </c>
      <c r="AY135" s="437">
        <v>46121</v>
      </c>
      <c r="AZ135" s="442">
        <v>9</v>
      </c>
      <c r="BA135" s="437">
        <v>46121</v>
      </c>
      <c r="BB135" s="433">
        <v>2026</v>
      </c>
      <c r="BC135" s="430">
        <v>4</v>
      </c>
      <c r="BD135" s="430">
        <v>15</v>
      </c>
      <c r="BE135" s="431">
        <v>36</v>
      </c>
      <c r="BF135" s="431">
        <v>576</v>
      </c>
      <c r="BG135" s="431" t="s">
        <v>128</v>
      </c>
      <c r="BH135" s="431" t="s">
        <v>86</v>
      </c>
      <c r="BI135" s="430" t="s">
        <v>197</v>
      </c>
      <c r="BJ135" s="430" t="s">
        <v>197</v>
      </c>
      <c r="BK135" s="430" t="s">
        <v>197</v>
      </c>
      <c r="BL135" s="430" t="s">
        <v>197</v>
      </c>
      <c r="BM135" s="430" t="s">
        <v>197</v>
      </c>
      <c r="BN135" s="430" t="s">
        <v>197</v>
      </c>
      <c r="BO135" s="430" t="s">
        <v>197</v>
      </c>
      <c r="BP135" s="430" t="s">
        <v>197</v>
      </c>
      <c r="BQ135" s="430" t="s">
        <v>197</v>
      </c>
      <c r="BR135" s="430" t="s">
        <v>197</v>
      </c>
      <c r="BS135" s="430" t="s">
        <v>197</v>
      </c>
      <c r="BT135" s="430" t="s">
        <v>197</v>
      </c>
      <c r="BU135" s="430" t="s">
        <v>197</v>
      </c>
      <c r="BV135" s="430" t="s">
        <v>197</v>
      </c>
      <c r="BW135" s="430" t="s">
        <v>197</v>
      </c>
      <c r="BX135" s="430" t="s">
        <v>197</v>
      </c>
      <c r="BY135" s="430" t="s">
        <v>197</v>
      </c>
      <c r="BZ135" s="430" t="s">
        <v>197</v>
      </c>
      <c r="CA135" s="430" t="s">
        <v>197</v>
      </c>
      <c r="CB135" s="430" t="s">
        <v>197</v>
      </c>
      <c r="CC135" s="430" t="s">
        <v>197</v>
      </c>
      <c r="CD135" s="430" t="s">
        <v>197</v>
      </c>
      <c r="CE135" s="430" t="s">
        <v>197</v>
      </c>
      <c r="CF135" s="430" t="s">
        <v>197</v>
      </c>
      <c r="CG135" s="430" t="s">
        <v>197</v>
      </c>
      <c r="CH135" s="430" t="s">
        <v>197</v>
      </c>
      <c r="CI135" s="430" t="s">
        <v>197</v>
      </c>
      <c r="CJ135" s="430" t="s">
        <v>197</v>
      </c>
      <c r="CK135" s="430" t="s">
        <v>197</v>
      </c>
      <c r="CL135" s="430" t="s">
        <v>197</v>
      </c>
      <c r="CM135" s="430" t="s">
        <v>197</v>
      </c>
    </row>
    <row r="136" spans="1:91" ht="10.5">
      <c r="A136" s="462" t="s">
        <v>751</v>
      </c>
      <c r="B136" s="462" t="s">
        <v>111</v>
      </c>
      <c r="C136" s="462" t="s">
        <v>112</v>
      </c>
      <c r="D136" s="462" t="s">
        <v>113</v>
      </c>
      <c r="E136" s="462" t="s">
        <v>64</v>
      </c>
      <c r="F136" s="462" t="s">
        <v>114</v>
      </c>
      <c r="G136" s="462" t="s">
        <v>402</v>
      </c>
      <c r="H136" s="462" t="s">
        <v>115</v>
      </c>
      <c r="I136" s="439" t="s">
        <v>68</v>
      </c>
      <c r="J136" s="430" t="s">
        <v>116</v>
      </c>
      <c r="K136" s="430" t="s">
        <v>266</v>
      </c>
      <c r="L136" s="430"/>
      <c r="M136" s="430" t="s">
        <v>68</v>
      </c>
      <c r="N136" s="432" t="s">
        <v>68</v>
      </c>
      <c r="O136" s="430" t="s">
        <v>70</v>
      </c>
      <c r="P136" s="430" t="s">
        <v>118</v>
      </c>
      <c r="Q136" s="430" t="s">
        <v>119</v>
      </c>
      <c r="R136" s="431" t="s">
        <v>73</v>
      </c>
      <c r="S136" s="442" t="s">
        <v>120</v>
      </c>
      <c r="T136" s="433">
        <v>640</v>
      </c>
      <c r="U136" s="1088">
        <v>1152</v>
      </c>
      <c r="V136" s="434">
        <v>0.73699999999999999</v>
      </c>
      <c r="W136" s="435">
        <v>32</v>
      </c>
      <c r="X136" s="1040">
        <v>2</v>
      </c>
      <c r="Y136" s="430" t="s">
        <v>75</v>
      </c>
      <c r="Z136" s="430" t="s">
        <v>75</v>
      </c>
      <c r="AA136" s="430"/>
      <c r="AB136" s="437">
        <v>46058</v>
      </c>
      <c r="AC136" s="438">
        <v>6</v>
      </c>
      <c r="AD136" s="439" t="s">
        <v>752</v>
      </c>
      <c r="AE136" s="430"/>
      <c r="AF136" s="430" t="s">
        <v>122</v>
      </c>
      <c r="AG136" s="430" t="s">
        <v>123</v>
      </c>
      <c r="AH136" s="430" t="s">
        <v>124</v>
      </c>
      <c r="AI136" s="437">
        <v>46063</v>
      </c>
      <c r="AJ136" s="437">
        <v>46065</v>
      </c>
      <c r="AK136" s="441">
        <v>46065</v>
      </c>
      <c r="AL136" s="437">
        <v>46114</v>
      </c>
      <c r="AM136" s="437">
        <v>46125</v>
      </c>
      <c r="AN136" s="437">
        <v>46126</v>
      </c>
      <c r="AO136" s="430" t="s">
        <v>402</v>
      </c>
      <c r="AP136" s="430" t="s">
        <v>739</v>
      </c>
      <c r="AQ136" s="430" t="s">
        <v>80</v>
      </c>
      <c r="AR136" s="430" t="s">
        <v>753</v>
      </c>
      <c r="AS136" s="430" t="s">
        <v>754</v>
      </c>
      <c r="AT136" s="482" t="s">
        <v>754</v>
      </c>
      <c r="AU1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7">
        <v>46126</v>
      </c>
      <c r="AX136" s="433" t="s">
        <v>84</v>
      </c>
      <c r="AY136" s="437">
        <v>46135</v>
      </c>
      <c r="AZ136" s="442">
        <v>9</v>
      </c>
      <c r="BA136" s="437">
        <v>46135</v>
      </c>
      <c r="BB136" s="433">
        <v>2026</v>
      </c>
      <c r="BC136" s="430">
        <v>4</v>
      </c>
      <c r="BD136" s="430">
        <v>17</v>
      </c>
      <c r="BE136" s="431">
        <v>36</v>
      </c>
      <c r="BF136" s="431">
        <v>576</v>
      </c>
      <c r="BG136" s="431" t="s">
        <v>128</v>
      </c>
      <c r="BH136" s="431" t="s">
        <v>86</v>
      </c>
      <c r="BI136" s="430" t="s">
        <v>197</v>
      </c>
      <c r="BJ136" s="430" t="s">
        <v>197</v>
      </c>
      <c r="BK136" s="430" t="s">
        <v>197</v>
      </c>
      <c r="BL136" s="430" t="s">
        <v>197</v>
      </c>
      <c r="BM136" s="430" t="s">
        <v>197</v>
      </c>
      <c r="BN136" s="430" t="s">
        <v>197</v>
      </c>
      <c r="BO136" s="430" t="s">
        <v>197</v>
      </c>
      <c r="BP136" s="430" t="s">
        <v>197</v>
      </c>
      <c r="BQ136" s="430" t="s">
        <v>197</v>
      </c>
      <c r="BR136" s="430" t="s">
        <v>197</v>
      </c>
      <c r="BS136" s="430" t="s">
        <v>197</v>
      </c>
      <c r="BT136" s="430" t="s">
        <v>197</v>
      </c>
      <c r="BU136" s="430" t="s">
        <v>197</v>
      </c>
      <c r="BV136" s="430" t="s">
        <v>197</v>
      </c>
      <c r="BW136" s="430" t="s">
        <v>197</v>
      </c>
      <c r="BX136" s="430" t="s">
        <v>197</v>
      </c>
      <c r="BY136" s="430" t="s">
        <v>197</v>
      </c>
      <c r="BZ136" s="430" t="s">
        <v>197</v>
      </c>
      <c r="CA136" s="430" t="s">
        <v>197</v>
      </c>
      <c r="CB136" s="430" t="s">
        <v>197</v>
      </c>
      <c r="CC136" s="430" t="s">
        <v>197</v>
      </c>
      <c r="CD136" s="430" t="s">
        <v>197</v>
      </c>
      <c r="CE136" s="430" t="s">
        <v>197</v>
      </c>
      <c r="CF136" s="430" t="s">
        <v>197</v>
      </c>
      <c r="CG136" s="430" t="s">
        <v>197</v>
      </c>
      <c r="CH136" s="430" t="s">
        <v>197</v>
      </c>
      <c r="CI136" s="430" t="s">
        <v>197</v>
      </c>
      <c r="CJ136" s="430" t="s">
        <v>197</v>
      </c>
      <c r="CK136" s="430" t="s">
        <v>197</v>
      </c>
      <c r="CL136" s="430" t="s">
        <v>197</v>
      </c>
      <c r="CM136" s="430" t="s">
        <v>197</v>
      </c>
    </row>
    <row r="137" spans="1:91" ht="10.5">
      <c r="A137" s="462" t="s">
        <v>755</v>
      </c>
      <c r="B137" s="462" t="s">
        <v>111</v>
      </c>
      <c r="C137" s="462" t="s">
        <v>112</v>
      </c>
      <c r="D137" s="462" t="s">
        <v>113</v>
      </c>
      <c r="E137" s="462" t="s">
        <v>64</v>
      </c>
      <c r="F137" s="462" t="s">
        <v>114</v>
      </c>
      <c r="G137" s="462" t="s">
        <v>402</v>
      </c>
      <c r="H137" s="462" t="s">
        <v>115</v>
      </c>
      <c r="I137" s="439" t="s">
        <v>68</v>
      </c>
      <c r="J137" s="430" t="s">
        <v>116</v>
      </c>
      <c r="K137" s="430" t="s">
        <v>266</v>
      </c>
      <c r="L137" s="430"/>
      <c r="M137" s="430" t="s">
        <v>68</v>
      </c>
      <c r="N137" s="432" t="s">
        <v>68</v>
      </c>
      <c r="O137" s="430" t="s">
        <v>70</v>
      </c>
      <c r="P137" s="430" t="s">
        <v>118</v>
      </c>
      <c r="Q137" s="430" t="s">
        <v>119</v>
      </c>
      <c r="R137" s="431" t="s">
        <v>73</v>
      </c>
      <c r="S137" s="442" t="s">
        <v>120</v>
      </c>
      <c r="T137" s="433">
        <v>640</v>
      </c>
      <c r="U137" s="1088">
        <v>4032</v>
      </c>
      <c r="V137" s="434">
        <v>2.58</v>
      </c>
      <c r="W137" s="435">
        <v>112</v>
      </c>
      <c r="X137" s="1040">
        <v>7</v>
      </c>
      <c r="Y137" s="430" t="s">
        <v>75</v>
      </c>
      <c r="Z137" s="430" t="s">
        <v>75</v>
      </c>
      <c r="AA137" s="430"/>
      <c r="AB137" s="437">
        <v>46058</v>
      </c>
      <c r="AC137" s="438">
        <v>6</v>
      </c>
      <c r="AD137" s="439" t="s">
        <v>756</v>
      </c>
      <c r="AE137" s="430"/>
      <c r="AF137" s="430" t="s">
        <v>122</v>
      </c>
      <c r="AG137" s="430" t="s">
        <v>123</v>
      </c>
      <c r="AH137" s="430" t="s">
        <v>124</v>
      </c>
      <c r="AI137" s="437">
        <v>46063</v>
      </c>
      <c r="AJ137" s="437">
        <v>46065</v>
      </c>
      <c r="AK137" s="441">
        <v>46065</v>
      </c>
      <c r="AL137" s="437">
        <v>46114</v>
      </c>
      <c r="AM137" s="437">
        <v>46125</v>
      </c>
      <c r="AN137" s="437">
        <v>46126</v>
      </c>
      <c r="AO137" s="430" t="s">
        <v>402</v>
      </c>
      <c r="AP137" s="430" t="s">
        <v>739</v>
      </c>
      <c r="AQ137" s="430" t="s">
        <v>80</v>
      </c>
      <c r="AR137" s="430" t="s">
        <v>753</v>
      </c>
      <c r="AS137" s="430" t="s">
        <v>754</v>
      </c>
      <c r="AT137" s="482" t="s">
        <v>754</v>
      </c>
      <c r="AU1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7">
        <v>46126</v>
      </c>
      <c r="AX137" s="433" t="s">
        <v>84</v>
      </c>
      <c r="AY137" s="437">
        <v>46135</v>
      </c>
      <c r="AZ137" s="442">
        <v>9</v>
      </c>
      <c r="BA137" s="437">
        <v>46135</v>
      </c>
      <c r="BB137" s="433">
        <v>2026</v>
      </c>
      <c r="BC137" s="430">
        <v>4</v>
      </c>
      <c r="BD137" s="430">
        <v>17</v>
      </c>
      <c r="BE137" s="431">
        <v>36</v>
      </c>
      <c r="BF137" s="431">
        <v>576</v>
      </c>
      <c r="BG137" s="431" t="s">
        <v>128</v>
      </c>
      <c r="BH137" s="431" t="s">
        <v>86</v>
      </c>
      <c r="BI137" s="430" t="s">
        <v>197</v>
      </c>
      <c r="BJ137" s="430" t="s">
        <v>197</v>
      </c>
      <c r="BK137" s="430" t="s">
        <v>197</v>
      </c>
      <c r="BL137" s="430" t="s">
        <v>197</v>
      </c>
      <c r="BM137" s="430" t="s">
        <v>197</v>
      </c>
      <c r="BN137" s="430" t="s">
        <v>197</v>
      </c>
      <c r="BO137" s="430" t="s">
        <v>197</v>
      </c>
      <c r="BP137" s="430" t="s">
        <v>197</v>
      </c>
      <c r="BQ137" s="430" t="s">
        <v>197</v>
      </c>
      <c r="BR137" s="430" t="s">
        <v>197</v>
      </c>
      <c r="BS137" s="430" t="s">
        <v>197</v>
      </c>
      <c r="BT137" s="430" t="s">
        <v>197</v>
      </c>
      <c r="BU137" s="430" t="s">
        <v>197</v>
      </c>
      <c r="BV137" s="430" t="s">
        <v>197</v>
      </c>
      <c r="BW137" s="430" t="s">
        <v>197</v>
      </c>
      <c r="BX137" s="430" t="s">
        <v>197</v>
      </c>
      <c r="BY137" s="430" t="s">
        <v>197</v>
      </c>
      <c r="BZ137" s="430" t="s">
        <v>197</v>
      </c>
      <c r="CA137" s="430" t="s">
        <v>197</v>
      </c>
      <c r="CB137" s="430" t="s">
        <v>197</v>
      </c>
      <c r="CC137" s="430" t="s">
        <v>197</v>
      </c>
      <c r="CD137" s="430" t="s">
        <v>197</v>
      </c>
      <c r="CE137" s="430" t="s">
        <v>197</v>
      </c>
      <c r="CF137" s="430" t="s">
        <v>197</v>
      </c>
      <c r="CG137" s="430" t="s">
        <v>197</v>
      </c>
      <c r="CH137" s="430" t="s">
        <v>197</v>
      </c>
      <c r="CI137" s="430" t="s">
        <v>197</v>
      </c>
      <c r="CJ137" s="430" t="s">
        <v>197</v>
      </c>
      <c r="CK137" s="430" t="s">
        <v>197</v>
      </c>
      <c r="CL137" s="430" t="s">
        <v>197</v>
      </c>
      <c r="CM137" s="430" t="s">
        <v>197</v>
      </c>
    </row>
    <row r="138" spans="1:91" ht="10.5">
      <c r="A138" s="462" t="s">
        <v>757</v>
      </c>
      <c r="B138" s="462" t="s">
        <v>111</v>
      </c>
      <c r="C138" s="462" t="s">
        <v>112</v>
      </c>
      <c r="D138" s="462" t="s">
        <v>113</v>
      </c>
      <c r="E138" s="462" t="s">
        <v>64</v>
      </c>
      <c r="F138" s="462" t="s">
        <v>114</v>
      </c>
      <c r="G138" s="462" t="s">
        <v>402</v>
      </c>
      <c r="H138" s="462" t="s">
        <v>115</v>
      </c>
      <c r="I138" s="439" t="s">
        <v>68</v>
      </c>
      <c r="J138" s="430" t="s">
        <v>116</v>
      </c>
      <c r="K138" s="430" t="s">
        <v>266</v>
      </c>
      <c r="L138" s="430"/>
      <c r="M138" s="430" t="s">
        <v>68</v>
      </c>
      <c r="N138" s="432" t="s">
        <v>68</v>
      </c>
      <c r="O138" s="430" t="s">
        <v>70</v>
      </c>
      <c r="P138" s="430" t="s">
        <v>118</v>
      </c>
      <c r="Q138" s="430" t="s">
        <v>119</v>
      </c>
      <c r="R138" s="431" t="s">
        <v>73</v>
      </c>
      <c r="S138" s="442" t="s">
        <v>120</v>
      </c>
      <c r="T138" s="433">
        <v>640</v>
      </c>
      <c r="U138" s="1088">
        <v>5760</v>
      </c>
      <c r="V138" s="434">
        <v>3.6859999999999999</v>
      </c>
      <c r="W138" s="435">
        <v>160</v>
      </c>
      <c r="X138" s="1040">
        <v>10</v>
      </c>
      <c r="Y138" s="430" t="s">
        <v>75</v>
      </c>
      <c r="Z138" s="430" t="s">
        <v>75</v>
      </c>
      <c r="AA138" s="430"/>
      <c r="AB138" s="437">
        <v>46059</v>
      </c>
      <c r="AC138" s="438">
        <v>6</v>
      </c>
      <c r="AD138" s="439" t="s">
        <v>758</v>
      </c>
      <c r="AE138" s="430"/>
      <c r="AF138" s="430" t="s">
        <v>122</v>
      </c>
      <c r="AG138" s="430" t="s">
        <v>123</v>
      </c>
      <c r="AH138" s="430" t="s">
        <v>124</v>
      </c>
      <c r="AI138" s="437">
        <v>46063</v>
      </c>
      <c r="AJ138" s="437">
        <v>46065</v>
      </c>
      <c r="AK138" s="441">
        <v>46065</v>
      </c>
      <c r="AL138" s="437">
        <v>46114</v>
      </c>
      <c r="AM138" s="437">
        <v>46125</v>
      </c>
      <c r="AN138" s="437">
        <v>46126</v>
      </c>
      <c r="AO138" s="430" t="s">
        <v>402</v>
      </c>
      <c r="AP138" s="430" t="s">
        <v>739</v>
      </c>
      <c r="AQ138" s="430" t="s">
        <v>80</v>
      </c>
      <c r="AR138" s="430" t="s">
        <v>759</v>
      </c>
      <c r="AS138" s="430" t="s">
        <v>760</v>
      </c>
      <c r="AT138" s="482" t="s">
        <v>760</v>
      </c>
      <c r="AU1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7">
        <v>46126</v>
      </c>
      <c r="AX138" s="433" t="s">
        <v>84</v>
      </c>
      <c r="AY138" s="437">
        <v>46135</v>
      </c>
      <c r="AZ138" s="442">
        <v>9</v>
      </c>
      <c r="BA138" s="437">
        <v>46135</v>
      </c>
      <c r="BB138" s="433">
        <v>2026</v>
      </c>
      <c r="BC138" s="430">
        <v>4</v>
      </c>
      <c r="BD138" s="430">
        <v>17</v>
      </c>
      <c r="BE138" s="431">
        <v>36</v>
      </c>
      <c r="BF138" s="431">
        <v>576</v>
      </c>
      <c r="BG138" s="431" t="s">
        <v>128</v>
      </c>
      <c r="BH138" s="431" t="s">
        <v>86</v>
      </c>
      <c r="BI138" s="430" t="s">
        <v>197</v>
      </c>
      <c r="BJ138" s="430" t="s">
        <v>197</v>
      </c>
      <c r="BK138" s="430" t="s">
        <v>197</v>
      </c>
      <c r="BL138" s="430" t="s">
        <v>197</v>
      </c>
      <c r="BM138" s="430" t="s">
        <v>197</v>
      </c>
      <c r="BN138" s="430" t="s">
        <v>197</v>
      </c>
      <c r="BO138" s="430" t="s">
        <v>197</v>
      </c>
      <c r="BP138" s="430" t="s">
        <v>197</v>
      </c>
      <c r="BQ138" s="430" t="s">
        <v>197</v>
      </c>
      <c r="BR138" s="430" t="s">
        <v>197</v>
      </c>
      <c r="BS138" s="430" t="s">
        <v>197</v>
      </c>
      <c r="BT138" s="430" t="s">
        <v>197</v>
      </c>
      <c r="BU138" s="430" t="s">
        <v>197</v>
      </c>
      <c r="BV138" s="430" t="s">
        <v>197</v>
      </c>
      <c r="BW138" s="430" t="s">
        <v>197</v>
      </c>
      <c r="BX138" s="430" t="s">
        <v>197</v>
      </c>
      <c r="BY138" s="430" t="s">
        <v>197</v>
      </c>
      <c r="BZ138" s="430" t="s">
        <v>197</v>
      </c>
      <c r="CA138" s="430" t="s">
        <v>197</v>
      </c>
      <c r="CB138" s="430" t="s">
        <v>197</v>
      </c>
      <c r="CC138" s="430" t="s">
        <v>197</v>
      </c>
      <c r="CD138" s="430" t="s">
        <v>197</v>
      </c>
      <c r="CE138" s="430" t="s">
        <v>197</v>
      </c>
      <c r="CF138" s="430" t="s">
        <v>197</v>
      </c>
      <c r="CG138" s="430" t="s">
        <v>197</v>
      </c>
      <c r="CH138" s="430" t="s">
        <v>197</v>
      </c>
      <c r="CI138" s="430" t="s">
        <v>197</v>
      </c>
      <c r="CJ138" s="430" t="s">
        <v>197</v>
      </c>
      <c r="CK138" s="430" t="s">
        <v>197</v>
      </c>
      <c r="CL138" s="430" t="s">
        <v>197</v>
      </c>
      <c r="CM138" s="430" t="s">
        <v>197</v>
      </c>
    </row>
    <row r="139" spans="1:91" ht="10.5">
      <c r="A139" s="462" t="s">
        <v>112</v>
      </c>
      <c r="B139" s="462" t="s">
        <v>111</v>
      </c>
      <c r="C139" s="462" t="s">
        <v>203</v>
      </c>
      <c r="D139" s="462" t="s">
        <v>113</v>
      </c>
      <c r="E139" s="462" t="s">
        <v>64</v>
      </c>
      <c r="F139" s="462" t="s">
        <v>114</v>
      </c>
      <c r="G139" s="462" t="s">
        <v>402</v>
      </c>
      <c r="H139" s="462" t="s">
        <v>115</v>
      </c>
      <c r="I139" s="439" t="s">
        <v>68</v>
      </c>
      <c r="J139" s="430" t="s">
        <v>116</v>
      </c>
      <c r="K139" s="430" t="s">
        <v>266</v>
      </c>
      <c r="L139" s="430"/>
      <c r="M139" s="430" t="s">
        <v>68</v>
      </c>
      <c r="N139" s="432" t="s">
        <v>68</v>
      </c>
      <c r="O139" s="430" t="s">
        <v>70</v>
      </c>
      <c r="P139" s="430" t="s">
        <v>118</v>
      </c>
      <c r="Q139" s="430" t="s">
        <v>119</v>
      </c>
      <c r="R139" s="431" t="s">
        <v>73</v>
      </c>
      <c r="S139" s="442" t="s">
        <v>120</v>
      </c>
      <c r="T139" s="433">
        <v>640</v>
      </c>
      <c r="U139" s="1088">
        <v>2787</v>
      </c>
      <c r="V139" s="434">
        <v>1.784</v>
      </c>
      <c r="W139" s="435">
        <v>77.400000000000006</v>
      </c>
      <c r="X139" s="1040">
        <v>4.8</v>
      </c>
      <c r="Y139" s="430" t="s">
        <v>75</v>
      </c>
      <c r="Z139" s="430" t="s">
        <v>75</v>
      </c>
      <c r="AA139" s="430"/>
      <c r="AB139" s="437">
        <v>46059</v>
      </c>
      <c r="AC139" s="438">
        <v>6</v>
      </c>
      <c r="AD139" s="439" t="s">
        <v>761</v>
      </c>
      <c r="AE139" s="430"/>
      <c r="AF139" s="430" t="s">
        <v>122</v>
      </c>
      <c r="AG139" s="430" t="s">
        <v>123</v>
      </c>
      <c r="AH139" s="430" t="s">
        <v>124</v>
      </c>
      <c r="AI139" s="437">
        <v>46063</v>
      </c>
      <c r="AJ139" s="437">
        <v>46065</v>
      </c>
      <c r="AK139" s="441">
        <v>46065</v>
      </c>
      <c r="AL139" s="437">
        <v>46114</v>
      </c>
      <c r="AM139" s="437">
        <v>46125</v>
      </c>
      <c r="AN139" s="437">
        <v>46126</v>
      </c>
      <c r="AO139" s="430" t="s">
        <v>402</v>
      </c>
      <c r="AP139" s="430" t="s">
        <v>739</v>
      </c>
      <c r="AQ139" s="430" t="s">
        <v>80</v>
      </c>
      <c r="AR139" s="430" t="s">
        <v>759</v>
      </c>
      <c r="AS139" s="430" t="s">
        <v>760</v>
      </c>
      <c r="AT139" s="482" t="s">
        <v>760</v>
      </c>
      <c r="AU1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7">
        <v>46126</v>
      </c>
      <c r="AX139" s="433" t="s">
        <v>84</v>
      </c>
      <c r="AY139" s="437">
        <v>46135</v>
      </c>
      <c r="AZ139" s="442">
        <v>9</v>
      </c>
      <c r="BA139" s="437">
        <v>46135</v>
      </c>
      <c r="BB139" s="433">
        <v>2026</v>
      </c>
      <c r="BC139" s="430">
        <v>4</v>
      </c>
      <c r="BD139" s="430">
        <v>17</v>
      </c>
      <c r="BE139" s="431">
        <v>36</v>
      </c>
      <c r="BF139" s="431">
        <v>576</v>
      </c>
      <c r="BG139" s="431" t="s">
        <v>128</v>
      </c>
      <c r="BH139" s="431" t="s">
        <v>86</v>
      </c>
      <c r="BI139" s="430" t="s">
        <v>197</v>
      </c>
      <c r="BJ139" s="430" t="s">
        <v>197</v>
      </c>
      <c r="BK139" s="430" t="s">
        <v>197</v>
      </c>
      <c r="BL139" s="430" t="s">
        <v>197</v>
      </c>
      <c r="BM139" s="430" t="s">
        <v>197</v>
      </c>
      <c r="BN139" s="430" t="s">
        <v>197</v>
      </c>
      <c r="BO139" s="430" t="s">
        <v>197</v>
      </c>
      <c r="BP139" s="430" t="s">
        <v>197</v>
      </c>
      <c r="BQ139" s="430" t="s">
        <v>197</v>
      </c>
      <c r="BR139" s="430" t="s">
        <v>197</v>
      </c>
      <c r="BS139" s="430" t="s">
        <v>197</v>
      </c>
      <c r="BT139" s="430" t="s">
        <v>197</v>
      </c>
      <c r="BU139" s="430" t="s">
        <v>197</v>
      </c>
      <c r="BV139" s="430" t="s">
        <v>197</v>
      </c>
      <c r="BW139" s="430" t="s">
        <v>197</v>
      </c>
      <c r="BX139" s="430" t="s">
        <v>197</v>
      </c>
      <c r="BY139" s="430" t="s">
        <v>197</v>
      </c>
      <c r="BZ139" s="430" t="s">
        <v>197</v>
      </c>
      <c r="CA139" s="430" t="s">
        <v>197</v>
      </c>
      <c r="CB139" s="430" t="s">
        <v>197</v>
      </c>
      <c r="CC139" s="430" t="s">
        <v>197</v>
      </c>
      <c r="CD139" s="430" t="s">
        <v>197</v>
      </c>
      <c r="CE139" s="430" t="s">
        <v>197</v>
      </c>
      <c r="CF139" s="430" t="s">
        <v>197</v>
      </c>
      <c r="CG139" s="430" t="s">
        <v>197</v>
      </c>
      <c r="CH139" s="430" t="s">
        <v>197</v>
      </c>
      <c r="CI139" s="430" t="s">
        <v>197</v>
      </c>
      <c r="CJ139" s="430" t="s">
        <v>197</v>
      </c>
      <c r="CK139" s="430" t="s">
        <v>197</v>
      </c>
      <c r="CL139" s="430" t="s">
        <v>197</v>
      </c>
      <c r="CM139" s="430" t="s">
        <v>197</v>
      </c>
    </row>
    <row r="140" spans="1:91" ht="10.5">
      <c r="A140" s="462" t="s">
        <v>762</v>
      </c>
      <c r="B140" s="462" t="s">
        <v>111</v>
      </c>
      <c r="C140" s="462" t="s">
        <v>203</v>
      </c>
      <c r="D140" s="462" t="s">
        <v>63</v>
      </c>
      <c r="E140" s="462" t="s">
        <v>64</v>
      </c>
      <c r="F140" s="462" t="s">
        <v>65</v>
      </c>
      <c r="G140" s="462" t="s">
        <v>402</v>
      </c>
      <c r="H140" s="462" t="s">
        <v>67</v>
      </c>
      <c r="I140" s="439" t="s">
        <v>68</v>
      </c>
      <c r="J140" s="430" t="s">
        <v>232</v>
      </c>
      <c r="K140" s="430"/>
      <c r="L140" s="430"/>
      <c r="M140" s="430" t="s">
        <v>68</v>
      </c>
      <c r="N140" s="432" t="s">
        <v>68</v>
      </c>
      <c r="O140" s="430" t="s">
        <v>473</v>
      </c>
      <c r="P140" s="430" t="s">
        <v>763</v>
      </c>
      <c r="Q140" s="430" t="s">
        <v>764</v>
      </c>
      <c r="R140" s="431" t="s">
        <v>73</v>
      </c>
      <c r="S140" s="442" t="s">
        <v>74</v>
      </c>
      <c r="T140" s="433">
        <v>450</v>
      </c>
      <c r="U140" s="1088">
        <v>864</v>
      </c>
      <c r="V140" s="434">
        <v>0.38900000000000001</v>
      </c>
      <c r="W140" s="435">
        <v>24</v>
      </c>
      <c r="X140" s="1040">
        <v>1</v>
      </c>
      <c r="Y140" s="430" t="s">
        <v>75</v>
      </c>
      <c r="Z140" s="430" t="s">
        <v>75</v>
      </c>
      <c r="AA140" s="430"/>
      <c r="AB140" s="437">
        <v>46058</v>
      </c>
      <c r="AC140" s="438">
        <v>6</v>
      </c>
      <c r="AD140" s="439" t="s">
        <v>765</v>
      </c>
      <c r="AE140" s="430"/>
      <c r="AF140" s="430" t="s">
        <v>122</v>
      </c>
      <c r="AG140" s="430" t="s">
        <v>123</v>
      </c>
      <c r="AH140" s="430" t="s">
        <v>78</v>
      </c>
      <c r="AI140" s="437">
        <v>46063</v>
      </c>
      <c r="AJ140" s="437">
        <v>46067</v>
      </c>
      <c r="AK140" s="441">
        <v>46067</v>
      </c>
      <c r="AL140" s="437">
        <v>46092</v>
      </c>
      <c r="AM140" s="437">
        <v>46115</v>
      </c>
      <c r="AN140" s="437">
        <v>46119</v>
      </c>
      <c r="AO140" s="430" t="s">
        <v>402</v>
      </c>
      <c r="AP140" s="430" t="s">
        <v>748</v>
      </c>
      <c r="AQ140" s="430" t="s">
        <v>80</v>
      </c>
      <c r="AR140" s="430" t="s">
        <v>766</v>
      </c>
      <c r="AS140" s="430" t="s">
        <v>767</v>
      </c>
      <c r="AT140" s="482" t="s">
        <v>767</v>
      </c>
      <c r="AU1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7">
        <v>46119</v>
      </c>
      <c r="AX140" s="433" t="s">
        <v>84</v>
      </c>
      <c r="AY140" s="437">
        <v>46129</v>
      </c>
      <c r="AZ140" s="442">
        <v>8</v>
      </c>
      <c r="BA140" s="437">
        <v>46127</v>
      </c>
      <c r="BB140" s="433">
        <v>2026</v>
      </c>
      <c r="BC140" s="430">
        <v>4</v>
      </c>
      <c r="BD140" s="430">
        <v>16</v>
      </c>
      <c r="BE140" s="431">
        <v>36</v>
      </c>
      <c r="BF140" s="431">
        <v>864</v>
      </c>
      <c r="BG140" s="431" t="s">
        <v>85</v>
      </c>
      <c r="BH140" s="431" t="s">
        <v>86</v>
      </c>
      <c r="BI140" s="430" t="s">
        <v>197</v>
      </c>
      <c r="BJ140" s="430" t="s">
        <v>197</v>
      </c>
      <c r="BK140" s="430" t="s">
        <v>197</v>
      </c>
      <c r="BL140" s="430" t="s">
        <v>197</v>
      </c>
      <c r="BM140" s="430" t="s">
        <v>197</v>
      </c>
      <c r="BN140" s="430" t="s">
        <v>197</v>
      </c>
      <c r="BO140" s="430" t="s">
        <v>197</v>
      </c>
      <c r="BP140" s="430" t="s">
        <v>197</v>
      </c>
      <c r="BQ140" s="430" t="s">
        <v>197</v>
      </c>
      <c r="BR140" s="430" t="s">
        <v>197</v>
      </c>
      <c r="BS140" s="430" t="s">
        <v>197</v>
      </c>
      <c r="BT140" s="430" t="s">
        <v>197</v>
      </c>
      <c r="BU140" s="430" t="s">
        <v>197</v>
      </c>
      <c r="BV140" s="430" t="s">
        <v>197</v>
      </c>
      <c r="BW140" s="430" t="s">
        <v>197</v>
      </c>
      <c r="BX140" s="430" t="s">
        <v>197</v>
      </c>
      <c r="BY140" s="430" t="s">
        <v>197</v>
      </c>
      <c r="BZ140" s="430" t="s">
        <v>197</v>
      </c>
      <c r="CA140" s="430" t="s">
        <v>197</v>
      </c>
      <c r="CB140" s="430" t="s">
        <v>197</v>
      </c>
      <c r="CC140" s="430" t="s">
        <v>197</v>
      </c>
      <c r="CD140" s="430" t="s">
        <v>197</v>
      </c>
      <c r="CE140" s="430" t="s">
        <v>197</v>
      </c>
      <c r="CF140" s="430" t="s">
        <v>197</v>
      </c>
      <c r="CG140" s="430" t="s">
        <v>197</v>
      </c>
      <c r="CH140" s="430" t="s">
        <v>197</v>
      </c>
      <c r="CI140" s="430" t="s">
        <v>197</v>
      </c>
      <c r="CJ140" s="430" t="s">
        <v>197</v>
      </c>
      <c r="CK140" s="430" t="s">
        <v>197</v>
      </c>
      <c r="CL140" s="430" t="s">
        <v>197</v>
      </c>
      <c r="CM140" s="430" t="s">
        <v>197</v>
      </c>
    </row>
    <row r="141" spans="1:91" ht="10.5">
      <c r="A141" s="462" t="s">
        <v>768</v>
      </c>
      <c r="B141" s="462" t="s">
        <v>61</v>
      </c>
      <c r="C141" s="462" t="s">
        <v>769</v>
      </c>
      <c r="D141" s="462" t="s">
        <v>63</v>
      </c>
      <c r="E141" s="462" t="s">
        <v>64</v>
      </c>
      <c r="F141" s="462" t="s">
        <v>100</v>
      </c>
      <c r="G141" s="462" t="s">
        <v>402</v>
      </c>
      <c r="H141" s="462" t="s">
        <v>67</v>
      </c>
      <c r="I141" s="439" t="s">
        <v>68</v>
      </c>
      <c r="J141" s="430" t="s">
        <v>293</v>
      </c>
      <c r="K141" s="430"/>
      <c r="L141" s="430"/>
      <c r="M141" s="430" t="s">
        <v>68</v>
      </c>
      <c r="N141" s="432" t="s">
        <v>68</v>
      </c>
      <c r="O141" s="430" t="s">
        <v>70</v>
      </c>
      <c r="P141" s="430" t="s">
        <v>560</v>
      </c>
      <c r="Q141" s="430" t="s">
        <v>196</v>
      </c>
      <c r="R141" s="431" t="s">
        <v>73</v>
      </c>
      <c r="S141" s="442" t="s">
        <v>120</v>
      </c>
      <c r="T141" s="433">
        <v>450</v>
      </c>
      <c r="U141" s="1088">
        <v>2736</v>
      </c>
      <c r="V141" s="434">
        <v>1.2310000000000001</v>
      </c>
      <c r="W141" s="435">
        <v>76</v>
      </c>
      <c r="X141" s="1040">
        <v>2.9</v>
      </c>
      <c r="Y141" s="430" t="s">
        <v>75</v>
      </c>
      <c r="Z141" s="430" t="s">
        <v>75</v>
      </c>
      <c r="AA141" s="430"/>
      <c r="AB141" s="437">
        <v>46055</v>
      </c>
      <c r="AC141" s="438">
        <v>6</v>
      </c>
      <c r="AD141" s="439" t="s">
        <v>770</v>
      </c>
      <c r="AE141" s="430"/>
      <c r="AF141" s="430" t="s">
        <v>77</v>
      </c>
      <c r="AG141" s="430" t="s">
        <v>61</v>
      </c>
      <c r="AH141" s="430" t="s">
        <v>105</v>
      </c>
      <c r="AI141" s="437">
        <v>46066</v>
      </c>
      <c r="AJ141" s="437">
        <v>46065</v>
      </c>
      <c r="AK141" s="441">
        <v>46065</v>
      </c>
      <c r="AL141" s="437">
        <v>46119</v>
      </c>
      <c r="AM141" s="437">
        <v>46141</v>
      </c>
      <c r="AN141" s="437">
        <v>46137</v>
      </c>
      <c r="AO141" s="430" t="s">
        <v>402</v>
      </c>
      <c r="AP141" s="430" t="s">
        <v>771</v>
      </c>
      <c r="AQ141" s="430" t="s">
        <v>80</v>
      </c>
      <c r="AR141" s="430" t="s">
        <v>772</v>
      </c>
      <c r="AS141" s="430" t="s">
        <v>773</v>
      </c>
      <c r="AT141" s="482" t="s">
        <v>773</v>
      </c>
      <c r="AU1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7">
        <v>46137</v>
      </c>
      <c r="AX141" s="433" t="s">
        <v>84</v>
      </c>
      <c r="AY141" s="437">
        <v>46150</v>
      </c>
      <c r="AZ141" s="442">
        <v>7</v>
      </c>
      <c r="BA141" s="437">
        <v>46144</v>
      </c>
      <c r="BB141" s="433">
        <v>2026</v>
      </c>
      <c r="BC141" s="430">
        <v>5</v>
      </c>
      <c r="BD141" s="430">
        <v>18</v>
      </c>
      <c r="BE141" s="431">
        <v>36</v>
      </c>
      <c r="BF141" s="431">
        <v>936</v>
      </c>
      <c r="BG141" s="431" t="s">
        <v>94</v>
      </c>
      <c r="BH141" s="431" t="s">
        <v>109</v>
      </c>
      <c r="BI141" s="430" t="s">
        <v>197</v>
      </c>
      <c r="BJ141" s="430" t="s">
        <v>197</v>
      </c>
      <c r="BK141" s="430" t="s">
        <v>197</v>
      </c>
      <c r="BL141" s="430" t="s">
        <v>197</v>
      </c>
      <c r="BM141" s="430" t="s">
        <v>197</v>
      </c>
      <c r="BN141" s="430" t="s">
        <v>197</v>
      </c>
      <c r="BO141" s="430" t="s">
        <v>197</v>
      </c>
      <c r="BP141" s="430" t="s">
        <v>197</v>
      </c>
      <c r="BQ141" s="430" t="s">
        <v>197</v>
      </c>
      <c r="BR141" s="430" t="s">
        <v>197</v>
      </c>
      <c r="BS141" s="430" t="s">
        <v>197</v>
      </c>
      <c r="BT141" s="430" t="s">
        <v>197</v>
      </c>
      <c r="BU141" s="430" t="s">
        <v>197</v>
      </c>
      <c r="BV141" s="430" t="s">
        <v>197</v>
      </c>
      <c r="BW141" s="430" t="s">
        <v>197</v>
      </c>
      <c r="BX141" s="430" t="s">
        <v>197</v>
      </c>
      <c r="BY141" s="430" t="s">
        <v>197</v>
      </c>
      <c r="BZ141" s="430" t="s">
        <v>197</v>
      </c>
      <c r="CA141" s="430" t="s">
        <v>197</v>
      </c>
      <c r="CB141" s="430" t="s">
        <v>197</v>
      </c>
      <c r="CC141" s="430" t="s">
        <v>197</v>
      </c>
      <c r="CD141" s="430" t="s">
        <v>197</v>
      </c>
      <c r="CE141" s="430" t="s">
        <v>197</v>
      </c>
      <c r="CF141" s="430" t="s">
        <v>197</v>
      </c>
      <c r="CG141" s="430" t="s">
        <v>197</v>
      </c>
      <c r="CH141" s="430" t="s">
        <v>197</v>
      </c>
      <c r="CI141" s="430" t="s">
        <v>197</v>
      </c>
      <c r="CJ141" s="430" t="s">
        <v>197</v>
      </c>
      <c r="CK141" s="430" t="s">
        <v>197</v>
      </c>
      <c r="CL141" s="430" t="s">
        <v>197</v>
      </c>
      <c r="CM141" s="430" t="s">
        <v>197</v>
      </c>
    </row>
    <row r="142" spans="1:91" ht="10.5">
      <c r="A142" s="462" t="s">
        <v>774</v>
      </c>
      <c r="B142" s="462" t="s">
        <v>61</v>
      </c>
      <c r="C142" s="462" t="s">
        <v>775</v>
      </c>
      <c r="D142" s="462" t="s">
        <v>63</v>
      </c>
      <c r="E142" s="462" t="s">
        <v>64</v>
      </c>
      <c r="F142" s="462" t="s">
        <v>65</v>
      </c>
      <c r="G142" s="462" t="s">
        <v>402</v>
      </c>
      <c r="H142" s="462" t="s">
        <v>67</v>
      </c>
      <c r="I142" s="439" t="s">
        <v>68</v>
      </c>
      <c r="J142" s="430" t="s">
        <v>690</v>
      </c>
      <c r="K142" s="430"/>
      <c r="L142" s="430" t="s">
        <v>197</v>
      </c>
      <c r="M142" s="430" t="s">
        <v>68</v>
      </c>
      <c r="N142" s="432" t="s">
        <v>68</v>
      </c>
      <c r="O142" s="430" t="s">
        <v>70</v>
      </c>
      <c r="P142" s="430" t="s">
        <v>91</v>
      </c>
      <c r="Q142" s="430" t="s">
        <v>92</v>
      </c>
      <c r="R142" s="431" t="s">
        <v>73</v>
      </c>
      <c r="S142" s="442" t="s">
        <v>74</v>
      </c>
      <c r="T142" s="433">
        <v>450</v>
      </c>
      <c r="U142" s="1088">
        <v>1872</v>
      </c>
      <c r="V142" s="434">
        <v>0.84199999999999997</v>
      </c>
      <c r="W142" s="435">
        <v>52</v>
      </c>
      <c r="X142" s="1040">
        <v>2</v>
      </c>
      <c r="Y142" s="430" t="s">
        <v>75</v>
      </c>
      <c r="Z142" s="430" t="s">
        <v>75</v>
      </c>
      <c r="AA142" s="430" t="s">
        <v>197</v>
      </c>
      <c r="AB142" s="437">
        <v>46056</v>
      </c>
      <c r="AC142" s="438">
        <v>6</v>
      </c>
      <c r="AD142" s="439" t="s">
        <v>776</v>
      </c>
      <c r="AE142" s="430" t="s">
        <v>197</v>
      </c>
      <c r="AF142" s="430" t="s">
        <v>77</v>
      </c>
      <c r="AG142" s="430" t="s">
        <v>61</v>
      </c>
      <c r="AH142" s="430" t="s">
        <v>78</v>
      </c>
      <c r="AI142" s="437">
        <v>46066</v>
      </c>
      <c r="AJ142" s="437">
        <v>46065</v>
      </c>
      <c r="AK142" s="441">
        <v>46065</v>
      </c>
      <c r="AL142" s="437">
        <v>46139</v>
      </c>
      <c r="AM142" s="437">
        <v>46146</v>
      </c>
      <c r="AN142" s="437">
        <v>46144</v>
      </c>
      <c r="AO142" s="430" t="s">
        <v>402</v>
      </c>
      <c r="AP142" s="430" t="s">
        <v>771</v>
      </c>
      <c r="AQ142" s="430" t="s">
        <v>80</v>
      </c>
      <c r="AR142" s="430" t="s">
        <v>777</v>
      </c>
      <c r="AS142" s="430" t="s">
        <v>778</v>
      </c>
      <c r="AT142" s="482" t="s">
        <v>778</v>
      </c>
      <c r="AU1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0" t="s">
        <v>197</v>
      </c>
      <c r="AW142" s="437">
        <v>46144</v>
      </c>
      <c r="AX142" s="433" t="s">
        <v>84</v>
      </c>
      <c r="AY142" s="437">
        <v>46160</v>
      </c>
      <c r="AZ142" s="442">
        <v>8</v>
      </c>
      <c r="BA142" s="437">
        <v>46152</v>
      </c>
      <c r="BB142" s="433">
        <v>2026</v>
      </c>
      <c r="BC142" s="430">
        <v>5</v>
      </c>
      <c r="BD142" s="430">
        <v>19</v>
      </c>
      <c r="BE142" s="431">
        <v>36</v>
      </c>
      <c r="BF142" s="431">
        <v>936</v>
      </c>
      <c r="BG142" s="431" t="s">
        <v>94</v>
      </c>
      <c r="BH142" s="431" t="s">
        <v>86</v>
      </c>
      <c r="BI142" s="430" t="s">
        <v>197</v>
      </c>
      <c r="BJ142" s="430" t="s">
        <v>197</v>
      </c>
      <c r="BK142" s="430" t="s">
        <v>197</v>
      </c>
      <c r="BL142" s="430" t="s">
        <v>197</v>
      </c>
      <c r="BM142" s="430" t="s">
        <v>197</v>
      </c>
      <c r="BN142" s="430" t="s">
        <v>197</v>
      </c>
      <c r="BO142" s="430" t="s">
        <v>197</v>
      </c>
      <c r="BP142" s="430" t="s">
        <v>197</v>
      </c>
      <c r="BQ142" s="430" t="s">
        <v>197</v>
      </c>
      <c r="BR142" s="430" t="s">
        <v>197</v>
      </c>
      <c r="BS142" s="430" t="s">
        <v>197</v>
      </c>
      <c r="BT142" s="430" t="s">
        <v>197</v>
      </c>
      <c r="BU142" s="430" t="s">
        <v>197</v>
      </c>
      <c r="BV142" s="430" t="s">
        <v>197</v>
      </c>
      <c r="BW142" s="430" t="s">
        <v>197</v>
      </c>
      <c r="BX142" s="430" t="s">
        <v>197</v>
      </c>
      <c r="BY142" s="430" t="s">
        <v>197</v>
      </c>
      <c r="BZ142" s="430" t="s">
        <v>197</v>
      </c>
      <c r="CA142" s="430" t="s">
        <v>197</v>
      </c>
      <c r="CB142" s="430" t="s">
        <v>197</v>
      </c>
      <c r="CC142" s="430" t="s">
        <v>197</v>
      </c>
      <c r="CD142" s="430" t="s">
        <v>197</v>
      </c>
      <c r="CE142" s="430" t="s">
        <v>197</v>
      </c>
      <c r="CF142" s="430" t="s">
        <v>197</v>
      </c>
      <c r="CG142" s="430" t="s">
        <v>197</v>
      </c>
      <c r="CH142" s="430" t="s">
        <v>197</v>
      </c>
      <c r="CI142" s="430" t="s">
        <v>197</v>
      </c>
      <c r="CJ142" s="430" t="s">
        <v>197</v>
      </c>
      <c r="CK142" s="430" t="s">
        <v>197</v>
      </c>
      <c r="CL142" s="430" t="s">
        <v>197</v>
      </c>
      <c r="CM142" s="430" t="s">
        <v>197</v>
      </c>
    </row>
    <row r="143" spans="1:91" ht="10.5">
      <c r="A143" s="462" t="s">
        <v>775</v>
      </c>
      <c r="B143" s="462" t="s">
        <v>61</v>
      </c>
      <c r="C143" s="462" t="s">
        <v>203</v>
      </c>
      <c r="D143" s="462" t="s">
        <v>63</v>
      </c>
      <c r="E143" s="462" t="s">
        <v>64</v>
      </c>
      <c r="F143" s="462" t="s">
        <v>65</v>
      </c>
      <c r="G143" s="462" t="s">
        <v>402</v>
      </c>
      <c r="H143" s="462" t="s">
        <v>67</v>
      </c>
      <c r="I143" s="439" t="s">
        <v>68</v>
      </c>
      <c r="J143" s="430" t="s">
        <v>690</v>
      </c>
      <c r="K143" s="430"/>
      <c r="L143" s="430" t="s">
        <v>197</v>
      </c>
      <c r="M143" s="430" t="s">
        <v>68</v>
      </c>
      <c r="N143" s="432" t="s">
        <v>68</v>
      </c>
      <c r="O143" s="430" t="s">
        <v>70</v>
      </c>
      <c r="P143" s="430" t="s">
        <v>91</v>
      </c>
      <c r="Q143" s="430" t="s">
        <v>92</v>
      </c>
      <c r="R143" s="431" t="s">
        <v>73</v>
      </c>
      <c r="S143" s="442" t="s">
        <v>74</v>
      </c>
      <c r="T143" s="433">
        <v>450</v>
      </c>
      <c r="U143" s="1088">
        <v>4428</v>
      </c>
      <c r="V143" s="434">
        <v>1.9930000000000001</v>
      </c>
      <c r="W143" s="435">
        <v>123</v>
      </c>
      <c r="X143" s="1040">
        <v>4.7</v>
      </c>
      <c r="Y143" s="430" t="s">
        <v>75</v>
      </c>
      <c r="Z143" s="430" t="s">
        <v>75</v>
      </c>
      <c r="AA143" s="430" t="s">
        <v>197</v>
      </c>
      <c r="AB143" s="437">
        <v>46056</v>
      </c>
      <c r="AC143" s="438">
        <v>6</v>
      </c>
      <c r="AD143" s="439" t="s">
        <v>776</v>
      </c>
      <c r="AE143" s="430" t="s">
        <v>197</v>
      </c>
      <c r="AF143" s="430" t="s">
        <v>77</v>
      </c>
      <c r="AG143" s="430" t="s">
        <v>61</v>
      </c>
      <c r="AH143" s="430" t="s">
        <v>78</v>
      </c>
      <c r="AI143" s="437">
        <v>46066</v>
      </c>
      <c r="AJ143" s="437">
        <v>46065</v>
      </c>
      <c r="AK143" s="441">
        <v>46065</v>
      </c>
      <c r="AL143" s="437">
        <v>46139</v>
      </c>
      <c r="AM143" s="437">
        <v>46146</v>
      </c>
      <c r="AN143" s="437">
        <v>46144</v>
      </c>
      <c r="AO143" s="430" t="s">
        <v>402</v>
      </c>
      <c r="AP143" s="430" t="s">
        <v>771</v>
      </c>
      <c r="AQ143" s="430" t="s">
        <v>80</v>
      </c>
      <c r="AR143" s="430" t="s">
        <v>777</v>
      </c>
      <c r="AS143" s="430" t="s">
        <v>778</v>
      </c>
      <c r="AT143" s="482" t="s">
        <v>778</v>
      </c>
      <c r="AU1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0" t="s">
        <v>197</v>
      </c>
      <c r="AW143" s="437">
        <v>46144</v>
      </c>
      <c r="AX143" s="433" t="s">
        <v>84</v>
      </c>
      <c r="AY143" s="437">
        <v>46160</v>
      </c>
      <c r="AZ143" s="442">
        <v>8</v>
      </c>
      <c r="BA143" s="437">
        <v>46152</v>
      </c>
      <c r="BB143" s="433">
        <v>2026</v>
      </c>
      <c r="BC143" s="430">
        <v>5</v>
      </c>
      <c r="BD143" s="430">
        <v>19</v>
      </c>
      <c r="BE143" s="431">
        <v>36</v>
      </c>
      <c r="BF143" s="431">
        <v>936</v>
      </c>
      <c r="BG143" s="431" t="s">
        <v>94</v>
      </c>
      <c r="BH143" s="431" t="s">
        <v>86</v>
      </c>
      <c r="BI143" s="430" t="s">
        <v>197</v>
      </c>
      <c r="BJ143" s="430" t="s">
        <v>197</v>
      </c>
      <c r="BK143" s="430" t="s">
        <v>197</v>
      </c>
      <c r="BL143" s="430" t="s">
        <v>197</v>
      </c>
      <c r="BM143" s="430" t="s">
        <v>197</v>
      </c>
      <c r="BN143" s="430" t="s">
        <v>197</v>
      </c>
      <c r="BO143" s="430" t="s">
        <v>197</v>
      </c>
      <c r="BP143" s="430" t="s">
        <v>197</v>
      </c>
      <c r="BQ143" s="430" t="s">
        <v>197</v>
      </c>
      <c r="BR143" s="430" t="s">
        <v>197</v>
      </c>
      <c r="BS143" s="430" t="s">
        <v>197</v>
      </c>
      <c r="BT143" s="430" t="s">
        <v>197</v>
      </c>
      <c r="BU143" s="430" t="s">
        <v>197</v>
      </c>
      <c r="BV143" s="430" t="s">
        <v>197</v>
      </c>
      <c r="BW143" s="430" t="s">
        <v>197</v>
      </c>
      <c r="BX143" s="430" t="s">
        <v>197</v>
      </c>
      <c r="BY143" s="430" t="s">
        <v>197</v>
      </c>
      <c r="BZ143" s="430" t="s">
        <v>197</v>
      </c>
      <c r="CA143" s="430" t="s">
        <v>197</v>
      </c>
      <c r="CB143" s="430" t="s">
        <v>197</v>
      </c>
      <c r="CC143" s="430" t="s">
        <v>197</v>
      </c>
      <c r="CD143" s="430" t="s">
        <v>197</v>
      </c>
      <c r="CE143" s="430" t="s">
        <v>197</v>
      </c>
      <c r="CF143" s="430" t="s">
        <v>197</v>
      </c>
      <c r="CG143" s="430" t="s">
        <v>197</v>
      </c>
      <c r="CH143" s="430" t="s">
        <v>197</v>
      </c>
      <c r="CI143" s="430" t="s">
        <v>197</v>
      </c>
      <c r="CJ143" s="430" t="s">
        <v>197</v>
      </c>
      <c r="CK143" s="430" t="s">
        <v>197</v>
      </c>
      <c r="CL143" s="430" t="s">
        <v>197</v>
      </c>
      <c r="CM143" s="430" t="s">
        <v>197</v>
      </c>
    </row>
    <row r="144" spans="1:91" ht="10.5">
      <c r="A144" s="462" t="s">
        <v>779</v>
      </c>
      <c r="B144" s="462" t="s">
        <v>61</v>
      </c>
      <c r="C144" s="462" t="s">
        <v>780</v>
      </c>
      <c r="D144" s="462" t="s">
        <v>63</v>
      </c>
      <c r="E144" s="462" t="s">
        <v>64</v>
      </c>
      <c r="F144" s="462" t="s">
        <v>65</v>
      </c>
      <c r="G144" s="462" t="s">
        <v>402</v>
      </c>
      <c r="H144" s="462" t="s">
        <v>67</v>
      </c>
      <c r="I144" s="439" t="s">
        <v>68</v>
      </c>
      <c r="J144" s="430" t="s">
        <v>690</v>
      </c>
      <c r="K144" s="430"/>
      <c r="L144" s="430"/>
      <c r="M144" s="430" t="s">
        <v>68</v>
      </c>
      <c r="N144" s="432" t="s">
        <v>68</v>
      </c>
      <c r="O144" s="430" t="s">
        <v>70</v>
      </c>
      <c r="P144" s="430" t="s">
        <v>204</v>
      </c>
      <c r="Q144" s="430" t="s">
        <v>205</v>
      </c>
      <c r="R144" s="431" t="s">
        <v>73</v>
      </c>
      <c r="S144" s="442" t="s">
        <v>74</v>
      </c>
      <c r="T144" s="433">
        <v>455</v>
      </c>
      <c r="U144" s="1088">
        <v>5868</v>
      </c>
      <c r="V144" s="434">
        <v>2.67</v>
      </c>
      <c r="W144" s="435">
        <v>163</v>
      </c>
      <c r="X144" s="1040">
        <v>6.3</v>
      </c>
      <c r="Y144" s="430" t="s">
        <v>75</v>
      </c>
      <c r="Z144" s="430" t="s">
        <v>75</v>
      </c>
      <c r="AA144" s="430"/>
      <c r="AB144" s="437">
        <v>46056</v>
      </c>
      <c r="AC144" s="438">
        <v>6</v>
      </c>
      <c r="AD144" s="439" t="s">
        <v>781</v>
      </c>
      <c r="AE144" s="430"/>
      <c r="AF144" s="430" t="s">
        <v>77</v>
      </c>
      <c r="AG144" s="430" t="s">
        <v>61</v>
      </c>
      <c r="AH144" s="430" t="s">
        <v>78</v>
      </c>
      <c r="AI144" s="437">
        <v>46066</v>
      </c>
      <c r="AJ144" s="437">
        <v>46065</v>
      </c>
      <c r="AK144" s="441">
        <v>46065</v>
      </c>
      <c r="AL144" s="437">
        <v>46139</v>
      </c>
      <c r="AM144" s="437">
        <v>46146</v>
      </c>
      <c r="AN144" s="437">
        <v>46144</v>
      </c>
      <c r="AO144" s="430" t="s">
        <v>402</v>
      </c>
      <c r="AP144" s="430" t="s">
        <v>771</v>
      </c>
      <c r="AQ144" s="430" t="s">
        <v>80</v>
      </c>
      <c r="AR144" s="430" t="s">
        <v>777</v>
      </c>
      <c r="AS144" s="430" t="s">
        <v>778</v>
      </c>
      <c r="AT144" s="482" t="s">
        <v>778</v>
      </c>
      <c r="AU1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7">
        <v>46144</v>
      </c>
      <c r="AX144" s="433" t="s">
        <v>84</v>
      </c>
      <c r="AY144" s="437">
        <v>46160</v>
      </c>
      <c r="AZ144" s="442">
        <v>8</v>
      </c>
      <c r="BA144" s="437">
        <v>46152</v>
      </c>
      <c r="BB144" s="433">
        <v>2026</v>
      </c>
      <c r="BC144" s="430">
        <v>5</v>
      </c>
      <c r="BD144" s="430">
        <v>19</v>
      </c>
      <c r="BE144" s="431">
        <v>36</v>
      </c>
      <c r="BF144" s="431">
        <v>936</v>
      </c>
      <c r="BG144" s="431" t="s">
        <v>94</v>
      </c>
      <c r="BH144" s="431" t="s">
        <v>86</v>
      </c>
      <c r="BI144" s="430" t="s">
        <v>197</v>
      </c>
      <c r="BJ144" s="430" t="s">
        <v>197</v>
      </c>
      <c r="BK144" s="430" t="s">
        <v>197</v>
      </c>
      <c r="BL144" s="430" t="s">
        <v>197</v>
      </c>
      <c r="BM144" s="430" t="s">
        <v>197</v>
      </c>
      <c r="BN144" s="430" t="s">
        <v>197</v>
      </c>
      <c r="BO144" s="430" t="s">
        <v>197</v>
      </c>
      <c r="BP144" s="430" t="s">
        <v>197</v>
      </c>
      <c r="BQ144" s="430" t="s">
        <v>197</v>
      </c>
      <c r="BR144" s="430" t="s">
        <v>197</v>
      </c>
      <c r="BS144" s="430" t="s">
        <v>197</v>
      </c>
      <c r="BT144" s="430" t="s">
        <v>197</v>
      </c>
      <c r="BU144" s="430" t="s">
        <v>197</v>
      </c>
      <c r="BV144" s="430" t="s">
        <v>197</v>
      </c>
      <c r="BW144" s="430" t="s">
        <v>197</v>
      </c>
      <c r="BX144" s="430" t="s">
        <v>197</v>
      </c>
      <c r="BY144" s="430" t="s">
        <v>197</v>
      </c>
      <c r="BZ144" s="430" t="s">
        <v>197</v>
      </c>
      <c r="CA144" s="430" t="s">
        <v>197</v>
      </c>
      <c r="CB144" s="430" t="s">
        <v>197</v>
      </c>
      <c r="CC144" s="430" t="s">
        <v>197</v>
      </c>
      <c r="CD144" s="430" t="s">
        <v>197</v>
      </c>
      <c r="CE144" s="430" t="s">
        <v>197</v>
      </c>
      <c r="CF144" s="430" t="s">
        <v>197</v>
      </c>
      <c r="CG144" s="430" t="s">
        <v>197</v>
      </c>
      <c r="CH144" s="430" t="s">
        <v>197</v>
      </c>
      <c r="CI144" s="430" t="s">
        <v>197</v>
      </c>
      <c r="CJ144" s="430" t="s">
        <v>197</v>
      </c>
      <c r="CK144" s="430" t="s">
        <v>197</v>
      </c>
      <c r="CL144" s="430" t="s">
        <v>197</v>
      </c>
      <c r="CM144" s="430" t="s">
        <v>197</v>
      </c>
    </row>
    <row r="145" spans="1:91" ht="10.5">
      <c r="A145" s="462" t="s">
        <v>782</v>
      </c>
      <c r="B145" s="462" t="s">
        <v>61</v>
      </c>
      <c r="C145" s="462" t="s">
        <v>688</v>
      </c>
      <c r="D145" s="462" t="s">
        <v>63</v>
      </c>
      <c r="E145" s="462" t="s">
        <v>64</v>
      </c>
      <c r="F145" s="462" t="s">
        <v>65</v>
      </c>
      <c r="G145" s="462" t="s">
        <v>402</v>
      </c>
      <c r="H145" s="462" t="s">
        <v>67</v>
      </c>
      <c r="I145" s="439" t="s">
        <v>68</v>
      </c>
      <c r="J145" s="430" t="s">
        <v>690</v>
      </c>
      <c r="K145" s="430"/>
      <c r="L145" s="430"/>
      <c r="M145" s="430" t="s">
        <v>68</v>
      </c>
      <c r="N145" s="432" t="s">
        <v>68</v>
      </c>
      <c r="O145" s="430" t="s">
        <v>70</v>
      </c>
      <c r="P145" s="430" t="s">
        <v>691</v>
      </c>
      <c r="Q145" s="430" t="s">
        <v>692</v>
      </c>
      <c r="R145" s="431" t="s">
        <v>73</v>
      </c>
      <c r="S145" s="442" t="s">
        <v>74</v>
      </c>
      <c r="T145" s="433">
        <v>505</v>
      </c>
      <c r="U145" s="1088">
        <v>864</v>
      </c>
      <c r="V145" s="434">
        <v>0.436</v>
      </c>
      <c r="W145" s="435">
        <v>24</v>
      </c>
      <c r="X145" s="1040">
        <v>1</v>
      </c>
      <c r="Y145" s="430" t="s">
        <v>75</v>
      </c>
      <c r="Z145" s="430" t="s">
        <v>75</v>
      </c>
      <c r="AA145" s="430"/>
      <c r="AB145" s="437">
        <v>46056</v>
      </c>
      <c r="AC145" s="438">
        <v>6</v>
      </c>
      <c r="AD145" s="439" t="s">
        <v>783</v>
      </c>
      <c r="AE145" s="430"/>
      <c r="AF145" s="430" t="s">
        <v>77</v>
      </c>
      <c r="AG145" s="430" t="s">
        <v>61</v>
      </c>
      <c r="AH145" s="430" t="s">
        <v>78</v>
      </c>
      <c r="AI145" s="437">
        <v>46066</v>
      </c>
      <c r="AJ145" s="437">
        <v>46065</v>
      </c>
      <c r="AK145" s="441">
        <v>46065</v>
      </c>
      <c r="AL145" s="437">
        <v>46139</v>
      </c>
      <c r="AM145" s="437">
        <v>46146</v>
      </c>
      <c r="AN145" s="437">
        <v>46144</v>
      </c>
      <c r="AO145" s="430" t="s">
        <v>402</v>
      </c>
      <c r="AP145" s="430" t="s">
        <v>771</v>
      </c>
      <c r="AQ145" s="430" t="s">
        <v>80</v>
      </c>
      <c r="AR145" s="430" t="s">
        <v>777</v>
      </c>
      <c r="AS145" s="430" t="s">
        <v>778</v>
      </c>
      <c r="AT145" s="482" t="s">
        <v>778</v>
      </c>
      <c r="AU1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7">
        <v>46144</v>
      </c>
      <c r="AX145" s="433" t="s">
        <v>84</v>
      </c>
      <c r="AY145" s="437">
        <v>46160</v>
      </c>
      <c r="AZ145" s="442">
        <v>8</v>
      </c>
      <c r="BA145" s="437">
        <v>46152</v>
      </c>
      <c r="BB145" s="433">
        <v>2026</v>
      </c>
      <c r="BC145" s="430">
        <v>5</v>
      </c>
      <c r="BD145" s="430">
        <v>19</v>
      </c>
      <c r="BE145" s="431">
        <v>36</v>
      </c>
      <c r="BF145" s="431">
        <v>864</v>
      </c>
      <c r="BG145" s="431" t="s">
        <v>85</v>
      </c>
      <c r="BH145" s="431" t="s">
        <v>86</v>
      </c>
      <c r="BI145" s="430" t="s">
        <v>197</v>
      </c>
      <c r="BJ145" s="430" t="s">
        <v>197</v>
      </c>
      <c r="BK145" s="430" t="s">
        <v>197</v>
      </c>
      <c r="BL145" s="430" t="s">
        <v>197</v>
      </c>
      <c r="BM145" s="430" t="s">
        <v>197</v>
      </c>
      <c r="BN145" s="430" t="s">
        <v>197</v>
      </c>
      <c r="BO145" s="430" t="s">
        <v>197</v>
      </c>
      <c r="BP145" s="430" t="s">
        <v>197</v>
      </c>
      <c r="BQ145" s="430" t="s">
        <v>197</v>
      </c>
      <c r="BR145" s="430" t="s">
        <v>197</v>
      </c>
      <c r="BS145" s="430" t="s">
        <v>197</v>
      </c>
      <c r="BT145" s="430" t="s">
        <v>197</v>
      </c>
      <c r="BU145" s="430" t="s">
        <v>197</v>
      </c>
      <c r="BV145" s="430" t="s">
        <v>197</v>
      </c>
      <c r="BW145" s="430" t="s">
        <v>197</v>
      </c>
      <c r="BX145" s="430" t="s">
        <v>197</v>
      </c>
      <c r="BY145" s="430" t="s">
        <v>197</v>
      </c>
      <c r="BZ145" s="430" t="s">
        <v>197</v>
      </c>
      <c r="CA145" s="430" t="s">
        <v>197</v>
      </c>
      <c r="CB145" s="430" t="s">
        <v>197</v>
      </c>
      <c r="CC145" s="430" t="s">
        <v>197</v>
      </c>
      <c r="CD145" s="430" t="s">
        <v>197</v>
      </c>
      <c r="CE145" s="430" t="s">
        <v>197</v>
      </c>
      <c r="CF145" s="430" t="s">
        <v>197</v>
      </c>
      <c r="CG145" s="430" t="s">
        <v>197</v>
      </c>
      <c r="CH145" s="430" t="s">
        <v>197</v>
      </c>
      <c r="CI145" s="430" t="s">
        <v>197</v>
      </c>
      <c r="CJ145" s="430" t="s">
        <v>197</v>
      </c>
      <c r="CK145" s="430" t="s">
        <v>197</v>
      </c>
      <c r="CL145" s="430" t="s">
        <v>197</v>
      </c>
      <c r="CM145" s="430" t="s">
        <v>197</v>
      </c>
    </row>
    <row r="146" spans="1:91" ht="10.5">
      <c r="A146" s="462" t="s">
        <v>784</v>
      </c>
      <c r="B146" s="462" t="s">
        <v>77</v>
      </c>
      <c r="C146" s="462" t="s">
        <v>688</v>
      </c>
      <c r="D146" s="462" t="s">
        <v>63</v>
      </c>
      <c r="E146" s="462" t="s">
        <v>64</v>
      </c>
      <c r="F146" s="462" t="s">
        <v>65</v>
      </c>
      <c r="G146" s="462" t="s">
        <v>402</v>
      </c>
      <c r="H146" s="462" t="s">
        <v>67</v>
      </c>
      <c r="I146" s="439" t="s">
        <v>68</v>
      </c>
      <c r="J146" s="430" t="s">
        <v>690</v>
      </c>
      <c r="K146" s="430"/>
      <c r="L146" s="430"/>
      <c r="M146" s="430" t="s">
        <v>68</v>
      </c>
      <c r="N146" s="432">
        <v>46045</v>
      </c>
      <c r="O146" s="430" t="s">
        <v>70</v>
      </c>
      <c r="P146" s="430" t="s">
        <v>691</v>
      </c>
      <c r="Q146" s="430" t="s">
        <v>692</v>
      </c>
      <c r="R146" s="431" t="s">
        <v>73</v>
      </c>
      <c r="S146" s="442" t="s">
        <v>74</v>
      </c>
      <c r="T146" s="433">
        <v>505</v>
      </c>
      <c r="U146" s="1088">
        <v>864</v>
      </c>
      <c r="V146" s="434">
        <v>0.436</v>
      </c>
      <c r="W146" s="435">
        <v>24</v>
      </c>
      <c r="X146" s="1040">
        <v>1</v>
      </c>
      <c r="Y146" s="430" t="s">
        <v>75</v>
      </c>
      <c r="Z146" s="430" t="s">
        <v>75</v>
      </c>
      <c r="AA146" s="430"/>
      <c r="AB146" s="437">
        <v>46056</v>
      </c>
      <c r="AC146" s="438">
        <v>6</v>
      </c>
      <c r="AD146" s="439" t="s">
        <v>785</v>
      </c>
      <c r="AE146" s="430"/>
      <c r="AF146" s="430" t="s">
        <v>77</v>
      </c>
      <c r="AG146" s="430" t="s">
        <v>61</v>
      </c>
      <c r="AH146" s="430" t="s">
        <v>78</v>
      </c>
      <c r="AI146" s="437">
        <v>46066</v>
      </c>
      <c r="AJ146" s="437">
        <v>46065</v>
      </c>
      <c r="AK146" s="441">
        <v>46065</v>
      </c>
      <c r="AL146" s="437">
        <v>46139</v>
      </c>
      <c r="AM146" s="437">
        <v>46146</v>
      </c>
      <c r="AN146" s="437">
        <v>46144</v>
      </c>
      <c r="AO146" s="430" t="s">
        <v>402</v>
      </c>
      <c r="AP146" s="430" t="s">
        <v>771</v>
      </c>
      <c r="AQ146" s="430" t="s">
        <v>80</v>
      </c>
      <c r="AR146" s="430" t="s">
        <v>777</v>
      </c>
      <c r="AS146" s="430" t="s">
        <v>778</v>
      </c>
      <c r="AT146" s="482" t="s">
        <v>778</v>
      </c>
      <c r="AU1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7">
        <v>46144</v>
      </c>
      <c r="AX146" s="433" t="s">
        <v>84</v>
      </c>
      <c r="AY146" s="437">
        <v>46160</v>
      </c>
      <c r="AZ146" s="442">
        <v>8</v>
      </c>
      <c r="BA146" s="437">
        <v>46152</v>
      </c>
      <c r="BB146" s="433">
        <v>2026</v>
      </c>
      <c r="BC146" s="430">
        <v>5</v>
      </c>
      <c r="BD146" s="430">
        <v>19</v>
      </c>
      <c r="BE146" s="431">
        <v>36</v>
      </c>
      <c r="BF146" s="431">
        <v>864</v>
      </c>
      <c r="BG146" s="431" t="s">
        <v>85</v>
      </c>
      <c r="BH146" s="431" t="s">
        <v>86</v>
      </c>
      <c r="BI146" s="430" t="s">
        <v>197</v>
      </c>
      <c r="BJ146" s="430" t="s">
        <v>197</v>
      </c>
      <c r="BK146" s="430" t="s">
        <v>197</v>
      </c>
      <c r="BL146" s="430" t="s">
        <v>197</v>
      </c>
      <c r="BM146" s="430" t="s">
        <v>197</v>
      </c>
      <c r="BN146" s="430" t="s">
        <v>197</v>
      </c>
      <c r="BO146" s="430" t="s">
        <v>197</v>
      </c>
      <c r="BP146" s="430" t="s">
        <v>197</v>
      </c>
      <c r="BQ146" s="430" t="s">
        <v>197</v>
      </c>
      <c r="BR146" s="430" t="s">
        <v>197</v>
      </c>
      <c r="BS146" s="430" t="s">
        <v>197</v>
      </c>
      <c r="BT146" s="430" t="s">
        <v>197</v>
      </c>
      <c r="BU146" s="430" t="s">
        <v>197</v>
      </c>
      <c r="BV146" s="430" t="s">
        <v>197</v>
      </c>
      <c r="BW146" s="430" t="s">
        <v>197</v>
      </c>
      <c r="BX146" s="430" t="s">
        <v>197</v>
      </c>
      <c r="BY146" s="430" t="s">
        <v>197</v>
      </c>
      <c r="BZ146" s="430" t="s">
        <v>197</v>
      </c>
      <c r="CA146" s="430" t="s">
        <v>197</v>
      </c>
      <c r="CB146" s="430" t="s">
        <v>197</v>
      </c>
      <c r="CC146" s="430" t="s">
        <v>197</v>
      </c>
      <c r="CD146" s="430" t="s">
        <v>197</v>
      </c>
      <c r="CE146" s="430" t="s">
        <v>197</v>
      </c>
      <c r="CF146" s="430" t="s">
        <v>197</v>
      </c>
      <c r="CG146" s="430" t="s">
        <v>197</v>
      </c>
      <c r="CH146" s="430" t="s">
        <v>197</v>
      </c>
      <c r="CI146" s="430" t="s">
        <v>197</v>
      </c>
      <c r="CJ146" s="430" t="s">
        <v>197</v>
      </c>
      <c r="CK146" s="430" t="s">
        <v>197</v>
      </c>
      <c r="CL146" s="430" t="s">
        <v>197</v>
      </c>
      <c r="CM146" s="430" t="s">
        <v>197</v>
      </c>
    </row>
    <row r="147" spans="1:91" ht="10.5">
      <c r="A147" s="462" t="s">
        <v>786</v>
      </c>
      <c r="B147" s="462" t="s">
        <v>77</v>
      </c>
      <c r="C147" s="462" t="s">
        <v>688</v>
      </c>
      <c r="D147" s="462" t="s">
        <v>63</v>
      </c>
      <c r="E147" s="462" t="s">
        <v>64</v>
      </c>
      <c r="F147" s="462" t="s">
        <v>65</v>
      </c>
      <c r="G147" s="462" t="s">
        <v>402</v>
      </c>
      <c r="H147" s="462" t="s">
        <v>67</v>
      </c>
      <c r="I147" s="439" t="s">
        <v>68</v>
      </c>
      <c r="J147" s="430" t="s">
        <v>690</v>
      </c>
      <c r="K147" s="430"/>
      <c r="L147" s="430"/>
      <c r="M147" s="430" t="s">
        <v>68</v>
      </c>
      <c r="N147" s="432">
        <v>46045</v>
      </c>
      <c r="O147" s="430" t="s">
        <v>70</v>
      </c>
      <c r="P147" s="430" t="s">
        <v>691</v>
      </c>
      <c r="Q147" s="430" t="s">
        <v>692</v>
      </c>
      <c r="R147" s="431" t="s">
        <v>73</v>
      </c>
      <c r="S147" s="442" t="s">
        <v>74</v>
      </c>
      <c r="T147" s="433">
        <v>505</v>
      </c>
      <c r="U147" s="1088">
        <v>2592</v>
      </c>
      <c r="V147" s="434">
        <v>1.3089999999999999</v>
      </c>
      <c r="W147" s="435">
        <v>72</v>
      </c>
      <c r="X147" s="1040">
        <v>3</v>
      </c>
      <c r="Y147" s="430" t="s">
        <v>75</v>
      </c>
      <c r="Z147" s="430" t="s">
        <v>75</v>
      </c>
      <c r="AA147" s="430"/>
      <c r="AB147" s="437">
        <v>46058</v>
      </c>
      <c r="AC147" s="438">
        <v>6</v>
      </c>
      <c r="AD147" s="439" t="s">
        <v>787</v>
      </c>
      <c r="AE147" s="430"/>
      <c r="AF147" s="430" t="s">
        <v>77</v>
      </c>
      <c r="AG147" s="430" t="s">
        <v>61</v>
      </c>
      <c r="AH147" s="430" t="s">
        <v>78</v>
      </c>
      <c r="AI147" s="437">
        <v>46066</v>
      </c>
      <c r="AJ147" s="437">
        <v>46065</v>
      </c>
      <c r="AK147" s="441">
        <v>46065</v>
      </c>
      <c r="AL147" s="437">
        <v>46139</v>
      </c>
      <c r="AM147" s="437">
        <v>46146</v>
      </c>
      <c r="AN147" s="437">
        <v>46144</v>
      </c>
      <c r="AO147" s="430" t="s">
        <v>402</v>
      </c>
      <c r="AP147" s="430" t="s">
        <v>771</v>
      </c>
      <c r="AQ147" s="430" t="s">
        <v>80</v>
      </c>
      <c r="AR147" s="430" t="s">
        <v>788</v>
      </c>
      <c r="AS147" s="430" t="s">
        <v>789</v>
      </c>
      <c r="AT147" s="482" t="s">
        <v>789</v>
      </c>
      <c r="AU1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7">
        <v>46144</v>
      </c>
      <c r="AX147" s="433" t="s">
        <v>84</v>
      </c>
      <c r="AY147" s="437">
        <v>46160</v>
      </c>
      <c r="AZ147" s="442">
        <v>8</v>
      </c>
      <c r="BA147" s="437">
        <v>46152</v>
      </c>
      <c r="BB147" s="433">
        <v>2026</v>
      </c>
      <c r="BC147" s="430">
        <v>5</v>
      </c>
      <c r="BD147" s="430">
        <v>19</v>
      </c>
      <c r="BE147" s="431">
        <v>36</v>
      </c>
      <c r="BF147" s="431">
        <v>864</v>
      </c>
      <c r="BG147" s="431" t="s">
        <v>85</v>
      </c>
      <c r="BH147" s="431" t="s">
        <v>86</v>
      </c>
      <c r="BI147" s="430" t="s">
        <v>197</v>
      </c>
      <c r="BJ147" s="430" t="s">
        <v>197</v>
      </c>
      <c r="BK147" s="430" t="s">
        <v>197</v>
      </c>
      <c r="BL147" s="430" t="s">
        <v>197</v>
      </c>
      <c r="BM147" s="430" t="s">
        <v>197</v>
      </c>
      <c r="BN147" s="430" t="s">
        <v>197</v>
      </c>
      <c r="BO147" s="430" t="s">
        <v>197</v>
      </c>
      <c r="BP147" s="430" t="s">
        <v>197</v>
      </c>
      <c r="BQ147" s="430" t="s">
        <v>197</v>
      </c>
      <c r="BR147" s="430" t="s">
        <v>197</v>
      </c>
      <c r="BS147" s="430" t="s">
        <v>197</v>
      </c>
      <c r="BT147" s="430" t="s">
        <v>197</v>
      </c>
      <c r="BU147" s="430" t="s">
        <v>197</v>
      </c>
      <c r="BV147" s="430" t="s">
        <v>197</v>
      </c>
      <c r="BW147" s="430" t="s">
        <v>197</v>
      </c>
      <c r="BX147" s="430" t="s">
        <v>197</v>
      </c>
      <c r="BY147" s="430" t="s">
        <v>197</v>
      </c>
      <c r="BZ147" s="430" t="s">
        <v>197</v>
      </c>
      <c r="CA147" s="430" t="s">
        <v>197</v>
      </c>
      <c r="CB147" s="430" t="s">
        <v>197</v>
      </c>
      <c r="CC147" s="430" t="s">
        <v>197</v>
      </c>
      <c r="CD147" s="430" t="s">
        <v>197</v>
      </c>
      <c r="CE147" s="430" t="s">
        <v>197</v>
      </c>
      <c r="CF147" s="430" t="s">
        <v>197</v>
      </c>
      <c r="CG147" s="430" t="s">
        <v>197</v>
      </c>
      <c r="CH147" s="430" t="s">
        <v>197</v>
      </c>
      <c r="CI147" s="430" t="s">
        <v>197</v>
      </c>
      <c r="CJ147" s="430" t="s">
        <v>197</v>
      </c>
      <c r="CK147" s="430" t="s">
        <v>197</v>
      </c>
      <c r="CL147" s="430" t="s">
        <v>197</v>
      </c>
      <c r="CM147" s="430" t="s">
        <v>197</v>
      </c>
    </row>
    <row r="148" spans="1:91" ht="10.5">
      <c r="A148" s="462" t="s">
        <v>790</v>
      </c>
      <c r="B148" s="462" t="s">
        <v>61</v>
      </c>
      <c r="C148" s="462" t="s">
        <v>203</v>
      </c>
      <c r="D148" s="462" t="s">
        <v>63</v>
      </c>
      <c r="E148" s="462" t="s">
        <v>64</v>
      </c>
      <c r="F148" s="462" t="s">
        <v>100</v>
      </c>
      <c r="G148" s="462" t="s">
        <v>402</v>
      </c>
      <c r="H148" s="462" t="s">
        <v>67</v>
      </c>
      <c r="I148" s="439" t="s">
        <v>68</v>
      </c>
      <c r="J148" s="430" t="s">
        <v>483</v>
      </c>
      <c r="K148" s="430"/>
      <c r="L148" s="430"/>
      <c r="M148" s="430" t="s">
        <v>68</v>
      </c>
      <c r="N148" s="432">
        <v>46045</v>
      </c>
      <c r="O148" s="430" t="s">
        <v>70</v>
      </c>
      <c r="P148" s="430" t="s">
        <v>791</v>
      </c>
      <c r="Q148" s="430" t="s">
        <v>571</v>
      </c>
      <c r="R148" s="431" t="s">
        <v>73</v>
      </c>
      <c r="S148" s="442" t="s">
        <v>120</v>
      </c>
      <c r="T148" s="433">
        <v>445</v>
      </c>
      <c r="U148" s="1088">
        <v>4680</v>
      </c>
      <c r="V148" s="434">
        <v>2.0830000000000002</v>
      </c>
      <c r="W148" s="435">
        <v>130</v>
      </c>
      <c r="X148" s="1040">
        <v>5</v>
      </c>
      <c r="Y148" s="430" t="s">
        <v>75</v>
      </c>
      <c r="Z148" s="430" t="s">
        <v>75</v>
      </c>
      <c r="AA148" s="430"/>
      <c r="AB148" s="437">
        <v>46057</v>
      </c>
      <c r="AC148" s="438">
        <v>6</v>
      </c>
      <c r="AD148" s="439" t="s">
        <v>792</v>
      </c>
      <c r="AE148" s="430"/>
      <c r="AF148" s="430" t="s">
        <v>77</v>
      </c>
      <c r="AG148" s="430" t="s">
        <v>61</v>
      </c>
      <c r="AH148" s="430" t="s">
        <v>105</v>
      </c>
      <c r="AI148" s="437">
        <v>46066</v>
      </c>
      <c r="AJ148" s="437">
        <v>46065</v>
      </c>
      <c r="AK148" s="441">
        <v>46065</v>
      </c>
      <c r="AL148" s="437">
        <v>46119</v>
      </c>
      <c r="AM148" s="437">
        <v>46141</v>
      </c>
      <c r="AN148" s="437">
        <v>46137</v>
      </c>
      <c r="AO148" s="430" t="s">
        <v>402</v>
      </c>
      <c r="AP148" s="430" t="s">
        <v>771</v>
      </c>
      <c r="AQ148" s="430" t="s">
        <v>80</v>
      </c>
      <c r="AR148" s="430" t="s">
        <v>793</v>
      </c>
      <c r="AS148" s="430" t="s">
        <v>794</v>
      </c>
      <c r="AT148" s="482" t="s">
        <v>794</v>
      </c>
      <c r="AU1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7">
        <v>46137</v>
      </c>
      <c r="AX148" s="433" t="s">
        <v>84</v>
      </c>
      <c r="AY148" s="437">
        <v>46150</v>
      </c>
      <c r="AZ148" s="442">
        <v>7</v>
      </c>
      <c r="BA148" s="437">
        <v>46144</v>
      </c>
      <c r="BB148" s="433">
        <v>2026</v>
      </c>
      <c r="BC148" s="430">
        <v>5</v>
      </c>
      <c r="BD148" s="430">
        <v>18</v>
      </c>
      <c r="BE148" s="431">
        <v>36</v>
      </c>
      <c r="BF148" s="431">
        <v>936</v>
      </c>
      <c r="BG148" s="431" t="s">
        <v>85</v>
      </c>
      <c r="BH148" s="431" t="s">
        <v>109</v>
      </c>
      <c r="BI148" s="430" t="s">
        <v>197</v>
      </c>
      <c r="BJ148" s="430" t="s">
        <v>197</v>
      </c>
      <c r="BK148" s="430" t="s">
        <v>197</v>
      </c>
      <c r="BL148" s="430" t="s">
        <v>197</v>
      </c>
      <c r="BM148" s="430" t="s">
        <v>197</v>
      </c>
      <c r="BN148" s="430" t="s">
        <v>197</v>
      </c>
      <c r="BO148" s="430" t="s">
        <v>197</v>
      </c>
      <c r="BP148" s="430" t="s">
        <v>197</v>
      </c>
      <c r="BQ148" s="430" t="s">
        <v>197</v>
      </c>
      <c r="BR148" s="430" t="s">
        <v>197</v>
      </c>
      <c r="BS148" s="430" t="s">
        <v>197</v>
      </c>
      <c r="BT148" s="430" t="s">
        <v>197</v>
      </c>
      <c r="BU148" s="430" t="s">
        <v>197</v>
      </c>
      <c r="BV148" s="430" t="s">
        <v>197</v>
      </c>
      <c r="BW148" s="430" t="s">
        <v>197</v>
      </c>
      <c r="BX148" s="430" t="s">
        <v>197</v>
      </c>
      <c r="BY148" s="430" t="s">
        <v>197</v>
      </c>
      <c r="BZ148" s="430" t="s">
        <v>197</v>
      </c>
      <c r="CA148" s="430" t="s">
        <v>197</v>
      </c>
      <c r="CB148" s="430" t="s">
        <v>197</v>
      </c>
      <c r="CC148" s="430" t="s">
        <v>197</v>
      </c>
      <c r="CD148" s="430" t="s">
        <v>197</v>
      </c>
      <c r="CE148" s="430" t="s">
        <v>197</v>
      </c>
      <c r="CF148" s="430" t="s">
        <v>197</v>
      </c>
      <c r="CG148" s="430" t="s">
        <v>197</v>
      </c>
      <c r="CH148" s="430" t="s">
        <v>197</v>
      </c>
      <c r="CI148" s="430" t="s">
        <v>197</v>
      </c>
      <c r="CJ148" s="430" t="s">
        <v>197</v>
      </c>
      <c r="CK148" s="430" t="s">
        <v>197</v>
      </c>
      <c r="CL148" s="430" t="s">
        <v>197</v>
      </c>
      <c r="CM148" s="430" t="s">
        <v>197</v>
      </c>
    </row>
    <row r="149" spans="1:91" ht="10.5">
      <c r="A149" s="462" t="s">
        <v>795</v>
      </c>
      <c r="B149" s="462" t="s">
        <v>61</v>
      </c>
      <c r="C149" s="462" t="s">
        <v>796</v>
      </c>
      <c r="D149" s="462" t="s">
        <v>63</v>
      </c>
      <c r="E149" s="462" t="s">
        <v>64</v>
      </c>
      <c r="F149" s="462" t="s">
        <v>100</v>
      </c>
      <c r="G149" s="462" t="s">
        <v>402</v>
      </c>
      <c r="H149" s="462" t="s">
        <v>67</v>
      </c>
      <c r="I149" s="439" t="s">
        <v>68</v>
      </c>
      <c r="J149" s="430" t="s">
        <v>483</v>
      </c>
      <c r="K149" s="430"/>
      <c r="L149" s="430"/>
      <c r="M149" s="430" t="s">
        <v>68</v>
      </c>
      <c r="N149" s="432">
        <v>46045</v>
      </c>
      <c r="O149" s="430" t="s">
        <v>70</v>
      </c>
      <c r="P149" s="430" t="s">
        <v>570</v>
      </c>
      <c r="Q149" s="430" t="s">
        <v>571</v>
      </c>
      <c r="R149" s="431" t="s">
        <v>73</v>
      </c>
      <c r="S149" s="442" t="s">
        <v>120</v>
      </c>
      <c r="T149" s="433">
        <v>445</v>
      </c>
      <c r="U149" s="1088">
        <v>3744</v>
      </c>
      <c r="V149" s="434">
        <v>1.6659999999999999</v>
      </c>
      <c r="W149" s="435">
        <v>104</v>
      </c>
      <c r="X149" s="1040">
        <v>4</v>
      </c>
      <c r="Y149" s="430" t="s">
        <v>75</v>
      </c>
      <c r="Z149" s="430" t="s">
        <v>75</v>
      </c>
      <c r="AA149" s="430"/>
      <c r="AB149" s="437">
        <v>46057</v>
      </c>
      <c r="AC149" s="438">
        <v>6</v>
      </c>
      <c r="AD149" s="439" t="s">
        <v>797</v>
      </c>
      <c r="AE149" s="430"/>
      <c r="AF149" s="430" t="s">
        <v>77</v>
      </c>
      <c r="AG149" s="430" t="s">
        <v>61</v>
      </c>
      <c r="AH149" s="430" t="s">
        <v>105</v>
      </c>
      <c r="AI149" s="437">
        <v>46066</v>
      </c>
      <c r="AJ149" s="437">
        <v>46065</v>
      </c>
      <c r="AK149" s="441">
        <v>46065</v>
      </c>
      <c r="AL149" s="437">
        <v>46119</v>
      </c>
      <c r="AM149" s="437">
        <v>46141</v>
      </c>
      <c r="AN149" s="437">
        <v>46137</v>
      </c>
      <c r="AO149" s="430" t="s">
        <v>402</v>
      </c>
      <c r="AP149" s="430" t="s">
        <v>771</v>
      </c>
      <c r="AQ149" s="430" t="s">
        <v>80</v>
      </c>
      <c r="AR149" s="430" t="s">
        <v>793</v>
      </c>
      <c r="AS149" s="430" t="s">
        <v>794</v>
      </c>
      <c r="AT149" s="482" t="s">
        <v>794</v>
      </c>
      <c r="AU1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7">
        <v>46137</v>
      </c>
      <c r="AX149" s="433" t="s">
        <v>84</v>
      </c>
      <c r="AY149" s="437">
        <v>46150</v>
      </c>
      <c r="AZ149" s="442">
        <v>7</v>
      </c>
      <c r="BA149" s="437">
        <v>46144</v>
      </c>
      <c r="BB149" s="433">
        <v>2026</v>
      </c>
      <c r="BC149" s="430">
        <v>5</v>
      </c>
      <c r="BD149" s="430">
        <v>18</v>
      </c>
      <c r="BE149" s="431">
        <v>36</v>
      </c>
      <c r="BF149" s="431">
        <v>936</v>
      </c>
      <c r="BG149" s="431" t="s">
        <v>94</v>
      </c>
      <c r="BH149" s="431" t="s">
        <v>109</v>
      </c>
      <c r="BI149" s="430" t="s">
        <v>197</v>
      </c>
      <c r="BJ149" s="430" t="s">
        <v>197</v>
      </c>
      <c r="BK149" s="430" t="s">
        <v>197</v>
      </c>
      <c r="BL149" s="430" t="s">
        <v>197</v>
      </c>
      <c r="BM149" s="430" t="s">
        <v>197</v>
      </c>
      <c r="BN149" s="430" t="s">
        <v>197</v>
      </c>
      <c r="BO149" s="430" t="s">
        <v>197</v>
      </c>
      <c r="BP149" s="430" t="s">
        <v>197</v>
      </c>
      <c r="BQ149" s="430" t="s">
        <v>197</v>
      </c>
      <c r="BR149" s="430" t="s">
        <v>197</v>
      </c>
      <c r="BS149" s="430" t="s">
        <v>197</v>
      </c>
      <c r="BT149" s="430" t="s">
        <v>197</v>
      </c>
      <c r="BU149" s="430" t="s">
        <v>197</v>
      </c>
      <c r="BV149" s="430" t="s">
        <v>197</v>
      </c>
      <c r="BW149" s="430" t="s">
        <v>197</v>
      </c>
      <c r="BX149" s="430" t="s">
        <v>197</v>
      </c>
      <c r="BY149" s="430" t="s">
        <v>197</v>
      </c>
      <c r="BZ149" s="430" t="s">
        <v>197</v>
      </c>
      <c r="CA149" s="430" t="s">
        <v>197</v>
      </c>
      <c r="CB149" s="430" t="s">
        <v>197</v>
      </c>
      <c r="CC149" s="430" t="s">
        <v>197</v>
      </c>
      <c r="CD149" s="430" t="s">
        <v>197</v>
      </c>
      <c r="CE149" s="430" t="s">
        <v>197</v>
      </c>
      <c r="CF149" s="430" t="s">
        <v>197</v>
      </c>
      <c r="CG149" s="430" t="s">
        <v>197</v>
      </c>
      <c r="CH149" s="430" t="s">
        <v>197</v>
      </c>
      <c r="CI149" s="430" t="s">
        <v>197</v>
      </c>
      <c r="CJ149" s="430" t="s">
        <v>197</v>
      </c>
      <c r="CK149" s="430" t="s">
        <v>197</v>
      </c>
      <c r="CL149" s="430" t="s">
        <v>197</v>
      </c>
      <c r="CM149" s="430" t="s">
        <v>197</v>
      </c>
    </row>
    <row r="150" spans="1:91" ht="10.5">
      <c r="A150" s="462" t="s">
        <v>193</v>
      </c>
      <c r="B150" s="462" t="s">
        <v>61</v>
      </c>
      <c r="C150" s="462" t="s">
        <v>203</v>
      </c>
      <c r="D150" s="462" t="s">
        <v>63</v>
      </c>
      <c r="E150" s="462" t="s">
        <v>64</v>
      </c>
      <c r="F150" s="462" t="s">
        <v>100</v>
      </c>
      <c r="G150" s="462" t="s">
        <v>402</v>
      </c>
      <c r="H150" s="462" t="s">
        <v>67</v>
      </c>
      <c r="I150" s="439" t="s">
        <v>68</v>
      </c>
      <c r="J150" s="430" t="s">
        <v>483</v>
      </c>
      <c r="K150" s="430"/>
      <c r="L150" s="430"/>
      <c r="M150" s="430" t="s">
        <v>68</v>
      </c>
      <c r="N150" s="432">
        <v>46045</v>
      </c>
      <c r="O150" s="430" t="s">
        <v>70</v>
      </c>
      <c r="P150" s="430" t="s">
        <v>195</v>
      </c>
      <c r="Q150" s="430" t="s">
        <v>196</v>
      </c>
      <c r="R150" s="431" t="s">
        <v>73</v>
      </c>
      <c r="S150" s="442" t="s">
        <v>74</v>
      </c>
      <c r="T150" s="433">
        <v>450</v>
      </c>
      <c r="U150" s="1088">
        <v>4680</v>
      </c>
      <c r="V150" s="434">
        <v>2.1059999999999999</v>
      </c>
      <c r="W150" s="435">
        <v>130</v>
      </c>
      <c r="X150" s="1040">
        <v>5</v>
      </c>
      <c r="Y150" s="430" t="s">
        <v>75</v>
      </c>
      <c r="Z150" s="430" t="s">
        <v>75</v>
      </c>
      <c r="AA150" s="430"/>
      <c r="AB150" s="437">
        <v>46057</v>
      </c>
      <c r="AC150" s="438">
        <v>6</v>
      </c>
      <c r="AD150" s="439" t="s">
        <v>798</v>
      </c>
      <c r="AE150" s="430"/>
      <c r="AF150" s="430" t="s">
        <v>77</v>
      </c>
      <c r="AG150" s="430" t="s">
        <v>61</v>
      </c>
      <c r="AH150" s="430" t="s">
        <v>105</v>
      </c>
      <c r="AI150" s="437">
        <v>46066</v>
      </c>
      <c r="AJ150" s="437">
        <v>46065</v>
      </c>
      <c r="AK150" s="441">
        <v>46065</v>
      </c>
      <c r="AL150" s="437">
        <v>46119</v>
      </c>
      <c r="AM150" s="437">
        <v>46141</v>
      </c>
      <c r="AN150" s="437">
        <v>46137</v>
      </c>
      <c r="AO150" s="430" t="s">
        <v>402</v>
      </c>
      <c r="AP150" s="430" t="s">
        <v>771</v>
      </c>
      <c r="AQ150" s="430" t="s">
        <v>80</v>
      </c>
      <c r="AR150" s="430" t="s">
        <v>793</v>
      </c>
      <c r="AS150" s="430" t="s">
        <v>794</v>
      </c>
      <c r="AT150" s="482" t="s">
        <v>794</v>
      </c>
      <c r="AU1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7">
        <v>46137</v>
      </c>
      <c r="AX150" s="433" t="s">
        <v>84</v>
      </c>
      <c r="AY150" s="437">
        <v>46150</v>
      </c>
      <c r="AZ150" s="442">
        <v>7</v>
      </c>
      <c r="BA150" s="437">
        <v>46144</v>
      </c>
      <c r="BB150" s="433">
        <v>2026</v>
      </c>
      <c r="BC150" s="430">
        <v>5</v>
      </c>
      <c r="BD150" s="430">
        <v>18</v>
      </c>
      <c r="BE150" s="431">
        <v>36</v>
      </c>
      <c r="BF150" s="431">
        <v>936</v>
      </c>
      <c r="BG150" s="431" t="s">
        <v>85</v>
      </c>
      <c r="BH150" s="431" t="s">
        <v>109</v>
      </c>
      <c r="BI150" s="430" t="s">
        <v>197</v>
      </c>
      <c r="BJ150" s="430" t="s">
        <v>197</v>
      </c>
      <c r="BK150" s="430" t="s">
        <v>197</v>
      </c>
      <c r="BL150" s="430" t="s">
        <v>197</v>
      </c>
      <c r="BM150" s="430" t="s">
        <v>197</v>
      </c>
      <c r="BN150" s="430" t="s">
        <v>197</v>
      </c>
      <c r="BO150" s="430" t="s">
        <v>197</v>
      </c>
      <c r="BP150" s="430" t="s">
        <v>197</v>
      </c>
      <c r="BQ150" s="430" t="s">
        <v>197</v>
      </c>
      <c r="BR150" s="430" t="s">
        <v>197</v>
      </c>
      <c r="BS150" s="430" t="s">
        <v>197</v>
      </c>
      <c r="BT150" s="430" t="s">
        <v>197</v>
      </c>
      <c r="BU150" s="430" t="s">
        <v>197</v>
      </c>
      <c r="BV150" s="430" t="s">
        <v>197</v>
      </c>
      <c r="BW150" s="430" t="s">
        <v>197</v>
      </c>
      <c r="BX150" s="430" t="s">
        <v>197</v>
      </c>
      <c r="BY150" s="430" t="s">
        <v>197</v>
      </c>
      <c r="BZ150" s="430" t="s">
        <v>197</v>
      </c>
      <c r="CA150" s="430" t="s">
        <v>197</v>
      </c>
      <c r="CB150" s="430" t="s">
        <v>197</v>
      </c>
      <c r="CC150" s="430" t="s">
        <v>197</v>
      </c>
      <c r="CD150" s="430" t="s">
        <v>197</v>
      </c>
      <c r="CE150" s="430" t="s">
        <v>197</v>
      </c>
      <c r="CF150" s="430" t="s">
        <v>197</v>
      </c>
      <c r="CG150" s="430" t="s">
        <v>197</v>
      </c>
      <c r="CH150" s="430" t="s">
        <v>197</v>
      </c>
      <c r="CI150" s="430" t="s">
        <v>197</v>
      </c>
      <c r="CJ150" s="430" t="s">
        <v>197</v>
      </c>
      <c r="CK150" s="430" t="s">
        <v>197</v>
      </c>
      <c r="CL150" s="430" t="s">
        <v>197</v>
      </c>
      <c r="CM150" s="430" t="s">
        <v>197</v>
      </c>
    </row>
    <row r="151" spans="1:91" ht="10.5">
      <c r="A151" s="462" t="s">
        <v>799</v>
      </c>
      <c r="B151" s="462" t="s">
        <v>800</v>
      </c>
      <c r="C151" s="462" t="s">
        <v>801</v>
      </c>
      <c r="D151" s="462" t="s">
        <v>63</v>
      </c>
      <c r="E151" s="462" t="s">
        <v>64</v>
      </c>
      <c r="F151" s="462" t="s">
        <v>100</v>
      </c>
      <c r="G151" s="462" t="s">
        <v>402</v>
      </c>
      <c r="H151" s="462" t="s">
        <v>67</v>
      </c>
      <c r="I151" s="439" t="s">
        <v>68</v>
      </c>
      <c r="J151" s="430" t="s">
        <v>419</v>
      </c>
      <c r="K151" s="430"/>
      <c r="L151" s="430"/>
      <c r="M151" s="430" t="s">
        <v>68</v>
      </c>
      <c r="N151" s="432">
        <v>46045</v>
      </c>
      <c r="O151" s="430" t="s">
        <v>70</v>
      </c>
      <c r="P151" s="430" t="s">
        <v>420</v>
      </c>
      <c r="Q151" s="430" t="s">
        <v>421</v>
      </c>
      <c r="R151" s="431" t="s">
        <v>73</v>
      </c>
      <c r="S151" s="442" t="s">
        <v>120</v>
      </c>
      <c r="T151" s="433">
        <v>505</v>
      </c>
      <c r="U151" s="1088">
        <v>864</v>
      </c>
      <c r="V151" s="434">
        <v>0.436</v>
      </c>
      <c r="W151" s="435">
        <v>24</v>
      </c>
      <c r="X151" s="1040">
        <v>1</v>
      </c>
      <c r="Y151" s="430" t="s">
        <v>75</v>
      </c>
      <c r="Z151" s="430" t="s">
        <v>75</v>
      </c>
      <c r="AA151" s="430"/>
      <c r="AB151" s="437">
        <v>46058</v>
      </c>
      <c r="AC151" s="438">
        <v>6</v>
      </c>
      <c r="AD151" s="439" t="s">
        <v>802</v>
      </c>
      <c r="AE151" s="430"/>
      <c r="AF151" s="430" t="s">
        <v>77</v>
      </c>
      <c r="AG151" s="430" t="s">
        <v>61</v>
      </c>
      <c r="AH151" s="430" t="s">
        <v>105</v>
      </c>
      <c r="AI151" s="437">
        <v>46066</v>
      </c>
      <c r="AJ151" s="437">
        <v>46065</v>
      </c>
      <c r="AK151" s="441">
        <v>46065</v>
      </c>
      <c r="AL151" s="437">
        <v>46119</v>
      </c>
      <c r="AM151" s="437">
        <v>46141</v>
      </c>
      <c r="AN151" s="437">
        <v>46137</v>
      </c>
      <c r="AO151" s="430" t="s">
        <v>402</v>
      </c>
      <c r="AP151" s="430" t="s">
        <v>771</v>
      </c>
      <c r="AQ151" s="430" t="s">
        <v>80</v>
      </c>
      <c r="AR151" s="430" t="s">
        <v>803</v>
      </c>
      <c r="AS151" s="430" t="s">
        <v>804</v>
      </c>
      <c r="AT151" s="482" t="s">
        <v>804</v>
      </c>
      <c r="AU1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7">
        <v>46137</v>
      </c>
      <c r="AX151" s="433" t="s">
        <v>84</v>
      </c>
      <c r="AY151" s="437">
        <v>46150</v>
      </c>
      <c r="AZ151" s="442">
        <v>7</v>
      </c>
      <c r="BA151" s="437">
        <v>46144</v>
      </c>
      <c r="BB151" s="433">
        <v>2026</v>
      </c>
      <c r="BC151" s="430">
        <v>5</v>
      </c>
      <c r="BD151" s="430">
        <v>18</v>
      </c>
      <c r="BE151" s="431">
        <v>36</v>
      </c>
      <c r="BF151" s="431">
        <v>864</v>
      </c>
      <c r="BG151" s="431" t="s">
        <v>85</v>
      </c>
      <c r="BH151" s="431" t="s">
        <v>109</v>
      </c>
      <c r="BI151" s="430" t="s">
        <v>197</v>
      </c>
      <c r="BJ151" s="430" t="s">
        <v>197</v>
      </c>
      <c r="BK151" s="430" t="s">
        <v>197</v>
      </c>
      <c r="BL151" s="430" t="s">
        <v>197</v>
      </c>
      <c r="BM151" s="430" t="s">
        <v>197</v>
      </c>
      <c r="BN151" s="430" t="s">
        <v>197</v>
      </c>
      <c r="BO151" s="430" t="s">
        <v>197</v>
      </c>
      <c r="BP151" s="430" t="s">
        <v>197</v>
      </c>
      <c r="BQ151" s="430" t="s">
        <v>197</v>
      </c>
      <c r="BR151" s="430" t="s">
        <v>197</v>
      </c>
      <c r="BS151" s="430" t="s">
        <v>197</v>
      </c>
      <c r="BT151" s="430" t="s">
        <v>197</v>
      </c>
      <c r="BU151" s="430" t="s">
        <v>197</v>
      </c>
      <c r="BV151" s="430" t="s">
        <v>197</v>
      </c>
      <c r="BW151" s="430" t="s">
        <v>197</v>
      </c>
      <c r="BX151" s="430" t="s">
        <v>197</v>
      </c>
      <c r="BY151" s="430" t="s">
        <v>197</v>
      </c>
      <c r="BZ151" s="430" t="s">
        <v>197</v>
      </c>
      <c r="CA151" s="430" t="s">
        <v>197</v>
      </c>
      <c r="CB151" s="430" t="s">
        <v>197</v>
      </c>
      <c r="CC151" s="430" t="s">
        <v>197</v>
      </c>
      <c r="CD151" s="430" t="s">
        <v>197</v>
      </c>
      <c r="CE151" s="430" t="s">
        <v>197</v>
      </c>
      <c r="CF151" s="430" t="s">
        <v>197</v>
      </c>
      <c r="CG151" s="430" t="s">
        <v>197</v>
      </c>
      <c r="CH151" s="430" t="s">
        <v>197</v>
      </c>
      <c r="CI151" s="430" t="s">
        <v>197</v>
      </c>
      <c r="CJ151" s="430" t="s">
        <v>197</v>
      </c>
      <c r="CK151" s="430" t="s">
        <v>197</v>
      </c>
      <c r="CL151" s="430" t="s">
        <v>197</v>
      </c>
      <c r="CM151" s="430" t="s">
        <v>197</v>
      </c>
    </row>
    <row r="152" spans="1:91" ht="10.5">
      <c r="A152" s="462" t="s">
        <v>805</v>
      </c>
      <c r="B152" s="462" t="s">
        <v>61</v>
      </c>
      <c r="C152" s="462" t="s">
        <v>418</v>
      </c>
      <c r="D152" s="462" t="s">
        <v>63</v>
      </c>
      <c r="E152" s="462" t="s">
        <v>64</v>
      </c>
      <c r="F152" s="462" t="s">
        <v>100</v>
      </c>
      <c r="G152" s="462" t="s">
        <v>402</v>
      </c>
      <c r="H152" s="462" t="s">
        <v>67</v>
      </c>
      <c r="I152" s="439" t="s">
        <v>68</v>
      </c>
      <c r="J152" s="430" t="s">
        <v>419</v>
      </c>
      <c r="K152" s="430"/>
      <c r="L152" s="430"/>
      <c r="M152" s="430" t="s">
        <v>68</v>
      </c>
      <c r="N152" s="432">
        <v>46045</v>
      </c>
      <c r="O152" s="430" t="s">
        <v>70</v>
      </c>
      <c r="P152" s="430" t="s">
        <v>420</v>
      </c>
      <c r="Q152" s="430" t="s">
        <v>421</v>
      </c>
      <c r="R152" s="431" t="s">
        <v>73</v>
      </c>
      <c r="S152" s="442" t="s">
        <v>120</v>
      </c>
      <c r="T152" s="433">
        <v>505</v>
      </c>
      <c r="U152" s="1088">
        <v>3456</v>
      </c>
      <c r="V152" s="434">
        <v>1.7450000000000001</v>
      </c>
      <c r="W152" s="435">
        <v>96</v>
      </c>
      <c r="X152" s="1040">
        <v>4</v>
      </c>
      <c r="Y152" s="430" t="s">
        <v>75</v>
      </c>
      <c r="Z152" s="430" t="s">
        <v>75</v>
      </c>
      <c r="AA152" s="430"/>
      <c r="AB152" s="437">
        <v>46058</v>
      </c>
      <c r="AC152" s="438">
        <v>6</v>
      </c>
      <c r="AD152" s="439" t="s">
        <v>806</v>
      </c>
      <c r="AE152" s="430"/>
      <c r="AF152" s="430" t="s">
        <v>77</v>
      </c>
      <c r="AG152" s="430" t="s">
        <v>61</v>
      </c>
      <c r="AH152" s="430" t="s">
        <v>105</v>
      </c>
      <c r="AI152" s="437">
        <v>46066</v>
      </c>
      <c r="AJ152" s="437">
        <v>46065</v>
      </c>
      <c r="AK152" s="441">
        <v>46065</v>
      </c>
      <c r="AL152" s="437">
        <v>46119</v>
      </c>
      <c r="AM152" s="437">
        <v>46141</v>
      </c>
      <c r="AN152" s="437">
        <v>46137</v>
      </c>
      <c r="AO152" s="430" t="s">
        <v>402</v>
      </c>
      <c r="AP152" s="430" t="s">
        <v>771</v>
      </c>
      <c r="AQ152" s="430" t="s">
        <v>80</v>
      </c>
      <c r="AR152" s="430" t="s">
        <v>803</v>
      </c>
      <c r="AS152" s="430" t="s">
        <v>804</v>
      </c>
      <c r="AT152" s="482" t="s">
        <v>804</v>
      </c>
      <c r="AU1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7">
        <v>46137</v>
      </c>
      <c r="AX152" s="433" t="s">
        <v>84</v>
      </c>
      <c r="AY152" s="437">
        <v>46150</v>
      </c>
      <c r="AZ152" s="442">
        <v>7</v>
      </c>
      <c r="BA152" s="437">
        <v>46144</v>
      </c>
      <c r="BB152" s="433">
        <v>2026</v>
      </c>
      <c r="BC152" s="430">
        <v>5</v>
      </c>
      <c r="BD152" s="430">
        <v>18</v>
      </c>
      <c r="BE152" s="431">
        <v>36</v>
      </c>
      <c r="BF152" s="431">
        <v>864</v>
      </c>
      <c r="BG152" s="431" t="s">
        <v>85</v>
      </c>
      <c r="BH152" s="431" t="s">
        <v>109</v>
      </c>
      <c r="BI152" s="430" t="s">
        <v>197</v>
      </c>
      <c r="BJ152" s="430" t="s">
        <v>197</v>
      </c>
      <c r="BK152" s="430" t="s">
        <v>197</v>
      </c>
      <c r="BL152" s="430" t="s">
        <v>197</v>
      </c>
      <c r="BM152" s="430" t="s">
        <v>197</v>
      </c>
      <c r="BN152" s="430" t="s">
        <v>197</v>
      </c>
      <c r="BO152" s="430" t="s">
        <v>197</v>
      </c>
      <c r="BP152" s="430" t="s">
        <v>197</v>
      </c>
      <c r="BQ152" s="430" t="s">
        <v>197</v>
      </c>
      <c r="BR152" s="430" t="s">
        <v>197</v>
      </c>
      <c r="BS152" s="430" t="s">
        <v>197</v>
      </c>
      <c r="BT152" s="430" t="s">
        <v>197</v>
      </c>
      <c r="BU152" s="430" t="s">
        <v>197</v>
      </c>
      <c r="BV152" s="430" t="s">
        <v>197</v>
      </c>
      <c r="BW152" s="430" t="s">
        <v>197</v>
      </c>
      <c r="BX152" s="430" t="s">
        <v>197</v>
      </c>
      <c r="BY152" s="430" t="s">
        <v>197</v>
      </c>
      <c r="BZ152" s="430" t="s">
        <v>197</v>
      </c>
      <c r="CA152" s="430" t="s">
        <v>197</v>
      </c>
      <c r="CB152" s="430" t="s">
        <v>197</v>
      </c>
      <c r="CC152" s="430" t="s">
        <v>197</v>
      </c>
      <c r="CD152" s="430" t="s">
        <v>197</v>
      </c>
      <c r="CE152" s="430" t="s">
        <v>197</v>
      </c>
      <c r="CF152" s="430" t="s">
        <v>197</v>
      </c>
      <c r="CG152" s="430" t="s">
        <v>197</v>
      </c>
      <c r="CH152" s="430" t="s">
        <v>197</v>
      </c>
      <c r="CI152" s="430" t="s">
        <v>197</v>
      </c>
      <c r="CJ152" s="430" t="s">
        <v>197</v>
      </c>
      <c r="CK152" s="430" t="s">
        <v>197</v>
      </c>
      <c r="CL152" s="430" t="s">
        <v>197</v>
      </c>
      <c r="CM152" s="430" t="s">
        <v>197</v>
      </c>
    </row>
    <row r="153" spans="1:91" ht="10.5">
      <c r="A153" s="462" t="s">
        <v>801</v>
      </c>
      <c r="B153" s="462" t="s">
        <v>800</v>
      </c>
      <c r="C153" s="462" t="s">
        <v>203</v>
      </c>
      <c r="D153" s="462" t="s">
        <v>63</v>
      </c>
      <c r="E153" s="462" t="s">
        <v>64</v>
      </c>
      <c r="F153" s="462" t="s">
        <v>100</v>
      </c>
      <c r="G153" s="462" t="s">
        <v>402</v>
      </c>
      <c r="H153" s="462" t="s">
        <v>67</v>
      </c>
      <c r="I153" s="439" t="s">
        <v>68</v>
      </c>
      <c r="J153" s="430" t="s">
        <v>807</v>
      </c>
      <c r="K153" s="430"/>
      <c r="L153" s="430"/>
      <c r="M153" s="430" t="s">
        <v>68</v>
      </c>
      <c r="N153" s="432">
        <v>46045</v>
      </c>
      <c r="O153" s="430" t="s">
        <v>70</v>
      </c>
      <c r="P153" s="430" t="s">
        <v>420</v>
      </c>
      <c r="Q153" s="430" t="s">
        <v>421</v>
      </c>
      <c r="R153" s="431" t="s">
        <v>73</v>
      </c>
      <c r="S153" s="442" t="s">
        <v>120</v>
      </c>
      <c r="T153" s="433">
        <v>505</v>
      </c>
      <c r="U153" s="1088">
        <v>4320</v>
      </c>
      <c r="V153" s="434">
        <v>2.1819999999999999</v>
      </c>
      <c r="W153" s="435">
        <v>120</v>
      </c>
      <c r="X153" s="1040">
        <v>5</v>
      </c>
      <c r="Y153" s="430" t="s">
        <v>75</v>
      </c>
      <c r="Z153" s="430" t="s">
        <v>75</v>
      </c>
      <c r="AA153" s="430"/>
      <c r="AB153" s="437">
        <v>46060</v>
      </c>
      <c r="AC153" s="438">
        <v>6</v>
      </c>
      <c r="AD153" s="439" t="s">
        <v>808</v>
      </c>
      <c r="AE153" s="430"/>
      <c r="AF153" s="430" t="s">
        <v>77</v>
      </c>
      <c r="AG153" s="430" t="s">
        <v>61</v>
      </c>
      <c r="AH153" s="430" t="s">
        <v>105</v>
      </c>
      <c r="AI153" s="437">
        <v>46066</v>
      </c>
      <c r="AJ153" s="437">
        <v>46065</v>
      </c>
      <c r="AK153" s="441">
        <v>46065</v>
      </c>
      <c r="AL153" s="437">
        <v>46119</v>
      </c>
      <c r="AM153" s="437">
        <v>46141</v>
      </c>
      <c r="AN153" s="437">
        <v>46137</v>
      </c>
      <c r="AO153" s="430" t="s">
        <v>402</v>
      </c>
      <c r="AP153" s="430" t="s">
        <v>771</v>
      </c>
      <c r="AQ153" s="430" t="s">
        <v>80</v>
      </c>
      <c r="AR153" s="430" t="s">
        <v>809</v>
      </c>
      <c r="AS153" s="430" t="s">
        <v>810</v>
      </c>
      <c r="AT153" s="482" t="s">
        <v>810</v>
      </c>
      <c r="AU1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7">
        <v>46137</v>
      </c>
      <c r="AX153" s="433" t="s">
        <v>84</v>
      </c>
      <c r="AY153" s="437">
        <v>46150</v>
      </c>
      <c r="AZ153" s="442">
        <v>7</v>
      </c>
      <c r="BA153" s="437">
        <v>46144</v>
      </c>
      <c r="BB153" s="433">
        <v>2026</v>
      </c>
      <c r="BC153" s="430">
        <v>5</v>
      </c>
      <c r="BD153" s="430">
        <v>18</v>
      </c>
      <c r="BE153" s="431">
        <v>36</v>
      </c>
      <c r="BF153" s="431">
        <v>864</v>
      </c>
      <c r="BG153" s="431" t="s">
        <v>85</v>
      </c>
      <c r="BH153" s="431" t="s">
        <v>109</v>
      </c>
      <c r="BI153" s="430" t="s">
        <v>197</v>
      </c>
      <c r="BJ153" s="430" t="s">
        <v>197</v>
      </c>
      <c r="BK153" s="430" t="s">
        <v>197</v>
      </c>
      <c r="BL153" s="430" t="s">
        <v>197</v>
      </c>
      <c r="BM153" s="430" t="s">
        <v>197</v>
      </c>
      <c r="BN153" s="430" t="s">
        <v>197</v>
      </c>
      <c r="BO153" s="430" t="s">
        <v>197</v>
      </c>
      <c r="BP153" s="430" t="s">
        <v>197</v>
      </c>
      <c r="BQ153" s="430" t="s">
        <v>197</v>
      </c>
      <c r="BR153" s="430" t="s">
        <v>197</v>
      </c>
      <c r="BS153" s="430" t="s">
        <v>197</v>
      </c>
      <c r="BT153" s="430" t="s">
        <v>197</v>
      </c>
      <c r="BU153" s="430" t="s">
        <v>197</v>
      </c>
      <c r="BV153" s="430" t="s">
        <v>197</v>
      </c>
      <c r="BW153" s="430" t="s">
        <v>197</v>
      </c>
      <c r="BX153" s="430" t="s">
        <v>197</v>
      </c>
      <c r="BY153" s="430" t="s">
        <v>197</v>
      </c>
      <c r="BZ153" s="430" t="s">
        <v>197</v>
      </c>
      <c r="CA153" s="430" t="s">
        <v>197</v>
      </c>
      <c r="CB153" s="430" t="s">
        <v>197</v>
      </c>
      <c r="CC153" s="430" t="s">
        <v>197</v>
      </c>
      <c r="CD153" s="430" t="s">
        <v>197</v>
      </c>
      <c r="CE153" s="430" t="s">
        <v>197</v>
      </c>
      <c r="CF153" s="430" t="s">
        <v>197</v>
      </c>
      <c r="CG153" s="430" t="s">
        <v>197</v>
      </c>
      <c r="CH153" s="430" t="s">
        <v>197</v>
      </c>
      <c r="CI153" s="430" t="s">
        <v>197</v>
      </c>
      <c r="CJ153" s="430" t="s">
        <v>197</v>
      </c>
      <c r="CK153" s="430" t="s">
        <v>197</v>
      </c>
      <c r="CL153" s="430" t="s">
        <v>197</v>
      </c>
      <c r="CM153" s="430" t="s">
        <v>197</v>
      </c>
    </row>
    <row r="154" spans="1:91" ht="10.5">
      <c r="A154" s="462" t="s">
        <v>811</v>
      </c>
      <c r="B154" s="462" t="s">
        <v>800</v>
      </c>
      <c r="C154" s="462" t="s">
        <v>801</v>
      </c>
      <c r="D154" s="462" t="s">
        <v>63</v>
      </c>
      <c r="E154" s="462" t="s">
        <v>64</v>
      </c>
      <c r="F154" s="462" t="s">
        <v>450</v>
      </c>
      <c r="G154" s="462" t="s">
        <v>402</v>
      </c>
      <c r="H154" s="462" t="s">
        <v>451</v>
      </c>
      <c r="I154" s="439" t="s">
        <v>68</v>
      </c>
      <c r="J154" s="430" t="s">
        <v>812</v>
      </c>
      <c r="K154" s="430" t="s">
        <v>328</v>
      </c>
      <c r="L154" s="430"/>
      <c r="M154" s="430" t="s">
        <v>68</v>
      </c>
      <c r="N154" s="432">
        <v>46045</v>
      </c>
      <c r="O154" s="430" t="s">
        <v>70</v>
      </c>
      <c r="P154" s="430" t="s">
        <v>420</v>
      </c>
      <c r="Q154" s="430" t="s">
        <v>421</v>
      </c>
      <c r="R154" s="431" t="s">
        <v>73</v>
      </c>
      <c r="S154" s="442" t="s">
        <v>120</v>
      </c>
      <c r="T154" s="433">
        <v>505</v>
      </c>
      <c r="U154" s="1088">
        <v>864</v>
      </c>
      <c r="V154" s="434">
        <v>0.436</v>
      </c>
      <c r="W154" s="435">
        <v>24</v>
      </c>
      <c r="X154" s="1040">
        <v>1</v>
      </c>
      <c r="Y154" s="430" t="s">
        <v>75</v>
      </c>
      <c r="Z154" s="430" t="s">
        <v>75</v>
      </c>
      <c r="AA154" s="430"/>
      <c r="AB154" s="437">
        <v>46061</v>
      </c>
      <c r="AC154" s="438">
        <v>6</v>
      </c>
      <c r="AD154" s="439" t="s">
        <v>813</v>
      </c>
      <c r="AE154" s="430"/>
      <c r="AF154" s="430" t="s">
        <v>77</v>
      </c>
      <c r="AG154" s="430" t="s">
        <v>61</v>
      </c>
      <c r="AH154" s="430" t="s">
        <v>456</v>
      </c>
      <c r="AI154" s="437">
        <v>46070</v>
      </c>
      <c r="AJ154" s="437">
        <v>46072</v>
      </c>
      <c r="AK154" s="441">
        <v>46072</v>
      </c>
      <c r="AL154" s="437">
        <v>46131</v>
      </c>
      <c r="AM154" s="437">
        <v>46138</v>
      </c>
      <c r="AN154" s="437">
        <v>46138</v>
      </c>
      <c r="AO154" s="430" t="s">
        <v>402</v>
      </c>
      <c r="AP154" s="430" t="s">
        <v>814</v>
      </c>
      <c r="AQ154" s="430" t="s">
        <v>80</v>
      </c>
      <c r="AR154" s="430" t="s">
        <v>815</v>
      </c>
      <c r="AS154" s="430" t="s">
        <v>816</v>
      </c>
      <c r="AT154" s="482" t="s">
        <v>816</v>
      </c>
      <c r="AU1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7">
        <v>46138</v>
      </c>
      <c r="AX154" s="433" t="s">
        <v>84</v>
      </c>
      <c r="AY154" s="437">
        <v>46153</v>
      </c>
      <c r="AZ154" s="442">
        <v>7</v>
      </c>
      <c r="BA154" s="437">
        <v>46145</v>
      </c>
      <c r="BB154" s="433">
        <v>2026</v>
      </c>
      <c r="BC154" s="430">
        <v>5</v>
      </c>
      <c r="BD154" s="430">
        <v>18</v>
      </c>
      <c r="BE154" s="431">
        <v>36</v>
      </c>
      <c r="BF154" s="431">
        <v>864</v>
      </c>
      <c r="BG154" s="431" t="s">
        <v>85</v>
      </c>
      <c r="BH154" s="431" t="s">
        <v>109</v>
      </c>
      <c r="BI154" s="430" t="s">
        <v>197</v>
      </c>
      <c r="BJ154" s="430" t="s">
        <v>197</v>
      </c>
      <c r="BK154" s="430" t="s">
        <v>197</v>
      </c>
      <c r="BL154" s="430" t="s">
        <v>197</v>
      </c>
      <c r="BM154" s="430" t="s">
        <v>197</v>
      </c>
      <c r="BN154" s="430" t="s">
        <v>197</v>
      </c>
      <c r="BO154" s="430" t="s">
        <v>197</v>
      </c>
      <c r="BP154" s="430" t="s">
        <v>197</v>
      </c>
      <c r="BQ154" s="430" t="s">
        <v>197</v>
      </c>
      <c r="BR154" s="430" t="s">
        <v>197</v>
      </c>
      <c r="BS154" s="430" t="s">
        <v>197</v>
      </c>
      <c r="BT154" s="430" t="s">
        <v>197</v>
      </c>
      <c r="BU154" s="430" t="s">
        <v>197</v>
      </c>
      <c r="BV154" s="430" t="s">
        <v>197</v>
      </c>
      <c r="BW154" s="430" t="s">
        <v>197</v>
      </c>
      <c r="BX154" s="430" t="s">
        <v>197</v>
      </c>
      <c r="BY154" s="430" t="s">
        <v>197</v>
      </c>
      <c r="BZ154" s="430" t="s">
        <v>197</v>
      </c>
      <c r="CA154" s="430" t="s">
        <v>197</v>
      </c>
      <c r="CB154" s="430" t="s">
        <v>197</v>
      </c>
      <c r="CC154" s="430" t="s">
        <v>197</v>
      </c>
      <c r="CD154" s="430" t="s">
        <v>197</v>
      </c>
      <c r="CE154" s="430" t="s">
        <v>197</v>
      </c>
      <c r="CF154" s="430" t="s">
        <v>197</v>
      </c>
      <c r="CG154" s="430" t="s">
        <v>197</v>
      </c>
      <c r="CH154" s="430" t="s">
        <v>197</v>
      </c>
      <c r="CI154" s="430" t="s">
        <v>197</v>
      </c>
      <c r="CJ154" s="430" t="s">
        <v>197</v>
      </c>
      <c r="CK154" s="430" t="s">
        <v>197</v>
      </c>
      <c r="CL154" s="430" t="s">
        <v>197</v>
      </c>
      <c r="CM154" s="430" t="s">
        <v>197</v>
      </c>
    </row>
    <row r="155" spans="1:91" ht="10.5">
      <c r="A155" s="462" t="s">
        <v>817</v>
      </c>
      <c r="B155" s="462" t="s">
        <v>61</v>
      </c>
      <c r="C155" s="462" t="s">
        <v>796</v>
      </c>
      <c r="D155" s="462" t="s">
        <v>63</v>
      </c>
      <c r="E155" s="462" t="s">
        <v>64</v>
      </c>
      <c r="F155" s="462" t="s">
        <v>100</v>
      </c>
      <c r="G155" s="462" t="s">
        <v>402</v>
      </c>
      <c r="H155" s="462" t="s">
        <v>67</v>
      </c>
      <c r="I155" s="439" t="s">
        <v>68</v>
      </c>
      <c r="J155" s="430" t="s">
        <v>483</v>
      </c>
      <c r="K155" s="430"/>
      <c r="L155" s="430"/>
      <c r="M155" s="430" t="s">
        <v>68</v>
      </c>
      <c r="N155" s="432">
        <v>46045</v>
      </c>
      <c r="O155" s="430" t="s">
        <v>70</v>
      </c>
      <c r="P155" s="430" t="s">
        <v>570</v>
      </c>
      <c r="Q155" s="430" t="s">
        <v>571</v>
      </c>
      <c r="R155" s="431" t="s">
        <v>73</v>
      </c>
      <c r="S155" s="442" t="s">
        <v>120</v>
      </c>
      <c r="T155" s="433">
        <v>445</v>
      </c>
      <c r="U155" s="1088">
        <v>4680</v>
      </c>
      <c r="V155" s="434">
        <v>2.0830000000000002</v>
      </c>
      <c r="W155" s="435">
        <v>130</v>
      </c>
      <c r="X155" s="1040">
        <v>5</v>
      </c>
      <c r="Y155" s="430" t="s">
        <v>75</v>
      </c>
      <c r="Z155" s="430" t="s">
        <v>75</v>
      </c>
      <c r="AA155" s="430"/>
      <c r="AB155" s="437">
        <v>46061</v>
      </c>
      <c r="AC155" s="438">
        <v>6</v>
      </c>
      <c r="AD155" s="439" t="s">
        <v>818</v>
      </c>
      <c r="AE155" s="430"/>
      <c r="AF155" s="430" t="s">
        <v>77</v>
      </c>
      <c r="AG155" s="430" t="s">
        <v>61</v>
      </c>
      <c r="AH155" s="430" t="s">
        <v>105</v>
      </c>
      <c r="AI155" s="437">
        <v>46066</v>
      </c>
      <c r="AJ155" s="437">
        <v>46065</v>
      </c>
      <c r="AK155" s="441">
        <v>46065</v>
      </c>
      <c r="AL155" s="437">
        <v>46119</v>
      </c>
      <c r="AM155" s="437">
        <v>46133</v>
      </c>
      <c r="AN155" s="437">
        <v>46133</v>
      </c>
      <c r="AO155" s="430" t="s">
        <v>402</v>
      </c>
      <c r="AP155" s="430" t="s">
        <v>771</v>
      </c>
      <c r="AQ155" s="430" t="s">
        <v>80</v>
      </c>
      <c r="AR155" s="430" t="s">
        <v>819</v>
      </c>
      <c r="AS155" s="430" t="s">
        <v>820</v>
      </c>
      <c r="AT155" s="482" t="s">
        <v>820</v>
      </c>
      <c r="AU1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7">
        <v>46133</v>
      </c>
      <c r="AX155" s="433" t="s">
        <v>84</v>
      </c>
      <c r="AY155" s="437">
        <v>46147</v>
      </c>
      <c r="AZ155" s="442">
        <v>7</v>
      </c>
      <c r="BA155" s="437">
        <v>46140</v>
      </c>
      <c r="BB155" s="433">
        <v>2026</v>
      </c>
      <c r="BC155" s="430">
        <v>4</v>
      </c>
      <c r="BD155" s="430">
        <v>18</v>
      </c>
      <c r="BE155" s="431">
        <v>36</v>
      </c>
      <c r="BF155" s="431">
        <v>936</v>
      </c>
      <c r="BG155" s="431" t="s">
        <v>94</v>
      </c>
      <c r="BH155" s="431" t="s">
        <v>109</v>
      </c>
      <c r="BI155" s="430" t="s">
        <v>197</v>
      </c>
      <c r="BJ155" s="430" t="s">
        <v>197</v>
      </c>
      <c r="BK155" s="430" t="s">
        <v>197</v>
      </c>
      <c r="BL155" s="430" t="s">
        <v>197</v>
      </c>
      <c r="BM155" s="430" t="s">
        <v>197</v>
      </c>
      <c r="BN155" s="430" t="s">
        <v>197</v>
      </c>
      <c r="BO155" s="430" t="s">
        <v>197</v>
      </c>
      <c r="BP155" s="430" t="s">
        <v>197</v>
      </c>
      <c r="BQ155" s="430" t="s">
        <v>197</v>
      </c>
      <c r="BR155" s="430" t="s">
        <v>197</v>
      </c>
      <c r="BS155" s="430" t="s">
        <v>197</v>
      </c>
      <c r="BT155" s="430" t="s">
        <v>197</v>
      </c>
      <c r="BU155" s="430" t="s">
        <v>197</v>
      </c>
      <c r="BV155" s="430" t="s">
        <v>197</v>
      </c>
      <c r="BW155" s="430" t="s">
        <v>197</v>
      </c>
      <c r="BX155" s="430" t="s">
        <v>197</v>
      </c>
      <c r="BY155" s="430" t="s">
        <v>197</v>
      </c>
      <c r="BZ155" s="430" t="s">
        <v>197</v>
      </c>
      <c r="CA155" s="430" t="s">
        <v>197</v>
      </c>
      <c r="CB155" s="430" t="s">
        <v>197</v>
      </c>
      <c r="CC155" s="430" t="s">
        <v>197</v>
      </c>
      <c r="CD155" s="430" t="s">
        <v>197</v>
      </c>
      <c r="CE155" s="430" t="s">
        <v>197</v>
      </c>
      <c r="CF155" s="430" t="s">
        <v>197</v>
      </c>
      <c r="CG155" s="430" t="s">
        <v>197</v>
      </c>
      <c r="CH155" s="430" t="s">
        <v>197</v>
      </c>
      <c r="CI155" s="430" t="s">
        <v>197</v>
      </c>
      <c r="CJ155" s="430" t="s">
        <v>197</v>
      </c>
      <c r="CK155" s="430" t="s">
        <v>197</v>
      </c>
      <c r="CL155" s="430" t="s">
        <v>197</v>
      </c>
      <c r="CM155" s="430" t="s">
        <v>197</v>
      </c>
    </row>
    <row r="156" spans="1:91" ht="10.5">
      <c r="A156" s="462" t="s">
        <v>821</v>
      </c>
      <c r="B156" s="462" t="s">
        <v>111</v>
      </c>
      <c r="C156" s="462" t="s">
        <v>376</v>
      </c>
      <c r="D156" s="462" t="s">
        <v>113</v>
      </c>
      <c r="E156" s="462" t="s">
        <v>64</v>
      </c>
      <c r="F156" s="462" t="s">
        <v>65</v>
      </c>
      <c r="G156" s="462" t="s">
        <v>402</v>
      </c>
      <c r="H156" s="462" t="s">
        <v>67</v>
      </c>
      <c r="I156" s="439" t="s">
        <v>822</v>
      </c>
      <c r="J156" s="430" t="s">
        <v>377</v>
      </c>
      <c r="K156" s="430" t="s">
        <v>328</v>
      </c>
      <c r="L156" s="430"/>
      <c r="M156" s="430" t="s">
        <v>68</v>
      </c>
      <c r="N156" s="432" t="s">
        <v>68</v>
      </c>
      <c r="O156" s="430" t="s">
        <v>70</v>
      </c>
      <c r="P156" s="430" t="s">
        <v>378</v>
      </c>
      <c r="Q156" s="430" t="s">
        <v>379</v>
      </c>
      <c r="R156" s="431" t="s">
        <v>73</v>
      </c>
      <c r="S156" s="442" t="s">
        <v>120</v>
      </c>
      <c r="T156" s="433">
        <v>620</v>
      </c>
      <c r="U156" s="1088">
        <v>10800</v>
      </c>
      <c r="V156" s="434">
        <v>6.6959999999999997</v>
      </c>
      <c r="W156" s="435">
        <v>300</v>
      </c>
      <c r="X156" s="1040">
        <v>15</v>
      </c>
      <c r="Y156" s="430" t="s">
        <v>75</v>
      </c>
      <c r="Z156" s="430" t="s">
        <v>75</v>
      </c>
      <c r="AA156" s="430"/>
      <c r="AB156" s="437">
        <v>46063</v>
      </c>
      <c r="AC156" s="438">
        <v>7</v>
      </c>
      <c r="AD156" s="439" t="s">
        <v>823</v>
      </c>
      <c r="AE156" s="430"/>
      <c r="AF156" s="430" t="s">
        <v>122</v>
      </c>
      <c r="AG156" s="430" t="s">
        <v>123</v>
      </c>
      <c r="AH156" s="430" t="s">
        <v>356</v>
      </c>
      <c r="AI156" s="437">
        <v>46068</v>
      </c>
      <c r="AJ156" s="437">
        <v>46068</v>
      </c>
      <c r="AK156" s="441">
        <v>46079</v>
      </c>
      <c r="AL156" s="437">
        <v>46095</v>
      </c>
      <c r="AM156" s="437">
        <v>46112</v>
      </c>
      <c r="AN156" s="437">
        <v>46115</v>
      </c>
      <c r="AO156" s="430" t="s">
        <v>402</v>
      </c>
      <c r="AP156" s="430" t="s">
        <v>824</v>
      </c>
      <c r="AQ156" s="430" t="s">
        <v>161</v>
      </c>
      <c r="AR156" s="430" t="s">
        <v>825</v>
      </c>
      <c r="AS156" s="430" t="s">
        <v>826</v>
      </c>
      <c r="AT156" s="482" t="s">
        <v>826</v>
      </c>
      <c r="AU1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7">
        <v>46115</v>
      </c>
      <c r="AX156" s="433" t="s">
        <v>84</v>
      </c>
      <c r="AY156" s="437">
        <v>46127</v>
      </c>
      <c r="AZ156" s="442">
        <v>8</v>
      </c>
      <c r="BA156" s="437">
        <v>46123</v>
      </c>
      <c r="BB156" s="433">
        <v>2026</v>
      </c>
      <c r="BC156" s="430">
        <v>4</v>
      </c>
      <c r="BD156" s="430">
        <v>15</v>
      </c>
      <c r="BE156" s="431">
        <v>36</v>
      </c>
      <c r="BF156" s="431">
        <v>720</v>
      </c>
      <c r="BG156" s="431" t="s">
        <v>128</v>
      </c>
      <c r="BH156" s="431" t="s">
        <v>109</v>
      </c>
      <c r="BI156" s="430" t="s">
        <v>197</v>
      </c>
      <c r="BJ156" s="430" t="s">
        <v>197</v>
      </c>
      <c r="BK156" s="430" t="s">
        <v>197</v>
      </c>
      <c r="BL156" s="430" t="s">
        <v>197</v>
      </c>
      <c r="BM156" s="430" t="s">
        <v>197</v>
      </c>
      <c r="BN156" s="430" t="s">
        <v>197</v>
      </c>
      <c r="BO156" s="430" t="s">
        <v>197</v>
      </c>
      <c r="BP156" s="430" t="s">
        <v>197</v>
      </c>
      <c r="BQ156" s="430" t="s">
        <v>197</v>
      </c>
      <c r="BR156" s="430" t="s">
        <v>197</v>
      </c>
      <c r="BS156" s="430" t="s">
        <v>197</v>
      </c>
      <c r="BT156" s="430" t="s">
        <v>197</v>
      </c>
      <c r="BU156" s="430" t="s">
        <v>197</v>
      </c>
      <c r="BV156" s="430" t="s">
        <v>197</v>
      </c>
      <c r="BW156" s="430" t="s">
        <v>197</v>
      </c>
      <c r="BX156" s="430" t="s">
        <v>197</v>
      </c>
      <c r="BY156" s="430" t="s">
        <v>197</v>
      </c>
      <c r="BZ156" s="430" t="s">
        <v>197</v>
      </c>
      <c r="CA156" s="430" t="s">
        <v>197</v>
      </c>
      <c r="CB156" s="430" t="s">
        <v>197</v>
      </c>
      <c r="CC156" s="430" t="s">
        <v>197</v>
      </c>
      <c r="CD156" s="430" t="s">
        <v>197</v>
      </c>
      <c r="CE156" s="430" t="s">
        <v>197</v>
      </c>
      <c r="CF156" s="430" t="s">
        <v>197</v>
      </c>
      <c r="CG156" s="430" t="s">
        <v>197</v>
      </c>
      <c r="CH156" s="430" t="s">
        <v>197</v>
      </c>
      <c r="CI156" s="430" t="s">
        <v>197</v>
      </c>
      <c r="CJ156" s="430" t="s">
        <v>197</v>
      </c>
      <c r="CK156" s="430" t="s">
        <v>197</v>
      </c>
      <c r="CL156" s="430" t="s">
        <v>197</v>
      </c>
      <c r="CM156" s="430" t="s">
        <v>197</v>
      </c>
    </row>
    <row r="157" spans="1:91" ht="10.5">
      <c r="A157" s="462" t="s">
        <v>827</v>
      </c>
      <c r="B157" s="462" t="s">
        <v>111</v>
      </c>
      <c r="C157" s="462" t="s">
        <v>168</v>
      </c>
      <c r="D157" s="462" t="s">
        <v>63</v>
      </c>
      <c r="E157" s="462" t="s">
        <v>64</v>
      </c>
      <c r="F157" s="462" t="s">
        <v>100</v>
      </c>
      <c r="G157" s="462" t="s">
        <v>66</v>
      </c>
      <c r="H157" s="462" t="s">
        <v>67</v>
      </c>
      <c r="I157" s="439" t="s">
        <v>68</v>
      </c>
      <c r="J157" s="430" t="s">
        <v>169</v>
      </c>
      <c r="K157" s="430"/>
      <c r="L157" s="430"/>
      <c r="M157" s="430" t="s">
        <v>68</v>
      </c>
      <c r="N157" s="432" t="s">
        <v>68</v>
      </c>
      <c r="O157" s="430" t="s">
        <v>70</v>
      </c>
      <c r="P157" s="430" t="s">
        <v>171</v>
      </c>
      <c r="Q157" s="430" t="s">
        <v>172</v>
      </c>
      <c r="R157" s="431" t="s">
        <v>73</v>
      </c>
      <c r="S157" s="442" t="s">
        <v>120</v>
      </c>
      <c r="T157" s="433">
        <v>555</v>
      </c>
      <c r="U157" s="1088">
        <v>1320</v>
      </c>
      <c r="V157" s="434">
        <v>0.73299999999999998</v>
      </c>
      <c r="W157" s="435">
        <v>40</v>
      </c>
      <c r="X157" s="1040">
        <v>2</v>
      </c>
      <c r="Y157" s="430" t="s">
        <v>75</v>
      </c>
      <c r="Z157" s="430" t="s">
        <v>75</v>
      </c>
      <c r="AA157" s="430"/>
      <c r="AB157" s="437">
        <v>46061</v>
      </c>
      <c r="AC157" s="438">
        <v>6</v>
      </c>
      <c r="AD157" s="439" t="s">
        <v>828</v>
      </c>
      <c r="AE157" s="430"/>
      <c r="AF157" s="430" t="s">
        <v>122</v>
      </c>
      <c r="AG157" s="430" t="s">
        <v>123</v>
      </c>
      <c r="AH157" s="430" t="s">
        <v>105</v>
      </c>
      <c r="AI157" s="437">
        <v>46067</v>
      </c>
      <c r="AJ157" s="437">
        <v>46087</v>
      </c>
      <c r="AK157" s="441">
        <v>46086</v>
      </c>
      <c r="AL157" s="437">
        <v>46108</v>
      </c>
      <c r="AM157" s="437">
        <v>46133</v>
      </c>
      <c r="AN157" s="437">
        <v>46133</v>
      </c>
      <c r="AO157" s="430" t="s">
        <v>402</v>
      </c>
      <c r="AP157" s="430" t="s">
        <v>829</v>
      </c>
      <c r="AQ157" s="430" t="s">
        <v>80</v>
      </c>
      <c r="AR157" s="430" t="s">
        <v>830</v>
      </c>
      <c r="AS157" s="430" t="s">
        <v>831</v>
      </c>
      <c r="AT157" s="482" t="s">
        <v>831</v>
      </c>
      <c r="AU1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7">
        <v>46133</v>
      </c>
      <c r="AX157" s="433" t="s">
        <v>84</v>
      </c>
      <c r="AY157" s="437">
        <v>46147</v>
      </c>
      <c r="AZ157" s="442">
        <v>7</v>
      </c>
      <c r="BA157" s="437">
        <v>46140</v>
      </c>
      <c r="BB157" s="433">
        <v>2026</v>
      </c>
      <c r="BC157" s="430">
        <v>4</v>
      </c>
      <c r="BD157" s="430">
        <v>18</v>
      </c>
      <c r="BE157" s="431">
        <v>33</v>
      </c>
      <c r="BF157" s="431">
        <v>660</v>
      </c>
      <c r="BG157" s="431" t="s">
        <v>108</v>
      </c>
      <c r="BH157" s="431" t="s">
        <v>109</v>
      </c>
      <c r="BI157" s="430" t="s">
        <v>197</v>
      </c>
      <c r="BJ157" s="430" t="s">
        <v>197</v>
      </c>
      <c r="BK157" s="430" t="s">
        <v>197</v>
      </c>
      <c r="BL157" s="430" t="s">
        <v>197</v>
      </c>
      <c r="BM157" s="430" t="s">
        <v>197</v>
      </c>
      <c r="BN157" s="430" t="s">
        <v>197</v>
      </c>
      <c r="BO157" s="430" t="s">
        <v>197</v>
      </c>
      <c r="BP157" s="430" t="s">
        <v>197</v>
      </c>
      <c r="BQ157" s="430" t="s">
        <v>197</v>
      </c>
      <c r="BR157" s="430" t="s">
        <v>197</v>
      </c>
      <c r="BS157" s="430" t="s">
        <v>197</v>
      </c>
      <c r="BT157" s="430" t="s">
        <v>197</v>
      </c>
      <c r="BU157" s="430" t="s">
        <v>197</v>
      </c>
      <c r="BV157" s="430" t="s">
        <v>197</v>
      </c>
      <c r="BW157" s="430" t="s">
        <v>197</v>
      </c>
      <c r="BX157" s="430" t="s">
        <v>197</v>
      </c>
      <c r="BY157" s="430" t="s">
        <v>197</v>
      </c>
      <c r="BZ157" s="430" t="s">
        <v>197</v>
      </c>
      <c r="CA157" s="430" t="s">
        <v>197</v>
      </c>
      <c r="CB157" s="430" t="s">
        <v>197</v>
      </c>
      <c r="CC157" s="430" t="s">
        <v>197</v>
      </c>
      <c r="CD157" s="430" t="s">
        <v>197</v>
      </c>
      <c r="CE157" s="430" t="s">
        <v>197</v>
      </c>
      <c r="CF157" s="430" t="s">
        <v>197</v>
      </c>
      <c r="CG157" s="430" t="s">
        <v>197</v>
      </c>
      <c r="CH157" s="430" t="s">
        <v>197</v>
      </c>
      <c r="CI157" s="430" t="s">
        <v>197</v>
      </c>
      <c r="CJ157" s="430" t="s">
        <v>197</v>
      </c>
      <c r="CK157" s="430" t="s">
        <v>197</v>
      </c>
      <c r="CL157" s="430" t="s">
        <v>197</v>
      </c>
      <c r="CM157" s="430" t="s">
        <v>197</v>
      </c>
    </row>
    <row r="158" spans="1:91" ht="10.5">
      <c r="A158" s="462" t="s">
        <v>832</v>
      </c>
      <c r="B158" s="462" t="s">
        <v>111</v>
      </c>
      <c r="C158" s="462" t="s">
        <v>376</v>
      </c>
      <c r="D158" s="462" t="s">
        <v>113</v>
      </c>
      <c r="E158" s="462" t="s">
        <v>64</v>
      </c>
      <c r="F158" s="462" t="s">
        <v>65</v>
      </c>
      <c r="G158" s="462" t="s">
        <v>402</v>
      </c>
      <c r="H158" s="462" t="s">
        <v>67</v>
      </c>
      <c r="I158" s="439" t="s">
        <v>68</v>
      </c>
      <c r="J158" s="430" t="s">
        <v>377</v>
      </c>
      <c r="K158" s="430" t="s">
        <v>328</v>
      </c>
      <c r="L158" s="430"/>
      <c r="M158" s="430" t="s">
        <v>68</v>
      </c>
      <c r="N158" s="432">
        <v>46045</v>
      </c>
      <c r="O158" s="430" t="s">
        <v>70</v>
      </c>
      <c r="P158" s="430" t="s">
        <v>378</v>
      </c>
      <c r="Q158" s="430" t="s">
        <v>379</v>
      </c>
      <c r="R158" s="431" t="s">
        <v>73</v>
      </c>
      <c r="S158" s="442" t="s">
        <v>120</v>
      </c>
      <c r="T158" s="433">
        <v>620</v>
      </c>
      <c r="U158" s="1088">
        <v>5040</v>
      </c>
      <c r="V158" s="434">
        <v>3.125</v>
      </c>
      <c r="W158" s="435">
        <v>140</v>
      </c>
      <c r="X158" s="1040">
        <v>7</v>
      </c>
      <c r="Y158" s="430" t="s">
        <v>75</v>
      </c>
      <c r="Z158" s="430" t="s">
        <v>75</v>
      </c>
      <c r="AA158" s="430"/>
      <c r="AB158" s="437">
        <v>46066</v>
      </c>
      <c r="AC158" s="438">
        <v>7</v>
      </c>
      <c r="AD158" s="439" t="s">
        <v>833</v>
      </c>
      <c r="AE158" s="430"/>
      <c r="AF158" s="430" t="s">
        <v>122</v>
      </c>
      <c r="AG158" s="430" t="s">
        <v>123</v>
      </c>
      <c r="AH158" s="430" t="s">
        <v>78</v>
      </c>
      <c r="AI158" s="437">
        <v>46071</v>
      </c>
      <c r="AJ158" s="437">
        <v>46075</v>
      </c>
      <c r="AK158" s="441">
        <v>46075</v>
      </c>
      <c r="AL158" s="437">
        <v>46119</v>
      </c>
      <c r="AM158" s="437">
        <v>46125</v>
      </c>
      <c r="AN158" s="437">
        <v>46125</v>
      </c>
      <c r="AO158" s="430" t="s">
        <v>402</v>
      </c>
      <c r="AP158" s="430" t="s">
        <v>834</v>
      </c>
      <c r="AQ158" s="430" t="s">
        <v>80</v>
      </c>
      <c r="AR158" s="430" t="s">
        <v>835</v>
      </c>
      <c r="AS158" s="430" t="s">
        <v>836</v>
      </c>
      <c r="AT158" s="482" t="s">
        <v>836</v>
      </c>
      <c r="AU1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7">
        <v>46125</v>
      </c>
      <c r="AX158" s="433" t="s">
        <v>84</v>
      </c>
      <c r="AY158" s="437">
        <v>46133</v>
      </c>
      <c r="AZ158" s="442">
        <v>8</v>
      </c>
      <c r="BA158" s="437">
        <v>46133</v>
      </c>
      <c r="BB158" s="433">
        <v>2026</v>
      </c>
      <c r="BC158" s="430">
        <v>4</v>
      </c>
      <c r="BD158" s="430">
        <v>17</v>
      </c>
      <c r="BE158" s="431">
        <v>36</v>
      </c>
      <c r="BF158" s="431">
        <v>720</v>
      </c>
      <c r="BG158" s="431" t="s">
        <v>128</v>
      </c>
      <c r="BH158" s="431" t="s">
        <v>86</v>
      </c>
      <c r="BI158" s="430" t="s">
        <v>197</v>
      </c>
      <c r="BJ158" s="430" t="s">
        <v>197</v>
      </c>
      <c r="BK158" s="430" t="s">
        <v>197</v>
      </c>
      <c r="BL158" s="430" t="s">
        <v>197</v>
      </c>
      <c r="BM158" s="430" t="s">
        <v>197</v>
      </c>
      <c r="BN158" s="430" t="s">
        <v>197</v>
      </c>
      <c r="BO158" s="430" t="s">
        <v>197</v>
      </c>
      <c r="BP158" s="430" t="s">
        <v>197</v>
      </c>
      <c r="BQ158" s="430" t="s">
        <v>197</v>
      </c>
      <c r="BR158" s="430" t="s">
        <v>197</v>
      </c>
      <c r="BS158" s="430" t="s">
        <v>197</v>
      </c>
      <c r="BT158" s="430" t="s">
        <v>197</v>
      </c>
      <c r="BU158" s="430" t="s">
        <v>197</v>
      </c>
      <c r="BV158" s="430" t="s">
        <v>197</v>
      </c>
      <c r="BW158" s="430" t="s">
        <v>197</v>
      </c>
      <c r="BX158" s="430" t="s">
        <v>197</v>
      </c>
      <c r="BY158" s="430" t="s">
        <v>197</v>
      </c>
      <c r="BZ158" s="430" t="s">
        <v>197</v>
      </c>
      <c r="CA158" s="430" t="s">
        <v>197</v>
      </c>
      <c r="CB158" s="430" t="s">
        <v>197</v>
      </c>
      <c r="CC158" s="430" t="s">
        <v>197</v>
      </c>
      <c r="CD158" s="430" t="s">
        <v>197</v>
      </c>
      <c r="CE158" s="430" t="s">
        <v>197</v>
      </c>
      <c r="CF158" s="430" t="s">
        <v>197</v>
      </c>
      <c r="CG158" s="430" t="s">
        <v>197</v>
      </c>
      <c r="CH158" s="430" t="s">
        <v>197</v>
      </c>
      <c r="CI158" s="430" t="s">
        <v>197</v>
      </c>
      <c r="CJ158" s="430" t="s">
        <v>197</v>
      </c>
      <c r="CK158" s="430" t="s">
        <v>197</v>
      </c>
      <c r="CL158" s="430" t="s">
        <v>197</v>
      </c>
      <c r="CM158" s="430" t="s">
        <v>197</v>
      </c>
    </row>
    <row r="159" spans="1:91" ht="10.5">
      <c r="A159" s="462" t="s">
        <v>837</v>
      </c>
      <c r="B159" s="462" t="s">
        <v>111</v>
      </c>
      <c r="C159" s="462" t="s">
        <v>838</v>
      </c>
      <c r="D159" s="462" t="s">
        <v>63</v>
      </c>
      <c r="E159" s="462" t="s">
        <v>144</v>
      </c>
      <c r="F159" s="462" t="s">
        <v>145</v>
      </c>
      <c r="G159" s="462" t="s">
        <v>402</v>
      </c>
      <c r="H159" s="462" t="s">
        <v>593</v>
      </c>
      <c r="I159" s="439" t="s">
        <v>68</v>
      </c>
      <c r="J159" s="430" t="s">
        <v>594</v>
      </c>
      <c r="K159" s="430" t="s">
        <v>839</v>
      </c>
      <c r="L159" s="430"/>
      <c r="M159" s="430" t="s">
        <v>840</v>
      </c>
      <c r="N159" s="432">
        <v>46045</v>
      </c>
      <c r="O159" s="430" t="s">
        <v>132</v>
      </c>
      <c r="P159" s="430" t="s">
        <v>841</v>
      </c>
      <c r="Q159" s="430" t="s">
        <v>842</v>
      </c>
      <c r="R159" s="431" t="s">
        <v>73</v>
      </c>
      <c r="S159" s="442" t="s">
        <v>120</v>
      </c>
      <c r="T159" s="433">
        <v>515</v>
      </c>
      <c r="U159" s="1088">
        <v>3168</v>
      </c>
      <c r="V159" s="434">
        <v>1.6319999999999999</v>
      </c>
      <c r="W159" s="435">
        <v>88</v>
      </c>
      <c r="X159" s="1040">
        <v>4</v>
      </c>
      <c r="Y159" s="430" t="s">
        <v>75</v>
      </c>
      <c r="Z159" s="430" t="s">
        <v>75</v>
      </c>
      <c r="AA159" s="430"/>
      <c r="AB159" s="437">
        <v>46060</v>
      </c>
      <c r="AC159" s="438">
        <v>6</v>
      </c>
      <c r="AD159" s="439" t="s">
        <v>843</v>
      </c>
      <c r="AE159" s="430"/>
      <c r="AF159" s="430" t="s">
        <v>122</v>
      </c>
      <c r="AG159" s="430" t="s">
        <v>123</v>
      </c>
      <c r="AH159" s="430" t="s">
        <v>124</v>
      </c>
      <c r="AI159" s="437">
        <v>46069</v>
      </c>
      <c r="AJ159" s="437">
        <v>46072</v>
      </c>
      <c r="AK159" s="441">
        <v>46072</v>
      </c>
      <c r="AL159" s="437">
        <v>46121</v>
      </c>
      <c r="AM159" s="437">
        <v>46123</v>
      </c>
      <c r="AN159" s="437">
        <v>46127</v>
      </c>
      <c r="AO159" s="430" t="s">
        <v>402</v>
      </c>
      <c r="AP159" s="430" t="s">
        <v>844</v>
      </c>
      <c r="AQ159" s="430" t="s">
        <v>80</v>
      </c>
      <c r="AR159" s="430" t="s">
        <v>845</v>
      </c>
      <c r="AS159" s="430" t="s">
        <v>846</v>
      </c>
      <c r="AT159" s="482" t="s">
        <v>846</v>
      </c>
      <c r="AU1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7">
        <v>46127</v>
      </c>
      <c r="AX159" s="433" t="s">
        <v>84</v>
      </c>
      <c r="AY159" s="437">
        <v>46135</v>
      </c>
      <c r="AZ159" s="442" t="s">
        <v>152</v>
      </c>
      <c r="BA159" s="437">
        <v>46127</v>
      </c>
      <c r="BB159" s="433">
        <v>2026</v>
      </c>
      <c r="BC159" s="430">
        <v>4</v>
      </c>
      <c r="BD159" s="430">
        <v>16</v>
      </c>
      <c r="BE159" s="431">
        <v>36</v>
      </c>
      <c r="BF159" s="431">
        <v>792</v>
      </c>
      <c r="BG159" s="431" t="s">
        <v>108</v>
      </c>
      <c r="BH159" s="431" t="s">
        <v>86</v>
      </c>
      <c r="BI159" s="430" t="s">
        <v>197</v>
      </c>
      <c r="BJ159" s="430" t="s">
        <v>197</v>
      </c>
      <c r="BK159" s="430" t="s">
        <v>197</v>
      </c>
      <c r="BL159" s="430" t="s">
        <v>197</v>
      </c>
      <c r="BM159" s="430" t="s">
        <v>197</v>
      </c>
      <c r="BN159" s="430" t="s">
        <v>197</v>
      </c>
      <c r="BO159" s="430" t="s">
        <v>197</v>
      </c>
      <c r="BP159" s="430" t="s">
        <v>197</v>
      </c>
      <c r="BQ159" s="430" t="s">
        <v>197</v>
      </c>
      <c r="BR159" s="430" t="s">
        <v>197</v>
      </c>
      <c r="BS159" s="430" t="s">
        <v>197</v>
      </c>
      <c r="BT159" s="430" t="s">
        <v>197</v>
      </c>
      <c r="BU159" s="430" t="s">
        <v>197</v>
      </c>
      <c r="BV159" s="430" t="s">
        <v>197</v>
      </c>
      <c r="BW159" s="430" t="s">
        <v>197</v>
      </c>
      <c r="BX159" s="430" t="s">
        <v>197</v>
      </c>
      <c r="BY159" s="430" t="s">
        <v>197</v>
      </c>
      <c r="BZ159" s="430" t="s">
        <v>197</v>
      </c>
      <c r="CA159" s="430" t="s">
        <v>197</v>
      </c>
      <c r="CB159" s="430" t="s">
        <v>197</v>
      </c>
      <c r="CC159" s="430" t="s">
        <v>197</v>
      </c>
      <c r="CD159" s="430" t="s">
        <v>197</v>
      </c>
      <c r="CE159" s="430" t="s">
        <v>197</v>
      </c>
      <c r="CF159" s="430" t="s">
        <v>197</v>
      </c>
      <c r="CG159" s="430" t="s">
        <v>197</v>
      </c>
      <c r="CH159" s="430" t="s">
        <v>197</v>
      </c>
      <c r="CI159" s="430" t="s">
        <v>197</v>
      </c>
      <c r="CJ159" s="430" t="s">
        <v>197</v>
      </c>
      <c r="CK159" s="430" t="s">
        <v>197</v>
      </c>
      <c r="CL159" s="430" t="s">
        <v>197</v>
      </c>
      <c r="CM159" s="430" t="s">
        <v>197</v>
      </c>
    </row>
    <row r="160" spans="1:91" ht="10.5">
      <c r="A160" s="462" t="s">
        <v>847</v>
      </c>
      <c r="B160" s="462" t="s">
        <v>77</v>
      </c>
      <c r="C160" s="462" t="s">
        <v>705</v>
      </c>
      <c r="D160" s="462" t="s">
        <v>63</v>
      </c>
      <c r="E160" s="462" t="s">
        <v>64</v>
      </c>
      <c r="F160" s="462" t="s">
        <v>100</v>
      </c>
      <c r="G160" s="462" t="s">
        <v>402</v>
      </c>
      <c r="H160" s="462" t="s">
        <v>67</v>
      </c>
      <c r="I160" s="439" t="s">
        <v>68</v>
      </c>
      <c r="J160" s="430" t="s">
        <v>848</v>
      </c>
      <c r="K160" s="430"/>
      <c r="L160" s="430"/>
      <c r="M160" s="430" t="s">
        <v>68</v>
      </c>
      <c r="N160" s="432">
        <v>46045</v>
      </c>
      <c r="O160" s="430" t="s">
        <v>70</v>
      </c>
      <c r="P160" s="430" t="s">
        <v>706</v>
      </c>
      <c r="Q160" s="430" t="s">
        <v>707</v>
      </c>
      <c r="R160" s="431" t="s">
        <v>73</v>
      </c>
      <c r="S160" s="442" t="s">
        <v>74</v>
      </c>
      <c r="T160" s="433">
        <v>500</v>
      </c>
      <c r="U160" s="1088">
        <v>72</v>
      </c>
      <c r="V160" s="434">
        <v>3.5999999999999997E-2</v>
      </c>
      <c r="W160" s="435">
        <v>2</v>
      </c>
      <c r="X160" s="1040">
        <v>0.1</v>
      </c>
      <c r="Y160" s="430" t="s">
        <v>75</v>
      </c>
      <c r="Z160" s="430" t="s">
        <v>75</v>
      </c>
      <c r="AA160" s="430"/>
      <c r="AB160" s="437">
        <v>46062</v>
      </c>
      <c r="AC160" s="438">
        <v>7</v>
      </c>
      <c r="AD160" s="439" t="s">
        <v>849</v>
      </c>
      <c r="AE160" s="430"/>
      <c r="AF160" s="430" t="s">
        <v>77</v>
      </c>
      <c r="AG160" s="430" t="s">
        <v>61</v>
      </c>
      <c r="AH160" s="430" t="s">
        <v>105</v>
      </c>
      <c r="AI160" s="437">
        <v>46080</v>
      </c>
      <c r="AJ160" s="437">
        <v>46081</v>
      </c>
      <c r="AK160" s="441">
        <v>46081</v>
      </c>
      <c r="AL160" s="437">
        <v>46139</v>
      </c>
      <c r="AM160" s="437">
        <v>46141</v>
      </c>
      <c r="AN160" s="437">
        <v>46137</v>
      </c>
      <c r="AO160" s="430" t="s">
        <v>402</v>
      </c>
      <c r="AP160" s="430" t="s">
        <v>850</v>
      </c>
      <c r="AQ160" s="430" t="s">
        <v>80</v>
      </c>
      <c r="AR160" s="430" t="s">
        <v>851</v>
      </c>
      <c r="AS160" s="430" t="s">
        <v>852</v>
      </c>
      <c r="AT160" s="482" t="s">
        <v>852</v>
      </c>
      <c r="AU1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7">
        <v>46137</v>
      </c>
      <c r="AX160" s="433" t="s">
        <v>84</v>
      </c>
      <c r="AY160" s="437">
        <v>46150</v>
      </c>
      <c r="AZ160" s="442">
        <v>7</v>
      </c>
      <c r="BA160" s="437">
        <v>46144</v>
      </c>
      <c r="BB160" s="433">
        <v>2026</v>
      </c>
      <c r="BC160" s="430">
        <v>5</v>
      </c>
      <c r="BD160" s="430">
        <v>18</v>
      </c>
      <c r="BE160" s="431">
        <v>36</v>
      </c>
      <c r="BF160" s="431">
        <v>864</v>
      </c>
      <c r="BG160" s="431" t="s">
        <v>85</v>
      </c>
      <c r="BH160" s="431" t="s">
        <v>109</v>
      </c>
      <c r="BI160" s="430" t="s">
        <v>197</v>
      </c>
      <c r="BJ160" s="430" t="s">
        <v>197</v>
      </c>
      <c r="BK160" s="430" t="s">
        <v>197</v>
      </c>
      <c r="BL160" s="430" t="s">
        <v>197</v>
      </c>
      <c r="BM160" s="430" t="s">
        <v>197</v>
      </c>
      <c r="BN160" s="430" t="s">
        <v>197</v>
      </c>
      <c r="BO160" s="430" t="s">
        <v>197</v>
      </c>
      <c r="BP160" s="430" t="s">
        <v>197</v>
      </c>
      <c r="BQ160" s="430" t="s">
        <v>197</v>
      </c>
      <c r="BR160" s="430" t="s">
        <v>197</v>
      </c>
      <c r="BS160" s="430" t="s">
        <v>197</v>
      </c>
      <c r="BT160" s="430" t="s">
        <v>197</v>
      </c>
      <c r="BU160" s="430" t="s">
        <v>197</v>
      </c>
      <c r="BV160" s="430" t="s">
        <v>197</v>
      </c>
      <c r="BW160" s="430" t="s">
        <v>197</v>
      </c>
      <c r="BX160" s="430" t="s">
        <v>197</v>
      </c>
      <c r="BY160" s="430" t="s">
        <v>197</v>
      </c>
      <c r="BZ160" s="430" t="s">
        <v>197</v>
      </c>
      <c r="CA160" s="430" t="s">
        <v>197</v>
      </c>
      <c r="CB160" s="430" t="s">
        <v>197</v>
      </c>
      <c r="CC160" s="430" t="s">
        <v>197</v>
      </c>
      <c r="CD160" s="430" t="s">
        <v>197</v>
      </c>
      <c r="CE160" s="430" t="s">
        <v>197</v>
      </c>
      <c r="CF160" s="430" t="s">
        <v>197</v>
      </c>
      <c r="CG160" s="430" t="s">
        <v>197</v>
      </c>
      <c r="CH160" s="430" t="s">
        <v>197</v>
      </c>
      <c r="CI160" s="430" t="s">
        <v>197</v>
      </c>
      <c r="CJ160" s="430" t="s">
        <v>197</v>
      </c>
      <c r="CK160" s="430" t="s">
        <v>197</v>
      </c>
      <c r="CL160" s="430" t="s">
        <v>197</v>
      </c>
      <c r="CM160" s="430" t="s">
        <v>197</v>
      </c>
    </row>
    <row r="161" spans="1:91" ht="10.5">
      <c r="A161" s="462" t="s">
        <v>688</v>
      </c>
      <c r="B161" s="462" t="s">
        <v>77</v>
      </c>
      <c r="C161" s="462" t="s">
        <v>203</v>
      </c>
      <c r="D161" s="462" t="s">
        <v>63</v>
      </c>
      <c r="E161" s="462" t="s">
        <v>64</v>
      </c>
      <c r="F161" s="462" t="s">
        <v>100</v>
      </c>
      <c r="G161" s="462" t="s">
        <v>402</v>
      </c>
      <c r="H161" s="462" t="s">
        <v>67</v>
      </c>
      <c r="I161" s="439" t="s">
        <v>68</v>
      </c>
      <c r="J161" s="430" t="s">
        <v>853</v>
      </c>
      <c r="K161" s="430"/>
      <c r="L161" s="430"/>
      <c r="M161" s="430" t="s">
        <v>68</v>
      </c>
      <c r="N161" s="432">
        <v>46045</v>
      </c>
      <c r="O161" s="430" t="s">
        <v>70</v>
      </c>
      <c r="P161" s="430" t="s">
        <v>691</v>
      </c>
      <c r="Q161" s="430" t="s">
        <v>692</v>
      </c>
      <c r="R161" s="431" t="s">
        <v>73</v>
      </c>
      <c r="S161" s="442" t="s">
        <v>74</v>
      </c>
      <c r="T161" s="433">
        <v>505</v>
      </c>
      <c r="U161" s="1088">
        <v>36</v>
      </c>
      <c r="V161" s="434">
        <v>1.7999999999999999E-2</v>
      </c>
      <c r="W161" s="435">
        <v>1</v>
      </c>
      <c r="X161" s="1040">
        <v>0</v>
      </c>
      <c r="Y161" s="430" t="s">
        <v>75</v>
      </c>
      <c r="Z161" s="430" t="s">
        <v>75</v>
      </c>
      <c r="AA161" s="430"/>
      <c r="AB161" s="437">
        <v>46062</v>
      </c>
      <c r="AC161" s="438">
        <v>7</v>
      </c>
      <c r="AD161" s="439" t="s">
        <v>854</v>
      </c>
      <c r="AE161" s="430"/>
      <c r="AF161" s="430" t="s">
        <v>77</v>
      </c>
      <c r="AG161" s="430" t="s">
        <v>61</v>
      </c>
      <c r="AH161" s="430" t="s">
        <v>105</v>
      </c>
      <c r="AI161" s="437">
        <v>46080</v>
      </c>
      <c r="AJ161" s="437">
        <v>46081</v>
      </c>
      <c r="AK161" s="441">
        <v>46081</v>
      </c>
      <c r="AL161" s="437">
        <v>46139</v>
      </c>
      <c r="AM161" s="437">
        <v>46141</v>
      </c>
      <c r="AN161" s="437">
        <v>46137</v>
      </c>
      <c r="AO161" s="430" t="s">
        <v>402</v>
      </c>
      <c r="AP161" s="430" t="s">
        <v>850</v>
      </c>
      <c r="AQ161" s="430" t="s">
        <v>80</v>
      </c>
      <c r="AR161" s="430" t="s">
        <v>851</v>
      </c>
      <c r="AS161" s="430" t="s">
        <v>852</v>
      </c>
      <c r="AT161" s="482" t="s">
        <v>852</v>
      </c>
      <c r="AU1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7">
        <v>46137</v>
      </c>
      <c r="AX161" s="433" t="s">
        <v>84</v>
      </c>
      <c r="AY161" s="437">
        <v>46150</v>
      </c>
      <c r="AZ161" s="442">
        <v>7</v>
      </c>
      <c r="BA161" s="437">
        <v>46144</v>
      </c>
      <c r="BB161" s="433">
        <v>2026</v>
      </c>
      <c r="BC161" s="430">
        <v>5</v>
      </c>
      <c r="BD161" s="430">
        <v>18</v>
      </c>
      <c r="BE161" s="431">
        <v>36</v>
      </c>
      <c r="BF161" s="431">
        <v>864</v>
      </c>
      <c r="BG161" s="431" t="s">
        <v>85</v>
      </c>
      <c r="BH161" s="431" t="s">
        <v>109</v>
      </c>
      <c r="BI161" s="430" t="s">
        <v>197</v>
      </c>
      <c r="BJ161" s="430" t="s">
        <v>197</v>
      </c>
      <c r="BK161" s="430" t="s">
        <v>197</v>
      </c>
      <c r="BL161" s="430" t="s">
        <v>197</v>
      </c>
      <c r="BM161" s="430" t="s">
        <v>197</v>
      </c>
      <c r="BN161" s="430" t="s">
        <v>197</v>
      </c>
      <c r="BO161" s="430" t="s">
        <v>197</v>
      </c>
      <c r="BP161" s="430" t="s">
        <v>197</v>
      </c>
      <c r="BQ161" s="430" t="s">
        <v>197</v>
      </c>
      <c r="BR161" s="430" t="s">
        <v>197</v>
      </c>
      <c r="BS161" s="430" t="s">
        <v>197</v>
      </c>
      <c r="BT161" s="430" t="s">
        <v>197</v>
      </c>
      <c r="BU161" s="430" t="s">
        <v>197</v>
      </c>
      <c r="BV161" s="430" t="s">
        <v>197</v>
      </c>
      <c r="BW161" s="430" t="s">
        <v>197</v>
      </c>
      <c r="BX161" s="430" t="s">
        <v>197</v>
      </c>
      <c r="BY161" s="430" t="s">
        <v>197</v>
      </c>
      <c r="BZ161" s="430" t="s">
        <v>197</v>
      </c>
      <c r="CA161" s="430" t="s">
        <v>197</v>
      </c>
      <c r="CB161" s="430" t="s">
        <v>197</v>
      </c>
      <c r="CC161" s="430" t="s">
        <v>197</v>
      </c>
      <c r="CD161" s="430" t="s">
        <v>197</v>
      </c>
      <c r="CE161" s="430" t="s">
        <v>197</v>
      </c>
      <c r="CF161" s="430" t="s">
        <v>197</v>
      </c>
      <c r="CG161" s="430" t="s">
        <v>197</v>
      </c>
      <c r="CH161" s="430" t="s">
        <v>197</v>
      </c>
      <c r="CI161" s="430" t="s">
        <v>197</v>
      </c>
      <c r="CJ161" s="430" t="s">
        <v>197</v>
      </c>
      <c r="CK161" s="430" t="s">
        <v>197</v>
      </c>
      <c r="CL161" s="430" t="s">
        <v>197</v>
      </c>
      <c r="CM161" s="430" t="s">
        <v>197</v>
      </c>
    </row>
    <row r="162" spans="1:91" ht="10.5">
      <c r="A162" s="462" t="s">
        <v>855</v>
      </c>
      <c r="B162" s="462" t="s">
        <v>61</v>
      </c>
      <c r="C162" s="462" t="s">
        <v>584</v>
      </c>
      <c r="D162" s="462" t="s">
        <v>63</v>
      </c>
      <c r="E162" s="462" t="s">
        <v>64</v>
      </c>
      <c r="F162" s="462" t="s">
        <v>100</v>
      </c>
      <c r="G162" s="462" t="s">
        <v>402</v>
      </c>
      <c r="H162" s="462" t="s">
        <v>67</v>
      </c>
      <c r="I162" s="439" t="s">
        <v>68</v>
      </c>
      <c r="J162" s="430" t="s">
        <v>856</v>
      </c>
      <c r="K162" s="430"/>
      <c r="L162" s="430"/>
      <c r="M162" s="430" t="s">
        <v>68</v>
      </c>
      <c r="N162" s="432">
        <v>46045</v>
      </c>
      <c r="O162" s="430" t="s">
        <v>70</v>
      </c>
      <c r="P162" s="430" t="s">
        <v>585</v>
      </c>
      <c r="Q162" s="430" t="s">
        <v>103</v>
      </c>
      <c r="R162" s="431" t="s">
        <v>331</v>
      </c>
      <c r="S162" s="442" t="s">
        <v>120</v>
      </c>
      <c r="T162" s="433">
        <v>620</v>
      </c>
      <c r="U162" s="1088">
        <v>612</v>
      </c>
      <c r="V162" s="434">
        <v>0.379</v>
      </c>
      <c r="W162" s="435">
        <v>17</v>
      </c>
      <c r="X162" s="1040">
        <v>0.9</v>
      </c>
      <c r="Y162" s="430" t="s">
        <v>75</v>
      </c>
      <c r="Z162" s="430" t="s">
        <v>75</v>
      </c>
      <c r="AA162" s="430"/>
      <c r="AB162" s="437">
        <v>46062</v>
      </c>
      <c r="AC162" s="438">
        <v>7</v>
      </c>
      <c r="AD162" s="439" t="s">
        <v>857</v>
      </c>
      <c r="AE162" s="430"/>
      <c r="AF162" s="430" t="s">
        <v>77</v>
      </c>
      <c r="AG162" s="430" t="s">
        <v>61</v>
      </c>
      <c r="AH162" s="430" t="s">
        <v>105</v>
      </c>
      <c r="AI162" s="437">
        <v>46080</v>
      </c>
      <c r="AJ162" s="437">
        <v>46081</v>
      </c>
      <c r="AK162" s="441">
        <v>46081</v>
      </c>
      <c r="AL162" s="437">
        <v>46139</v>
      </c>
      <c r="AM162" s="437">
        <v>46141</v>
      </c>
      <c r="AN162" s="437">
        <v>46137</v>
      </c>
      <c r="AO162" s="430" t="s">
        <v>402</v>
      </c>
      <c r="AP162" s="430" t="s">
        <v>850</v>
      </c>
      <c r="AQ162" s="430" t="s">
        <v>80</v>
      </c>
      <c r="AR162" s="430" t="s">
        <v>851</v>
      </c>
      <c r="AS162" s="430" t="s">
        <v>852</v>
      </c>
      <c r="AT162" s="482" t="s">
        <v>852</v>
      </c>
      <c r="AU1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7">
        <v>46137</v>
      </c>
      <c r="AX162" s="433" t="s">
        <v>84</v>
      </c>
      <c r="AY162" s="437">
        <v>46150</v>
      </c>
      <c r="AZ162" s="442">
        <v>7</v>
      </c>
      <c r="BA162" s="437">
        <v>46144</v>
      </c>
      <c r="BB162" s="433">
        <v>2026</v>
      </c>
      <c r="BC162" s="430">
        <v>5</v>
      </c>
      <c r="BD162" s="430">
        <v>18</v>
      </c>
      <c r="BE162" s="431">
        <v>36</v>
      </c>
      <c r="BF162" s="431">
        <v>720</v>
      </c>
      <c r="BG162" s="431" t="s">
        <v>128</v>
      </c>
      <c r="BH162" s="431" t="s">
        <v>109</v>
      </c>
      <c r="BI162" s="430" t="s">
        <v>197</v>
      </c>
      <c r="BJ162" s="430" t="s">
        <v>197</v>
      </c>
      <c r="BK162" s="430" t="s">
        <v>197</v>
      </c>
      <c r="BL162" s="430" t="s">
        <v>197</v>
      </c>
      <c r="BM162" s="430" t="s">
        <v>197</v>
      </c>
      <c r="BN162" s="430" t="s">
        <v>197</v>
      </c>
      <c r="BO162" s="430" t="s">
        <v>197</v>
      </c>
      <c r="BP162" s="430" t="s">
        <v>197</v>
      </c>
      <c r="BQ162" s="430" t="s">
        <v>197</v>
      </c>
      <c r="BR162" s="430" t="s">
        <v>197</v>
      </c>
      <c r="BS162" s="430" t="s">
        <v>197</v>
      </c>
      <c r="BT162" s="430" t="s">
        <v>197</v>
      </c>
      <c r="BU162" s="430" t="s">
        <v>197</v>
      </c>
      <c r="BV162" s="430" t="s">
        <v>197</v>
      </c>
      <c r="BW162" s="430" t="s">
        <v>197</v>
      </c>
      <c r="BX162" s="430" t="s">
        <v>197</v>
      </c>
      <c r="BY162" s="430" t="s">
        <v>197</v>
      </c>
      <c r="BZ162" s="430" t="s">
        <v>197</v>
      </c>
      <c r="CA162" s="430" t="s">
        <v>197</v>
      </c>
      <c r="CB162" s="430" t="s">
        <v>197</v>
      </c>
      <c r="CC162" s="430" t="s">
        <v>197</v>
      </c>
      <c r="CD162" s="430" t="s">
        <v>197</v>
      </c>
      <c r="CE162" s="430" t="s">
        <v>197</v>
      </c>
      <c r="CF162" s="430" t="s">
        <v>197</v>
      </c>
      <c r="CG162" s="430" t="s">
        <v>197</v>
      </c>
      <c r="CH162" s="430" t="s">
        <v>197</v>
      </c>
      <c r="CI162" s="430" t="s">
        <v>197</v>
      </c>
      <c r="CJ162" s="430" t="s">
        <v>197</v>
      </c>
      <c r="CK162" s="430" t="s">
        <v>197</v>
      </c>
      <c r="CL162" s="430" t="s">
        <v>197</v>
      </c>
      <c r="CM162" s="430" t="s">
        <v>197</v>
      </c>
    </row>
    <row r="163" spans="1:91" ht="10.5">
      <c r="A163" s="462" t="s">
        <v>858</v>
      </c>
      <c r="B163" s="462" t="s">
        <v>77</v>
      </c>
      <c r="C163" s="462" t="s">
        <v>203</v>
      </c>
      <c r="D163" s="462" t="s">
        <v>63</v>
      </c>
      <c r="E163" s="462" t="s">
        <v>64</v>
      </c>
      <c r="F163" s="462" t="s">
        <v>65</v>
      </c>
      <c r="G163" s="462" t="s">
        <v>402</v>
      </c>
      <c r="H163" s="462" t="s">
        <v>67</v>
      </c>
      <c r="I163" s="439" t="s">
        <v>68</v>
      </c>
      <c r="J163" s="430" t="s">
        <v>859</v>
      </c>
      <c r="K163" s="430"/>
      <c r="L163" s="430"/>
      <c r="M163" s="430" t="s">
        <v>68</v>
      </c>
      <c r="N163" s="432" t="s">
        <v>68</v>
      </c>
      <c r="O163" s="430" t="s">
        <v>70</v>
      </c>
      <c r="P163" s="430" t="s">
        <v>860</v>
      </c>
      <c r="Q163" s="430" t="s">
        <v>861</v>
      </c>
      <c r="R163" s="431" t="s">
        <v>73</v>
      </c>
      <c r="S163" s="442" t="s">
        <v>74</v>
      </c>
      <c r="T163" s="433">
        <v>445</v>
      </c>
      <c r="U163" s="1088">
        <v>576</v>
      </c>
      <c r="V163" s="434">
        <v>0.25600000000000001</v>
      </c>
      <c r="W163" s="435">
        <v>16</v>
      </c>
      <c r="X163" s="1040">
        <v>0.6</v>
      </c>
      <c r="Y163" s="430" t="s">
        <v>75</v>
      </c>
      <c r="Z163" s="430" t="s">
        <v>75</v>
      </c>
      <c r="AA163" s="430"/>
      <c r="AB163" s="437">
        <v>46062</v>
      </c>
      <c r="AC163" s="438">
        <v>7</v>
      </c>
      <c r="AD163" s="439" t="s">
        <v>862</v>
      </c>
      <c r="AE163" s="430"/>
      <c r="AF163" s="430" t="s">
        <v>77</v>
      </c>
      <c r="AG163" s="430" t="s">
        <v>61</v>
      </c>
      <c r="AH163" s="430" t="s">
        <v>78</v>
      </c>
      <c r="AI163" s="437">
        <v>46070</v>
      </c>
      <c r="AJ163" s="437">
        <v>46072</v>
      </c>
      <c r="AK163" s="441">
        <v>46072</v>
      </c>
      <c r="AL163" s="437">
        <v>46146</v>
      </c>
      <c r="AM163" s="437">
        <v>46153</v>
      </c>
      <c r="AN163" s="437">
        <v>46159</v>
      </c>
      <c r="AO163" s="430" t="s">
        <v>402</v>
      </c>
      <c r="AP163" s="430" t="s">
        <v>814</v>
      </c>
      <c r="AQ163" s="430" t="s">
        <v>80</v>
      </c>
      <c r="AR163" s="430" t="s">
        <v>863</v>
      </c>
      <c r="AS163" s="430" t="s">
        <v>864</v>
      </c>
      <c r="AT163" s="482" t="s">
        <v>864</v>
      </c>
      <c r="AU1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7">
        <v>46159</v>
      </c>
      <c r="AX163" s="433" t="s">
        <v>84</v>
      </c>
      <c r="AY163" s="437">
        <v>46171</v>
      </c>
      <c r="AZ163" s="442">
        <v>8</v>
      </c>
      <c r="BA163" s="437">
        <v>46167</v>
      </c>
      <c r="BB163" s="433">
        <v>2026</v>
      </c>
      <c r="BC163" s="430">
        <v>5</v>
      </c>
      <c r="BD163" s="430">
        <v>22</v>
      </c>
      <c r="BE163" s="431">
        <v>36</v>
      </c>
      <c r="BF163" s="431">
        <v>936</v>
      </c>
      <c r="BG163" s="431" t="s">
        <v>94</v>
      </c>
      <c r="BH163" s="431" t="s">
        <v>86</v>
      </c>
      <c r="BI163" s="430" t="s">
        <v>197</v>
      </c>
      <c r="BJ163" s="430" t="s">
        <v>197</v>
      </c>
      <c r="BK163" s="430" t="s">
        <v>197</v>
      </c>
      <c r="BL163" s="430" t="s">
        <v>197</v>
      </c>
      <c r="BM163" s="430" t="s">
        <v>197</v>
      </c>
      <c r="BN163" s="430" t="s">
        <v>197</v>
      </c>
      <c r="BO163" s="430" t="s">
        <v>197</v>
      </c>
      <c r="BP163" s="430" t="s">
        <v>197</v>
      </c>
      <c r="BQ163" s="430" t="s">
        <v>197</v>
      </c>
      <c r="BR163" s="430" t="s">
        <v>197</v>
      </c>
      <c r="BS163" s="430" t="s">
        <v>197</v>
      </c>
      <c r="BT163" s="430" t="s">
        <v>197</v>
      </c>
      <c r="BU163" s="430" t="s">
        <v>197</v>
      </c>
      <c r="BV163" s="430" t="s">
        <v>197</v>
      </c>
      <c r="BW163" s="430" t="s">
        <v>197</v>
      </c>
      <c r="BX163" s="430" t="s">
        <v>197</v>
      </c>
      <c r="BY163" s="430" t="s">
        <v>197</v>
      </c>
      <c r="BZ163" s="430" t="s">
        <v>197</v>
      </c>
      <c r="CA163" s="430" t="s">
        <v>197</v>
      </c>
      <c r="CB163" s="430" t="s">
        <v>197</v>
      </c>
      <c r="CC163" s="430" t="s">
        <v>197</v>
      </c>
      <c r="CD163" s="430" t="s">
        <v>197</v>
      </c>
      <c r="CE163" s="430" t="s">
        <v>197</v>
      </c>
      <c r="CF163" s="430" t="s">
        <v>197</v>
      </c>
      <c r="CG163" s="430" t="s">
        <v>197</v>
      </c>
      <c r="CH163" s="430" t="s">
        <v>197</v>
      </c>
      <c r="CI163" s="430" t="s">
        <v>197</v>
      </c>
      <c r="CJ163" s="430" t="s">
        <v>197</v>
      </c>
      <c r="CK163" s="430" t="s">
        <v>197</v>
      </c>
      <c r="CL163" s="430" t="s">
        <v>197</v>
      </c>
      <c r="CM163" s="430" t="s">
        <v>197</v>
      </c>
    </row>
    <row r="164" spans="1:91" ht="10.5">
      <c r="A164" s="462" t="s">
        <v>780</v>
      </c>
      <c r="B164" s="462" t="s">
        <v>61</v>
      </c>
      <c r="C164" s="462" t="s">
        <v>203</v>
      </c>
      <c r="D164" s="462" t="s">
        <v>63</v>
      </c>
      <c r="E164" s="462" t="s">
        <v>64</v>
      </c>
      <c r="F164" s="462" t="s">
        <v>65</v>
      </c>
      <c r="G164" s="462" t="s">
        <v>402</v>
      </c>
      <c r="H164" s="462" t="s">
        <v>67</v>
      </c>
      <c r="I164" s="439" t="s">
        <v>68</v>
      </c>
      <c r="J164" s="430" t="s">
        <v>865</v>
      </c>
      <c r="K164" s="430"/>
      <c r="L164" s="430"/>
      <c r="M164" s="430" t="s">
        <v>68</v>
      </c>
      <c r="N164" s="432" t="s">
        <v>68</v>
      </c>
      <c r="O164" s="430" t="s">
        <v>70</v>
      </c>
      <c r="P164" s="430" t="s">
        <v>204</v>
      </c>
      <c r="Q164" s="430" t="s">
        <v>205</v>
      </c>
      <c r="R164" s="431" t="s">
        <v>73</v>
      </c>
      <c r="S164" s="442" t="s">
        <v>74</v>
      </c>
      <c r="T164" s="433">
        <v>455</v>
      </c>
      <c r="U164" s="1088">
        <v>360</v>
      </c>
      <c r="V164" s="434">
        <v>0.16400000000000001</v>
      </c>
      <c r="W164" s="435">
        <v>10</v>
      </c>
      <c r="X164" s="1040">
        <v>0.4</v>
      </c>
      <c r="Y164" s="430" t="s">
        <v>75</v>
      </c>
      <c r="Z164" s="430" t="s">
        <v>75</v>
      </c>
      <c r="AA164" s="430"/>
      <c r="AB164" s="437">
        <v>46062</v>
      </c>
      <c r="AC164" s="438">
        <v>7</v>
      </c>
      <c r="AD164" s="439" t="s">
        <v>866</v>
      </c>
      <c r="AE164" s="430"/>
      <c r="AF164" s="430" t="s">
        <v>77</v>
      </c>
      <c r="AG164" s="430" t="s">
        <v>61</v>
      </c>
      <c r="AH164" s="430" t="s">
        <v>78</v>
      </c>
      <c r="AI164" s="437">
        <v>46070</v>
      </c>
      <c r="AJ164" s="437">
        <v>46072</v>
      </c>
      <c r="AK164" s="441">
        <v>46072</v>
      </c>
      <c r="AL164" s="437">
        <v>46146</v>
      </c>
      <c r="AM164" s="437">
        <v>46153</v>
      </c>
      <c r="AN164" s="437">
        <v>46159</v>
      </c>
      <c r="AO164" s="430" t="s">
        <v>402</v>
      </c>
      <c r="AP164" s="430" t="s">
        <v>814</v>
      </c>
      <c r="AQ164" s="430" t="s">
        <v>80</v>
      </c>
      <c r="AR164" s="430" t="s">
        <v>863</v>
      </c>
      <c r="AS164" s="430" t="s">
        <v>864</v>
      </c>
      <c r="AT164" s="482" t="s">
        <v>864</v>
      </c>
      <c r="AU1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7">
        <v>46159</v>
      </c>
      <c r="AX164" s="433" t="s">
        <v>84</v>
      </c>
      <c r="AY164" s="437">
        <v>46171</v>
      </c>
      <c r="AZ164" s="442">
        <v>8</v>
      </c>
      <c r="BA164" s="437">
        <v>46167</v>
      </c>
      <c r="BB164" s="433">
        <v>2026</v>
      </c>
      <c r="BC164" s="430">
        <v>5</v>
      </c>
      <c r="BD164" s="430">
        <v>22</v>
      </c>
      <c r="BE164" s="431">
        <v>36</v>
      </c>
      <c r="BF164" s="431">
        <v>936</v>
      </c>
      <c r="BG164" s="431" t="s">
        <v>94</v>
      </c>
      <c r="BH164" s="431" t="s">
        <v>86</v>
      </c>
      <c r="BI164" s="430" t="s">
        <v>197</v>
      </c>
      <c r="BJ164" s="430" t="s">
        <v>197</v>
      </c>
      <c r="BK164" s="430" t="s">
        <v>197</v>
      </c>
      <c r="BL164" s="430" t="s">
        <v>197</v>
      </c>
      <c r="BM164" s="430" t="s">
        <v>197</v>
      </c>
      <c r="BN164" s="430" t="s">
        <v>197</v>
      </c>
      <c r="BO164" s="430" t="s">
        <v>197</v>
      </c>
      <c r="BP164" s="430" t="s">
        <v>197</v>
      </c>
      <c r="BQ164" s="430" t="s">
        <v>197</v>
      </c>
      <c r="BR164" s="430" t="s">
        <v>197</v>
      </c>
      <c r="BS164" s="430" t="s">
        <v>197</v>
      </c>
      <c r="BT164" s="430" t="s">
        <v>197</v>
      </c>
      <c r="BU164" s="430" t="s">
        <v>197</v>
      </c>
      <c r="BV164" s="430" t="s">
        <v>197</v>
      </c>
      <c r="BW164" s="430" t="s">
        <v>197</v>
      </c>
      <c r="BX164" s="430" t="s">
        <v>197</v>
      </c>
      <c r="BY164" s="430" t="s">
        <v>197</v>
      </c>
      <c r="BZ164" s="430" t="s">
        <v>197</v>
      </c>
      <c r="CA164" s="430" t="s">
        <v>197</v>
      </c>
      <c r="CB164" s="430" t="s">
        <v>197</v>
      </c>
      <c r="CC164" s="430" t="s">
        <v>197</v>
      </c>
      <c r="CD164" s="430" t="s">
        <v>197</v>
      </c>
      <c r="CE164" s="430" t="s">
        <v>197</v>
      </c>
      <c r="CF164" s="430" t="s">
        <v>197</v>
      </c>
      <c r="CG164" s="430" t="s">
        <v>197</v>
      </c>
      <c r="CH164" s="430" t="s">
        <v>197</v>
      </c>
      <c r="CI164" s="430" t="s">
        <v>197</v>
      </c>
      <c r="CJ164" s="430" t="s">
        <v>197</v>
      </c>
      <c r="CK164" s="430" t="s">
        <v>197</v>
      </c>
      <c r="CL164" s="430" t="s">
        <v>197</v>
      </c>
      <c r="CM164" s="430" t="s">
        <v>197</v>
      </c>
    </row>
    <row r="165" spans="1:91" ht="10.5">
      <c r="A165" s="462" t="s">
        <v>867</v>
      </c>
      <c r="B165" s="462" t="s">
        <v>61</v>
      </c>
      <c r="C165" s="462" t="s">
        <v>203</v>
      </c>
      <c r="D165" s="462" t="s">
        <v>63</v>
      </c>
      <c r="E165" s="462" t="s">
        <v>144</v>
      </c>
      <c r="F165" s="462" t="s">
        <v>145</v>
      </c>
      <c r="G165" s="462" t="s">
        <v>402</v>
      </c>
      <c r="H165" s="462" t="s">
        <v>868</v>
      </c>
      <c r="I165" s="439" t="s">
        <v>869</v>
      </c>
      <c r="J165" s="430" t="s">
        <v>147</v>
      </c>
      <c r="K165" s="430" t="s">
        <v>870</v>
      </c>
      <c r="L165" s="430"/>
      <c r="M165" s="430" t="s">
        <v>840</v>
      </c>
      <c r="N165" s="432">
        <v>46045</v>
      </c>
      <c r="O165" s="430" t="s">
        <v>70</v>
      </c>
      <c r="P165" s="430" t="s">
        <v>71</v>
      </c>
      <c r="Q165" s="430" t="s">
        <v>72</v>
      </c>
      <c r="R165" s="431" t="s">
        <v>73</v>
      </c>
      <c r="S165" s="442" t="s">
        <v>74</v>
      </c>
      <c r="T165" s="433">
        <v>500</v>
      </c>
      <c r="U165" s="1088">
        <v>864</v>
      </c>
      <c r="V165" s="434">
        <v>0.432</v>
      </c>
      <c r="W165" s="435">
        <v>24</v>
      </c>
      <c r="X165" s="1040">
        <v>1</v>
      </c>
      <c r="Y165" s="430" t="s">
        <v>75</v>
      </c>
      <c r="Z165" s="430" t="s">
        <v>75</v>
      </c>
      <c r="AA165" s="430"/>
      <c r="AB165" s="437">
        <v>46079</v>
      </c>
      <c r="AC165" s="438">
        <v>9</v>
      </c>
      <c r="AD165" s="439" t="s">
        <v>871</v>
      </c>
      <c r="AE165" s="430"/>
      <c r="AF165" s="430" t="s">
        <v>77</v>
      </c>
      <c r="AG165" s="430" t="s">
        <v>61</v>
      </c>
      <c r="AH165" s="430" t="s">
        <v>78</v>
      </c>
      <c r="AI165" s="437">
        <v>46084</v>
      </c>
      <c r="AJ165" s="437">
        <v>46084</v>
      </c>
      <c r="AK165" s="441">
        <v>46084</v>
      </c>
      <c r="AL165" s="437">
        <v>46160</v>
      </c>
      <c r="AM165" s="437">
        <v>46169</v>
      </c>
      <c r="AN165" s="437">
        <v>46165</v>
      </c>
      <c r="AO165" s="430" t="s">
        <v>402</v>
      </c>
      <c r="AP165" s="430" t="s">
        <v>872</v>
      </c>
      <c r="AQ165" s="430" t="s">
        <v>80</v>
      </c>
      <c r="AR165" s="430" t="s">
        <v>873</v>
      </c>
      <c r="AS165" s="430" t="s">
        <v>874</v>
      </c>
      <c r="AT165" s="482" t="s">
        <v>875</v>
      </c>
      <c r="AU1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7">
        <v>46165</v>
      </c>
      <c r="AX165" s="433" t="s">
        <v>84</v>
      </c>
      <c r="AY165" s="437">
        <v>46174</v>
      </c>
      <c r="AZ165" s="442" t="s">
        <v>152</v>
      </c>
      <c r="BA165" s="437">
        <v>46165</v>
      </c>
      <c r="BB165" s="433">
        <v>2026</v>
      </c>
      <c r="BC165" s="430">
        <v>5</v>
      </c>
      <c r="BD165" s="430">
        <v>21</v>
      </c>
      <c r="BE165" s="431">
        <v>36</v>
      </c>
      <c r="BF165" s="431">
        <v>864</v>
      </c>
      <c r="BG165" s="431" t="s">
        <v>85</v>
      </c>
      <c r="BH165" s="431" t="s">
        <v>86</v>
      </c>
      <c r="BI165" s="430" t="s">
        <v>197</v>
      </c>
      <c r="BJ165" s="430" t="s">
        <v>197</v>
      </c>
      <c r="BK165" s="430" t="s">
        <v>197</v>
      </c>
      <c r="BL165" s="430" t="s">
        <v>197</v>
      </c>
      <c r="BM165" s="430" t="s">
        <v>197</v>
      </c>
      <c r="BN165" s="430" t="s">
        <v>197</v>
      </c>
      <c r="BO165" s="430" t="s">
        <v>197</v>
      </c>
      <c r="BP165" s="430" t="s">
        <v>197</v>
      </c>
      <c r="BQ165" s="430" t="s">
        <v>197</v>
      </c>
      <c r="BR165" s="430" t="s">
        <v>197</v>
      </c>
      <c r="BS165" s="430" t="s">
        <v>197</v>
      </c>
      <c r="BT165" s="430" t="s">
        <v>197</v>
      </c>
      <c r="BU165" s="430" t="s">
        <v>197</v>
      </c>
      <c r="BV165" s="430" t="s">
        <v>197</v>
      </c>
      <c r="BW165" s="430" t="s">
        <v>197</v>
      </c>
      <c r="BX165" s="430" t="s">
        <v>197</v>
      </c>
      <c r="BY165" s="430" t="s">
        <v>197</v>
      </c>
      <c r="BZ165" s="430" t="s">
        <v>197</v>
      </c>
      <c r="CA165" s="430" t="s">
        <v>197</v>
      </c>
      <c r="CB165" s="430" t="s">
        <v>197</v>
      </c>
      <c r="CC165" s="430" t="s">
        <v>197</v>
      </c>
      <c r="CD165" s="430" t="s">
        <v>197</v>
      </c>
      <c r="CE165" s="430" t="s">
        <v>197</v>
      </c>
      <c r="CF165" s="430" t="s">
        <v>197</v>
      </c>
      <c r="CG165" s="430" t="s">
        <v>197</v>
      </c>
      <c r="CH165" s="430" t="s">
        <v>197</v>
      </c>
      <c r="CI165" s="430" t="s">
        <v>197</v>
      </c>
      <c r="CJ165" s="430" t="s">
        <v>197</v>
      </c>
      <c r="CK165" s="430" t="s">
        <v>197</v>
      </c>
      <c r="CL165" s="430" t="s">
        <v>197</v>
      </c>
      <c r="CM165" s="430" t="s">
        <v>197</v>
      </c>
    </row>
    <row r="166" spans="1:91" ht="10.5">
      <c r="A166" s="462" t="s">
        <v>876</v>
      </c>
      <c r="B166" s="462" t="s">
        <v>61</v>
      </c>
      <c r="C166" s="462" t="s">
        <v>203</v>
      </c>
      <c r="D166" s="462" t="s">
        <v>63</v>
      </c>
      <c r="E166" s="462" t="s">
        <v>64</v>
      </c>
      <c r="F166" s="462" t="s">
        <v>65</v>
      </c>
      <c r="G166" s="462" t="s">
        <v>402</v>
      </c>
      <c r="H166" s="462" t="s">
        <v>67</v>
      </c>
      <c r="I166" s="439" t="s">
        <v>869</v>
      </c>
      <c r="J166" s="430" t="s">
        <v>96</v>
      </c>
      <c r="K166" s="430"/>
      <c r="L166" s="430"/>
      <c r="M166" s="430" t="s">
        <v>68</v>
      </c>
      <c r="N166" s="432">
        <v>46045</v>
      </c>
      <c r="O166" s="430" t="s">
        <v>70</v>
      </c>
      <c r="P166" s="430" t="s">
        <v>71</v>
      </c>
      <c r="Q166" s="430" t="s">
        <v>72</v>
      </c>
      <c r="R166" s="431" t="s">
        <v>73</v>
      </c>
      <c r="S166" s="442" t="s">
        <v>74</v>
      </c>
      <c r="T166" s="433">
        <v>500</v>
      </c>
      <c r="U166" s="1088">
        <v>1728</v>
      </c>
      <c r="V166" s="434">
        <v>0.86399999999999999</v>
      </c>
      <c r="W166" s="435">
        <v>48</v>
      </c>
      <c r="X166" s="1040">
        <v>2</v>
      </c>
      <c r="Y166" s="430" t="s">
        <v>75</v>
      </c>
      <c r="Z166" s="430" t="s">
        <v>75</v>
      </c>
      <c r="AA166" s="430"/>
      <c r="AB166" s="437">
        <v>46079</v>
      </c>
      <c r="AC166" s="438">
        <v>9</v>
      </c>
      <c r="AD166" s="439" t="s">
        <v>877</v>
      </c>
      <c r="AE166" s="430"/>
      <c r="AF166" s="430" t="s">
        <v>77</v>
      </c>
      <c r="AG166" s="430" t="s">
        <v>61</v>
      </c>
      <c r="AH166" s="430" t="s">
        <v>78</v>
      </c>
      <c r="AI166" s="437">
        <v>46084</v>
      </c>
      <c r="AJ166" s="437">
        <v>46084</v>
      </c>
      <c r="AK166" s="441">
        <v>46084</v>
      </c>
      <c r="AL166" s="437">
        <v>46160</v>
      </c>
      <c r="AM166" s="437">
        <v>46169</v>
      </c>
      <c r="AN166" s="437">
        <v>46165</v>
      </c>
      <c r="AO166" s="430" t="s">
        <v>402</v>
      </c>
      <c r="AP166" s="430" t="s">
        <v>872</v>
      </c>
      <c r="AQ166" s="430" t="s">
        <v>80</v>
      </c>
      <c r="AR166" s="430" t="s">
        <v>878</v>
      </c>
      <c r="AS166" s="430" t="s">
        <v>875</v>
      </c>
      <c r="AT166" s="482" t="s">
        <v>875</v>
      </c>
      <c r="AU1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7">
        <v>46165</v>
      </c>
      <c r="AX166" s="433" t="s">
        <v>84</v>
      </c>
      <c r="AY166" s="437">
        <v>46177</v>
      </c>
      <c r="AZ166" s="442">
        <v>8</v>
      </c>
      <c r="BA166" s="437">
        <v>46173</v>
      </c>
      <c r="BB166" s="433">
        <v>2026</v>
      </c>
      <c r="BC166" s="430">
        <v>5</v>
      </c>
      <c r="BD166" s="430">
        <v>22</v>
      </c>
      <c r="BE166" s="431">
        <v>36</v>
      </c>
      <c r="BF166" s="431">
        <v>864</v>
      </c>
      <c r="BG166" s="431" t="s">
        <v>85</v>
      </c>
      <c r="BH166" s="431" t="s">
        <v>86</v>
      </c>
      <c r="BI166" s="430" t="s">
        <v>197</v>
      </c>
      <c r="BJ166" s="430" t="s">
        <v>197</v>
      </c>
      <c r="BK166" s="430" t="s">
        <v>197</v>
      </c>
      <c r="BL166" s="430" t="s">
        <v>197</v>
      </c>
      <c r="BM166" s="430" t="s">
        <v>197</v>
      </c>
      <c r="BN166" s="430" t="s">
        <v>197</v>
      </c>
      <c r="BO166" s="430" t="s">
        <v>197</v>
      </c>
      <c r="BP166" s="430" t="s">
        <v>197</v>
      </c>
      <c r="BQ166" s="430" t="s">
        <v>197</v>
      </c>
      <c r="BR166" s="430" t="s">
        <v>197</v>
      </c>
      <c r="BS166" s="430" t="s">
        <v>197</v>
      </c>
      <c r="BT166" s="430" t="s">
        <v>197</v>
      </c>
      <c r="BU166" s="430" t="s">
        <v>197</v>
      </c>
      <c r="BV166" s="430" t="s">
        <v>197</v>
      </c>
      <c r="BW166" s="430" t="s">
        <v>197</v>
      </c>
      <c r="BX166" s="430" t="s">
        <v>197</v>
      </c>
      <c r="BY166" s="430" t="s">
        <v>197</v>
      </c>
      <c r="BZ166" s="430" t="s">
        <v>197</v>
      </c>
      <c r="CA166" s="430" t="s">
        <v>197</v>
      </c>
      <c r="CB166" s="430" t="s">
        <v>197</v>
      </c>
      <c r="CC166" s="430" t="s">
        <v>197</v>
      </c>
      <c r="CD166" s="430" t="s">
        <v>197</v>
      </c>
      <c r="CE166" s="430" t="s">
        <v>197</v>
      </c>
      <c r="CF166" s="430" t="s">
        <v>197</v>
      </c>
      <c r="CG166" s="430" t="s">
        <v>197</v>
      </c>
      <c r="CH166" s="430" t="s">
        <v>197</v>
      </c>
      <c r="CI166" s="430" t="s">
        <v>197</v>
      </c>
      <c r="CJ166" s="430" t="s">
        <v>197</v>
      </c>
      <c r="CK166" s="430" t="s">
        <v>197</v>
      </c>
      <c r="CL166" s="430" t="s">
        <v>197</v>
      </c>
      <c r="CM166" s="430" t="s">
        <v>197</v>
      </c>
    </row>
    <row r="167" spans="1:91" ht="10.5">
      <c r="A167" s="462" t="s">
        <v>62</v>
      </c>
      <c r="B167" s="462" t="s">
        <v>61</v>
      </c>
      <c r="C167" s="462" t="s">
        <v>203</v>
      </c>
      <c r="D167" s="462" t="s">
        <v>63</v>
      </c>
      <c r="E167" s="462" t="s">
        <v>64</v>
      </c>
      <c r="F167" s="462" t="s">
        <v>65</v>
      </c>
      <c r="G167" s="462" t="s">
        <v>402</v>
      </c>
      <c r="H167" s="462" t="s">
        <v>67</v>
      </c>
      <c r="I167" s="439" t="s">
        <v>869</v>
      </c>
      <c r="J167" s="430" t="s">
        <v>96</v>
      </c>
      <c r="K167" s="430"/>
      <c r="L167" s="430"/>
      <c r="M167" s="430" t="s">
        <v>68</v>
      </c>
      <c r="N167" s="432">
        <v>46045</v>
      </c>
      <c r="O167" s="430" t="s">
        <v>70</v>
      </c>
      <c r="P167" s="430" t="s">
        <v>71</v>
      </c>
      <c r="Q167" s="430" t="s">
        <v>72</v>
      </c>
      <c r="R167" s="431" t="s">
        <v>73</v>
      </c>
      <c r="S167" s="442" t="s">
        <v>74</v>
      </c>
      <c r="T167" s="433">
        <v>500</v>
      </c>
      <c r="U167" s="1088">
        <v>1728</v>
      </c>
      <c r="V167" s="434">
        <v>0.86399999999999999</v>
      </c>
      <c r="W167" s="435">
        <v>48</v>
      </c>
      <c r="X167" s="1040">
        <v>2</v>
      </c>
      <c r="Y167" s="430" t="s">
        <v>75</v>
      </c>
      <c r="Z167" s="430" t="s">
        <v>75</v>
      </c>
      <c r="AA167" s="430"/>
      <c r="AB167" s="437">
        <v>46079</v>
      </c>
      <c r="AC167" s="438">
        <v>9</v>
      </c>
      <c r="AD167" s="439" t="s">
        <v>879</v>
      </c>
      <c r="AE167" s="430"/>
      <c r="AF167" s="430" t="s">
        <v>77</v>
      </c>
      <c r="AG167" s="430" t="s">
        <v>61</v>
      </c>
      <c r="AH167" s="430" t="s">
        <v>78</v>
      </c>
      <c r="AI167" s="437">
        <v>46084</v>
      </c>
      <c r="AJ167" s="437">
        <v>46084</v>
      </c>
      <c r="AK167" s="441">
        <v>46084</v>
      </c>
      <c r="AL167" s="437">
        <v>46160</v>
      </c>
      <c r="AM167" s="437">
        <v>46169</v>
      </c>
      <c r="AN167" s="437">
        <v>46165</v>
      </c>
      <c r="AO167" s="430" t="s">
        <v>402</v>
      </c>
      <c r="AP167" s="430" t="s">
        <v>872</v>
      </c>
      <c r="AQ167" s="430" t="s">
        <v>80</v>
      </c>
      <c r="AR167" s="430" t="s">
        <v>878</v>
      </c>
      <c r="AS167" s="430" t="s">
        <v>875</v>
      </c>
      <c r="AT167" s="482" t="s">
        <v>875</v>
      </c>
      <c r="AU1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7">
        <v>46165</v>
      </c>
      <c r="AX167" s="433" t="s">
        <v>84</v>
      </c>
      <c r="AY167" s="437">
        <v>46181</v>
      </c>
      <c r="AZ167" s="442">
        <v>8</v>
      </c>
      <c r="BA167" s="437">
        <v>46173</v>
      </c>
      <c r="BB167" s="433">
        <v>2026</v>
      </c>
      <c r="BC167" s="430">
        <v>5</v>
      </c>
      <c r="BD167" s="430">
        <v>22</v>
      </c>
      <c r="BE167" s="431">
        <v>36</v>
      </c>
      <c r="BF167" s="431">
        <v>864</v>
      </c>
      <c r="BG167" s="431" t="s">
        <v>85</v>
      </c>
      <c r="BH167" s="431" t="s">
        <v>86</v>
      </c>
      <c r="BI167" s="430" t="s">
        <v>197</v>
      </c>
      <c r="BJ167" s="430" t="s">
        <v>197</v>
      </c>
      <c r="BK167" s="430" t="s">
        <v>197</v>
      </c>
      <c r="BL167" s="430" t="s">
        <v>197</v>
      </c>
      <c r="BM167" s="430" t="s">
        <v>197</v>
      </c>
      <c r="BN167" s="430" t="s">
        <v>197</v>
      </c>
      <c r="BO167" s="430" t="s">
        <v>197</v>
      </c>
      <c r="BP167" s="430" t="s">
        <v>197</v>
      </c>
      <c r="BQ167" s="430" t="s">
        <v>197</v>
      </c>
      <c r="BR167" s="430" t="s">
        <v>197</v>
      </c>
      <c r="BS167" s="430" t="s">
        <v>197</v>
      </c>
      <c r="BT167" s="430" t="s">
        <v>197</v>
      </c>
      <c r="BU167" s="430" t="s">
        <v>197</v>
      </c>
      <c r="BV167" s="430" t="s">
        <v>197</v>
      </c>
      <c r="BW167" s="430" t="s">
        <v>197</v>
      </c>
      <c r="BX167" s="430" t="s">
        <v>197</v>
      </c>
      <c r="BY167" s="430" t="s">
        <v>197</v>
      </c>
      <c r="BZ167" s="430" t="s">
        <v>197</v>
      </c>
      <c r="CA167" s="430" t="s">
        <v>197</v>
      </c>
      <c r="CB167" s="430" t="s">
        <v>197</v>
      </c>
      <c r="CC167" s="430" t="s">
        <v>197</v>
      </c>
      <c r="CD167" s="430" t="s">
        <v>197</v>
      </c>
      <c r="CE167" s="430" t="s">
        <v>197</v>
      </c>
      <c r="CF167" s="430" t="s">
        <v>197</v>
      </c>
      <c r="CG167" s="430" t="s">
        <v>197</v>
      </c>
      <c r="CH167" s="430" t="s">
        <v>197</v>
      </c>
      <c r="CI167" s="430" t="s">
        <v>197</v>
      </c>
      <c r="CJ167" s="430" t="s">
        <v>197</v>
      </c>
      <c r="CK167" s="430" t="s">
        <v>197</v>
      </c>
      <c r="CL167" s="430" t="s">
        <v>197</v>
      </c>
      <c r="CM167" s="430" t="s">
        <v>197</v>
      </c>
    </row>
    <row r="168" spans="1:91" ht="10.5">
      <c r="A168" s="462" t="s">
        <v>880</v>
      </c>
      <c r="B168" s="462" t="s">
        <v>61</v>
      </c>
      <c r="C168" s="462" t="s">
        <v>203</v>
      </c>
      <c r="D168" s="462" t="s">
        <v>63</v>
      </c>
      <c r="E168" s="462" t="s">
        <v>144</v>
      </c>
      <c r="F168" s="462" t="s">
        <v>145</v>
      </c>
      <c r="G168" s="462" t="s">
        <v>402</v>
      </c>
      <c r="H168" s="462" t="s">
        <v>881</v>
      </c>
      <c r="I168" s="439" t="s">
        <v>882</v>
      </c>
      <c r="J168" s="430" t="s">
        <v>883</v>
      </c>
      <c r="K168" s="430" t="s">
        <v>884</v>
      </c>
      <c r="L168" s="430"/>
      <c r="M168" s="430" t="s">
        <v>840</v>
      </c>
      <c r="N168" s="432">
        <v>46045</v>
      </c>
      <c r="O168" s="430" t="s">
        <v>70</v>
      </c>
      <c r="P168" s="430" t="s">
        <v>885</v>
      </c>
      <c r="Q168" s="430" t="s">
        <v>886</v>
      </c>
      <c r="R168" s="431" t="s">
        <v>73</v>
      </c>
      <c r="S168" s="442" t="s">
        <v>120</v>
      </c>
      <c r="T168" s="433">
        <v>615</v>
      </c>
      <c r="U168" s="1088">
        <v>2880</v>
      </c>
      <c r="V168" s="434">
        <v>1.7709999999999999</v>
      </c>
      <c r="W168" s="435">
        <v>80</v>
      </c>
      <c r="X168" s="1040">
        <v>4</v>
      </c>
      <c r="Y168" s="430" t="s">
        <v>75</v>
      </c>
      <c r="Z168" s="430" t="s">
        <v>75</v>
      </c>
      <c r="AA168" s="430"/>
      <c r="AB168" s="437">
        <v>46082</v>
      </c>
      <c r="AC168" s="438">
        <v>9</v>
      </c>
      <c r="AD168" s="439" t="s">
        <v>887</v>
      </c>
      <c r="AE168" s="430"/>
      <c r="AF168" s="430" t="s">
        <v>77</v>
      </c>
      <c r="AG168" s="430" t="s">
        <v>61</v>
      </c>
      <c r="AH168" s="430" t="s">
        <v>888</v>
      </c>
      <c r="AI168" s="437">
        <v>46088</v>
      </c>
      <c r="AJ168" s="437">
        <v>46088</v>
      </c>
      <c r="AK168" s="441">
        <v>46088</v>
      </c>
      <c r="AL168" s="437">
        <v>46148</v>
      </c>
      <c r="AM168" s="437">
        <v>46169</v>
      </c>
      <c r="AN168" s="437">
        <v>46169</v>
      </c>
      <c r="AO168" s="430" t="s">
        <v>402</v>
      </c>
      <c r="AP168" s="430" t="s">
        <v>889</v>
      </c>
      <c r="AQ168" s="430" t="s">
        <v>80</v>
      </c>
      <c r="AR168" s="430" t="s">
        <v>890</v>
      </c>
      <c r="AS168" s="430" t="s">
        <v>891</v>
      </c>
      <c r="AT168" s="482" t="s">
        <v>891</v>
      </c>
      <c r="AU1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7">
        <v>46169</v>
      </c>
      <c r="AX168" s="433" t="s">
        <v>84</v>
      </c>
      <c r="AY168" s="437">
        <v>46162</v>
      </c>
      <c r="AZ168" s="442" t="s">
        <v>152</v>
      </c>
      <c r="BA168" s="437">
        <v>46169</v>
      </c>
      <c r="BB168" s="433">
        <v>2026</v>
      </c>
      <c r="BC168" s="430">
        <v>5</v>
      </c>
      <c r="BD168" s="430">
        <v>22</v>
      </c>
      <c r="BE168" s="431">
        <v>36</v>
      </c>
      <c r="BF168" s="431">
        <v>720</v>
      </c>
      <c r="BG168" s="431" t="s">
        <v>108</v>
      </c>
      <c r="BH168" s="431" t="s">
        <v>109</v>
      </c>
      <c r="BI168" s="430" t="s">
        <v>197</v>
      </c>
      <c r="BJ168" s="430" t="s">
        <v>197</v>
      </c>
      <c r="BK168" s="430" t="s">
        <v>197</v>
      </c>
      <c r="BL168" s="430" t="s">
        <v>197</v>
      </c>
      <c r="BM168" s="430" t="s">
        <v>197</v>
      </c>
      <c r="BN168" s="430" t="s">
        <v>197</v>
      </c>
      <c r="BO168" s="430" t="s">
        <v>197</v>
      </c>
      <c r="BP168" s="430" t="s">
        <v>197</v>
      </c>
      <c r="BQ168" s="430" t="s">
        <v>197</v>
      </c>
      <c r="BR168" s="430" t="s">
        <v>197</v>
      </c>
      <c r="BS168" s="430" t="s">
        <v>197</v>
      </c>
      <c r="BT168" s="430" t="s">
        <v>197</v>
      </c>
      <c r="BU168" s="430" t="s">
        <v>197</v>
      </c>
      <c r="BV168" s="430" t="s">
        <v>197</v>
      </c>
      <c r="BW168" s="430" t="s">
        <v>197</v>
      </c>
      <c r="BX168" s="430" t="s">
        <v>197</v>
      </c>
      <c r="BY168" s="430" t="s">
        <v>197</v>
      </c>
      <c r="BZ168" s="430" t="s">
        <v>197</v>
      </c>
      <c r="CA168" s="430" t="s">
        <v>197</v>
      </c>
      <c r="CB168" s="430" t="s">
        <v>197</v>
      </c>
      <c r="CC168" s="430" t="s">
        <v>197</v>
      </c>
      <c r="CD168" s="430" t="s">
        <v>197</v>
      </c>
      <c r="CE168" s="430" t="s">
        <v>197</v>
      </c>
      <c r="CF168" s="430" t="s">
        <v>197</v>
      </c>
      <c r="CG168" s="430" t="s">
        <v>197</v>
      </c>
      <c r="CH168" s="430" t="s">
        <v>197</v>
      </c>
      <c r="CI168" s="430" t="s">
        <v>197</v>
      </c>
      <c r="CJ168" s="430" t="s">
        <v>197</v>
      </c>
      <c r="CK168" s="430" t="s">
        <v>197</v>
      </c>
      <c r="CL168" s="430" t="s">
        <v>197</v>
      </c>
      <c r="CM168" s="430" t="s">
        <v>197</v>
      </c>
    </row>
    <row r="169" spans="1:91" ht="10.5">
      <c r="A169" s="462" t="s">
        <v>892</v>
      </c>
      <c r="B169" s="462" t="s">
        <v>111</v>
      </c>
      <c r="C169" s="462" t="s">
        <v>376</v>
      </c>
      <c r="D169" s="462" t="s">
        <v>113</v>
      </c>
      <c r="E169" s="462" t="s">
        <v>64</v>
      </c>
      <c r="F169" s="462" t="s">
        <v>65</v>
      </c>
      <c r="G169" s="462" t="s">
        <v>402</v>
      </c>
      <c r="H169" s="462" t="s">
        <v>67</v>
      </c>
      <c r="I169" s="439" t="s">
        <v>822</v>
      </c>
      <c r="J169" s="430" t="s">
        <v>377</v>
      </c>
      <c r="K169" s="430" t="s">
        <v>328</v>
      </c>
      <c r="L169" s="430"/>
      <c r="M169" s="430" t="s">
        <v>68</v>
      </c>
      <c r="N169" s="432">
        <v>46045</v>
      </c>
      <c r="O169" s="430" t="s">
        <v>70</v>
      </c>
      <c r="P169" s="430" t="s">
        <v>378</v>
      </c>
      <c r="Q169" s="430" t="s">
        <v>379</v>
      </c>
      <c r="R169" s="431" t="s">
        <v>73</v>
      </c>
      <c r="S169" s="442" t="s">
        <v>120</v>
      </c>
      <c r="T169" s="433">
        <v>620</v>
      </c>
      <c r="U169" s="1088">
        <v>8640</v>
      </c>
      <c r="V169" s="434">
        <v>5.3570000000000002</v>
      </c>
      <c r="W169" s="435">
        <v>240</v>
      </c>
      <c r="X169" s="1040">
        <v>12</v>
      </c>
      <c r="Y169" s="430" t="s">
        <v>75</v>
      </c>
      <c r="Z169" s="430" t="s">
        <v>75</v>
      </c>
      <c r="AA169" s="430"/>
      <c r="AB169" s="437">
        <v>46078</v>
      </c>
      <c r="AC169" s="438">
        <v>9</v>
      </c>
      <c r="AD169" s="439" t="s">
        <v>893</v>
      </c>
      <c r="AE169" s="430"/>
      <c r="AF169" s="430" t="s">
        <v>122</v>
      </c>
      <c r="AG169" s="430" t="s">
        <v>123</v>
      </c>
      <c r="AH169" s="430" t="s">
        <v>356</v>
      </c>
      <c r="AI169" s="437">
        <v>46089</v>
      </c>
      <c r="AJ169" s="437">
        <v>46097</v>
      </c>
      <c r="AK169" s="441">
        <v>46089</v>
      </c>
      <c r="AL169" s="437">
        <v>46126</v>
      </c>
      <c r="AM169" s="437">
        <v>46126</v>
      </c>
      <c r="AN169" s="437">
        <v>46124</v>
      </c>
      <c r="AO169" s="430" t="s">
        <v>402</v>
      </c>
      <c r="AP169" s="430" t="s">
        <v>894</v>
      </c>
      <c r="AQ169" s="430" t="s">
        <v>161</v>
      </c>
      <c r="AR169" s="430" t="s">
        <v>895</v>
      </c>
      <c r="AS169" s="430" t="s">
        <v>896</v>
      </c>
      <c r="AT169" s="482" t="s">
        <v>896</v>
      </c>
      <c r="AU1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7">
        <v>46124</v>
      </c>
      <c r="AX169" s="433" t="s">
        <v>84</v>
      </c>
      <c r="AY169" s="437">
        <v>46139</v>
      </c>
      <c r="AZ169" s="442">
        <v>8</v>
      </c>
      <c r="BA169" s="437">
        <v>46132</v>
      </c>
      <c r="BB169" s="433">
        <v>2026</v>
      </c>
      <c r="BC169" s="430">
        <v>4</v>
      </c>
      <c r="BD169" s="430">
        <v>17</v>
      </c>
      <c r="BE169" s="431">
        <v>36</v>
      </c>
      <c r="BF169" s="431">
        <v>720</v>
      </c>
      <c r="BG169" s="431" t="s">
        <v>128</v>
      </c>
      <c r="BH169" s="431" t="s">
        <v>109</v>
      </c>
      <c r="BI169" s="430" t="s">
        <v>197</v>
      </c>
      <c r="BJ169" s="430" t="s">
        <v>197</v>
      </c>
      <c r="BK169" s="430" t="s">
        <v>197</v>
      </c>
      <c r="BL169" s="430" t="s">
        <v>197</v>
      </c>
      <c r="BM169" s="430" t="s">
        <v>197</v>
      </c>
      <c r="BN169" s="430" t="s">
        <v>197</v>
      </c>
      <c r="BO169" s="430" t="s">
        <v>197</v>
      </c>
      <c r="BP169" s="430" t="s">
        <v>197</v>
      </c>
      <c r="BQ169" s="430" t="s">
        <v>197</v>
      </c>
      <c r="BR169" s="430" t="s">
        <v>197</v>
      </c>
      <c r="BS169" s="430" t="s">
        <v>197</v>
      </c>
      <c r="BT169" s="430" t="s">
        <v>197</v>
      </c>
      <c r="BU169" s="430" t="s">
        <v>197</v>
      </c>
      <c r="BV169" s="430" t="s">
        <v>197</v>
      </c>
      <c r="BW169" s="430" t="s">
        <v>197</v>
      </c>
      <c r="BX169" s="430" t="s">
        <v>197</v>
      </c>
      <c r="BY169" s="430" t="s">
        <v>197</v>
      </c>
      <c r="BZ169" s="430" t="s">
        <v>197</v>
      </c>
      <c r="CA169" s="430" t="s">
        <v>197</v>
      </c>
      <c r="CB169" s="430" t="s">
        <v>197</v>
      </c>
      <c r="CC169" s="430" t="s">
        <v>197</v>
      </c>
      <c r="CD169" s="430" t="s">
        <v>197</v>
      </c>
      <c r="CE169" s="430" t="s">
        <v>197</v>
      </c>
      <c r="CF169" s="430" t="s">
        <v>197</v>
      </c>
      <c r="CG169" s="430" t="s">
        <v>197</v>
      </c>
      <c r="CH169" s="430" t="s">
        <v>197</v>
      </c>
      <c r="CI169" s="430" t="s">
        <v>197</v>
      </c>
      <c r="CJ169" s="430" t="s">
        <v>197</v>
      </c>
      <c r="CK169" s="430" t="s">
        <v>197</v>
      </c>
      <c r="CL169" s="430" t="s">
        <v>197</v>
      </c>
      <c r="CM169" s="430" t="s">
        <v>197</v>
      </c>
    </row>
    <row r="170" spans="1:91" ht="10.5">
      <c r="A170" s="462" t="s">
        <v>897</v>
      </c>
      <c r="B170" s="462" t="s">
        <v>111</v>
      </c>
      <c r="C170" s="462" t="s">
        <v>376</v>
      </c>
      <c r="D170" s="462" t="s">
        <v>113</v>
      </c>
      <c r="E170" s="462" t="s">
        <v>64</v>
      </c>
      <c r="F170" s="462" t="s">
        <v>65</v>
      </c>
      <c r="G170" s="462" t="s">
        <v>402</v>
      </c>
      <c r="H170" s="462" t="s">
        <v>67</v>
      </c>
      <c r="I170" s="439" t="s">
        <v>822</v>
      </c>
      <c r="J170" s="430" t="s">
        <v>377</v>
      </c>
      <c r="K170" s="430" t="s">
        <v>328</v>
      </c>
      <c r="L170" s="430"/>
      <c r="M170" s="430" t="s">
        <v>68</v>
      </c>
      <c r="N170" s="432">
        <v>46045</v>
      </c>
      <c r="O170" s="430" t="s">
        <v>70</v>
      </c>
      <c r="P170" s="430" t="s">
        <v>378</v>
      </c>
      <c r="Q170" s="430" t="s">
        <v>379</v>
      </c>
      <c r="R170" s="431" t="s">
        <v>73</v>
      </c>
      <c r="S170" s="442" t="s">
        <v>120</v>
      </c>
      <c r="T170" s="433">
        <v>620</v>
      </c>
      <c r="U170" s="1088">
        <v>648</v>
      </c>
      <c r="V170" s="434">
        <v>0.40200000000000002</v>
      </c>
      <c r="W170" s="435">
        <v>18</v>
      </c>
      <c r="X170" s="1040">
        <v>0.9</v>
      </c>
      <c r="Y170" s="430" t="s">
        <v>75</v>
      </c>
      <c r="Z170" s="430" t="s">
        <v>75</v>
      </c>
      <c r="AA170" s="430"/>
      <c r="AB170" s="437">
        <v>46078</v>
      </c>
      <c r="AC170" s="438">
        <v>9</v>
      </c>
      <c r="AD170" s="439" t="s">
        <v>898</v>
      </c>
      <c r="AE170" s="430"/>
      <c r="AF170" s="430" t="s">
        <v>122</v>
      </c>
      <c r="AG170" s="430" t="s">
        <v>123</v>
      </c>
      <c r="AH170" s="430" t="s">
        <v>356</v>
      </c>
      <c r="AI170" s="437">
        <v>46089</v>
      </c>
      <c r="AJ170" s="437">
        <v>46088</v>
      </c>
      <c r="AK170" s="441">
        <v>46089</v>
      </c>
      <c r="AL170" s="437">
        <v>46126</v>
      </c>
      <c r="AM170" s="437">
        <v>46126</v>
      </c>
      <c r="AN170" s="437">
        <v>46124</v>
      </c>
      <c r="AO170" s="430" t="s">
        <v>402</v>
      </c>
      <c r="AP170" s="430" t="s">
        <v>899</v>
      </c>
      <c r="AQ170" s="430" t="s">
        <v>80</v>
      </c>
      <c r="AR170" s="430" t="s">
        <v>900</v>
      </c>
      <c r="AS170" s="430" t="s">
        <v>901</v>
      </c>
      <c r="AT170" s="482" t="s">
        <v>901</v>
      </c>
      <c r="AU1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7">
        <v>46124</v>
      </c>
      <c r="AX170" s="433" t="s">
        <v>84</v>
      </c>
      <c r="AY170" s="437">
        <v>46133</v>
      </c>
      <c r="AZ170" s="442">
        <v>8</v>
      </c>
      <c r="BA170" s="437">
        <v>46132</v>
      </c>
      <c r="BB170" s="433">
        <v>2026</v>
      </c>
      <c r="BC170" s="430">
        <v>4</v>
      </c>
      <c r="BD170" s="430">
        <v>17</v>
      </c>
      <c r="BE170" s="431">
        <v>36</v>
      </c>
      <c r="BF170" s="431">
        <v>720</v>
      </c>
      <c r="BG170" s="431" t="s">
        <v>128</v>
      </c>
      <c r="BH170" s="431" t="s">
        <v>109</v>
      </c>
      <c r="BI170" s="430" t="s">
        <v>197</v>
      </c>
      <c r="BJ170" s="430" t="s">
        <v>197</v>
      </c>
      <c r="BK170" s="430" t="s">
        <v>197</v>
      </c>
      <c r="BL170" s="430" t="s">
        <v>197</v>
      </c>
      <c r="BM170" s="430" t="s">
        <v>197</v>
      </c>
      <c r="BN170" s="430" t="s">
        <v>197</v>
      </c>
      <c r="BO170" s="430" t="s">
        <v>197</v>
      </c>
      <c r="BP170" s="430" t="s">
        <v>197</v>
      </c>
      <c r="BQ170" s="430" t="s">
        <v>197</v>
      </c>
      <c r="BR170" s="430" t="s">
        <v>197</v>
      </c>
      <c r="BS170" s="430" t="s">
        <v>197</v>
      </c>
      <c r="BT170" s="430" t="s">
        <v>197</v>
      </c>
      <c r="BU170" s="430" t="s">
        <v>197</v>
      </c>
      <c r="BV170" s="430" t="s">
        <v>197</v>
      </c>
      <c r="BW170" s="430" t="s">
        <v>197</v>
      </c>
      <c r="BX170" s="430" t="s">
        <v>197</v>
      </c>
      <c r="BY170" s="430" t="s">
        <v>197</v>
      </c>
      <c r="BZ170" s="430" t="s">
        <v>197</v>
      </c>
      <c r="CA170" s="430" t="s">
        <v>197</v>
      </c>
      <c r="CB170" s="430" t="s">
        <v>197</v>
      </c>
      <c r="CC170" s="430" t="s">
        <v>197</v>
      </c>
      <c r="CD170" s="430" t="s">
        <v>197</v>
      </c>
      <c r="CE170" s="430" t="s">
        <v>197</v>
      </c>
      <c r="CF170" s="430" t="s">
        <v>197</v>
      </c>
      <c r="CG170" s="430" t="s">
        <v>197</v>
      </c>
      <c r="CH170" s="430" t="s">
        <v>197</v>
      </c>
      <c r="CI170" s="430" t="s">
        <v>197</v>
      </c>
      <c r="CJ170" s="430" t="s">
        <v>197</v>
      </c>
      <c r="CK170" s="430" t="s">
        <v>197</v>
      </c>
      <c r="CL170" s="430" t="s">
        <v>197</v>
      </c>
      <c r="CM170" s="430" t="s">
        <v>197</v>
      </c>
    </row>
    <row r="171" spans="1:91" ht="10.5">
      <c r="A171" s="462" t="s">
        <v>902</v>
      </c>
      <c r="B171" s="462" t="s">
        <v>111</v>
      </c>
      <c r="C171" s="462" t="s">
        <v>584</v>
      </c>
      <c r="D171" s="462" t="s">
        <v>63</v>
      </c>
      <c r="E171" s="462" t="s">
        <v>64</v>
      </c>
      <c r="F171" s="462" t="s">
        <v>100</v>
      </c>
      <c r="G171" s="462" t="s">
        <v>402</v>
      </c>
      <c r="H171" s="462" t="s">
        <v>67</v>
      </c>
      <c r="I171" s="439" t="s">
        <v>689</v>
      </c>
      <c r="J171" s="430" t="s">
        <v>903</v>
      </c>
      <c r="K171" s="430"/>
      <c r="L171" s="430"/>
      <c r="M171" s="430" t="s">
        <v>68</v>
      </c>
      <c r="N171" s="432">
        <v>46073</v>
      </c>
      <c r="O171" s="430" t="s">
        <v>70</v>
      </c>
      <c r="P171" s="430" t="s">
        <v>585</v>
      </c>
      <c r="Q171" s="430" t="s">
        <v>103</v>
      </c>
      <c r="R171" s="431" t="s">
        <v>331</v>
      </c>
      <c r="S171" s="442" t="s">
        <v>120</v>
      </c>
      <c r="T171" s="433">
        <v>620</v>
      </c>
      <c r="U171" s="1088">
        <v>7200</v>
      </c>
      <c r="V171" s="434">
        <v>4.4640000000000004</v>
      </c>
      <c r="W171" s="435">
        <v>200</v>
      </c>
      <c r="X171" s="1040">
        <v>10</v>
      </c>
      <c r="Y171" s="430" t="s">
        <v>75</v>
      </c>
      <c r="Z171" s="430" t="s">
        <v>75</v>
      </c>
      <c r="AA171" s="430"/>
      <c r="AB171" s="437">
        <v>46080</v>
      </c>
      <c r="AC171" s="438">
        <v>9</v>
      </c>
      <c r="AD171" s="439" t="s">
        <v>904</v>
      </c>
      <c r="AE171" s="430"/>
      <c r="AF171" s="430" t="s">
        <v>122</v>
      </c>
      <c r="AG171" s="430" t="s">
        <v>123</v>
      </c>
      <c r="AH171" s="430" t="s">
        <v>105</v>
      </c>
      <c r="AI171" s="437">
        <v>46091</v>
      </c>
      <c r="AJ171" s="437">
        <v>46096</v>
      </c>
      <c r="AK171" s="441">
        <v>46096</v>
      </c>
      <c r="AL171" s="437">
        <v>46126</v>
      </c>
      <c r="AM171" s="437">
        <v>46142</v>
      </c>
      <c r="AN171" s="437">
        <v>46141</v>
      </c>
      <c r="AO171" s="430" t="s">
        <v>402</v>
      </c>
      <c r="AP171" s="430" t="s">
        <v>872</v>
      </c>
      <c r="AQ171" s="430" t="s">
        <v>80</v>
      </c>
      <c r="AR171" s="430" t="s">
        <v>905</v>
      </c>
      <c r="AS171" s="430" t="s">
        <v>906</v>
      </c>
      <c r="AT171" s="482" t="s">
        <v>906</v>
      </c>
      <c r="AU1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7">
        <v>46141</v>
      </c>
      <c r="AX171" s="433" t="s">
        <v>84</v>
      </c>
      <c r="AY171" s="437">
        <v>46163</v>
      </c>
      <c r="AZ171" s="442">
        <v>7</v>
      </c>
      <c r="BA171" s="437">
        <v>46148</v>
      </c>
      <c r="BB171" s="433">
        <v>2026</v>
      </c>
      <c r="BC171" s="430">
        <v>5</v>
      </c>
      <c r="BD171" s="430">
        <v>19</v>
      </c>
      <c r="BE171" s="431">
        <v>36</v>
      </c>
      <c r="BF171" s="431">
        <v>720</v>
      </c>
      <c r="BG171" s="431" t="s">
        <v>128</v>
      </c>
      <c r="BH171" s="431" t="s">
        <v>109</v>
      </c>
      <c r="BI171" s="430" t="s">
        <v>197</v>
      </c>
      <c r="BJ171" s="430" t="s">
        <v>197</v>
      </c>
      <c r="BK171" s="430" t="s">
        <v>197</v>
      </c>
      <c r="BL171" s="430" t="s">
        <v>197</v>
      </c>
      <c r="BM171" s="430" t="s">
        <v>197</v>
      </c>
      <c r="BN171" s="430" t="s">
        <v>197</v>
      </c>
      <c r="BO171" s="430" t="s">
        <v>197</v>
      </c>
      <c r="BP171" s="430" t="s">
        <v>197</v>
      </c>
      <c r="BQ171" s="430" t="s">
        <v>197</v>
      </c>
      <c r="BR171" s="430" t="s">
        <v>197</v>
      </c>
      <c r="BS171" s="430" t="s">
        <v>197</v>
      </c>
      <c r="BT171" s="430" t="s">
        <v>197</v>
      </c>
      <c r="BU171" s="430" t="s">
        <v>197</v>
      </c>
      <c r="BV171" s="430" t="s">
        <v>197</v>
      </c>
      <c r="BW171" s="430" t="s">
        <v>197</v>
      </c>
      <c r="BX171" s="430" t="s">
        <v>197</v>
      </c>
      <c r="BY171" s="430" t="s">
        <v>197</v>
      </c>
      <c r="BZ171" s="430" t="s">
        <v>197</v>
      </c>
      <c r="CA171" s="430" t="s">
        <v>197</v>
      </c>
      <c r="CB171" s="430" t="s">
        <v>197</v>
      </c>
      <c r="CC171" s="430" t="s">
        <v>197</v>
      </c>
      <c r="CD171" s="430" t="s">
        <v>197</v>
      </c>
      <c r="CE171" s="430" t="s">
        <v>197</v>
      </c>
      <c r="CF171" s="430" t="s">
        <v>197</v>
      </c>
      <c r="CG171" s="430" t="s">
        <v>197</v>
      </c>
      <c r="CH171" s="430" t="s">
        <v>197</v>
      </c>
      <c r="CI171" s="430" t="s">
        <v>197</v>
      </c>
      <c r="CJ171" s="430" t="s">
        <v>197</v>
      </c>
      <c r="CK171" s="430" t="s">
        <v>197</v>
      </c>
      <c r="CL171" s="430" t="s">
        <v>197</v>
      </c>
      <c r="CM171" s="430" t="s">
        <v>197</v>
      </c>
    </row>
    <row r="172" spans="1:91" ht="10.5">
      <c r="A172" s="462" t="s">
        <v>907</v>
      </c>
      <c r="B172" s="462" t="s">
        <v>111</v>
      </c>
      <c r="C172" s="462" t="s">
        <v>584</v>
      </c>
      <c r="D172" s="462" t="s">
        <v>63</v>
      </c>
      <c r="E172" s="462" t="s">
        <v>64</v>
      </c>
      <c r="F172" s="462" t="s">
        <v>100</v>
      </c>
      <c r="G172" s="462" t="s">
        <v>402</v>
      </c>
      <c r="H172" s="462" t="s">
        <v>67</v>
      </c>
      <c r="I172" s="439" t="s">
        <v>689</v>
      </c>
      <c r="J172" s="430" t="s">
        <v>101</v>
      </c>
      <c r="K172" s="430"/>
      <c r="L172" s="430"/>
      <c r="M172" s="430" t="s">
        <v>68</v>
      </c>
      <c r="N172" s="432">
        <v>46073</v>
      </c>
      <c r="O172" s="430" t="s">
        <v>70</v>
      </c>
      <c r="P172" s="430" t="s">
        <v>585</v>
      </c>
      <c r="Q172" s="430" t="s">
        <v>103</v>
      </c>
      <c r="R172" s="431" t="s">
        <v>331</v>
      </c>
      <c r="S172" s="442" t="s">
        <v>120</v>
      </c>
      <c r="T172" s="433">
        <v>620</v>
      </c>
      <c r="U172" s="1088">
        <v>5760</v>
      </c>
      <c r="V172" s="434">
        <v>3.5710000000000002</v>
      </c>
      <c r="W172" s="435">
        <v>160</v>
      </c>
      <c r="X172" s="1040">
        <v>8</v>
      </c>
      <c r="Y172" s="430" t="s">
        <v>75</v>
      </c>
      <c r="Z172" s="430" t="s">
        <v>75</v>
      </c>
      <c r="AA172" s="430"/>
      <c r="AB172" s="437">
        <v>46081</v>
      </c>
      <c r="AC172" s="438">
        <v>9</v>
      </c>
      <c r="AD172" s="439" t="s">
        <v>908</v>
      </c>
      <c r="AE172" s="430"/>
      <c r="AF172" s="430" t="s">
        <v>122</v>
      </c>
      <c r="AG172" s="430" t="s">
        <v>123</v>
      </c>
      <c r="AH172" s="430" t="s">
        <v>105</v>
      </c>
      <c r="AI172" s="437">
        <v>46091</v>
      </c>
      <c r="AJ172" s="437">
        <v>46096</v>
      </c>
      <c r="AK172" s="441">
        <v>46096</v>
      </c>
      <c r="AL172" s="437">
        <v>46126</v>
      </c>
      <c r="AM172" s="437">
        <v>46142</v>
      </c>
      <c r="AN172" s="437">
        <v>46141</v>
      </c>
      <c r="AO172" s="430" t="s">
        <v>402</v>
      </c>
      <c r="AP172" s="430" t="s">
        <v>872</v>
      </c>
      <c r="AQ172" s="430" t="s">
        <v>80</v>
      </c>
      <c r="AR172" s="430" t="s">
        <v>909</v>
      </c>
      <c r="AS172" s="430" t="s">
        <v>910</v>
      </c>
      <c r="AT172" s="482" t="s">
        <v>910</v>
      </c>
      <c r="AU1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7">
        <v>46141</v>
      </c>
      <c r="AX172" s="433" t="s">
        <v>84</v>
      </c>
      <c r="AY172" s="437">
        <v>46163</v>
      </c>
      <c r="AZ172" s="442">
        <v>7</v>
      </c>
      <c r="BA172" s="437">
        <v>46148</v>
      </c>
      <c r="BB172" s="433">
        <v>2026</v>
      </c>
      <c r="BC172" s="430">
        <v>5</v>
      </c>
      <c r="BD172" s="430">
        <v>19</v>
      </c>
      <c r="BE172" s="431">
        <v>36</v>
      </c>
      <c r="BF172" s="431">
        <v>720</v>
      </c>
      <c r="BG172" s="431" t="s">
        <v>128</v>
      </c>
      <c r="BH172" s="431" t="s">
        <v>109</v>
      </c>
      <c r="BI172" s="430" t="s">
        <v>197</v>
      </c>
      <c r="BJ172" s="430" t="s">
        <v>197</v>
      </c>
      <c r="BK172" s="430" t="s">
        <v>197</v>
      </c>
      <c r="BL172" s="430" t="s">
        <v>197</v>
      </c>
      <c r="BM172" s="430" t="s">
        <v>197</v>
      </c>
      <c r="BN172" s="430" t="s">
        <v>197</v>
      </c>
      <c r="BO172" s="430" t="s">
        <v>197</v>
      </c>
      <c r="BP172" s="430" t="s">
        <v>197</v>
      </c>
      <c r="BQ172" s="430" t="s">
        <v>197</v>
      </c>
      <c r="BR172" s="430" t="s">
        <v>197</v>
      </c>
      <c r="BS172" s="430" t="s">
        <v>197</v>
      </c>
      <c r="BT172" s="430" t="s">
        <v>197</v>
      </c>
      <c r="BU172" s="430" t="s">
        <v>197</v>
      </c>
      <c r="BV172" s="430" t="s">
        <v>197</v>
      </c>
      <c r="BW172" s="430" t="s">
        <v>197</v>
      </c>
      <c r="BX172" s="430" t="s">
        <v>197</v>
      </c>
      <c r="BY172" s="430" t="s">
        <v>197</v>
      </c>
      <c r="BZ172" s="430" t="s">
        <v>197</v>
      </c>
      <c r="CA172" s="430" t="s">
        <v>197</v>
      </c>
      <c r="CB172" s="430" t="s">
        <v>197</v>
      </c>
      <c r="CC172" s="430" t="s">
        <v>197</v>
      </c>
      <c r="CD172" s="430" t="s">
        <v>197</v>
      </c>
      <c r="CE172" s="430" t="s">
        <v>197</v>
      </c>
      <c r="CF172" s="430" t="s">
        <v>197</v>
      </c>
      <c r="CG172" s="430" t="s">
        <v>197</v>
      </c>
      <c r="CH172" s="430" t="s">
        <v>197</v>
      </c>
      <c r="CI172" s="430" t="s">
        <v>197</v>
      </c>
      <c r="CJ172" s="430" t="s">
        <v>197</v>
      </c>
      <c r="CK172" s="430" t="s">
        <v>197</v>
      </c>
      <c r="CL172" s="430" t="s">
        <v>197</v>
      </c>
      <c r="CM172" s="430" t="s">
        <v>197</v>
      </c>
    </row>
    <row r="173" spans="1:91" ht="10.5">
      <c r="A173" s="462" t="s">
        <v>911</v>
      </c>
      <c r="B173" s="462" t="s">
        <v>111</v>
      </c>
      <c r="C173" s="462" t="s">
        <v>584</v>
      </c>
      <c r="D173" s="462" t="s">
        <v>113</v>
      </c>
      <c r="E173" s="462" t="s">
        <v>64</v>
      </c>
      <c r="F173" s="462" t="s">
        <v>100</v>
      </c>
      <c r="G173" s="462" t="s">
        <v>402</v>
      </c>
      <c r="H173" s="462" t="s">
        <v>67</v>
      </c>
      <c r="I173" s="439" t="s">
        <v>689</v>
      </c>
      <c r="J173" s="430" t="s">
        <v>912</v>
      </c>
      <c r="K173" s="430"/>
      <c r="L173" s="430"/>
      <c r="M173" s="430" t="s">
        <v>68</v>
      </c>
      <c r="N173" s="432">
        <v>46073</v>
      </c>
      <c r="O173" s="430" t="s">
        <v>70</v>
      </c>
      <c r="P173" s="430" t="s">
        <v>585</v>
      </c>
      <c r="Q173" s="430" t="s">
        <v>103</v>
      </c>
      <c r="R173" s="431" t="s">
        <v>331</v>
      </c>
      <c r="S173" s="442" t="s">
        <v>120</v>
      </c>
      <c r="T173" s="433">
        <v>620</v>
      </c>
      <c r="U173" s="1088">
        <v>10800</v>
      </c>
      <c r="V173" s="434">
        <v>6.6959999999999997</v>
      </c>
      <c r="W173" s="435">
        <v>300</v>
      </c>
      <c r="X173" s="1040">
        <v>15</v>
      </c>
      <c r="Y173" s="430" t="s">
        <v>75</v>
      </c>
      <c r="Z173" s="430" t="s">
        <v>75</v>
      </c>
      <c r="AA173" s="430"/>
      <c r="AB173" s="437">
        <v>46086</v>
      </c>
      <c r="AC173" s="438">
        <v>10</v>
      </c>
      <c r="AD173" s="439" t="s">
        <v>913</v>
      </c>
      <c r="AE173" s="430"/>
      <c r="AF173" s="430" t="s">
        <v>122</v>
      </c>
      <c r="AG173" s="430" t="s">
        <v>123</v>
      </c>
      <c r="AH173" s="430" t="s">
        <v>105</v>
      </c>
      <c r="AI173" s="437">
        <v>46096</v>
      </c>
      <c r="AJ173" s="437">
        <v>46096</v>
      </c>
      <c r="AK173" s="441">
        <v>46096</v>
      </c>
      <c r="AL173" s="437">
        <v>46133</v>
      </c>
      <c r="AM173" s="437">
        <v>46142</v>
      </c>
      <c r="AN173" s="437">
        <v>46141</v>
      </c>
      <c r="AO173" s="430" t="s">
        <v>402</v>
      </c>
      <c r="AP173" s="430" t="s">
        <v>889</v>
      </c>
      <c r="AQ173" s="430" t="s">
        <v>80</v>
      </c>
      <c r="AR173" s="430" t="s">
        <v>914</v>
      </c>
      <c r="AS173" s="430" t="s">
        <v>915</v>
      </c>
      <c r="AT173" s="482" t="s">
        <v>915</v>
      </c>
      <c r="AU1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7">
        <v>46141</v>
      </c>
      <c r="AX173" s="433" t="s">
        <v>84</v>
      </c>
      <c r="AY173" s="437">
        <v>46163</v>
      </c>
      <c r="AZ173" s="442">
        <v>7</v>
      </c>
      <c r="BA173" s="437">
        <v>46148</v>
      </c>
      <c r="BB173" s="433">
        <v>2026</v>
      </c>
      <c r="BC173" s="430">
        <v>5</v>
      </c>
      <c r="BD173" s="430">
        <v>19</v>
      </c>
      <c r="BE173" s="431">
        <v>36</v>
      </c>
      <c r="BF173" s="431">
        <v>720</v>
      </c>
      <c r="BG173" s="431" t="s">
        <v>128</v>
      </c>
      <c r="BH173" s="431" t="s">
        <v>109</v>
      </c>
      <c r="BI173" s="430" t="s">
        <v>197</v>
      </c>
      <c r="BJ173" s="430" t="s">
        <v>197</v>
      </c>
      <c r="BK173" s="430" t="s">
        <v>197</v>
      </c>
      <c r="BL173" s="430" t="s">
        <v>197</v>
      </c>
      <c r="BM173" s="430" t="s">
        <v>197</v>
      </c>
      <c r="BN173" s="430" t="s">
        <v>197</v>
      </c>
      <c r="BO173" s="430" t="s">
        <v>197</v>
      </c>
      <c r="BP173" s="430" t="s">
        <v>197</v>
      </c>
      <c r="BQ173" s="430" t="s">
        <v>197</v>
      </c>
      <c r="BR173" s="430" t="s">
        <v>197</v>
      </c>
      <c r="BS173" s="430" t="s">
        <v>197</v>
      </c>
      <c r="BT173" s="430" t="s">
        <v>197</v>
      </c>
      <c r="BU173" s="430" t="s">
        <v>197</v>
      </c>
      <c r="BV173" s="430" t="s">
        <v>197</v>
      </c>
      <c r="BW173" s="430" t="s">
        <v>197</v>
      </c>
      <c r="BX173" s="430" t="s">
        <v>197</v>
      </c>
      <c r="BY173" s="430" t="s">
        <v>197</v>
      </c>
      <c r="BZ173" s="430" t="s">
        <v>197</v>
      </c>
      <c r="CA173" s="430" t="s">
        <v>197</v>
      </c>
      <c r="CB173" s="430" t="s">
        <v>197</v>
      </c>
      <c r="CC173" s="430" t="s">
        <v>197</v>
      </c>
      <c r="CD173" s="430" t="s">
        <v>197</v>
      </c>
      <c r="CE173" s="430" t="s">
        <v>197</v>
      </c>
      <c r="CF173" s="430" t="s">
        <v>197</v>
      </c>
      <c r="CG173" s="430" t="s">
        <v>197</v>
      </c>
      <c r="CH173" s="430" t="s">
        <v>197</v>
      </c>
      <c r="CI173" s="430" t="s">
        <v>197</v>
      </c>
      <c r="CJ173" s="430" t="s">
        <v>197</v>
      </c>
      <c r="CK173" s="430" t="s">
        <v>197</v>
      </c>
      <c r="CL173" s="430" t="s">
        <v>197</v>
      </c>
      <c r="CM173" s="430" t="s">
        <v>197</v>
      </c>
    </row>
    <row r="174" spans="1:91" ht="10.5">
      <c r="A174" s="462" t="s">
        <v>916</v>
      </c>
      <c r="B174" s="462" t="s">
        <v>111</v>
      </c>
      <c r="C174" s="462" t="s">
        <v>584</v>
      </c>
      <c r="D174" s="462" t="s">
        <v>63</v>
      </c>
      <c r="E174" s="462" t="s">
        <v>64</v>
      </c>
      <c r="F174" s="462" t="s">
        <v>100</v>
      </c>
      <c r="G174" s="462" t="s">
        <v>402</v>
      </c>
      <c r="H174" s="462" t="s">
        <v>67</v>
      </c>
      <c r="I174" s="439" t="s">
        <v>689</v>
      </c>
      <c r="J174" s="430" t="s">
        <v>917</v>
      </c>
      <c r="K174" s="430"/>
      <c r="L174" s="430"/>
      <c r="M174" s="430" t="s">
        <v>68</v>
      </c>
      <c r="N174" s="432">
        <v>46073</v>
      </c>
      <c r="O174" s="430" t="s">
        <v>70</v>
      </c>
      <c r="P174" s="430" t="s">
        <v>585</v>
      </c>
      <c r="Q174" s="430" t="s">
        <v>103</v>
      </c>
      <c r="R174" s="431" t="s">
        <v>331</v>
      </c>
      <c r="S174" s="442" t="s">
        <v>120</v>
      </c>
      <c r="T174" s="433">
        <v>620</v>
      </c>
      <c r="U174" s="1088">
        <v>5760</v>
      </c>
      <c r="V174" s="434">
        <v>3.5710000000000002</v>
      </c>
      <c r="W174" s="435">
        <v>160</v>
      </c>
      <c r="X174" s="1040">
        <v>8</v>
      </c>
      <c r="Y174" s="430" t="s">
        <v>75</v>
      </c>
      <c r="Z174" s="430" t="s">
        <v>75</v>
      </c>
      <c r="AA174" s="430"/>
      <c r="AB174" s="437">
        <v>46092</v>
      </c>
      <c r="AC174" s="438">
        <v>11</v>
      </c>
      <c r="AD174" s="439" t="s">
        <v>918</v>
      </c>
      <c r="AE174" s="430"/>
      <c r="AF174" s="430" t="s">
        <v>122</v>
      </c>
      <c r="AG174" s="430" t="s">
        <v>123</v>
      </c>
      <c r="AH174" s="430" t="s">
        <v>105</v>
      </c>
      <c r="AI174" s="437">
        <v>46096</v>
      </c>
      <c r="AJ174" s="437">
        <v>46103</v>
      </c>
      <c r="AK174" s="441">
        <v>46103</v>
      </c>
      <c r="AL174" s="437">
        <v>46133</v>
      </c>
      <c r="AM174" s="437">
        <v>46150</v>
      </c>
      <c r="AN174" s="437">
        <v>46148</v>
      </c>
      <c r="AO174" s="430" t="s">
        <v>402</v>
      </c>
      <c r="AP174" s="430" t="s">
        <v>889</v>
      </c>
      <c r="AQ174" s="430" t="s">
        <v>80</v>
      </c>
      <c r="AR174" s="430" t="s">
        <v>919</v>
      </c>
      <c r="AS174" s="430" t="s">
        <v>920</v>
      </c>
      <c r="AT174" s="482" t="s">
        <v>920</v>
      </c>
      <c r="AU1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7">
        <v>46148</v>
      </c>
      <c r="AX174" s="433" t="s">
        <v>84</v>
      </c>
      <c r="AY174" s="437">
        <v>46164</v>
      </c>
      <c r="AZ174" s="442">
        <v>7</v>
      </c>
      <c r="BA174" s="437">
        <v>46155</v>
      </c>
      <c r="BB174" s="433">
        <v>2026</v>
      </c>
      <c r="BC174" s="430">
        <v>5</v>
      </c>
      <c r="BD174" s="430">
        <v>20</v>
      </c>
      <c r="BE174" s="431">
        <v>36</v>
      </c>
      <c r="BF174" s="431">
        <v>720</v>
      </c>
      <c r="BG174" s="431" t="s">
        <v>128</v>
      </c>
      <c r="BH174" s="431" t="s">
        <v>109</v>
      </c>
      <c r="BI174" s="430" t="s">
        <v>197</v>
      </c>
      <c r="BJ174" s="430" t="s">
        <v>197</v>
      </c>
      <c r="BK174" s="430" t="s">
        <v>197</v>
      </c>
      <c r="BL174" s="430" t="s">
        <v>197</v>
      </c>
      <c r="BM174" s="430" t="s">
        <v>197</v>
      </c>
      <c r="BN174" s="430" t="s">
        <v>197</v>
      </c>
      <c r="BO174" s="430" t="s">
        <v>197</v>
      </c>
      <c r="BP174" s="430" t="s">
        <v>197</v>
      </c>
      <c r="BQ174" s="430" t="s">
        <v>197</v>
      </c>
      <c r="BR174" s="430" t="s">
        <v>197</v>
      </c>
      <c r="BS174" s="430" t="s">
        <v>197</v>
      </c>
      <c r="BT174" s="430" t="s">
        <v>197</v>
      </c>
      <c r="BU174" s="430" t="s">
        <v>197</v>
      </c>
      <c r="BV174" s="430" t="s">
        <v>197</v>
      </c>
      <c r="BW174" s="430" t="s">
        <v>197</v>
      </c>
      <c r="BX174" s="430" t="s">
        <v>197</v>
      </c>
      <c r="BY174" s="430" t="s">
        <v>197</v>
      </c>
      <c r="BZ174" s="430" t="s">
        <v>197</v>
      </c>
      <c r="CA174" s="430" t="s">
        <v>197</v>
      </c>
      <c r="CB174" s="430" t="s">
        <v>197</v>
      </c>
      <c r="CC174" s="430" t="s">
        <v>197</v>
      </c>
      <c r="CD174" s="430" t="s">
        <v>197</v>
      </c>
      <c r="CE174" s="430" t="s">
        <v>197</v>
      </c>
      <c r="CF174" s="430" t="s">
        <v>197</v>
      </c>
      <c r="CG174" s="430" t="s">
        <v>197</v>
      </c>
      <c r="CH174" s="430" t="s">
        <v>197</v>
      </c>
      <c r="CI174" s="430" t="s">
        <v>197</v>
      </c>
      <c r="CJ174" s="430" t="s">
        <v>197</v>
      </c>
      <c r="CK174" s="430" t="s">
        <v>197</v>
      </c>
      <c r="CL174" s="430" t="s">
        <v>197</v>
      </c>
      <c r="CM174" s="430" t="s">
        <v>197</v>
      </c>
    </row>
    <row r="175" spans="1:91" ht="10.5">
      <c r="A175" s="462" t="s">
        <v>921</v>
      </c>
      <c r="B175" s="462" t="s">
        <v>61</v>
      </c>
      <c r="C175" s="462" t="s">
        <v>922</v>
      </c>
      <c r="D175" s="462" t="s">
        <v>63</v>
      </c>
      <c r="E175" s="462" t="s">
        <v>64</v>
      </c>
      <c r="F175" s="462" t="s">
        <v>100</v>
      </c>
      <c r="G175" s="462" t="s">
        <v>402</v>
      </c>
      <c r="H175" s="462" t="s">
        <v>67</v>
      </c>
      <c r="I175" s="439" t="s">
        <v>689</v>
      </c>
      <c r="J175" s="430" t="s">
        <v>923</v>
      </c>
      <c r="K175" s="430"/>
      <c r="L175" s="430"/>
      <c r="M175" s="430" t="s">
        <v>68</v>
      </c>
      <c r="N175" s="432">
        <v>46045</v>
      </c>
      <c r="O175" s="430" t="s">
        <v>70</v>
      </c>
      <c r="P175" s="430" t="s">
        <v>885</v>
      </c>
      <c r="Q175" s="430" t="s">
        <v>886</v>
      </c>
      <c r="R175" s="431" t="s">
        <v>73</v>
      </c>
      <c r="S175" s="442" t="s">
        <v>120</v>
      </c>
      <c r="T175" s="433">
        <v>615</v>
      </c>
      <c r="U175" s="1088">
        <v>720</v>
      </c>
      <c r="V175" s="434">
        <v>0.443</v>
      </c>
      <c r="W175" s="435">
        <v>20</v>
      </c>
      <c r="X175" s="1040">
        <v>1</v>
      </c>
      <c r="Y175" s="430" t="s">
        <v>75</v>
      </c>
      <c r="Z175" s="430" t="s">
        <v>75</v>
      </c>
      <c r="AA175" s="430"/>
      <c r="AB175" s="437">
        <v>46091</v>
      </c>
      <c r="AC175" s="438">
        <v>11</v>
      </c>
      <c r="AD175" s="439" t="s">
        <v>924</v>
      </c>
      <c r="AE175" s="430"/>
      <c r="AF175" s="430" t="s">
        <v>77</v>
      </c>
      <c r="AG175" s="430" t="s">
        <v>61</v>
      </c>
      <c r="AH175" s="430" t="s">
        <v>105</v>
      </c>
      <c r="AI175" s="437">
        <v>46095</v>
      </c>
      <c r="AJ175" s="437">
        <v>46095</v>
      </c>
      <c r="AK175" s="441">
        <v>46095</v>
      </c>
      <c r="AL175" s="437">
        <v>46142</v>
      </c>
      <c r="AM175" s="437">
        <v>46154</v>
      </c>
      <c r="AN175" s="437">
        <v>46157</v>
      </c>
      <c r="AP175" s="430" t="s">
        <v>925</v>
      </c>
      <c r="AQ175" s="430" t="s">
        <v>80</v>
      </c>
      <c r="AR175" s="430" t="s">
        <v>926</v>
      </c>
      <c r="AS175" s="430" t="s">
        <v>927</v>
      </c>
      <c r="AT175" s="482" t="s">
        <v>927</v>
      </c>
      <c r="AU1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7">
        <v>46157</v>
      </c>
      <c r="AX175" s="433" t="s">
        <v>84</v>
      </c>
      <c r="AY175" s="437">
        <v>46171</v>
      </c>
      <c r="AZ175" s="442">
        <v>7</v>
      </c>
      <c r="BA175" s="437">
        <v>46164</v>
      </c>
      <c r="BB175" s="433">
        <v>2026</v>
      </c>
      <c r="BC175" s="430">
        <v>5</v>
      </c>
      <c r="BD175" s="430">
        <v>21</v>
      </c>
      <c r="BE175" s="431">
        <v>36</v>
      </c>
      <c r="BF175" s="431">
        <v>720</v>
      </c>
      <c r="BG175" s="431" t="s">
        <v>108</v>
      </c>
      <c r="BH175" s="431" t="s">
        <v>109</v>
      </c>
      <c r="BI175" s="430" t="s">
        <v>197</v>
      </c>
      <c r="BJ175" s="430" t="s">
        <v>197</v>
      </c>
      <c r="BK175" s="430" t="s">
        <v>197</v>
      </c>
      <c r="BL175" s="430" t="s">
        <v>197</v>
      </c>
      <c r="BM175" s="430" t="s">
        <v>197</v>
      </c>
      <c r="BN175" s="430" t="s">
        <v>197</v>
      </c>
      <c r="BO175" s="430" t="s">
        <v>197</v>
      </c>
      <c r="BP175" s="430" t="s">
        <v>197</v>
      </c>
      <c r="BQ175" s="430" t="s">
        <v>197</v>
      </c>
      <c r="BR175" s="430" t="s">
        <v>197</v>
      </c>
      <c r="BS175" s="430" t="s">
        <v>197</v>
      </c>
      <c r="BT175" s="430" t="s">
        <v>197</v>
      </c>
      <c r="BU175" s="430" t="s">
        <v>197</v>
      </c>
      <c r="BV175" s="430" t="s">
        <v>197</v>
      </c>
      <c r="BW175" s="430" t="s">
        <v>197</v>
      </c>
      <c r="BX175" s="430" t="s">
        <v>197</v>
      </c>
      <c r="BY175" s="430" t="s">
        <v>197</v>
      </c>
      <c r="BZ175" s="430" t="s">
        <v>197</v>
      </c>
      <c r="CA175" s="430" t="s">
        <v>197</v>
      </c>
      <c r="CB175" s="430" t="s">
        <v>197</v>
      </c>
      <c r="CC175" s="430" t="s">
        <v>197</v>
      </c>
      <c r="CD175" s="430" t="s">
        <v>197</v>
      </c>
      <c r="CE175" s="430" t="s">
        <v>197</v>
      </c>
      <c r="CF175" s="430" t="s">
        <v>197</v>
      </c>
      <c r="CG175" s="430" t="s">
        <v>197</v>
      </c>
      <c r="CH175" s="430" t="s">
        <v>197</v>
      </c>
      <c r="CI175" s="430" t="s">
        <v>197</v>
      </c>
      <c r="CJ175" s="430" t="s">
        <v>197</v>
      </c>
      <c r="CK175" s="430" t="s">
        <v>197</v>
      </c>
      <c r="CL175" s="430" t="s">
        <v>197</v>
      </c>
      <c r="CM175" s="430" t="s">
        <v>197</v>
      </c>
    </row>
    <row r="176" spans="1:91" ht="10.5">
      <c r="A176" s="462" t="s">
        <v>584</v>
      </c>
      <c r="B176" s="462" t="s">
        <v>111</v>
      </c>
      <c r="C176" s="462" t="s">
        <v>203</v>
      </c>
      <c r="D176" s="462" t="s">
        <v>113</v>
      </c>
      <c r="E176" s="462" t="s">
        <v>64</v>
      </c>
      <c r="F176" s="462" t="s">
        <v>65</v>
      </c>
      <c r="G176" s="462" t="s">
        <v>402</v>
      </c>
      <c r="H176" s="462" t="s">
        <v>67</v>
      </c>
      <c r="I176" s="439" t="s">
        <v>689</v>
      </c>
      <c r="J176" s="430" t="s">
        <v>928</v>
      </c>
      <c r="K176" s="430"/>
      <c r="L176" s="430"/>
      <c r="M176" s="430" t="s">
        <v>68</v>
      </c>
      <c r="N176" s="432">
        <v>46073</v>
      </c>
      <c r="O176" s="430" t="s">
        <v>70</v>
      </c>
      <c r="P176" s="430" t="s">
        <v>585</v>
      </c>
      <c r="Q176" s="430" t="s">
        <v>103</v>
      </c>
      <c r="R176" s="431" t="s">
        <v>331</v>
      </c>
      <c r="S176" s="442" t="s">
        <v>120</v>
      </c>
      <c r="T176" s="433">
        <v>620</v>
      </c>
      <c r="U176" s="1088">
        <v>108</v>
      </c>
      <c r="V176" s="434">
        <v>6.7000000000000004E-2</v>
      </c>
      <c r="W176" s="435">
        <v>3</v>
      </c>
      <c r="X176" s="1040">
        <v>0.2</v>
      </c>
      <c r="Y176" s="430" t="s">
        <v>75</v>
      </c>
      <c r="Z176" s="430" t="s">
        <v>75</v>
      </c>
      <c r="AA176" s="430"/>
      <c r="AB176" s="437">
        <v>46100</v>
      </c>
      <c r="AC176" s="438">
        <v>12</v>
      </c>
      <c r="AD176" s="439" t="s">
        <v>929</v>
      </c>
      <c r="AE176" s="430"/>
      <c r="AF176" s="430" t="s">
        <v>122</v>
      </c>
      <c r="AG176" s="430" t="s">
        <v>123</v>
      </c>
      <c r="AH176" s="430" t="s">
        <v>78</v>
      </c>
      <c r="AI176" s="437">
        <v>46105</v>
      </c>
      <c r="AJ176" s="437">
        <v>46105</v>
      </c>
      <c r="AK176" s="441">
        <v>46105</v>
      </c>
      <c r="AL176" s="437">
        <v>46154</v>
      </c>
      <c r="AM176" s="437">
        <v>46151</v>
      </c>
      <c r="AN176" s="437">
        <v>46151</v>
      </c>
      <c r="AO176" s="430" t="s">
        <v>402</v>
      </c>
      <c r="AP176" s="430" t="s">
        <v>930</v>
      </c>
      <c r="AQ176" s="430" t="s">
        <v>80</v>
      </c>
      <c r="AR176" s="430" t="s">
        <v>931</v>
      </c>
      <c r="AS176" s="430" t="s">
        <v>932</v>
      </c>
      <c r="AT176" s="482" t="s">
        <v>932</v>
      </c>
      <c r="AU1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7">
        <v>46151</v>
      </c>
      <c r="AX176" s="433" t="s">
        <v>84</v>
      </c>
      <c r="AY176" s="437">
        <v>46173</v>
      </c>
      <c r="AZ176" s="442">
        <v>8</v>
      </c>
      <c r="BA176" s="437">
        <v>46159</v>
      </c>
      <c r="BB176" s="433">
        <v>2026</v>
      </c>
      <c r="BC176" s="430">
        <v>5</v>
      </c>
      <c r="BD176" s="430">
        <v>20</v>
      </c>
      <c r="BE176" s="431">
        <v>36</v>
      </c>
      <c r="BF176" s="431">
        <v>720</v>
      </c>
      <c r="BG176" s="431" t="s">
        <v>128</v>
      </c>
      <c r="BH176" s="431" t="s">
        <v>86</v>
      </c>
      <c r="BI176" s="430" t="s">
        <v>197</v>
      </c>
      <c r="BJ176" s="430" t="s">
        <v>197</v>
      </c>
      <c r="BK176" s="430" t="s">
        <v>197</v>
      </c>
      <c r="BL176" s="430" t="s">
        <v>197</v>
      </c>
      <c r="BM176" s="430" t="s">
        <v>197</v>
      </c>
      <c r="BN176" s="430" t="s">
        <v>197</v>
      </c>
      <c r="BO176" s="430" t="s">
        <v>197</v>
      </c>
      <c r="BP176" s="430" t="s">
        <v>197</v>
      </c>
      <c r="BQ176" s="430" t="s">
        <v>197</v>
      </c>
      <c r="BR176" s="430" t="s">
        <v>197</v>
      </c>
      <c r="BS176" s="430" t="s">
        <v>197</v>
      </c>
      <c r="BT176" s="430" t="s">
        <v>197</v>
      </c>
      <c r="BU176" s="430" t="s">
        <v>197</v>
      </c>
      <c r="BV176" s="430" t="s">
        <v>197</v>
      </c>
      <c r="BW176" s="430" t="s">
        <v>197</v>
      </c>
      <c r="BX176" s="430" t="s">
        <v>197</v>
      </c>
      <c r="BY176" s="430" t="s">
        <v>197</v>
      </c>
      <c r="BZ176" s="430" t="s">
        <v>197</v>
      </c>
      <c r="CA176" s="430" t="s">
        <v>197</v>
      </c>
      <c r="CB176" s="430" t="s">
        <v>197</v>
      </c>
      <c r="CC176" s="430" t="s">
        <v>197</v>
      </c>
      <c r="CD176" s="430" t="s">
        <v>197</v>
      </c>
      <c r="CE176" s="430" t="s">
        <v>197</v>
      </c>
      <c r="CF176" s="430" t="s">
        <v>197</v>
      </c>
      <c r="CG176" s="430" t="s">
        <v>197</v>
      </c>
      <c r="CH176" s="430" t="s">
        <v>197</v>
      </c>
      <c r="CI176" s="430" t="s">
        <v>197</v>
      </c>
      <c r="CJ176" s="430" t="s">
        <v>197</v>
      </c>
      <c r="CK176" s="430" t="s">
        <v>197</v>
      </c>
      <c r="CL176" s="430" t="s">
        <v>197</v>
      </c>
      <c r="CM176" s="430" t="s">
        <v>197</v>
      </c>
    </row>
    <row r="177" spans="1:91" ht="10.5">
      <c r="A177" s="462" t="s">
        <v>401</v>
      </c>
      <c r="B177" s="462" t="s">
        <v>111</v>
      </c>
      <c r="C177" s="462" t="s">
        <v>203</v>
      </c>
      <c r="D177" s="462" t="s">
        <v>63</v>
      </c>
      <c r="E177" s="462" t="s">
        <v>64</v>
      </c>
      <c r="F177" s="462" t="s">
        <v>65</v>
      </c>
      <c r="G177" s="462" t="s">
        <v>402</v>
      </c>
      <c r="H177" s="462" t="s">
        <v>67</v>
      </c>
      <c r="I177" s="439" t="s">
        <v>689</v>
      </c>
      <c r="J177" s="430" t="s">
        <v>933</v>
      </c>
      <c r="K177" s="430"/>
      <c r="L177" s="430"/>
      <c r="M177" s="430" t="s">
        <v>68</v>
      </c>
      <c r="N177" s="432">
        <v>46045</v>
      </c>
      <c r="O177" s="430" t="s">
        <v>132</v>
      </c>
      <c r="P177" s="430" t="s">
        <v>405</v>
      </c>
      <c r="Q177" s="430" t="s">
        <v>406</v>
      </c>
      <c r="R177" s="431" t="s">
        <v>73</v>
      </c>
      <c r="S177" s="442" t="s">
        <v>120</v>
      </c>
      <c r="T177" s="433">
        <v>510</v>
      </c>
      <c r="U177" s="1088">
        <v>252</v>
      </c>
      <c r="V177" s="434">
        <v>0.129</v>
      </c>
      <c r="W177" s="435">
        <v>7</v>
      </c>
      <c r="X177" s="1040">
        <v>0.3</v>
      </c>
      <c r="Y177" s="430" t="s">
        <v>75</v>
      </c>
      <c r="Z177" s="430" t="s">
        <v>75</v>
      </c>
      <c r="AA177" s="430"/>
      <c r="AB177" s="437">
        <v>46100</v>
      </c>
      <c r="AC177" s="438">
        <v>12</v>
      </c>
      <c r="AD177" s="439" t="s">
        <v>934</v>
      </c>
      <c r="AE177" s="430"/>
      <c r="AF177" s="430" t="s">
        <v>122</v>
      </c>
      <c r="AG177" s="430" t="s">
        <v>123</v>
      </c>
      <c r="AH177" s="430" t="s">
        <v>78</v>
      </c>
      <c r="AI177" s="437">
        <v>46105</v>
      </c>
      <c r="AJ177" s="437">
        <v>46105</v>
      </c>
      <c r="AK177" s="441">
        <v>46105</v>
      </c>
      <c r="AL177" s="437">
        <v>46154</v>
      </c>
      <c r="AM177" s="437">
        <v>46151</v>
      </c>
      <c r="AN177" s="437">
        <v>46151</v>
      </c>
      <c r="AO177" s="430" t="s">
        <v>402</v>
      </c>
      <c r="AP177" s="430" t="s">
        <v>930</v>
      </c>
      <c r="AQ177" s="430" t="s">
        <v>80</v>
      </c>
      <c r="AR177" s="430" t="s">
        <v>931</v>
      </c>
      <c r="AS177" s="430" t="s">
        <v>932</v>
      </c>
      <c r="AT177" s="482" t="s">
        <v>932</v>
      </c>
      <c r="AU1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7">
        <v>46151</v>
      </c>
      <c r="AX177" s="433" t="s">
        <v>84</v>
      </c>
      <c r="AY177" s="437">
        <v>46173</v>
      </c>
      <c r="AZ177" s="442">
        <v>8</v>
      </c>
      <c r="BA177" s="437">
        <v>46159</v>
      </c>
      <c r="BB177" s="433">
        <v>2026</v>
      </c>
      <c r="BC177" s="430">
        <v>5</v>
      </c>
      <c r="BD177" s="430">
        <v>20</v>
      </c>
      <c r="BE177" s="431">
        <v>36</v>
      </c>
      <c r="BF177" s="431">
        <v>792</v>
      </c>
      <c r="BG177" s="431" t="s">
        <v>108</v>
      </c>
      <c r="BH177" s="431" t="s">
        <v>86</v>
      </c>
      <c r="BI177" s="430" t="s">
        <v>197</v>
      </c>
      <c r="BJ177" s="430" t="s">
        <v>197</v>
      </c>
      <c r="BK177" s="430" t="s">
        <v>197</v>
      </c>
      <c r="BL177" s="430" t="s">
        <v>197</v>
      </c>
      <c r="BM177" s="430" t="s">
        <v>197</v>
      </c>
      <c r="BN177" s="430" t="s">
        <v>197</v>
      </c>
      <c r="BO177" s="430" t="s">
        <v>197</v>
      </c>
      <c r="BP177" s="430" t="s">
        <v>197</v>
      </c>
      <c r="BQ177" s="430" t="s">
        <v>197</v>
      </c>
      <c r="BR177" s="430" t="s">
        <v>197</v>
      </c>
      <c r="BS177" s="430" t="s">
        <v>197</v>
      </c>
      <c r="BT177" s="430" t="s">
        <v>197</v>
      </c>
      <c r="BU177" s="430" t="s">
        <v>197</v>
      </c>
      <c r="BV177" s="430" t="s">
        <v>197</v>
      </c>
      <c r="BW177" s="430" t="s">
        <v>197</v>
      </c>
      <c r="BX177" s="430" t="s">
        <v>197</v>
      </c>
      <c r="BY177" s="430" t="s">
        <v>197</v>
      </c>
      <c r="BZ177" s="430" t="s">
        <v>197</v>
      </c>
      <c r="CA177" s="430" t="s">
        <v>197</v>
      </c>
      <c r="CB177" s="430" t="s">
        <v>197</v>
      </c>
      <c r="CC177" s="430" t="s">
        <v>197</v>
      </c>
      <c r="CD177" s="430" t="s">
        <v>197</v>
      </c>
      <c r="CE177" s="430" t="s">
        <v>197</v>
      </c>
      <c r="CF177" s="430" t="s">
        <v>197</v>
      </c>
      <c r="CG177" s="430" t="s">
        <v>197</v>
      </c>
      <c r="CH177" s="430" t="s">
        <v>197</v>
      </c>
      <c r="CI177" s="430" t="s">
        <v>197</v>
      </c>
      <c r="CJ177" s="430" t="s">
        <v>197</v>
      </c>
      <c r="CK177" s="430" t="s">
        <v>197</v>
      </c>
      <c r="CL177" s="430" t="s">
        <v>197</v>
      </c>
      <c r="CM177" s="430" t="s">
        <v>197</v>
      </c>
    </row>
    <row r="178" spans="1:91" ht="10.5">
      <c r="A178" s="462" t="s">
        <v>935</v>
      </c>
      <c r="B178" s="462" t="s">
        <v>61</v>
      </c>
      <c r="C178" s="462" t="s">
        <v>922</v>
      </c>
      <c r="D178" s="462" t="s">
        <v>63</v>
      </c>
      <c r="E178" s="462" t="s">
        <v>64</v>
      </c>
      <c r="F178" s="462" t="s">
        <v>100</v>
      </c>
      <c r="G178" s="462" t="s">
        <v>402</v>
      </c>
      <c r="H178" s="462" t="s">
        <v>67</v>
      </c>
      <c r="I178" s="439" t="s">
        <v>689</v>
      </c>
      <c r="J178" s="430" t="s">
        <v>923</v>
      </c>
      <c r="K178" s="430"/>
      <c r="L178" s="430"/>
      <c r="M178" s="430" t="s">
        <v>68</v>
      </c>
      <c r="N178" s="432">
        <v>46045</v>
      </c>
      <c r="O178" s="430" t="s">
        <v>70</v>
      </c>
      <c r="P178" s="430" t="s">
        <v>885</v>
      </c>
      <c r="Q178" s="430" t="s">
        <v>886</v>
      </c>
      <c r="R178" s="431" t="s">
        <v>73</v>
      </c>
      <c r="S178" s="442" t="s">
        <v>120</v>
      </c>
      <c r="T178" s="433">
        <v>615</v>
      </c>
      <c r="U178" s="1088">
        <v>720</v>
      </c>
      <c r="V178" s="434">
        <v>0.443</v>
      </c>
      <c r="W178" s="435">
        <v>20</v>
      </c>
      <c r="X178" s="1040">
        <v>1</v>
      </c>
      <c r="Y178" s="430" t="s">
        <v>75</v>
      </c>
      <c r="Z178" s="430" t="s">
        <v>75</v>
      </c>
      <c r="AA178" s="430"/>
      <c r="AB178" s="437">
        <v>46098</v>
      </c>
      <c r="AC178" s="438">
        <v>12</v>
      </c>
      <c r="AD178" s="439" t="s">
        <v>936</v>
      </c>
      <c r="AE178" s="430"/>
      <c r="AF178" s="430" t="s">
        <v>77</v>
      </c>
      <c r="AG178" s="430" t="s">
        <v>61</v>
      </c>
      <c r="AH178" s="430" t="s">
        <v>105</v>
      </c>
      <c r="AI178" s="437">
        <v>46103</v>
      </c>
      <c r="AJ178" s="437">
        <v>46103</v>
      </c>
      <c r="AK178" s="441">
        <v>46103</v>
      </c>
      <c r="AL178" s="437">
        <v>46147</v>
      </c>
      <c r="AM178" s="437">
        <v>46154</v>
      </c>
      <c r="AN178" s="437">
        <v>46157</v>
      </c>
      <c r="AO178" s="430" t="s">
        <v>402</v>
      </c>
      <c r="AP178" s="430" t="s">
        <v>937</v>
      </c>
      <c r="AQ178" s="430" t="s">
        <v>80</v>
      </c>
      <c r="AR178" s="430" t="s">
        <v>938</v>
      </c>
      <c r="AS178" s="430" t="s">
        <v>939</v>
      </c>
      <c r="AT178" s="482" t="s">
        <v>939</v>
      </c>
      <c r="AU1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7">
        <v>46157</v>
      </c>
      <c r="AX178" s="433" t="s">
        <v>84</v>
      </c>
      <c r="AY178" s="437">
        <v>46171</v>
      </c>
      <c r="AZ178" s="442">
        <v>7</v>
      </c>
      <c r="BA178" s="437">
        <v>46164</v>
      </c>
      <c r="BB178" s="433">
        <v>2026</v>
      </c>
      <c r="BC178" s="430">
        <v>5</v>
      </c>
      <c r="BD178" s="430">
        <v>21</v>
      </c>
      <c r="BE178" s="431">
        <v>36</v>
      </c>
      <c r="BF178" s="431">
        <v>720</v>
      </c>
      <c r="BG178" s="431" t="s">
        <v>108</v>
      </c>
      <c r="BH178" s="431" t="s">
        <v>109</v>
      </c>
      <c r="BI178" s="430" t="s">
        <v>197</v>
      </c>
      <c r="BJ178" s="430" t="s">
        <v>197</v>
      </c>
      <c r="BK178" s="430" t="s">
        <v>197</v>
      </c>
      <c r="BL178" s="430" t="s">
        <v>197</v>
      </c>
      <c r="BM178" s="430" t="s">
        <v>197</v>
      </c>
      <c r="BN178" s="430" t="s">
        <v>197</v>
      </c>
      <c r="BO178" s="430" t="s">
        <v>197</v>
      </c>
      <c r="BP178" s="430" t="s">
        <v>197</v>
      </c>
      <c r="BQ178" s="430" t="s">
        <v>197</v>
      </c>
      <c r="BR178" s="430" t="s">
        <v>197</v>
      </c>
      <c r="BS178" s="430" t="s">
        <v>197</v>
      </c>
      <c r="BT178" s="430" t="s">
        <v>197</v>
      </c>
      <c r="BU178" s="430" t="s">
        <v>197</v>
      </c>
      <c r="BV178" s="430" t="s">
        <v>197</v>
      </c>
      <c r="BW178" s="430" t="s">
        <v>197</v>
      </c>
      <c r="BX178" s="430" t="s">
        <v>197</v>
      </c>
      <c r="BY178" s="430" t="s">
        <v>197</v>
      </c>
      <c r="BZ178" s="430" t="s">
        <v>197</v>
      </c>
      <c r="CA178" s="430" t="s">
        <v>197</v>
      </c>
      <c r="CB178" s="430" t="s">
        <v>197</v>
      </c>
      <c r="CC178" s="430" t="s">
        <v>197</v>
      </c>
      <c r="CD178" s="430" t="s">
        <v>197</v>
      </c>
      <c r="CE178" s="430" t="s">
        <v>197</v>
      </c>
      <c r="CF178" s="430" t="s">
        <v>197</v>
      </c>
      <c r="CG178" s="430" t="s">
        <v>197</v>
      </c>
      <c r="CH178" s="430" t="s">
        <v>197</v>
      </c>
      <c r="CI178" s="430" t="s">
        <v>197</v>
      </c>
      <c r="CJ178" s="430" t="s">
        <v>197</v>
      </c>
      <c r="CK178" s="430" t="s">
        <v>197</v>
      </c>
      <c r="CL178" s="430" t="s">
        <v>197</v>
      </c>
      <c r="CM178" s="430" t="s">
        <v>197</v>
      </c>
    </row>
    <row r="179" spans="1:91">
      <c r="A179" s="462" t="s">
        <v>940</v>
      </c>
      <c r="B179" s="462" t="s">
        <v>111</v>
      </c>
      <c r="C179" s="462" t="s">
        <v>203</v>
      </c>
      <c r="D179" s="462" t="s">
        <v>63</v>
      </c>
      <c r="E179" s="462" t="s">
        <v>144</v>
      </c>
      <c r="F179" s="462" t="s">
        <v>145</v>
      </c>
      <c r="G179" s="462" t="s">
        <v>68</v>
      </c>
      <c r="H179" s="462" t="s">
        <v>941</v>
      </c>
      <c r="I179" s="439" t="s">
        <v>689</v>
      </c>
      <c r="J179" s="430" t="s">
        <v>942</v>
      </c>
      <c r="K179" s="430"/>
      <c r="L179" s="430"/>
      <c r="M179" s="430" t="s">
        <v>68</v>
      </c>
      <c r="N179" s="432">
        <v>46045</v>
      </c>
      <c r="O179" s="430" t="s">
        <v>70</v>
      </c>
      <c r="P179" s="430" t="s">
        <v>943</v>
      </c>
      <c r="Q179" s="430" t="s">
        <v>886</v>
      </c>
      <c r="R179" s="431" t="s">
        <v>73</v>
      </c>
      <c r="S179" s="442" t="s">
        <v>74</v>
      </c>
      <c r="T179" s="433">
        <v>615</v>
      </c>
      <c r="U179" s="1088">
        <v>1440</v>
      </c>
      <c r="V179" s="434">
        <v>0.88600000000000001</v>
      </c>
      <c r="W179" s="435">
        <v>40</v>
      </c>
      <c r="X179" s="1040">
        <v>2</v>
      </c>
      <c r="Y179" s="430" t="s">
        <v>75</v>
      </c>
      <c r="Z179" s="430" t="s">
        <v>75</v>
      </c>
      <c r="AA179" s="430"/>
      <c r="AB179" s="437">
        <v>46112</v>
      </c>
      <c r="AC179" s="438">
        <v>14</v>
      </c>
      <c r="AD179" s="439" t="s">
        <v>944</v>
      </c>
      <c r="AE179" s="430" t="s">
        <v>68</v>
      </c>
      <c r="AF179" s="430" t="s">
        <v>4411</v>
      </c>
      <c r="AG179" s="430" t="s">
        <v>123</v>
      </c>
      <c r="AH179" s="430" t="s">
        <v>946</v>
      </c>
      <c r="AI179" s="437">
        <v>46112</v>
      </c>
      <c r="AJ179" s="437">
        <v>46113</v>
      </c>
      <c r="AK179" s="441">
        <v>46115</v>
      </c>
      <c r="AL179" s="437">
        <v>46118</v>
      </c>
      <c r="AM179" s="437">
        <v>46126</v>
      </c>
      <c r="AN179" s="437">
        <v>46127</v>
      </c>
      <c r="AO179" s="430" t="s">
        <v>402</v>
      </c>
      <c r="AP179" s="430" t="s">
        <v>947</v>
      </c>
      <c r="AQ179" s="430" t="s">
        <v>161</v>
      </c>
      <c r="AR179" s="430" t="s">
        <v>944</v>
      </c>
      <c r="AS179" s="430" t="s">
        <v>948</v>
      </c>
      <c r="AT179" s="482" t="s">
        <v>948</v>
      </c>
      <c r="AU1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7">
        <v>46127</v>
      </c>
      <c r="AX179" s="433" t="s">
        <v>152</v>
      </c>
      <c r="AZ179" s="442" t="s">
        <v>515</v>
      </c>
      <c r="BA179" s="437">
        <v>46127</v>
      </c>
      <c r="BB179" s="433">
        <v>2026</v>
      </c>
      <c r="BC179" s="430">
        <v>4</v>
      </c>
      <c r="BD179" s="430">
        <v>16</v>
      </c>
      <c r="BE179" s="431">
        <v>36</v>
      </c>
      <c r="BF179" s="431">
        <v>720</v>
      </c>
      <c r="BG179" s="431" t="s">
        <v>108</v>
      </c>
      <c r="BH179" s="431" t="s">
        <v>68</v>
      </c>
      <c r="BI179" s="430" t="s">
        <v>197</v>
      </c>
      <c r="BJ179" s="430" t="s">
        <v>197</v>
      </c>
      <c r="BK179" s="430" t="s">
        <v>197</v>
      </c>
      <c r="BL179" s="430" t="s">
        <v>197</v>
      </c>
      <c r="BM179" s="430" t="s">
        <v>197</v>
      </c>
      <c r="BN179" s="430" t="s">
        <v>197</v>
      </c>
      <c r="BO179" s="430" t="s">
        <v>197</v>
      </c>
      <c r="BP179" s="430" t="s">
        <v>197</v>
      </c>
      <c r="BQ179" s="430" t="s">
        <v>197</v>
      </c>
      <c r="BR179" s="430" t="s">
        <v>197</v>
      </c>
      <c r="BS179" s="430" t="s">
        <v>197</v>
      </c>
      <c r="BT179" s="430" t="s">
        <v>197</v>
      </c>
      <c r="BU179" s="430" t="s">
        <v>197</v>
      </c>
      <c r="BV179" s="430" t="s">
        <v>197</v>
      </c>
      <c r="BW179" s="430" t="s">
        <v>197</v>
      </c>
      <c r="BX179" s="430" t="s">
        <v>197</v>
      </c>
      <c r="BY179" s="430" t="s">
        <v>197</v>
      </c>
      <c r="BZ179" s="430" t="s">
        <v>197</v>
      </c>
      <c r="CA179" s="430" t="s">
        <v>197</v>
      </c>
      <c r="CB179" s="430" t="s">
        <v>197</v>
      </c>
      <c r="CC179" s="430" t="s">
        <v>197</v>
      </c>
      <c r="CD179" s="430" t="s">
        <v>197</v>
      </c>
      <c r="CE179" s="430" t="s">
        <v>197</v>
      </c>
      <c r="CF179" s="430" t="s">
        <v>197</v>
      </c>
      <c r="CG179" s="430" t="s">
        <v>197</v>
      </c>
      <c r="CH179" s="430" t="s">
        <v>197</v>
      </c>
      <c r="CI179" s="430" t="s">
        <v>197</v>
      </c>
      <c r="CJ179" s="430" t="s">
        <v>197</v>
      </c>
      <c r="CK179" s="430" t="s">
        <v>197</v>
      </c>
      <c r="CL179" s="430" t="s">
        <v>197</v>
      </c>
      <c r="CM179" s="430" t="s">
        <v>197</v>
      </c>
    </row>
    <row r="180" spans="1:91" ht="10.5">
      <c r="A180" s="462" t="s">
        <v>922</v>
      </c>
      <c r="B180" s="462" t="s">
        <v>61</v>
      </c>
      <c r="C180" s="462" t="s">
        <v>203</v>
      </c>
      <c r="D180" s="462" t="s">
        <v>63</v>
      </c>
      <c r="E180" s="462" t="s">
        <v>144</v>
      </c>
      <c r="F180" s="462" t="s">
        <v>145</v>
      </c>
      <c r="G180" s="462" t="s">
        <v>156</v>
      </c>
      <c r="H180" s="462" t="s">
        <v>941</v>
      </c>
      <c r="I180" s="439" t="s">
        <v>68</v>
      </c>
      <c r="J180" s="430" t="s">
        <v>949</v>
      </c>
      <c r="K180" s="430" t="s">
        <v>950</v>
      </c>
      <c r="L180" s="430"/>
      <c r="M180" s="430" t="s">
        <v>68</v>
      </c>
      <c r="N180" s="432">
        <v>46045</v>
      </c>
      <c r="O180" s="430" t="s">
        <v>70</v>
      </c>
      <c r="P180" s="430" t="s">
        <v>885</v>
      </c>
      <c r="Q180" s="430" t="s">
        <v>886</v>
      </c>
      <c r="R180" s="431" t="s">
        <v>73</v>
      </c>
      <c r="S180" s="442" t="s">
        <v>120</v>
      </c>
      <c r="T180" s="433">
        <v>615</v>
      </c>
      <c r="U180" s="1088">
        <v>3600</v>
      </c>
      <c r="V180" s="434">
        <v>2.214</v>
      </c>
      <c r="W180" s="435">
        <v>100</v>
      </c>
      <c r="X180" s="1040">
        <v>5</v>
      </c>
      <c r="Y180" s="430" t="s">
        <v>75</v>
      </c>
      <c r="Z180" s="430" t="s">
        <v>951</v>
      </c>
      <c r="AA180" s="430" t="s">
        <v>197</v>
      </c>
      <c r="AB180" s="437">
        <v>46058</v>
      </c>
      <c r="AC180" s="438">
        <v>6</v>
      </c>
      <c r="AD180" s="439" t="s">
        <v>952</v>
      </c>
      <c r="AE180" s="430" t="s">
        <v>68</v>
      </c>
      <c r="AF180" s="430" t="s">
        <v>77</v>
      </c>
      <c r="AG180" s="430" t="s">
        <v>61</v>
      </c>
      <c r="AH180" s="430" t="s">
        <v>953</v>
      </c>
      <c r="AI180" s="437">
        <v>46070</v>
      </c>
      <c r="AJ180" s="437">
        <v>46071</v>
      </c>
      <c r="AK180" s="441">
        <v>46071</v>
      </c>
      <c r="AL180" s="437">
        <v>46101</v>
      </c>
      <c r="AM180" s="437">
        <v>46116</v>
      </c>
      <c r="AN180" s="437">
        <v>46116</v>
      </c>
      <c r="AO180" s="430" t="s">
        <v>156</v>
      </c>
      <c r="AP180" s="430" t="s">
        <v>954</v>
      </c>
      <c r="AQ180" s="430" t="s">
        <v>161</v>
      </c>
      <c r="AR180" s="430" t="s">
        <v>952</v>
      </c>
      <c r="AS180" s="430" t="s">
        <v>955</v>
      </c>
      <c r="AT180" s="482" t="s">
        <v>956</v>
      </c>
      <c r="AU1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80" s="430" t="s">
        <v>197</v>
      </c>
      <c r="AW180" s="437">
        <v>46101</v>
      </c>
      <c r="AX180" s="433" t="s">
        <v>152</v>
      </c>
      <c r="AY180" s="437" t="s">
        <v>197</v>
      </c>
      <c r="AZ180" s="442" t="s">
        <v>515</v>
      </c>
      <c r="BA180" s="437">
        <v>46101</v>
      </c>
      <c r="BB180" s="433">
        <v>2026</v>
      </c>
      <c r="BC180" s="430">
        <v>3</v>
      </c>
      <c r="BD180" s="430">
        <v>12</v>
      </c>
      <c r="BE180" s="431">
        <v>36</v>
      </c>
      <c r="BF180" s="431">
        <v>720</v>
      </c>
      <c r="BG180" s="431" t="s">
        <v>108</v>
      </c>
      <c r="BH180" s="431" t="s">
        <v>68</v>
      </c>
      <c r="BI180" s="430" t="s">
        <v>197</v>
      </c>
      <c r="BJ180" s="430" t="s">
        <v>197</v>
      </c>
      <c r="BK180" s="430" t="s">
        <v>197</v>
      </c>
      <c r="BL180" s="430" t="s">
        <v>197</v>
      </c>
      <c r="BM180" s="430" t="s">
        <v>197</v>
      </c>
      <c r="BN180" s="430" t="s">
        <v>197</v>
      </c>
      <c r="BO180" s="430" t="s">
        <v>197</v>
      </c>
      <c r="BP180" s="430" t="s">
        <v>197</v>
      </c>
      <c r="BQ180" s="430" t="s">
        <v>197</v>
      </c>
      <c r="BR180" s="430" t="s">
        <v>197</v>
      </c>
      <c r="BS180" s="430" t="s">
        <v>197</v>
      </c>
      <c r="BT180" s="430" t="s">
        <v>197</v>
      </c>
      <c r="BU180" s="430" t="s">
        <v>197</v>
      </c>
      <c r="BV180" s="430" t="s">
        <v>197</v>
      </c>
      <c r="BW180" s="430" t="s">
        <v>197</v>
      </c>
      <c r="BX180" s="430" t="s">
        <v>197</v>
      </c>
      <c r="BY180" s="430" t="s">
        <v>197</v>
      </c>
      <c r="BZ180" s="430" t="s">
        <v>197</v>
      </c>
      <c r="CA180" s="430" t="s">
        <v>197</v>
      </c>
      <c r="CB180" s="430" t="s">
        <v>197</v>
      </c>
      <c r="CC180" s="430" t="s">
        <v>197</v>
      </c>
      <c r="CD180" s="430" t="s">
        <v>197</v>
      </c>
      <c r="CE180" s="430" t="s">
        <v>197</v>
      </c>
      <c r="CF180" s="430" t="s">
        <v>197</v>
      </c>
      <c r="CG180" s="430" t="s">
        <v>197</v>
      </c>
      <c r="CH180" s="430" t="s">
        <v>197</v>
      </c>
      <c r="CI180" s="430" t="s">
        <v>197</v>
      </c>
      <c r="CJ180" s="430" t="s">
        <v>197</v>
      </c>
      <c r="CK180" s="430" t="s">
        <v>197</v>
      </c>
      <c r="CL180" s="430" t="s">
        <v>197</v>
      </c>
      <c r="CM180" s="430" t="s">
        <v>197</v>
      </c>
    </row>
    <row r="181" spans="1:91" ht="10.5">
      <c r="A181" s="462" t="s">
        <v>957</v>
      </c>
      <c r="B181" s="462" t="s">
        <v>111</v>
      </c>
      <c r="C181" s="462" t="s">
        <v>130</v>
      </c>
      <c r="D181" s="462" t="s">
        <v>63</v>
      </c>
      <c r="E181" s="462" t="s">
        <v>144</v>
      </c>
      <c r="F181" s="462" t="s">
        <v>145</v>
      </c>
      <c r="G181" s="462" t="s">
        <v>156</v>
      </c>
      <c r="H181" s="462" t="s">
        <v>941</v>
      </c>
      <c r="I181" s="439" t="s">
        <v>68</v>
      </c>
      <c r="J181" s="430" t="s">
        <v>949</v>
      </c>
      <c r="K181" s="430" t="s">
        <v>950</v>
      </c>
      <c r="L181" s="430"/>
      <c r="M181" s="430" t="s">
        <v>68</v>
      </c>
      <c r="N181" s="432" t="s">
        <v>68</v>
      </c>
      <c r="O181" s="430" t="s">
        <v>132</v>
      </c>
      <c r="P181" s="430" t="s">
        <v>133</v>
      </c>
      <c r="Q181" s="430" t="s">
        <v>134</v>
      </c>
      <c r="R181" s="431" t="s">
        <v>73</v>
      </c>
      <c r="S181" s="442" t="s">
        <v>120</v>
      </c>
      <c r="T181" s="433">
        <v>720</v>
      </c>
      <c r="U181" s="1088">
        <v>1188</v>
      </c>
      <c r="V181" s="434">
        <v>0.85499999999999998</v>
      </c>
      <c r="W181" s="435">
        <v>36</v>
      </c>
      <c r="X181" s="1040">
        <v>2</v>
      </c>
      <c r="Y181" s="430" t="s">
        <v>75</v>
      </c>
      <c r="Z181" s="430" t="s">
        <v>75</v>
      </c>
      <c r="AA181" s="430"/>
      <c r="AB181" s="437">
        <v>46063</v>
      </c>
      <c r="AC181" s="438">
        <v>7</v>
      </c>
      <c r="AD181" s="439" t="s">
        <v>958</v>
      </c>
      <c r="AE181" s="430" t="s">
        <v>68</v>
      </c>
      <c r="AF181" s="430" t="s">
        <v>122</v>
      </c>
      <c r="AG181" s="430" t="s">
        <v>123</v>
      </c>
      <c r="AH181" s="430" t="s">
        <v>953</v>
      </c>
      <c r="AI181" s="437">
        <v>46070</v>
      </c>
      <c r="AJ181" s="437">
        <v>46084</v>
      </c>
      <c r="AK181" s="441">
        <v>46084</v>
      </c>
      <c r="AL181" s="437">
        <v>46093</v>
      </c>
      <c r="AM181" s="437">
        <v>46114</v>
      </c>
      <c r="AN181" s="437">
        <v>46114</v>
      </c>
      <c r="AO181" s="430" t="s">
        <v>156</v>
      </c>
      <c r="AP181" s="430" t="s">
        <v>959</v>
      </c>
      <c r="AQ181" s="430" t="s">
        <v>161</v>
      </c>
      <c r="AR181" s="430" t="s">
        <v>958</v>
      </c>
      <c r="AS181" s="430" t="s">
        <v>960</v>
      </c>
      <c r="AT181" s="482" t="s">
        <v>961</v>
      </c>
      <c r="AU1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7">
        <v>46114</v>
      </c>
      <c r="AX181" s="433" t="s">
        <v>152</v>
      </c>
      <c r="AZ181" s="442" t="s">
        <v>515</v>
      </c>
      <c r="BA181" s="437">
        <v>46114</v>
      </c>
      <c r="BB181" s="433">
        <v>2026</v>
      </c>
      <c r="BC181" s="430">
        <v>4</v>
      </c>
      <c r="BD181" s="430">
        <v>14</v>
      </c>
      <c r="BE181" s="431">
        <v>33</v>
      </c>
      <c r="BF181" s="431">
        <v>594</v>
      </c>
      <c r="BG181" s="431" t="s">
        <v>108</v>
      </c>
      <c r="BH181" s="431" t="s">
        <v>68</v>
      </c>
      <c r="BI181" s="430" t="s">
        <v>197</v>
      </c>
      <c r="BJ181" s="430" t="s">
        <v>197</v>
      </c>
      <c r="BK181" s="430" t="s">
        <v>197</v>
      </c>
      <c r="BL181" s="430" t="s">
        <v>197</v>
      </c>
      <c r="BM181" s="430" t="s">
        <v>197</v>
      </c>
      <c r="BN181" s="430" t="s">
        <v>197</v>
      </c>
      <c r="BO181" s="430" t="s">
        <v>197</v>
      </c>
      <c r="BP181" s="430" t="s">
        <v>197</v>
      </c>
      <c r="BQ181" s="430" t="s">
        <v>197</v>
      </c>
      <c r="BR181" s="430" t="s">
        <v>197</v>
      </c>
      <c r="BS181" s="430" t="s">
        <v>197</v>
      </c>
      <c r="BT181" s="430" t="s">
        <v>197</v>
      </c>
      <c r="BU181" s="430" t="s">
        <v>197</v>
      </c>
      <c r="BV181" s="430" t="s">
        <v>197</v>
      </c>
      <c r="BW181" s="430" t="s">
        <v>197</v>
      </c>
      <c r="BX181" s="430" t="s">
        <v>197</v>
      </c>
      <c r="BY181" s="430" t="s">
        <v>197</v>
      </c>
      <c r="BZ181" s="430" t="s">
        <v>197</v>
      </c>
      <c r="CA181" s="430" t="s">
        <v>197</v>
      </c>
      <c r="CB181" s="430" t="s">
        <v>197</v>
      </c>
      <c r="CC181" s="430" t="s">
        <v>197</v>
      </c>
      <c r="CD181" s="430" t="s">
        <v>197</v>
      </c>
      <c r="CE181" s="430" t="s">
        <v>197</v>
      </c>
      <c r="CF181" s="430" t="s">
        <v>197</v>
      </c>
      <c r="CG181" s="430" t="s">
        <v>197</v>
      </c>
      <c r="CH181" s="430" t="s">
        <v>197</v>
      </c>
      <c r="CI181" s="430" t="s">
        <v>197</v>
      </c>
      <c r="CJ181" s="430" t="s">
        <v>197</v>
      </c>
      <c r="CK181" s="430" t="s">
        <v>197</v>
      </c>
      <c r="CL181" s="430" t="s">
        <v>197</v>
      </c>
      <c r="CM181" s="430" t="s">
        <v>197</v>
      </c>
    </row>
    <row r="182" spans="1:91" ht="10.5">
      <c r="A182" s="462" t="s">
        <v>962</v>
      </c>
      <c r="B182" s="462" t="s">
        <v>61</v>
      </c>
      <c r="C182" s="462" t="str">
        <f>IFERROR(LEFT(PV_DATA[[#This Row],[TCL REFERENCE]],FIND(".",PV_DATA[[#This Row],[TCL REFERENCE]],1)-1),"Main Line")</f>
        <v>26JAN003</v>
      </c>
      <c r="D182" s="462" t="s">
        <v>63</v>
      </c>
      <c r="E182" s="462" t="s">
        <v>144</v>
      </c>
      <c r="F182" s="462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2" t="s">
        <v>402</v>
      </c>
      <c r="H182" s="462" t="s">
        <v>526</v>
      </c>
      <c r="I182" s="439" t="s">
        <v>68</v>
      </c>
      <c r="J182" s="430" t="s">
        <v>527</v>
      </c>
      <c r="K182" s="430" t="s">
        <v>964</v>
      </c>
      <c r="L182" s="430"/>
      <c r="M182" s="430" t="s">
        <v>68</v>
      </c>
      <c r="N182" s="432" t="s">
        <v>68</v>
      </c>
      <c r="O182" s="430" t="s">
        <v>70</v>
      </c>
      <c r="P182" s="430" t="s">
        <v>965</v>
      </c>
      <c r="Q182" s="430" t="s">
        <v>966</v>
      </c>
      <c r="R182" s="431" t="str">
        <f>_xlfn.XLOOKUP(PV_DATA[[#This Row],[New Ark SKU]],Table9[New Ark SKU],Table9[Connector],,0)</f>
        <v>EVO2A</v>
      </c>
      <c r="S182" s="442" t="str">
        <f>_xlfn.XLOOKUP(PV_DATA[[#This Row],[New Ark SKU]],Table9[New Ark SKU],Table9[Cable],,0)</f>
        <v>±1200mm</v>
      </c>
      <c r="T182" s="433">
        <v>455</v>
      </c>
      <c r="U182" s="1088">
        <f>4680*2</f>
        <v>9360</v>
      </c>
      <c r="V182" s="434">
        <f>PV_DATA[[#This Row],[QUANTITY]]*PV_DATA[[#This Row],[WATT]]/1000000</f>
        <v>4.2587999999999999</v>
      </c>
      <c r="W182" s="435">
        <f>PV_DATA[[#This Row],[QUANTITY]]/PV_DATA[[#This Row],[Qty/Pallet]]</f>
        <v>260</v>
      </c>
      <c r="X182" s="1040">
        <f>PV_DATA[[#This Row],[QUANTITY]]/PV_DATA[[#This Row],[Qty/CT]]</f>
        <v>10</v>
      </c>
      <c r="Y182" s="430" t="s">
        <v>75</v>
      </c>
      <c r="Z182" s="430" t="str">
        <f t="shared" ref="Z182:Z245" si="0">IF(AN182&lt;&gt;"","COMPLETED",IF(AK182&lt;&gt;"","IN-TRANSIT",""))</f>
        <v>COMPLETED</v>
      </c>
      <c r="AA182" s="430"/>
      <c r="AB182" s="437">
        <v>46047</v>
      </c>
      <c r="AC182" s="438">
        <f>IF(PV_DATA[[#This Row],[Pick- Up Date]]&lt;&gt;"",_xlfn.ISOWEEKNUM(PV_DATA[[#This Row],[Pick- Up Date]]),"")</f>
        <v>4</v>
      </c>
      <c r="AD182" s="439" t="s">
        <v>968</v>
      </c>
      <c r="AE182" s="430"/>
      <c r="AF182" s="430" t="s">
        <v>77</v>
      </c>
      <c r="AG182" s="430" t="s">
        <v>61</v>
      </c>
      <c r="AH182" s="430" t="s">
        <v>532</v>
      </c>
      <c r="AI182" s="437">
        <v>46053</v>
      </c>
      <c r="AK182" s="441">
        <v>46057</v>
      </c>
      <c r="AL182" s="437">
        <v>46120</v>
      </c>
      <c r="AM182" s="437">
        <v>46127</v>
      </c>
      <c r="AN182" s="437">
        <v>46127</v>
      </c>
      <c r="AO182" s="430" t="s">
        <v>402</v>
      </c>
      <c r="AP182" s="430" t="s">
        <v>969</v>
      </c>
      <c r="AQ182" s="430" t="s">
        <v>161</v>
      </c>
      <c r="AR182" s="430" t="s">
        <v>970</v>
      </c>
      <c r="AS182" s="430" t="s">
        <v>971</v>
      </c>
      <c r="AT182" s="482" t="s">
        <v>972</v>
      </c>
      <c r="AU1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7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7">
        <f>IF(ISERROR(PV_DATA[[#This Row],[New Ark PO status]]),"",_xlfn.XLOOKUP(PV_DATA[[#This Row],[SPTN-PVHK New Ark PO'#]],New_Ark_Data[Purchase order Number],New_Ark_Data[Estimated time of arrival],"",0))</f>
        <v>46134</v>
      </c>
      <c r="AZ1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7">
        <f>IFERROR(PV_DATA[[#This Row],[ODP ETA Port]]+PV_DATA[[#This Row],[Customs/Leg3 Assumption]],"n/a")</f>
        <v>46127</v>
      </c>
      <c r="BB182" s="433">
        <f>YEAR(PV_DATA[[#This Row],[ETA for New Ark update]])</f>
        <v>2026</v>
      </c>
      <c r="BC182" s="430">
        <f>MONTH(PV_DATA[[#This Row],[ETA for New Ark update]])</f>
        <v>4</v>
      </c>
      <c r="BD182" s="430">
        <f>IFERROR(_xlfn.ISOWEEKNUM(PV_DATA[[#This Row],[ETA for New Ark update]]),0)</f>
        <v>16</v>
      </c>
      <c r="BE182" s="431">
        <f>_xlfn.XLOOKUP(PV_DATA[[#This Row],[New Ark SKU]],Table9[New Ark SKU],Table9[Total PCS per Pallet],,0)</f>
        <v>36</v>
      </c>
      <c r="BF182" s="431">
        <f>_xlfn.XLOOKUP(PV_DATA[[#This Row],[New Ark SKU]],Table9[New Ark SKU],Table9[Total PCS per 40HQ Container],,0)</f>
        <v>936</v>
      </c>
      <c r="BG182" s="431" t="str">
        <f>_xlfn.XLOOKUP(PV_DATA[[#This Row],[New Ark SKU]],Table9[New Ark SKU],Table9[Back Glass],,0)</f>
        <v>Black glazing</v>
      </c>
      <c r="BH182" s="431" t="str">
        <f>_xlfn.XLOOKUP(PV_DATA[[#This Row],[PORT DESTINATION]],Table12[PORT DESTINATION],Table12[Cosco Line],,0)</f>
        <v>AEU</v>
      </c>
      <c r="BJ182" s="430"/>
    </row>
    <row r="183" spans="1:91" ht="10.5">
      <c r="A183" s="462" t="s">
        <v>974</v>
      </c>
      <c r="B183" s="462" t="s">
        <v>61</v>
      </c>
      <c r="C183" s="462" t="str">
        <f>IFERROR(LEFT(PV_DATA[[#This Row],[TCL REFERENCE]],FIND(".",PV_DATA[[#This Row],[TCL REFERENCE]],1)-1),"Main Line")</f>
        <v>26JAN003</v>
      </c>
      <c r="D183" s="462" t="s">
        <v>63</v>
      </c>
      <c r="E183" s="462" t="s">
        <v>64</v>
      </c>
      <c r="F183" s="462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2" t="s">
        <v>66</v>
      </c>
      <c r="H183" s="462" t="s">
        <v>67</v>
      </c>
      <c r="I183" s="439" t="s">
        <v>68</v>
      </c>
      <c r="J183" s="430" t="s">
        <v>419</v>
      </c>
      <c r="K183" s="430"/>
      <c r="L183" s="430"/>
      <c r="M183" s="430" t="s">
        <v>68</v>
      </c>
      <c r="N183" s="432" t="s">
        <v>68</v>
      </c>
      <c r="O183" s="430" t="s">
        <v>70</v>
      </c>
      <c r="P183" s="430" t="s">
        <v>965</v>
      </c>
      <c r="Q183" s="430" t="s">
        <v>966</v>
      </c>
      <c r="R183" s="431" t="str">
        <f>_xlfn.XLOOKUP(PV_DATA[[#This Row],[New Ark SKU]],Table9[New Ark SKU],Table9[Connector],,0)</f>
        <v>EVO2A</v>
      </c>
      <c r="S183" s="442" t="str">
        <f>_xlfn.XLOOKUP(PV_DATA[[#This Row],[New Ark SKU]],Table9[New Ark SKU],Table9[Cable],,0)</f>
        <v>±1200mm</v>
      </c>
      <c r="T183" s="433">
        <v>455</v>
      </c>
      <c r="U183" s="1088">
        <v>3744</v>
      </c>
      <c r="V183" s="434">
        <f>PV_DATA[[#This Row],[QUANTITY]]*PV_DATA[[#This Row],[WATT]]/1000000</f>
        <v>1.7035199999999999</v>
      </c>
      <c r="W183" s="435">
        <f>PV_DATA[[#This Row],[QUANTITY]]/PV_DATA[[#This Row],[Qty/Pallet]]</f>
        <v>104</v>
      </c>
      <c r="X183" s="1083">
        <f>PV_DATA[[#This Row],[QUANTITY]]/PV_DATA[[#This Row],[Qty/CT]]</f>
        <v>4</v>
      </c>
      <c r="Y183" s="525" t="s">
        <v>75</v>
      </c>
      <c r="Z183" s="430" t="str">
        <f t="shared" si="0"/>
        <v>COMPLETED</v>
      </c>
      <c r="AA183" s="525"/>
      <c r="AB183" s="526">
        <v>46043</v>
      </c>
      <c r="AC183" s="527">
        <f>IF(PV_DATA[[#This Row],[Pick- Up Date]]&lt;&gt;"",_xlfn.ISOWEEKNUM(PV_DATA[[#This Row],[Pick- Up Date]]),"")</f>
        <v>4</v>
      </c>
      <c r="AD183" s="528" t="s">
        <v>975</v>
      </c>
      <c r="AE183" s="525"/>
      <c r="AF183" s="525" t="s">
        <v>77</v>
      </c>
      <c r="AG183" s="525" t="s">
        <v>61</v>
      </c>
      <c r="AH183" s="525" t="s">
        <v>105</v>
      </c>
      <c r="AI183" s="437">
        <v>46054</v>
      </c>
      <c r="AJ183" s="437">
        <v>46054</v>
      </c>
      <c r="AK183" s="441">
        <v>46055</v>
      </c>
      <c r="AL183" s="437">
        <v>46094</v>
      </c>
      <c r="AM183" s="437">
        <v>46109</v>
      </c>
      <c r="AN183" s="437">
        <v>46118</v>
      </c>
      <c r="AO183" s="430" t="s">
        <v>66</v>
      </c>
      <c r="AP183" s="430" t="s">
        <v>580</v>
      </c>
      <c r="AQ183" s="430" t="s">
        <v>80</v>
      </c>
      <c r="AR183" s="430" t="s">
        <v>976</v>
      </c>
      <c r="AS183" s="430" t="s">
        <v>977</v>
      </c>
      <c r="AT183" s="482" t="s">
        <v>977</v>
      </c>
      <c r="AU1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7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7">
        <f>IF(ISERROR(PV_DATA[[#This Row],[New Ark PO status]]),"",_xlfn.XLOOKUP(PV_DATA[[#This Row],[SPTN-PVHK New Ark PO'#]],New_Ark_Data[Purchase order Number],New_Ark_Data[Estimated time of arrival],"",0))</f>
        <v>46125</v>
      </c>
      <c r="AZ18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7">
        <f>IFERROR(PV_DATA[[#This Row],[ODP ETA Port]]+PV_DATA[[#This Row],[Customs/Leg3 Assumption]],"n/a")</f>
        <v>46125</v>
      </c>
      <c r="BB183" s="433">
        <f>YEAR(PV_DATA[[#This Row],[ETA for New Ark update]])</f>
        <v>2026</v>
      </c>
      <c r="BC183" s="430">
        <f>MONTH(PV_DATA[[#This Row],[ETA for New Ark update]])</f>
        <v>4</v>
      </c>
      <c r="BD183" s="430">
        <f>IFERROR(_xlfn.ISOWEEKNUM(PV_DATA[[#This Row],[ETA for New Ark update]]),0)</f>
        <v>16</v>
      </c>
      <c r="BE183" s="431">
        <f>_xlfn.XLOOKUP(PV_DATA[[#This Row],[New Ark SKU]],Table9[New Ark SKU],Table9[Total PCS per Pallet],,0)</f>
        <v>36</v>
      </c>
      <c r="BF183" s="431">
        <f>_xlfn.XLOOKUP(PV_DATA[[#This Row],[New Ark SKU]],Table9[New Ark SKU],Table9[Total PCS per 40HQ Container],,0)</f>
        <v>936</v>
      </c>
      <c r="BG183" s="431" t="str">
        <f>_xlfn.XLOOKUP(PV_DATA[[#This Row],[New Ark SKU]],Table9[New Ark SKU],Table9[Back Glass],,0)</f>
        <v>Black glazing</v>
      </c>
      <c r="BH183" s="431" t="str">
        <f>_xlfn.XLOOKUP(PV_DATA[[#This Row],[PORT DESTINATION]],Table12[PORT DESTINATION],Table12[Cosco Line],,0)</f>
        <v>AEU</v>
      </c>
      <c r="BJ183" s="430"/>
    </row>
    <row r="184" spans="1:91" ht="10.5">
      <c r="A184" s="462" t="s">
        <v>978</v>
      </c>
      <c r="B184" s="462" t="s">
        <v>61</v>
      </c>
      <c r="C184" s="462" t="str">
        <f>IFERROR(LEFT(PV_DATA[[#This Row],[TCL REFERENCE]],FIND(".",PV_DATA[[#This Row],[TCL REFERENCE]],1)-1),"Main Line")</f>
        <v>26JAN003</v>
      </c>
      <c r="D184" s="462" t="s">
        <v>63</v>
      </c>
      <c r="E184" s="462" t="s">
        <v>64</v>
      </c>
      <c r="F184" s="462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2" t="s">
        <v>66</v>
      </c>
      <c r="H184" s="462" t="s">
        <v>67</v>
      </c>
      <c r="I184" s="439" t="s">
        <v>68</v>
      </c>
      <c r="J184" s="430" t="s">
        <v>979</v>
      </c>
      <c r="K184" s="430" t="s">
        <v>980</v>
      </c>
      <c r="L184" s="430"/>
      <c r="M184" s="430" t="s">
        <v>68</v>
      </c>
      <c r="N184" s="432" t="s">
        <v>68</v>
      </c>
      <c r="O184" s="430" t="s">
        <v>70</v>
      </c>
      <c r="P184" s="430" t="s">
        <v>965</v>
      </c>
      <c r="Q184" s="430" t="s">
        <v>966</v>
      </c>
      <c r="R184" s="431" t="str">
        <f>_xlfn.XLOOKUP(PV_DATA[[#This Row],[New Ark SKU]],Table9[New Ark SKU],Table9[Connector],,0)</f>
        <v>EVO2A</v>
      </c>
      <c r="S184" s="442" t="str">
        <f>_xlfn.XLOOKUP(PV_DATA[[#This Row],[New Ark SKU]],Table9[New Ark SKU],Table9[Cable],,0)</f>
        <v>±1200mm</v>
      </c>
      <c r="T184" s="433">
        <v>455</v>
      </c>
      <c r="U184" s="1088">
        <v>2808</v>
      </c>
      <c r="V184" s="434">
        <f>PV_DATA[[#This Row],[QUANTITY]]*PV_DATA[[#This Row],[WATT]]/1000000</f>
        <v>1.2776400000000001</v>
      </c>
      <c r="W184" s="435">
        <f>PV_DATA[[#This Row],[QUANTITY]]/PV_DATA[[#This Row],[Qty/Pallet]]</f>
        <v>78</v>
      </c>
      <c r="X184" s="1083">
        <f>PV_DATA[[#This Row],[QUANTITY]]/PV_DATA[[#This Row],[Qty/CT]]</f>
        <v>3</v>
      </c>
      <c r="Y184" s="525" t="s">
        <v>75</v>
      </c>
      <c r="Z184" s="430" t="str">
        <f t="shared" si="0"/>
        <v>COMPLETED</v>
      </c>
      <c r="AA184" s="525"/>
      <c r="AB184" s="526">
        <v>46043</v>
      </c>
      <c r="AC184" s="527">
        <f>IF(PV_DATA[[#This Row],[Pick- Up Date]]&lt;&gt;"",_xlfn.ISOWEEKNUM(PV_DATA[[#This Row],[Pick- Up Date]]),"")</f>
        <v>4</v>
      </c>
      <c r="AD184" s="528" t="s">
        <v>981</v>
      </c>
      <c r="AE184" s="525"/>
      <c r="AF184" s="525" t="s">
        <v>77</v>
      </c>
      <c r="AG184" s="525" t="s">
        <v>61</v>
      </c>
      <c r="AH184" s="525" t="s">
        <v>105</v>
      </c>
      <c r="AI184" s="437">
        <v>46054</v>
      </c>
      <c r="AJ184" s="437">
        <v>46054</v>
      </c>
      <c r="AK184" s="441">
        <v>46055</v>
      </c>
      <c r="AL184" s="437">
        <v>46094</v>
      </c>
      <c r="AM184" s="437">
        <v>46109</v>
      </c>
      <c r="AN184" s="437">
        <v>46118</v>
      </c>
      <c r="AO184" s="430" t="s">
        <v>66</v>
      </c>
      <c r="AP184" s="430" t="s">
        <v>580</v>
      </c>
      <c r="AQ184" s="430" t="s">
        <v>80</v>
      </c>
      <c r="AR184" s="430" t="s">
        <v>982</v>
      </c>
      <c r="AS184" s="430" t="s">
        <v>983</v>
      </c>
      <c r="AT184" s="482" t="s">
        <v>983</v>
      </c>
      <c r="AU1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7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7">
        <f>IF(ISERROR(PV_DATA[[#This Row],[New Ark PO status]]),"",_xlfn.XLOOKUP(PV_DATA[[#This Row],[SPTN-PVHK New Ark PO'#]],New_Ark_Data[Purchase order Number],New_Ark_Data[Estimated time of arrival],"",0))</f>
        <v>46129</v>
      </c>
      <c r="AZ18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7">
        <f>IFERROR(PV_DATA[[#This Row],[ODP ETA Port]]+PV_DATA[[#This Row],[Customs/Leg3 Assumption]],"n/a")</f>
        <v>46125</v>
      </c>
      <c r="BB184" s="433">
        <f>YEAR(PV_DATA[[#This Row],[ETA for New Ark update]])</f>
        <v>2026</v>
      </c>
      <c r="BC184" s="430">
        <f>MONTH(PV_DATA[[#This Row],[ETA for New Ark update]])</f>
        <v>4</v>
      </c>
      <c r="BD184" s="430">
        <f>IFERROR(_xlfn.ISOWEEKNUM(PV_DATA[[#This Row],[ETA for New Ark update]]),0)</f>
        <v>16</v>
      </c>
      <c r="BE184" s="431">
        <f>_xlfn.XLOOKUP(PV_DATA[[#This Row],[New Ark SKU]],Table9[New Ark SKU],Table9[Total PCS per Pallet],,0)</f>
        <v>36</v>
      </c>
      <c r="BF184" s="431">
        <f>_xlfn.XLOOKUP(PV_DATA[[#This Row],[New Ark SKU]],Table9[New Ark SKU],Table9[Total PCS per 40HQ Container],,0)</f>
        <v>936</v>
      </c>
      <c r="BG184" s="431" t="str">
        <f>_xlfn.XLOOKUP(PV_DATA[[#This Row],[New Ark SKU]],Table9[New Ark SKU],Table9[Back Glass],,0)</f>
        <v>Black glazing</v>
      </c>
      <c r="BH184" s="431" t="str">
        <f>_xlfn.XLOOKUP(PV_DATA[[#This Row],[PORT DESTINATION]],Table12[PORT DESTINATION],Table12[Cosco Line],,0)</f>
        <v>AEU</v>
      </c>
      <c r="BJ184" s="430"/>
    </row>
    <row r="185" spans="1:91" ht="10.5">
      <c r="A185" s="462" t="s">
        <v>984</v>
      </c>
      <c r="B185" s="462" t="s">
        <v>61</v>
      </c>
      <c r="C185" s="462" t="str">
        <f>IFERROR(LEFT(PV_DATA[[#This Row],[TCL REFERENCE]],FIND(".",PV_DATA[[#This Row],[TCL REFERENCE]],1)-1),"Main Line")</f>
        <v>26JAN002</v>
      </c>
      <c r="D185" s="462" t="s">
        <v>63</v>
      </c>
      <c r="E185" s="462" t="s">
        <v>64</v>
      </c>
      <c r="F185" s="462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2" t="s">
        <v>66</v>
      </c>
      <c r="H185" s="462" t="s">
        <v>67</v>
      </c>
      <c r="I185" s="439" t="s">
        <v>68</v>
      </c>
      <c r="J185" s="430" t="s">
        <v>578</v>
      </c>
      <c r="K185" s="430"/>
      <c r="L185" s="430"/>
      <c r="M185" s="430" t="s">
        <v>68</v>
      </c>
      <c r="N185" s="432" t="s">
        <v>68</v>
      </c>
      <c r="O185" s="430" t="s">
        <v>70</v>
      </c>
      <c r="P185" s="430" t="s">
        <v>195</v>
      </c>
      <c r="Q185" s="430" t="s">
        <v>196</v>
      </c>
      <c r="R185" s="431" t="str">
        <f>_xlfn.XLOOKUP(PV_DATA[[#This Row],[New Ark SKU]],Table9[New Ark SKU],Table9[Connector],,0)</f>
        <v>EVO2A</v>
      </c>
      <c r="S185" s="442" t="str">
        <f>_xlfn.XLOOKUP(PV_DATA[[#This Row],[New Ark SKU]],Table9[New Ark SKU],Table9[Cable],,0)</f>
        <v>±1200mm</v>
      </c>
      <c r="T185" s="433">
        <v>450</v>
      </c>
      <c r="U185" s="1088">
        <f>936*2</f>
        <v>1872</v>
      </c>
      <c r="V185" s="434">
        <f>PV_DATA[[#This Row],[QUANTITY]]*PV_DATA[[#This Row],[WATT]]/1000000</f>
        <v>0.84240000000000004</v>
      </c>
      <c r="W185" s="435">
        <f>PV_DATA[[#This Row],[QUANTITY]]/PV_DATA[[#This Row],[Qty/Pallet]]</f>
        <v>52</v>
      </c>
      <c r="X185" s="1083">
        <f>PV_DATA[[#This Row],[QUANTITY]]/PV_DATA[[#This Row],[Qty/CT]]</f>
        <v>2</v>
      </c>
      <c r="Y185" s="525" t="s">
        <v>75</v>
      </c>
      <c r="Z185" s="430" t="str">
        <f t="shared" si="0"/>
        <v>COMPLETED</v>
      </c>
      <c r="AA185" s="525" t="s">
        <v>986</v>
      </c>
      <c r="AB185" s="526">
        <v>46043</v>
      </c>
      <c r="AC185" s="527">
        <f>IF(PV_DATA[[#This Row],[Pick- Up Date]]&lt;&gt;"",_xlfn.ISOWEEKNUM(PV_DATA[[#This Row],[Pick- Up Date]]),"")</f>
        <v>4</v>
      </c>
      <c r="AD185" s="528" t="s">
        <v>987</v>
      </c>
      <c r="AE185" s="525"/>
      <c r="AF185" s="525" t="s">
        <v>77</v>
      </c>
      <c r="AG185" s="525" t="s">
        <v>61</v>
      </c>
      <c r="AH185" s="525" t="s">
        <v>105</v>
      </c>
      <c r="AI185" s="437">
        <v>46054</v>
      </c>
      <c r="AJ185" s="437">
        <v>46054</v>
      </c>
      <c r="AK185" s="441">
        <v>46055</v>
      </c>
      <c r="AL185" s="437">
        <v>46094</v>
      </c>
      <c r="AM185" s="437">
        <v>46116</v>
      </c>
      <c r="AN185" s="437">
        <v>46118</v>
      </c>
      <c r="AO185" s="430" t="s">
        <v>66</v>
      </c>
      <c r="AP185" s="430" t="s">
        <v>580</v>
      </c>
      <c r="AQ185" s="430" t="s">
        <v>80</v>
      </c>
      <c r="AR185" s="430" t="s">
        <v>988</v>
      </c>
      <c r="AS185" s="430" t="s">
        <v>989</v>
      </c>
      <c r="AT185" s="482" t="s">
        <v>989</v>
      </c>
      <c r="AU1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7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7">
        <f>IF(ISERROR(PV_DATA[[#This Row],[New Ark PO status]]),"",_xlfn.XLOOKUP(PV_DATA[[#This Row],[SPTN-PVHK New Ark PO'#]],New_Ark_Data[Purchase order Number],New_Ark_Data[Estimated time of arrival],"",0))</f>
        <v>46129</v>
      </c>
      <c r="AZ18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7">
        <f>IFERROR(PV_DATA[[#This Row],[ODP ETA Port]]+PV_DATA[[#This Row],[Customs/Leg3 Assumption]],"n/a")</f>
        <v>46125</v>
      </c>
      <c r="BB185" s="433">
        <f>YEAR(PV_DATA[[#This Row],[ETA for New Ark update]])</f>
        <v>2026</v>
      </c>
      <c r="BC185" s="430">
        <f>MONTH(PV_DATA[[#This Row],[ETA for New Ark update]])</f>
        <v>4</v>
      </c>
      <c r="BD185" s="430">
        <f>IFERROR(_xlfn.ISOWEEKNUM(PV_DATA[[#This Row],[ETA for New Ark update]]),0)</f>
        <v>16</v>
      </c>
      <c r="BE185" s="431">
        <f>_xlfn.XLOOKUP(PV_DATA[[#This Row],[New Ark SKU]],Table9[New Ark SKU],Table9[Total PCS per Pallet],,0)</f>
        <v>36</v>
      </c>
      <c r="BF185" s="431">
        <f>_xlfn.XLOOKUP(PV_DATA[[#This Row],[New Ark SKU]],Table9[New Ark SKU],Table9[Total PCS per 40HQ Container],,0)</f>
        <v>936</v>
      </c>
      <c r="BG185" s="431" t="str">
        <f>_xlfn.XLOOKUP(PV_DATA[[#This Row],[New Ark SKU]],Table9[New Ark SKU],Table9[Back Glass],,0)</f>
        <v>Black glazing</v>
      </c>
      <c r="BH185" s="431" t="str">
        <f>_xlfn.XLOOKUP(PV_DATA[[#This Row],[PORT DESTINATION]],Table12[PORT DESTINATION],Table12[Cosco Line],,0)</f>
        <v>AEU</v>
      </c>
      <c r="BJ185" s="430"/>
    </row>
    <row r="186" spans="1:91" ht="10.5">
      <c r="A186" s="462" t="s">
        <v>990</v>
      </c>
      <c r="B186" s="462" t="s">
        <v>111</v>
      </c>
      <c r="C186" s="462" t="str">
        <f>IFERROR(LEFT(PV_DATA[[#This Row],[TCL REFERENCE]],FIND(".",PV_DATA[[#This Row],[TCL REFERENCE]],1)-1),"Main Line")</f>
        <v>26Feb015</v>
      </c>
      <c r="D186" s="462" t="s">
        <v>63</v>
      </c>
      <c r="E186" s="462" t="s">
        <v>64</v>
      </c>
      <c r="F186" s="462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2" t="s">
        <v>402</v>
      </c>
      <c r="H186" s="462" t="s">
        <v>67</v>
      </c>
      <c r="I186" s="439" t="s">
        <v>68</v>
      </c>
      <c r="J186" s="430" t="s">
        <v>101</v>
      </c>
      <c r="K186" s="430"/>
      <c r="L186" s="430"/>
      <c r="M186" s="430" t="s">
        <v>68</v>
      </c>
      <c r="N186" s="432">
        <v>46048</v>
      </c>
      <c r="O186" s="430" t="s">
        <v>132</v>
      </c>
      <c r="P186" s="430" t="s">
        <v>133</v>
      </c>
      <c r="Q186" s="430" t="s">
        <v>134</v>
      </c>
      <c r="R186" s="431" t="str">
        <f>_xlfn.XLOOKUP(PV_DATA[[#This Row],[New Ark SKU]],Table9[New Ark SKU],Table9[Connector],,0)</f>
        <v>EVO2A</v>
      </c>
      <c r="S186" s="442" t="str">
        <f>_xlfn.XLOOKUP(PV_DATA[[#This Row],[New Ark SKU]],Table9[New Ark SKU],Table9[Cable],,0)</f>
        <v>±1400mm</v>
      </c>
      <c r="T186" s="433">
        <v>720</v>
      </c>
      <c r="U186" s="1088">
        <f>4*594</f>
        <v>2376</v>
      </c>
      <c r="V186" s="434">
        <f>PV_DATA[[#This Row],[QUANTITY]]*PV_DATA[[#This Row],[WATT]]/1000000</f>
        <v>1.71072</v>
      </c>
      <c r="W186" s="435">
        <f>PV_DATA[[#This Row],[QUANTITY]]/PV_DATA[[#This Row],[Qty/Pallet]]</f>
        <v>72</v>
      </c>
      <c r="X186" s="1040">
        <f>PV_DATA[[#This Row],[QUANTITY]]/PV_DATA[[#This Row],[Qty/CT]]</f>
        <v>4</v>
      </c>
      <c r="Y186" s="430" t="s">
        <v>75</v>
      </c>
      <c r="Z186" s="430" t="str">
        <f t="shared" si="0"/>
        <v>COMPLETED</v>
      </c>
      <c r="AA186" s="430"/>
      <c r="AB186" s="437">
        <v>46057</v>
      </c>
      <c r="AC186" s="438">
        <f>IF(PV_DATA[[#This Row],[Pick- Up Date]]&lt;&gt;"",_xlfn.ISOWEEKNUM(PV_DATA[[#This Row],[Pick- Up Date]]),"")</f>
        <v>6</v>
      </c>
      <c r="AD186" s="439" t="s">
        <v>993</v>
      </c>
      <c r="AE186" s="430"/>
      <c r="AF186" s="430" t="s">
        <v>122</v>
      </c>
      <c r="AG186" s="430" t="s">
        <v>123</v>
      </c>
      <c r="AH186" s="430" t="s">
        <v>105</v>
      </c>
      <c r="AI186" s="437">
        <v>46062</v>
      </c>
      <c r="AJ186" s="437">
        <v>46067</v>
      </c>
      <c r="AK186" s="441">
        <v>46069</v>
      </c>
      <c r="AL186" s="437">
        <v>46099</v>
      </c>
      <c r="AM186" s="437">
        <v>46126</v>
      </c>
      <c r="AN186" s="437">
        <v>46127</v>
      </c>
      <c r="AO186" s="430" t="s">
        <v>402</v>
      </c>
      <c r="AP186" s="430" t="s">
        <v>731</v>
      </c>
      <c r="AQ186" s="430" t="s">
        <v>80</v>
      </c>
      <c r="AR186" s="430" t="s">
        <v>732</v>
      </c>
      <c r="AS186" s="430" t="s">
        <v>733</v>
      </c>
      <c r="AT186" s="482" t="s">
        <v>733</v>
      </c>
      <c r="AU1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7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7">
        <f>IF(ISERROR(PV_DATA[[#This Row],[New Ark PO status]]),"",_xlfn.XLOOKUP(PV_DATA[[#This Row],[SPTN-PVHK New Ark PO'#]],New_Ark_Data[Purchase order Number],New_Ark_Data[Estimated time of arrival],"",0))</f>
        <v>46134</v>
      </c>
      <c r="AZ18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7">
        <f>IFERROR(PV_DATA[[#This Row],[ODP ETA Port]]+PV_DATA[[#This Row],[Customs/Leg3 Assumption]],"n/a")</f>
        <v>46134</v>
      </c>
      <c r="BB186" s="433">
        <f>YEAR(PV_DATA[[#This Row],[ETA for New Ark update]])</f>
        <v>2026</v>
      </c>
      <c r="BC186" s="430">
        <f>MONTH(PV_DATA[[#This Row],[ETA for New Ark update]])</f>
        <v>4</v>
      </c>
      <c r="BD186" s="430">
        <f>IFERROR(_xlfn.ISOWEEKNUM(PV_DATA[[#This Row],[ETA for New Ark update]]),0)</f>
        <v>17</v>
      </c>
      <c r="BE186" s="431">
        <f>_xlfn.XLOOKUP(PV_DATA[[#This Row],[New Ark SKU]],Table9[New Ark SKU],Table9[Total PCS per Pallet],,0)</f>
        <v>33</v>
      </c>
      <c r="BF186" s="431">
        <f>_xlfn.XLOOKUP(PV_DATA[[#This Row],[New Ark SKU]],Table9[New Ark SKU],Table9[Total PCS per 40HQ Container],,0)</f>
        <v>594</v>
      </c>
      <c r="BG186" s="431" t="str">
        <f>_xlfn.XLOOKUP(PV_DATA[[#This Row],[New Ark SKU]],Table9[New Ark SKU],Table9[Back Glass],,0)</f>
        <v>White glazing</v>
      </c>
      <c r="BH186" s="431" t="str">
        <f>_xlfn.XLOOKUP(PV_DATA[[#This Row],[PORT DESTINATION]],Table12[PORT DESTINATION],Table12[Cosco Line],,0)</f>
        <v>AEU</v>
      </c>
      <c r="BJ186" s="430"/>
    </row>
    <row r="187" spans="1:91" ht="10.5">
      <c r="A187" s="462" t="s">
        <v>994</v>
      </c>
      <c r="B187" s="462" t="s">
        <v>111</v>
      </c>
      <c r="C187" s="462" t="str">
        <f>IFERROR(LEFT(PV_DATA[[#This Row],[TCL REFERENCE]],FIND(".",PV_DATA[[#This Row],[TCL REFERENCE]],1)-1),"Main Line")</f>
        <v>26Feb015</v>
      </c>
      <c r="D187" s="462" t="s">
        <v>63</v>
      </c>
      <c r="E187" s="462" t="s">
        <v>64</v>
      </c>
      <c r="F187" s="462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2" t="s">
        <v>402</v>
      </c>
      <c r="H187" s="462" t="s">
        <v>67</v>
      </c>
      <c r="I187" s="439" t="s">
        <v>68</v>
      </c>
      <c r="J187" s="430" t="s">
        <v>995</v>
      </c>
      <c r="K187" s="430"/>
      <c r="L187" s="430"/>
      <c r="M187" s="430" t="s">
        <v>68</v>
      </c>
      <c r="N187" s="432">
        <v>46048</v>
      </c>
      <c r="O187" s="430" t="s">
        <v>132</v>
      </c>
      <c r="P187" s="430" t="s">
        <v>133</v>
      </c>
      <c r="Q187" s="430" t="s">
        <v>134</v>
      </c>
      <c r="R187" s="431" t="str">
        <f>_xlfn.XLOOKUP(PV_DATA[[#This Row],[New Ark SKU]],Table9[New Ark SKU],Table9[Connector],,0)</f>
        <v>EVO2A</v>
      </c>
      <c r="S187" s="442" t="str">
        <f>_xlfn.XLOOKUP(PV_DATA[[#This Row],[New Ark SKU]],Table9[New Ark SKU],Table9[Cable],,0)</f>
        <v>±1400mm</v>
      </c>
      <c r="T187" s="433">
        <v>720</v>
      </c>
      <c r="U187" s="1088">
        <f>10*594</f>
        <v>5940</v>
      </c>
      <c r="V187" s="434">
        <f>PV_DATA[[#This Row],[QUANTITY]]*PV_DATA[[#This Row],[WATT]]/1000000</f>
        <v>4.2767999999999997</v>
      </c>
      <c r="W187" s="435">
        <f>PV_DATA[[#This Row],[QUANTITY]]/PV_DATA[[#This Row],[Qty/Pallet]]</f>
        <v>180</v>
      </c>
      <c r="X187" s="1040">
        <f>PV_DATA[[#This Row],[QUANTITY]]/PV_DATA[[#This Row],[Qty/CT]]</f>
        <v>10</v>
      </c>
      <c r="Y187" s="430" t="s">
        <v>75</v>
      </c>
      <c r="Z187" s="430" t="str">
        <f t="shared" si="0"/>
        <v>COMPLETED</v>
      </c>
      <c r="AA187" s="430"/>
      <c r="AB187" s="437">
        <v>46055</v>
      </c>
      <c r="AC187" s="438">
        <f>IF(PV_DATA[[#This Row],[Pick- Up Date]]&lt;&gt;"",_xlfn.ISOWEEKNUM(PV_DATA[[#This Row],[Pick- Up Date]]),"")</f>
        <v>6</v>
      </c>
      <c r="AD187" s="439" t="s">
        <v>996</v>
      </c>
      <c r="AE187" s="430"/>
      <c r="AF187" s="430" t="s">
        <v>122</v>
      </c>
      <c r="AG187" s="430" t="s">
        <v>123</v>
      </c>
      <c r="AH187" s="430" t="s">
        <v>105</v>
      </c>
      <c r="AI187" s="437">
        <v>46063</v>
      </c>
      <c r="AJ187" s="437">
        <v>46069</v>
      </c>
      <c r="AK187" s="441">
        <v>46069</v>
      </c>
      <c r="AL187" s="437">
        <v>46102</v>
      </c>
      <c r="AM187" s="437">
        <v>46126</v>
      </c>
      <c r="AN187" s="437">
        <v>46127</v>
      </c>
      <c r="AO187" s="430" t="s">
        <v>402</v>
      </c>
      <c r="AP187" s="430" t="s">
        <v>997</v>
      </c>
      <c r="AQ187" s="430" t="s">
        <v>80</v>
      </c>
      <c r="AR187" s="430" t="s">
        <v>998</v>
      </c>
      <c r="AS187" s="430" t="s">
        <v>999</v>
      </c>
      <c r="AT187" s="482" t="s">
        <v>999</v>
      </c>
      <c r="AU1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7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7">
        <f>IF(ISERROR(PV_DATA[[#This Row],[New Ark PO status]]),"",_xlfn.XLOOKUP(PV_DATA[[#This Row],[SPTN-PVHK New Ark PO'#]],New_Ark_Data[Purchase order Number],New_Ark_Data[Estimated time of arrival],"",0))</f>
        <v>46134</v>
      </c>
      <c r="AZ1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7">
        <f>IFERROR(PV_DATA[[#This Row],[ODP ETA Port]]+PV_DATA[[#This Row],[Customs/Leg3 Assumption]],"n/a")</f>
        <v>46134</v>
      </c>
      <c r="BB187" s="433">
        <f>YEAR(PV_DATA[[#This Row],[ETA for New Ark update]])</f>
        <v>2026</v>
      </c>
      <c r="BC187" s="430">
        <f>MONTH(PV_DATA[[#This Row],[ETA for New Ark update]])</f>
        <v>4</v>
      </c>
      <c r="BD187" s="430">
        <f>IFERROR(_xlfn.ISOWEEKNUM(PV_DATA[[#This Row],[ETA for New Ark update]]),0)</f>
        <v>17</v>
      </c>
      <c r="BE187" s="431">
        <f>_xlfn.XLOOKUP(PV_DATA[[#This Row],[New Ark SKU]],Table9[New Ark SKU],Table9[Total PCS per Pallet],,0)</f>
        <v>33</v>
      </c>
      <c r="BF187" s="431">
        <f>_xlfn.XLOOKUP(PV_DATA[[#This Row],[New Ark SKU]],Table9[New Ark SKU],Table9[Total PCS per 40HQ Container],,0)</f>
        <v>594</v>
      </c>
      <c r="BG187" s="431" t="str">
        <f>_xlfn.XLOOKUP(PV_DATA[[#This Row],[New Ark SKU]],Table9[New Ark SKU],Table9[Back Glass],,0)</f>
        <v>White glazing</v>
      </c>
      <c r="BH187" s="431" t="str">
        <f>_xlfn.XLOOKUP(PV_DATA[[#This Row],[PORT DESTINATION]],Table12[PORT DESTINATION],Table12[Cosco Line],,0)</f>
        <v>AEU</v>
      </c>
      <c r="BJ187" s="430"/>
    </row>
    <row r="188" spans="1:91" ht="10.5">
      <c r="A188" s="462" t="s">
        <v>1000</v>
      </c>
      <c r="B188" s="462" t="s">
        <v>111</v>
      </c>
      <c r="C188" s="462" t="str">
        <f>IFERROR(LEFT(PV_DATA[[#This Row],[TCL REFERENCE]],FIND(".",PV_DATA[[#This Row],[TCL REFERENCE]],1)-1),"Main Line")</f>
        <v>Main Line</v>
      </c>
      <c r="D188" s="462" t="s">
        <v>63</v>
      </c>
      <c r="E188" s="462" t="s">
        <v>64</v>
      </c>
      <c r="F188" s="462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2" t="s">
        <v>402</v>
      </c>
      <c r="H188" s="462" t="s">
        <v>67</v>
      </c>
      <c r="I188" s="439" t="s">
        <v>68</v>
      </c>
      <c r="J188" s="430" t="s">
        <v>1001</v>
      </c>
      <c r="K188" s="430"/>
      <c r="L188" s="430"/>
      <c r="M188" s="430" t="s">
        <v>68</v>
      </c>
      <c r="N188" s="432">
        <v>46045</v>
      </c>
      <c r="O188" s="430" t="s">
        <v>70</v>
      </c>
      <c r="P188" s="430" t="s">
        <v>1002</v>
      </c>
      <c r="Q188" s="430" t="s">
        <v>330</v>
      </c>
      <c r="R188" s="431" t="str">
        <f>_xlfn.XLOOKUP(PV_DATA[[#This Row],[New Ark SKU]],Table9[New Ark SKU],Table9[Connector],,0)</f>
        <v>EVO2A</v>
      </c>
      <c r="S188" s="442" t="str">
        <f>_xlfn.XLOOKUP(PV_DATA[[#This Row],[New Ark SKU]],Table9[New Ark SKU],Table9[Cable],,0)</f>
        <v>±1400mm</v>
      </c>
      <c r="T188" s="433">
        <v>625</v>
      </c>
      <c r="U188" s="1088" cm="1">
        <f t="array" ref="U188">7920-fx_qty</f>
        <v>7920</v>
      </c>
      <c r="V188" s="434">
        <f>PV_DATA[[#This Row],[QUANTITY]]*PV_DATA[[#This Row],[WATT]]/1000000</f>
        <v>4.95</v>
      </c>
      <c r="W188" s="435">
        <f>PV_DATA[[#This Row],[QUANTITY]]/PV_DATA[[#This Row],[Qty/Pallet]]</f>
        <v>220</v>
      </c>
      <c r="X188" s="1040">
        <f>PV_DATA[[#This Row],[QUANTITY]]/PV_DATA[[#This Row],[Qty/CT]]</f>
        <v>11</v>
      </c>
      <c r="Y188" s="430" t="s">
        <v>75</v>
      </c>
      <c r="Z188" s="430" t="str">
        <f t="shared" si="0"/>
        <v>COMPLETED</v>
      </c>
      <c r="AA188" s="430"/>
      <c r="AB188" s="437">
        <v>46054</v>
      </c>
      <c r="AC188" s="438">
        <f>IF(PV_DATA[[#This Row],[Pick- Up Date]]&lt;&gt;"",_xlfn.ISOWEEKNUM(PV_DATA[[#This Row],[Pick- Up Date]]),"")</f>
        <v>5</v>
      </c>
      <c r="AD188" s="439" t="s">
        <v>1003</v>
      </c>
      <c r="AE188" s="430"/>
      <c r="AF188" s="430" t="s">
        <v>122</v>
      </c>
      <c r="AG188" s="430" t="s">
        <v>123</v>
      </c>
      <c r="AH188" s="430" t="s">
        <v>105</v>
      </c>
      <c r="AI188" s="437">
        <v>46063</v>
      </c>
      <c r="AJ188" s="437">
        <v>46066</v>
      </c>
      <c r="AK188" s="441">
        <v>46065</v>
      </c>
      <c r="AL188" s="437">
        <v>46098</v>
      </c>
      <c r="AM188" s="437">
        <v>46109</v>
      </c>
      <c r="AN188" s="437">
        <v>46109</v>
      </c>
      <c r="AO188" s="430" t="s">
        <v>402</v>
      </c>
      <c r="AP188" s="430" t="s">
        <v>694</v>
      </c>
      <c r="AQ188" s="430" t="s">
        <v>80</v>
      </c>
      <c r="AR188" s="430" t="s">
        <v>1004</v>
      </c>
      <c r="AS188" s="430" t="s">
        <v>1005</v>
      </c>
      <c r="AT188" s="482" t="s">
        <v>1005</v>
      </c>
      <c r="AU1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7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7">
        <f>IF(ISERROR(PV_DATA[[#This Row],[New Ark PO status]]),"",_xlfn.XLOOKUP(PV_DATA[[#This Row],[SPTN-PVHK New Ark PO'#]],New_Ark_Data[Purchase order Number],New_Ark_Data[Estimated time of arrival],"",0))</f>
        <v>46125</v>
      </c>
      <c r="AZ18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7">
        <f>IFERROR(PV_DATA[[#This Row],[ODP ETA Port]]+PV_DATA[[#This Row],[Customs/Leg3 Assumption]],"n/a")</f>
        <v>46116</v>
      </c>
      <c r="BB188" s="433">
        <f>YEAR(PV_DATA[[#This Row],[ETA for New Ark update]])</f>
        <v>2026</v>
      </c>
      <c r="BC188" s="430">
        <f>MONTH(PV_DATA[[#This Row],[ETA for New Ark update]])</f>
        <v>4</v>
      </c>
      <c r="BD188" s="430">
        <f>IFERROR(_xlfn.ISOWEEKNUM(PV_DATA[[#This Row],[ETA for New Ark update]]),0)</f>
        <v>14</v>
      </c>
      <c r="BE188" s="431">
        <f>_xlfn.XLOOKUP(PV_DATA[[#This Row],[New Ark SKU]],Table9[New Ark SKU],Table9[Total PCS per Pallet],,0)</f>
        <v>36</v>
      </c>
      <c r="BF188" s="431">
        <f>_xlfn.XLOOKUP(PV_DATA[[#This Row],[New Ark SKU]],Table9[New Ark SKU],Table9[Total PCS per 40HQ Container],,0)</f>
        <v>720</v>
      </c>
      <c r="BG188" s="431" t="str">
        <f>_xlfn.XLOOKUP(PV_DATA[[#This Row],[New Ark SKU]],Table9[New Ark SKU],Table9[Back Glass],,0)</f>
        <v>Redirection Film</v>
      </c>
      <c r="BH188" s="431" t="str">
        <f>_xlfn.XLOOKUP(PV_DATA[[#This Row],[PORT DESTINATION]],Table12[PORT DESTINATION],Table12[Cosco Line],,0)</f>
        <v>AEU</v>
      </c>
      <c r="BJ188" s="430"/>
    </row>
    <row r="189" spans="1:91" ht="10.5">
      <c r="A189" s="462" t="s">
        <v>1006</v>
      </c>
      <c r="B189" s="462" t="s">
        <v>111</v>
      </c>
      <c r="C189" s="462" t="str">
        <f>IFERROR(LEFT(PV_DATA[[#This Row],[TCL REFERENCE]],FIND(".",PV_DATA[[#This Row],[TCL REFERENCE]],1)-1),"Main Line")</f>
        <v>26JAN006</v>
      </c>
      <c r="D189" s="462" t="s">
        <v>63</v>
      </c>
      <c r="E189" s="462" t="s">
        <v>64</v>
      </c>
      <c r="F189" s="462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2" t="s">
        <v>402</v>
      </c>
      <c r="H189" s="462" t="s">
        <v>67</v>
      </c>
      <c r="I189" s="439" t="s">
        <v>68</v>
      </c>
      <c r="J189" s="430" t="s">
        <v>1008</v>
      </c>
      <c r="K189" s="430"/>
      <c r="L189" s="430"/>
      <c r="M189" s="430" t="s">
        <v>68</v>
      </c>
      <c r="N189" s="432">
        <v>46045</v>
      </c>
      <c r="O189" s="430" t="s">
        <v>70</v>
      </c>
      <c r="P189" s="430" t="s">
        <v>102</v>
      </c>
      <c r="Q189" s="430" t="s">
        <v>103</v>
      </c>
      <c r="R189" s="431" t="str">
        <f>_xlfn.XLOOKUP(PV_DATA[[#This Row],[New Ark SKU]],Table9[New Ark SKU],Table9[Connector],,0)</f>
        <v>EVO2A</v>
      </c>
      <c r="S189" s="442" t="str">
        <f>_xlfn.XLOOKUP(PV_DATA[[#This Row],[New Ark SKU]],Table9[New Ark SKU],Table9[Cable],,0)</f>
        <v>±1200mm</v>
      </c>
      <c r="T189" s="433">
        <v>620</v>
      </c>
      <c r="U189" s="1088">
        <f>720*2</f>
        <v>1440</v>
      </c>
      <c r="V189" s="434">
        <f>PV_DATA[[#This Row],[QUANTITY]]*PV_DATA[[#This Row],[WATT]]/1000000</f>
        <v>0.89280000000000004</v>
      </c>
      <c r="W189" s="435">
        <f>PV_DATA[[#This Row],[QUANTITY]]/PV_DATA[[#This Row],[Qty/Pallet]]</f>
        <v>40</v>
      </c>
      <c r="X189" s="1040">
        <f>PV_DATA[[#This Row],[QUANTITY]]/PV_DATA[[#This Row],[Qty/CT]]</f>
        <v>2</v>
      </c>
      <c r="Y189" s="430" t="s">
        <v>75</v>
      </c>
      <c r="Z189" s="430" t="str">
        <f t="shared" si="0"/>
        <v>COMPLETED</v>
      </c>
      <c r="AA189" s="430"/>
      <c r="AB189" s="437">
        <v>46054</v>
      </c>
      <c r="AC189" s="438">
        <f>IF(PV_DATA[[#This Row],[Pick- Up Date]]&lt;&gt;"",_xlfn.ISOWEEKNUM(PV_DATA[[#This Row],[Pick- Up Date]]),"")</f>
        <v>5</v>
      </c>
      <c r="AD189" s="439" t="s">
        <v>1009</v>
      </c>
      <c r="AE189" s="430"/>
      <c r="AF189" s="430" t="s">
        <v>122</v>
      </c>
      <c r="AG189" s="430" t="s">
        <v>123</v>
      </c>
      <c r="AH189" s="430" t="s">
        <v>78</v>
      </c>
      <c r="AI189" s="437">
        <v>46063</v>
      </c>
      <c r="AJ189" s="437">
        <v>46065</v>
      </c>
      <c r="AK189" s="441">
        <v>46078</v>
      </c>
      <c r="AL189" s="437">
        <v>46101</v>
      </c>
      <c r="AM189" s="437">
        <v>46136</v>
      </c>
      <c r="AN189" s="437">
        <v>46137</v>
      </c>
      <c r="AO189" s="430" t="s">
        <v>402</v>
      </c>
      <c r="AP189" s="430" t="s">
        <v>739</v>
      </c>
      <c r="AQ189" s="430" t="s">
        <v>80</v>
      </c>
      <c r="AR189" s="430" t="s">
        <v>740</v>
      </c>
      <c r="AS189" s="430" t="s">
        <v>741</v>
      </c>
      <c r="AT189" s="482" t="s">
        <v>741</v>
      </c>
      <c r="AU1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7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7">
        <f>IF(ISERROR(PV_DATA[[#This Row],[New Ark PO status]]),"",_xlfn.XLOOKUP(PV_DATA[[#This Row],[SPTN-PVHK New Ark PO'#]],New_Ark_Data[Purchase order Number],New_Ark_Data[Estimated time of arrival],"",0))</f>
        <v>46150</v>
      </c>
      <c r="AZ18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7">
        <f>IFERROR(PV_DATA[[#This Row],[ODP ETA Port]]+PV_DATA[[#This Row],[Customs/Leg3 Assumption]],"n/a")</f>
        <v>46145</v>
      </c>
      <c r="BB189" s="433">
        <f>YEAR(PV_DATA[[#This Row],[ETA for New Ark update]])</f>
        <v>2026</v>
      </c>
      <c r="BC189" s="430">
        <f>MONTH(PV_DATA[[#This Row],[ETA for New Ark update]])</f>
        <v>5</v>
      </c>
      <c r="BD189" s="430">
        <f>IFERROR(_xlfn.ISOWEEKNUM(PV_DATA[[#This Row],[ETA for New Ark update]]),0)</f>
        <v>18</v>
      </c>
      <c r="BE189" s="431">
        <f>_xlfn.XLOOKUP(PV_DATA[[#This Row],[New Ark SKU]],Table9[New Ark SKU],Table9[Total PCS per Pallet],,0)</f>
        <v>36</v>
      </c>
      <c r="BF189" s="431">
        <f>_xlfn.XLOOKUP(PV_DATA[[#This Row],[New Ark SKU]],Table9[New Ark SKU],Table9[Total PCS per 40HQ Container],,0)</f>
        <v>720</v>
      </c>
      <c r="BG189" s="431" t="str">
        <f>_xlfn.XLOOKUP(PV_DATA[[#This Row],[New Ark SKU]],Table9[New Ark SKU],Table9[Back Glass],,0)</f>
        <v>White glazing</v>
      </c>
      <c r="BH189" s="431" t="str">
        <f>_xlfn.XLOOKUP(PV_DATA[[#This Row],[PORT DESTINATION]],Table12[PORT DESTINATION],Table12[Cosco Line],,0)</f>
        <v>AEM</v>
      </c>
      <c r="BJ189" s="430"/>
    </row>
    <row r="190" spans="1:91" ht="10.5">
      <c r="A190" s="462" t="s">
        <v>985</v>
      </c>
      <c r="B190" s="462" t="s">
        <v>61</v>
      </c>
      <c r="C190" s="462" t="str">
        <f>IFERROR(LEFT(PV_DATA[[#This Row],[TCL REFERENCE]],FIND(".",PV_DATA[[#This Row],[TCL REFERENCE]],1)-1),"Main Line")</f>
        <v>Main Line</v>
      </c>
      <c r="D190" s="462" t="s">
        <v>63</v>
      </c>
      <c r="E190" s="462" t="s">
        <v>64</v>
      </c>
      <c r="F190" s="462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2" t="s">
        <v>402</v>
      </c>
      <c r="H190" s="462" t="s">
        <v>67</v>
      </c>
      <c r="I190" s="439" t="s">
        <v>68</v>
      </c>
      <c r="J190" s="430" t="s">
        <v>293</v>
      </c>
      <c r="K190" s="430"/>
      <c r="L190" s="430"/>
      <c r="M190" s="430" t="s">
        <v>68</v>
      </c>
      <c r="N190" s="432">
        <v>46055</v>
      </c>
      <c r="O190" s="430" t="s">
        <v>70</v>
      </c>
      <c r="P190" s="430" t="s">
        <v>195</v>
      </c>
      <c r="Q190" s="430" t="s">
        <v>196</v>
      </c>
      <c r="R190" s="431" t="str">
        <f>_xlfn.XLOOKUP(PV_DATA[[#This Row],[New Ark SKU]],Table9[New Ark SKU],Table9[Connector],,0)</f>
        <v>EVO2A</v>
      </c>
      <c r="S190" s="442" t="str">
        <f>_xlfn.XLOOKUP(PV_DATA[[#This Row],[New Ark SKU]],Table9[New Ark SKU],Table9[Cable],,0)</f>
        <v>±1200mm</v>
      </c>
      <c r="T190" s="433">
        <v>450</v>
      </c>
      <c r="U190" s="1088" cm="1">
        <f t="array" ref="U190">2808-fx_qty</f>
        <v>936</v>
      </c>
      <c r="V190" s="434">
        <f>PV_DATA[[#This Row],[QUANTITY]]*PV_DATA[[#This Row],[WATT]]/1000000</f>
        <v>0.42120000000000002</v>
      </c>
      <c r="W190" s="435">
        <f>PV_DATA[[#This Row],[QUANTITY]]/PV_DATA[[#This Row],[Qty/Pallet]]</f>
        <v>26</v>
      </c>
      <c r="X190" s="1040">
        <f>PV_DATA[[#This Row],[QUANTITY]]/PV_DATA[[#This Row],[Qty/CT]]</f>
        <v>1</v>
      </c>
      <c r="Y190" s="430" t="s">
        <v>75</v>
      </c>
      <c r="Z190" s="430" t="str">
        <f t="shared" si="0"/>
        <v>COMPLETED</v>
      </c>
      <c r="AA190" s="430"/>
      <c r="AB190" s="437">
        <v>46055</v>
      </c>
      <c r="AC190" s="438">
        <f>IF(PV_DATA[[#This Row],[Pick- Up Date]]&lt;&gt;"",_xlfn.ISOWEEKNUM(PV_DATA[[#This Row],[Pick- Up Date]]),"")</f>
        <v>6</v>
      </c>
      <c r="AD190" s="439" t="s">
        <v>1010</v>
      </c>
      <c r="AE190" s="430"/>
      <c r="AF190" s="430" t="s">
        <v>77</v>
      </c>
      <c r="AG190" s="430" t="s">
        <v>61</v>
      </c>
      <c r="AH190" s="430" t="s">
        <v>105</v>
      </c>
      <c r="AI190" s="437">
        <v>46066</v>
      </c>
      <c r="AJ190" s="437">
        <v>46065</v>
      </c>
      <c r="AK190" s="441">
        <v>46065</v>
      </c>
      <c r="AL190" s="437">
        <v>46119</v>
      </c>
      <c r="AM190" s="437">
        <v>46141</v>
      </c>
      <c r="AN190" s="437">
        <v>46137</v>
      </c>
      <c r="AO190" s="430" t="s">
        <v>402</v>
      </c>
      <c r="AP190" s="430" t="s">
        <v>771</v>
      </c>
      <c r="AQ190" s="430" t="s">
        <v>80</v>
      </c>
      <c r="AR190" s="430" t="s">
        <v>772</v>
      </c>
      <c r="AS190" s="430" t="s">
        <v>773</v>
      </c>
      <c r="AT190" s="482" t="s">
        <v>773</v>
      </c>
      <c r="AU1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7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7">
        <f>IF(ISERROR(PV_DATA[[#This Row],[New Ark PO status]]),"",_xlfn.XLOOKUP(PV_DATA[[#This Row],[SPTN-PVHK New Ark PO'#]],New_Ark_Data[Purchase order Number],New_Ark_Data[Estimated time of arrival],"",0))</f>
        <v>46150</v>
      </c>
      <c r="AZ19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7">
        <f>IFERROR(PV_DATA[[#This Row],[ODP ETA Port]]+PV_DATA[[#This Row],[Customs/Leg3 Assumption]],"n/a")</f>
        <v>46144</v>
      </c>
      <c r="BB190" s="433">
        <f>YEAR(PV_DATA[[#This Row],[ETA for New Ark update]])</f>
        <v>2026</v>
      </c>
      <c r="BC190" s="430">
        <f>MONTH(PV_DATA[[#This Row],[ETA for New Ark update]])</f>
        <v>5</v>
      </c>
      <c r="BD190" s="430">
        <f>IFERROR(_xlfn.ISOWEEKNUM(PV_DATA[[#This Row],[ETA for New Ark update]]),0)</f>
        <v>18</v>
      </c>
      <c r="BE190" s="431">
        <f>_xlfn.XLOOKUP(PV_DATA[[#This Row],[New Ark SKU]],Table9[New Ark SKU],Table9[Total PCS per Pallet],,0)</f>
        <v>36</v>
      </c>
      <c r="BF190" s="431">
        <f>_xlfn.XLOOKUP(PV_DATA[[#This Row],[New Ark SKU]],Table9[New Ark SKU],Table9[Total PCS per 40HQ Container],,0)</f>
        <v>936</v>
      </c>
      <c r="BG190" s="431" t="str">
        <f>_xlfn.XLOOKUP(PV_DATA[[#This Row],[New Ark SKU]],Table9[New Ark SKU],Table9[Back Glass],,0)</f>
        <v>Black glazing</v>
      </c>
      <c r="BH190" s="431" t="str">
        <f>_xlfn.XLOOKUP(PV_DATA[[#This Row],[PORT DESTINATION]],Table12[PORT DESTINATION],Table12[Cosco Line],,0)</f>
        <v>AEU</v>
      </c>
      <c r="BJ190" s="430"/>
    </row>
    <row r="191" spans="1:91" s="431" customFormat="1" ht="10.5">
      <c r="A191" s="462" t="s">
        <v>1011</v>
      </c>
      <c r="B191" s="462" t="s">
        <v>61</v>
      </c>
      <c r="C191" s="462" t="str">
        <f>IFERROR(LEFT(PV_DATA[[#This Row],[TCL REFERENCE]],FIND(".",PV_DATA[[#This Row],[TCL REFERENCE]],1)-1),"Main Line")</f>
        <v>26JAN003</v>
      </c>
      <c r="D191" s="462" t="s">
        <v>63</v>
      </c>
      <c r="E191" s="462" t="s">
        <v>64</v>
      </c>
      <c r="F191" s="462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2" t="s">
        <v>402</v>
      </c>
      <c r="H191" s="462" t="s">
        <v>67</v>
      </c>
      <c r="I191" s="439" t="s">
        <v>68</v>
      </c>
      <c r="J191" s="430" t="s">
        <v>293</v>
      </c>
      <c r="K191" s="430"/>
      <c r="L191" s="430"/>
      <c r="M191" s="430" t="s">
        <v>68</v>
      </c>
      <c r="N191" s="432">
        <v>46055</v>
      </c>
      <c r="O191" s="430" t="s">
        <v>70</v>
      </c>
      <c r="P191" s="430" t="s">
        <v>965</v>
      </c>
      <c r="Q191" s="430" t="s">
        <v>966</v>
      </c>
      <c r="R191" s="431" t="str">
        <f>_xlfn.XLOOKUP(PV_DATA[[#This Row],[New Ark SKU]],Table9[New Ark SKU],Table9[Connector],,0)</f>
        <v>EVO2A</v>
      </c>
      <c r="S191" s="442" t="str">
        <f>_xlfn.XLOOKUP(PV_DATA[[#This Row],[New Ark SKU]],Table9[New Ark SKU],Table9[Cable],,0)</f>
        <v>±1200mm</v>
      </c>
      <c r="T191" s="433">
        <v>455</v>
      </c>
      <c r="U191" s="1088">
        <v>936</v>
      </c>
      <c r="V191" s="434">
        <f>PV_DATA[[#This Row],[QUANTITY]]*PV_DATA[[#This Row],[WATT]]/1000000</f>
        <v>0.42587999999999998</v>
      </c>
      <c r="W191" s="435">
        <f>PV_DATA[[#This Row],[QUANTITY]]/PV_DATA[[#This Row],[Qty/Pallet]]</f>
        <v>26</v>
      </c>
      <c r="X191" s="1040">
        <f>PV_DATA[[#This Row],[QUANTITY]]/PV_DATA[[#This Row],[Qty/CT]]</f>
        <v>1</v>
      </c>
      <c r="Y191" s="430" t="s">
        <v>75</v>
      </c>
      <c r="Z191" s="430" t="str">
        <f t="shared" si="0"/>
        <v>COMPLETED</v>
      </c>
      <c r="AA191" s="430"/>
      <c r="AB191" s="437">
        <v>46055</v>
      </c>
      <c r="AC191" s="438">
        <f>IF(PV_DATA[[#This Row],[Pick- Up Date]]&lt;&gt;"",_xlfn.ISOWEEKNUM(PV_DATA[[#This Row],[Pick- Up Date]]),"")</f>
        <v>6</v>
      </c>
      <c r="AD191" s="439" t="s">
        <v>1012</v>
      </c>
      <c r="AE191" s="430"/>
      <c r="AF191" s="430" t="s">
        <v>77</v>
      </c>
      <c r="AG191" s="430" t="s">
        <v>61</v>
      </c>
      <c r="AH191" s="430" t="s">
        <v>105</v>
      </c>
      <c r="AI191" s="437">
        <v>46066</v>
      </c>
      <c r="AJ191" s="437">
        <v>46065</v>
      </c>
      <c r="AK191" s="441">
        <v>46065</v>
      </c>
      <c r="AL191" s="437">
        <v>46119</v>
      </c>
      <c r="AM191" s="437">
        <v>46141</v>
      </c>
      <c r="AN191" s="437">
        <v>46137</v>
      </c>
      <c r="AO191" s="430" t="s">
        <v>402</v>
      </c>
      <c r="AP191" s="430" t="s">
        <v>771</v>
      </c>
      <c r="AQ191" s="430" t="s">
        <v>80</v>
      </c>
      <c r="AR191" s="430" t="s">
        <v>772</v>
      </c>
      <c r="AS191" s="430" t="s">
        <v>773</v>
      </c>
      <c r="AT191" s="482" t="s">
        <v>773</v>
      </c>
      <c r="AU1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0"/>
      <c r="AW191" s="437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7">
        <f>IF(ISERROR(PV_DATA[[#This Row],[New Ark PO status]]),"",_xlfn.XLOOKUP(PV_DATA[[#This Row],[SPTN-PVHK New Ark PO'#]],New_Ark_Data[Purchase order Number],New_Ark_Data[Estimated time of arrival],"",0))</f>
        <v>46148</v>
      </c>
      <c r="AZ19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7">
        <f>IFERROR(PV_DATA[[#This Row],[ODP ETA Port]]+PV_DATA[[#This Row],[Customs/Leg3 Assumption]],"n/a")</f>
        <v>46144</v>
      </c>
      <c r="BB191" s="433">
        <f>YEAR(PV_DATA[[#This Row],[ETA for New Ark update]])</f>
        <v>2026</v>
      </c>
      <c r="BC191" s="430">
        <f>MONTH(PV_DATA[[#This Row],[ETA for New Ark update]])</f>
        <v>5</v>
      </c>
      <c r="BD191" s="430">
        <f>IFERROR(_xlfn.ISOWEEKNUM(PV_DATA[[#This Row],[ETA for New Ark update]]),0)</f>
        <v>18</v>
      </c>
      <c r="BE191" s="431">
        <f>_xlfn.XLOOKUP(PV_DATA[[#This Row],[New Ark SKU]],Table9[New Ark SKU],Table9[Total PCS per Pallet],,0)</f>
        <v>36</v>
      </c>
      <c r="BF191" s="431">
        <f>_xlfn.XLOOKUP(PV_DATA[[#This Row],[New Ark SKU]],Table9[New Ark SKU],Table9[Total PCS per 40HQ Container],,0)</f>
        <v>936</v>
      </c>
      <c r="BG191" s="431" t="str">
        <f>_xlfn.XLOOKUP(PV_DATA[[#This Row],[New Ark SKU]],Table9[New Ark SKU],Table9[Back Glass],,0)</f>
        <v>Black glazing</v>
      </c>
      <c r="BH191" s="431" t="str">
        <f>_xlfn.XLOOKUP(PV_DATA[[#This Row],[PORT DESTINATION]],Table12[PORT DESTINATION],Table12[Cosco Line],,0)</f>
        <v>AEU</v>
      </c>
    </row>
    <row r="192" spans="1:91" ht="10.5">
      <c r="A192" s="462" t="s">
        <v>1013</v>
      </c>
      <c r="B192" s="462" t="s">
        <v>61</v>
      </c>
      <c r="C192" s="462" t="str">
        <f>IFERROR(LEFT(PV_DATA[[#This Row],[TCL REFERENCE]],FIND(".",PV_DATA[[#This Row],[TCL REFERENCE]],1)-1),"Main Line")</f>
        <v>26JAN003</v>
      </c>
      <c r="D192" s="462" t="s">
        <v>63</v>
      </c>
      <c r="E192" s="462" t="s">
        <v>64</v>
      </c>
      <c r="F192" s="462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2" t="s">
        <v>402</v>
      </c>
      <c r="H192" s="462" t="s">
        <v>67</v>
      </c>
      <c r="I192" s="439" t="s">
        <v>68</v>
      </c>
      <c r="J192" s="430" t="s">
        <v>419</v>
      </c>
      <c r="K192" s="430"/>
      <c r="L192" s="430"/>
      <c r="M192" s="430" t="s">
        <v>68</v>
      </c>
      <c r="N192" s="432">
        <v>46055</v>
      </c>
      <c r="O192" s="430" t="s">
        <v>70</v>
      </c>
      <c r="P192" s="430" t="s">
        <v>965</v>
      </c>
      <c r="Q192" s="430" t="s">
        <v>966</v>
      </c>
      <c r="R192" s="431" t="str">
        <f>_xlfn.XLOOKUP(PV_DATA[[#This Row],[New Ark SKU]],Table9[New Ark SKU],Table9[Connector],,0)</f>
        <v>EVO2A</v>
      </c>
      <c r="S192" s="442" t="str">
        <f>_xlfn.XLOOKUP(PV_DATA[[#This Row],[New Ark SKU]],Table9[New Ark SKU],Table9[Cable],,0)</f>
        <v>±1200mm</v>
      </c>
      <c r="T192" s="433">
        <v>455</v>
      </c>
      <c r="U192" s="1088">
        <f>3*936</f>
        <v>2808</v>
      </c>
      <c r="V192" s="434">
        <f>PV_DATA[[#This Row],[QUANTITY]]*PV_DATA[[#This Row],[WATT]]/1000000</f>
        <v>1.2776400000000001</v>
      </c>
      <c r="W192" s="435">
        <f>PV_DATA[[#This Row],[QUANTITY]]/PV_DATA[[#This Row],[Qty/Pallet]]</f>
        <v>78</v>
      </c>
      <c r="X192" s="1040">
        <f>PV_DATA[[#This Row],[QUANTITY]]/PV_DATA[[#This Row],[Qty/CT]]</f>
        <v>3</v>
      </c>
      <c r="Y192" s="430" t="s">
        <v>75</v>
      </c>
      <c r="Z192" s="430" t="str">
        <f t="shared" si="0"/>
        <v>COMPLETED</v>
      </c>
      <c r="AA192" s="430"/>
      <c r="AB192" s="437">
        <v>46058</v>
      </c>
      <c r="AC192" s="438">
        <f>IF(PV_DATA[[#This Row],[Pick- Up Date]]&lt;&gt;"",_xlfn.ISOWEEKNUM(PV_DATA[[#This Row],[Pick- Up Date]]),"")</f>
        <v>6</v>
      </c>
      <c r="AD192" s="439" t="s">
        <v>1014</v>
      </c>
      <c r="AE192" s="430"/>
      <c r="AF192" s="430" t="s">
        <v>77</v>
      </c>
      <c r="AG192" s="430" t="s">
        <v>61</v>
      </c>
      <c r="AH192" s="430" t="s">
        <v>105</v>
      </c>
      <c r="AI192" s="437">
        <v>46066</v>
      </c>
      <c r="AJ192" s="437">
        <v>46065</v>
      </c>
      <c r="AK192" s="441">
        <v>46065</v>
      </c>
      <c r="AL192" s="437">
        <v>46119</v>
      </c>
      <c r="AM192" s="437">
        <v>46141</v>
      </c>
      <c r="AN192" s="437">
        <v>46137</v>
      </c>
      <c r="AO192" s="430" t="s">
        <v>402</v>
      </c>
      <c r="AP192" s="430" t="s">
        <v>771</v>
      </c>
      <c r="AQ192" s="430" t="s">
        <v>80</v>
      </c>
      <c r="AR192" s="430" t="s">
        <v>803</v>
      </c>
      <c r="AS192" s="430" t="s">
        <v>804</v>
      </c>
      <c r="AT192" s="482" t="s">
        <v>804</v>
      </c>
      <c r="AU1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7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7">
        <f>IF(ISERROR(PV_DATA[[#This Row],[New Ark PO status]]),"",_xlfn.XLOOKUP(PV_DATA[[#This Row],[SPTN-PVHK New Ark PO'#]],New_Ark_Data[Purchase order Number],New_Ark_Data[Estimated time of arrival],"",0))</f>
        <v>46150</v>
      </c>
      <c r="AZ19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7">
        <f>IFERROR(PV_DATA[[#This Row],[ODP ETA Port]]+PV_DATA[[#This Row],[Customs/Leg3 Assumption]],"n/a")</f>
        <v>46144</v>
      </c>
      <c r="BB192" s="433">
        <f>YEAR(PV_DATA[[#This Row],[ETA for New Ark update]])</f>
        <v>2026</v>
      </c>
      <c r="BC192" s="430">
        <f>MONTH(PV_DATA[[#This Row],[ETA for New Ark update]])</f>
        <v>5</v>
      </c>
      <c r="BD192" s="430">
        <f>IFERROR(_xlfn.ISOWEEKNUM(PV_DATA[[#This Row],[ETA for New Ark update]]),0)</f>
        <v>18</v>
      </c>
      <c r="BE192" s="431">
        <f>_xlfn.XLOOKUP(PV_DATA[[#This Row],[New Ark SKU]],Table9[New Ark SKU],Table9[Total PCS per Pallet],,0)</f>
        <v>36</v>
      </c>
      <c r="BF192" s="431">
        <f>_xlfn.XLOOKUP(PV_DATA[[#This Row],[New Ark SKU]],Table9[New Ark SKU],Table9[Total PCS per 40HQ Container],,0)</f>
        <v>936</v>
      </c>
      <c r="BG192" s="431" t="str">
        <f>_xlfn.XLOOKUP(PV_DATA[[#This Row],[New Ark SKU]],Table9[New Ark SKU],Table9[Back Glass],,0)</f>
        <v>Black glazing</v>
      </c>
      <c r="BH192" s="431" t="str">
        <f>_xlfn.XLOOKUP(PV_DATA[[#This Row],[PORT DESTINATION]],Table12[PORT DESTINATION],Table12[Cosco Line],,0)</f>
        <v>AEU</v>
      </c>
      <c r="BJ192" s="430"/>
    </row>
    <row r="193" spans="1:62" ht="10.5">
      <c r="A193" s="462" t="s">
        <v>1015</v>
      </c>
      <c r="B193" s="462" t="s">
        <v>61</v>
      </c>
      <c r="C193" s="462" t="str">
        <f>IFERROR(LEFT(PV_DATA[[#This Row],[TCL REFERENCE]],FIND(".",PV_DATA[[#This Row],[TCL REFERENCE]],1)-1),"Main Line")</f>
        <v>26Feb017</v>
      </c>
      <c r="D193" s="462" t="s">
        <v>63</v>
      </c>
      <c r="E193" s="462" t="s">
        <v>64</v>
      </c>
      <c r="F193" s="462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2" t="s">
        <v>402</v>
      </c>
      <c r="H193" s="462" t="s">
        <v>67</v>
      </c>
      <c r="I193" s="439" t="s">
        <v>68</v>
      </c>
      <c r="J193" s="430" t="s">
        <v>293</v>
      </c>
      <c r="K193" s="430"/>
      <c r="L193" s="430"/>
      <c r="M193" s="430" t="s">
        <v>68</v>
      </c>
      <c r="N193" s="432">
        <v>46055</v>
      </c>
      <c r="O193" s="430" t="s">
        <v>70</v>
      </c>
      <c r="P193" s="430" t="s">
        <v>195</v>
      </c>
      <c r="Q193" s="430" t="s">
        <v>196</v>
      </c>
      <c r="R193" s="431" t="str">
        <f>_xlfn.XLOOKUP(PV_DATA[[#This Row],[New Ark SKU]],Table9[New Ark SKU],Table9[Connector],,0)</f>
        <v>EVO2A</v>
      </c>
      <c r="S193" s="442" t="str">
        <f>_xlfn.XLOOKUP(PV_DATA[[#This Row],[New Ark SKU]],Table9[New Ark SKU],Table9[Cable],,0)</f>
        <v>±1200mm</v>
      </c>
      <c r="T193" s="433">
        <v>450</v>
      </c>
      <c r="U193" s="1088">
        <f>2*936</f>
        <v>1872</v>
      </c>
      <c r="V193" s="434">
        <f>PV_DATA[[#This Row],[QUANTITY]]*PV_DATA[[#This Row],[WATT]]/1000000</f>
        <v>0.84240000000000004</v>
      </c>
      <c r="W193" s="435">
        <f>PV_DATA[[#This Row],[QUANTITY]]/PV_DATA[[#This Row],[Qty/Pallet]]</f>
        <v>52</v>
      </c>
      <c r="X193" s="1040">
        <f>PV_DATA[[#This Row],[QUANTITY]]/PV_DATA[[#This Row],[Qty/CT]]</f>
        <v>2</v>
      </c>
      <c r="Y193" s="430" t="s">
        <v>75</v>
      </c>
      <c r="Z193" s="430" t="str">
        <f t="shared" si="0"/>
        <v>COMPLETED</v>
      </c>
      <c r="AA193" s="430"/>
      <c r="AB193" s="437">
        <v>46059</v>
      </c>
      <c r="AC193" s="438">
        <f>IF(PV_DATA[[#This Row],[Pick- Up Date]]&lt;&gt;"",_xlfn.ISOWEEKNUM(PV_DATA[[#This Row],[Pick- Up Date]]),"")</f>
        <v>6</v>
      </c>
      <c r="AD193" s="439" t="s">
        <v>1017</v>
      </c>
      <c r="AE193" s="430"/>
      <c r="AF193" s="430" t="s">
        <v>77</v>
      </c>
      <c r="AG193" s="430" t="s">
        <v>61</v>
      </c>
      <c r="AH193" s="430" t="s">
        <v>105</v>
      </c>
      <c r="AI193" s="437">
        <v>46066</v>
      </c>
      <c r="AJ193" s="437">
        <v>46065</v>
      </c>
      <c r="AK193" s="441">
        <v>46065</v>
      </c>
      <c r="AL193" s="437">
        <v>46119</v>
      </c>
      <c r="AM193" s="437">
        <v>46141</v>
      </c>
      <c r="AN193" s="437">
        <v>46137</v>
      </c>
      <c r="AO193" s="430" t="s">
        <v>402</v>
      </c>
      <c r="AP193" s="430" t="s">
        <v>771</v>
      </c>
      <c r="AQ193" s="430" t="s">
        <v>80</v>
      </c>
      <c r="AR193" s="430" t="s">
        <v>1018</v>
      </c>
      <c r="AS193" s="430" t="s">
        <v>1019</v>
      </c>
      <c r="AT193" s="482" t="s">
        <v>1019</v>
      </c>
      <c r="AU1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7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7">
        <f>IF(ISERROR(PV_DATA[[#This Row],[New Ark PO status]]),"",_xlfn.XLOOKUP(PV_DATA[[#This Row],[SPTN-PVHK New Ark PO'#]],New_Ark_Data[Purchase order Number],New_Ark_Data[Estimated time of arrival],"",0))</f>
        <v>46150</v>
      </c>
      <c r="AZ19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7">
        <f>IFERROR(PV_DATA[[#This Row],[ODP ETA Port]]+PV_DATA[[#This Row],[Customs/Leg3 Assumption]],"n/a")</f>
        <v>46144</v>
      </c>
      <c r="BB193" s="433">
        <f>YEAR(PV_DATA[[#This Row],[ETA for New Ark update]])</f>
        <v>2026</v>
      </c>
      <c r="BC193" s="430">
        <f>MONTH(PV_DATA[[#This Row],[ETA for New Ark update]])</f>
        <v>5</v>
      </c>
      <c r="BD193" s="430">
        <f>IFERROR(_xlfn.ISOWEEKNUM(PV_DATA[[#This Row],[ETA for New Ark update]]),0)</f>
        <v>18</v>
      </c>
      <c r="BE193" s="431">
        <f>_xlfn.XLOOKUP(PV_DATA[[#This Row],[New Ark SKU]],Table9[New Ark SKU],Table9[Total PCS per Pallet],,0)</f>
        <v>36</v>
      </c>
      <c r="BF193" s="431">
        <f>_xlfn.XLOOKUP(PV_DATA[[#This Row],[New Ark SKU]],Table9[New Ark SKU],Table9[Total PCS per 40HQ Container],,0)</f>
        <v>936</v>
      </c>
      <c r="BG193" s="431" t="str">
        <f>_xlfn.XLOOKUP(PV_DATA[[#This Row],[New Ark SKU]],Table9[New Ark SKU],Table9[Back Glass],,0)</f>
        <v>Black glazing</v>
      </c>
      <c r="BH193" s="431" t="str">
        <f>_xlfn.XLOOKUP(PV_DATA[[#This Row],[PORT DESTINATION]],Table12[PORT DESTINATION],Table12[Cosco Line],,0)</f>
        <v>AEU</v>
      </c>
      <c r="BJ193" s="430"/>
    </row>
    <row r="194" spans="1:62" ht="10.5">
      <c r="A194" s="462" t="s">
        <v>1020</v>
      </c>
      <c r="B194" s="462" t="s">
        <v>61</v>
      </c>
      <c r="C194" s="462" t="str">
        <f>IFERROR(LEFT(PV_DATA[[#This Row],[TCL REFERENCE]],FIND(".",PV_DATA[[#This Row],[TCL REFERENCE]],1)-1),"Main Line")</f>
        <v>26Feb018</v>
      </c>
      <c r="D194" s="462" t="s">
        <v>63</v>
      </c>
      <c r="E194" s="462" t="s">
        <v>64</v>
      </c>
      <c r="F194" s="462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2" t="s">
        <v>402</v>
      </c>
      <c r="H194" s="462" t="s">
        <v>67</v>
      </c>
      <c r="I194" s="439" t="s">
        <v>68</v>
      </c>
      <c r="J194" s="430" t="s">
        <v>293</v>
      </c>
      <c r="K194" s="430"/>
      <c r="L194" s="430"/>
      <c r="M194" s="430" t="s">
        <v>68</v>
      </c>
      <c r="N194" s="432">
        <v>46055</v>
      </c>
      <c r="O194" s="430" t="s">
        <v>70</v>
      </c>
      <c r="P194" s="430" t="s">
        <v>965</v>
      </c>
      <c r="Q194" s="430" t="s">
        <v>966</v>
      </c>
      <c r="R194" s="431" t="str">
        <f>_xlfn.XLOOKUP(PV_DATA[[#This Row],[New Ark SKU]],Table9[New Ark SKU],Table9[Connector],,0)</f>
        <v>EVO2A</v>
      </c>
      <c r="S194" s="442" t="str">
        <f>_xlfn.XLOOKUP(PV_DATA[[#This Row],[New Ark SKU]],Table9[New Ark SKU],Table9[Cable],,0)</f>
        <v>±1200mm</v>
      </c>
      <c r="T194" s="433">
        <v>455</v>
      </c>
      <c r="U194" s="1088">
        <f>8*936</f>
        <v>7488</v>
      </c>
      <c r="V194" s="434">
        <f>PV_DATA[[#This Row],[QUANTITY]]*PV_DATA[[#This Row],[WATT]]/1000000</f>
        <v>3.4070399999999998</v>
      </c>
      <c r="W194" s="435">
        <f>PV_DATA[[#This Row],[QUANTITY]]/PV_DATA[[#This Row],[Qty/Pallet]]</f>
        <v>208</v>
      </c>
      <c r="X194" s="1040">
        <f>PV_DATA[[#This Row],[QUANTITY]]/PV_DATA[[#This Row],[Qty/CT]]</f>
        <v>8</v>
      </c>
      <c r="Y194" s="430" t="s">
        <v>75</v>
      </c>
      <c r="Z194" s="430" t="str">
        <f t="shared" si="0"/>
        <v>COMPLETED</v>
      </c>
      <c r="AA194" s="430"/>
      <c r="AB194" s="437">
        <v>46059</v>
      </c>
      <c r="AC194" s="438">
        <f>IF(PV_DATA[[#This Row],[Pick- Up Date]]&lt;&gt;"",_xlfn.ISOWEEKNUM(PV_DATA[[#This Row],[Pick- Up Date]]),"")</f>
        <v>6</v>
      </c>
      <c r="AD194" s="439" t="s">
        <v>1022</v>
      </c>
      <c r="AE194" s="430"/>
      <c r="AF194" s="430" t="s">
        <v>77</v>
      </c>
      <c r="AG194" s="430" t="s">
        <v>61</v>
      </c>
      <c r="AH194" s="430" t="s">
        <v>105</v>
      </c>
      <c r="AI194" s="437">
        <v>46066</v>
      </c>
      <c r="AJ194" s="437">
        <v>46065</v>
      </c>
      <c r="AK194" s="441">
        <v>46065</v>
      </c>
      <c r="AL194" s="437">
        <v>46119</v>
      </c>
      <c r="AM194" s="437">
        <v>46141</v>
      </c>
      <c r="AN194" s="437">
        <v>46137</v>
      </c>
      <c r="AO194" s="430" t="s">
        <v>402</v>
      </c>
      <c r="AP194" s="430" t="s">
        <v>771</v>
      </c>
      <c r="AQ194" s="430" t="s">
        <v>80</v>
      </c>
      <c r="AR194" s="430" t="s">
        <v>1018</v>
      </c>
      <c r="AS194" s="430" t="s">
        <v>1019</v>
      </c>
      <c r="AT194" s="482" t="s">
        <v>1019</v>
      </c>
      <c r="AU1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7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7">
        <f>IF(ISERROR(PV_DATA[[#This Row],[New Ark PO status]]),"",_xlfn.XLOOKUP(PV_DATA[[#This Row],[SPTN-PVHK New Ark PO'#]],New_Ark_Data[Purchase order Number],New_Ark_Data[Estimated time of arrival],"",0))</f>
        <v>46150</v>
      </c>
      <c r="AZ1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7">
        <f>IFERROR(PV_DATA[[#This Row],[ODP ETA Port]]+PV_DATA[[#This Row],[Customs/Leg3 Assumption]],"n/a")</f>
        <v>46144</v>
      </c>
      <c r="BB194" s="433">
        <f>YEAR(PV_DATA[[#This Row],[ETA for New Ark update]])</f>
        <v>2026</v>
      </c>
      <c r="BC194" s="430">
        <f>MONTH(PV_DATA[[#This Row],[ETA for New Ark update]])</f>
        <v>5</v>
      </c>
      <c r="BD194" s="430">
        <f>IFERROR(_xlfn.ISOWEEKNUM(PV_DATA[[#This Row],[ETA for New Ark update]]),0)</f>
        <v>18</v>
      </c>
      <c r="BE194" s="431">
        <f>_xlfn.XLOOKUP(PV_DATA[[#This Row],[New Ark SKU]],Table9[New Ark SKU],Table9[Total PCS per Pallet],,0)</f>
        <v>36</v>
      </c>
      <c r="BF194" s="431">
        <f>_xlfn.XLOOKUP(PV_DATA[[#This Row],[New Ark SKU]],Table9[New Ark SKU],Table9[Total PCS per 40HQ Container],,0)</f>
        <v>936</v>
      </c>
      <c r="BG194" s="431" t="str">
        <f>_xlfn.XLOOKUP(PV_DATA[[#This Row],[New Ark SKU]],Table9[New Ark SKU],Table9[Back Glass],,0)</f>
        <v>Black glazing</v>
      </c>
      <c r="BH194" s="431" t="str">
        <f>_xlfn.XLOOKUP(PV_DATA[[#This Row],[PORT DESTINATION]],Table12[PORT DESTINATION],Table12[Cosco Line],,0)</f>
        <v>AEU</v>
      </c>
      <c r="BJ194" s="430"/>
    </row>
    <row r="195" spans="1:62" ht="10.5">
      <c r="A195" s="462" t="s">
        <v>1023</v>
      </c>
      <c r="B195" s="462" t="s">
        <v>61</v>
      </c>
      <c r="C195" s="462" t="str">
        <f>IFERROR(LEFT(PV_DATA[[#This Row],[TCL REFERENCE]],FIND(".",PV_DATA[[#This Row],[TCL REFERENCE]],1)-1),"Main Line")</f>
        <v>26Feb018</v>
      </c>
      <c r="D195" s="462" t="s">
        <v>63</v>
      </c>
      <c r="E195" s="462" t="s">
        <v>64</v>
      </c>
      <c r="F195" s="462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2" t="s">
        <v>402</v>
      </c>
      <c r="H195" s="462" t="s">
        <v>67</v>
      </c>
      <c r="I195" s="439" t="s">
        <v>68</v>
      </c>
      <c r="J195" s="430" t="s">
        <v>1024</v>
      </c>
      <c r="K195" s="430"/>
      <c r="L195" s="430"/>
      <c r="M195" s="430" t="s">
        <v>68</v>
      </c>
      <c r="N195" s="432">
        <v>46055</v>
      </c>
      <c r="O195" s="430" t="s">
        <v>70</v>
      </c>
      <c r="P195" s="430" t="s">
        <v>965</v>
      </c>
      <c r="Q195" s="430" t="s">
        <v>966</v>
      </c>
      <c r="R195" s="431" t="str">
        <f>_xlfn.XLOOKUP(PV_DATA[[#This Row],[New Ark SKU]],Table9[New Ark SKU],Table9[Connector],,0)</f>
        <v>EVO2A</v>
      </c>
      <c r="S195" s="442" t="str">
        <f>_xlfn.XLOOKUP(PV_DATA[[#This Row],[New Ark SKU]],Table9[New Ark SKU],Table9[Cable],,0)</f>
        <v>±1200mm</v>
      </c>
      <c r="T195" s="433">
        <v>455</v>
      </c>
      <c r="U195" s="1088">
        <f>936*4</f>
        <v>3744</v>
      </c>
      <c r="V195" s="434">
        <f>PV_DATA[[#This Row],[QUANTITY]]*PV_DATA[[#This Row],[WATT]]/1000000</f>
        <v>1.7035199999999999</v>
      </c>
      <c r="W195" s="435">
        <f>PV_DATA[[#This Row],[QUANTITY]]/PV_DATA[[#This Row],[Qty/Pallet]]</f>
        <v>104</v>
      </c>
      <c r="X195" s="1040">
        <f>PV_DATA[[#This Row],[QUANTITY]]/PV_DATA[[#This Row],[Qty/CT]]</f>
        <v>4</v>
      </c>
      <c r="Y195" s="430" t="s">
        <v>75</v>
      </c>
      <c r="Z195" s="430" t="str">
        <f t="shared" si="0"/>
        <v>COMPLETED</v>
      </c>
      <c r="AA195" s="430"/>
      <c r="AB195" s="437">
        <v>46060</v>
      </c>
      <c r="AC195" s="438">
        <f>IF(PV_DATA[[#This Row],[Pick- Up Date]]&lt;&gt;"",_xlfn.ISOWEEKNUM(PV_DATA[[#This Row],[Pick- Up Date]]),"")</f>
        <v>6</v>
      </c>
      <c r="AD195" s="439" t="s">
        <v>1025</v>
      </c>
      <c r="AE195" s="430"/>
      <c r="AF195" s="430" t="s">
        <v>77</v>
      </c>
      <c r="AG195" s="430" t="s">
        <v>61</v>
      </c>
      <c r="AH195" s="430" t="s">
        <v>105</v>
      </c>
      <c r="AI195" s="437">
        <v>46066</v>
      </c>
      <c r="AJ195" s="437">
        <v>46065</v>
      </c>
      <c r="AK195" s="441">
        <v>46065</v>
      </c>
      <c r="AL195" s="437">
        <v>46119</v>
      </c>
      <c r="AM195" s="437">
        <v>46141</v>
      </c>
      <c r="AN195" s="437">
        <v>46137</v>
      </c>
      <c r="AO195" s="430" t="s">
        <v>402</v>
      </c>
      <c r="AP195" s="430" t="s">
        <v>771</v>
      </c>
      <c r="AQ195" s="430" t="s">
        <v>80</v>
      </c>
      <c r="AR195" s="430" t="s">
        <v>809</v>
      </c>
      <c r="AS195" s="430" t="s">
        <v>810</v>
      </c>
      <c r="AT195" s="482" t="s">
        <v>810</v>
      </c>
      <c r="AU1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7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7">
        <f>IF(ISERROR(PV_DATA[[#This Row],[New Ark PO status]]),"",_xlfn.XLOOKUP(PV_DATA[[#This Row],[SPTN-PVHK New Ark PO'#]],New_Ark_Data[Purchase order Number],New_Ark_Data[Estimated time of arrival],"",0))</f>
        <v>46150</v>
      </c>
      <c r="AZ1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7">
        <f>IFERROR(PV_DATA[[#This Row],[ODP ETA Port]]+PV_DATA[[#This Row],[Customs/Leg3 Assumption]],"n/a")</f>
        <v>46144</v>
      </c>
      <c r="BB195" s="433">
        <f>YEAR(PV_DATA[[#This Row],[ETA for New Ark update]])</f>
        <v>2026</v>
      </c>
      <c r="BC195" s="430">
        <f>MONTH(PV_DATA[[#This Row],[ETA for New Ark update]])</f>
        <v>5</v>
      </c>
      <c r="BD195" s="430">
        <f>IFERROR(_xlfn.ISOWEEKNUM(PV_DATA[[#This Row],[ETA for New Ark update]]),0)</f>
        <v>18</v>
      </c>
      <c r="BE195" s="431">
        <f>_xlfn.XLOOKUP(PV_DATA[[#This Row],[New Ark SKU]],Table9[New Ark SKU],Table9[Total PCS per Pallet],,0)</f>
        <v>36</v>
      </c>
      <c r="BF195" s="431">
        <f>_xlfn.XLOOKUP(PV_DATA[[#This Row],[New Ark SKU]],Table9[New Ark SKU],Table9[Total PCS per 40HQ Container],,0)</f>
        <v>936</v>
      </c>
      <c r="BG195" s="431" t="str">
        <f>_xlfn.XLOOKUP(PV_DATA[[#This Row],[New Ark SKU]],Table9[New Ark SKU],Table9[Back Glass],,0)</f>
        <v>Black glazing</v>
      </c>
      <c r="BH195" s="431" t="str">
        <f>_xlfn.XLOOKUP(PV_DATA[[#This Row],[PORT DESTINATION]],Table12[PORT DESTINATION],Table12[Cosco Line],,0)</f>
        <v>AEU</v>
      </c>
      <c r="BJ195" s="430"/>
    </row>
    <row r="196" spans="1:62" ht="10.5">
      <c r="A196" s="462" t="s">
        <v>1026</v>
      </c>
      <c r="B196" s="462" t="s">
        <v>61</v>
      </c>
      <c r="C196" s="462" t="str">
        <f>IFERROR(LEFT(PV_DATA[[#This Row],[TCL REFERENCE]],FIND(".",PV_DATA[[#This Row],[TCL REFERENCE]],1)-1),"Main Line")</f>
        <v>26Feb018</v>
      </c>
      <c r="D196" s="462" t="s">
        <v>63</v>
      </c>
      <c r="E196" s="462" t="s">
        <v>64</v>
      </c>
      <c r="F196" s="462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2" t="s">
        <v>402</v>
      </c>
      <c r="H196" s="462" t="s">
        <v>67</v>
      </c>
      <c r="I196" s="439" t="s">
        <v>68</v>
      </c>
      <c r="J196" s="430" t="s">
        <v>419</v>
      </c>
      <c r="K196" s="430"/>
      <c r="L196" s="430"/>
      <c r="M196" s="430" t="s">
        <v>68</v>
      </c>
      <c r="N196" s="432">
        <v>46055</v>
      </c>
      <c r="O196" s="430" t="s">
        <v>70</v>
      </c>
      <c r="P196" s="430" t="s">
        <v>965</v>
      </c>
      <c r="Q196" s="430" t="s">
        <v>966</v>
      </c>
      <c r="R196" s="431" t="str">
        <f>_xlfn.XLOOKUP(PV_DATA[[#This Row],[New Ark SKU]],Table9[New Ark SKU],Table9[Connector],,0)</f>
        <v>EVO2A</v>
      </c>
      <c r="S196" s="442" t="str">
        <f>_xlfn.XLOOKUP(PV_DATA[[#This Row],[New Ark SKU]],Table9[New Ark SKU],Table9[Cable],,0)</f>
        <v>±1200mm</v>
      </c>
      <c r="T196" s="433">
        <v>455</v>
      </c>
      <c r="U196" s="1088">
        <f>936*4</f>
        <v>3744</v>
      </c>
      <c r="V196" s="434">
        <f>PV_DATA[[#This Row],[QUANTITY]]*PV_DATA[[#This Row],[WATT]]/1000000</f>
        <v>1.7035199999999999</v>
      </c>
      <c r="W196" s="435">
        <f>PV_DATA[[#This Row],[QUANTITY]]/PV_DATA[[#This Row],[Qty/Pallet]]</f>
        <v>104</v>
      </c>
      <c r="X196" s="1040">
        <f>PV_DATA[[#This Row],[QUANTITY]]/PV_DATA[[#This Row],[Qty/CT]]</f>
        <v>4</v>
      </c>
      <c r="Y196" s="430" t="s">
        <v>75</v>
      </c>
      <c r="Z196" s="430" t="str">
        <f t="shared" si="0"/>
        <v>COMPLETED</v>
      </c>
      <c r="AA196" s="430"/>
      <c r="AB196" s="437">
        <v>46060</v>
      </c>
      <c r="AC196" s="438">
        <f>IF(PV_DATA[[#This Row],[Pick- Up Date]]&lt;&gt;"",_xlfn.ISOWEEKNUM(PV_DATA[[#This Row],[Pick- Up Date]]),"")</f>
        <v>6</v>
      </c>
      <c r="AD196" s="439" t="s">
        <v>1027</v>
      </c>
      <c r="AE196" s="430"/>
      <c r="AF196" s="430" t="s">
        <v>77</v>
      </c>
      <c r="AG196" s="430" t="s">
        <v>61</v>
      </c>
      <c r="AH196" s="430" t="s">
        <v>105</v>
      </c>
      <c r="AI196" s="437">
        <v>46066</v>
      </c>
      <c r="AJ196" s="437">
        <v>46065</v>
      </c>
      <c r="AK196" s="441">
        <v>46065</v>
      </c>
      <c r="AL196" s="437">
        <v>46119</v>
      </c>
      <c r="AM196" s="437">
        <v>46141</v>
      </c>
      <c r="AN196" s="437">
        <v>46137</v>
      </c>
      <c r="AO196" s="430" t="s">
        <v>402</v>
      </c>
      <c r="AP196" s="430" t="s">
        <v>771</v>
      </c>
      <c r="AQ196" s="430" t="s">
        <v>80</v>
      </c>
      <c r="AR196" s="430" t="s">
        <v>809</v>
      </c>
      <c r="AS196" s="430" t="s">
        <v>810</v>
      </c>
      <c r="AT196" s="482" t="s">
        <v>810</v>
      </c>
      <c r="AU1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7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7">
        <f>IF(ISERROR(PV_DATA[[#This Row],[New Ark PO status]]),"",_xlfn.XLOOKUP(PV_DATA[[#This Row],[SPTN-PVHK New Ark PO'#]],New_Ark_Data[Purchase order Number],New_Ark_Data[Estimated time of arrival],"",0))</f>
        <v>46150</v>
      </c>
      <c r="AZ1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7">
        <f>IFERROR(PV_DATA[[#This Row],[ODP ETA Port]]+PV_DATA[[#This Row],[Customs/Leg3 Assumption]],"n/a")</f>
        <v>46144</v>
      </c>
      <c r="BB196" s="433">
        <f>YEAR(PV_DATA[[#This Row],[ETA for New Ark update]])</f>
        <v>2026</v>
      </c>
      <c r="BC196" s="430">
        <f>MONTH(PV_DATA[[#This Row],[ETA for New Ark update]])</f>
        <v>5</v>
      </c>
      <c r="BD196" s="430">
        <f>IFERROR(_xlfn.ISOWEEKNUM(PV_DATA[[#This Row],[ETA for New Ark update]]),0)</f>
        <v>18</v>
      </c>
      <c r="BE196" s="431">
        <f>_xlfn.XLOOKUP(PV_DATA[[#This Row],[New Ark SKU]],Table9[New Ark SKU],Table9[Total PCS per Pallet],,0)</f>
        <v>36</v>
      </c>
      <c r="BF196" s="431">
        <f>_xlfn.XLOOKUP(PV_DATA[[#This Row],[New Ark SKU]],Table9[New Ark SKU],Table9[Total PCS per 40HQ Container],,0)</f>
        <v>936</v>
      </c>
      <c r="BG196" s="431" t="str">
        <f>_xlfn.XLOOKUP(PV_DATA[[#This Row],[New Ark SKU]],Table9[New Ark SKU],Table9[Back Glass],,0)</f>
        <v>Black glazing</v>
      </c>
      <c r="BH196" s="431" t="str">
        <f>_xlfn.XLOOKUP(PV_DATA[[#This Row],[PORT DESTINATION]],Table12[PORT DESTINATION],Table12[Cosco Line],,0)</f>
        <v>AEU</v>
      </c>
      <c r="BJ196" s="430"/>
    </row>
    <row r="197" spans="1:62" ht="10.5">
      <c r="A197" s="462" t="s">
        <v>1028</v>
      </c>
      <c r="B197" s="462" t="s">
        <v>111</v>
      </c>
      <c r="C197" s="462" t="str">
        <f>IFERROR(LEFT(PV_DATA[[#This Row],[TCL REFERENCE]],FIND(".",PV_DATA[[#This Row],[TCL REFERENCE]],1)-1),"Main Line")</f>
        <v>Main Line</v>
      </c>
      <c r="D197" s="462" t="s">
        <v>63</v>
      </c>
      <c r="E197" s="462" t="s">
        <v>144</v>
      </c>
      <c r="F197" s="462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2" t="s">
        <v>402</v>
      </c>
      <c r="H197" s="462" t="s">
        <v>1029</v>
      </c>
      <c r="I197" s="439" t="s">
        <v>882</v>
      </c>
      <c r="J197" s="430" t="s">
        <v>1030</v>
      </c>
      <c r="K197" s="430" t="s">
        <v>1031</v>
      </c>
      <c r="L197" s="430"/>
      <c r="M197" s="430" t="s">
        <v>840</v>
      </c>
      <c r="N197" s="432">
        <v>46045</v>
      </c>
      <c r="O197" s="430" t="s">
        <v>1032</v>
      </c>
      <c r="P197" s="430" t="s">
        <v>1033</v>
      </c>
      <c r="Q197" s="430" t="s">
        <v>886</v>
      </c>
      <c r="R197" s="431" t="str">
        <f>_xlfn.XLOOKUP(PV_DATA[[#This Row],[New Ark SKU]],Table9[New Ark SKU],Table9[Connector],,0)</f>
        <v>EVO2A</v>
      </c>
      <c r="S197" s="442" t="str">
        <f>_xlfn.XLOOKUP(PV_DATA[[#This Row],[New Ark SKU]],Table9[New Ark SKU],Table9[Cable],,0)</f>
        <v>±1400mm</v>
      </c>
      <c r="T197" s="433">
        <v>615</v>
      </c>
      <c r="U197" s="1088">
        <v>468</v>
      </c>
      <c r="V197" s="434">
        <f>PV_DATA[[#This Row],[QUANTITY]]*PV_DATA[[#This Row],[WATT]]/1000000</f>
        <v>0.28782000000000002</v>
      </c>
      <c r="W197" s="435">
        <f>PV_DATA[[#This Row],[QUANTITY]]/PV_DATA[[#This Row],[Qty/Pallet]]</f>
        <v>13</v>
      </c>
      <c r="X197" s="1040">
        <f>PV_DATA[[#This Row],[QUANTITY]]/PV_DATA[[#This Row],[Qty/CT]]</f>
        <v>0.65</v>
      </c>
      <c r="Y197" s="430" t="s">
        <v>75</v>
      </c>
      <c r="Z197" s="430" t="str">
        <f t="shared" si="0"/>
        <v>COMPLETED</v>
      </c>
      <c r="AA197" s="430"/>
      <c r="AB197" s="437">
        <v>46060</v>
      </c>
      <c r="AC197" s="438">
        <f>IF(PV_DATA[[#This Row],[Pick- Up Date]]&lt;&gt;"",_xlfn.ISOWEEKNUM(PV_DATA[[#This Row],[Pick- Up Date]]),"")</f>
        <v>6</v>
      </c>
      <c r="AD197" s="439" t="s">
        <v>1034</v>
      </c>
      <c r="AE197" s="430"/>
      <c r="AF197" s="430" t="s">
        <v>122</v>
      </c>
      <c r="AG197" s="430" t="s">
        <v>123</v>
      </c>
      <c r="AH197" s="430" t="s">
        <v>888</v>
      </c>
      <c r="AI197" s="437">
        <v>46070</v>
      </c>
      <c r="AJ197" s="437">
        <v>46071</v>
      </c>
      <c r="AK197" s="441">
        <v>46071</v>
      </c>
      <c r="AL197" s="437">
        <v>46120</v>
      </c>
      <c r="AM197" s="437">
        <v>46126</v>
      </c>
      <c r="AN197" s="437">
        <v>46125</v>
      </c>
      <c r="AO197" s="430" t="s">
        <v>402</v>
      </c>
      <c r="AP197" s="430" t="s">
        <v>1035</v>
      </c>
      <c r="AQ197" s="430" t="s">
        <v>80</v>
      </c>
      <c r="AR197" s="430" t="s">
        <v>1036</v>
      </c>
      <c r="AS197" s="430" t="s">
        <v>1037</v>
      </c>
      <c r="AT197" s="482" t="s">
        <v>1037</v>
      </c>
      <c r="AU1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7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7">
        <f>IF(ISERROR(PV_DATA[[#This Row],[New Ark PO status]]),"",_xlfn.XLOOKUP(PV_DATA[[#This Row],[SPTN-PVHK New Ark PO'#]],New_Ark_Data[Purchase order Number],New_Ark_Data[Estimated time of arrival],"",0))</f>
        <v>46134</v>
      </c>
      <c r="AZ1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7">
        <f>IFERROR(PV_DATA[[#This Row],[ODP ETA Port]]+PV_DATA[[#This Row],[Customs/Leg3 Assumption]],"n/a")</f>
        <v>46125</v>
      </c>
      <c r="BB197" s="433">
        <f>YEAR(PV_DATA[[#This Row],[ETA for New Ark update]])</f>
        <v>2026</v>
      </c>
      <c r="BC197" s="430">
        <f>MONTH(PV_DATA[[#This Row],[ETA for New Ark update]])</f>
        <v>4</v>
      </c>
      <c r="BD197" s="430">
        <f>IFERROR(_xlfn.ISOWEEKNUM(PV_DATA[[#This Row],[ETA for New Ark update]]),0)</f>
        <v>16</v>
      </c>
      <c r="BE197" s="431">
        <f>_xlfn.XLOOKUP(PV_DATA[[#This Row],[New Ark SKU]],Table9[New Ark SKU],Table9[Total PCS per Pallet],,0)</f>
        <v>36</v>
      </c>
      <c r="BF197" s="431">
        <f>_xlfn.XLOOKUP(PV_DATA[[#This Row],[New Ark SKU]],Table9[New Ark SKU],Table9[Total PCS per 40HQ Container],,0)</f>
        <v>720</v>
      </c>
      <c r="BG197" s="431" t="str">
        <f>_xlfn.XLOOKUP(PV_DATA[[#This Row],[New Ark SKU]],Table9[New Ark SKU],Table9[Back Glass],,0)</f>
        <v>White glazing</v>
      </c>
      <c r="BH197" s="431" t="str">
        <f>_xlfn.XLOOKUP(PV_DATA[[#This Row],[PORT DESTINATION]],Table12[PORT DESTINATION],Table12[Cosco Line],,0)</f>
        <v>AEU</v>
      </c>
      <c r="BJ197" s="430"/>
    </row>
    <row r="198" spans="1:62" ht="10.5">
      <c r="A198" s="462" t="s">
        <v>1038</v>
      </c>
      <c r="B198" s="462" t="s">
        <v>111</v>
      </c>
      <c r="C198" s="462" t="str">
        <f>IFERROR(LEFT(PV_DATA[[#This Row],[TCL REFERENCE]],FIND(".",PV_DATA[[#This Row],[TCL REFERENCE]],1)-1),"Main Line")</f>
        <v>Main Line</v>
      </c>
      <c r="D198" s="462" t="s">
        <v>63</v>
      </c>
      <c r="E198" s="462" t="s">
        <v>144</v>
      </c>
      <c r="F198" s="462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2" t="s">
        <v>402</v>
      </c>
      <c r="H198" s="462" t="s">
        <v>1029</v>
      </c>
      <c r="I198" s="439" t="s">
        <v>882</v>
      </c>
      <c r="J198" s="430" t="s">
        <v>1030</v>
      </c>
      <c r="K198" s="430" t="s">
        <v>1031</v>
      </c>
      <c r="L198" s="430"/>
      <c r="M198" s="430" t="s">
        <v>840</v>
      </c>
      <c r="N198" s="432">
        <v>46045</v>
      </c>
      <c r="O198" s="430" t="s">
        <v>1032</v>
      </c>
      <c r="P198" s="430" t="s">
        <v>943</v>
      </c>
      <c r="Q198" s="430" t="s">
        <v>886</v>
      </c>
      <c r="R198" s="431" t="str">
        <f>_xlfn.XLOOKUP(PV_DATA[[#This Row],[New Ark SKU]],Table9[New Ark SKU],Table9[Connector],,0)</f>
        <v>EVO2A</v>
      </c>
      <c r="S198" s="442" t="str">
        <f>_xlfn.XLOOKUP(PV_DATA[[#This Row],[New Ark SKU]],Table9[New Ark SKU],Table9[Cable],,0)</f>
        <v>±1200mm</v>
      </c>
      <c r="T198" s="433">
        <v>615</v>
      </c>
      <c r="U198" s="1088">
        <v>684</v>
      </c>
      <c r="V198" s="434">
        <f>PV_DATA[[#This Row],[QUANTITY]]*PV_DATA[[#This Row],[WATT]]/1000000</f>
        <v>0.42065999999999998</v>
      </c>
      <c r="W198" s="435">
        <f>PV_DATA[[#This Row],[QUANTITY]]/PV_DATA[[#This Row],[Qty/Pallet]]</f>
        <v>19</v>
      </c>
      <c r="X198" s="1040">
        <f>PV_DATA[[#This Row],[QUANTITY]]/PV_DATA[[#This Row],[Qty/CT]]</f>
        <v>0.95</v>
      </c>
      <c r="Y198" s="430" t="s">
        <v>75</v>
      </c>
      <c r="Z198" s="430" t="str">
        <f t="shared" si="0"/>
        <v>COMPLETED</v>
      </c>
      <c r="AA198" s="430"/>
      <c r="AB198" s="437">
        <v>46060</v>
      </c>
      <c r="AC198" s="438">
        <f>IF(PV_DATA[[#This Row],[Pick- Up Date]]&lt;&gt;"",_xlfn.ISOWEEKNUM(PV_DATA[[#This Row],[Pick- Up Date]]),"")</f>
        <v>6</v>
      </c>
      <c r="AD198" s="439" t="s">
        <v>1039</v>
      </c>
      <c r="AE198" s="430"/>
      <c r="AF198" s="430" t="s">
        <v>122</v>
      </c>
      <c r="AG198" s="430" t="s">
        <v>123</v>
      </c>
      <c r="AH198" s="430" t="s">
        <v>888</v>
      </c>
      <c r="AI198" s="437">
        <v>46070</v>
      </c>
      <c r="AJ198" s="437">
        <v>46071</v>
      </c>
      <c r="AK198" s="441">
        <v>46071</v>
      </c>
      <c r="AL198" s="437">
        <v>46120</v>
      </c>
      <c r="AM198" s="437">
        <v>46126</v>
      </c>
      <c r="AN198" s="437">
        <v>46125</v>
      </c>
      <c r="AO198" s="430" t="s">
        <v>402</v>
      </c>
      <c r="AP198" s="430" t="s">
        <v>1035</v>
      </c>
      <c r="AQ198" s="430" t="s">
        <v>80</v>
      </c>
      <c r="AR198" s="430" t="s">
        <v>1036</v>
      </c>
      <c r="AS198" s="430" t="s">
        <v>1037</v>
      </c>
      <c r="AT198" s="482" t="s">
        <v>1037</v>
      </c>
      <c r="AU1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7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7">
        <f>IF(ISERROR(PV_DATA[[#This Row],[New Ark PO status]]),"",_xlfn.XLOOKUP(PV_DATA[[#This Row],[SPTN-PVHK New Ark PO'#]],New_Ark_Data[Purchase order Number],New_Ark_Data[Estimated time of arrival],"",0))</f>
        <v>46134</v>
      </c>
      <c r="AZ1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7">
        <f>IFERROR(PV_DATA[[#This Row],[ODP ETA Port]]+PV_DATA[[#This Row],[Customs/Leg3 Assumption]],"n/a")</f>
        <v>46125</v>
      </c>
      <c r="BB198" s="433">
        <f>YEAR(PV_DATA[[#This Row],[ETA for New Ark update]])</f>
        <v>2026</v>
      </c>
      <c r="BC198" s="430">
        <f>MONTH(PV_DATA[[#This Row],[ETA for New Ark update]])</f>
        <v>4</v>
      </c>
      <c r="BD198" s="430">
        <f>IFERROR(_xlfn.ISOWEEKNUM(PV_DATA[[#This Row],[ETA for New Ark update]]),0)</f>
        <v>16</v>
      </c>
      <c r="BE198" s="431">
        <f>_xlfn.XLOOKUP(PV_DATA[[#This Row],[New Ark SKU]],Table9[New Ark SKU],Table9[Total PCS per Pallet],,0)</f>
        <v>36</v>
      </c>
      <c r="BF198" s="431">
        <f>_xlfn.XLOOKUP(PV_DATA[[#This Row],[New Ark SKU]],Table9[New Ark SKU],Table9[Total PCS per 40HQ Container],,0)</f>
        <v>720</v>
      </c>
      <c r="BG198" s="431" t="str">
        <f>_xlfn.XLOOKUP(PV_DATA[[#This Row],[New Ark SKU]],Table9[New Ark SKU],Table9[Back Glass],,0)</f>
        <v>White glazing</v>
      </c>
      <c r="BH198" s="431" t="str">
        <f>_xlfn.XLOOKUP(PV_DATA[[#This Row],[PORT DESTINATION]],Table12[PORT DESTINATION],Table12[Cosco Line],,0)</f>
        <v>AEU</v>
      </c>
      <c r="BJ198" s="430"/>
    </row>
    <row r="199" spans="1:62" ht="10.5">
      <c r="A199" s="462" t="s">
        <v>1040</v>
      </c>
      <c r="B199" s="462" t="s">
        <v>111</v>
      </c>
      <c r="C199" s="462" t="str">
        <f>IFERROR(LEFT(PV_DATA[[#This Row],[TCL REFERENCE]],FIND(".",PV_DATA[[#This Row],[TCL REFERENCE]],1)-1),"Main Line")</f>
        <v>Main Line</v>
      </c>
      <c r="D199" s="462" t="s">
        <v>63</v>
      </c>
      <c r="E199" s="462" t="s">
        <v>144</v>
      </c>
      <c r="F199" s="462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2" t="s">
        <v>402</v>
      </c>
      <c r="H199" s="462" t="s">
        <v>1029</v>
      </c>
      <c r="I199" s="439" t="s">
        <v>882</v>
      </c>
      <c r="J199" s="430" t="s">
        <v>1030</v>
      </c>
      <c r="K199" s="430" t="s">
        <v>1031</v>
      </c>
      <c r="L199" s="430"/>
      <c r="M199" s="430" t="s">
        <v>840</v>
      </c>
      <c r="N199" s="432">
        <v>46045</v>
      </c>
      <c r="O199" s="430" t="s">
        <v>1032</v>
      </c>
      <c r="P199" s="430" t="s">
        <v>102</v>
      </c>
      <c r="Q199" s="430" t="s">
        <v>103</v>
      </c>
      <c r="R199" s="431" t="str">
        <f>_xlfn.XLOOKUP(PV_DATA[[#This Row],[New Ark SKU]],Table9[New Ark SKU],Table9[Connector],,0)</f>
        <v>EVO2A</v>
      </c>
      <c r="S199" s="442" t="str">
        <f>_xlfn.XLOOKUP(PV_DATA[[#This Row],[New Ark SKU]],Table9[New Ark SKU],Table9[Cable],,0)</f>
        <v>±1200mm</v>
      </c>
      <c r="T199" s="433">
        <v>620</v>
      </c>
      <c r="U199" s="1088">
        <v>1584</v>
      </c>
      <c r="V199" s="434">
        <f>PV_DATA[[#This Row],[QUANTITY]]*PV_DATA[[#This Row],[WATT]]/1000000</f>
        <v>0.98207999999999995</v>
      </c>
      <c r="W199" s="435">
        <f>PV_DATA[[#This Row],[QUANTITY]]/PV_DATA[[#This Row],[Qty/Pallet]]</f>
        <v>44</v>
      </c>
      <c r="X199" s="1040">
        <f>PV_DATA[[#This Row],[QUANTITY]]/PV_DATA[[#This Row],[Qty/CT]]</f>
        <v>2.2000000000000002</v>
      </c>
      <c r="Y199" s="430" t="s">
        <v>75</v>
      </c>
      <c r="Z199" s="430" t="str">
        <f t="shared" si="0"/>
        <v>COMPLETED</v>
      </c>
      <c r="AA199" s="430"/>
      <c r="AB199" s="437">
        <v>46060</v>
      </c>
      <c r="AC199" s="438">
        <f>IF(PV_DATA[[#This Row],[Pick- Up Date]]&lt;&gt;"",_xlfn.ISOWEEKNUM(PV_DATA[[#This Row],[Pick- Up Date]]),"")</f>
        <v>6</v>
      </c>
      <c r="AD199" s="439" t="s">
        <v>1041</v>
      </c>
      <c r="AE199" s="430"/>
      <c r="AF199" s="430" t="s">
        <v>122</v>
      </c>
      <c r="AG199" s="430" t="s">
        <v>123</v>
      </c>
      <c r="AH199" s="430" t="s">
        <v>888</v>
      </c>
      <c r="AI199" s="437">
        <v>46070</v>
      </c>
      <c r="AJ199" s="437">
        <v>46071</v>
      </c>
      <c r="AK199" s="441">
        <v>46071</v>
      </c>
      <c r="AL199" s="437">
        <v>46120</v>
      </c>
      <c r="AM199" s="437">
        <v>46126</v>
      </c>
      <c r="AN199" s="437">
        <v>46125</v>
      </c>
      <c r="AO199" s="430" t="s">
        <v>402</v>
      </c>
      <c r="AP199" s="430" t="s">
        <v>1035</v>
      </c>
      <c r="AQ199" s="430" t="s">
        <v>80</v>
      </c>
      <c r="AR199" s="430" t="s">
        <v>1036</v>
      </c>
      <c r="AS199" s="430" t="s">
        <v>1037</v>
      </c>
      <c r="AT199" s="482" t="s">
        <v>1037</v>
      </c>
      <c r="AU1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7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7">
        <f>IF(ISERROR(PV_DATA[[#This Row],[New Ark PO status]]),"",_xlfn.XLOOKUP(PV_DATA[[#This Row],[SPTN-PVHK New Ark PO'#]],New_Ark_Data[Purchase order Number],New_Ark_Data[Estimated time of arrival],"",0))</f>
        <v>46134</v>
      </c>
      <c r="AZ19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7">
        <f>IFERROR(PV_DATA[[#This Row],[ODP ETA Port]]+PV_DATA[[#This Row],[Customs/Leg3 Assumption]],"n/a")</f>
        <v>46125</v>
      </c>
      <c r="BB199" s="433">
        <f>YEAR(PV_DATA[[#This Row],[ETA for New Ark update]])</f>
        <v>2026</v>
      </c>
      <c r="BC199" s="430">
        <f>MONTH(PV_DATA[[#This Row],[ETA for New Ark update]])</f>
        <v>4</v>
      </c>
      <c r="BD199" s="430">
        <f>IFERROR(_xlfn.ISOWEEKNUM(PV_DATA[[#This Row],[ETA for New Ark update]]),0)</f>
        <v>16</v>
      </c>
      <c r="BE199" s="431">
        <f>_xlfn.XLOOKUP(PV_DATA[[#This Row],[New Ark SKU]],Table9[New Ark SKU],Table9[Total PCS per Pallet],,0)</f>
        <v>36</v>
      </c>
      <c r="BF199" s="431">
        <f>_xlfn.XLOOKUP(PV_DATA[[#This Row],[New Ark SKU]],Table9[New Ark SKU],Table9[Total PCS per 40HQ Container],,0)</f>
        <v>720</v>
      </c>
      <c r="BG199" s="431" t="str">
        <f>_xlfn.XLOOKUP(PV_DATA[[#This Row],[New Ark SKU]],Table9[New Ark SKU],Table9[Back Glass],,0)</f>
        <v>White glazing</v>
      </c>
      <c r="BH199" s="431" t="str">
        <f>_xlfn.XLOOKUP(PV_DATA[[#This Row],[PORT DESTINATION]],Table12[PORT DESTINATION],Table12[Cosco Line],,0)</f>
        <v>AEU</v>
      </c>
      <c r="BJ199" s="430"/>
    </row>
    <row r="200" spans="1:62" ht="10.5">
      <c r="A200" s="462" t="s">
        <v>1042</v>
      </c>
      <c r="B200" s="462" t="s">
        <v>111</v>
      </c>
      <c r="C200" s="462" t="str">
        <f>IFERROR(LEFT(PV_DATA[[#This Row],[TCL REFERENCE]],FIND(".",PV_DATA[[#This Row],[TCL REFERENCE]],1)-1),"Main Line")</f>
        <v>Main Line</v>
      </c>
      <c r="D200" s="462" t="s">
        <v>63</v>
      </c>
      <c r="E200" s="462" t="s">
        <v>144</v>
      </c>
      <c r="F200" s="462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2" t="s">
        <v>402</v>
      </c>
      <c r="H200" s="462" t="s">
        <v>1029</v>
      </c>
      <c r="I200" s="439" t="s">
        <v>882</v>
      </c>
      <c r="J200" s="430" t="s">
        <v>1030</v>
      </c>
      <c r="K200" s="430" t="s">
        <v>1031</v>
      </c>
      <c r="L200" s="430"/>
      <c r="M200" s="430" t="s">
        <v>840</v>
      </c>
      <c r="N200" s="432">
        <v>46045</v>
      </c>
      <c r="O200" s="430" t="s">
        <v>1032</v>
      </c>
      <c r="P200" s="430" t="s">
        <v>1043</v>
      </c>
      <c r="Q200" s="430" t="s">
        <v>330</v>
      </c>
      <c r="R200" s="431" t="str">
        <f>_xlfn.XLOOKUP(PV_DATA[[#This Row],[New Ark SKU]],Table9[New Ark SKU],Table9[Connector],,0)</f>
        <v>EVO2A</v>
      </c>
      <c r="S200" s="442" t="str">
        <f>_xlfn.XLOOKUP(PV_DATA[[#This Row],[New Ark SKU]],Table9[New Ark SKU],Table9[Cable],,0)</f>
        <v>±1200mm</v>
      </c>
      <c r="T200" s="433">
        <v>625</v>
      </c>
      <c r="U200" s="1088">
        <v>144</v>
      </c>
      <c r="V200" s="434">
        <f>PV_DATA[[#This Row],[QUANTITY]]*PV_DATA[[#This Row],[WATT]]/1000000</f>
        <v>0.09</v>
      </c>
      <c r="W200" s="435">
        <f>PV_DATA[[#This Row],[QUANTITY]]/PV_DATA[[#This Row],[Qty/Pallet]]</f>
        <v>4</v>
      </c>
      <c r="X200" s="1040">
        <f>PV_DATA[[#This Row],[QUANTITY]]/PV_DATA[[#This Row],[Qty/CT]]</f>
        <v>0.2</v>
      </c>
      <c r="Y200" s="430" t="s">
        <v>75</v>
      </c>
      <c r="Z200" s="430" t="str">
        <f t="shared" si="0"/>
        <v>COMPLETED</v>
      </c>
      <c r="AA200" s="430"/>
      <c r="AB200" s="437">
        <v>46060</v>
      </c>
      <c r="AC200" s="438">
        <f>IF(PV_DATA[[#This Row],[Pick- Up Date]]&lt;&gt;"",_xlfn.ISOWEEKNUM(PV_DATA[[#This Row],[Pick- Up Date]]),"")</f>
        <v>6</v>
      </c>
      <c r="AD200" s="439" t="s">
        <v>1044</v>
      </c>
      <c r="AE200" s="430"/>
      <c r="AF200" s="430" t="s">
        <v>122</v>
      </c>
      <c r="AG200" s="430" t="s">
        <v>123</v>
      </c>
      <c r="AH200" s="430" t="s">
        <v>888</v>
      </c>
      <c r="AI200" s="437">
        <v>46070</v>
      </c>
      <c r="AJ200" s="437">
        <v>46071</v>
      </c>
      <c r="AK200" s="441">
        <v>46071</v>
      </c>
      <c r="AL200" s="437">
        <v>46120</v>
      </c>
      <c r="AM200" s="437">
        <v>46126</v>
      </c>
      <c r="AN200" s="437">
        <v>46125</v>
      </c>
      <c r="AO200" s="430" t="s">
        <v>402</v>
      </c>
      <c r="AP200" s="430" t="s">
        <v>1035</v>
      </c>
      <c r="AQ200" s="430" t="s">
        <v>80</v>
      </c>
      <c r="AR200" s="430" t="s">
        <v>1036</v>
      </c>
      <c r="AS200" s="430" t="s">
        <v>1037</v>
      </c>
      <c r="AT200" s="482" t="s">
        <v>1037</v>
      </c>
      <c r="AU2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7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7">
        <f>IF(ISERROR(PV_DATA[[#This Row],[New Ark PO status]]),"",_xlfn.XLOOKUP(PV_DATA[[#This Row],[SPTN-PVHK New Ark PO'#]],New_Ark_Data[Purchase order Number],New_Ark_Data[Estimated time of arrival],"",0))</f>
        <v>46134</v>
      </c>
      <c r="AZ2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7">
        <f>IFERROR(PV_DATA[[#This Row],[ODP ETA Port]]+PV_DATA[[#This Row],[Customs/Leg3 Assumption]],"n/a")</f>
        <v>46125</v>
      </c>
      <c r="BB200" s="433">
        <f>YEAR(PV_DATA[[#This Row],[ETA for New Ark update]])</f>
        <v>2026</v>
      </c>
      <c r="BC200" s="430">
        <f>MONTH(PV_DATA[[#This Row],[ETA for New Ark update]])</f>
        <v>4</v>
      </c>
      <c r="BD200" s="430">
        <f>IFERROR(_xlfn.ISOWEEKNUM(PV_DATA[[#This Row],[ETA for New Ark update]]),0)</f>
        <v>16</v>
      </c>
      <c r="BE200" s="431">
        <f>_xlfn.XLOOKUP(PV_DATA[[#This Row],[New Ark SKU]],Table9[New Ark SKU],Table9[Total PCS per Pallet],,0)</f>
        <v>36</v>
      </c>
      <c r="BF200" s="431">
        <f>_xlfn.XLOOKUP(PV_DATA[[#This Row],[New Ark SKU]],Table9[New Ark SKU],Table9[Total PCS per 40HQ Container],,0)</f>
        <v>720</v>
      </c>
      <c r="BG200" s="431" t="str">
        <f>_xlfn.XLOOKUP(PV_DATA[[#This Row],[New Ark SKU]],Table9[New Ark SKU],Table9[Back Glass],,0)</f>
        <v>White glazing</v>
      </c>
      <c r="BH200" s="431" t="str">
        <f>_xlfn.XLOOKUP(PV_DATA[[#This Row],[PORT DESTINATION]],Table12[PORT DESTINATION],Table12[Cosco Line],,0)</f>
        <v>AEU</v>
      </c>
      <c r="BJ200" s="430"/>
    </row>
    <row r="201" spans="1:62" ht="10.5">
      <c r="A201" s="462" t="s">
        <v>1045</v>
      </c>
      <c r="B201" s="462" t="s">
        <v>111</v>
      </c>
      <c r="C201" s="462" t="str">
        <f>IFERROR(LEFT(PV_DATA[[#This Row],[TCL REFERENCE]],FIND(".",PV_DATA[[#This Row],[TCL REFERENCE]],1)-1),"Main Line")</f>
        <v>26Feb026</v>
      </c>
      <c r="D201" s="462" t="s">
        <v>63</v>
      </c>
      <c r="E201" s="462" t="s">
        <v>64</v>
      </c>
      <c r="F201" s="462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2" t="s">
        <v>402</v>
      </c>
      <c r="H201" s="462" t="s">
        <v>67</v>
      </c>
      <c r="I201" s="439" t="s">
        <v>689</v>
      </c>
      <c r="J201" s="430" t="s">
        <v>1047</v>
      </c>
      <c r="K201" s="430"/>
      <c r="L201" s="430"/>
      <c r="M201" s="430" t="s">
        <v>68</v>
      </c>
      <c r="N201" s="432">
        <v>46062</v>
      </c>
      <c r="O201" s="430" t="s">
        <v>70</v>
      </c>
      <c r="P201" s="430" t="s">
        <v>1002</v>
      </c>
      <c r="Q201" s="430" t="s">
        <v>330</v>
      </c>
      <c r="R201" s="431" t="str">
        <f>_xlfn.XLOOKUP(PV_DATA[[#This Row],[New Ark SKU]],Table9[New Ark SKU],Table9[Connector],,0)</f>
        <v>EVO2A</v>
      </c>
      <c r="S201" s="442" t="str">
        <f>_xlfn.XLOOKUP(PV_DATA[[#This Row],[New Ark SKU]],Table9[New Ark SKU],Table9[Cable],,0)</f>
        <v>±1400mm</v>
      </c>
      <c r="T201" s="433">
        <v>625</v>
      </c>
      <c r="U201" s="1088">
        <f>720*7</f>
        <v>5040</v>
      </c>
      <c r="V201" s="434">
        <f>PV_DATA[[#This Row],[QUANTITY]]*PV_DATA[[#This Row],[WATT]]/1000000</f>
        <v>3.15</v>
      </c>
      <c r="W201" s="435">
        <f>PV_DATA[[#This Row],[QUANTITY]]/PV_DATA[[#This Row],[Qty/Pallet]]</f>
        <v>140</v>
      </c>
      <c r="X201" s="1040">
        <f>PV_DATA[[#This Row],[QUANTITY]]/PV_DATA[[#This Row],[Qty/CT]]</f>
        <v>7</v>
      </c>
      <c r="Y201" s="430" t="s">
        <v>75</v>
      </c>
      <c r="Z201" s="430" t="str">
        <f t="shared" si="0"/>
        <v>COMPLETED</v>
      </c>
      <c r="AA201" s="430"/>
      <c r="AB201" s="437">
        <v>46064</v>
      </c>
      <c r="AC201" s="438">
        <f>IF(PV_DATA[[#This Row],[Pick- Up Date]]&lt;&gt;"",_xlfn.ISOWEEKNUM(PV_DATA[[#This Row],[Pick- Up Date]]),"")</f>
        <v>7</v>
      </c>
      <c r="AD201" s="439" t="s">
        <v>1048</v>
      </c>
      <c r="AE201" s="430"/>
      <c r="AF201" s="430" t="s">
        <v>122</v>
      </c>
      <c r="AG201" s="430" t="s">
        <v>123</v>
      </c>
      <c r="AH201" s="430" t="s">
        <v>105</v>
      </c>
      <c r="AI201" s="437">
        <v>46070</v>
      </c>
      <c r="AJ201" s="437">
        <v>46069</v>
      </c>
      <c r="AK201" s="441">
        <v>46069</v>
      </c>
      <c r="AL201" s="437">
        <v>46109</v>
      </c>
      <c r="AM201" s="437">
        <v>46126</v>
      </c>
      <c r="AN201" s="437">
        <v>46127</v>
      </c>
      <c r="AO201" s="430" t="s">
        <v>402</v>
      </c>
      <c r="AP201" s="430" t="s">
        <v>1049</v>
      </c>
      <c r="AQ201" s="430" t="s">
        <v>80</v>
      </c>
      <c r="AR201" s="430" t="s">
        <v>1050</v>
      </c>
      <c r="AS201" s="430" t="s">
        <v>1051</v>
      </c>
      <c r="AT201" s="482" t="s">
        <v>1051</v>
      </c>
      <c r="AU2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7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7">
        <f>IF(ISERROR(PV_DATA[[#This Row],[New Ark PO status]]),"",_xlfn.XLOOKUP(PV_DATA[[#This Row],[SPTN-PVHK New Ark PO'#]],New_Ark_Data[Purchase order Number],New_Ark_Data[Estimated time of arrival],"",0))</f>
        <v>46134</v>
      </c>
      <c r="AZ2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7">
        <f>IFERROR(PV_DATA[[#This Row],[ODP ETA Port]]+PV_DATA[[#This Row],[Customs/Leg3 Assumption]],"n/a")</f>
        <v>46134</v>
      </c>
      <c r="BB201" s="433">
        <f>YEAR(PV_DATA[[#This Row],[ETA for New Ark update]])</f>
        <v>2026</v>
      </c>
      <c r="BC201" s="430">
        <f>MONTH(PV_DATA[[#This Row],[ETA for New Ark update]])</f>
        <v>4</v>
      </c>
      <c r="BD201" s="430">
        <f>IFERROR(_xlfn.ISOWEEKNUM(PV_DATA[[#This Row],[ETA for New Ark update]]),0)</f>
        <v>17</v>
      </c>
      <c r="BE201" s="431">
        <f>_xlfn.XLOOKUP(PV_DATA[[#This Row],[New Ark SKU]],Table9[New Ark SKU],Table9[Total PCS per Pallet],,0)</f>
        <v>36</v>
      </c>
      <c r="BF201" s="431">
        <f>_xlfn.XLOOKUP(PV_DATA[[#This Row],[New Ark SKU]],Table9[New Ark SKU],Table9[Total PCS per 40HQ Container],,0)</f>
        <v>720</v>
      </c>
      <c r="BG201" s="431" t="str">
        <f>_xlfn.XLOOKUP(PV_DATA[[#This Row],[New Ark SKU]],Table9[New Ark SKU],Table9[Back Glass],,0)</f>
        <v>Redirection Film</v>
      </c>
      <c r="BH201" s="431" t="str">
        <f>_xlfn.XLOOKUP(PV_DATA[[#This Row],[PORT DESTINATION]],Table12[PORT DESTINATION],Table12[Cosco Line],,0)</f>
        <v>AEU</v>
      </c>
      <c r="BJ201" s="430"/>
    </row>
    <row r="202" spans="1:62" ht="10.5">
      <c r="A202" s="462" t="s">
        <v>1052</v>
      </c>
      <c r="B202" s="462" t="s">
        <v>111</v>
      </c>
      <c r="C202" s="462" t="str">
        <f>IFERROR(LEFT(PV_DATA[[#This Row],[TCL REFERENCE]],FIND(".",PV_DATA[[#This Row],[TCL REFERENCE]],1)-1),"Main Line")</f>
        <v>26Feb026</v>
      </c>
      <c r="D202" s="462" t="s">
        <v>63</v>
      </c>
      <c r="E202" s="462" t="s">
        <v>64</v>
      </c>
      <c r="F202" s="462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2" t="s">
        <v>402</v>
      </c>
      <c r="H202" s="462" t="s">
        <v>67</v>
      </c>
      <c r="I202" s="439" t="s">
        <v>689</v>
      </c>
      <c r="J202" s="430" t="s">
        <v>1047</v>
      </c>
      <c r="K202" s="430"/>
      <c r="L202" s="430"/>
      <c r="M202" s="430" t="s">
        <v>68</v>
      </c>
      <c r="N202" s="432">
        <v>46062</v>
      </c>
      <c r="O202" s="430" t="s">
        <v>70</v>
      </c>
      <c r="P202" s="430" t="s">
        <v>1002</v>
      </c>
      <c r="Q202" s="430" t="s">
        <v>330</v>
      </c>
      <c r="R202" s="431" t="str">
        <f>_xlfn.XLOOKUP(PV_DATA[[#This Row],[New Ark SKU]],Table9[New Ark SKU],Table9[Connector],,0)</f>
        <v>EVO2A</v>
      </c>
      <c r="S202" s="442" t="str">
        <f>_xlfn.XLOOKUP(PV_DATA[[#This Row],[New Ark SKU]],Table9[New Ark SKU],Table9[Cable],,0)</f>
        <v>±1400mm</v>
      </c>
      <c r="T202" s="433">
        <v>625</v>
      </c>
      <c r="U202" s="1088">
        <f>720*5</f>
        <v>3600</v>
      </c>
      <c r="V202" s="434">
        <f>PV_DATA[[#This Row],[QUANTITY]]*PV_DATA[[#This Row],[WATT]]/1000000</f>
        <v>2.25</v>
      </c>
      <c r="W202" s="435">
        <f>PV_DATA[[#This Row],[QUANTITY]]/PV_DATA[[#This Row],[Qty/Pallet]]</f>
        <v>100</v>
      </c>
      <c r="X202" s="1040">
        <f>PV_DATA[[#This Row],[QUANTITY]]/PV_DATA[[#This Row],[Qty/CT]]</f>
        <v>5</v>
      </c>
      <c r="Y202" s="430" t="s">
        <v>75</v>
      </c>
      <c r="Z202" s="430" t="str">
        <f t="shared" si="0"/>
        <v>COMPLETED</v>
      </c>
      <c r="AA202" s="430"/>
      <c r="AB202" s="437">
        <v>46065</v>
      </c>
      <c r="AC202" s="438">
        <f>IF(PV_DATA[[#This Row],[Pick- Up Date]]&lt;&gt;"",_xlfn.ISOWEEKNUM(PV_DATA[[#This Row],[Pick- Up Date]]),"")</f>
        <v>7</v>
      </c>
      <c r="AD202" s="439" t="s">
        <v>1053</v>
      </c>
      <c r="AE202" s="430"/>
      <c r="AF202" s="430" t="s">
        <v>122</v>
      </c>
      <c r="AG202" s="430" t="s">
        <v>123</v>
      </c>
      <c r="AH202" s="430" t="s">
        <v>105</v>
      </c>
      <c r="AI202" s="437">
        <v>46070</v>
      </c>
      <c r="AJ202" s="437">
        <v>46087</v>
      </c>
      <c r="AK202" s="441">
        <v>46086</v>
      </c>
      <c r="AL202" s="437">
        <v>46109</v>
      </c>
      <c r="AM202" s="437">
        <v>46133</v>
      </c>
      <c r="AN202" s="437">
        <v>46133</v>
      </c>
      <c r="AO202" s="430" t="s">
        <v>402</v>
      </c>
      <c r="AP202" s="430" t="s">
        <v>1049</v>
      </c>
      <c r="AQ202" s="430" t="s">
        <v>80</v>
      </c>
      <c r="AR202" s="430" t="s">
        <v>1054</v>
      </c>
      <c r="AS202" s="430" t="s">
        <v>1055</v>
      </c>
      <c r="AT202" s="482" t="s">
        <v>1055</v>
      </c>
      <c r="AU2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7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7">
        <f>IF(ISERROR(PV_DATA[[#This Row],[New Ark PO status]]),"",_xlfn.XLOOKUP(PV_DATA[[#This Row],[SPTN-PVHK New Ark PO'#]],New_Ark_Data[Purchase order Number],New_Ark_Data[Estimated time of arrival],"",0))</f>
        <v>46147</v>
      </c>
      <c r="AZ2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7">
        <f>IFERROR(PV_DATA[[#This Row],[ODP ETA Port]]+PV_DATA[[#This Row],[Customs/Leg3 Assumption]],"n/a")</f>
        <v>46140</v>
      </c>
      <c r="BB202" s="433">
        <f>YEAR(PV_DATA[[#This Row],[ETA for New Ark update]])</f>
        <v>2026</v>
      </c>
      <c r="BC202" s="430">
        <f>MONTH(PV_DATA[[#This Row],[ETA for New Ark update]])</f>
        <v>4</v>
      </c>
      <c r="BD202" s="430">
        <f>IFERROR(_xlfn.ISOWEEKNUM(PV_DATA[[#This Row],[ETA for New Ark update]]),0)</f>
        <v>18</v>
      </c>
      <c r="BE202" s="431">
        <f>_xlfn.XLOOKUP(PV_DATA[[#This Row],[New Ark SKU]],Table9[New Ark SKU],Table9[Total PCS per Pallet],,0)</f>
        <v>36</v>
      </c>
      <c r="BF202" s="431">
        <f>_xlfn.XLOOKUP(PV_DATA[[#This Row],[New Ark SKU]],Table9[New Ark SKU],Table9[Total PCS per 40HQ Container],,0)</f>
        <v>720</v>
      </c>
      <c r="BG202" s="431" t="str">
        <f>_xlfn.XLOOKUP(PV_DATA[[#This Row],[New Ark SKU]],Table9[New Ark SKU],Table9[Back Glass],,0)</f>
        <v>Redirection Film</v>
      </c>
      <c r="BH202" s="431" t="str">
        <f>_xlfn.XLOOKUP(PV_DATA[[#This Row],[PORT DESTINATION]],Table12[PORT DESTINATION],Table12[Cosco Line],,0)</f>
        <v>AEU</v>
      </c>
      <c r="BJ202" s="430"/>
    </row>
    <row r="203" spans="1:62" ht="10.5">
      <c r="A203" s="462" t="s">
        <v>1056</v>
      </c>
      <c r="B203" s="462" t="s">
        <v>111</v>
      </c>
      <c r="C203" s="462" t="str">
        <f>IFERROR(LEFT(PV_DATA[[#This Row],[TCL REFERENCE]],FIND(".",PV_DATA[[#This Row],[TCL REFERENCE]],1)-1),"Main Line")</f>
        <v>26JAN006</v>
      </c>
      <c r="D203" s="462" t="s">
        <v>63</v>
      </c>
      <c r="E203" s="462" t="s">
        <v>64</v>
      </c>
      <c r="F203" s="462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2" t="s">
        <v>402</v>
      </c>
      <c r="H203" s="462" t="s">
        <v>67</v>
      </c>
      <c r="I203" s="439" t="s">
        <v>68</v>
      </c>
      <c r="J203" s="430" t="s">
        <v>101</v>
      </c>
      <c r="K203" s="430"/>
      <c r="L203" s="430"/>
      <c r="M203" s="430" t="s">
        <v>68</v>
      </c>
      <c r="N203" s="432">
        <v>46045</v>
      </c>
      <c r="O203" s="430" t="s">
        <v>70</v>
      </c>
      <c r="P203" s="430" t="s">
        <v>102</v>
      </c>
      <c r="Q203" s="430" t="s">
        <v>103</v>
      </c>
      <c r="R203" s="431" t="str">
        <f>_xlfn.XLOOKUP(PV_DATA[[#This Row],[New Ark SKU]],Table9[New Ark SKU],Table9[Connector],,0)</f>
        <v>EVO2A</v>
      </c>
      <c r="S203" s="442" t="str">
        <f>_xlfn.XLOOKUP(PV_DATA[[#This Row],[New Ark SKU]],Table9[New Ark SKU],Table9[Cable],,0)</f>
        <v>±1200mm</v>
      </c>
      <c r="T203" s="433">
        <v>620</v>
      </c>
      <c r="U203" s="1088">
        <f>7*720</f>
        <v>5040</v>
      </c>
      <c r="V203" s="434">
        <f>PV_DATA[[#This Row],[QUANTITY]]*PV_DATA[[#This Row],[WATT]]/1000000</f>
        <v>3.1248</v>
      </c>
      <c r="W203" s="435">
        <f>PV_DATA[[#This Row],[QUANTITY]]/PV_DATA[[#This Row],[Qty/Pallet]]</f>
        <v>140</v>
      </c>
      <c r="X203" s="1040">
        <f>PV_DATA[[#This Row],[QUANTITY]]/PV_DATA[[#This Row],[Qty/CT]]</f>
        <v>7</v>
      </c>
      <c r="Y203" s="430" t="s">
        <v>75</v>
      </c>
      <c r="Z203" s="430" t="str">
        <f t="shared" si="0"/>
        <v>COMPLETED</v>
      </c>
      <c r="AA203" s="430"/>
      <c r="AB203" s="437">
        <v>46061</v>
      </c>
      <c r="AC203" s="438">
        <f>IF(PV_DATA[[#This Row],[Pick- Up Date]]&lt;&gt;"",_xlfn.ISOWEEKNUM(PV_DATA[[#This Row],[Pick- Up Date]]),"")</f>
        <v>6</v>
      </c>
      <c r="AD203" s="439" t="s">
        <v>1057</v>
      </c>
      <c r="AE203" s="430"/>
      <c r="AF203" s="430" t="s">
        <v>122</v>
      </c>
      <c r="AG203" s="430" t="s">
        <v>123</v>
      </c>
      <c r="AH203" s="430" t="s">
        <v>105</v>
      </c>
      <c r="AI203" s="437">
        <v>46067</v>
      </c>
      <c r="AJ203" s="437">
        <v>46087</v>
      </c>
      <c r="AK203" s="441">
        <v>46086</v>
      </c>
      <c r="AL203" s="437">
        <v>46108</v>
      </c>
      <c r="AM203" s="437">
        <v>46133</v>
      </c>
      <c r="AN203" s="437">
        <v>46133</v>
      </c>
      <c r="AO203" s="430" t="s">
        <v>402</v>
      </c>
      <c r="AP203" s="430" t="s">
        <v>829</v>
      </c>
      <c r="AQ203" s="430" t="s">
        <v>80</v>
      </c>
      <c r="AR203" s="430" t="s">
        <v>830</v>
      </c>
      <c r="AS203" s="430" t="s">
        <v>831</v>
      </c>
      <c r="AT203" s="482" t="s">
        <v>831</v>
      </c>
      <c r="AU2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7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7">
        <f>IF(ISERROR(PV_DATA[[#This Row],[New Ark PO status]]),"",_xlfn.XLOOKUP(PV_DATA[[#This Row],[SPTN-PVHK New Ark PO'#]],New_Ark_Data[Purchase order Number],New_Ark_Data[Estimated time of arrival],"",0))</f>
        <v>46147</v>
      </c>
      <c r="AZ20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7">
        <f>IFERROR(PV_DATA[[#This Row],[ODP ETA Port]]+PV_DATA[[#This Row],[Customs/Leg3 Assumption]],"n/a")</f>
        <v>46140</v>
      </c>
      <c r="BB203" s="433">
        <f>YEAR(PV_DATA[[#This Row],[ETA for New Ark update]])</f>
        <v>2026</v>
      </c>
      <c r="BC203" s="430">
        <f>MONTH(PV_DATA[[#This Row],[ETA for New Ark update]])</f>
        <v>4</v>
      </c>
      <c r="BD203" s="430">
        <f>IFERROR(_xlfn.ISOWEEKNUM(PV_DATA[[#This Row],[ETA for New Ark update]]),0)</f>
        <v>18</v>
      </c>
      <c r="BE203" s="431">
        <f>_xlfn.XLOOKUP(PV_DATA[[#This Row],[New Ark SKU]],Table9[New Ark SKU],Table9[Total PCS per Pallet],,0)</f>
        <v>36</v>
      </c>
      <c r="BF203" s="431">
        <f>_xlfn.XLOOKUP(PV_DATA[[#This Row],[New Ark SKU]],Table9[New Ark SKU],Table9[Total PCS per 40HQ Container],,0)</f>
        <v>720</v>
      </c>
      <c r="BG203" s="431" t="str">
        <f>_xlfn.XLOOKUP(PV_DATA[[#This Row],[New Ark SKU]],Table9[New Ark SKU],Table9[Back Glass],,0)</f>
        <v>White glazing</v>
      </c>
      <c r="BH203" s="431" t="str">
        <f>_xlfn.XLOOKUP(PV_DATA[[#This Row],[PORT DESTINATION]],Table12[PORT DESTINATION],Table12[Cosco Line],,0)</f>
        <v>AEU</v>
      </c>
      <c r="BJ203" s="430"/>
    </row>
    <row r="204" spans="1:62" ht="10.5">
      <c r="A204" s="462" t="s">
        <v>1058</v>
      </c>
      <c r="B204" s="462" t="s">
        <v>111</v>
      </c>
      <c r="C204" s="462" t="str">
        <f>IFERROR(LEFT(PV_DATA[[#This Row],[TCL REFERENCE]],FIND(".",PV_DATA[[#This Row],[TCL REFERENCE]],1)-1),"Main Line")</f>
        <v>26Feb015</v>
      </c>
      <c r="D204" s="462" t="s">
        <v>63</v>
      </c>
      <c r="E204" s="462" t="s">
        <v>64</v>
      </c>
      <c r="F204" s="462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2" t="s">
        <v>402</v>
      </c>
      <c r="H204" s="462" t="s">
        <v>67</v>
      </c>
      <c r="I204" s="439" t="s">
        <v>68</v>
      </c>
      <c r="J204" s="430" t="s">
        <v>101</v>
      </c>
      <c r="K204" s="430"/>
      <c r="L204" s="430"/>
      <c r="M204" s="430" t="s">
        <v>68</v>
      </c>
      <c r="N204" s="432">
        <v>46048</v>
      </c>
      <c r="O204" s="430" t="s">
        <v>132</v>
      </c>
      <c r="P204" s="430" t="s">
        <v>133</v>
      </c>
      <c r="Q204" s="430" t="s">
        <v>134</v>
      </c>
      <c r="R204" s="431" t="str">
        <f>_xlfn.XLOOKUP(PV_DATA[[#This Row],[New Ark SKU]],Table9[New Ark SKU],Table9[Connector],,0)</f>
        <v>EVO2A</v>
      </c>
      <c r="S204" s="442" t="str">
        <f>_xlfn.XLOOKUP(PV_DATA[[#This Row],[New Ark SKU]],Table9[New Ark SKU],Table9[Cable],,0)</f>
        <v>±1400mm</v>
      </c>
      <c r="T204" s="433">
        <v>720</v>
      </c>
      <c r="U204" s="1088">
        <f>594*1</f>
        <v>594</v>
      </c>
      <c r="V204" s="434">
        <f>PV_DATA[[#This Row],[QUANTITY]]*PV_DATA[[#This Row],[WATT]]/1000000</f>
        <v>0.42768</v>
      </c>
      <c r="W204" s="435">
        <f>PV_DATA[[#This Row],[QUANTITY]]/PV_DATA[[#This Row],[Qty/Pallet]]</f>
        <v>18</v>
      </c>
      <c r="X204" s="1040">
        <f>PV_DATA[[#This Row],[QUANTITY]]/PV_DATA[[#This Row],[Qty/CT]]</f>
        <v>1</v>
      </c>
      <c r="Y204" s="430" t="s">
        <v>75</v>
      </c>
      <c r="Z204" s="430" t="str">
        <f t="shared" si="0"/>
        <v>COMPLETED</v>
      </c>
      <c r="AA204" s="430"/>
      <c r="AB204" s="437">
        <v>46061</v>
      </c>
      <c r="AC204" s="438">
        <f>IF(PV_DATA[[#This Row],[Pick- Up Date]]&lt;&gt;"",_xlfn.ISOWEEKNUM(PV_DATA[[#This Row],[Pick- Up Date]]),"")</f>
        <v>6</v>
      </c>
      <c r="AD204" s="439" t="s">
        <v>1059</v>
      </c>
      <c r="AE204" s="430"/>
      <c r="AF204" s="430" t="s">
        <v>122</v>
      </c>
      <c r="AG204" s="430" t="s">
        <v>123</v>
      </c>
      <c r="AH204" s="430" t="s">
        <v>105</v>
      </c>
      <c r="AI204" s="437">
        <v>46067</v>
      </c>
      <c r="AJ204" s="437">
        <v>46087</v>
      </c>
      <c r="AK204" s="441">
        <v>46086</v>
      </c>
      <c r="AL204" s="437">
        <v>46108</v>
      </c>
      <c r="AM204" s="437">
        <v>46133</v>
      </c>
      <c r="AN204" s="437">
        <v>46133</v>
      </c>
      <c r="AO204" s="430" t="s">
        <v>402</v>
      </c>
      <c r="AP204" s="430" t="s">
        <v>829</v>
      </c>
      <c r="AQ204" s="430" t="s">
        <v>80</v>
      </c>
      <c r="AR204" s="430" t="s">
        <v>830</v>
      </c>
      <c r="AS204" s="430" t="s">
        <v>831</v>
      </c>
      <c r="AT204" s="482" t="s">
        <v>831</v>
      </c>
      <c r="AU2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7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7">
        <f>IF(ISERROR(PV_DATA[[#This Row],[New Ark PO status]]),"",_xlfn.XLOOKUP(PV_DATA[[#This Row],[SPTN-PVHK New Ark PO'#]],New_Ark_Data[Purchase order Number],New_Ark_Data[Estimated time of arrival],"",0))</f>
        <v>46147</v>
      </c>
      <c r="AZ20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7">
        <f>IFERROR(PV_DATA[[#This Row],[ODP ETA Port]]+PV_DATA[[#This Row],[Customs/Leg3 Assumption]],"n/a")</f>
        <v>46140</v>
      </c>
      <c r="BB204" s="433">
        <f>YEAR(PV_DATA[[#This Row],[ETA for New Ark update]])</f>
        <v>2026</v>
      </c>
      <c r="BC204" s="430">
        <f>MONTH(PV_DATA[[#This Row],[ETA for New Ark update]])</f>
        <v>4</v>
      </c>
      <c r="BD204" s="430">
        <f>IFERROR(_xlfn.ISOWEEKNUM(PV_DATA[[#This Row],[ETA for New Ark update]]),0)</f>
        <v>18</v>
      </c>
      <c r="BE204" s="431">
        <f>_xlfn.XLOOKUP(PV_DATA[[#This Row],[New Ark SKU]],Table9[New Ark SKU],Table9[Total PCS per Pallet],,0)</f>
        <v>33</v>
      </c>
      <c r="BF204" s="431">
        <f>_xlfn.XLOOKUP(PV_DATA[[#This Row],[New Ark SKU]],Table9[New Ark SKU],Table9[Total PCS per 40HQ Container],,0)</f>
        <v>594</v>
      </c>
      <c r="BG204" s="431" t="str">
        <f>_xlfn.XLOOKUP(PV_DATA[[#This Row],[New Ark SKU]],Table9[New Ark SKU],Table9[Back Glass],,0)</f>
        <v>White glazing</v>
      </c>
      <c r="BH204" s="431" t="str">
        <f>_xlfn.XLOOKUP(PV_DATA[[#This Row],[PORT DESTINATION]],Table12[PORT DESTINATION],Table12[Cosco Line],,0)</f>
        <v>AEU</v>
      </c>
      <c r="BJ204" s="430"/>
    </row>
    <row r="205" spans="1:62" ht="10.5">
      <c r="A205" s="462" t="s">
        <v>1060</v>
      </c>
      <c r="B205" s="462" t="s">
        <v>111</v>
      </c>
      <c r="C205" s="462" t="str">
        <f>IFERROR(LEFT(PV_DATA[[#This Row],[TCL REFERENCE]],FIND(".",PV_DATA[[#This Row],[TCL REFERENCE]],1)-1),"Main Line")</f>
        <v>26Feb010</v>
      </c>
      <c r="D205" s="462" t="s">
        <v>63</v>
      </c>
      <c r="E205" s="462" t="s">
        <v>64</v>
      </c>
      <c r="F205" s="462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2" t="s">
        <v>402</v>
      </c>
      <c r="H205" s="462" t="s">
        <v>67</v>
      </c>
      <c r="I205" s="439" t="s">
        <v>869</v>
      </c>
      <c r="J205" s="430" t="s">
        <v>101</v>
      </c>
      <c r="K205" s="430"/>
      <c r="L205" s="430"/>
      <c r="M205" s="430" t="s">
        <v>68</v>
      </c>
      <c r="N205" s="432">
        <v>46069</v>
      </c>
      <c r="O205" s="430" t="s">
        <v>132</v>
      </c>
      <c r="P205" s="430" t="s">
        <v>1062</v>
      </c>
      <c r="Q205" s="430" t="s">
        <v>1063</v>
      </c>
      <c r="R205" s="431" t="str">
        <f>_xlfn.XLOOKUP(PV_DATA[[#This Row],[New Ark SKU]],Table9[New Ark SKU],Table9[Connector],,0)</f>
        <v>EVO2A</v>
      </c>
      <c r="S205" s="442" t="str">
        <f>_xlfn.XLOOKUP(PV_DATA[[#This Row],[New Ark SKU]],Table9[New Ark SKU],Table9[Cable],,0)</f>
        <v>±1200mm</v>
      </c>
      <c r="T205" s="433">
        <v>470</v>
      </c>
      <c r="U205" s="1088">
        <v>3456</v>
      </c>
      <c r="V205" s="434">
        <f>PV_DATA[[#This Row],[QUANTITY]]*PV_DATA[[#This Row],[WATT]]/1000000</f>
        <v>1.62432</v>
      </c>
      <c r="W205" s="435">
        <f>PV_DATA[[#This Row],[QUANTITY]]/PV_DATA[[#This Row],[Qty/Pallet]]</f>
        <v>96</v>
      </c>
      <c r="X205" s="1040">
        <f>PV_DATA[[#This Row],[QUANTITY]]/PV_DATA[[#This Row],[Qty/CT]]</f>
        <v>4</v>
      </c>
      <c r="Y205" s="430" t="s">
        <v>75</v>
      </c>
      <c r="Z205" s="430" t="str">
        <f t="shared" si="0"/>
        <v>COMPLETED</v>
      </c>
      <c r="AA205" s="430"/>
      <c r="AB205" s="437">
        <v>46064</v>
      </c>
      <c r="AC205" s="438">
        <f>IF(PV_DATA[[#This Row],[Pick- Up Date]]&lt;&gt;"",_xlfn.ISOWEEKNUM(PV_DATA[[#This Row],[Pick- Up Date]]),"")</f>
        <v>7</v>
      </c>
      <c r="AD205" s="439" t="s">
        <v>1064</v>
      </c>
      <c r="AE205" s="430"/>
      <c r="AF205" s="430" t="s">
        <v>122</v>
      </c>
      <c r="AG205" s="430" t="s">
        <v>123</v>
      </c>
      <c r="AH205" s="430" t="s">
        <v>105</v>
      </c>
      <c r="AI205" s="437">
        <v>46071</v>
      </c>
      <c r="AJ205" s="437">
        <v>46075</v>
      </c>
      <c r="AK205" s="441">
        <v>46075</v>
      </c>
      <c r="AL205" s="437">
        <v>46106</v>
      </c>
      <c r="AM205" s="437">
        <v>46114</v>
      </c>
      <c r="AN205" s="437">
        <v>46116</v>
      </c>
      <c r="AO205" s="430" t="s">
        <v>402</v>
      </c>
      <c r="AP205" s="430" t="s">
        <v>1065</v>
      </c>
      <c r="AQ205" s="430" t="s">
        <v>80</v>
      </c>
      <c r="AR205" s="430" t="s">
        <v>1066</v>
      </c>
      <c r="AS205" s="430" t="s">
        <v>1067</v>
      </c>
      <c r="AT205" s="482" t="s">
        <v>1067</v>
      </c>
      <c r="AU2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7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7">
        <f>IF(ISERROR(PV_DATA[[#This Row],[New Ark PO status]]),"",_xlfn.XLOOKUP(PV_DATA[[#This Row],[SPTN-PVHK New Ark PO'#]],New_Ark_Data[Purchase order Number],New_Ark_Data[Estimated time of arrival],"",0))</f>
        <v>46126</v>
      </c>
      <c r="AZ20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7">
        <f>IFERROR(PV_DATA[[#This Row],[ODP ETA Port]]+PV_DATA[[#This Row],[Customs/Leg3 Assumption]],"n/a")</f>
        <v>46123</v>
      </c>
      <c r="BB205" s="433">
        <f>YEAR(PV_DATA[[#This Row],[ETA for New Ark update]])</f>
        <v>2026</v>
      </c>
      <c r="BC205" s="430">
        <f>MONTH(PV_DATA[[#This Row],[ETA for New Ark update]])</f>
        <v>4</v>
      </c>
      <c r="BD205" s="430">
        <f>IFERROR(_xlfn.ISOWEEKNUM(PV_DATA[[#This Row],[ETA for New Ark update]]),0)</f>
        <v>15</v>
      </c>
      <c r="BE205" s="431">
        <f>_xlfn.XLOOKUP(PV_DATA[[#This Row],[New Ark SKU]],Table9[New Ark SKU],Table9[Total PCS per Pallet],,0)</f>
        <v>36</v>
      </c>
      <c r="BF205" s="431">
        <f>_xlfn.XLOOKUP(PV_DATA[[#This Row],[New Ark SKU]],Table9[New Ark SKU],Table9[Total PCS per 40HQ Container],,0)</f>
        <v>864</v>
      </c>
      <c r="BG205" s="431" t="str">
        <f>_xlfn.XLOOKUP(PV_DATA[[#This Row],[New Ark SKU]],Table9[New Ark SKU],Table9[Back Glass],,0)</f>
        <v>White glazing</v>
      </c>
      <c r="BH205" s="431" t="str">
        <f>_xlfn.XLOOKUP(PV_DATA[[#This Row],[PORT DESTINATION]],Table12[PORT DESTINATION],Table12[Cosco Line],,0)</f>
        <v>AEU</v>
      </c>
      <c r="BJ205" s="430"/>
    </row>
    <row r="206" spans="1:62" ht="10.5">
      <c r="A206" s="462" t="s">
        <v>1068</v>
      </c>
      <c r="B206" s="462" t="s">
        <v>111</v>
      </c>
      <c r="C206" s="462" t="str">
        <f>IFERROR(LEFT(PV_DATA[[#This Row],[TCL REFERENCE]],FIND(".",PV_DATA[[#This Row],[TCL REFERENCE]],1)-1),"Main Line")</f>
        <v>26Feb010</v>
      </c>
      <c r="D206" s="462" t="s">
        <v>63</v>
      </c>
      <c r="E206" s="462" t="s">
        <v>64</v>
      </c>
      <c r="F206" s="462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2" t="s">
        <v>402</v>
      </c>
      <c r="H206" s="462" t="s">
        <v>451</v>
      </c>
      <c r="I206" s="439" t="s">
        <v>689</v>
      </c>
      <c r="J206" s="430" t="s">
        <v>812</v>
      </c>
      <c r="K206" s="430"/>
      <c r="L206" s="430"/>
      <c r="M206" s="430" t="s">
        <v>68</v>
      </c>
      <c r="N206" s="432">
        <v>46069</v>
      </c>
      <c r="O206" s="430" t="s">
        <v>132</v>
      </c>
      <c r="P206" s="430" t="s">
        <v>1062</v>
      </c>
      <c r="Q206" s="430" t="s">
        <v>1063</v>
      </c>
      <c r="R206" s="431" t="str">
        <f>_xlfn.XLOOKUP(PV_DATA[[#This Row],[New Ark SKU]],Table9[New Ark SKU],Table9[Connector],,0)</f>
        <v>EVO2A</v>
      </c>
      <c r="S206" s="442" t="str">
        <f>_xlfn.XLOOKUP(PV_DATA[[#This Row],[New Ark SKU]],Table9[New Ark SKU],Table9[Cable],,0)</f>
        <v>±1200mm</v>
      </c>
      <c r="T206" s="433">
        <v>470</v>
      </c>
      <c r="U206" s="1088">
        <v>864</v>
      </c>
      <c r="V206" s="434">
        <f>PV_DATA[[#This Row],[QUANTITY]]*PV_DATA[[#This Row],[WATT]]/1000000</f>
        <v>0.40608</v>
      </c>
      <c r="W206" s="435">
        <f>PV_DATA[[#This Row],[QUANTITY]]/PV_DATA[[#This Row],[Qty/Pallet]]</f>
        <v>24</v>
      </c>
      <c r="X206" s="1040">
        <f>PV_DATA[[#This Row],[QUANTITY]]/PV_DATA[[#This Row],[Qty/CT]]</f>
        <v>1</v>
      </c>
      <c r="Y206" s="430" t="s">
        <v>75</v>
      </c>
      <c r="Z206" s="430" t="str">
        <f t="shared" si="0"/>
        <v>COMPLETED</v>
      </c>
      <c r="AA206" s="430"/>
      <c r="AB206" s="437">
        <v>46064</v>
      </c>
      <c r="AC206" s="438">
        <f>IF(PV_DATA[[#This Row],[Pick- Up Date]]&lt;&gt;"",_xlfn.ISOWEEKNUM(PV_DATA[[#This Row],[Pick- Up Date]]),"")</f>
        <v>7</v>
      </c>
      <c r="AD206" s="439" t="s">
        <v>1069</v>
      </c>
      <c r="AE206" s="430"/>
      <c r="AF206" s="430" t="s">
        <v>122</v>
      </c>
      <c r="AG206" s="430" t="s">
        <v>123</v>
      </c>
      <c r="AH206" s="430" t="s">
        <v>456</v>
      </c>
      <c r="AI206" s="437">
        <v>46070</v>
      </c>
      <c r="AJ206" s="437">
        <v>46079</v>
      </c>
      <c r="AK206" s="441">
        <v>46079</v>
      </c>
      <c r="AL206" s="437">
        <v>46110</v>
      </c>
      <c r="AM206" s="437">
        <v>46124</v>
      </c>
      <c r="AN206" s="437">
        <v>46124</v>
      </c>
      <c r="AO206" s="430" t="s">
        <v>402</v>
      </c>
      <c r="AP206" s="430" t="s">
        <v>1035</v>
      </c>
      <c r="AQ206" s="430" t="s">
        <v>80</v>
      </c>
      <c r="AR206" s="430" t="s">
        <v>1070</v>
      </c>
      <c r="AS206" s="430" t="s">
        <v>1071</v>
      </c>
      <c r="AT206" s="482" t="s">
        <v>1071</v>
      </c>
      <c r="AU2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7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7">
        <f>IF(ISERROR(PV_DATA[[#This Row],[New Ark PO status]]),"",_xlfn.XLOOKUP(PV_DATA[[#This Row],[SPTN-PVHK New Ark PO'#]],New_Ark_Data[Purchase order Number],New_Ark_Data[Estimated time of arrival],"",0))</f>
        <v>46132</v>
      </c>
      <c r="AZ20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7">
        <f>IFERROR(PV_DATA[[#This Row],[ODP ETA Port]]+PV_DATA[[#This Row],[Customs/Leg3 Assumption]],"n/a")</f>
        <v>46131</v>
      </c>
      <c r="BB206" s="433">
        <f>YEAR(PV_DATA[[#This Row],[ETA for New Ark update]])</f>
        <v>2026</v>
      </c>
      <c r="BC206" s="430">
        <f>MONTH(PV_DATA[[#This Row],[ETA for New Ark update]])</f>
        <v>4</v>
      </c>
      <c r="BD206" s="430">
        <f>IFERROR(_xlfn.ISOWEEKNUM(PV_DATA[[#This Row],[ETA for New Ark update]]),0)</f>
        <v>16</v>
      </c>
      <c r="BE206" s="431">
        <f>_xlfn.XLOOKUP(PV_DATA[[#This Row],[New Ark SKU]],Table9[New Ark SKU],Table9[Total PCS per Pallet],,0)</f>
        <v>36</v>
      </c>
      <c r="BF206" s="431">
        <f>_xlfn.XLOOKUP(PV_DATA[[#This Row],[New Ark SKU]],Table9[New Ark SKU],Table9[Total PCS per 40HQ Container],,0)</f>
        <v>864</v>
      </c>
      <c r="BG206" s="431" t="str">
        <f>_xlfn.XLOOKUP(PV_DATA[[#This Row],[New Ark SKU]],Table9[New Ark SKU],Table9[Back Glass],,0)</f>
        <v>White glazing</v>
      </c>
      <c r="BH206" s="431" t="str">
        <f>_xlfn.XLOOKUP(PV_DATA[[#This Row],[PORT DESTINATION]],Table12[PORT DESTINATION],Table12[Cosco Line],,0)</f>
        <v>AEU</v>
      </c>
      <c r="BJ206" s="430"/>
    </row>
    <row r="207" spans="1:62" ht="10.5">
      <c r="A207" s="462" t="s">
        <v>1072</v>
      </c>
      <c r="B207" s="462" t="s">
        <v>61</v>
      </c>
      <c r="C207" s="462" t="str">
        <f>IFERROR(LEFT(PV_DATA[[#This Row],[TCL REFERENCE]],FIND(".",PV_DATA[[#This Row],[TCL REFERENCE]],1)-1),"Main Line")</f>
        <v>Main Line</v>
      </c>
      <c r="D207" s="462" t="s">
        <v>63</v>
      </c>
      <c r="E207" s="462" t="s">
        <v>144</v>
      </c>
      <c r="F207" s="462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2" t="s">
        <v>402</v>
      </c>
      <c r="H207" s="462" t="s">
        <v>1029</v>
      </c>
      <c r="I207" s="439" t="s">
        <v>68</v>
      </c>
      <c r="J207" s="430" t="s">
        <v>1030</v>
      </c>
      <c r="K207" s="430" t="s">
        <v>1031</v>
      </c>
      <c r="L207" s="430"/>
      <c r="M207" s="430" t="s">
        <v>840</v>
      </c>
      <c r="N207" s="432">
        <v>46045</v>
      </c>
      <c r="O207" s="430" t="s">
        <v>1032</v>
      </c>
      <c r="P207" s="430" t="s">
        <v>885</v>
      </c>
      <c r="Q207" s="430" t="s">
        <v>886</v>
      </c>
      <c r="R207" s="431" t="str">
        <f>_xlfn.XLOOKUP(PV_DATA[[#This Row],[New Ark SKU]],Table9[New Ark SKU],Table9[Connector],,0)</f>
        <v>EVO2A</v>
      </c>
      <c r="S207" s="442" t="str">
        <f>_xlfn.XLOOKUP(PV_DATA[[#This Row],[New Ark SKU]],Table9[New Ark SKU],Table9[Cable],,0)</f>
        <v>±1400mm</v>
      </c>
      <c r="T207" s="433">
        <v>615</v>
      </c>
      <c r="U207" s="1088">
        <v>144</v>
      </c>
      <c r="V207" s="434">
        <f>PV_DATA[[#This Row],[QUANTITY]]*PV_DATA[[#This Row],[WATT]]/1000000</f>
        <v>8.856E-2</v>
      </c>
      <c r="W207" s="435">
        <f>PV_DATA[[#This Row],[QUANTITY]]/PV_DATA[[#This Row],[Qty/Pallet]]</f>
        <v>4</v>
      </c>
      <c r="X207" s="1040">
        <f>PV_DATA[[#This Row],[QUANTITY]]/PV_DATA[[#This Row],[Qty/CT]]</f>
        <v>0.2</v>
      </c>
      <c r="Y207" s="430" t="s">
        <v>75</v>
      </c>
      <c r="Z207" s="430" t="str">
        <f t="shared" si="0"/>
        <v>COMPLETED</v>
      </c>
      <c r="AA207" s="430"/>
      <c r="AB207" s="437">
        <v>46062</v>
      </c>
      <c r="AC207" s="438">
        <f>IF(PV_DATA[[#This Row],[Pick- Up Date]]&lt;&gt;"",_xlfn.ISOWEEKNUM(PV_DATA[[#This Row],[Pick- Up Date]]),"")</f>
        <v>7</v>
      </c>
      <c r="AD207" s="439" t="s">
        <v>1073</v>
      </c>
      <c r="AE207" s="430"/>
      <c r="AF207" s="430" t="s">
        <v>77</v>
      </c>
      <c r="AG207" s="430" t="s">
        <v>61</v>
      </c>
      <c r="AH207" s="430" t="s">
        <v>888</v>
      </c>
      <c r="AI207" s="437">
        <v>46080</v>
      </c>
      <c r="AJ207" s="437">
        <v>46081</v>
      </c>
      <c r="AK207" s="441">
        <v>46081</v>
      </c>
      <c r="AL207" s="437">
        <v>46141</v>
      </c>
      <c r="AM207" s="437">
        <v>46148</v>
      </c>
      <c r="AN207" s="437">
        <v>46147</v>
      </c>
      <c r="AO207" s="430" t="s">
        <v>402</v>
      </c>
      <c r="AP207" s="430" t="s">
        <v>850</v>
      </c>
      <c r="AQ207" s="430" t="s">
        <v>80</v>
      </c>
      <c r="AR207" s="430" t="s">
        <v>1074</v>
      </c>
      <c r="AS207" s="430" t="s">
        <v>1075</v>
      </c>
      <c r="AT207" s="482" t="s">
        <v>1075</v>
      </c>
      <c r="AU2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7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7">
        <f>IF(ISERROR(PV_DATA[[#This Row],[New Ark PO status]]),"",_xlfn.XLOOKUP(PV_DATA[[#This Row],[SPTN-PVHK New Ark PO'#]],New_Ark_Data[Purchase order Number],New_Ark_Data[Estimated time of arrival],"",0))</f>
        <v>46155</v>
      </c>
      <c r="AZ20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7">
        <f>IFERROR(PV_DATA[[#This Row],[ODP ETA Port]]+PV_DATA[[#This Row],[Customs/Leg3 Assumption]],"n/a")</f>
        <v>46147</v>
      </c>
      <c r="BB207" s="433">
        <f>YEAR(PV_DATA[[#This Row],[ETA for New Ark update]])</f>
        <v>2026</v>
      </c>
      <c r="BC207" s="430">
        <f>MONTH(PV_DATA[[#This Row],[ETA for New Ark update]])</f>
        <v>5</v>
      </c>
      <c r="BD207" s="430">
        <f>IFERROR(_xlfn.ISOWEEKNUM(PV_DATA[[#This Row],[ETA for New Ark update]]),0)</f>
        <v>19</v>
      </c>
      <c r="BE207" s="431">
        <f>_xlfn.XLOOKUP(PV_DATA[[#This Row],[New Ark SKU]],Table9[New Ark SKU],Table9[Total PCS per Pallet],,0)</f>
        <v>36</v>
      </c>
      <c r="BF207" s="431">
        <f>_xlfn.XLOOKUP(PV_DATA[[#This Row],[New Ark SKU]],Table9[New Ark SKU],Table9[Total PCS per 40HQ Container],,0)</f>
        <v>720</v>
      </c>
      <c r="BG207" s="431" t="str">
        <f>_xlfn.XLOOKUP(PV_DATA[[#This Row],[New Ark SKU]],Table9[New Ark SKU],Table9[Back Glass],,0)</f>
        <v>White glazing</v>
      </c>
      <c r="BH207" s="431" t="str">
        <f>_xlfn.XLOOKUP(PV_DATA[[#This Row],[PORT DESTINATION]],Table12[PORT DESTINATION],Table12[Cosco Line],,0)</f>
        <v>AEU</v>
      </c>
      <c r="BJ207" s="430"/>
    </row>
    <row r="208" spans="1:62" ht="10.5">
      <c r="A208" s="462" t="s">
        <v>1076</v>
      </c>
      <c r="B208" s="462" t="s">
        <v>61</v>
      </c>
      <c r="C208" s="462" t="str">
        <f>IFERROR(LEFT(PV_DATA[[#This Row],[TCL REFERENCE]],FIND(".",PV_DATA[[#This Row],[TCL REFERENCE]],1)-1),"Main Line")</f>
        <v>Main Line</v>
      </c>
      <c r="D208" s="462" t="s">
        <v>63</v>
      </c>
      <c r="E208" s="462" t="s">
        <v>144</v>
      </c>
      <c r="F208" s="462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2" t="s">
        <v>402</v>
      </c>
      <c r="H208" s="462" t="s">
        <v>1029</v>
      </c>
      <c r="I208" s="439" t="s">
        <v>68</v>
      </c>
      <c r="J208" s="430" t="s">
        <v>1030</v>
      </c>
      <c r="K208" s="430" t="s">
        <v>1031</v>
      </c>
      <c r="L208" s="430"/>
      <c r="M208" s="430" t="s">
        <v>840</v>
      </c>
      <c r="N208" s="432">
        <v>46045</v>
      </c>
      <c r="O208" s="430" t="s">
        <v>1032</v>
      </c>
      <c r="P208" s="430" t="s">
        <v>1077</v>
      </c>
      <c r="Q208" s="430" t="s">
        <v>103</v>
      </c>
      <c r="R208" s="431" t="str">
        <f>_xlfn.XLOOKUP(PV_DATA[[#This Row],[New Ark SKU]],Table9[New Ark SKU],Table9[Connector],,0)</f>
        <v>EVO2A</v>
      </c>
      <c r="S208" s="442" t="str">
        <f>_xlfn.XLOOKUP(PV_DATA[[#This Row],[New Ark SKU]],Table9[New Ark SKU],Table9[Cable],,0)</f>
        <v>±1400mm</v>
      </c>
      <c r="T208" s="433">
        <v>620</v>
      </c>
      <c r="U208" s="1088">
        <v>2736</v>
      </c>
      <c r="V208" s="434">
        <f>PV_DATA[[#This Row],[QUANTITY]]*PV_DATA[[#This Row],[WATT]]/1000000</f>
        <v>1.6963200000000001</v>
      </c>
      <c r="W208" s="435">
        <f>PV_DATA[[#This Row],[QUANTITY]]/PV_DATA[[#This Row],[Qty/Pallet]]</f>
        <v>76</v>
      </c>
      <c r="X208" s="1040">
        <f>PV_DATA[[#This Row],[QUANTITY]]/PV_DATA[[#This Row],[Qty/CT]]</f>
        <v>3.8</v>
      </c>
      <c r="Y208" s="430" t="s">
        <v>75</v>
      </c>
      <c r="Z208" s="430" t="str">
        <f t="shared" si="0"/>
        <v>COMPLETED</v>
      </c>
      <c r="AA208" s="430"/>
      <c r="AB208" s="437">
        <v>46062</v>
      </c>
      <c r="AC208" s="438">
        <f>IF(PV_DATA[[#This Row],[Pick- Up Date]]&lt;&gt;"",_xlfn.ISOWEEKNUM(PV_DATA[[#This Row],[Pick- Up Date]]),"")</f>
        <v>7</v>
      </c>
      <c r="AD208" s="439" t="s">
        <v>1078</v>
      </c>
      <c r="AE208" s="430"/>
      <c r="AF208" s="430" t="s">
        <v>77</v>
      </c>
      <c r="AG208" s="430" t="s">
        <v>61</v>
      </c>
      <c r="AH208" s="430" t="s">
        <v>888</v>
      </c>
      <c r="AI208" s="437">
        <v>46080</v>
      </c>
      <c r="AJ208" s="437">
        <v>46081</v>
      </c>
      <c r="AK208" s="441">
        <v>46081</v>
      </c>
      <c r="AL208" s="437">
        <v>46141</v>
      </c>
      <c r="AM208" s="437">
        <v>46148</v>
      </c>
      <c r="AN208" s="437">
        <v>46147</v>
      </c>
      <c r="AO208" s="430" t="s">
        <v>402</v>
      </c>
      <c r="AP208" s="430" t="s">
        <v>850</v>
      </c>
      <c r="AQ208" s="430" t="s">
        <v>80</v>
      </c>
      <c r="AR208" s="430" t="s">
        <v>1074</v>
      </c>
      <c r="AS208" s="430" t="s">
        <v>1075</v>
      </c>
      <c r="AT208" s="482" t="s">
        <v>1075</v>
      </c>
      <c r="AU2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7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7">
        <f>IF(ISERROR(PV_DATA[[#This Row],[New Ark PO status]]),"",_xlfn.XLOOKUP(PV_DATA[[#This Row],[SPTN-PVHK New Ark PO'#]],New_Ark_Data[Purchase order Number],New_Ark_Data[Estimated time of arrival],"",0))</f>
        <v>46155</v>
      </c>
      <c r="AZ2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7">
        <f>IFERROR(PV_DATA[[#This Row],[ODP ETA Port]]+PV_DATA[[#This Row],[Customs/Leg3 Assumption]],"n/a")</f>
        <v>46147</v>
      </c>
      <c r="BB208" s="433">
        <f>YEAR(PV_DATA[[#This Row],[ETA for New Ark update]])</f>
        <v>2026</v>
      </c>
      <c r="BC208" s="430">
        <f>MONTH(PV_DATA[[#This Row],[ETA for New Ark update]])</f>
        <v>5</v>
      </c>
      <c r="BD208" s="430">
        <f>IFERROR(_xlfn.ISOWEEKNUM(PV_DATA[[#This Row],[ETA for New Ark update]]),0)</f>
        <v>19</v>
      </c>
      <c r="BE208" s="431">
        <f>_xlfn.XLOOKUP(PV_DATA[[#This Row],[New Ark SKU]],Table9[New Ark SKU],Table9[Total PCS per Pallet],,0)</f>
        <v>36</v>
      </c>
      <c r="BF208" s="431">
        <f>_xlfn.XLOOKUP(PV_DATA[[#This Row],[New Ark SKU]],Table9[New Ark SKU],Table9[Total PCS per 40HQ Container],,0)</f>
        <v>720</v>
      </c>
      <c r="BG208" s="431" t="str">
        <f>_xlfn.XLOOKUP(PV_DATA[[#This Row],[New Ark SKU]],Table9[New Ark SKU],Table9[Back Glass],,0)</f>
        <v>White glazing</v>
      </c>
      <c r="BH208" s="431" t="str">
        <f>_xlfn.XLOOKUP(PV_DATA[[#This Row],[PORT DESTINATION]],Table12[PORT DESTINATION],Table12[Cosco Line],,0)</f>
        <v>AEU</v>
      </c>
      <c r="BJ208" s="430"/>
    </row>
    <row r="209" spans="1:62" ht="10.5">
      <c r="A209" s="462" t="s">
        <v>1079</v>
      </c>
      <c r="B209" s="462" t="s">
        <v>61</v>
      </c>
      <c r="C209" s="462" t="str">
        <f>IFERROR(LEFT(PV_DATA[[#This Row],[TCL REFERENCE]],FIND(".",PV_DATA[[#This Row],[TCL REFERENCE]],1)-1),"Main Line")</f>
        <v>26Feb018</v>
      </c>
      <c r="D209" s="462" t="s">
        <v>63</v>
      </c>
      <c r="E209" s="462" t="s">
        <v>144</v>
      </c>
      <c r="F209" s="462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2" t="s">
        <v>402</v>
      </c>
      <c r="H209" s="462" t="s">
        <v>1080</v>
      </c>
      <c r="I209" s="439" t="s">
        <v>882</v>
      </c>
      <c r="J209" s="430" t="s">
        <v>1081</v>
      </c>
      <c r="K209" s="430" t="s">
        <v>1082</v>
      </c>
      <c r="L209" s="430"/>
      <c r="M209" s="430" t="s">
        <v>840</v>
      </c>
      <c r="N209" s="432">
        <v>46055</v>
      </c>
      <c r="O209" s="430" t="s">
        <v>70</v>
      </c>
      <c r="P209" s="430" t="s">
        <v>965</v>
      </c>
      <c r="Q209" s="430" t="s">
        <v>966</v>
      </c>
      <c r="R209" s="431" t="str">
        <f>_xlfn.XLOOKUP(PV_DATA[[#This Row],[New Ark SKU]],Table9[New Ark SKU],Table9[Connector],,0)</f>
        <v>EVO2A</v>
      </c>
      <c r="S209" s="442" t="str">
        <f>_xlfn.XLOOKUP(PV_DATA[[#This Row],[New Ark SKU]],Table9[New Ark SKU],Table9[Cable],,0)</f>
        <v>±1200mm</v>
      </c>
      <c r="T209" s="433">
        <v>455</v>
      </c>
      <c r="U209" s="1088">
        <f>2*936</f>
        <v>1872</v>
      </c>
      <c r="V209" s="434">
        <f>PV_DATA[[#This Row],[QUANTITY]]*PV_DATA[[#This Row],[WATT]]/1000000</f>
        <v>0.85175999999999996</v>
      </c>
      <c r="W209" s="435">
        <f>PV_DATA[[#This Row],[QUANTITY]]/PV_DATA[[#This Row],[Qty/Pallet]]</f>
        <v>52</v>
      </c>
      <c r="X209" s="1040">
        <f>PV_DATA[[#This Row],[QUANTITY]]/PV_DATA[[#This Row],[Qty/CT]]</f>
        <v>2</v>
      </c>
      <c r="Y209" s="430" t="s">
        <v>75</v>
      </c>
      <c r="Z209" s="430" t="str">
        <f t="shared" si="0"/>
        <v>COMPLETED</v>
      </c>
      <c r="AA209" s="430"/>
      <c r="AB209" s="437">
        <v>46061</v>
      </c>
      <c r="AC209" s="438">
        <f>IF(PV_DATA[[#This Row],[Pick- Up Date]]&lt;&gt;"",_xlfn.ISOWEEKNUM(PV_DATA[[#This Row],[Pick- Up Date]]),"")</f>
        <v>6</v>
      </c>
      <c r="AD209" s="439" t="s">
        <v>1083</v>
      </c>
      <c r="AE209" s="430"/>
      <c r="AF209" s="430" t="s">
        <v>77</v>
      </c>
      <c r="AG209" s="430" t="s">
        <v>61</v>
      </c>
      <c r="AH209" s="430" t="s">
        <v>1084</v>
      </c>
      <c r="AI209" s="437">
        <v>46070</v>
      </c>
      <c r="AJ209" s="437">
        <v>46071</v>
      </c>
      <c r="AK209" s="441">
        <v>46071</v>
      </c>
      <c r="AL209" s="437">
        <v>46131</v>
      </c>
      <c r="AM209" s="437">
        <v>46138</v>
      </c>
      <c r="AN209" s="437">
        <v>46139</v>
      </c>
      <c r="AO209" s="430" t="s">
        <v>402</v>
      </c>
      <c r="AP209" s="430" t="s">
        <v>1085</v>
      </c>
      <c r="AQ209" s="430" t="s">
        <v>161</v>
      </c>
      <c r="AR209" s="430" t="s">
        <v>1086</v>
      </c>
      <c r="AS209" s="430" t="s">
        <v>1087</v>
      </c>
      <c r="AT209" s="482" t="s">
        <v>1087</v>
      </c>
      <c r="AU2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7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7">
        <f>IF(ISERROR(PV_DATA[[#This Row],[New Ark PO status]]),"",_xlfn.XLOOKUP(PV_DATA[[#This Row],[SPTN-PVHK New Ark PO'#]],New_Ark_Data[Purchase order Number],New_Ark_Data[Estimated time of arrival],"",0))</f>
        <v>46153</v>
      </c>
      <c r="AZ2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7">
        <f>IFERROR(PV_DATA[[#This Row],[ODP ETA Port]]+PV_DATA[[#This Row],[Customs/Leg3 Assumption]],"n/a")</f>
        <v>46139</v>
      </c>
      <c r="BB209" s="433">
        <f>YEAR(PV_DATA[[#This Row],[ETA for New Ark update]])</f>
        <v>2026</v>
      </c>
      <c r="BC209" s="430">
        <f>MONTH(PV_DATA[[#This Row],[ETA for New Ark update]])</f>
        <v>4</v>
      </c>
      <c r="BD209" s="430">
        <f>IFERROR(_xlfn.ISOWEEKNUM(PV_DATA[[#This Row],[ETA for New Ark update]]),0)</f>
        <v>18</v>
      </c>
      <c r="BE209" s="431">
        <f>_xlfn.XLOOKUP(PV_DATA[[#This Row],[New Ark SKU]],Table9[New Ark SKU],Table9[Total PCS per Pallet],,0)</f>
        <v>36</v>
      </c>
      <c r="BF209" s="431">
        <f>_xlfn.XLOOKUP(PV_DATA[[#This Row],[New Ark SKU]],Table9[New Ark SKU],Table9[Total PCS per 40HQ Container],,0)</f>
        <v>936</v>
      </c>
      <c r="BG209" s="431" t="str">
        <f>_xlfn.XLOOKUP(PV_DATA[[#This Row],[New Ark SKU]],Table9[New Ark SKU],Table9[Back Glass],,0)</f>
        <v>Black glazing</v>
      </c>
      <c r="BH209" s="431" t="str">
        <f>_xlfn.XLOOKUP(PV_DATA[[#This Row],[PORT DESTINATION]],Table12[PORT DESTINATION],Table12[Cosco Line],,0)</f>
        <v>AEU</v>
      </c>
      <c r="BJ209" s="430"/>
    </row>
    <row r="210" spans="1:62" ht="10.5">
      <c r="A210" s="462" t="s">
        <v>1088</v>
      </c>
      <c r="B210" s="462" t="s">
        <v>61</v>
      </c>
      <c r="C210" s="462" t="str">
        <f>IFERROR(LEFT(PV_DATA[[#This Row],[TCL REFERENCE]],FIND(".",PV_DATA[[#This Row],[TCL REFERENCE]],1)-1),"Main Line")</f>
        <v>26Feb018</v>
      </c>
      <c r="D210" s="462" t="s">
        <v>63</v>
      </c>
      <c r="E210" s="462" t="s">
        <v>144</v>
      </c>
      <c r="F210" s="462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2" t="s">
        <v>402</v>
      </c>
      <c r="H210" s="462" t="s">
        <v>1080</v>
      </c>
      <c r="I210" s="439" t="s">
        <v>882</v>
      </c>
      <c r="J210" s="430" t="s">
        <v>1081</v>
      </c>
      <c r="K210" s="430" t="s">
        <v>1082</v>
      </c>
      <c r="L210" s="430"/>
      <c r="M210" s="430" t="s">
        <v>840</v>
      </c>
      <c r="N210" s="432">
        <v>46055</v>
      </c>
      <c r="O210" s="430" t="s">
        <v>70</v>
      </c>
      <c r="P210" s="430" t="s">
        <v>965</v>
      </c>
      <c r="Q210" s="430" t="s">
        <v>966</v>
      </c>
      <c r="R210" s="431" t="str">
        <f>_xlfn.XLOOKUP(PV_DATA[[#This Row],[New Ark SKU]],Table9[New Ark SKU],Table9[Connector],,0)</f>
        <v>EVO2A</v>
      </c>
      <c r="S210" s="442" t="str">
        <f>_xlfn.XLOOKUP(PV_DATA[[#This Row],[New Ark SKU]],Table9[New Ark SKU],Table9[Cable],,0)</f>
        <v>±1200mm</v>
      </c>
      <c r="T210" s="433">
        <v>455</v>
      </c>
      <c r="U210" s="1088">
        <f>2*936</f>
        <v>1872</v>
      </c>
      <c r="V210" s="434">
        <f>PV_DATA[[#This Row],[QUANTITY]]*PV_DATA[[#This Row],[WATT]]/1000000</f>
        <v>0.85175999999999996</v>
      </c>
      <c r="W210" s="435">
        <f>PV_DATA[[#This Row],[QUANTITY]]/PV_DATA[[#This Row],[Qty/Pallet]]</f>
        <v>52</v>
      </c>
      <c r="X210" s="1040">
        <f>PV_DATA[[#This Row],[QUANTITY]]/PV_DATA[[#This Row],[Qty/CT]]</f>
        <v>2</v>
      </c>
      <c r="Y210" s="430" t="s">
        <v>75</v>
      </c>
      <c r="Z210" s="430" t="str">
        <f t="shared" si="0"/>
        <v>COMPLETED</v>
      </c>
      <c r="AA210" s="430"/>
      <c r="AB210" s="437">
        <v>46061</v>
      </c>
      <c r="AC210" s="438">
        <f>IF(PV_DATA[[#This Row],[Pick- Up Date]]&lt;&gt;"",_xlfn.ISOWEEKNUM(PV_DATA[[#This Row],[Pick- Up Date]]),"")</f>
        <v>6</v>
      </c>
      <c r="AD210" s="439" t="s">
        <v>1089</v>
      </c>
      <c r="AE210" s="430"/>
      <c r="AF210" s="430" t="s">
        <v>77</v>
      </c>
      <c r="AG210" s="430" t="s">
        <v>61</v>
      </c>
      <c r="AH210" s="430" t="s">
        <v>1084</v>
      </c>
      <c r="AI210" s="437">
        <v>46070</v>
      </c>
      <c r="AJ210" s="437">
        <v>46071</v>
      </c>
      <c r="AK210" s="441">
        <v>46071</v>
      </c>
      <c r="AL210" s="437">
        <v>46131</v>
      </c>
      <c r="AM210" s="437">
        <v>46138</v>
      </c>
      <c r="AN210" s="437">
        <v>46139</v>
      </c>
      <c r="AO210" s="430" t="s">
        <v>402</v>
      </c>
      <c r="AP210" s="430" t="s">
        <v>1085</v>
      </c>
      <c r="AQ210" s="430" t="s">
        <v>161</v>
      </c>
      <c r="AR210" s="430" t="s">
        <v>1086</v>
      </c>
      <c r="AS210" s="430" t="s">
        <v>1087</v>
      </c>
      <c r="AT210" s="482" t="s">
        <v>1087</v>
      </c>
      <c r="AU2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7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7">
        <f>IF(ISERROR(PV_DATA[[#This Row],[New Ark PO status]]),"",_xlfn.XLOOKUP(PV_DATA[[#This Row],[SPTN-PVHK New Ark PO'#]],New_Ark_Data[Purchase order Number],New_Ark_Data[Estimated time of arrival],"",0))</f>
        <v>46153</v>
      </c>
      <c r="AZ2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7">
        <f>IFERROR(PV_DATA[[#This Row],[ODP ETA Port]]+PV_DATA[[#This Row],[Customs/Leg3 Assumption]],"n/a")</f>
        <v>46139</v>
      </c>
      <c r="BB210" s="433">
        <f>YEAR(PV_DATA[[#This Row],[ETA for New Ark update]])</f>
        <v>2026</v>
      </c>
      <c r="BC210" s="430">
        <f>MONTH(PV_DATA[[#This Row],[ETA for New Ark update]])</f>
        <v>4</v>
      </c>
      <c r="BD210" s="430">
        <f>IFERROR(_xlfn.ISOWEEKNUM(PV_DATA[[#This Row],[ETA for New Ark update]]),0)</f>
        <v>18</v>
      </c>
      <c r="BE210" s="431">
        <f>_xlfn.XLOOKUP(PV_DATA[[#This Row],[New Ark SKU]],Table9[New Ark SKU],Table9[Total PCS per Pallet],,0)</f>
        <v>36</v>
      </c>
      <c r="BF210" s="431">
        <f>_xlfn.XLOOKUP(PV_DATA[[#This Row],[New Ark SKU]],Table9[New Ark SKU],Table9[Total PCS per 40HQ Container],,0)</f>
        <v>936</v>
      </c>
      <c r="BG210" s="431" t="str">
        <f>_xlfn.XLOOKUP(PV_DATA[[#This Row],[New Ark SKU]],Table9[New Ark SKU],Table9[Back Glass],,0)</f>
        <v>Black glazing</v>
      </c>
      <c r="BH210" s="431" t="str">
        <f>_xlfn.XLOOKUP(PV_DATA[[#This Row],[PORT DESTINATION]],Table12[PORT DESTINATION],Table12[Cosco Line],,0)</f>
        <v>AEU</v>
      </c>
      <c r="BJ210" s="430"/>
    </row>
    <row r="211" spans="1:62" ht="10.5">
      <c r="A211" s="462" t="s">
        <v>1090</v>
      </c>
      <c r="B211" s="462" t="s">
        <v>111</v>
      </c>
      <c r="C211" s="462" t="str">
        <f>IFERROR(LEFT(PV_DATA[[#This Row],[TCL REFERENCE]],FIND(".",PV_DATA[[#This Row],[TCL REFERENCE]],1)-1),"Main Line")</f>
        <v>26Feb009</v>
      </c>
      <c r="D211" s="462" t="s">
        <v>63</v>
      </c>
      <c r="E211" s="462" t="s">
        <v>64</v>
      </c>
      <c r="F211" s="462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2" t="s">
        <v>402</v>
      </c>
      <c r="H211" s="462" t="s">
        <v>67</v>
      </c>
      <c r="I211" s="439" t="s">
        <v>822</v>
      </c>
      <c r="J211" s="430" t="s">
        <v>293</v>
      </c>
      <c r="K211" s="430"/>
      <c r="L211" s="430"/>
      <c r="M211" s="430" t="s">
        <v>68</v>
      </c>
      <c r="N211" s="432">
        <v>46069</v>
      </c>
      <c r="O211" s="430" t="s">
        <v>132</v>
      </c>
      <c r="P211" s="430" t="s">
        <v>189</v>
      </c>
      <c r="Q211" s="430" t="s">
        <v>190</v>
      </c>
      <c r="R211" s="431" t="str">
        <f>_xlfn.XLOOKUP(PV_DATA[[#This Row],[New Ark SKU]],Table9[New Ark SKU],Table9[Connector],,0)</f>
        <v>EVO2A</v>
      </c>
      <c r="S211" s="442" t="str">
        <f>_xlfn.XLOOKUP(PV_DATA[[#This Row],[New Ark SKU]],Table9[New Ark SKU],Table9[Cable],,0)</f>
        <v>±1200mm</v>
      </c>
      <c r="T211" s="433">
        <v>465</v>
      </c>
      <c r="U211" s="1088">
        <f>864*5</f>
        <v>4320</v>
      </c>
      <c r="V211" s="434">
        <f>PV_DATA[[#This Row],[QUANTITY]]*PV_DATA[[#This Row],[WATT]]/1000000</f>
        <v>2.0087999999999999</v>
      </c>
      <c r="W211" s="435">
        <f>PV_DATA[[#This Row],[QUANTITY]]/PV_DATA[[#This Row],[Qty/Pallet]]</f>
        <v>120</v>
      </c>
      <c r="X211" s="1040">
        <f>PV_DATA[[#This Row],[QUANTITY]]/PV_DATA[[#This Row],[Qty/CT]]</f>
        <v>5</v>
      </c>
      <c r="Y211" s="430" t="s">
        <v>75</v>
      </c>
      <c r="Z211" s="430" t="str">
        <f t="shared" si="0"/>
        <v>COMPLETED</v>
      </c>
      <c r="AA211" s="430"/>
      <c r="AB211" s="437">
        <v>46073</v>
      </c>
      <c r="AC211" s="438">
        <f>IF(PV_DATA[[#This Row],[Pick- Up Date]]&lt;&gt;"",_xlfn.ISOWEEKNUM(PV_DATA[[#This Row],[Pick- Up Date]]),"")</f>
        <v>8</v>
      </c>
      <c r="AD211" s="439" t="s">
        <v>1092</v>
      </c>
      <c r="AE211" s="430"/>
      <c r="AF211" s="430" t="s">
        <v>122</v>
      </c>
      <c r="AG211" s="430" t="s">
        <v>123</v>
      </c>
      <c r="AH211" s="430" t="s">
        <v>105</v>
      </c>
      <c r="AI211" s="437">
        <v>46076</v>
      </c>
      <c r="AJ211" s="437">
        <v>46076</v>
      </c>
      <c r="AK211" s="441">
        <v>46076</v>
      </c>
      <c r="AL211" s="437">
        <v>46113</v>
      </c>
      <c r="AM211" s="437">
        <v>46122</v>
      </c>
      <c r="AN211" s="437">
        <v>46122</v>
      </c>
      <c r="AO211" s="430" t="s">
        <v>402</v>
      </c>
      <c r="AQ211" s="430" t="s">
        <v>80</v>
      </c>
      <c r="AR211" s="430" t="s">
        <v>1093</v>
      </c>
      <c r="AS211" s="430" t="s">
        <v>1094</v>
      </c>
      <c r="AT211" s="482" t="s">
        <v>1094</v>
      </c>
      <c r="AU2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7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7">
        <f>IF(ISERROR(PV_DATA[[#This Row],[New Ark PO status]]),"",_xlfn.XLOOKUP(PV_DATA[[#This Row],[SPTN-PVHK New Ark PO'#]],New_Ark_Data[Purchase order Number],New_Ark_Data[Estimated time of arrival],"",0))</f>
        <v>46132</v>
      </c>
      <c r="AZ2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7">
        <f>IFERROR(PV_DATA[[#This Row],[ODP ETA Port]]+PV_DATA[[#This Row],[Customs/Leg3 Assumption]],"n/a")</f>
        <v>46129</v>
      </c>
      <c r="BB211" s="433">
        <f>YEAR(PV_DATA[[#This Row],[ETA for New Ark update]])</f>
        <v>2026</v>
      </c>
      <c r="BC211" s="430">
        <f>MONTH(PV_DATA[[#This Row],[ETA for New Ark update]])</f>
        <v>4</v>
      </c>
      <c r="BD211" s="430">
        <f>IFERROR(_xlfn.ISOWEEKNUM(PV_DATA[[#This Row],[ETA for New Ark update]]),0)</f>
        <v>16</v>
      </c>
      <c r="BE211" s="431">
        <f>_xlfn.XLOOKUP(PV_DATA[[#This Row],[New Ark SKU]],Table9[New Ark SKU],Table9[Total PCS per Pallet],,0)</f>
        <v>36</v>
      </c>
      <c r="BF211" s="431">
        <f>_xlfn.XLOOKUP(PV_DATA[[#This Row],[New Ark SKU]],Table9[New Ark SKU],Table9[Total PCS per 40HQ Container],,0)</f>
        <v>864</v>
      </c>
      <c r="BG211" s="431" t="str">
        <f>_xlfn.XLOOKUP(PV_DATA[[#This Row],[New Ark SKU]],Table9[New Ark SKU],Table9[Back Glass],,0)</f>
        <v>White glazing</v>
      </c>
      <c r="BH211" s="431" t="str">
        <f>_xlfn.XLOOKUP(PV_DATA[[#This Row],[PORT DESTINATION]],Table12[PORT DESTINATION],Table12[Cosco Line],,0)</f>
        <v>AEU</v>
      </c>
      <c r="BJ211" s="430"/>
    </row>
    <row r="212" spans="1:62" ht="10.5">
      <c r="A212" s="462" t="s">
        <v>1095</v>
      </c>
      <c r="B212" s="462" t="s">
        <v>111</v>
      </c>
      <c r="C212" s="462" t="str">
        <f>IFERROR(LEFT(PV_DATA[[#This Row],[TCL REFERENCE]],FIND(".",PV_DATA[[#This Row],[TCL REFERENCE]],1)-1),"Main Line")</f>
        <v>26Feb010</v>
      </c>
      <c r="D212" s="462" t="s">
        <v>63</v>
      </c>
      <c r="E212" s="462" t="s">
        <v>64</v>
      </c>
      <c r="F212" s="462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2" t="s">
        <v>402</v>
      </c>
      <c r="H212" s="462" t="s">
        <v>67</v>
      </c>
      <c r="I212" s="439" t="s">
        <v>822</v>
      </c>
      <c r="J212" s="430" t="s">
        <v>1096</v>
      </c>
      <c r="K212" s="430"/>
      <c r="L212" s="430"/>
      <c r="M212" s="430" t="s">
        <v>68</v>
      </c>
      <c r="N212" s="432">
        <v>46069</v>
      </c>
      <c r="O212" s="430" t="s">
        <v>132</v>
      </c>
      <c r="P212" s="430" t="s">
        <v>1062</v>
      </c>
      <c r="Q212" s="430" t="s">
        <v>1063</v>
      </c>
      <c r="R212" s="431" t="str">
        <f>_xlfn.XLOOKUP(PV_DATA[[#This Row],[New Ark SKU]],Table9[New Ark SKU],Table9[Connector],,0)</f>
        <v>EVO2A</v>
      </c>
      <c r="S212" s="442" t="str">
        <f>_xlfn.XLOOKUP(PV_DATA[[#This Row],[New Ark SKU]],Table9[New Ark SKU],Table9[Cable],,0)</f>
        <v>±1200mm</v>
      </c>
      <c r="T212" s="433">
        <v>470</v>
      </c>
      <c r="U212" s="1088">
        <f>864*5</f>
        <v>4320</v>
      </c>
      <c r="V212" s="434">
        <f>PV_DATA[[#This Row],[QUANTITY]]*PV_DATA[[#This Row],[WATT]]/1000000</f>
        <v>2.0304000000000002</v>
      </c>
      <c r="W212" s="435">
        <f>PV_DATA[[#This Row],[QUANTITY]]/PV_DATA[[#This Row],[Qty/Pallet]]</f>
        <v>120</v>
      </c>
      <c r="X212" s="1040">
        <f>PV_DATA[[#This Row],[QUANTITY]]/PV_DATA[[#This Row],[Qty/CT]]</f>
        <v>5</v>
      </c>
      <c r="Y212" s="430" t="s">
        <v>75</v>
      </c>
      <c r="Z212" s="430" t="str">
        <f t="shared" si="0"/>
        <v>COMPLETED</v>
      </c>
      <c r="AA212" s="430"/>
      <c r="AB212" s="437">
        <v>46073</v>
      </c>
      <c r="AC212" s="438">
        <f>IF(PV_DATA[[#This Row],[Pick- Up Date]]&lt;&gt;"",_xlfn.ISOWEEKNUM(PV_DATA[[#This Row],[Pick- Up Date]]),"")</f>
        <v>8</v>
      </c>
      <c r="AD212" s="439" t="s">
        <v>1097</v>
      </c>
      <c r="AE212" s="430"/>
      <c r="AF212" s="430" t="s">
        <v>122</v>
      </c>
      <c r="AG212" s="430" t="s">
        <v>123</v>
      </c>
      <c r="AH212" s="430" t="s">
        <v>105</v>
      </c>
      <c r="AI212" s="437">
        <v>46076</v>
      </c>
      <c r="AJ212" s="437">
        <v>46076</v>
      </c>
      <c r="AK212" s="441">
        <v>46076</v>
      </c>
      <c r="AL212" s="437">
        <v>46113</v>
      </c>
      <c r="AM212" s="437">
        <v>46122</v>
      </c>
      <c r="AN212" s="437">
        <v>46122</v>
      </c>
      <c r="AO212" s="430" t="s">
        <v>402</v>
      </c>
      <c r="AQ212" s="430" t="s">
        <v>80</v>
      </c>
      <c r="AR212" s="430" t="s">
        <v>1093</v>
      </c>
      <c r="AS212" s="430" t="s">
        <v>1094</v>
      </c>
      <c r="AT212" s="482" t="s">
        <v>1094</v>
      </c>
      <c r="AU2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7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7">
        <f>IF(ISERROR(PV_DATA[[#This Row],[New Ark PO status]]),"",_xlfn.XLOOKUP(PV_DATA[[#This Row],[SPTN-PVHK New Ark PO'#]],New_Ark_Data[Purchase order Number],New_Ark_Data[Estimated time of arrival],"",0))</f>
        <v>46132</v>
      </c>
      <c r="AZ2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7">
        <f>IFERROR(PV_DATA[[#This Row],[ODP ETA Port]]+PV_DATA[[#This Row],[Customs/Leg3 Assumption]],"n/a")</f>
        <v>46129</v>
      </c>
      <c r="BB212" s="433">
        <f>YEAR(PV_DATA[[#This Row],[ETA for New Ark update]])</f>
        <v>2026</v>
      </c>
      <c r="BC212" s="430">
        <f>MONTH(PV_DATA[[#This Row],[ETA for New Ark update]])</f>
        <v>4</v>
      </c>
      <c r="BD212" s="430">
        <f>IFERROR(_xlfn.ISOWEEKNUM(PV_DATA[[#This Row],[ETA for New Ark update]]),0)</f>
        <v>16</v>
      </c>
      <c r="BE212" s="431">
        <f>_xlfn.XLOOKUP(PV_DATA[[#This Row],[New Ark SKU]],Table9[New Ark SKU],Table9[Total PCS per Pallet],,0)</f>
        <v>36</v>
      </c>
      <c r="BF212" s="431">
        <f>_xlfn.XLOOKUP(PV_DATA[[#This Row],[New Ark SKU]],Table9[New Ark SKU],Table9[Total PCS per 40HQ Container],,0)</f>
        <v>864</v>
      </c>
      <c r="BG212" s="431" t="str">
        <f>_xlfn.XLOOKUP(PV_DATA[[#This Row],[New Ark SKU]],Table9[New Ark SKU],Table9[Back Glass],,0)</f>
        <v>White glazing</v>
      </c>
      <c r="BH212" s="431" t="str">
        <f>_xlfn.XLOOKUP(PV_DATA[[#This Row],[PORT DESTINATION]],Table12[PORT DESTINATION],Table12[Cosco Line],,0)</f>
        <v>AEU</v>
      </c>
      <c r="BJ212" s="430"/>
    </row>
    <row r="213" spans="1:62" ht="10.5">
      <c r="A213" s="462" t="s">
        <v>1098</v>
      </c>
      <c r="B213" s="462" t="s">
        <v>111</v>
      </c>
      <c r="C213" s="462" t="str">
        <f>IFERROR(LEFT(PV_DATA[[#This Row],[TCL REFERENCE]],FIND(".",PV_DATA[[#This Row],[TCL REFERENCE]],1)-1),"Main Line")</f>
        <v>26Feb010</v>
      </c>
      <c r="D213" s="462" t="s">
        <v>63</v>
      </c>
      <c r="E213" s="462" t="s">
        <v>64</v>
      </c>
      <c r="F213" s="462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2" t="s">
        <v>402</v>
      </c>
      <c r="H213" s="462" t="s">
        <v>67</v>
      </c>
      <c r="I213" s="439" t="s">
        <v>869</v>
      </c>
      <c r="J213" s="430" t="s">
        <v>101</v>
      </c>
      <c r="K213" s="430"/>
      <c r="L213" s="430"/>
      <c r="M213" s="430" t="s">
        <v>68</v>
      </c>
      <c r="N213" s="432">
        <v>46069</v>
      </c>
      <c r="O213" s="430" t="s">
        <v>132</v>
      </c>
      <c r="P213" s="430" t="s">
        <v>1062</v>
      </c>
      <c r="Q213" s="430" t="s">
        <v>1063</v>
      </c>
      <c r="R213" s="431" t="str">
        <f>_xlfn.XLOOKUP(PV_DATA[[#This Row],[New Ark SKU]],Table9[New Ark SKU],Table9[Connector],,0)</f>
        <v>EVO2A</v>
      </c>
      <c r="S213" s="442" t="str">
        <f>_xlfn.XLOOKUP(PV_DATA[[#This Row],[New Ark SKU]],Table9[New Ark SKU],Table9[Cable],,0)</f>
        <v>±1200mm</v>
      </c>
      <c r="T213" s="433">
        <v>470</v>
      </c>
      <c r="U213" s="1088">
        <v>3456</v>
      </c>
      <c r="V213" s="434">
        <f>PV_DATA[[#This Row],[QUANTITY]]*PV_DATA[[#This Row],[WATT]]/1000000</f>
        <v>1.62432</v>
      </c>
      <c r="W213" s="435">
        <f>PV_DATA[[#This Row],[QUANTITY]]/PV_DATA[[#This Row],[Qty/Pallet]]</f>
        <v>96</v>
      </c>
      <c r="X213" s="1040">
        <f>PV_DATA[[#This Row],[QUANTITY]]/PV_DATA[[#This Row],[Qty/CT]]</f>
        <v>4</v>
      </c>
      <c r="Y213" s="430" t="s">
        <v>75</v>
      </c>
      <c r="Z213" s="430" t="str">
        <f t="shared" si="0"/>
        <v>COMPLETED</v>
      </c>
      <c r="AA213" s="430"/>
      <c r="AB213" s="437">
        <v>46066</v>
      </c>
      <c r="AC213" s="438">
        <f>IF(PV_DATA[[#This Row],[Pick- Up Date]]&lt;&gt;"",_xlfn.ISOWEEKNUM(PV_DATA[[#This Row],[Pick- Up Date]]),"")</f>
        <v>7</v>
      </c>
      <c r="AD213" s="439" t="s">
        <v>1099</v>
      </c>
      <c r="AE213" s="430"/>
      <c r="AF213" s="430" t="s">
        <v>122</v>
      </c>
      <c r="AG213" s="430" t="s">
        <v>123</v>
      </c>
      <c r="AH213" s="430" t="s">
        <v>105</v>
      </c>
      <c r="AI213" s="437">
        <v>46076</v>
      </c>
      <c r="AJ213" s="437">
        <v>46076</v>
      </c>
      <c r="AK213" s="441">
        <v>46076</v>
      </c>
      <c r="AL213" s="437">
        <v>46113</v>
      </c>
      <c r="AM213" s="437">
        <v>46122</v>
      </c>
      <c r="AN213" s="437">
        <v>46122</v>
      </c>
      <c r="AO213" s="430" t="s">
        <v>402</v>
      </c>
      <c r="AQ213" s="430" t="s">
        <v>80</v>
      </c>
      <c r="AR213" s="430" t="s">
        <v>1100</v>
      </c>
      <c r="AS213" s="430" t="s">
        <v>1101</v>
      </c>
      <c r="AT213" s="482" t="s">
        <v>1101</v>
      </c>
      <c r="AU2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7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7">
        <f>IF(ISERROR(PV_DATA[[#This Row],[New Ark PO status]]),"",_xlfn.XLOOKUP(PV_DATA[[#This Row],[SPTN-PVHK New Ark PO'#]],New_Ark_Data[Purchase order Number],New_Ark_Data[Estimated time of arrival],"",0))</f>
        <v>46132</v>
      </c>
      <c r="AZ2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7">
        <f>IFERROR(PV_DATA[[#This Row],[ODP ETA Port]]+PV_DATA[[#This Row],[Customs/Leg3 Assumption]],"n/a")</f>
        <v>46129</v>
      </c>
      <c r="BB213" s="433">
        <f>YEAR(PV_DATA[[#This Row],[ETA for New Ark update]])</f>
        <v>2026</v>
      </c>
      <c r="BC213" s="430">
        <f>MONTH(PV_DATA[[#This Row],[ETA for New Ark update]])</f>
        <v>4</v>
      </c>
      <c r="BD213" s="430">
        <f>IFERROR(_xlfn.ISOWEEKNUM(PV_DATA[[#This Row],[ETA for New Ark update]]),0)</f>
        <v>16</v>
      </c>
      <c r="BE213" s="431">
        <f>_xlfn.XLOOKUP(PV_DATA[[#This Row],[New Ark SKU]],Table9[New Ark SKU],Table9[Total PCS per Pallet],,0)</f>
        <v>36</v>
      </c>
      <c r="BF213" s="431">
        <f>_xlfn.XLOOKUP(PV_DATA[[#This Row],[New Ark SKU]],Table9[New Ark SKU],Table9[Total PCS per 40HQ Container],,0)</f>
        <v>864</v>
      </c>
      <c r="BG213" s="431" t="str">
        <f>_xlfn.XLOOKUP(PV_DATA[[#This Row],[New Ark SKU]],Table9[New Ark SKU],Table9[Back Glass],,0)</f>
        <v>White glazing</v>
      </c>
      <c r="BH213" s="431" t="str">
        <f>_xlfn.XLOOKUP(PV_DATA[[#This Row],[PORT DESTINATION]],Table12[PORT DESTINATION],Table12[Cosco Line],,0)</f>
        <v>AEU</v>
      </c>
      <c r="BJ213" s="430"/>
    </row>
    <row r="214" spans="1:62" ht="10.5">
      <c r="A214" s="462" t="s">
        <v>1102</v>
      </c>
      <c r="B214" s="462" t="s">
        <v>111</v>
      </c>
      <c r="C214" s="462" t="str">
        <f>IFERROR(LEFT(PV_DATA[[#This Row],[TCL REFERENCE]],FIND(".",PV_DATA[[#This Row],[TCL REFERENCE]],1)-1),"Main Line")</f>
        <v>Main Line</v>
      </c>
      <c r="D214" s="462" t="s">
        <v>63</v>
      </c>
      <c r="E214" s="462" t="s">
        <v>64</v>
      </c>
      <c r="F214" s="462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2" t="s">
        <v>402</v>
      </c>
      <c r="H214" s="462" t="s">
        <v>67</v>
      </c>
      <c r="I214" s="439" t="s">
        <v>882</v>
      </c>
      <c r="J214" s="430" t="s">
        <v>1103</v>
      </c>
      <c r="K214" s="430"/>
      <c r="L214" s="430"/>
      <c r="M214" s="430" t="s">
        <v>68</v>
      </c>
      <c r="N214" s="432">
        <v>46045</v>
      </c>
      <c r="O214" s="430" t="s">
        <v>713</v>
      </c>
      <c r="P214" s="430" t="s">
        <v>1104</v>
      </c>
      <c r="Q214" s="430" t="s">
        <v>1105</v>
      </c>
      <c r="R214" s="431" t="str">
        <f>_xlfn.XLOOKUP(PV_DATA[[#This Row],[New Ark SKU]],Table9[New Ark SKU],Table9[Connector],,0)</f>
        <v>EVO2A</v>
      </c>
      <c r="S214" s="442" t="str">
        <f>_xlfn.XLOOKUP(PV_DATA[[#This Row],[New Ark SKU]],Table9[New Ark SKU],Table9[Cable],,0)</f>
        <v>±1400mm</v>
      </c>
      <c r="T214" s="433">
        <v>455</v>
      </c>
      <c r="U214" s="1088" cm="1">
        <f t="array" ref="U214">288-fx_qty</f>
        <v>288</v>
      </c>
      <c r="V214" s="434">
        <f>PV_DATA[[#This Row],[QUANTITY]]*PV_DATA[[#This Row],[WATT]]/1000000</f>
        <v>0.13103999999999999</v>
      </c>
      <c r="W214" s="435">
        <f>PV_DATA[[#This Row],[QUANTITY]]/PV_DATA[[#This Row],[Qty/Pallet]]</f>
        <v>8</v>
      </c>
      <c r="X214" s="1040">
        <f>PV_DATA[[#This Row],[QUANTITY]]/PV_DATA[[#This Row],[Qty/CT]]</f>
        <v>0.33333333333333331</v>
      </c>
      <c r="Y214" s="430" t="s">
        <v>75</v>
      </c>
      <c r="Z214" s="430" t="str">
        <f t="shared" si="0"/>
        <v>COMPLETED</v>
      </c>
      <c r="AA214" s="430"/>
      <c r="AB214" s="437">
        <v>46066</v>
      </c>
      <c r="AC214" s="438">
        <f>IF(PV_DATA[[#This Row],[Pick- Up Date]]&lt;&gt;"",_xlfn.ISOWEEKNUM(PV_DATA[[#This Row],[Pick- Up Date]]),"")</f>
        <v>7</v>
      </c>
      <c r="AD214" s="439" t="s">
        <v>1106</v>
      </c>
      <c r="AE214" s="430"/>
      <c r="AF214" s="430" t="s">
        <v>122</v>
      </c>
      <c r="AG214" s="430" t="s">
        <v>123</v>
      </c>
      <c r="AH214" s="430" t="s">
        <v>105</v>
      </c>
      <c r="AI214" s="437">
        <v>46076</v>
      </c>
      <c r="AJ214" s="437">
        <v>46076</v>
      </c>
      <c r="AK214" s="441">
        <v>46076</v>
      </c>
      <c r="AL214" s="437">
        <v>46113</v>
      </c>
      <c r="AM214" s="437">
        <v>46122</v>
      </c>
      <c r="AN214" s="437">
        <v>46122</v>
      </c>
      <c r="AO214" s="430" t="s">
        <v>402</v>
      </c>
      <c r="AQ214" s="430" t="s">
        <v>80</v>
      </c>
      <c r="AR214" s="430" t="s">
        <v>1100</v>
      </c>
      <c r="AS214" s="430" t="s">
        <v>1101</v>
      </c>
      <c r="AT214" s="482" t="s">
        <v>1101</v>
      </c>
      <c r="AU2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7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7">
        <f>IF(ISERROR(PV_DATA[[#This Row],[New Ark PO status]]),"",_xlfn.XLOOKUP(PV_DATA[[#This Row],[SPTN-PVHK New Ark PO'#]],New_Ark_Data[Purchase order Number],New_Ark_Data[Estimated time of arrival],"",0))</f>
        <v>46132</v>
      </c>
      <c r="AZ2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7">
        <f>IFERROR(PV_DATA[[#This Row],[ODP ETA Port]]+PV_DATA[[#This Row],[Customs/Leg3 Assumption]],"n/a")</f>
        <v>46129</v>
      </c>
      <c r="BB214" s="433">
        <f>YEAR(PV_DATA[[#This Row],[ETA for New Ark update]])</f>
        <v>2026</v>
      </c>
      <c r="BC214" s="430">
        <f>MONTH(PV_DATA[[#This Row],[ETA for New Ark update]])</f>
        <v>4</v>
      </c>
      <c r="BD214" s="430">
        <f>IFERROR(_xlfn.ISOWEEKNUM(PV_DATA[[#This Row],[ETA for New Ark update]]),0)</f>
        <v>16</v>
      </c>
      <c r="BE214" s="431">
        <f>_xlfn.XLOOKUP(PV_DATA[[#This Row],[New Ark SKU]],Table9[New Ark SKU],Table9[Total PCS per Pallet],,0)</f>
        <v>36</v>
      </c>
      <c r="BF214" s="431">
        <f>_xlfn.XLOOKUP(PV_DATA[[#This Row],[New Ark SKU]],Table9[New Ark SKU],Table9[Total PCS per 40HQ Container],,0)</f>
        <v>864</v>
      </c>
      <c r="BG214" s="431" t="str">
        <f>_xlfn.XLOOKUP(PV_DATA[[#This Row],[New Ark SKU]],Table9[New Ark SKU],Table9[Back Glass],,0)</f>
        <v>White glazing</v>
      </c>
      <c r="BH214" s="431" t="str">
        <f>_xlfn.XLOOKUP(PV_DATA[[#This Row],[PORT DESTINATION]],Table12[PORT DESTINATION],Table12[Cosco Line],,0)</f>
        <v>AEU</v>
      </c>
      <c r="BJ214" s="430"/>
    </row>
    <row r="215" spans="1:62" ht="10.5">
      <c r="A215" s="462" t="s">
        <v>1107</v>
      </c>
      <c r="B215" s="462" t="s">
        <v>111</v>
      </c>
      <c r="C215" s="462" t="str">
        <f>IFERROR(LEFT(PV_DATA[[#This Row],[TCL REFERENCE]],FIND(".",PV_DATA[[#This Row],[TCL REFERENCE]],1)-1),"Main Line")</f>
        <v>Main Line</v>
      </c>
      <c r="D215" s="462" t="s">
        <v>63</v>
      </c>
      <c r="E215" s="462" t="s">
        <v>64</v>
      </c>
      <c r="F215" s="462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2" t="s">
        <v>402</v>
      </c>
      <c r="H215" s="462" t="s">
        <v>67</v>
      </c>
      <c r="I215" s="439" t="s">
        <v>882</v>
      </c>
      <c r="J215" s="430" t="s">
        <v>1108</v>
      </c>
      <c r="K215" s="430"/>
      <c r="L215" s="430"/>
      <c r="M215" s="430" t="s">
        <v>68</v>
      </c>
      <c r="N215" s="432">
        <v>46045</v>
      </c>
      <c r="O215" s="430" t="s">
        <v>713</v>
      </c>
      <c r="P215" s="430" t="s">
        <v>1109</v>
      </c>
      <c r="Q215" s="430" t="s">
        <v>454</v>
      </c>
      <c r="R215" s="431" t="str">
        <f>_xlfn.XLOOKUP(PV_DATA[[#This Row],[New Ark SKU]],Table9[New Ark SKU],Table9[Connector],,0)</f>
        <v>EVO2A</v>
      </c>
      <c r="S215" s="442" t="str">
        <f>_xlfn.XLOOKUP(PV_DATA[[#This Row],[New Ark SKU]],Table9[New Ark SKU],Table9[Cable],,0)</f>
        <v>±1400mm</v>
      </c>
      <c r="T215" s="433">
        <v>460</v>
      </c>
      <c r="U215" s="1088">
        <v>576</v>
      </c>
      <c r="V215" s="434">
        <f>PV_DATA[[#This Row],[QUANTITY]]*PV_DATA[[#This Row],[WATT]]/1000000</f>
        <v>0.26495999999999997</v>
      </c>
      <c r="W215" s="435">
        <f>PV_DATA[[#This Row],[QUANTITY]]/PV_DATA[[#This Row],[Qty/Pallet]]</f>
        <v>16</v>
      </c>
      <c r="X215" s="1040">
        <f>PV_DATA[[#This Row],[QUANTITY]]/PV_DATA[[#This Row],[Qty/CT]]</f>
        <v>0.66666666666666663</v>
      </c>
      <c r="Y215" s="430" t="s">
        <v>75</v>
      </c>
      <c r="Z215" s="430" t="str">
        <f t="shared" si="0"/>
        <v>COMPLETED</v>
      </c>
      <c r="AA215" s="430"/>
      <c r="AB215" s="437">
        <v>46066</v>
      </c>
      <c r="AC215" s="438">
        <f>IF(PV_DATA[[#This Row],[Pick- Up Date]]&lt;&gt;"",_xlfn.ISOWEEKNUM(PV_DATA[[#This Row],[Pick- Up Date]]),"")</f>
        <v>7</v>
      </c>
      <c r="AD215" s="439" t="s">
        <v>1110</v>
      </c>
      <c r="AE215" s="430"/>
      <c r="AF215" s="430" t="s">
        <v>122</v>
      </c>
      <c r="AG215" s="430" t="s">
        <v>123</v>
      </c>
      <c r="AH215" s="430" t="s">
        <v>105</v>
      </c>
      <c r="AI215" s="437">
        <v>46076</v>
      </c>
      <c r="AJ215" s="437">
        <v>46076</v>
      </c>
      <c r="AK215" s="441">
        <v>46076</v>
      </c>
      <c r="AL215" s="437">
        <v>46113</v>
      </c>
      <c r="AM215" s="437">
        <v>46122</v>
      </c>
      <c r="AN215" s="437">
        <v>46122</v>
      </c>
      <c r="AO215" s="430" t="s">
        <v>402</v>
      </c>
      <c r="AQ215" s="430" t="s">
        <v>80</v>
      </c>
      <c r="AR215" s="430" t="s">
        <v>1100</v>
      </c>
      <c r="AS215" s="430" t="s">
        <v>1101</v>
      </c>
      <c r="AT215" s="482" t="s">
        <v>1101</v>
      </c>
      <c r="AU2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7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7">
        <f>IF(ISERROR(PV_DATA[[#This Row],[New Ark PO status]]),"",_xlfn.XLOOKUP(PV_DATA[[#This Row],[SPTN-PVHK New Ark PO'#]],New_Ark_Data[Purchase order Number],New_Ark_Data[Estimated time of arrival],"",0))</f>
        <v>46132</v>
      </c>
      <c r="AZ2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7">
        <f>IFERROR(PV_DATA[[#This Row],[ODP ETA Port]]+PV_DATA[[#This Row],[Customs/Leg3 Assumption]],"n/a")</f>
        <v>46129</v>
      </c>
      <c r="BB215" s="433">
        <f>YEAR(PV_DATA[[#This Row],[ETA for New Ark update]])</f>
        <v>2026</v>
      </c>
      <c r="BC215" s="430">
        <f>MONTH(PV_DATA[[#This Row],[ETA for New Ark update]])</f>
        <v>4</v>
      </c>
      <c r="BD215" s="430">
        <f>IFERROR(_xlfn.ISOWEEKNUM(PV_DATA[[#This Row],[ETA for New Ark update]]),0)</f>
        <v>16</v>
      </c>
      <c r="BE215" s="431">
        <f>_xlfn.XLOOKUP(PV_DATA[[#This Row],[New Ark SKU]],Table9[New Ark SKU],Table9[Total PCS per Pallet],,0)</f>
        <v>36</v>
      </c>
      <c r="BF215" s="431">
        <f>_xlfn.XLOOKUP(PV_DATA[[#This Row],[New Ark SKU]],Table9[New Ark SKU],Table9[Total PCS per 40HQ Container],,0)</f>
        <v>864</v>
      </c>
      <c r="BG215" s="431" t="str">
        <f>_xlfn.XLOOKUP(PV_DATA[[#This Row],[New Ark SKU]],Table9[New Ark SKU],Table9[Back Glass],,0)</f>
        <v>White glazing</v>
      </c>
      <c r="BH215" s="431" t="str">
        <f>_xlfn.XLOOKUP(PV_DATA[[#This Row],[PORT DESTINATION]],Table12[PORT DESTINATION],Table12[Cosco Line],,0)</f>
        <v>AEU</v>
      </c>
      <c r="BJ215" s="430"/>
    </row>
    <row r="216" spans="1:62" ht="10.5">
      <c r="A216" s="462" t="s">
        <v>1111</v>
      </c>
      <c r="B216" s="462" t="s">
        <v>111</v>
      </c>
      <c r="C216" s="462" t="str">
        <f>IFERROR(LEFT(PV_DATA[[#This Row],[TCL REFERENCE]],FIND(".",PV_DATA[[#This Row],[TCL REFERENCE]],1)-1),"Main Line")</f>
        <v>26Feb009</v>
      </c>
      <c r="D216" s="462" t="s">
        <v>63</v>
      </c>
      <c r="E216" s="462" t="s">
        <v>64</v>
      </c>
      <c r="F216" s="462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2" t="s">
        <v>402</v>
      </c>
      <c r="H216" s="462" t="s">
        <v>451</v>
      </c>
      <c r="I216" s="439" t="s">
        <v>822</v>
      </c>
      <c r="J216" s="430" t="s">
        <v>1112</v>
      </c>
      <c r="K216" s="430" t="s">
        <v>1113</v>
      </c>
      <c r="L216" s="430"/>
      <c r="M216" s="430" t="s">
        <v>68</v>
      </c>
      <c r="N216" s="432">
        <v>46055</v>
      </c>
      <c r="O216" s="430" t="s">
        <v>132</v>
      </c>
      <c r="P216" s="430" t="s">
        <v>189</v>
      </c>
      <c r="Q216" s="430" t="s">
        <v>190</v>
      </c>
      <c r="R216" s="431" t="str">
        <f>_xlfn.XLOOKUP(PV_DATA[[#This Row],[New Ark SKU]],Table9[New Ark SKU],Table9[Connector],,0)</f>
        <v>EVO2A</v>
      </c>
      <c r="S216" s="442" t="str">
        <f>_xlfn.XLOOKUP(PV_DATA[[#This Row],[New Ark SKU]],Table9[New Ark SKU],Table9[Cable],,0)</f>
        <v>±1200mm</v>
      </c>
      <c r="T216" s="433">
        <v>465</v>
      </c>
      <c r="U216" s="1088">
        <f>864*2</f>
        <v>1728</v>
      </c>
      <c r="V216" s="434">
        <f>PV_DATA[[#This Row],[QUANTITY]]*PV_DATA[[#This Row],[WATT]]/1000000</f>
        <v>0.80352000000000001</v>
      </c>
      <c r="W216" s="435">
        <f>PV_DATA[[#This Row],[QUANTITY]]/PV_DATA[[#This Row],[Qty/Pallet]]</f>
        <v>48</v>
      </c>
      <c r="X216" s="1040">
        <f>PV_DATA[[#This Row],[QUANTITY]]/PV_DATA[[#This Row],[Qty/CT]]</f>
        <v>2</v>
      </c>
      <c r="Y216" s="430" t="s">
        <v>75</v>
      </c>
      <c r="Z216" s="430" t="str">
        <f t="shared" si="0"/>
        <v>COMPLETED</v>
      </c>
      <c r="AA216" s="430"/>
      <c r="AB216" s="437">
        <v>46073</v>
      </c>
      <c r="AC216" s="438">
        <f>IF(PV_DATA[[#This Row],[Pick- Up Date]]&lt;&gt;"",_xlfn.ISOWEEKNUM(PV_DATA[[#This Row],[Pick- Up Date]]),"")</f>
        <v>8</v>
      </c>
      <c r="AD216" s="439" t="s">
        <v>1114</v>
      </c>
      <c r="AE216" s="430"/>
      <c r="AF216" s="430" t="s">
        <v>122</v>
      </c>
      <c r="AG216" s="430" t="s">
        <v>123</v>
      </c>
      <c r="AH216" s="430" t="s">
        <v>456</v>
      </c>
      <c r="AI216" s="437">
        <v>46076</v>
      </c>
      <c r="AJ216" s="437">
        <v>46079</v>
      </c>
      <c r="AK216" s="441">
        <v>46079</v>
      </c>
      <c r="AL216" s="437">
        <v>46117</v>
      </c>
      <c r="AM216" s="437">
        <v>46124</v>
      </c>
      <c r="AN216" s="437">
        <v>46124</v>
      </c>
      <c r="AO216" s="430" t="s">
        <v>402</v>
      </c>
      <c r="AQ216" s="430" t="s">
        <v>80</v>
      </c>
      <c r="AR216" s="430" t="s">
        <v>1115</v>
      </c>
      <c r="AS216" s="430" t="s">
        <v>1116</v>
      </c>
      <c r="AT216" s="482" t="s">
        <v>1116</v>
      </c>
      <c r="AU2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7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7">
        <f>IF(ISERROR(PV_DATA[[#This Row],[New Ark PO status]]),"",_xlfn.XLOOKUP(PV_DATA[[#This Row],[SPTN-PVHK New Ark PO'#]],New_Ark_Data[Purchase order Number],New_Ark_Data[Estimated time of arrival],"",0))</f>
        <v>46132</v>
      </c>
      <c r="AZ21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7">
        <f>IFERROR(PV_DATA[[#This Row],[ODP ETA Port]]+PV_DATA[[#This Row],[Customs/Leg3 Assumption]],"n/a")</f>
        <v>46131</v>
      </c>
      <c r="BB216" s="433">
        <f>YEAR(PV_DATA[[#This Row],[ETA for New Ark update]])</f>
        <v>2026</v>
      </c>
      <c r="BC216" s="430">
        <f>MONTH(PV_DATA[[#This Row],[ETA for New Ark update]])</f>
        <v>4</v>
      </c>
      <c r="BD216" s="430">
        <f>IFERROR(_xlfn.ISOWEEKNUM(PV_DATA[[#This Row],[ETA for New Ark update]]),0)</f>
        <v>16</v>
      </c>
      <c r="BE216" s="431">
        <f>_xlfn.XLOOKUP(PV_DATA[[#This Row],[New Ark SKU]],Table9[New Ark SKU],Table9[Total PCS per Pallet],,0)</f>
        <v>36</v>
      </c>
      <c r="BF216" s="431">
        <f>_xlfn.XLOOKUP(PV_DATA[[#This Row],[New Ark SKU]],Table9[New Ark SKU],Table9[Total PCS per 40HQ Container],,0)</f>
        <v>864</v>
      </c>
      <c r="BG216" s="431" t="str">
        <f>_xlfn.XLOOKUP(PV_DATA[[#This Row],[New Ark SKU]],Table9[New Ark SKU],Table9[Back Glass],,0)</f>
        <v>White glazing</v>
      </c>
      <c r="BH216" s="431" t="str">
        <f>_xlfn.XLOOKUP(PV_DATA[[#This Row],[PORT DESTINATION]],Table12[PORT DESTINATION],Table12[Cosco Line],,0)</f>
        <v>AEU</v>
      </c>
      <c r="BJ216" s="430"/>
    </row>
    <row r="217" spans="1:62" ht="10.5">
      <c r="A217" s="462" t="s">
        <v>1117</v>
      </c>
      <c r="B217" s="462" t="s">
        <v>111</v>
      </c>
      <c r="C217" s="462" t="str">
        <f>IFERROR(LEFT(PV_DATA[[#This Row],[TCL REFERENCE]],FIND(".",PV_DATA[[#This Row],[TCL REFERENCE]],1)-1),"Main Line")</f>
        <v>26Feb010</v>
      </c>
      <c r="D217" s="462" t="s">
        <v>63</v>
      </c>
      <c r="E217" s="462" t="s">
        <v>64</v>
      </c>
      <c r="F217" s="462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2" t="s">
        <v>402</v>
      </c>
      <c r="H217" s="462" t="s">
        <v>451</v>
      </c>
      <c r="I217" s="439" t="s">
        <v>822</v>
      </c>
      <c r="J217" s="430" t="s">
        <v>1112</v>
      </c>
      <c r="K217" s="430" t="s">
        <v>1113</v>
      </c>
      <c r="L217" s="430"/>
      <c r="M217" s="430" t="s">
        <v>68</v>
      </c>
      <c r="N217" s="432">
        <v>46069</v>
      </c>
      <c r="O217" s="430" t="s">
        <v>132</v>
      </c>
      <c r="P217" s="430" t="s">
        <v>1062</v>
      </c>
      <c r="Q217" s="430" t="s">
        <v>1063</v>
      </c>
      <c r="R217" s="431" t="str">
        <f>_xlfn.XLOOKUP(PV_DATA[[#This Row],[New Ark SKU]],Table9[New Ark SKU],Table9[Connector],,0)</f>
        <v>EVO2A</v>
      </c>
      <c r="S217" s="442" t="str">
        <f>_xlfn.XLOOKUP(PV_DATA[[#This Row],[New Ark SKU]],Table9[New Ark SKU],Table9[Cable],,0)</f>
        <v>±1200mm</v>
      </c>
      <c r="T217" s="433">
        <v>470</v>
      </c>
      <c r="U217" s="1088">
        <f>864*3</f>
        <v>2592</v>
      </c>
      <c r="V217" s="434">
        <f>PV_DATA[[#This Row],[QUANTITY]]*PV_DATA[[#This Row],[WATT]]/1000000</f>
        <v>1.21824</v>
      </c>
      <c r="W217" s="435">
        <f>PV_DATA[[#This Row],[QUANTITY]]/PV_DATA[[#This Row],[Qty/Pallet]]</f>
        <v>72</v>
      </c>
      <c r="X217" s="1040">
        <f>PV_DATA[[#This Row],[QUANTITY]]/PV_DATA[[#This Row],[Qty/CT]]</f>
        <v>3</v>
      </c>
      <c r="Y217" s="430" t="s">
        <v>75</v>
      </c>
      <c r="Z217" s="430" t="str">
        <f t="shared" si="0"/>
        <v>COMPLETED</v>
      </c>
      <c r="AA217" s="430"/>
      <c r="AB217" s="437">
        <v>46073</v>
      </c>
      <c r="AC217" s="438">
        <f>IF(PV_DATA[[#This Row],[Pick- Up Date]]&lt;&gt;"",_xlfn.ISOWEEKNUM(PV_DATA[[#This Row],[Pick- Up Date]]),"")</f>
        <v>8</v>
      </c>
      <c r="AD217" s="439" t="s">
        <v>1118</v>
      </c>
      <c r="AE217" s="430"/>
      <c r="AF217" s="430" t="s">
        <v>122</v>
      </c>
      <c r="AG217" s="430" t="s">
        <v>123</v>
      </c>
      <c r="AH217" s="430" t="s">
        <v>456</v>
      </c>
      <c r="AI217" s="437">
        <v>46076</v>
      </c>
      <c r="AJ217" s="437">
        <v>46079</v>
      </c>
      <c r="AK217" s="441">
        <v>46079</v>
      </c>
      <c r="AL217" s="437">
        <v>46117</v>
      </c>
      <c r="AM217" s="437">
        <v>46124</v>
      </c>
      <c r="AN217" s="437">
        <v>46124</v>
      </c>
      <c r="AO217" s="430" t="s">
        <v>402</v>
      </c>
      <c r="AQ217" s="430" t="s">
        <v>80</v>
      </c>
      <c r="AR217" s="430" t="s">
        <v>1115</v>
      </c>
      <c r="AS217" s="430" t="s">
        <v>1116</v>
      </c>
      <c r="AT217" s="482" t="s">
        <v>1116</v>
      </c>
      <c r="AU2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7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7">
        <f>IF(ISERROR(PV_DATA[[#This Row],[New Ark PO status]]),"",_xlfn.XLOOKUP(PV_DATA[[#This Row],[SPTN-PVHK New Ark PO'#]],New_Ark_Data[Purchase order Number],New_Ark_Data[Estimated time of arrival],"",0))</f>
        <v>46139</v>
      </c>
      <c r="AZ21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7">
        <f>IFERROR(PV_DATA[[#This Row],[ODP ETA Port]]+PV_DATA[[#This Row],[Customs/Leg3 Assumption]],"n/a")</f>
        <v>46131</v>
      </c>
      <c r="BB217" s="433">
        <f>YEAR(PV_DATA[[#This Row],[ETA for New Ark update]])</f>
        <v>2026</v>
      </c>
      <c r="BC217" s="430">
        <f>MONTH(PV_DATA[[#This Row],[ETA for New Ark update]])</f>
        <v>4</v>
      </c>
      <c r="BD217" s="430">
        <f>IFERROR(_xlfn.ISOWEEKNUM(PV_DATA[[#This Row],[ETA for New Ark update]]),0)</f>
        <v>16</v>
      </c>
      <c r="BE217" s="431">
        <f>_xlfn.XLOOKUP(PV_DATA[[#This Row],[New Ark SKU]],Table9[New Ark SKU],Table9[Total PCS per Pallet],,0)</f>
        <v>36</v>
      </c>
      <c r="BF217" s="431">
        <f>_xlfn.XLOOKUP(PV_DATA[[#This Row],[New Ark SKU]],Table9[New Ark SKU],Table9[Total PCS per 40HQ Container],,0)</f>
        <v>864</v>
      </c>
      <c r="BG217" s="431" t="str">
        <f>_xlfn.XLOOKUP(PV_DATA[[#This Row],[New Ark SKU]],Table9[New Ark SKU],Table9[Back Glass],,0)</f>
        <v>White glazing</v>
      </c>
      <c r="BH217" s="431" t="str">
        <f>_xlfn.XLOOKUP(PV_DATA[[#This Row],[PORT DESTINATION]],Table12[PORT DESTINATION],Table12[Cosco Line],,0)</f>
        <v>AEU</v>
      </c>
      <c r="BJ217" s="430"/>
    </row>
    <row r="218" spans="1:62" ht="10.5">
      <c r="A218" s="462" t="s">
        <v>1119</v>
      </c>
      <c r="B218" s="462" t="s">
        <v>111</v>
      </c>
      <c r="C218" s="462" t="str">
        <f>IFERROR(LEFT(PV_DATA[[#This Row],[TCL REFERENCE]],FIND(".",PV_DATA[[#This Row],[TCL REFERENCE]],1)-1),"Main Line")</f>
        <v>26Feb010</v>
      </c>
      <c r="D218" s="462" t="s">
        <v>63</v>
      </c>
      <c r="E218" s="462" t="s">
        <v>64</v>
      </c>
      <c r="F218" s="462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2" t="s">
        <v>402</v>
      </c>
      <c r="H218" s="462" t="s">
        <v>67</v>
      </c>
      <c r="I218" s="439" t="s">
        <v>869</v>
      </c>
      <c r="J218" s="430" t="s">
        <v>1008</v>
      </c>
      <c r="K218" s="430"/>
      <c r="L218" s="430"/>
      <c r="M218" s="430" t="s">
        <v>68</v>
      </c>
      <c r="N218" s="432">
        <v>46055</v>
      </c>
      <c r="O218" s="430" t="s">
        <v>132</v>
      </c>
      <c r="P218" s="430" t="s">
        <v>1062</v>
      </c>
      <c r="Q218" s="430" t="s">
        <v>1063</v>
      </c>
      <c r="R218" s="431" t="str">
        <f>_xlfn.XLOOKUP(PV_DATA[[#This Row],[New Ark SKU]],Table9[New Ark SKU],Table9[Connector],,0)</f>
        <v>EVO2A</v>
      </c>
      <c r="S218" s="442" t="str">
        <f>_xlfn.XLOOKUP(PV_DATA[[#This Row],[New Ark SKU]],Table9[New Ark SKU],Table9[Cable],,0)</f>
        <v>±1200mm</v>
      </c>
      <c r="T218" s="433">
        <v>470</v>
      </c>
      <c r="U218" s="1088">
        <f>864*7</f>
        <v>6048</v>
      </c>
      <c r="V218" s="434">
        <f>PV_DATA[[#This Row],[QUANTITY]]*PV_DATA[[#This Row],[WATT]]/1000000</f>
        <v>2.8425600000000002</v>
      </c>
      <c r="W218" s="435">
        <f>PV_DATA[[#This Row],[QUANTITY]]/PV_DATA[[#This Row],[Qty/Pallet]]</f>
        <v>168</v>
      </c>
      <c r="X218" s="1040">
        <f>PV_DATA[[#This Row],[QUANTITY]]/PV_DATA[[#This Row],[Qty/CT]]</f>
        <v>7</v>
      </c>
      <c r="Y218" s="430" t="s">
        <v>75</v>
      </c>
      <c r="Z218" s="430" t="str">
        <f t="shared" si="0"/>
        <v>COMPLETED</v>
      </c>
      <c r="AA218" s="430"/>
      <c r="AB218" s="437">
        <v>46072</v>
      </c>
      <c r="AC218" s="438">
        <f>IF(PV_DATA[[#This Row],[Pick- Up Date]]&lt;&gt;"",_xlfn.ISOWEEKNUM(PV_DATA[[#This Row],[Pick- Up Date]]),"")</f>
        <v>8</v>
      </c>
      <c r="AD218" s="439" t="s">
        <v>1120</v>
      </c>
      <c r="AE218" s="430"/>
      <c r="AF218" s="430" t="s">
        <v>122</v>
      </c>
      <c r="AG218" s="430" t="s">
        <v>123</v>
      </c>
      <c r="AH218" s="430" t="s">
        <v>78</v>
      </c>
      <c r="AI218" s="437">
        <v>46076</v>
      </c>
      <c r="AJ218" s="437">
        <v>46078</v>
      </c>
      <c r="AK218" s="441">
        <v>46078</v>
      </c>
      <c r="AL218" s="437">
        <v>46125</v>
      </c>
      <c r="AM218" s="437">
        <v>46136</v>
      </c>
      <c r="AN218" s="437">
        <v>46137</v>
      </c>
      <c r="AO218" s="430" t="s">
        <v>402</v>
      </c>
      <c r="AQ218" s="430" t="s">
        <v>80</v>
      </c>
      <c r="AR218" s="430" t="s">
        <v>1121</v>
      </c>
      <c r="AS218" s="430" t="s">
        <v>1122</v>
      </c>
      <c r="AT218" s="482" t="s">
        <v>1122</v>
      </c>
      <c r="AU2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7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7">
        <f>IF(ISERROR(PV_DATA[[#This Row],[New Ark PO status]]),"",_xlfn.XLOOKUP(PV_DATA[[#This Row],[SPTN-PVHK New Ark PO'#]],New_Ark_Data[Purchase order Number],New_Ark_Data[Estimated time of arrival],"",0))</f>
        <v>46150</v>
      </c>
      <c r="AZ2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7">
        <f>IFERROR(PV_DATA[[#This Row],[ODP ETA Port]]+PV_DATA[[#This Row],[Customs/Leg3 Assumption]],"n/a")</f>
        <v>46145</v>
      </c>
      <c r="BB218" s="433">
        <f>YEAR(PV_DATA[[#This Row],[ETA for New Ark update]])</f>
        <v>2026</v>
      </c>
      <c r="BC218" s="430">
        <f>MONTH(PV_DATA[[#This Row],[ETA for New Ark update]])</f>
        <v>5</v>
      </c>
      <c r="BD218" s="430">
        <f>IFERROR(_xlfn.ISOWEEKNUM(PV_DATA[[#This Row],[ETA for New Ark update]]),0)</f>
        <v>18</v>
      </c>
      <c r="BE218" s="431">
        <f>_xlfn.XLOOKUP(PV_DATA[[#This Row],[New Ark SKU]],Table9[New Ark SKU],Table9[Total PCS per Pallet],,0)</f>
        <v>36</v>
      </c>
      <c r="BF218" s="431">
        <f>_xlfn.XLOOKUP(PV_DATA[[#This Row],[New Ark SKU]],Table9[New Ark SKU],Table9[Total PCS per 40HQ Container],,0)</f>
        <v>864</v>
      </c>
      <c r="BG218" s="431" t="str">
        <f>_xlfn.XLOOKUP(PV_DATA[[#This Row],[New Ark SKU]],Table9[New Ark SKU],Table9[Back Glass],,0)</f>
        <v>White glazing</v>
      </c>
      <c r="BH218" s="431" t="str">
        <f>_xlfn.XLOOKUP(PV_DATA[[#This Row],[PORT DESTINATION]],Table12[PORT DESTINATION],Table12[Cosco Line],,0)</f>
        <v>AEM</v>
      </c>
      <c r="BJ218" s="430"/>
    </row>
    <row r="219" spans="1:62" ht="10.5">
      <c r="A219" s="462" t="s">
        <v>1123</v>
      </c>
      <c r="B219" s="462" t="s">
        <v>111</v>
      </c>
      <c r="C219" s="462" t="str">
        <f>IFERROR(LEFT(PV_DATA[[#This Row],[TCL REFERENCE]],FIND(".",PV_DATA[[#This Row],[TCL REFERENCE]],1)-1),"Main Line")</f>
        <v>26JAN006</v>
      </c>
      <c r="D219" s="462" t="s">
        <v>63</v>
      </c>
      <c r="E219" s="462" t="s">
        <v>144</v>
      </c>
      <c r="F219" s="462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2" t="s">
        <v>402</v>
      </c>
      <c r="H219" s="462" t="s">
        <v>593</v>
      </c>
      <c r="I219" s="439" t="s">
        <v>882</v>
      </c>
      <c r="J219" s="430" t="s">
        <v>594</v>
      </c>
      <c r="K219" s="430" t="s">
        <v>1124</v>
      </c>
      <c r="L219" s="430"/>
      <c r="M219" s="430" t="s">
        <v>840</v>
      </c>
      <c r="N219" s="432">
        <v>46045</v>
      </c>
      <c r="O219" s="430" t="s">
        <v>70</v>
      </c>
      <c r="P219" s="430" t="s">
        <v>102</v>
      </c>
      <c r="Q219" s="430" t="s">
        <v>103</v>
      </c>
      <c r="R219" s="431" t="str">
        <f>_xlfn.XLOOKUP(PV_DATA[[#This Row],[New Ark SKU]],Table9[New Ark SKU],Table9[Connector],,0)</f>
        <v>EVO2A</v>
      </c>
      <c r="S219" s="442" t="str">
        <f>_xlfn.XLOOKUP(PV_DATA[[#This Row],[New Ark SKU]],Table9[New Ark SKU],Table9[Cable],,0)</f>
        <v>±1200mm</v>
      </c>
      <c r="T219" s="433">
        <v>620</v>
      </c>
      <c r="U219" s="1088">
        <v>1440</v>
      </c>
      <c r="V219" s="434">
        <f>PV_DATA[[#This Row],[QUANTITY]]*PV_DATA[[#This Row],[WATT]]/1000000</f>
        <v>0.89280000000000004</v>
      </c>
      <c r="W219" s="435">
        <f>PV_DATA[[#This Row],[QUANTITY]]/PV_DATA[[#This Row],[Qty/Pallet]]</f>
        <v>40</v>
      </c>
      <c r="X219" s="1040">
        <f>PV_DATA[[#This Row],[QUANTITY]]/PV_DATA[[#This Row],[Qty/CT]]</f>
        <v>2</v>
      </c>
      <c r="Y219" s="430" t="s">
        <v>75</v>
      </c>
      <c r="Z219" s="430" t="str">
        <f t="shared" si="0"/>
        <v>COMPLETED</v>
      </c>
      <c r="AA219" s="430"/>
      <c r="AB219" s="437">
        <v>46066</v>
      </c>
      <c r="AC219" s="438">
        <f>IF(PV_DATA[[#This Row],[Pick- Up Date]]&lt;&gt;"",_xlfn.ISOWEEKNUM(PV_DATA[[#This Row],[Pick- Up Date]]),"")</f>
        <v>7</v>
      </c>
      <c r="AD219" s="439" t="s">
        <v>1125</v>
      </c>
      <c r="AE219" s="430"/>
      <c r="AF219" s="430" t="s">
        <v>122</v>
      </c>
      <c r="AG219" s="430" t="s">
        <v>123</v>
      </c>
      <c r="AH219" s="430" t="s">
        <v>124</v>
      </c>
      <c r="AI219" s="437">
        <v>46076</v>
      </c>
      <c r="AJ219" s="437">
        <v>46078</v>
      </c>
      <c r="AK219" s="441">
        <v>46078</v>
      </c>
      <c r="AL219" s="437">
        <v>46128</v>
      </c>
      <c r="AM219" s="437">
        <v>46134</v>
      </c>
      <c r="AN219" s="437">
        <v>46134</v>
      </c>
      <c r="AO219" s="430" t="s">
        <v>402</v>
      </c>
      <c r="AP219" s="430" t="s">
        <v>1126</v>
      </c>
      <c r="AQ219" s="430" t="s">
        <v>80</v>
      </c>
      <c r="AR219" s="430" t="s">
        <v>1127</v>
      </c>
      <c r="AS219" s="430" t="s">
        <v>1128</v>
      </c>
      <c r="AT219" s="482" t="s">
        <v>1128</v>
      </c>
      <c r="AU2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7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7">
        <f>IF(ISERROR(PV_DATA[[#This Row],[New Ark PO status]]),"",_xlfn.XLOOKUP(PV_DATA[[#This Row],[SPTN-PVHK New Ark PO'#]],New_Ark_Data[Purchase order Number],New_Ark_Data[Estimated time of arrival],"",0))</f>
        <v>46142</v>
      </c>
      <c r="AZ21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7">
        <f>IFERROR(PV_DATA[[#This Row],[ODP ETA Port]]+PV_DATA[[#This Row],[Customs/Leg3 Assumption]],"n/a")</f>
        <v>46134</v>
      </c>
      <c r="BB219" s="433">
        <f>YEAR(PV_DATA[[#This Row],[ETA for New Ark update]])</f>
        <v>2026</v>
      </c>
      <c r="BC219" s="430">
        <f>MONTH(PV_DATA[[#This Row],[ETA for New Ark update]])</f>
        <v>4</v>
      </c>
      <c r="BD219" s="430">
        <f>IFERROR(_xlfn.ISOWEEKNUM(PV_DATA[[#This Row],[ETA for New Ark update]]),0)</f>
        <v>17</v>
      </c>
      <c r="BE219" s="431">
        <f>_xlfn.XLOOKUP(PV_DATA[[#This Row],[New Ark SKU]],Table9[New Ark SKU],Table9[Total PCS per Pallet],,0)</f>
        <v>36</v>
      </c>
      <c r="BF219" s="431">
        <f>_xlfn.XLOOKUP(PV_DATA[[#This Row],[New Ark SKU]],Table9[New Ark SKU],Table9[Total PCS per 40HQ Container],,0)</f>
        <v>720</v>
      </c>
      <c r="BG219" s="431" t="str">
        <f>_xlfn.XLOOKUP(PV_DATA[[#This Row],[New Ark SKU]],Table9[New Ark SKU],Table9[Back Glass],,0)</f>
        <v>White glazing</v>
      </c>
      <c r="BH219" s="431" t="str">
        <f>_xlfn.XLOOKUP(PV_DATA[[#This Row],[PORT DESTINATION]],Table12[PORT DESTINATION],Table12[Cosco Line],,0)</f>
        <v>AEM</v>
      </c>
      <c r="BJ219" s="430"/>
    </row>
    <row r="220" spans="1:62" ht="10.5">
      <c r="A220" s="462" t="s">
        <v>1129</v>
      </c>
      <c r="B220" s="462" t="s">
        <v>111</v>
      </c>
      <c r="C220" s="462" t="str">
        <f>IFERROR(LEFT(PV_DATA[[#This Row],[TCL REFERENCE]],FIND(".",PV_DATA[[#This Row],[TCL REFERENCE]],1)-1),"Main Line")</f>
        <v>26Feb015</v>
      </c>
      <c r="D220" s="462" t="s">
        <v>63</v>
      </c>
      <c r="E220" s="462" t="s">
        <v>144</v>
      </c>
      <c r="F220" s="462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2" t="s">
        <v>402</v>
      </c>
      <c r="H220" s="462" t="s">
        <v>593</v>
      </c>
      <c r="I220" s="439" t="s">
        <v>882</v>
      </c>
      <c r="J220" s="430" t="s">
        <v>594</v>
      </c>
      <c r="K220" s="430" t="s">
        <v>1124</v>
      </c>
      <c r="L220" s="430"/>
      <c r="M220" s="430" t="s">
        <v>840</v>
      </c>
      <c r="N220" s="432">
        <v>46048</v>
      </c>
      <c r="O220" s="430" t="s">
        <v>132</v>
      </c>
      <c r="P220" s="430" t="s">
        <v>133</v>
      </c>
      <c r="Q220" s="430" t="s">
        <v>134</v>
      </c>
      <c r="R220" s="431" t="str">
        <f>_xlfn.XLOOKUP(PV_DATA[[#This Row],[New Ark SKU]],Table9[New Ark SKU],Table9[Connector],,0)</f>
        <v>EVO2A</v>
      </c>
      <c r="S220" s="442" t="str">
        <f>_xlfn.XLOOKUP(PV_DATA[[#This Row],[New Ark SKU]],Table9[New Ark SKU],Table9[Cable],,0)</f>
        <v>±1400mm</v>
      </c>
      <c r="T220" s="433">
        <v>720</v>
      </c>
      <c r="U220" s="1088">
        <v>2970</v>
      </c>
      <c r="V220" s="434">
        <f>PV_DATA[[#This Row],[QUANTITY]]*PV_DATA[[#This Row],[WATT]]/1000000</f>
        <v>2.1383999999999999</v>
      </c>
      <c r="W220" s="435">
        <f>PV_DATA[[#This Row],[QUANTITY]]/PV_DATA[[#This Row],[Qty/Pallet]]</f>
        <v>90</v>
      </c>
      <c r="X220" s="1040">
        <f>PV_DATA[[#This Row],[QUANTITY]]/PV_DATA[[#This Row],[Qty/CT]]</f>
        <v>5</v>
      </c>
      <c r="Y220" s="430" t="s">
        <v>75</v>
      </c>
      <c r="Z220" s="430" t="str">
        <f t="shared" si="0"/>
        <v>COMPLETED</v>
      </c>
      <c r="AA220" s="430"/>
      <c r="AB220" s="437">
        <v>46066</v>
      </c>
      <c r="AC220" s="438">
        <f>IF(PV_DATA[[#This Row],[Pick- Up Date]]&lt;&gt;"",_xlfn.ISOWEEKNUM(PV_DATA[[#This Row],[Pick- Up Date]]),"")</f>
        <v>7</v>
      </c>
      <c r="AD220" s="439" t="s">
        <v>1130</v>
      </c>
      <c r="AE220" s="430"/>
      <c r="AF220" s="430" t="s">
        <v>122</v>
      </c>
      <c r="AG220" s="430" t="s">
        <v>123</v>
      </c>
      <c r="AH220" s="430" t="s">
        <v>124</v>
      </c>
      <c r="AI220" s="437">
        <v>46076</v>
      </c>
      <c r="AJ220" s="437">
        <v>46078</v>
      </c>
      <c r="AK220" s="441">
        <v>46078</v>
      </c>
      <c r="AL220" s="437">
        <v>46128</v>
      </c>
      <c r="AM220" s="437">
        <v>46134</v>
      </c>
      <c r="AN220" s="437">
        <v>46134</v>
      </c>
      <c r="AO220" s="430" t="s">
        <v>402</v>
      </c>
      <c r="AP220" s="430" t="s">
        <v>1126</v>
      </c>
      <c r="AQ220" s="430" t="s">
        <v>80</v>
      </c>
      <c r="AR220" s="430" t="s">
        <v>1127</v>
      </c>
      <c r="AS220" s="430" t="s">
        <v>1128</v>
      </c>
      <c r="AT220" s="482" t="s">
        <v>1128</v>
      </c>
      <c r="AU2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7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7">
        <f>IF(ISERROR(PV_DATA[[#This Row],[New Ark PO status]]),"",_xlfn.XLOOKUP(PV_DATA[[#This Row],[SPTN-PVHK New Ark PO'#]],New_Ark_Data[Purchase order Number],New_Ark_Data[Estimated time of arrival],"",0))</f>
        <v>46142</v>
      </c>
      <c r="AZ22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7">
        <f>IFERROR(PV_DATA[[#This Row],[ODP ETA Port]]+PV_DATA[[#This Row],[Customs/Leg3 Assumption]],"n/a")</f>
        <v>46134</v>
      </c>
      <c r="BB220" s="433">
        <f>YEAR(PV_DATA[[#This Row],[ETA for New Ark update]])</f>
        <v>2026</v>
      </c>
      <c r="BC220" s="430">
        <f>MONTH(PV_DATA[[#This Row],[ETA for New Ark update]])</f>
        <v>4</v>
      </c>
      <c r="BD220" s="430">
        <f>IFERROR(_xlfn.ISOWEEKNUM(PV_DATA[[#This Row],[ETA for New Ark update]]),0)</f>
        <v>17</v>
      </c>
      <c r="BE220" s="431">
        <f>_xlfn.XLOOKUP(PV_DATA[[#This Row],[New Ark SKU]],Table9[New Ark SKU],Table9[Total PCS per Pallet],,0)</f>
        <v>33</v>
      </c>
      <c r="BF220" s="431">
        <f>_xlfn.XLOOKUP(PV_DATA[[#This Row],[New Ark SKU]],Table9[New Ark SKU],Table9[Total PCS per 40HQ Container],,0)</f>
        <v>594</v>
      </c>
      <c r="BG220" s="431" t="str">
        <f>_xlfn.XLOOKUP(PV_DATA[[#This Row],[New Ark SKU]],Table9[New Ark SKU],Table9[Back Glass],,0)</f>
        <v>White glazing</v>
      </c>
      <c r="BH220" s="431" t="str">
        <f>_xlfn.XLOOKUP(PV_DATA[[#This Row],[PORT DESTINATION]],Table12[PORT DESTINATION],Table12[Cosco Line],,0)</f>
        <v>AEM</v>
      </c>
      <c r="BJ220" s="430"/>
    </row>
    <row r="221" spans="1:62" ht="10.5">
      <c r="A221" s="462" t="s">
        <v>1131</v>
      </c>
      <c r="B221" s="462" t="s">
        <v>61</v>
      </c>
      <c r="C221" s="462" t="str">
        <f>IFERROR(LEFT(PV_DATA[[#This Row],[TCL REFERENCE]],FIND(".",PV_DATA[[#This Row],[TCL REFERENCE]],1)-1),"Main Line")</f>
        <v>26Feb017</v>
      </c>
      <c r="D221" s="462" t="s">
        <v>63</v>
      </c>
      <c r="E221" s="462" t="s">
        <v>64</v>
      </c>
      <c r="F221" s="462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2" t="s">
        <v>402</v>
      </c>
      <c r="H221" s="462" t="s">
        <v>67</v>
      </c>
      <c r="I221" s="439" t="s">
        <v>689</v>
      </c>
      <c r="J221" s="430" t="s">
        <v>1132</v>
      </c>
      <c r="K221" s="430"/>
      <c r="L221" s="430"/>
      <c r="M221" s="430" t="s">
        <v>840</v>
      </c>
      <c r="N221" s="432">
        <v>46055</v>
      </c>
      <c r="O221" s="430" t="s">
        <v>70</v>
      </c>
      <c r="P221" s="430" t="s">
        <v>195</v>
      </c>
      <c r="Q221" s="430" t="s">
        <v>196</v>
      </c>
      <c r="R221" s="431" t="str">
        <f>_xlfn.XLOOKUP(PV_DATA[[#This Row],[New Ark SKU]],Table9[New Ark SKU],Table9[Connector],,0)</f>
        <v>EVO2A</v>
      </c>
      <c r="S221" s="442" t="str">
        <f>_xlfn.XLOOKUP(PV_DATA[[#This Row],[New Ark SKU]],Table9[New Ark SKU],Table9[Cable],,0)</f>
        <v>±1200mm</v>
      </c>
      <c r="T221" s="433">
        <v>450</v>
      </c>
      <c r="U221" s="1088">
        <f>5*936</f>
        <v>4680</v>
      </c>
      <c r="V221" s="434">
        <f>PV_DATA[[#This Row],[QUANTITY]]*PV_DATA[[#This Row],[WATT]]/1000000</f>
        <v>2.1059999999999999</v>
      </c>
      <c r="W221" s="435">
        <f>PV_DATA[[#This Row],[QUANTITY]]/PV_DATA[[#This Row],[Qty/Pallet]]</f>
        <v>130</v>
      </c>
      <c r="X221" s="1040">
        <f>PV_DATA[[#This Row],[QUANTITY]]/PV_DATA[[#This Row],[Qty/CT]]</f>
        <v>5</v>
      </c>
      <c r="Y221" s="430" t="s">
        <v>75</v>
      </c>
      <c r="Z221" s="430" t="str">
        <f t="shared" si="0"/>
        <v>COMPLETED</v>
      </c>
      <c r="AA221" s="430"/>
      <c r="AB221" s="437">
        <v>46077</v>
      </c>
      <c r="AC221" s="438">
        <f>IF(PV_DATA[[#This Row],[Pick- Up Date]]&lt;&gt;"",_xlfn.ISOWEEKNUM(PV_DATA[[#This Row],[Pick- Up Date]]),"")</f>
        <v>9</v>
      </c>
      <c r="AD221" s="449" t="s">
        <v>1133</v>
      </c>
      <c r="AE221" s="430"/>
      <c r="AF221" s="430" t="s">
        <v>77</v>
      </c>
      <c r="AG221" s="430" t="s">
        <v>61</v>
      </c>
      <c r="AH221" s="430" t="s">
        <v>105</v>
      </c>
      <c r="AI221" s="437">
        <v>46084</v>
      </c>
      <c r="AJ221" s="437">
        <v>46084</v>
      </c>
      <c r="AK221" s="441">
        <v>46085</v>
      </c>
      <c r="AL221" s="437">
        <v>46126</v>
      </c>
      <c r="AM221" s="437">
        <v>46142</v>
      </c>
      <c r="AN221" s="437">
        <v>46142</v>
      </c>
      <c r="AO221" s="430" t="s">
        <v>402</v>
      </c>
      <c r="AP221" s="430" t="s">
        <v>872</v>
      </c>
      <c r="AQ221" s="430" t="s">
        <v>80</v>
      </c>
      <c r="AR221" s="430" t="s">
        <v>1134</v>
      </c>
      <c r="AS221" s="430" t="s">
        <v>1135</v>
      </c>
      <c r="AT221" s="482" t="s">
        <v>1135</v>
      </c>
      <c r="AU2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7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7">
        <f>IF(ISERROR(PV_DATA[[#This Row],[New Ark PO status]]),"",_xlfn.XLOOKUP(PV_DATA[[#This Row],[SPTN-PVHK New Ark PO'#]],New_Ark_Data[Purchase order Number],New_Ark_Data[Estimated time of arrival],"",0))</f>
        <v>46163</v>
      </c>
      <c r="AZ2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7">
        <f>IFERROR(PV_DATA[[#This Row],[ODP ETA Port]]+PV_DATA[[#This Row],[Customs/Leg3 Assumption]],"n/a")</f>
        <v>46149</v>
      </c>
      <c r="BB221" s="433">
        <f>YEAR(PV_DATA[[#This Row],[ETA for New Ark update]])</f>
        <v>2026</v>
      </c>
      <c r="BC221" s="430">
        <f>MONTH(PV_DATA[[#This Row],[ETA for New Ark update]])</f>
        <v>5</v>
      </c>
      <c r="BD221" s="430">
        <f>IFERROR(_xlfn.ISOWEEKNUM(PV_DATA[[#This Row],[ETA for New Ark update]]),0)</f>
        <v>19</v>
      </c>
      <c r="BE221" s="431">
        <f>_xlfn.XLOOKUP(PV_DATA[[#This Row],[New Ark SKU]],Table9[New Ark SKU],Table9[Total PCS per Pallet],,0)</f>
        <v>36</v>
      </c>
      <c r="BF221" s="431">
        <f>_xlfn.XLOOKUP(PV_DATA[[#This Row],[New Ark SKU]],Table9[New Ark SKU],Table9[Total PCS per 40HQ Container],,0)</f>
        <v>936</v>
      </c>
      <c r="BG221" s="431" t="str">
        <f>_xlfn.XLOOKUP(PV_DATA[[#This Row],[New Ark SKU]],Table9[New Ark SKU],Table9[Back Glass],,0)</f>
        <v>Black glazing</v>
      </c>
      <c r="BH221" s="431" t="str">
        <f>_xlfn.XLOOKUP(PV_DATA[[#This Row],[PORT DESTINATION]],Table12[PORT DESTINATION],Table12[Cosco Line],,0)</f>
        <v>AEU</v>
      </c>
      <c r="BJ221" s="430"/>
    </row>
    <row r="222" spans="1:62" ht="10.5">
      <c r="A222" s="462" t="s">
        <v>1136</v>
      </c>
      <c r="B222" s="462" t="s">
        <v>61</v>
      </c>
      <c r="C222" s="462" t="str">
        <f>IFERROR(LEFT(PV_DATA[[#This Row],[TCL REFERENCE]],FIND(".",PV_DATA[[#This Row],[TCL REFERENCE]],1)-1),"Main Line")</f>
        <v>26Feb018</v>
      </c>
      <c r="D222" s="462" t="s">
        <v>63</v>
      </c>
      <c r="E222" s="462" t="s">
        <v>144</v>
      </c>
      <c r="F222" s="462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2" t="s">
        <v>402</v>
      </c>
      <c r="H222" s="462" t="s">
        <v>1137</v>
      </c>
      <c r="I222" s="439" t="s">
        <v>689</v>
      </c>
      <c r="J222" s="430" t="s">
        <v>1138</v>
      </c>
      <c r="K222" s="430" t="s">
        <v>1139</v>
      </c>
      <c r="L222" s="430"/>
      <c r="M222" s="430" t="s">
        <v>840</v>
      </c>
      <c r="N222" s="432">
        <v>46055</v>
      </c>
      <c r="O222" s="430" t="s">
        <v>70</v>
      </c>
      <c r="P222" s="430" t="s">
        <v>965</v>
      </c>
      <c r="Q222" s="430" t="s">
        <v>966</v>
      </c>
      <c r="R222" s="431" t="str">
        <f>_xlfn.XLOOKUP(PV_DATA[[#This Row],[New Ark SKU]],Table9[New Ark SKU],Table9[Connector],,0)</f>
        <v>EVO2A</v>
      </c>
      <c r="S222" s="442" t="str">
        <f>_xlfn.XLOOKUP(PV_DATA[[#This Row],[New Ark SKU]],Table9[New Ark SKU],Table9[Cable],,0)</f>
        <v>±1200mm</v>
      </c>
      <c r="T222" s="433">
        <v>455</v>
      </c>
      <c r="U222" s="1088">
        <v>3744</v>
      </c>
      <c r="V222" s="434">
        <f>PV_DATA[[#This Row],[QUANTITY]]*PV_DATA[[#This Row],[WATT]]/1000000</f>
        <v>1.7035199999999999</v>
      </c>
      <c r="W222" s="435">
        <f>PV_DATA[[#This Row],[QUANTITY]]/PV_DATA[[#This Row],[Qty/Pallet]]</f>
        <v>104</v>
      </c>
      <c r="X222" s="1040">
        <f>PV_DATA[[#This Row],[QUANTITY]]/PV_DATA[[#This Row],[Qty/CT]]</f>
        <v>4</v>
      </c>
      <c r="Y222" s="430" t="s">
        <v>75</v>
      </c>
      <c r="Z222" s="430" t="str">
        <f t="shared" si="0"/>
        <v>COMPLETED</v>
      </c>
      <c r="AA222" s="430"/>
      <c r="AB222" s="437">
        <v>46077</v>
      </c>
      <c r="AC222" s="438">
        <f>IF(PV_DATA[[#This Row],[Pick- Up Date]]&lt;&gt;"",_xlfn.ISOWEEKNUM(PV_DATA[[#This Row],[Pick- Up Date]]),"")</f>
        <v>9</v>
      </c>
      <c r="AD222" s="439" t="s">
        <v>1140</v>
      </c>
      <c r="AE222" s="430"/>
      <c r="AF222" s="430" t="s">
        <v>77</v>
      </c>
      <c r="AG222" s="430" t="s">
        <v>61</v>
      </c>
      <c r="AH222" s="430" t="s">
        <v>105</v>
      </c>
      <c r="AI222" s="437">
        <v>46084</v>
      </c>
      <c r="AJ222" s="437">
        <v>46084</v>
      </c>
      <c r="AK222" s="441">
        <v>46084</v>
      </c>
      <c r="AL222" s="437">
        <v>46126</v>
      </c>
      <c r="AM222" s="437">
        <v>46142</v>
      </c>
      <c r="AN222" s="437">
        <v>46141</v>
      </c>
      <c r="AO222" s="430" t="s">
        <v>402</v>
      </c>
      <c r="AP222" s="430" t="s">
        <v>872</v>
      </c>
      <c r="AQ222" s="430" t="s">
        <v>80</v>
      </c>
      <c r="AR222" s="430" t="s">
        <v>1141</v>
      </c>
      <c r="AS222" s="430" t="s">
        <v>1142</v>
      </c>
      <c r="AT222" s="482" t="s">
        <v>1135</v>
      </c>
      <c r="AU2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7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7">
        <f>IF(ISERROR(PV_DATA[[#This Row],[New Ark PO status]]),"",_xlfn.XLOOKUP(PV_DATA[[#This Row],[SPTN-PVHK New Ark PO'#]],New_Ark_Data[Purchase order Number],New_Ark_Data[Estimated time of arrival],"",0))</f>
        <v>46140</v>
      </c>
      <c r="AZ2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7">
        <f>IFERROR(PV_DATA[[#This Row],[ODP ETA Port]]+PV_DATA[[#This Row],[Customs/Leg3 Assumption]],"n/a")</f>
        <v>46141</v>
      </c>
      <c r="BB222" s="433">
        <f>YEAR(PV_DATA[[#This Row],[ETA for New Ark update]])</f>
        <v>2026</v>
      </c>
      <c r="BC222" s="430">
        <f>MONTH(PV_DATA[[#This Row],[ETA for New Ark update]])</f>
        <v>4</v>
      </c>
      <c r="BD222" s="430">
        <f>IFERROR(_xlfn.ISOWEEKNUM(PV_DATA[[#This Row],[ETA for New Ark update]]),0)</f>
        <v>18</v>
      </c>
      <c r="BE222" s="431">
        <f>_xlfn.XLOOKUP(PV_DATA[[#This Row],[New Ark SKU]],Table9[New Ark SKU],Table9[Total PCS per Pallet],,0)</f>
        <v>36</v>
      </c>
      <c r="BF222" s="431">
        <f>_xlfn.XLOOKUP(PV_DATA[[#This Row],[New Ark SKU]],Table9[New Ark SKU],Table9[Total PCS per 40HQ Container],,0)</f>
        <v>936</v>
      </c>
      <c r="BG222" s="431" t="str">
        <f>_xlfn.XLOOKUP(PV_DATA[[#This Row],[New Ark SKU]],Table9[New Ark SKU],Table9[Back Glass],,0)</f>
        <v>Black glazing</v>
      </c>
      <c r="BH222" s="431" t="str">
        <f>_xlfn.XLOOKUP(PV_DATA[[#This Row],[PORT DESTINATION]],Table12[PORT DESTINATION],Table12[Cosco Line],,0)</f>
        <v>AEU</v>
      </c>
      <c r="BJ222" s="430"/>
    </row>
    <row r="223" spans="1:62" ht="10.5">
      <c r="A223" s="462" t="s">
        <v>1143</v>
      </c>
      <c r="B223" s="462" t="s">
        <v>61</v>
      </c>
      <c r="C223" s="462" t="str">
        <f>IFERROR(LEFT(PV_DATA[[#This Row],[TCL REFERENCE]],FIND(".",PV_DATA[[#This Row],[TCL REFERENCE]],1)-1),"Main Line")</f>
        <v>26Feb017</v>
      </c>
      <c r="D223" s="462" t="s">
        <v>63</v>
      </c>
      <c r="E223" s="462" t="s">
        <v>64</v>
      </c>
      <c r="F223" s="462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2" t="s">
        <v>402</v>
      </c>
      <c r="H223" s="462" t="s">
        <v>67</v>
      </c>
      <c r="I223" s="439" t="s">
        <v>689</v>
      </c>
      <c r="J223" s="430" t="s">
        <v>1144</v>
      </c>
      <c r="K223" s="430"/>
      <c r="L223" s="430"/>
      <c r="M223" s="430" t="s">
        <v>68</v>
      </c>
      <c r="N223" s="432">
        <v>46069</v>
      </c>
      <c r="O223" s="430" t="s">
        <v>70</v>
      </c>
      <c r="P223" s="430" t="s">
        <v>195</v>
      </c>
      <c r="Q223" s="430" t="s">
        <v>196</v>
      </c>
      <c r="R223" s="431" t="str">
        <f>_xlfn.XLOOKUP(PV_DATA[[#This Row],[New Ark SKU]],Table9[New Ark SKU],Table9[Connector],,0)</f>
        <v>EVO2A</v>
      </c>
      <c r="S223" s="442" t="str">
        <f>_xlfn.XLOOKUP(PV_DATA[[#This Row],[New Ark SKU]],Table9[New Ark SKU],Table9[Cable],,0)</f>
        <v>±1200mm</v>
      </c>
      <c r="T223" s="433">
        <v>450</v>
      </c>
      <c r="U223" s="1088">
        <f>936*2</f>
        <v>1872</v>
      </c>
      <c r="V223" s="434">
        <f>PV_DATA[[#This Row],[QUANTITY]]*PV_DATA[[#This Row],[WATT]]/1000000</f>
        <v>0.84240000000000004</v>
      </c>
      <c r="W223" s="435">
        <f>PV_DATA[[#This Row],[QUANTITY]]/PV_DATA[[#This Row],[Qty/Pallet]]</f>
        <v>52</v>
      </c>
      <c r="X223" s="1040">
        <f>PV_DATA[[#This Row],[QUANTITY]]/PV_DATA[[#This Row],[Qty/CT]]</f>
        <v>2</v>
      </c>
      <c r="Y223" s="430" t="s">
        <v>75</v>
      </c>
      <c r="Z223" s="430" t="str">
        <f t="shared" si="0"/>
        <v>COMPLETED</v>
      </c>
      <c r="AA223" s="430"/>
      <c r="AB223" s="437">
        <v>46080</v>
      </c>
      <c r="AC223" s="438">
        <f>IF(PV_DATA[[#This Row],[Pick- Up Date]]&lt;&gt;"",_xlfn.ISOWEEKNUM(PV_DATA[[#This Row],[Pick- Up Date]]),"")</f>
        <v>9</v>
      </c>
      <c r="AD223" s="439" t="s">
        <v>1145</v>
      </c>
      <c r="AE223" s="430"/>
      <c r="AF223" s="430" t="s">
        <v>77</v>
      </c>
      <c r="AG223" s="430" t="s">
        <v>61</v>
      </c>
      <c r="AH223" s="430" t="s">
        <v>105</v>
      </c>
      <c r="AI223" s="437">
        <v>46084</v>
      </c>
      <c r="AJ223" s="437">
        <v>46084</v>
      </c>
      <c r="AK223" s="441">
        <v>46084</v>
      </c>
      <c r="AL223" s="437">
        <v>46126</v>
      </c>
      <c r="AM223" s="437">
        <v>46142</v>
      </c>
      <c r="AN223" s="437">
        <v>46141</v>
      </c>
      <c r="AO223" s="430" t="s">
        <v>146</v>
      </c>
      <c r="AP223" s="430" t="s">
        <v>872</v>
      </c>
      <c r="AQ223" s="430" t="s">
        <v>80</v>
      </c>
      <c r="AR223" s="430" t="s">
        <v>1146</v>
      </c>
      <c r="AS223" s="430" t="s">
        <v>1147</v>
      </c>
      <c r="AT223" s="482" t="s">
        <v>1147</v>
      </c>
      <c r="AU2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7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7">
        <f>IF(ISERROR(PV_DATA[[#This Row],[New Ark PO status]]),"",_xlfn.XLOOKUP(PV_DATA[[#This Row],[SPTN-PVHK New Ark PO'#]],New_Ark_Data[Purchase order Number],New_Ark_Data[Estimated time of arrival],"",0))</f>
        <v>46163</v>
      </c>
      <c r="AZ22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7">
        <f>IFERROR(PV_DATA[[#This Row],[ODP ETA Port]]+PV_DATA[[#This Row],[Customs/Leg3 Assumption]],"n/a")</f>
        <v>46148</v>
      </c>
      <c r="BB223" s="433">
        <f>YEAR(PV_DATA[[#This Row],[ETA for New Ark update]])</f>
        <v>2026</v>
      </c>
      <c r="BC223" s="430">
        <f>MONTH(PV_DATA[[#This Row],[ETA for New Ark update]])</f>
        <v>5</v>
      </c>
      <c r="BD223" s="430">
        <f>IFERROR(_xlfn.ISOWEEKNUM(PV_DATA[[#This Row],[ETA for New Ark update]]),0)</f>
        <v>19</v>
      </c>
      <c r="BE223" s="431">
        <f>_xlfn.XLOOKUP(PV_DATA[[#This Row],[New Ark SKU]],Table9[New Ark SKU],Table9[Total PCS per Pallet],,0)</f>
        <v>36</v>
      </c>
      <c r="BF223" s="431">
        <f>_xlfn.XLOOKUP(PV_DATA[[#This Row],[New Ark SKU]],Table9[New Ark SKU],Table9[Total PCS per 40HQ Container],,0)</f>
        <v>936</v>
      </c>
      <c r="BG223" s="431" t="str">
        <f>_xlfn.XLOOKUP(PV_DATA[[#This Row],[New Ark SKU]],Table9[New Ark SKU],Table9[Back Glass],,0)</f>
        <v>Black glazing</v>
      </c>
      <c r="BH223" s="431" t="str">
        <f>_xlfn.XLOOKUP(PV_DATA[[#This Row],[PORT DESTINATION]],Table12[PORT DESTINATION],Table12[Cosco Line],,0)</f>
        <v>AEU</v>
      </c>
      <c r="BJ223" s="430"/>
    </row>
    <row r="224" spans="1:62" ht="10.5">
      <c r="A224" s="462" t="s">
        <v>1148</v>
      </c>
      <c r="B224" s="462" t="s">
        <v>61</v>
      </c>
      <c r="C224" s="462" t="str">
        <f>IFERROR(LEFT(PV_DATA[[#This Row],[TCL REFERENCE]],FIND(".",PV_DATA[[#This Row],[TCL REFERENCE]],1)-1),"Main Line")</f>
        <v>26JAN005</v>
      </c>
      <c r="D224" s="462" t="s">
        <v>63</v>
      </c>
      <c r="E224" s="462" t="s">
        <v>64</v>
      </c>
      <c r="F224" s="462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2" t="s">
        <v>402</v>
      </c>
      <c r="H224" s="462" t="s">
        <v>67</v>
      </c>
      <c r="I224" s="439" t="s">
        <v>689</v>
      </c>
      <c r="J224" s="430" t="s">
        <v>1150</v>
      </c>
      <c r="K224" s="430"/>
      <c r="L224" s="430"/>
      <c r="M224" s="430" t="s">
        <v>68</v>
      </c>
      <c r="N224" s="432">
        <v>46048</v>
      </c>
      <c r="O224" s="430" t="s">
        <v>70</v>
      </c>
      <c r="P224" s="430" t="s">
        <v>1151</v>
      </c>
      <c r="Q224" s="430" t="s">
        <v>421</v>
      </c>
      <c r="R224" s="431" t="str">
        <f>_xlfn.XLOOKUP(PV_DATA[[#This Row],[New Ark SKU]],Table9[New Ark SKU],Table9[Connector],,0)</f>
        <v>EVO2A</v>
      </c>
      <c r="S224" s="442" t="str">
        <f>_xlfn.XLOOKUP(PV_DATA[[#This Row],[New Ark SKU]],Table9[New Ark SKU],Table9[Cable],,0)</f>
        <v>±1200mm</v>
      </c>
      <c r="T224" s="433">
        <v>505</v>
      </c>
      <c r="U224" s="1088">
        <f>864*3</f>
        <v>2592</v>
      </c>
      <c r="V224" s="434">
        <f>PV_DATA[[#This Row],[QUANTITY]]*PV_DATA[[#This Row],[WATT]]/1000000</f>
        <v>1.3089599999999999</v>
      </c>
      <c r="W224" s="435">
        <f>PV_DATA[[#This Row],[QUANTITY]]/PV_DATA[[#This Row],[Qty/Pallet]]</f>
        <v>72</v>
      </c>
      <c r="X224" s="1040">
        <f>PV_DATA[[#This Row],[QUANTITY]]/PV_DATA[[#This Row],[Qty/CT]]</f>
        <v>3</v>
      </c>
      <c r="Y224" s="430" t="s">
        <v>75</v>
      </c>
      <c r="Z224" s="430" t="str">
        <f t="shared" si="0"/>
        <v>COMPLETED</v>
      </c>
      <c r="AA224" s="430"/>
      <c r="AB224" s="437">
        <v>46078</v>
      </c>
      <c r="AC224" s="438">
        <f>IF(PV_DATA[[#This Row],[Pick- Up Date]]&lt;&gt;"",_xlfn.ISOWEEKNUM(PV_DATA[[#This Row],[Pick- Up Date]]),"")</f>
        <v>9</v>
      </c>
      <c r="AD224" s="439" t="s">
        <v>1152</v>
      </c>
      <c r="AE224" s="430"/>
      <c r="AF224" s="430" t="s">
        <v>77</v>
      </c>
      <c r="AG224" s="430" t="s">
        <v>61</v>
      </c>
      <c r="AH224" s="430" t="s">
        <v>105</v>
      </c>
      <c r="AI224" s="437">
        <v>46084</v>
      </c>
      <c r="AJ224" s="437">
        <v>46084</v>
      </c>
      <c r="AK224" s="441">
        <v>46084</v>
      </c>
      <c r="AL224" s="437">
        <v>46126</v>
      </c>
      <c r="AM224" s="437">
        <v>46142</v>
      </c>
      <c r="AN224" s="437">
        <v>46141</v>
      </c>
      <c r="AO224" s="430" t="s">
        <v>402</v>
      </c>
      <c r="AP224" s="430" t="s">
        <v>872</v>
      </c>
      <c r="AQ224" s="430" t="s">
        <v>80</v>
      </c>
      <c r="AR224" s="430" t="s">
        <v>1153</v>
      </c>
      <c r="AS224" s="430" t="s">
        <v>1154</v>
      </c>
      <c r="AT224" s="482" t="s">
        <v>1154</v>
      </c>
      <c r="AU2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7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7">
        <f>IF(ISERROR(PV_DATA[[#This Row],[New Ark PO status]]),"",_xlfn.XLOOKUP(PV_DATA[[#This Row],[SPTN-PVHK New Ark PO'#]],New_Ark_Data[Purchase order Number],New_Ark_Data[Estimated time of arrival],"",0))</f>
        <v>46153</v>
      </c>
      <c r="AZ2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7">
        <f>IFERROR(PV_DATA[[#This Row],[ODP ETA Port]]+PV_DATA[[#This Row],[Customs/Leg3 Assumption]],"n/a")</f>
        <v>46148</v>
      </c>
      <c r="BB224" s="433">
        <f>YEAR(PV_DATA[[#This Row],[ETA for New Ark update]])</f>
        <v>2026</v>
      </c>
      <c r="BC224" s="430">
        <f>MONTH(PV_DATA[[#This Row],[ETA for New Ark update]])</f>
        <v>5</v>
      </c>
      <c r="BD224" s="430">
        <f>IFERROR(_xlfn.ISOWEEKNUM(PV_DATA[[#This Row],[ETA for New Ark update]]),0)</f>
        <v>19</v>
      </c>
      <c r="BE224" s="431">
        <f>_xlfn.XLOOKUP(PV_DATA[[#This Row],[New Ark SKU]],Table9[New Ark SKU],Table9[Total PCS per Pallet],,0)</f>
        <v>36</v>
      </c>
      <c r="BF224" s="431">
        <f>_xlfn.XLOOKUP(PV_DATA[[#This Row],[New Ark SKU]],Table9[New Ark SKU],Table9[Total PCS per 40HQ Container],,0)</f>
        <v>864</v>
      </c>
      <c r="BG224" s="431" t="str">
        <f>_xlfn.XLOOKUP(PV_DATA[[#This Row],[New Ark SKU]],Table9[New Ark SKU],Table9[Back Glass],,0)</f>
        <v>Black glazing</v>
      </c>
      <c r="BH224" s="431" t="str">
        <f>_xlfn.XLOOKUP(PV_DATA[[#This Row],[PORT DESTINATION]],Table12[PORT DESTINATION],Table12[Cosco Line],,0)</f>
        <v>AEU</v>
      </c>
      <c r="BJ224" s="430"/>
    </row>
    <row r="225" spans="1:62" ht="10.5">
      <c r="A225" s="462" t="s">
        <v>1155</v>
      </c>
      <c r="B225" s="462" t="s">
        <v>61</v>
      </c>
      <c r="C225" s="462" t="str">
        <f>IFERROR(LEFT(PV_DATA[[#This Row],[TCL REFERENCE]],FIND(".",PV_DATA[[#This Row],[TCL REFERENCE]],1)-1),"Main Line")</f>
        <v>26JAN005</v>
      </c>
      <c r="D225" s="462" t="s">
        <v>63</v>
      </c>
      <c r="E225" s="462" t="s">
        <v>144</v>
      </c>
      <c r="F225" s="462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2" t="s">
        <v>146</v>
      </c>
      <c r="H225" s="462" t="s">
        <v>1156</v>
      </c>
      <c r="I225" s="439" t="s">
        <v>689</v>
      </c>
      <c r="J225" s="430" t="s">
        <v>1157</v>
      </c>
      <c r="K225" s="430" t="s">
        <v>1158</v>
      </c>
      <c r="L225" s="430"/>
      <c r="M225" s="430" t="s">
        <v>840</v>
      </c>
      <c r="N225" s="432">
        <v>46048</v>
      </c>
      <c r="O225" s="430" t="s">
        <v>70</v>
      </c>
      <c r="P225" s="430" t="s">
        <v>1151</v>
      </c>
      <c r="Q225" s="430" t="s">
        <v>421</v>
      </c>
      <c r="R225" s="431" t="str">
        <f>_xlfn.XLOOKUP(PV_DATA[[#This Row],[New Ark SKU]],Table9[New Ark SKU],Table9[Connector],,0)</f>
        <v>EVO2A</v>
      </c>
      <c r="S225" s="442" t="str">
        <f>_xlfn.XLOOKUP(PV_DATA[[#This Row],[New Ark SKU]],Table9[New Ark SKU],Table9[Cable],,0)</f>
        <v>±1200mm</v>
      </c>
      <c r="T225" s="433">
        <v>505</v>
      </c>
      <c r="U225" s="1088">
        <f>864*2</f>
        <v>1728</v>
      </c>
      <c r="V225" s="434">
        <f>PV_DATA[[#This Row],[QUANTITY]]*PV_DATA[[#This Row],[WATT]]/1000000</f>
        <v>0.87263999999999997</v>
      </c>
      <c r="W225" s="435">
        <f>PV_DATA[[#This Row],[QUANTITY]]/PV_DATA[[#This Row],[Qty/Pallet]]</f>
        <v>48</v>
      </c>
      <c r="X225" s="1040">
        <f>PV_DATA[[#This Row],[QUANTITY]]/PV_DATA[[#This Row],[Qty/CT]]</f>
        <v>2</v>
      </c>
      <c r="Y225" s="430" t="s">
        <v>75</v>
      </c>
      <c r="Z225" s="430" t="str">
        <f t="shared" si="0"/>
        <v>COMPLETED</v>
      </c>
      <c r="AA225" s="430"/>
      <c r="AB225" s="437">
        <v>46078</v>
      </c>
      <c r="AC225" s="438">
        <f>IF(PV_DATA[[#This Row],[Pick- Up Date]]&lt;&gt;"",_xlfn.ISOWEEKNUM(PV_DATA[[#This Row],[Pick- Up Date]]),"")</f>
        <v>9</v>
      </c>
      <c r="AD225" s="439" t="s">
        <v>1159</v>
      </c>
      <c r="AE225" s="430"/>
      <c r="AF225" s="430" t="s">
        <v>77</v>
      </c>
      <c r="AG225" s="430" t="s">
        <v>61</v>
      </c>
      <c r="AH225" s="430" t="s">
        <v>105</v>
      </c>
      <c r="AI225" s="437">
        <v>46084</v>
      </c>
      <c r="AJ225" s="437">
        <v>46084</v>
      </c>
      <c r="AK225" s="441">
        <v>46084</v>
      </c>
      <c r="AL225" s="437">
        <v>46126</v>
      </c>
      <c r="AM225" s="437">
        <v>46142</v>
      </c>
      <c r="AN225" s="437">
        <v>46141</v>
      </c>
      <c r="AO225" s="430" t="s">
        <v>146</v>
      </c>
      <c r="AP225" s="430" t="s">
        <v>872</v>
      </c>
      <c r="AQ225" s="430" t="s">
        <v>80</v>
      </c>
      <c r="AR225" s="430" t="s">
        <v>1153</v>
      </c>
      <c r="AS225" s="430" t="s">
        <v>1160</v>
      </c>
      <c r="AT225" s="482" t="s">
        <v>1154</v>
      </c>
      <c r="AU2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7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7">
        <f>IF(ISERROR(PV_DATA[[#This Row],[New Ark PO status]]),"",_xlfn.XLOOKUP(PV_DATA[[#This Row],[SPTN-PVHK New Ark PO'#]],New_Ark_Data[Purchase order Number],New_Ark_Data[Estimated time of arrival],"",0))</f>
        <v>46153</v>
      </c>
      <c r="AZ22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7">
        <f>IFERROR(PV_DATA[[#This Row],[ODP ETA Port]]+PV_DATA[[#This Row],[Customs/Leg3 Assumption]],"n/a")</f>
        <v>46141</v>
      </c>
      <c r="BB225" s="433">
        <f>YEAR(PV_DATA[[#This Row],[ETA for New Ark update]])</f>
        <v>2026</v>
      </c>
      <c r="BC225" s="430">
        <f>MONTH(PV_DATA[[#This Row],[ETA for New Ark update]])</f>
        <v>4</v>
      </c>
      <c r="BD225" s="430">
        <f>IFERROR(_xlfn.ISOWEEKNUM(PV_DATA[[#This Row],[ETA for New Ark update]]),0)</f>
        <v>18</v>
      </c>
      <c r="BE225" s="431">
        <f>_xlfn.XLOOKUP(PV_DATA[[#This Row],[New Ark SKU]],Table9[New Ark SKU],Table9[Total PCS per Pallet],,0)</f>
        <v>36</v>
      </c>
      <c r="BF225" s="431">
        <f>_xlfn.XLOOKUP(PV_DATA[[#This Row],[New Ark SKU]],Table9[New Ark SKU],Table9[Total PCS per 40HQ Container],,0)</f>
        <v>864</v>
      </c>
      <c r="BG225" s="431" t="str">
        <f>_xlfn.XLOOKUP(PV_DATA[[#This Row],[New Ark SKU]],Table9[New Ark SKU],Table9[Back Glass],,0)</f>
        <v>Black glazing</v>
      </c>
      <c r="BH225" s="431" t="str">
        <f>_xlfn.XLOOKUP(PV_DATA[[#This Row],[PORT DESTINATION]],Table12[PORT DESTINATION],Table12[Cosco Line],,0)</f>
        <v>AEU</v>
      </c>
      <c r="BJ225" s="430"/>
    </row>
    <row r="226" spans="1:62" ht="10.5">
      <c r="A226" s="462" t="s">
        <v>1161</v>
      </c>
      <c r="B226" s="462" t="s">
        <v>61</v>
      </c>
      <c r="C226" s="462" t="str">
        <f>IFERROR(LEFT(PV_DATA[[#This Row],[TCL REFERENCE]],FIND(".",PV_DATA[[#This Row],[TCL REFERENCE]],1)-1),"Main Line")</f>
        <v>26Mar022</v>
      </c>
      <c r="D226" s="462" t="s">
        <v>113</v>
      </c>
      <c r="E226" s="462" t="s">
        <v>64</v>
      </c>
      <c r="F226" s="462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2" t="s">
        <v>402</v>
      </c>
      <c r="H226" s="462" t="s">
        <v>67</v>
      </c>
      <c r="I226" s="439" t="s">
        <v>689</v>
      </c>
      <c r="J226" s="430" t="s">
        <v>1163</v>
      </c>
      <c r="K226" s="430"/>
      <c r="L226" s="430"/>
      <c r="M226" s="430" t="s">
        <v>68</v>
      </c>
      <c r="N226" s="432">
        <v>46045</v>
      </c>
      <c r="O226" s="430" t="s">
        <v>713</v>
      </c>
      <c r="P226" s="430" t="s">
        <v>1164</v>
      </c>
      <c r="Q226" s="430" t="s">
        <v>1165</v>
      </c>
      <c r="R226" s="431" t="str">
        <f>_xlfn.XLOOKUP(PV_DATA[[#This Row],[New Ark SKU]],Table9[New Ark SKU],Table9[Connector],,0)</f>
        <v>EVO2A</v>
      </c>
      <c r="S226" s="442" t="str">
        <f>_xlfn.XLOOKUP(PV_DATA[[#This Row],[New Ark SKU]],Table9[New Ark SKU],Table9[Cable],,0)</f>
        <v>±1600mm</v>
      </c>
      <c r="T226" s="433">
        <v>620</v>
      </c>
      <c r="U226" s="1088">
        <f>36+108</f>
        <v>144</v>
      </c>
      <c r="V226" s="434">
        <f>PV_DATA[[#This Row],[QUANTITY]]*PV_DATA[[#This Row],[WATT]]/1000000</f>
        <v>8.9279999999999998E-2</v>
      </c>
      <c r="W226" s="435">
        <f>PV_DATA[[#This Row],[QUANTITY]]/PV_DATA[[#This Row],[Qty/Pallet]]</f>
        <v>4</v>
      </c>
      <c r="X226" s="1040">
        <f>PV_DATA[[#This Row],[QUANTITY]]/PV_DATA[[#This Row],[Qty/CT]]</f>
        <v>0.25</v>
      </c>
      <c r="Y226" s="430" t="s">
        <v>75</v>
      </c>
      <c r="Z226" s="430" t="str">
        <f t="shared" si="0"/>
        <v>COMPLETED</v>
      </c>
      <c r="AA226" s="430"/>
      <c r="AB226" s="437">
        <v>46079</v>
      </c>
      <c r="AC226" s="438">
        <f>IF(PV_DATA[[#This Row],[Pick- Up Date]]&lt;&gt;"",_xlfn.ISOWEEKNUM(PV_DATA[[#This Row],[Pick- Up Date]]),"")</f>
        <v>9</v>
      </c>
      <c r="AD226" s="439" t="s">
        <v>1167</v>
      </c>
      <c r="AE226" s="430"/>
      <c r="AF226" s="430" t="s">
        <v>77</v>
      </c>
      <c r="AG226" s="430" t="s">
        <v>61</v>
      </c>
      <c r="AH226" s="430" t="s">
        <v>356</v>
      </c>
      <c r="AI226" s="437">
        <v>46083</v>
      </c>
      <c r="AJ226" s="437">
        <v>46084</v>
      </c>
      <c r="AK226" s="441">
        <v>46084</v>
      </c>
      <c r="AL226" s="437">
        <v>46133</v>
      </c>
      <c r="AM226" s="437">
        <v>46139</v>
      </c>
      <c r="AN226" s="437">
        <v>46140</v>
      </c>
      <c r="AO226" s="430" t="s">
        <v>402</v>
      </c>
      <c r="AP226" s="430" t="s">
        <v>1168</v>
      </c>
      <c r="AQ226" s="430" t="s">
        <v>161</v>
      </c>
      <c r="AR226" s="430" t="s">
        <v>1169</v>
      </c>
      <c r="AS226" s="430" t="s">
        <v>1170</v>
      </c>
      <c r="AT226" s="482" t="s">
        <v>1170</v>
      </c>
      <c r="AU2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7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7">
        <f>IF(ISERROR(PV_DATA[[#This Row],[New Ark PO status]]),"",_xlfn.XLOOKUP(PV_DATA[[#This Row],[SPTN-PVHK New Ark PO'#]],New_Ark_Data[Purchase order Number],New_Ark_Data[Estimated time of arrival],"",0))</f>
        <v>46153</v>
      </c>
      <c r="AZ22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6" s="437">
        <f>IFERROR(PV_DATA[[#This Row],[ODP ETA Port]]+PV_DATA[[#This Row],[Customs/Leg3 Assumption]],"n/a")</f>
        <v>46150</v>
      </c>
      <c r="BB226" s="433">
        <f>YEAR(PV_DATA[[#This Row],[ETA for New Ark update]])</f>
        <v>2026</v>
      </c>
      <c r="BC226" s="430">
        <f>MONTH(PV_DATA[[#This Row],[ETA for New Ark update]])</f>
        <v>5</v>
      </c>
      <c r="BD226" s="430">
        <f>IFERROR(_xlfn.ISOWEEKNUM(PV_DATA[[#This Row],[ETA for New Ark update]]),0)</f>
        <v>19</v>
      </c>
      <c r="BE226" s="431">
        <f>_xlfn.XLOOKUP(PV_DATA[[#This Row],[New Ark SKU]],Table9[New Ark SKU],Table9[Total PCS per Pallet],,0)</f>
        <v>36</v>
      </c>
      <c r="BF226" s="431">
        <f>_xlfn.XLOOKUP(PV_DATA[[#This Row],[New Ark SKU]],Table9[New Ark SKU],Table9[Total PCS per 40HQ Container],,0)</f>
        <v>576</v>
      </c>
      <c r="BG226" s="431" t="str">
        <f>_xlfn.XLOOKUP(PV_DATA[[#This Row],[New Ark SKU]],Table9[New Ark SKU],Table9[Back Glass],,0)</f>
        <v>White glazing</v>
      </c>
      <c r="BH226" s="431" t="str">
        <f>_xlfn.XLOOKUP(PV_DATA[[#This Row],[PORT DESTINATION]],Table12[PORT DESTINATION],Table12[Cosco Line],,0)</f>
        <v>AEU</v>
      </c>
      <c r="BJ226" s="430"/>
    </row>
    <row r="227" spans="1:62" ht="10.5">
      <c r="A227" s="462" t="s">
        <v>1171</v>
      </c>
      <c r="B227" s="462" t="s">
        <v>61</v>
      </c>
      <c r="C227" s="462" t="str">
        <f>IFERROR(LEFT(PV_DATA[[#This Row],[TCL REFERENCE]],FIND(".",PV_DATA[[#This Row],[TCL REFERENCE]],1)-1),"Main Line")</f>
        <v>Main Line</v>
      </c>
      <c r="D227" s="462" t="s">
        <v>113</v>
      </c>
      <c r="E227" s="462" t="s">
        <v>64</v>
      </c>
      <c r="F227" s="462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2" t="s">
        <v>402</v>
      </c>
      <c r="H227" s="462" t="s">
        <v>67</v>
      </c>
      <c r="I227" s="439" t="s">
        <v>689</v>
      </c>
      <c r="J227" s="430" t="s">
        <v>1172</v>
      </c>
      <c r="K227" s="430"/>
      <c r="L227" s="430"/>
      <c r="M227" s="430" t="s">
        <v>68</v>
      </c>
      <c r="N227" s="432">
        <v>46045</v>
      </c>
      <c r="O227" s="430" t="s">
        <v>713</v>
      </c>
      <c r="P227" s="430" t="s">
        <v>714</v>
      </c>
      <c r="Q227" s="430" t="s">
        <v>1173</v>
      </c>
      <c r="R227" s="431" t="str">
        <f>_xlfn.XLOOKUP(PV_DATA[[#This Row],[New Ark SKU]],Table9[New Ark SKU],Table9[Connector],,0)</f>
        <v>EVO2A</v>
      </c>
      <c r="S227" s="442" t="str">
        <f>_xlfn.XLOOKUP(PV_DATA[[#This Row],[New Ark SKU]],Table9[New Ark SKU],Table9[Cable],,0)</f>
        <v>±1600mm</v>
      </c>
      <c r="T227" s="433">
        <v>625</v>
      </c>
      <c r="U227" s="1088">
        <f>396-108</f>
        <v>288</v>
      </c>
      <c r="V227" s="434">
        <f>PV_DATA[[#This Row],[QUANTITY]]*PV_DATA[[#This Row],[WATT]]/1000000</f>
        <v>0.18</v>
      </c>
      <c r="W227" s="435">
        <f>PV_DATA[[#This Row],[QUANTITY]]/PV_DATA[[#This Row],[Qty/Pallet]]</f>
        <v>8</v>
      </c>
      <c r="X227" s="1040">
        <f>PV_DATA[[#This Row],[QUANTITY]]/PV_DATA[[#This Row],[Qty/CT]]</f>
        <v>0.5</v>
      </c>
      <c r="Y227" s="430" t="s">
        <v>75</v>
      </c>
      <c r="Z227" s="430" t="str">
        <f t="shared" si="0"/>
        <v>COMPLETED</v>
      </c>
      <c r="AA227" s="430"/>
      <c r="AB227" s="437">
        <v>46079</v>
      </c>
      <c r="AC227" s="438">
        <f>IF(PV_DATA[[#This Row],[Pick- Up Date]]&lt;&gt;"",_xlfn.ISOWEEKNUM(PV_DATA[[#This Row],[Pick- Up Date]]),"")</f>
        <v>9</v>
      </c>
      <c r="AD227" s="439" t="s">
        <v>1174</v>
      </c>
      <c r="AE227" s="430"/>
      <c r="AF227" s="430" t="s">
        <v>77</v>
      </c>
      <c r="AG227" s="430" t="s">
        <v>61</v>
      </c>
      <c r="AH227" s="430" t="s">
        <v>356</v>
      </c>
      <c r="AI227" s="437">
        <v>46083</v>
      </c>
      <c r="AJ227" s="437">
        <v>46084</v>
      </c>
      <c r="AK227" s="441">
        <v>46084</v>
      </c>
      <c r="AL227" s="437">
        <v>46133</v>
      </c>
      <c r="AM227" s="437">
        <v>46139</v>
      </c>
      <c r="AN227" s="437">
        <v>46140</v>
      </c>
      <c r="AO227" s="430" t="s">
        <v>402</v>
      </c>
      <c r="AP227" s="430" t="s">
        <v>1168</v>
      </c>
      <c r="AQ227" s="430" t="s">
        <v>161</v>
      </c>
      <c r="AR227" s="430" t="s">
        <v>1169</v>
      </c>
      <c r="AS227" s="430" t="s">
        <v>1170</v>
      </c>
      <c r="AT227" s="482" t="s">
        <v>1170</v>
      </c>
      <c r="AU2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7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7">
        <f>IF(ISERROR(PV_DATA[[#This Row],[New Ark PO status]]),"",_xlfn.XLOOKUP(PV_DATA[[#This Row],[SPTN-PVHK New Ark PO'#]],New_Ark_Data[Purchase order Number],New_Ark_Data[Estimated time of arrival],"",0))</f>
        <v>46153</v>
      </c>
      <c r="AZ22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7" s="437">
        <f>IFERROR(PV_DATA[[#This Row],[ODP ETA Port]]+PV_DATA[[#This Row],[Customs/Leg3 Assumption]],"n/a")</f>
        <v>46150</v>
      </c>
      <c r="BB227" s="433">
        <f>YEAR(PV_DATA[[#This Row],[ETA for New Ark update]])</f>
        <v>2026</v>
      </c>
      <c r="BC227" s="430">
        <f>MONTH(PV_DATA[[#This Row],[ETA for New Ark update]])</f>
        <v>5</v>
      </c>
      <c r="BD227" s="430">
        <f>IFERROR(_xlfn.ISOWEEKNUM(PV_DATA[[#This Row],[ETA for New Ark update]]),0)</f>
        <v>19</v>
      </c>
      <c r="BE227" s="431">
        <f>_xlfn.XLOOKUP(PV_DATA[[#This Row],[New Ark SKU]],Table9[New Ark SKU],Table9[Total PCS per Pallet],,0)</f>
        <v>36</v>
      </c>
      <c r="BF227" s="431">
        <f>_xlfn.XLOOKUP(PV_DATA[[#This Row],[New Ark SKU]],Table9[New Ark SKU],Table9[Total PCS per 40HQ Container],,0)</f>
        <v>576</v>
      </c>
      <c r="BG227" s="431" t="str">
        <f>_xlfn.XLOOKUP(PV_DATA[[#This Row],[New Ark SKU]],Table9[New Ark SKU],Table9[Back Glass],,0)</f>
        <v>White glazing</v>
      </c>
      <c r="BH227" s="431" t="str">
        <f>_xlfn.XLOOKUP(PV_DATA[[#This Row],[PORT DESTINATION]],Table12[PORT DESTINATION],Table12[Cosco Line],,0)</f>
        <v>AEU</v>
      </c>
      <c r="BJ227" s="430"/>
    </row>
    <row r="228" spans="1:62" ht="10.5">
      <c r="A228" s="462" t="s">
        <v>1175</v>
      </c>
      <c r="B228" s="462" t="s">
        <v>61</v>
      </c>
      <c r="C228" s="462" t="str">
        <f>IFERROR(LEFT(PV_DATA[[#This Row],[TCL REFERENCE]],FIND(".",PV_DATA[[#This Row],[TCL REFERENCE]],1)-1),"Main Line")</f>
        <v>26Mar025</v>
      </c>
      <c r="D228" s="462" t="s">
        <v>113</v>
      </c>
      <c r="E228" s="462" t="s">
        <v>64</v>
      </c>
      <c r="F228" s="462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2" t="s">
        <v>402</v>
      </c>
      <c r="H228" s="462" t="s">
        <v>67</v>
      </c>
      <c r="I228" s="439" t="s">
        <v>822</v>
      </c>
      <c r="J228" s="430" t="s">
        <v>1177</v>
      </c>
      <c r="K228" s="430"/>
      <c r="L228" s="430"/>
      <c r="M228" s="430" t="s">
        <v>68</v>
      </c>
      <c r="N228" s="432">
        <v>46045</v>
      </c>
      <c r="O228" s="430" t="s">
        <v>713</v>
      </c>
      <c r="P228" s="430" t="s">
        <v>714</v>
      </c>
      <c r="Q228" s="430" t="s">
        <v>1173</v>
      </c>
      <c r="R228" s="431" t="str">
        <f>_xlfn.XLOOKUP(PV_DATA[[#This Row],[New Ark SKU]],Table9[New Ark SKU],Table9[Connector],,0)</f>
        <v>EVO2A</v>
      </c>
      <c r="S228" s="442" t="str">
        <f>_xlfn.XLOOKUP(PV_DATA[[#This Row],[New Ark SKU]],Table9[New Ark SKU],Table9[Cable],,0)</f>
        <v>±1600mm</v>
      </c>
      <c r="T228" s="433">
        <v>625</v>
      </c>
      <c r="U228" s="1088">
        <v>3600</v>
      </c>
      <c r="V228" s="434">
        <f>PV_DATA[[#This Row],[QUANTITY]]*PV_DATA[[#This Row],[WATT]]/1000000</f>
        <v>2.25</v>
      </c>
      <c r="W228" s="435">
        <f>PV_DATA[[#This Row],[QUANTITY]]/PV_DATA[[#This Row],[Qty/Pallet]]</f>
        <v>100</v>
      </c>
      <c r="X228" s="1040">
        <f>PV_DATA[[#This Row],[QUANTITY]]/PV_DATA[[#This Row],[Qty/CT]]</f>
        <v>6.25</v>
      </c>
      <c r="Y228" s="430" t="s">
        <v>75</v>
      </c>
      <c r="Z228" s="430" t="str">
        <f t="shared" si="0"/>
        <v>COMPLETED</v>
      </c>
      <c r="AA228" s="430"/>
      <c r="AB228" s="437">
        <v>46079</v>
      </c>
      <c r="AC228" s="438">
        <f>IF(PV_DATA[[#This Row],[Pick- Up Date]]&lt;&gt;"",_xlfn.ISOWEEKNUM(PV_DATA[[#This Row],[Pick- Up Date]]),"")</f>
        <v>9</v>
      </c>
      <c r="AD228" s="439" t="s">
        <v>1178</v>
      </c>
      <c r="AE228" s="430"/>
      <c r="AF228" s="430" t="s">
        <v>77</v>
      </c>
      <c r="AG228" s="430" t="s">
        <v>61</v>
      </c>
      <c r="AH228" s="430" t="s">
        <v>356</v>
      </c>
      <c r="AI228" s="437">
        <v>46083</v>
      </c>
      <c r="AJ228" s="437">
        <v>46084</v>
      </c>
      <c r="AK228" s="441">
        <v>46084</v>
      </c>
      <c r="AL228" s="437">
        <v>46133</v>
      </c>
      <c r="AM228" s="437">
        <v>46139</v>
      </c>
      <c r="AN228" s="437">
        <v>46140</v>
      </c>
      <c r="AO228" s="430" t="s">
        <v>402</v>
      </c>
      <c r="AP228" s="430" t="s">
        <v>1168</v>
      </c>
      <c r="AQ228" s="430" t="s">
        <v>161</v>
      </c>
      <c r="AR228" s="430" t="s">
        <v>1169</v>
      </c>
      <c r="AS228" s="430" t="s">
        <v>1170</v>
      </c>
      <c r="AT228" s="482" t="s">
        <v>1170</v>
      </c>
      <c r="AU2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7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7">
        <f>IF(ISERROR(PV_DATA[[#This Row],[New Ark PO status]]),"",_xlfn.XLOOKUP(PV_DATA[[#This Row],[SPTN-PVHK New Ark PO'#]],New_Ark_Data[Purchase order Number],New_Ark_Data[Estimated time of arrival],"",0))</f>
        <v>46153</v>
      </c>
      <c r="AZ22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8" s="437">
        <f>IFERROR(PV_DATA[[#This Row],[ODP ETA Port]]+PV_DATA[[#This Row],[Customs/Leg3 Assumption]],"n/a")</f>
        <v>46150</v>
      </c>
      <c r="BB228" s="433">
        <f>YEAR(PV_DATA[[#This Row],[ETA for New Ark update]])</f>
        <v>2026</v>
      </c>
      <c r="BC228" s="430">
        <f>MONTH(PV_DATA[[#This Row],[ETA for New Ark update]])</f>
        <v>5</v>
      </c>
      <c r="BD228" s="430">
        <f>IFERROR(_xlfn.ISOWEEKNUM(PV_DATA[[#This Row],[ETA for New Ark update]]),0)</f>
        <v>19</v>
      </c>
      <c r="BE228" s="431">
        <f>_xlfn.XLOOKUP(PV_DATA[[#This Row],[New Ark SKU]],Table9[New Ark SKU],Table9[Total PCS per Pallet],,0)</f>
        <v>36</v>
      </c>
      <c r="BF228" s="431">
        <f>_xlfn.XLOOKUP(PV_DATA[[#This Row],[New Ark SKU]],Table9[New Ark SKU],Table9[Total PCS per 40HQ Container],,0)</f>
        <v>576</v>
      </c>
      <c r="BG228" s="431" t="str">
        <f>_xlfn.XLOOKUP(PV_DATA[[#This Row],[New Ark SKU]],Table9[New Ark SKU],Table9[Back Glass],,0)</f>
        <v>White glazing</v>
      </c>
      <c r="BH228" s="431" t="str">
        <f>_xlfn.XLOOKUP(PV_DATA[[#This Row],[PORT DESTINATION]],Table12[PORT DESTINATION],Table12[Cosco Line],,0)</f>
        <v>AEU</v>
      </c>
      <c r="BJ228" s="430"/>
    </row>
    <row r="229" spans="1:62" ht="10.5">
      <c r="A229" s="462" t="s">
        <v>1176</v>
      </c>
      <c r="B229" s="462" t="s">
        <v>61</v>
      </c>
      <c r="C229" s="462" t="str">
        <f>IFERROR(LEFT(PV_DATA[[#This Row],[TCL REFERENCE]],FIND(".",PV_DATA[[#This Row],[TCL REFERENCE]],1)-1),"Main Line")</f>
        <v>Main Line</v>
      </c>
      <c r="D229" s="462" t="s">
        <v>113</v>
      </c>
      <c r="E229" s="462" t="s">
        <v>64</v>
      </c>
      <c r="F229" s="462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2" t="s">
        <v>402</v>
      </c>
      <c r="H229" s="462" t="s">
        <v>67</v>
      </c>
      <c r="I229" s="439" t="s">
        <v>822</v>
      </c>
      <c r="J229" s="430" t="s">
        <v>1177</v>
      </c>
      <c r="K229" s="430"/>
      <c r="L229" s="430"/>
      <c r="M229" s="430" t="s">
        <v>68</v>
      </c>
      <c r="N229" s="432">
        <v>46045</v>
      </c>
      <c r="O229" s="430" t="s">
        <v>713</v>
      </c>
      <c r="P229" s="430" t="s">
        <v>714</v>
      </c>
      <c r="Q229" s="430" t="s">
        <v>1173</v>
      </c>
      <c r="R229" s="431" t="str">
        <f>_xlfn.XLOOKUP(PV_DATA[[#This Row],[New Ark SKU]],Table9[New Ark SKU],Table9[Connector],,0)</f>
        <v>EVO2A</v>
      </c>
      <c r="S229" s="442" t="str">
        <f>_xlfn.XLOOKUP(PV_DATA[[#This Row],[New Ark SKU]],Table9[New Ark SKU],Table9[Cable],,0)</f>
        <v>±1600mm</v>
      </c>
      <c r="T229" s="433">
        <v>625</v>
      </c>
      <c r="U229" s="1088">
        <v>4032</v>
      </c>
      <c r="V229" s="434">
        <f>PV_DATA[[#This Row],[QUANTITY]]*PV_DATA[[#This Row],[WATT]]/1000000</f>
        <v>2.52</v>
      </c>
      <c r="W229" s="435">
        <f>PV_DATA[[#This Row],[QUANTITY]]/PV_DATA[[#This Row],[Qty/Pallet]]</f>
        <v>112</v>
      </c>
      <c r="X229" s="1040">
        <f>PV_DATA[[#This Row],[QUANTITY]]/PV_DATA[[#This Row],[Qty/CT]]</f>
        <v>7</v>
      </c>
      <c r="Y229" s="430" t="s">
        <v>75</v>
      </c>
      <c r="Z229" s="430" t="str">
        <f t="shared" si="0"/>
        <v>COMPLETED</v>
      </c>
      <c r="AA229" s="430"/>
      <c r="AB229" s="437">
        <v>46078</v>
      </c>
      <c r="AC229" s="438">
        <f>IF(PV_DATA[[#This Row],[Pick- Up Date]]&lt;&gt;"",_xlfn.ISOWEEKNUM(PV_DATA[[#This Row],[Pick- Up Date]]),"")</f>
        <v>9</v>
      </c>
      <c r="AD229" s="439" t="s">
        <v>1179</v>
      </c>
      <c r="AE229" s="430"/>
      <c r="AF229" s="430" t="s">
        <v>77</v>
      </c>
      <c r="AG229" s="430" t="s">
        <v>61</v>
      </c>
      <c r="AH229" s="430" t="s">
        <v>356</v>
      </c>
      <c r="AI229" s="437">
        <v>46083</v>
      </c>
      <c r="AJ229" s="437">
        <v>46084</v>
      </c>
      <c r="AK229" s="441">
        <v>46084</v>
      </c>
      <c r="AL229" s="437">
        <v>46133</v>
      </c>
      <c r="AM229" s="437">
        <v>46139</v>
      </c>
      <c r="AN229" s="437">
        <v>46140</v>
      </c>
      <c r="AO229" s="430" t="s">
        <v>402</v>
      </c>
      <c r="AP229" s="430" t="s">
        <v>1168</v>
      </c>
      <c r="AQ229" s="430" t="s">
        <v>161</v>
      </c>
      <c r="AR229" s="430" t="s">
        <v>1180</v>
      </c>
      <c r="AS229" s="430" t="s">
        <v>1181</v>
      </c>
      <c r="AT229" s="482" t="s">
        <v>1181</v>
      </c>
      <c r="AU2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7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7">
        <f>IF(ISERROR(PV_DATA[[#This Row],[New Ark PO status]]),"",_xlfn.XLOOKUP(PV_DATA[[#This Row],[SPTN-PVHK New Ark PO'#]],New_Ark_Data[Purchase order Number],New_Ark_Data[Estimated time of arrival],"",0))</f>
        <v>46153</v>
      </c>
      <c r="AZ22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9" s="437">
        <f>IFERROR(PV_DATA[[#This Row],[ODP ETA Port]]+PV_DATA[[#This Row],[Customs/Leg3 Assumption]],"n/a")</f>
        <v>46150</v>
      </c>
      <c r="BB229" s="433">
        <f>YEAR(PV_DATA[[#This Row],[ETA for New Ark update]])</f>
        <v>2026</v>
      </c>
      <c r="BC229" s="430">
        <f>MONTH(PV_DATA[[#This Row],[ETA for New Ark update]])</f>
        <v>5</v>
      </c>
      <c r="BD229" s="430">
        <f>IFERROR(_xlfn.ISOWEEKNUM(PV_DATA[[#This Row],[ETA for New Ark update]]),0)</f>
        <v>19</v>
      </c>
      <c r="BE229" s="431">
        <f>_xlfn.XLOOKUP(PV_DATA[[#This Row],[New Ark SKU]],Table9[New Ark SKU],Table9[Total PCS per Pallet],,0)</f>
        <v>36</v>
      </c>
      <c r="BF229" s="431">
        <f>_xlfn.XLOOKUP(PV_DATA[[#This Row],[New Ark SKU]],Table9[New Ark SKU],Table9[Total PCS per 40HQ Container],,0)</f>
        <v>576</v>
      </c>
      <c r="BG229" s="431" t="str">
        <f>_xlfn.XLOOKUP(PV_DATA[[#This Row],[New Ark SKU]],Table9[New Ark SKU],Table9[Back Glass],,0)</f>
        <v>White glazing</v>
      </c>
      <c r="BH229" s="431" t="str">
        <f>_xlfn.XLOOKUP(PV_DATA[[#This Row],[PORT DESTINATION]],Table12[PORT DESTINATION],Table12[Cosco Line],,0)</f>
        <v>AEU</v>
      </c>
      <c r="BJ229" s="430"/>
    </row>
    <row r="230" spans="1:62" ht="10.5">
      <c r="A230" s="462" t="s">
        <v>1182</v>
      </c>
      <c r="B230" s="462" t="s">
        <v>111</v>
      </c>
      <c r="C230" s="462" t="str">
        <f>IFERROR(LEFT(PV_DATA[[#This Row],[TCL REFERENCE]],FIND(".",PV_DATA[[#This Row],[TCL REFERENCE]],1)-1),"Main Line")</f>
        <v>26Mar026</v>
      </c>
      <c r="D230" s="462" t="s">
        <v>113</v>
      </c>
      <c r="E230" s="462" t="s">
        <v>64</v>
      </c>
      <c r="F230" s="462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2" t="s">
        <v>402</v>
      </c>
      <c r="H230" s="462" t="s">
        <v>67</v>
      </c>
      <c r="I230" s="439" t="s">
        <v>822</v>
      </c>
      <c r="J230" s="430" t="s">
        <v>1184</v>
      </c>
      <c r="K230" s="430" t="s">
        <v>328</v>
      </c>
      <c r="L230" s="430"/>
      <c r="M230" s="430" t="s">
        <v>68</v>
      </c>
      <c r="N230" s="432">
        <v>46045</v>
      </c>
      <c r="O230" s="430" t="s">
        <v>713</v>
      </c>
      <c r="P230" s="430" t="s">
        <v>1185</v>
      </c>
      <c r="Q230" s="430" t="s">
        <v>1186</v>
      </c>
      <c r="R230" s="431" t="str">
        <f>_xlfn.XLOOKUP(PV_DATA[[#This Row],[New Ark SKU]],Table9[New Ark SKU],Table9[Connector],,0)</f>
        <v>EVO2A</v>
      </c>
      <c r="S230" s="442" t="str">
        <f>_xlfn.XLOOKUP(PV_DATA[[#This Row],[New Ark SKU]],Table9[New Ark SKU],Table9[Cable],,0)</f>
        <v>±1500mm</v>
      </c>
      <c r="T230" s="433">
        <v>615</v>
      </c>
      <c r="U230" s="1088">
        <v>1440</v>
      </c>
      <c r="V230" s="434">
        <f>PV_DATA[[#This Row],[QUANTITY]]*PV_DATA[[#This Row],[WATT]]/1000000</f>
        <v>0.88560000000000005</v>
      </c>
      <c r="W230" s="435">
        <f>PV_DATA[[#This Row],[QUANTITY]]/PV_DATA[[#This Row],[Qty/Pallet]]</f>
        <v>40</v>
      </c>
      <c r="X230" s="1040">
        <f>PV_DATA[[#This Row],[QUANTITY]]/PV_DATA[[#This Row],[Qty/CT]]</f>
        <v>2</v>
      </c>
      <c r="Y230" s="430" t="s">
        <v>75</v>
      </c>
      <c r="Z230" s="430" t="str">
        <f t="shared" si="0"/>
        <v>COMPLETED</v>
      </c>
      <c r="AA230" s="430"/>
      <c r="AB230" s="437">
        <v>46076</v>
      </c>
      <c r="AC230" s="438">
        <f>IF(PV_DATA[[#This Row],[Pick- Up Date]]&lt;&gt;"",_xlfn.ISOWEEKNUM(PV_DATA[[#This Row],[Pick- Up Date]]),"")</f>
        <v>9</v>
      </c>
      <c r="AD230" s="439" t="s">
        <v>1188</v>
      </c>
      <c r="AE230" s="430"/>
      <c r="AF230" s="430" t="s">
        <v>122</v>
      </c>
      <c r="AG230" s="430" t="s">
        <v>123</v>
      </c>
      <c r="AH230" s="430" t="s">
        <v>356</v>
      </c>
      <c r="AI230" s="437">
        <v>46079</v>
      </c>
      <c r="AJ230" s="437">
        <v>46079</v>
      </c>
      <c r="AK230" s="441">
        <v>46079</v>
      </c>
      <c r="AL230" s="437">
        <v>46132</v>
      </c>
      <c r="AM230" s="437">
        <v>46135</v>
      </c>
      <c r="AN230" s="437">
        <v>46135</v>
      </c>
      <c r="AO230" s="430" t="s">
        <v>402</v>
      </c>
      <c r="AP230" s="430" t="s">
        <v>1189</v>
      </c>
      <c r="AQ230" s="430" t="s">
        <v>80</v>
      </c>
      <c r="AR230" s="430" t="s">
        <v>1190</v>
      </c>
      <c r="AS230" s="430" t="s">
        <v>1191</v>
      </c>
      <c r="AT230" s="482" t="s">
        <v>1191</v>
      </c>
      <c r="AU2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7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7">
        <f>IF(ISERROR(PV_DATA[[#This Row],[New Ark PO status]]),"",_xlfn.XLOOKUP(PV_DATA[[#This Row],[SPTN-PVHK New Ark PO'#]],New_Ark_Data[Purchase order Number],New_Ark_Data[Estimated time of arrival],"",0))</f>
        <v>46149</v>
      </c>
      <c r="AZ23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0" s="437">
        <f>IFERROR(PV_DATA[[#This Row],[ODP ETA Port]]+PV_DATA[[#This Row],[Customs/Leg3 Assumption]],"n/a")</f>
        <v>46145</v>
      </c>
      <c r="BB230" s="433">
        <f>YEAR(PV_DATA[[#This Row],[ETA for New Ark update]])</f>
        <v>2026</v>
      </c>
      <c r="BC230" s="430">
        <f>MONTH(PV_DATA[[#This Row],[ETA for New Ark update]])</f>
        <v>5</v>
      </c>
      <c r="BD230" s="430">
        <f>IFERROR(_xlfn.ISOWEEKNUM(PV_DATA[[#This Row],[ETA for New Ark update]]),0)</f>
        <v>18</v>
      </c>
      <c r="BE230" s="431">
        <f>_xlfn.XLOOKUP(PV_DATA[[#This Row],[New Ark SKU]],Table9[New Ark SKU],Table9[Total PCS per Pallet],,0)</f>
        <v>36</v>
      </c>
      <c r="BF230" s="431">
        <f>_xlfn.XLOOKUP(PV_DATA[[#This Row],[New Ark SKU]],Table9[New Ark SKU],Table9[Total PCS per 40HQ Container],,0)</f>
        <v>720</v>
      </c>
      <c r="BG230" s="431" t="str">
        <f>_xlfn.XLOOKUP(PV_DATA[[#This Row],[New Ark SKU]],Table9[New Ark SKU],Table9[Back Glass],,0)</f>
        <v>White glazing</v>
      </c>
      <c r="BH230" s="431" t="str">
        <f>_xlfn.XLOOKUP(PV_DATA[[#This Row],[PORT DESTINATION]],Table12[PORT DESTINATION],Table12[Cosco Line],,0)</f>
        <v>AEU</v>
      </c>
      <c r="BJ230" s="430"/>
    </row>
    <row r="231" spans="1:62" ht="10.5">
      <c r="A231" s="462" t="s">
        <v>1192</v>
      </c>
      <c r="B231" s="462" t="s">
        <v>111</v>
      </c>
      <c r="C231" s="462" t="str">
        <f>IFERROR(LEFT(PV_DATA[[#This Row],[TCL REFERENCE]],FIND(".",PV_DATA[[#This Row],[TCL REFERENCE]],1)-1),"Main Line")</f>
        <v>26Feb009</v>
      </c>
      <c r="D231" s="462" t="s">
        <v>63</v>
      </c>
      <c r="E231" s="462" t="s">
        <v>64</v>
      </c>
      <c r="F231" s="462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2" t="s">
        <v>402</v>
      </c>
      <c r="H231" s="462" t="s">
        <v>67</v>
      </c>
      <c r="I231" s="439" t="s">
        <v>689</v>
      </c>
      <c r="J231" s="430" t="s">
        <v>293</v>
      </c>
      <c r="K231" s="430"/>
      <c r="L231" s="430"/>
      <c r="M231" s="430" t="s">
        <v>68</v>
      </c>
      <c r="N231" s="432">
        <v>46069</v>
      </c>
      <c r="O231" s="430" t="s">
        <v>132</v>
      </c>
      <c r="P231" s="430" t="s">
        <v>189</v>
      </c>
      <c r="Q231" s="430" t="s">
        <v>190</v>
      </c>
      <c r="R231" s="431" t="str">
        <f>_xlfn.XLOOKUP(PV_DATA[[#This Row],[New Ark SKU]],Table9[New Ark SKU],Table9[Connector],,0)</f>
        <v>EVO2A</v>
      </c>
      <c r="S231" s="442" t="str">
        <f>_xlfn.XLOOKUP(PV_DATA[[#This Row],[New Ark SKU]],Table9[New Ark SKU],Table9[Cable],,0)</f>
        <v>±1200mm</v>
      </c>
      <c r="T231" s="433">
        <v>465</v>
      </c>
      <c r="U231" s="1088">
        <f>864*5</f>
        <v>4320</v>
      </c>
      <c r="V231" s="434">
        <f>PV_DATA[[#This Row],[QUANTITY]]*PV_DATA[[#This Row],[WATT]]/1000000</f>
        <v>2.0087999999999999</v>
      </c>
      <c r="W231" s="435">
        <f>PV_DATA[[#This Row],[QUANTITY]]/PV_DATA[[#This Row],[Qty/Pallet]]</f>
        <v>120</v>
      </c>
      <c r="X231" s="1040">
        <f>PV_DATA[[#This Row],[QUANTITY]]/PV_DATA[[#This Row],[Qty/CT]]</f>
        <v>5</v>
      </c>
      <c r="Y231" s="430" t="s">
        <v>75</v>
      </c>
      <c r="Z231" s="430" t="str">
        <f t="shared" si="0"/>
        <v>COMPLETED</v>
      </c>
      <c r="AA231" s="430"/>
      <c r="AB231" s="437">
        <v>46077</v>
      </c>
      <c r="AC231" s="438">
        <f>IF(PV_DATA[[#This Row],[Pick- Up Date]]&lt;&gt;"",_xlfn.ISOWEEKNUM(PV_DATA[[#This Row],[Pick- Up Date]]),"")</f>
        <v>9</v>
      </c>
      <c r="AD231" s="439" t="s">
        <v>1193</v>
      </c>
      <c r="AE231" s="430"/>
      <c r="AF231" s="430" t="s">
        <v>122</v>
      </c>
      <c r="AG231" s="430" t="s">
        <v>123</v>
      </c>
      <c r="AH231" s="430" t="s">
        <v>105</v>
      </c>
      <c r="AI231" s="437">
        <v>46088</v>
      </c>
      <c r="AJ231" s="437">
        <v>46086</v>
      </c>
      <c r="AK231" s="441">
        <v>46090</v>
      </c>
      <c r="AL231" s="437">
        <v>46122</v>
      </c>
      <c r="AM231" s="437">
        <v>46141</v>
      </c>
      <c r="AN231" s="437">
        <v>46137</v>
      </c>
      <c r="AO231" s="430" t="s">
        <v>402</v>
      </c>
      <c r="AP231" s="430" t="s">
        <v>850</v>
      </c>
      <c r="AQ231" s="430" t="s">
        <v>80</v>
      </c>
      <c r="AR231" s="430" t="s">
        <v>1194</v>
      </c>
      <c r="AS231" s="430" t="s">
        <v>1195</v>
      </c>
      <c r="AT231" s="482" t="s">
        <v>1195</v>
      </c>
      <c r="AU2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7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7">
        <f>IF(ISERROR(PV_DATA[[#This Row],[New Ark PO status]]),"",_xlfn.XLOOKUP(PV_DATA[[#This Row],[SPTN-PVHK New Ark PO'#]],New_Ark_Data[Purchase order Number],New_Ark_Data[Estimated time of arrival],"",0))</f>
        <v>46150</v>
      </c>
      <c r="AZ2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7">
        <f>IFERROR(PV_DATA[[#This Row],[ODP ETA Port]]+PV_DATA[[#This Row],[Customs/Leg3 Assumption]],"n/a")</f>
        <v>46144</v>
      </c>
      <c r="BB231" s="433">
        <f>YEAR(PV_DATA[[#This Row],[ETA for New Ark update]])</f>
        <v>2026</v>
      </c>
      <c r="BC231" s="430">
        <f>MONTH(PV_DATA[[#This Row],[ETA for New Ark update]])</f>
        <v>5</v>
      </c>
      <c r="BD231" s="430">
        <f>IFERROR(_xlfn.ISOWEEKNUM(PV_DATA[[#This Row],[ETA for New Ark update]]),0)</f>
        <v>18</v>
      </c>
      <c r="BE231" s="431">
        <f>_xlfn.XLOOKUP(PV_DATA[[#This Row],[New Ark SKU]],Table9[New Ark SKU],Table9[Total PCS per Pallet],,0)</f>
        <v>36</v>
      </c>
      <c r="BF231" s="431">
        <f>_xlfn.XLOOKUP(PV_DATA[[#This Row],[New Ark SKU]],Table9[New Ark SKU],Table9[Total PCS per 40HQ Container],,0)</f>
        <v>864</v>
      </c>
      <c r="BG231" s="431" t="str">
        <f>_xlfn.XLOOKUP(PV_DATA[[#This Row],[New Ark SKU]],Table9[New Ark SKU],Table9[Back Glass],,0)</f>
        <v>White glazing</v>
      </c>
      <c r="BH231" s="431" t="str">
        <f>_xlfn.XLOOKUP(PV_DATA[[#This Row],[PORT DESTINATION]],Table12[PORT DESTINATION],Table12[Cosco Line],,0)</f>
        <v>AEU</v>
      </c>
      <c r="BJ231" s="430"/>
    </row>
    <row r="232" spans="1:62" ht="10.5">
      <c r="A232" s="462" t="s">
        <v>1196</v>
      </c>
      <c r="B232" s="462" t="s">
        <v>111</v>
      </c>
      <c r="C232" s="462" t="str">
        <f>IFERROR(LEFT(PV_DATA[[#This Row],[TCL REFERENCE]],FIND(".",PV_DATA[[#This Row],[TCL REFERENCE]],1)-1),"Main Line")</f>
        <v>26Feb009</v>
      </c>
      <c r="D232" s="462" t="s">
        <v>63</v>
      </c>
      <c r="E232" s="462" t="s">
        <v>64</v>
      </c>
      <c r="F232" s="462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2" t="s">
        <v>402</v>
      </c>
      <c r="H232" s="462" t="s">
        <v>67</v>
      </c>
      <c r="I232" s="439" t="s">
        <v>689</v>
      </c>
      <c r="J232" s="430" t="s">
        <v>1197</v>
      </c>
      <c r="K232" s="430"/>
      <c r="L232" s="430"/>
      <c r="M232" s="430" t="s">
        <v>68</v>
      </c>
      <c r="N232" s="432">
        <v>46055</v>
      </c>
      <c r="O232" s="430" t="s">
        <v>132</v>
      </c>
      <c r="P232" s="430" t="s">
        <v>189</v>
      </c>
      <c r="Q232" s="430" t="s">
        <v>190</v>
      </c>
      <c r="R232" s="431" t="str">
        <f>_xlfn.XLOOKUP(PV_DATA[[#This Row],[New Ark SKU]],Table9[New Ark SKU],Table9[Connector],,0)</f>
        <v>EVO2A</v>
      </c>
      <c r="S232" s="442" t="str">
        <f>_xlfn.XLOOKUP(PV_DATA[[#This Row],[New Ark SKU]],Table9[New Ark SKU],Table9[Cable],,0)</f>
        <v>±1200mm</v>
      </c>
      <c r="T232" s="433">
        <v>465</v>
      </c>
      <c r="U232" s="1088">
        <f>864*6</f>
        <v>5184</v>
      </c>
      <c r="V232" s="434">
        <f>PV_DATA[[#This Row],[QUANTITY]]*PV_DATA[[#This Row],[WATT]]/1000000</f>
        <v>2.4105599999999998</v>
      </c>
      <c r="W232" s="435">
        <f>PV_DATA[[#This Row],[QUANTITY]]/PV_DATA[[#This Row],[Qty/Pallet]]</f>
        <v>144</v>
      </c>
      <c r="X232" s="1040">
        <f>PV_DATA[[#This Row],[QUANTITY]]/PV_DATA[[#This Row],[Qty/CT]]</f>
        <v>6</v>
      </c>
      <c r="Y232" s="430" t="s">
        <v>75</v>
      </c>
      <c r="Z232" s="430" t="str">
        <f t="shared" si="0"/>
        <v>COMPLETED</v>
      </c>
      <c r="AA232" s="430"/>
      <c r="AB232" s="437">
        <v>46079</v>
      </c>
      <c r="AC232" s="438">
        <f>IF(PV_DATA[[#This Row],[Pick- Up Date]]&lt;&gt;"",_xlfn.ISOWEEKNUM(PV_DATA[[#This Row],[Pick- Up Date]]),"")</f>
        <v>9</v>
      </c>
      <c r="AD232" s="439" t="s">
        <v>1198</v>
      </c>
      <c r="AE232" s="430"/>
      <c r="AF232" s="430" t="s">
        <v>122</v>
      </c>
      <c r="AG232" s="430" t="s">
        <v>123</v>
      </c>
      <c r="AH232" s="430" t="s">
        <v>105</v>
      </c>
      <c r="AI232" s="437">
        <v>46088</v>
      </c>
      <c r="AJ232" s="437">
        <v>46086</v>
      </c>
      <c r="AK232" s="441">
        <v>46090</v>
      </c>
      <c r="AL232" s="437">
        <v>46122</v>
      </c>
      <c r="AM232" s="437">
        <v>46141</v>
      </c>
      <c r="AN232" s="437">
        <v>46137</v>
      </c>
      <c r="AO232" s="430" t="s">
        <v>402</v>
      </c>
      <c r="AP232" s="430" t="s">
        <v>1199</v>
      </c>
      <c r="AQ232" s="430" t="s">
        <v>80</v>
      </c>
      <c r="AR232" s="430" t="s">
        <v>1194</v>
      </c>
      <c r="AS232" s="430" t="s">
        <v>1195</v>
      </c>
      <c r="AT232" s="482" t="s">
        <v>1195</v>
      </c>
      <c r="AU2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7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7">
        <f>IF(ISERROR(PV_DATA[[#This Row],[New Ark PO status]]),"",_xlfn.XLOOKUP(PV_DATA[[#This Row],[SPTN-PVHK New Ark PO'#]],New_Ark_Data[Purchase order Number],New_Ark_Data[Estimated time of arrival],"",0))</f>
        <v>46150</v>
      </c>
      <c r="AZ2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7">
        <f>IFERROR(PV_DATA[[#This Row],[ODP ETA Port]]+PV_DATA[[#This Row],[Customs/Leg3 Assumption]],"n/a")</f>
        <v>46144</v>
      </c>
      <c r="BB232" s="433">
        <f>YEAR(PV_DATA[[#This Row],[ETA for New Ark update]])</f>
        <v>2026</v>
      </c>
      <c r="BC232" s="430">
        <f>MONTH(PV_DATA[[#This Row],[ETA for New Ark update]])</f>
        <v>5</v>
      </c>
      <c r="BD232" s="430">
        <f>IFERROR(_xlfn.ISOWEEKNUM(PV_DATA[[#This Row],[ETA for New Ark update]]),0)</f>
        <v>18</v>
      </c>
      <c r="BE232" s="431">
        <f>_xlfn.XLOOKUP(PV_DATA[[#This Row],[New Ark SKU]],Table9[New Ark SKU],Table9[Total PCS per Pallet],,0)</f>
        <v>36</v>
      </c>
      <c r="BF232" s="431">
        <f>_xlfn.XLOOKUP(PV_DATA[[#This Row],[New Ark SKU]],Table9[New Ark SKU],Table9[Total PCS per 40HQ Container],,0)</f>
        <v>864</v>
      </c>
      <c r="BG232" s="431" t="str">
        <f>_xlfn.XLOOKUP(PV_DATA[[#This Row],[New Ark SKU]],Table9[New Ark SKU],Table9[Back Glass],,0)</f>
        <v>White glazing</v>
      </c>
      <c r="BH232" s="431" t="str">
        <f>_xlfn.XLOOKUP(PV_DATA[[#This Row],[PORT DESTINATION]],Table12[PORT DESTINATION],Table12[Cosco Line],,0)</f>
        <v>AEU</v>
      </c>
      <c r="BJ232" s="430"/>
    </row>
    <row r="233" spans="1:62" ht="10.5">
      <c r="A233" s="462" t="s">
        <v>1200</v>
      </c>
      <c r="B233" s="462" t="s">
        <v>111</v>
      </c>
      <c r="C233" s="462" t="str">
        <f>IFERROR(LEFT(PV_DATA[[#This Row],[TCL REFERENCE]],FIND(".",PV_DATA[[#This Row],[TCL REFERENCE]],1)-1),"Main Line")</f>
        <v>26Feb010</v>
      </c>
      <c r="D233" s="462" t="s">
        <v>63</v>
      </c>
      <c r="E233" s="462" t="s">
        <v>64</v>
      </c>
      <c r="F233" s="462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2" t="s">
        <v>402</v>
      </c>
      <c r="H233" s="462" t="s">
        <v>67</v>
      </c>
      <c r="I233" s="439" t="s">
        <v>689</v>
      </c>
      <c r="J233" s="430" t="s">
        <v>101</v>
      </c>
      <c r="K233" s="430"/>
      <c r="L233" s="430"/>
      <c r="M233" s="430" t="s">
        <v>68</v>
      </c>
      <c r="N233" s="432" t="s">
        <v>68</v>
      </c>
      <c r="O233" s="430" t="s">
        <v>132</v>
      </c>
      <c r="P233" s="430" t="s">
        <v>1062</v>
      </c>
      <c r="Q233" s="430" t="s">
        <v>1063</v>
      </c>
      <c r="R233" s="431" t="str">
        <f>_xlfn.XLOOKUP(PV_DATA[[#This Row],[New Ark SKU]],Table9[New Ark SKU],Table9[Connector],,0)</f>
        <v>EVO2A</v>
      </c>
      <c r="S233" s="442" t="str">
        <f>_xlfn.XLOOKUP(PV_DATA[[#This Row],[New Ark SKU]],Table9[New Ark SKU],Table9[Cable],,0)</f>
        <v>±1200mm</v>
      </c>
      <c r="T233" s="433">
        <v>470</v>
      </c>
      <c r="U233" s="1088">
        <v>864</v>
      </c>
      <c r="V233" s="434">
        <f>PV_DATA[[#This Row],[QUANTITY]]*PV_DATA[[#This Row],[WATT]]/1000000</f>
        <v>0.40608</v>
      </c>
      <c r="W233" s="435">
        <f>PV_DATA[[#This Row],[QUANTITY]]/PV_DATA[[#This Row],[Qty/Pallet]]</f>
        <v>24</v>
      </c>
      <c r="X233" s="1040">
        <f>PV_DATA[[#This Row],[QUANTITY]]/PV_DATA[[#This Row],[Qty/CT]]</f>
        <v>1</v>
      </c>
      <c r="Y233" s="430" t="s">
        <v>75</v>
      </c>
      <c r="Z233" s="430" t="str">
        <f t="shared" si="0"/>
        <v>COMPLETED</v>
      </c>
      <c r="AA233" s="430"/>
      <c r="AB233" s="437">
        <v>46079</v>
      </c>
      <c r="AC233" s="438">
        <f>IF(PV_DATA[[#This Row],[Pick- Up Date]]&lt;&gt;"",_xlfn.ISOWEEKNUM(PV_DATA[[#This Row],[Pick- Up Date]]),"")</f>
        <v>9</v>
      </c>
      <c r="AD233" s="439" t="s">
        <v>1201</v>
      </c>
      <c r="AE233" s="430"/>
      <c r="AF233" s="430" t="s">
        <v>122</v>
      </c>
      <c r="AG233" s="430" t="s">
        <v>123</v>
      </c>
      <c r="AH233" s="430" t="s">
        <v>105</v>
      </c>
      <c r="AI233" s="437">
        <v>46088</v>
      </c>
      <c r="AJ233" s="437">
        <v>46086</v>
      </c>
      <c r="AK233" s="441">
        <v>46090</v>
      </c>
      <c r="AL233" s="437">
        <v>46122</v>
      </c>
      <c r="AM233" s="437">
        <v>46141</v>
      </c>
      <c r="AN233" s="437">
        <v>46137</v>
      </c>
      <c r="AO233" s="430" t="s">
        <v>402</v>
      </c>
      <c r="AP233" s="430" t="s">
        <v>1199</v>
      </c>
      <c r="AQ233" s="430" t="s">
        <v>80</v>
      </c>
      <c r="AR233" s="430" t="s">
        <v>1194</v>
      </c>
      <c r="AS233" s="430" t="s">
        <v>1195</v>
      </c>
      <c r="AT233" s="482" t="s">
        <v>1195</v>
      </c>
      <c r="AU2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7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7">
        <f>IF(ISERROR(PV_DATA[[#This Row],[New Ark PO status]]),"",_xlfn.XLOOKUP(PV_DATA[[#This Row],[SPTN-PVHK New Ark PO'#]],New_Ark_Data[Purchase order Number],New_Ark_Data[Estimated time of arrival],"",0))</f>
        <v>46150</v>
      </c>
      <c r="AZ2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7">
        <f>IFERROR(PV_DATA[[#This Row],[ODP ETA Port]]+PV_DATA[[#This Row],[Customs/Leg3 Assumption]],"n/a")</f>
        <v>46144</v>
      </c>
      <c r="BB233" s="433">
        <f>YEAR(PV_DATA[[#This Row],[ETA for New Ark update]])</f>
        <v>2026</v>
      </c>
      <c r="BC233" s="430">
        <f>MONTH(PV_DATA[[#This Row],[ETA for New Ark update]])</f>
        <v>5</v>
      </c>
      <c r="BD233" s="430">
        <f>IFERROR(_xlfn.ISOWEEKNUM(PV_DATA[[#This Row],[ETA for New Ark update]]),0)</f>
        <v>18</v>
      </c>
      <c r="BE233" s="431">
        <f>_xlfn.XLOOKUP(PV_DATA[[#This Row],[New Ark SKU]],Table9[New Ark SKU],Table9[Total PCS per Pallet],,0)</f>
        <v>36</v>
      </c>
      <c r="BF233" s="431">
        <f>_xlfn.XLOOKUP(PV_DATA[[#This Row],[New Ark SKU]],Table9[New Ark SKU],Table9[Total PCS per 40HQ Container],,0)</f>
        <v>864</v>
      </c>
      <c r="BG233" s="431" t="str">
        <f>_xlfn.XLOOKUP(PV_DATA[[#This Row],[New Ark SKU]],Table9[New Ark SKU],Table9[Back Glass],,0)</f>
        <v>White glazing</v>
      </c>
      <c r="BH233" s="431" t="str">
        <f>_xlfn.XLOOKUP(PV_DATA[[#This Row],[PORT DESTINATION]],Table12[PORT DESTINATION],Table12[Cosco Line],,0)</f>
        <v>AEU</v>
      </c>
      <c r="BJ233" s="430"/>
    </row>
    <row r="234" spans="1:62" ht="10.5">
      <c r="A234" s="462" t="s">
        <v>1202</v>
      </c>
      <c r="B234" s="462" t="s">
        <v>111</v>
      </c>
      <c r="C234" s="462" t="str">
        <f>IFERROR(LEFT(PV_DATA[[#This Row],[TCL REFERENCE]],FIND(".",PV_DATA[[#This Row],[TCL REFERENCE]],1)-1),"Main Line")</f>
        <v>26Feb009</v>
      </c>
      <c r="D234" s="462" t="s">
        <v>63</v>
      </c>
      <c r="E234" s="462" t="s">
        <v>64</v>
      </c>
      <c r="F234" s="462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2" t="s">
        <v>402</v>
      </c>
      <c r="H234" s="462" t="s">
        <v>451</v>
      </c>
      <c r="I234" s="439" t="s">
        <v>689</v>
      </c>
      <c r="J234" s="430" t="s">
        <v>1203</v>
      </c>
      <c r="K234" s="430"/>
      <c r="L234" s="430"/>
      <c r="M234" s="430" t="s">
        <v>68</v>
      </c>
      <c r="N234" s="432">
        <v>46069</v>
      </c>
      <c r="O234" s="430" t="s">
        <v>132</v>
      </c>
      <c r="P234" s="430" t="s">
        <v>189</v>
      </c>
      <c r="Q234" s="430" t="s">
        <v>190</v>
      </c>
      <c r="R234" s="431" t="str">
        <f>_xlfn.XLOOKUP(PV_DATA[[#This Row],[New Ark SKU]],Table9[New Ark SKU],Table9[Connector],,0)</f>
        <v>EVO2A</v>
      </c>
      <c r="S234" s="442" t="str">
        <f>_xlfn.XLOOKUP(PV_DATA[[#This Row],[New Ark SKU]],Table9[New Ark SKU],Table9[Cable],,0)</f>
        <v>±1200mm</v>
      </c>
      <c r="T234" s="433">
        <v>465</v>
      </c>
      <c r="U234" s="1088">
        <f>864*1</f>
        <v>864</v>
      </c>
      <c r="V234" s="434">
        <f>PV_DATA[[#This Row],[QUANTITY]]*PV_DATA[[#This Row],[WATT]]/1000000</f>
        <v>0.40176000000000001</v>
      </c>
      <c r="W234" s="435">
        <f>PV_DATA[[#This Row],[QUANTITY]]/PV_DATA[[#This Row],[Qty/Pallet]]</f>
        <v>24</v>
      </c>
      <c r="X234" s="1040">
        <f>PV_DATA[[#This Row],[QUANTITY]]/PV_DATA[[#This Row],[Qty/CT]]</f>
        <v>1</v>
      </c>
      <c r="Y234" s="430" t="s">
        <v>75</v>
      </c>
      <c r="Z234" s="430" t="str">
        <f t="shared" si="0"/>
        <v>COMPLETED</v>
      </c>
      <c r="AA234" s="430"/>
      <c r="AB234" s="437">
        <v>46077</v>
      </c>
      <c r="AC234" s="438">
        <f>IF(PV_DATA[[#This Row],[Pick- Up Date]]&lt;&gt;"",_xlfn.ISOWEEKNUM(PV_DATA[[#This Row],[Pick- Up Date]]),"")</f>
        <v>9</v>
      </c>
      <c r="AD234" s="439" t="s">
        <v>1204</v>
      </c>
      <c r="AE234" s="430"/>
      <c r="AF234" s="430" t="s">
        <v>122</v>
      </c>
      <c r="AG234" s="430" t="s">
        <v>123</v>
      </c>
      <c r="AH234" s="430" t="s">
        <v>456</v>
      </c>
      <c r="AI234" s="437">
        <v>46083</v>
      </c>
      <c r="AJ234" s="437">
        <v>46082</v>
      </c>
      <c r="AK234" s="441">
        <v>46082</v>
      </c>
      <c r="AL234" s="437">
        <v>46124</v>
      </c>
      <c r="AM234" s="437">
        <v>46131</v>
      </c>
      <c r="AN234" s="437">
        <v>46131</v>
      </c>
      <c r="AO234" s="430" t="s">
        <v>402</v>
      </c>
      <c r="AP234" s="430" t="s">
        <v>1205</v>
      </c>
      <c r="AQ234" s="430" t="s">
        <v>80</v>
      </c>
      <c r="AR234" s="430" t="s">
        <v>1206</v>
      </c>
      <c r="AS234" s="430" t="s">
        <v>1207</v>
      </c>
      <c r="AT234" s="482" t="s">
        <v>1207</v>
      </c>
      <c r="AU2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7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7">
        <f>IF(ISERROR(PV_DATA[[#This Row],[New Ark PO status]]),"",_xlfn.XLOOKUP(PV_DATA[[#This Row],[SPTN-PVHK New Ark PO'#]],New_Ark_Data[Purchase order Number],New_Ark_Data[Estimated time of arrival],"",0))</f>
        <v>46146</v>
      </c>
      <c r="AZ2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7">
        <f>IFERROR(PV_DATA[[#This Row],[ODP ETA Port]]+PV_DATA[[#This Row],[Customs/Leg3 Assumption]],"n/a")</f>
        <v>46138</v>
      </c>
      <c r="BB234" s="433">
        <f>YEAR(PV_DATA[[#This Row],[ETA for New Ark update]])</f>
        <v>2026</v>
      </c>
      <c r="BC234" s="430">
        <f>MONTH(PV_DATA[[#This Row],[ETA for New Ark update]])</f>
        <v>4</v>
      </c>
      <c r="BD234" s="430">
        <f>IFERROR(_xlfn.ISOWEEKNUM(PV_DATA[[#This Row],[ETA for New Ark update]]),0)</f>
        <v>17</v>
      </c>
      <c r="BE234" s="431">
        <f>_xlfn.XLOOKUP(PV_DATA[[#This Row],[New Ark SKU]],Table9[New Ark SKU],Table9[Total PCS per Pallet],,0)</f>
        <v>36</v>
      </c>
      <c r="BF234" s="431">
        <f>_xlfn.XLOOKUP(PV_DATA[[#This Row],[New Ark SKU]],Table9[New Ark SKU],Table9[Total PCS per 40HQ Container],,0)</f>
        <v>864</v>
      </c>
      <c r="BG234" s="431" t="str">
        <f>_xlfn.XLOOKUP(PV_DATA[[#This Row],[New Ark SKU]],Table9[New Ark SKU],Table9[Back Glass],,0)</f>
        <v>White glazing</v>
      </c>
      <c r="BH234" s="431" t="str">
        <f>_xlfn.XLOOKUP(PV_DATA[[#This Row],[PORT DESTINATION]],Table12[PORT DESTINATION],Table12[Cosco Line],,0)</f>
        <v>AEU</v>
      </c>
      <c r="BJ234" s="430"/>
    </row>
    <row r="235" spans="1:62" ht="10.5">
      <c r="A235" s="462" t="s">
        <v>1208</v>
      </c>
      <c r="B235" s="462" t="s">
        <v>111</v>
      </c>
      <c r="C235" s="462" t="str">
        <f>IFERROR(LEFT(PV_DATA[[#This Row],[TCL REFERENCE]],FIND(".",PV_DATA[[#This Row],[TCL REFERENCE]],1)-1),"Main Line")</f>
        <v>26Mar026</v>
      </c>
      <c r="D235" s="462" t="s">
        <v>113</v>
      </c>
      <c r="E235" s="462" t="s">
        <v>64</v>
      </c>
      <c r="F235" s="462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2" t="s">
        <v>402</v>
      </c>
      <c r="H235" s="462" t="s">
        <v>67</v>
      </c>
      <c r="I235" s="439" t="s">
        <v>822</v>
      </c>
      <c r="J235" s="430" t="s">
        <v>1184</v>
      </c>
      <c r="K235" s="430" t="s">
        <v>328</v>
      </c>
      <c r="L235" s="430"/>
      <c r="M235" s="430" t="s">
        <v>68</v>
      </c>
      <c r="N235" s="432">
        <v>46045</v>
      </c>
      <c r="O235" s="430" t="s">
        <v>713</v>
      </c>
      <c r="P235" s="430" t="s">
        <v>1185</v>
      </c>
      <c r="Q235" s="430" t="s">
        <v>1186</v>
      </c>
      <c r="R235" s="431" t="str">
        <f>_xlfn.XLOOKUP(PV_DATA[[#This Row],[New Ark SKU]],Table9[New Ark SKU],Table9[Connector],,0)</f>
        <v>EVO2A</v>
      </c>
      <c r="S235" s="442" t="str">
        <f>_xlfn.XLOOKUP(PV_DATA[[#This Row],[New Ark SKU]],Table9[New Ark SKU],Table9[Cable],,0)</f>
        <v>±1500mm</v>
      </c>
      <c r="T235" s="433">
        <v>615</v>
      </c>
      <c r="U235" s="1088">
        <v>720</v>
      </c>
      <c r="V235" s="434">
        <f>PV_DATA[[#This Row],[QUANTITY]]*PV_DATA[[#This Row],[WATT]]/1000000</f>
        <v>0.44280000000000003</v>
      </c>
      <c r="W235" s="435">
        <f>PV_DATA[[#This Row],[QUANTITY]]/PV_DATA[[#This Row],[Qty/Pallet]]</f>
        <v>20</v>
      </c>
      <c r="X235" s="1040">
        <f>PV_DATA[[#This Row],[QUANTITY]]/PV_DATA[[#This Row],[Qty/CT]]</f>
        <v>1</v>
      </c>
      <c r="Y235" s="430" t="s">
        <v>75</v>
      </c>
      <c r="Z235" s="430" t="str">
        <f t="shared" si="0"/>
        <v>COMPLETED</v>
      </c>
      <c r="AA235" s="430"/>
      <c r="AB235" s="437">
        <v>46078</v>
      </c>
      <c r="AC235" s="438">
        <f>IF(PV_DATA[[#This Row],[Pick- Up Date]]&lt;&gt;"",_xlfn.ISOWEEKNUM(PV_DATA[[#This Row],[Pick- Up Date]]),"")</f>
        <v>9</v>
      </c>
      <c r="AD235" s="439" t="s">
        <v>1209</v>
      </c>
      <c r="AE235" s="430"/>
      <c r="AF235" s="430" t="s">
        <v>122</v>
      </c>
      <c r="AG235" s="430" t="s">
        <v>123</v>
      </c>
      <c r="AH235" s="430" t="s">
        <v>356</v>
      </c>
      <c r="AI235" s="437">
        <v>46089</v>
      </c>
      <c r="AJ235" s="437">
        <v>46088</v>
      </c>
      <c r="AK235" s="441">
        <v>46089</v>
      </c>
      <c r="AL235" s="437">
        <v>46126</v>
      </c>
      <c r="AM235" s="437">
        <v>46126</v>
      </c>
      <c r="AN235" s="437">
        <v>46124</v>
      </c>
      <c r="AO235" s="430" t="s">
        <v>402</v>
      </c>
      <c r="AP235" s="430" t="s">
        <v>899</v>
      </c>
      <c r="AQ235" s="430" t="s">
        <v>80</v>
      </c>
      <c r="AR235" s="430" t="s">
        <v>900</v>
      </c>
      <c r="AS235" s="430" t="s">
        <v>901</v>
      </c>
      <c r="AT235" s="482" t="s">
        <v>901</v>
      </c>
      <c r="AU2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7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7">
        <f>IF(ISERROR(PV_DATA[[#This Row],[New Ark PO status]]),"",_xlfn.XLOOKUP(PV_DATA[[#This Row],[SPTN-PVHK New Ark PO'#]],New_Ark_Data[Purchase order Number],New_Ark_Data[Estimated time of arrival],"",0))</f>
        <v>46133</v>
      </c>
      <c r="AZ23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5" s="437">
        <f>IFERROR(PV_DATA[[#This Row],[ODP ETA Port]]+PV_DATA[[#This Row],[Customs/Leg3 Assumption]],"n/a")</f>
        <v>46134</v>
      </c>
      <c r="BB235" s="433">
        <f>YEAR(PV_DATA[[#This Row],[ETA for New Ark update]])</f>
        <v>2026</v>
      </c>
      <c r="BC235" s="430">
        <f>MONTH(PV_DATA[[#This Row],[ETA for New Ark update]])</f>
        <v>4</v>
      </c>
      <c r="BD235" s="430">
        <f>IFERROR(_xlfn.ISOWEEKNUM(PV_DATA[[#This Row],[ETA for New Ark update]]),0)</f>
        <v>17</v>
      </c>
      <c r="BE235" s="431">
        <f>_xlfn.XLOOKUP(PV_DATA[[#This Row],[New Ark SKU]],Table9[New Ark SKU],Table9[Total PCS per Pallet],,0)</f>
        <v>36</v>
      </c>
      <c r="BF235" s="431">
        <f>_xlfn.XLOOKUP(PV_DATA[[#This Row],[New Ark SKU]],Table9[New Ark SKU],Table9[Total PCS per 40HQ Container],,0)</f>
        <v>720</v>
      </c>
      <c r="BG235" s="431" t="str">
        <f>_xlfn.XLOOKUP(PV_DATA[[#This Row],[New Ark SKU]],Table9[New Ark SKU],Table9[Back Glass],,0)</f>
        <v>White glazing</v>
      </c>
      <c r="BH235" s="431" t="str">
        <f>_xlfn.XLOOKUP(PV_DATA[[#This Row],[PORT DESTINATION]],Table12[PORT DESTINATION],Table12[Cosco Line],,0)</f>
        <v>AEU</v>
      </c>
      <c r="BJ235" s="430"/>
    </row>
    <row r="236" spans="1:62" ht="10.5">
      <c r="A236" s="462" t="s">
        <v>1210</v>
      </c>
      <c r="B236" s="462" t="s">
        <v>111</v>
      </c>
      <c r="C236" s="462" t="str">
        <f>IFERROR(LEFT(PV_DATA[[#This Row],[TCL REFERENCE]],FIND(".",PV_DATA[[#This Row],[TCL REFERENCE]],1)-1),"Main Line")</f>
        <v>26Feb015</v>
      </c>
      <c r="D236" s="462" t="s">
        <v>63</v>
      </c>
      <c r="E236" s="462" t="s">
        <v>64</v>
      </c>
      <c r="F236" s="462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2" t="s">
        <v>402</v>
      </c>
      <c r="H236" s="462" t="s">
        <v>67</v>
      </c>
      <c r="I236" s="439" t="s">
        <v>689</v>
      </c>
      <c r="J236" s="430" t="s">
        <v>101</v>
      </c>
      <c r="K236" s="430"/>
      <c r="L236" s="430"/>
      <c r="M236" s="430" t="s">
        <v>68</v>
      </c>
      <c r="N236" s="432">
        <v>46048</v>
      </c>
      <c r="O236" s="430" t="s">
        <v>132</v>
      </c>
      <c r="P236" s="430" t="s">
        <v>133</v>
      </c>
      <c r="Q236" s="430" t="s">
        <v>134</v>
      </c>
      <c r="R236" s="431" t="str">
        <f>_xlfn.XLOOKUP(PV_DATA[[#This Row],[New Ark SKU]],Table9[New Ark SKU],Table9[Connector],,0)</f>
        <v>EVO2A</v>
      </c>
      <c r="S236" s="442" t="str">
        <f>_xlfn.XLOOKUP(PV_DATA[[#This Row],[New Ark SKU]],Table9[New Ark SKU],Table9[Cable],,0)</f>
        <v>±1400mm</v>
      </c>
      <c r="T236" s="433">
        <v>720</v>
      </c>
      <c r="U236" s="1088">
        <f>594*5</f>
        <v>2970</v>
      </c>
      <c r="V236" s="434">
        <f>PV_DATA[[#This Row],[QUANTITY]]*PV_DATA[[#This Row],[WATT]]/1000000</f>
        <v>2.1383999999999999</v>
      </c>
      <c r="W236" s="435">
        <f>PV_DATA[[#This Row],[QUANTITY]]/PV_DATA[[#This Row],[Qty/Pallet]]</f>
        <v>90</v>
      </c>
      <c r="X236" s="1040">
        <f>PV_DATA[[#This Row],[QUANTITY]]/PV_DATA[[#This Row],[Qty/CT]]</f>
        <v>5</v>
      </c>
      <c r="Y236" s="430" t="s">
        <v>75</v>
      </c>
      <c r="Z236" s="430" t="str">
        <f t="shared" si="0"/>
        <v>COMPLETED</v>
      </c>
      <c r="AA236" s="430"/>
      <c r="AB236" s="437">
        <v>46082</v>
      </c>
      <c r="AC236" s="438">
        <f>IF(PV_DATA[[#This Row],[Pick- Up Date]]&lt;&gt;"",_xlfn.ISOWEEKNUM(PV_DATA[[#This Row],[Pick- Up Date]]),"")</f>
        <v>9</v>
      </c>
      <c r="AD236" s="439" t="s">
        <v>1211</v>
      </c>
      <c r="AE236" s="430"/>
      <c r="AF236" s="430" t="s">
        <v>122</v>
      </c>
      <c r="AG236" s="430" t="s">
        <v>123</v>
      </c>
      <c r="AH236" s="430" t="s">
        <v>105</v>
      </c>
      <c r="AI236" s="437">
        <v>46091</v>
      </c>
      <c r="AJ236" s="437">
        <v>46096</v>
      </c>
      <c r="AK236" s="441">
        <v>46097</v>
      </c>
      <c r="AL236" s="437">
        <v>46127</v>
      </c>
      <c r="AM236" s="437">
        <v>46137</v>
      </c>
      <c r="AN236" s="437">
        <v>46137</v>
      </c>
      <c r="AO236" s="430" t="s">
        <v>402</v>
      </c>
      <c r="AP236" s="430" t="s">
        <v>1212</v>
      </c>
      <c r="AQ236" s="430" t="s">
        <v>80</v>
      </c>
      <c r="AR236" s="430" t="s">
        <v>1213</v>
      </c>
      <c r="AS236" s="430" t="s">
        <v>1214</v>
      </c>
      <c r="AT236" s="482" t="s">
        <v>1214</v>
      </c>
      <c r="AU2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7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7">
        <f>IF(ISERROR(PV_DATA[[#This Row],[New Ark PO status]]),"",_xlfn.XLOOKUP(PV_DATA[[#This Row],[SPTN-PVHK New Ark PO'#]],New_Ark_Data[Purchase order Number],New_Ark_Data[Estimated time of arrival],"",0))</f>
        <v>46150</v>
      </c>
      <c r="AZ2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7">
        <f>IFERROR(PV_DATA[[#This Row],[ODP ETA Port]]+PV_DATA[[#This Row],[Customs/Leg3 Assumption]],"n/a")</f>
        <v>46144</v>
      </c>
      <c r="BB236" s="433">
        <f>YEAR(PV_DATA[[#This Row],[ETA for New Ark update]])</f>
        <v>2026</v>
      </c>
      <c r="BC236" s="430">
        <f>MONTH(PV_DATA[[#This Row],[ETA for New Ark update]])</f>
        <v>5</v>
      </c>
      <c r="BD236" s="430">
        <f>IFERROR(_xlfn.ISOWEEKNUM(PV_DATA[[#This Row],[ETA for New Ark update]]),0)</f>
        <v>18</v>
      </c>
      <c r="BE236" s="431">
        <f>_xlfn.XLOOKUP(PV_DATA[[#This Row],[New Ark SKU]],Table9[New Ark SKU],Table9[Total PCS per Pallet],,0)</f>
        <v>33</v>
      </c>
      <c r="BF236" s="431">
        <f>_xlfn.XLOOKUP(PV_DATA[[#This Row],[New Ark SKU]],Table9[New Ark SKU],Table9[Total PCS per 40HQ Container],,0)</f>
        <v>594</v>
      </c>
      <c r="BG236" s="431" t="str">
        <f>_xlfn.XLOOKUP(PV_DATA[[#This Row],[New Ark SKU]],Table9[New Ark SKU],Table9[Back Glass],,0)</f>
        <v>White glazing</v>
      </c>
      <c r="BH236" s="431" t="str">
        <f>_xlfn.XLOOKUP(PV_DATA[[#This Row],[PORT DESTINATION]],Table12[PORT DESTINATION],Table12[Cosco Line],,0)</f>
        <v>AEU</v>
      </c>
      <c r="BJ236" s="430"/>
    </row>
    <row r="237" spans="1:62" ht="10.5">
      <c r="A237" s="462" t="s">
        <v>1215</v>
      </c>
      <c r="B237" s="462" t="s">
        <v>111</v>
      </c>
      <c r="C237" s="462" t="str">
        <f>IFERROR(LEFT(PV_DATA[[#This Row],[TCL REFERENCE]],FIND(".",PV_DATA[[#This Row],[TCL REFERENCE]],1)-1),"Main Line")</f>
        <v>26Feb010</v>
      </c>
      <c r="D237" s="462" t="s">
        <v>63</v>
      </c>
      <c r="E237" s="462" t="s">
        <v>64</v>
      </c>
      <c r="F237" s="462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2" t="s">
        <v>402</v>
      </c>
      <c r="H237" s="462" t="s">
        <v>67</v>
      </c>
      <c r="I237" s="439" t="s">
        <v>689</v>
      </c>
      <c r="J237" s="430" t="s">
        <v>101</v>
      </c>
      <c r="K237" s="430"/>
      <c r="L237" s="430"/>
      <c r="M237" s="430" t="s">
        <v>68</v>
      </c>
      <c r="N237" s="432">
        <v>46076</v>
      </c>
      <c r="O237" s="430" t="s">
        <v>132</v>
      </c>
      <c r="P237" s="430" t="s">
        <v>1062</v>
      </c>
      <c r="Q237" s="430" t="s">
        <v>1063</v>
      </c>
      <c r="R237" s="431" t="str">
        <f>_xlfn.XLOOKUP(PV_DATA[[#This Row],[New Ark SKU]],Table9[New Ark SKU],Table9[Connector],,0)</f>
        <v>EVO2A</v>
      </c>
      <c r="S237" s="442" t="str">
        <f>_xlfn.XLOOKUP(PV_DATA[[#This Row],[New Ark SKU]],Table9[New Ark SKU],Table9[Cable],,0)</f>
        <v>±1200mm</v>
      </c>
      <c r="T237" s="433">
        <v>470</v>
      </c>
      <c r="U237" s="1088">
        <f>864*4</f>
        <v>3456</v>
      </c>
      <c r="V237" s="434">
        <f>PV_DATA[[#This Row],[QUANTITY]]*PV_DATA[[#This Row],[WATT]]/1000000</f>
        <v>1.62432</v>
      </c>
      <c r="W237" s="435">
        <f>PV_DATA[[#This Row],[QUANTITY]]/PV_DATA[[#This Row],[Qty/Pallet]]</f>
        <v>96</v>
      </c>
      <c r="X237" s="1040">
        <f>PV_DATA[[#This Row],[QUANTITY]]/PV_DATA[[#This Row],[Qty/CT]]</f>
        <v>4</v>
      </c>
      <c r="Y237" s="430" t="s">
        <v>75</v>
      </c>
      <c r="Z237" s="430" t="str">
        <f t="shared" si="0"/>
        <v>COMPLETED</v>
      </c>
      <c r="AA237" s="430"/>
      <c r="AB237" s="437">
        <v>46082</v>
      </c>
      <c r="AC237" s="438">
        <f>IF(PV_DATA[[#This Row],[Pick- Up Date]]&lt;&gt;"",_xlfn.ISOWEEKNUM(PV_DATA[[#This Row],[Pick- Up Date]]),"")</f>
        <v>9</v>
      </c>
      <c r="AD237" s="439" t="s">
        <v>1216</v>
      </c>
      <c r="AE237" s="430"/>
      <c r="AF237" s="430" t="s">
        <v>122</v>
      </c>
      <c r="AG237" s="430" t="s">
        <v>123</v>
      </c>
      <c r="AH237" s="430" t="s">
        <v>105</v>
      </c>
      <c r="AI237" s="437">
        <v>46091</v>
      </c>
      <c r="AJ237" s="437">
        <v>46096</v>
      </c>
      <c r="AK237" s="441">
        <v>46096</v>
      </c>
      <c r="AL237" s="437">
        <v>46126</v>
      </c>
      <c r="AM237" s="437">
        <v>46142</v>
      </c>
      <c r="AN237" s="437">
        <v>46141</v>
      </c>
      <c r="AO237" s="430" t="s">
        <v>402</v>
      </c>
      <c r="AP237" s="430" t="s">
        <v>872</v>
      </c>
      <c r="AQ237" s="430" t="s">
        <v>80</v>
      </c>
      <c r="AR237" s="430" t="s">
        <v>909</v>
      </c>
      <c r="AS237" s="430" t="s">
        <v>910</v>
      </c>
      <c r="AT237" s="482" t="s">
        <v>910</v>
      </c>
      <c r="AU2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7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7">
        <f>IF(ISERROR(PV_DATA[[#This Row],[New Ark PO status]]),"",_xlfn.XLOOKUP(PV_DATA[[#This Row],[SPTN-PVHK New Ark PO'#]],New_Ark_Data[Purchase order Number],New_Ark_Data[Estimated time of arrival],"",0))</f>
        <v>46163</v>
      </c>
      <c r="AZ23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7">
        <f>IFERROR(PV_DATA[[#This Row],[ODP ETA Port]]+PV_DATA[[#This Row],[Customs/Leg3 Assumption]],"n/a")</f>
        <v>46148</v>
      </c>
      <c r="BB237" s="433">
        <f>YEAR(PV_DATA[[#This Row],[ETA for New Ark update]])</f>
        <v>2026</v>
      </c>
      <c r="BC237" s="430">
        <f>MONTH(PV_DATA[[#This Row],[ETA for New Ark update]])</f>
        <v>5</v>
      </c>
      <c r="BD237" s="430">
        <f>IFERROR(_xlfn.ISOWEEKNUM(PV_DATA[[#This Row],[ETA for New Ark update]]),0)</f>
        <v>19</v>
      </c>
      <c r="BE237" s="431">
        <f>_xlfn.XLOOKUP(PV_DATA[[#This Row],[New Ark SKU]],Table9[New Ark SKU],Table9[Total PCS per Pallet],,0)</f>
        <v>36</v>
      </c>
      <c r="BF237" s="431">
        <f>_xlfn.XLOOKUP(PV_DATA[[#This Row],[New Ark SKU]],Table9[New Ark SKU],Table9[Total PCS per 40HQ Container],,0)</f>
        <v>864</v>
      </c>
      <c r="BG237" s="431" t="str">
        <f>_xlfn.XLOOKUP(PV_DATA[[#This Row],[New Ark SKU]],Table9[New Ark SKU],Table9[Back Glass],,0)</f>
        <v>White glazing</v>
      </c>
      <c r="BH237" s="431" t="str">
        <f>_xlfn.XLOOKUP(PV_DATA[[#This Row],[PORT DESTINATION]],Table12[PORT DESTINATION],Table12[Cosco Line],,0)</f>
        <v>AEU</v>
      </c>
      <c r="BJ237" s="430"/>
    </row>
    <row r="238" spans="1:62" ht="10.5">
      <c r="A238" s="462" t="s">
        <v>1217</v>
      </c>
      <c r="B238" s="462" t="s">
        <v>111</v>
      </c>
      <c r="C238" s="462" t="str">
        <f>IFERROR(LEFT(PV_DATA[[#This Row],[TCL REFERENCE]],FIND(".",PV_DATA[[#This Row],[TCL REFERENCE]],1)-1),"Main Line")</f>
        <v>26Feb015</v>
      </c>
      <c r="D238" s="462" t="s">
        <v>63</v>
      </c>
      <c r="E238" s="462" t="s">
        <v>64</v>
      </c>
      <c r="F238" s="462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2" t="s">
        <v>402</v>
      </c>
      <c r="H238" s="462" t="s">
        <v>67</v>
      </c>
      <c r="I238" s="439" t="s">
        <v>689</v>
      </c>
      <c r="J238" s="430" t="s">
        <v>101</v>
      </c>
      <c r="K238" s="430"/>
      <c r="L238" s="430"/>
      <c r="M238" s="430" t="s">
        <v>68</v>
      </c>
      <c r="N238" s="432">
        <v>46048</v>
      </c>
      <c r="O238" s="430" t="s">
        <v>132</v>
      </c>
      <c r="P238" s="430" t="s">
        <v>133</v>
      </c>
      <c r="Q238" s="430" t="s">
        <v>134</v>
      </c>
      <c r="R238" s="431" t="str">
        <f>_xlfn.XLOOKUP(PV_DATA[[#This Row],[New Ark SKU]],Table9[New Ark SKU],Table9[Connector],,0)</f>
        <v>EVO2A</v>
      </c>
      <c r="S238" s="442" t="str">
        <f>_xlfn.XLOOKUP(PV_DATA[[#This Row],[New Ark SKU]],Table9[New Ark SKU],Table9[Cable],,0)</f>
        <v>±1400mm</v>
      </c>
      <c r="T238" s="433">
        <v>720</v>
      </c>
      <c r="U238" s="1088">
        <f>594*2</f>
        <v>1188</v>
      </c>
      <c r="V238" s="434">
        <f>PV_DATA[[#This Row],[QUANTITY]]*PV_DATA[[#This Row],[WATT]]/1000000</f>
        <v>0.85536000000000001</v>
      </c>
      <c r="W238" s="435">
        <f>PV_DATA[[#This Row],[QUANTITY]]/PV_DATA[[#This Row],[Qty/Pallet]]</f>
        <v>36</v>
      </c>
      <c r="X238" s="1040">
        <f>PV_DATA[[#This Row],[QUANTITY]]/PV_DATA[[#This Row],[Qty/CT]]</f>
        <v>2</v>
      </c>
      <c r="Y238" s="430" t="s">
        <v>75</v>
      </c>
      <c r="Z238" s="430" t="str">
        <f t="shared" si="0"/>
        <v>COMPLETED</v>
      </c>
      <c r="AA238" s="430"/>
      <c r="AB238" s="437">
        <v>46082</v>
      </c>
      <c r="AC238" s="438">
        <f>IF(PV_DATA[[#This Row],[Pick- Up Date]]&lt;&gt;"",_xlfn.ISOWEEKNUM(PV_DATA[[#This Row],[Pick- Up Date]]),"")</f>
        <v>9</v>
      </c>
      <c r="AD238" s="439" t="s">
        <v>1218</v>
      </c>
      <c r="AE238" s="430"/>
      <c r="AF238" s="430" t="s">
        <v>122</v>
      </c>
      <c r="AG238" s="430" t="s">
        <v>123</v>
      </c>
      <c r="AH238" s="430" t="s">
        <v>105</v>
      </c>
      <c r="AI238" s="437">
        <v>46091</v>
      </c>
      <c r="AJ238" s="437">
        <v>46096</v>
      </c>
      <c r="AK238" s="441">
        <v>46096</v>
      </c>
      <c r="AL238" s="437">
        <v>46126</v>
      </c>
      <c r="AM238" s="437">
        <v>46142</v>
      </c>
      <c r="AN238" s="437">
        <v>46141</v>
      </c>
      <c r="AO238" s="430" t="s">
        <v>402</v>
      </c>
      <c r="AP238" s="430" t="s">
        <v>872</v>
      </c>
      <c r="AQ238" s="430" t="s">
        <v>80</v>
      </c>
      <c r="AR238" s="430" t="s">
        <v>909</v>
      </c>
      <c r="AS238" s="430" t="s">
        <v>910</v>
      </c>
      <c r="AT238" s="482" t="s">
        <v>910</v>
      </c>
      <c r="AU2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7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7">
        <f>IF(ISERROR(PV_DATA[[#This Row],[New Ark PO status]]),"",_xlfn.XLOOKUP(PV_DATA[[#This Row],[SPTN-PVHK New Ark PO'#]],New_Ark_Data[Purchase order Number],New_Ark_Data[Estimated time of arrival],"",0))</f>
        <v>46163</v>
      </c>
      <c r="AZ23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7">
        <f>IFERROR(PV_DATA[[#This Row],[ODP ETA Port]]+PV_DATA[[#This Row],[Customs/Leg3 Assumption]],"n/a")</f>
        <v>46148</v>
      </c>
      <c r="BB238" s="433">
        <f>YEAR(PV_DATA[[#This Row],[ETA for New Ark update]])</f>
        <v>2026</v>
      </c>
      <c r="BC238" s="430">
        <f>MONTH(PV_DATA[[#This Row],[ETA for New Ark update]])</f>
        <v>5</v>
      </c>
      <c r="BD238" s="430">
        <f>IFERROR(_xlfn.ISOWEEKNUM(PV_DATA[[#This Row],[ETA for New Ark update]]),0)</f>
        <v>19</v>
      </c>
      <c r="BE238" s="431">
        <f>_xlfn.XLOOKUP(PV_DATA[[#This Row],[New Ark SKU]],Table9[New Ark SKU],Table9[Total PCS per Pallet],,0)</f>
        <v>33</v>
      </c>
      <c r="BF238" s="431">
        <f>_xlfn.XLOOKUP(PV_DATA[[#This Row],[New Ark SKU]],Table9[New Ark SKU],Table9[Total PCS per 40HQ Container],,0)</f>
        <v>594</v>
      </c>
      <c r="BG238" s="431" t="str">
        <f>_xlfn.XLOOKUP(PV_DATA[[#This Row],[New Ark SKU]],Table9[New Ark SKU],Table9[Back Glass],,0)</f>
        <v>White glazing</v>
      </c>
      <c r="BH238" s="431" t="str">
        <f>_xlfn.XLOOKUP(PV_DATA[[#This Row],[PORT DESTINATION]],Table12[PORT DESTINATION],Table12[Cosco Line],,0)</f>
        <v>AEU</v>
      </c>
      <c r="BJ238" s="430"/>
    </row>
    <row r="239" spans="1:62" ht="10.5">
      <c r="A239" s="462" t="s">
        <v>1219</v>
      </c>
      <c r="B239" s="462" t="s">
        <v>111</v>
      </c>
      <c r="C239" s="462" t="str">
        <f>IFERROR(LEFT(PV_DATA[[#This Row],[TCL REFERENCE]],FIND(".",PV_DATA[[#This Row],[TCL REFERENCE]],1)-1),"Main Line")</f>
        <v>Main Line</v>
      </c>
      <c r="D239" s="462" t="s">
        <v>63</v>
      </c>
      <c r="E239" s="462" t="s">
        <v>64</v>
      </c>
      <c r="F239" s="462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2" t="s">
        <v>402</v>
      </c>
      <c r="H239" s="462" t="s">
        <v>67</v>
      </c>
      <c r="I239" s="439" t="s">
        <v>882</v>
      </c>
      <c r="J239" s="430" t="s">
        <v>1220</v>
      </c>
      <c r="K239" s="430"/>
      <c r="L239" s="430"/>
      <c r="M239" s="430" t="s">
        <v>68</v>
      </c>
      <c r="N239" s="432">
        <v>46045</v>
      </c>
      <c r="O239" s="430" t="s">
        <v>713</v>
      </c>
      <c r="P239" s="430" t="s">
        <v>1221</v>
      </c>
      <c r="Q239" s="430" t="s">
        <v>1222</v>
      </c>
      <c r="R239" s="431" t="str">
        <f>_xlfn.XLOOKUP(PV_DATA[[#This Row],[New Ark SKU]],Table9[New Ark SKU],Table9[Connector],,0)</f>
        <v>EVO2A</v>
      </c>
      <c r="S239" s="442" t="str">
        <f>_xlfn.XLOOKUP(PV_DATA[[#This Row],[New Ark SKU]],Table9[New Ark SKU],Table9[Cable],,0)</f>
        <v>±1500mm</v>
      </c>
      <c r="T239" s="433">
        <v>545</v>
      </c>
      <c r="U239" s="1088">
        <v>3498</v>
      </c>
      <c r="V239" s="434">
        <f>PV_DATA[[#This Row],[QUANTITY]]*PV_DATA[[#This Row],[WATT]]/1000000</f>
        <v>1.9064099999999999</v>
      </c>
      <c r="W239" s="435">
        <f>PV_DATA[[#This Row],[QUANTITY]]/PV_DATA[[#This Row],[Qty/Pallet]]</f>
        <v>106</v>
      </c>
      <c r="X239" s="1040">
        <f>PV_DATA[[#This Row],[QUANTITY]]/PV_DATA[[#This Row],[Qty/CT]]</f>
        <v>5.3</v>
      </c>
      <c r="Y239" s="430" t="s">
        <v>75</v>
      </c>
      <c r="Z239" s="430" t="str">
        <f t="shared" si="0"/>
        <v>COMPLETED</v>
      </c>
      <c r="AA239" s="430"/>
      <c r="AB239" s="437">
        <v>46082</v>
      </c>
      <c r="AC239" s="438">
        <f>IF(PV_DATA[[#This Row],[Pick- Up Date]]&lt;&gt;"",_xlfn.ISOWEEKNUM(PV_DATA[[#This Row],[Pick- Up Date]]),"")</f>
        <v>9</v>
      </c>
      <c r="AD239" s="439" t="s">
        <v>1223</v>
      </c>
      <c r="AE239" s="430"/>
      <c r="AF239" s="430" t="s">
        <v>122</v>
      </c>
      <c r="AG239" s="430" t="s">
        <v>123</v>
      </c>
      <c r="AH239" s="430" t="s">
        <v>78</v>
      </c>
      <c r="AI239" s="437">
        <v>46092</v>
      </c>
      <c r="AJ239" s="437">
        <v>46092</v>
      </c>
      <c r="AK239" s="441">
        <v>46094</v>
      </c>
      <c r="AL239" s="437">
        <v>46143</v>
      </c>
      <c r="AM239" s="437">
        <v>46144</v>
      </c>
      <c r="AN239" s="437">
        <v>46144</v>
      </c>
      <c r="AO239" s="430" t="s">
        <v>402</v>
      </c>
      <c r="AP239" s="430" t="s">
        <v>1224</v>
      </c>
      <c r="AQ239" s="430" t="s">
        <v>80</v>
      </c>
      <c r="AR239" s="430" t="s">
        <v>1225</v>
      </c>
      <c r="AS239" s="430" t="s">
        <v>1226</v>
      </c>
      <c r="AT239" s="482" t="s">
        <v>1226</v>
      </c>
      <c r="AU2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7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7">
        <f>IF(ISERROR(PV_DATA[[#This Row],[New Ark PO status]]),"",_xlfn.XLOOKUP(PV_DATA[[#This Row],[SPTN-PVHK New Ark PO'#]],New_Ark_Data[Purchase order Number],New_Ark_Data[Estimated time of arrival],"",0))</f>
        <v>46160</v>
      </c>
      <c r="AZ23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7">
        <f>IFERROR(PV_DATA[[#This Row],[ODP ETA Port]]+PV_DATA[[#This Row],[Customs/Leg3 Assumption]],"n/a")</f>
        <v>46152</v>
      </c>
      <c r="BB239" s="433">
        <f>YEAR(PV_DATA[[#This Row],[ETA for New Ark update]])</f>
        <v>2026</v>
      </c>
      <c r="BC239" s="430">
        <f>MONTH(PV_DATA[[#This Row],[ETA for New Ark update]])</f>
        <v>5</v>
      </c>
      <c r="BD239" s="430">
        <f>IFERROR(_xlfn.ISOWEEKNUM(PV_DATA[[#This Row],[ETA for New Ark update]]),0)</f>
        <v>19</v>
      </c>
      <c r="BE239" s="431">
        <f>_xlfn.XLOOKUP(PV_DATA[[#This Row],[New Ark SKU]],Table9[New Ark SKU],Table9[Total PCS per Pallet],,0)</f>
        <v>33</v>
      </c>
      <c r="BF239" s="431">
        <f>_xlfn.XLOOKUP(PV_DATA[[#This Row],[New Ark SKU]],Table9[New Ark SKU],Table9[Total PCS per 40HQ Container],,0)</f>
        <v>660</v>
      </c>
      <c r="BG239" s="431" t="str">
        <f>_xlfn.XLOOKUP(PV_DATA[[#This Row],[New Ark SKU]],Table9[New Ark SKU],Table9[Back Glass],,0)</f>
        <v>White glazing</v>
      </c>
      <c r="BH239" s="431" t="str">
        <f>_xlfn.XLOOKUP(PV_DATA[[#This Row],[PORT DESTINATION]],Table12[PORT DESTINATION],Table12[Cosco Line],,0)</f>
        <v>AEM</v>
      </c>
      <c r="BJ239" s="430"/>
    </row>
    <row r="240" spans="1:62" ht="10.5">
      <c r="A240" s="462" t="s">
        <v>1227</v>
      </c>
      <c r="B240" s="462" t="s">
        <v>111</v>
      </c>
      <c r="C240" s="462" t="str">
        <f>IFERROR(LEFT(PV_DATA[[#This Row],[TCL REFERENCE]],FIND(".",PV_DATA[[#This Row],[TCL REFERENCE]],1)-1),"Main Line")</f>
        <v>Main Line</v>
      </c>
      <c r="D240" s="462" t="s">
        <v>63</v>
      </c>
      <c r="E240" s="462" t="s">
        <v>64</v>
      </c>
      <c r="F240" s="462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2" t="s">
        <v>402</v>
      </c>
      <c r="H240" s="462" t="s">
        <v>67</v>
      </c>
      <c r="I240" s="439" t="s">
        <v>882</v>
      </c>
      <c r="J240" s="430" t="s">
        <v>1228</v>
      </c>
      <c r="K240" s="430"/>
      <c r="L240" s="430"/>
      <c r="M240" s="430" t="s">
        <v>68</v>
      </c>
      <c r="N240" s="432">
        <v>46045</v>
      </c>
      <c r="O240" s="430" t="s">
        <v>713</v>
      </c>
      <c r="P240" s="430" t="s">
        <v>462</v>
      </c>
      <c r="Q240" s="430" t="s">
        <v>1229</v>
      </c>
      <c r="R240" s="431" t="str">
        <f>_xlfn.XLOOKUP(PV_DATA[[#This Row],[New Ark SKU]],Table9[New Ark SKU],Table9[Connector],,0)</f>
        <v>EVO2A</v>
      </c>
      <c r="S240" s="442" t="str">
        <f>_xlfn.XLOOKUP(PV_DATA[[#This Row],[New Ark SKU]],Table9[New Ark SKU],Table9[Cable],,0)</f>
        <v>±1500mm</v>
      </c>
      <c r="T240" s="433">
        <v>550</v>
      </c>
      <c r="U240" s="1088">
        <v>462</v>
      </c>
      <c r="V240" s="434">
        <f>PV_DATA[[#This Row],[QUANTITY]]*PV_DATA[[#This Row],[WATT]]/1000000</f>
        <v>0.25409999999999999</v>
      </c>
      <c r="W240" s="435">
        <f>PV_DATA[[#This Row],[QUANTITY]]/PV_DATA[[#This Row],[Qty/Pallet]]</f>
        <v>14</v>
      </c>
      <c r="X240" s="1040">
        <f>PV_DATA[[#This Row],[QUANTITY]]/PV_DATA[[#This Row],[Qty/CT]]</f>
        <v>0.7</v>
      </c>
      <c r="Y240" s="430" t="s">
        <v>75</v>
      </c>
      <c r="Z240" s="430" t="str">
        <f t="shared" si="0"/>
        <v>COMPLETED</v>
      </c>
      <c r="AA240" s="430"/>
      <c r="AB240" s="437">
        <v>46082</v>
      </c>
      <c r="AC240" s="438">
        <f>IF(PV_DATA[[#This Row],[Pick- Up Date]]&lt;&gt;"",_xlfn.ISOWEEKNUM(PV_DATA[[#This Row],[Pick- Up Date]]),"")</f>
        <v>9</v>
      </c>
      <c r="AD240" s="439" t="s">
        <v>1230</v>
      </c>
      <c r="AE240" s="430"/>
      <c r="AF240" s="430" t="s">
        <v>122</v>
      </c>
      <c r="AG240" s="430" t="s">
        <v>123</v>
      </c>
      <c r="AH240" s="430" t="s">
        <v>78</v>
      </c>
      <c r="AI240" s="437">
        <v>46092</v>
      </c>
      <c r="AJ240" s="437">
        <v>46092</v>
      </c>
      <c r="AK240" s="441">
        <v>46094</v>
      </c>
      <c r="AL240" s="437">
        <v>46143</v>
      </c>
      <c r="AM240" s="437">
        <v>46144</v>
      </c>
      <c r="AN240" s="437">
        <v>46144</v>
      </c>
      <c r="AO240" s="430" t="s">
        <v>402</v>
      </c>
      <c r="AP240" s="430" t="s">
        <v>1224</v>
      </c>
      <c r="AQ240" s="430" t="s">
        <v>80</v>
      </c>
      <c r="AR240" s="430" t="s">
        <v>1225</v>
      </c>
      <c r="AS240" s="430" t="s">
        <v>1226</v>
      </c>
      <c r="AT240" s="482" t="s">
        <v>1226</v>
      </c>
      <c r="AU2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7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7">
        <f>IF(ISERROR(PV_DATA[[#This Row],[New Ark PO status]]),"",_xlfn.XLOOKUP(PV_DATA[[#This Row],[SPTN-PVHK New Ark PO'#]],New_Ark_Data[Purchase order Number],New_Ark_Data[Estimated time of arrival],"",0))</f>
        <v>46160</v>
      </c>
      <c r="AZ24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7">
        <f>IFERROR(PV_DATA[[#This Row],[ODP ETA Port]]+PV_DATA[[#This Row],[Customs/Leg3 Assumption]],"n/a")</f>
        <v>46152</v>
      </c>
      <c r="BB240" s="433">
        <f>YEAR(PV_DATA[[#This Row],[ETA for New Ark update]])</f>
        <v>2026</v>
      </c>
      <c r="BC240" s="430">
        <f>MONTH(PV_DATA[[#This Row],[ETA for New Ark update]])</f>
        <v>5</v>
      </c>
      <c r="BD240" s="430">
        <f>IFERROR(_xlfn.ISOWEEKNUM(PV_DATA[[#This Row],[ETA for New Ark update]]),0)</f>
        <v>19</v>
      </c>
      <c r="BE240" s="431">
        <f>_xlfn.XLOOKUP(PV_DATA[[#This Row],[New Ark SKU]],Table9[New Ark SKU],Table9[Total PCS per Pallet],,0)</f>
        <v>33</v>
      </c>
      <c r="BF240" s="431">
        <f>_xlfn.XLOOKUP(PV_DATA[[#This Row],[New Ark SKU]],Table9[New Ark SKU],Table9[Total PCS per 40HQ Container],,0)</f>
        <v>660</v>
      </c>
      <c r="BG240" s="431" t="str">
        <f>_xlfn.XLOOKUP(PV_DATA[[#This Row],[New Ark SKU]],Table9[New Ark SKU],Table9[Back Glass],,0)</f>
        <v>White glazing</v>
      </c>
      <c r="BH240" s="431" t="str">
        <f>_xlfn.XLOOKUP(PV_DATA[[#This Row],[PORT DESTINATION]],Table12[PORT DESTINATION],Table12[Cosco Line],,0)</f>
        <v>AEM</v>
      </c>
      <c r="BJ240" s="430"/>
    </row>
    <row r="241" spans="1:62" ht="10.5">
      <c r="A241" s="462" t="s">
        <v>1231</v>
      </c>
      <c r="B241" s="462" t="s">
        <v>61</v>
      </c>
      <c r="C241" s="462" t="str">
        <f>IFERROR(LEFT(PV_DATA[[#This Row],[TCL REFERENCE]],FIND(".",PV_DATA[[#This Row],[TCL REFERENCE]],1)-1),"Main Line")</f>
        <v>Main Line</v>
      </c>
      <c r="D241" s="462" t="s">
        <v>63</v>
      </c>
      <c r="E241" s="462" t="s">
        <v>144</v>
      </c>
      <c r="F241" s="462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2" t="s">
        <v>402</v>
      </c>
      <c r="H241" s="462" t="s">
        <v>538</v>
      </c>
      <c r="I241" s="439" t="s">
        <v>882</v>
      </c>
      <c r="J241" s="430" t="s">
        <v>1232</v>
      </c>
      <c r="K241" s="430" t="s">
        <v>1233</v>
      </c>
      <c r="L241" s="430"/>
      <c r="M241" s="430" t="s">
        <v>840</v>
      </c>
      <c r="N241" s="432">
        <v>46045</v>
      </c>
      <c r="O241" s="430" t="s">
        <v>1032</v>
      </c>
      <c r="P241" s="430" t="s">
        <v>1234</v>
      </c>
      <c r="Q241" s="430" t="s">
        <v>1235</v>
      </c>
      <c r="R241" s="431" t="str">
        <f>_xlfn.XLOOKUP(PV_DATA[[#This Row],[New Ark SKU]],Table9[New Ark SKU],Table9[Connector],,0)</f>
        <v>EVO2A</v>
      </c>
      <c r="S241" s="442" t="str">
        <f>_xlfn.XLOOKUP(PV_DATA[[#This Row],[New Ark SKU]],Table9[New Ark SKU],Table9[Cable],,0)</f>
        <v>±1400mm</v>
      </c>
      <c r="T241" s="433">
        <v>440</v>
      </c>
      <c r="U241" s="1088">
        <v>4392</v>
      </c>
      <c r="V241" s="434">
        <f>PV_DATA[[#This Row],[QUANTITY]]*PV_DATA[[#This Row],[WATT]]/1000000</f>
        <v>1.93248</v>
      </c>
      <c r="W241" s="435">
        <f>PV_DATA[[#This Row],[QUANTITY]]/PV_DATA[[#This Row],[Qty/Pallet]]</f>
        <v>122</v>
      </c>
      <c r="X241" s="1040">
        <f>PV_DATA[[#This Row],[QUANTITY]]/PV_DATA[[#This Row],[Qty/CT]]</f>
        <v>4.6923076923076925</v>
      </c>
      <c r="Y241" s="430" t="s">
        <v>75</v>
      </c>
      <c r="Z241" s="430" t="str">
        <f t="shared" si="0"/>
        <v>COMPLETED</v>
      </c>
      <c r="AA241" s="430"/>
      <c r="AB241" s="437">
        <v>46081</v>
      </c>
      <c r="AC241" s="438">
        <f>IF(PV_DATA[[#This Row],[Pick- Up Date]]&lt;&gt;"",_xlfn.ISOWEEKNUM(PV_DATA[[#This Row],[Pick- Up Date]]),"")</f>
        <v>9</v>
      </c>
      <c r="AD241" s="439" t="s">
        <v>1236</v>
      </c>
      <c r="AE241" s="430"/>
      <c r="AF241" s="430" t="s">
        <v>77</v>
      </c>
      <c r="AG241" s="430" t="s">
        <v>61</v>
      </c>
      <c r="AH241" s="430" t="s">
        <v>541</v>
      </c>
      <c r="AI241" s="437">
        <v>46088</v>
      </c>
      <c r="AJ241" s="437">
        <v>46091</v>
      </c>
      <c r="AK241" s="441">
        <v>46090</v>
      </c>
      <c r="AL241" s="437">
        <v>46154</v>
      </c>
      <c r="AM241" s="437">
        <v>46168</v>
      </c>
      <c r="AN241" s="437">
        <v>46164</v>
      </c>
      <c r="AO241" s="430" t="s">
        <v>402</v>
      </c>
      <c r="AP241" s="430" t="s">
        <v>1237</v>
      </c>
      <c r="AQ241" s="430" t="s">
        <v>161</v>
      </c>
      <c r="AR241" s="430" t="s">
        <v>1238</v>
      </c>
      <c r="AS241" s="430" t="s">
        <v>1239</v>
      </c>
      <c r="AT241" s="482" t="s">
        <v>1239</v>
      </c>
      <c r="AU2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7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7">
        <f>IF(ISERROR(PV_DATA[[#This Row],[New Ark PO status]]),"",_xlfn.XLOOKUP(PV_DATA[[#This Row],[SPTN-PVHK New Ark PO'#]],New_Ark_Data[Purchase order Number],New_Ark_Data[Estimated time of arrival],"",0))</f>
        <v>46168</v>
      </c>
      <c r="AZ24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7">
        <f>IFERROR(PV_DATA[[#This Row],[ODP ETA Port]]+PV_DATA[[#This Row],[Customs/Leg3 Assumption]],"n/a")</f>
        <v>46164</v>
      </c>
      <c r="BB241" s="433">
        <f>YEAR(PV_DATA[[#This Row],[ETA for New Ark update]])</f>
        <v>2026</v>
      </c>
      <c r="BC241" s="430">
        <f>MONTH(PV_DATA[[#This Row],[ETA for New Ark update]])</f>
        <v>5</v>
      </c>
      <c r="BD241" s="430">
        <f>IFERROR(_xlfn.ISOWEEKNUM(PV_DATA[[#This Row],[ETA for New Ark update]]),0)</f>
        <v>21</v>
      </c>
      <c r="BE241" s="431">
        <f>_xlfn.XLOOKUP(PV_DATA[[#This Row],[New Ark SKU]],Table9[New Ark SKU],Table9[Total PCS per Pallet],,0)</f>
        <v>36</v>
      </c>
      <c r="BF241" s="431">
        <f>_xlfn.XLOOKUP(PV_DATA[[#This Row],[New Ark SKU]],Table9[New Ark SKU],Table9[Total PCS per 40HQ Container],,0)</f>
        <v>936</v>
      </c>
      <c r="BG241" s="431" t="str">
        <f>_xlfn.XLOOKUP(PV_DATA[[#This Row],[New Ark SKU]],Table9[New Ark SKU],Table9[Back Glass],,0)</f>
        <v>Black glazing</v>
      </c>
      <c r="BH241" s="431" t="str">
        <f>_xlfn.XLOOKUP(PV_DATA[[#This Row],[PORT DESTINATION]],Table12[PORT DESTINATION],Table12[Cosco Line],,0)</f>
        <v>AEU</v>
      </c>
      <c r="BJ241" s="430"/>
    </row>
    <row r="242" spans="1:62" ht="10.5">
      <c r="A242" s="462" t="s">
        <v>1240</v>
      </c>
      <c r="B242" s="462" t="s">
        <v>61</v>
      </c>
      <c r="C242" s="462" t="str">
        <f>IFERROR(LEFT(PV_DATA[[#This Row],[TCL REFERENCE]],FIND(".",PV_DATA[[#This Row],[TCL REFERENCE]],1)-1),"Main Line")</f>
        <v>Main Line</v>
      </c>
      <c r="D242" s="462" t="s">
        <v>63</v>
      </c>
      <c r="E242" s="462" t="s">
        <v>144</v>
      </c>
      <c r="F242" s="462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2" t="s">
        <v>402</v>
      </c>
      <c r="H242" s="462" t="s">
        <v>538</v>
      </c>
      <c r="I242" s="439" t="s">
        <v>882</v>
      </c>
      <c r="J242" s="430" t="s">
        <v>1232</v>
      </c>
      <c r="K242" s="430" t="s">
        <v>1233</v>
      </c>
      <c r="L242" s="430"/>
      <c r="M242" s="430" t="s">
        <v>840</v>
      </c>
      <c r="N242" s="432">
        <v>46045</v>
      </c>
      <c r="O242" s="430" t="s">
        <v>1032</v>
      </c>
      <c r="P242" s="430" t="s">
        <v>570</v>
      </c>
      <c r="Q242" s="430" t="s">
        <v>571</v>
      </c>
      <c r="R242" s="431" t="str">
        <f>_xlfn.XLOOKUP(PV_DATA[[#This Row],[New Ark SKU]],Table9[New Ark SKU],Table9[Connector],,0)</f>
        <v>EVO2A</v>
      </c>
      <c r="S242" s="442" t="str">
        <f>_xlfn.XLOOKUP(PV_DATA[[#This Row],[New Ark SKU]],Table9[New Ark SKU],Table9[Cable],,0)</f>
        <v>±1400mm</v>
      </c>
      <c r="T242" s="433">
        <v>445</v>
      </c>
      <c r="U242" s="1088">
        <v>8352</v>
      </c>
      <c r="V242" s="434">
        <f>PV_DATA[[#This Row],[QUANTITY]]*PV_DATA[[#This Row],[WATT]]/1000000</f>
        <v>3.7166399999999999</v>
      </c>
      <c r="W242" s="435">
        <f>PV_DATA[[#This Row],[QUANTITY]]/PV_DATA[[#This Row],[Qty/Pallet]]</f>
        <v>232</v>
      </c>
      <c r="X242" s="1040">
        <f>PV_DATA[[#This Row],[QUANTITY]]/PV_DATA[[#This Row],[Qty/CT]]</f>
        <v>8.9230769230769234</v>
      </c>
      <c r="Y242" s="430" t="s">
        <v>75</v>
      </c>
      <c r="Z242" s="430" t="str">
        <f t="shared" si="0"/>
        <v>COMPLETED</v>
      </c>
      <c r="AA242" s="430"/>
      <c r="AB242" s="437">
        <v>46081</v>
      </c>
      <c r="AC242" s="438">
        <f>IF(PV_DATA[[#This Row],[Pick- Up Date]]&lt;&gt;"",_xlfn.ISOWEEKNUM(PV_DATA[[#This Row],[Pick- Up Date]]),"")</f>
        <v>9</v>
      </c>
      <c r="AD242" s="439" t="s">
        <v>1241</v>
      </c>
      <c r="AE242" s="430"/>
      <c r="AF242" s="430" t="s">
        <v>77</v>
      </c>
      <c r="AG242" s="430" t="s">
        <v>61</v>
      </c>
      <c r="AH242" s="430" t="s">
        <v>541</v>
      </c>
      <c r="AI242" s="437">
        <v>46088</v>
      </c>
      <c r="AJ242" s="437">
        <v>46091</v>
      </c>
      <c r="AK242" s="441">
        <v>46090</v>
      </c>
      <c r="AL242" s="437">
        <v>46154</v>
      </c>
      <c r="AM242" s="437">
        <v>46168</v>
      </c>
      <c r="AN242" s="437">
        <v>46164</v>
      </c>
      <c r="AO242" s="430" t="s">
        <v>402</v>
      </c>
      <c r="AP242" s="430" t="s">
        <v>1237</v>
      </c>
      <c r="AQ242" s="430" t="s">
        <v>161</v>
      </c>
      <c r="AR242" s="430" t="s">
        <v>1238</v>
      </c>
      <c r="AS242" s="430" t="s">
        <v>1239</v>
      </c>
      <c r="AT242" s="482" t="s">
        <v>1239</v>
      </c>
      <c r="AU2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7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7">
        <f>IF(ISERROR(PV_DATA[[#This Row],[New Ark PO status]]),"",_xlfn.XLOOKUP(PV_DATA[[#This Row],[SPTN-PVHK New Ark PO'#]],New_Ark_Data[Purchase order Number],New_Ark_Data[Estimated time of arrival],"",0))</f>
        <v>46168</v>
      </c>
      <c r="AZ24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7">
        <f>IFERROR(PV_DATA[[#This Row],[ODP ETA Port]]+PV_DATA[[#This Row],[Customs/Leg3 Assumption]],"n/a")</f>
        <v>46164</v>
      </c>
      <c r="BB242" s="433">
        <f>YEAR(PV_DATA[[#This Row],[ETA for New Ark update]])</f>
        <v>2026</v>
      </c>
      <c r="BC242" s="430">
        <f>MONTH(PV_DATA[[#This Row],[ETA for New Ark update]])</f>
        <v>5</v>
      </c>
      <c r="BD242" s="430">
        <f>IFERROR(_xlfn.ISOWEEKNUM(PV_DATA[[#This Row],[ETA for New Ark update]]),0)</f>
        <v>21</v>
      </c>
      <c r="BE242" s="431">
        <f>_xlfn.XLOOKUP(PV_DATA[[#This Row],[New Ark SKU]],Table9[New Ark SKU],Table9[Total PCS per Pallet],,0)</f>
        <v>36</v>
      </c>
      <c r="BF242" s="431">
        <f>_xlfn.XLOOKUP(PV_DATA[[#This Row],[New Ark SKU]],Table9[New Ark SKU],Table9[Total PCS per 40HQ Container],,0)</f>
        <v>936</v>
      </c>
      <c r="BG242" s="431" t="str">
        <f>_xlfn.XLOOKUP(PV_DATA[[#This Row],[New Ark SKU]],Table9[New Ark SKU],Table9[Back Glass],,0)</f>
        <v>Transparent</v>
      </c>
      <c r="BH242" s="431" t="str">
        <f>_xlfn.XLOOKUP(PV_DATA[[#This Row],[PORT DESTINATION]],Table12[PORT DESTINATION],Table12[Cosco Line],,0)</f>
        <v>AEU</v>
      </c>
      <c r="BJ242" s="430"/>
    </row>
    <row r="243" spans="1:62" ht="10.5">
      <c r="A243" s="462" t="s">
        <v>1242</v>
      </c>
      <c r="B243" s="462" t="s">
        <v>61</v>
      </c>
      <c r="C243" s="462" t="str">
        <f>IFERROR(LEFT(PV_DATA[[#This Row],[TCL REFERENCE]],FIND(".",PV_DATA[[#This Row],[TCL REFERENCE]],1)-1),"Main Line")</f>
        <v>Main Line</v>
      </c>
      <c r="D243" s="462" t="s">
        <v>63</v>
      </c>
      <c r="E243" s="462" t="s">
        <v>144</v>
      </c>
      <c r="F243" s="462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2" t="s">
        <v>402</v>
      </c>
      <c r="H243" s="462" t="s">
        <v>538</v>
      </c>
      <c r="I243" s="439" t="s">
        <v>822</v>
      </c>
      <c r="J243" s="430" t="s">
        <v>1232</v>
      </c>
      <c r="K243" s="430" t="s">
        <v>1233</v>
      </c>
      <c r="L243" s="430"/>
      <c r="M243" s="430" t="s">
        <v>840</v>
      </c>
      <c r="N243" s="432">
        <v>46046</v>
      </c>
      <c r="O243" s="430" t="s">
        <v>1032</v>
      </c>
      <c r="P243" s="430" t="s">
        <v>791</v>
      </c>
      <c r="Q243" s="430" t="s">
        <v>571</v>
      </c>
      <c r="R243" s="431" t="str">
        <f>_xlfn.XLOOKUP(PV_DATA[[#This Row],[New Ark SKU]],Table9[New Ark SKU],Table9[Connector],,0)</f>
        <v>EVO2A</v>
      </c>
      <c r="S243" s="442" t="str">
        <f>_xlfn.XLOOKUP(PV_DATA[[#This Row],[New Ark SKU]],Table9[New Ark SKU],Table9[Cable],,0)</f>
        <v>±1400mm</v>
      </c>
      <c r="T243" s="433">
        <v>445</v>
      </c>
      <c r="U243" s="1088">
        <v>720</v>
      </c>
      <c r="V243" s="434">
        <f>PV_DATA[[#This Row],[QUANTITY]]*PV_DATA[[#This Row],[WATT]]/1000000</f>
        <v>0.32040000000000002</v>
      </c>
      <c r="W243" s="435">
        <f>PV_DATA[[#This Row],[QUANTITY]]/PV_DATA[[#This Row],[Qty/Pallet]]</f>
        <v>20</v>
      </c>
      <c r="X243" s="1040">
        <f>PV_DATA[[#This Row],[QUANTITY]]/PV_DATA[[#This Row],[Qty/CT]]</f>
        <v>0.76923076923076927</v>
      </c>
      <c r="Y243" s="430" t="s">
        <v>75</v>
      </c>
      <c r="Z243" s="430" t="str">
        <f t="shared" si="0"/>
        <v>COMPLETED</v>
      </c>
      <c r="AA243" s="430"/>
      <c r="AB243" s="437">
        <v>46081</v>
      </c>
      <c r="AC243" s="438">
        <f>IF(PV_DATA[[#This Row],[Pick- Up Date]]&lt;&gt;"",_xlfn.ISOWEEKNUM(PV_DATA[[#This Row],[Pick- Up Date]]),"")</f>
        <v>9</v>
      </c>
      <c r="AD243" s="439" t="s">
        <v>1243</v>
      </c>
      <c r="AE243" s="430"/>
      <c r="AF243" s="430" t="s">
        <v>77</v>
      </c>
      <c r="AG243" s="430" t="s">
        <v>61</v>
      </c>
      <c r="AH243" s="430" t="s">
        <v>541</v>
      </c>
      <c r="AI243" s="437">
        <v>46088</v>
      </c>
      <c r="AJ243" s="437">
        <v>46091</v>
      </c>
      <c r="AK243" s="441">
        <v>46090</v>
      </c>
      <c r="AL243" s="437">
        <v>46154</v>
      </c>
      <c r="AM243" s="437">
        <v>46168</v>
      </c>
      <c r="AN243" s="437">
        <v>46164</v>
      </c>
      <c r="AO243" s="430" t="s">
        <v>402</v>
      </c>
      <c r="AP243" s="430" t="s">
        <v>1237</v>
      </c>
      <c r="AQ243" s="430" t="s">
        <v>161</v>
      </c>
      <c r="AR243" s="430" t="s">
        <v>1238</v>
      </c>
      <c r="AS243" s="430" t="s">
        <v>1239</v>
      </c>
      <c r="AT243" s="482" t="s">
        <v>1239</v>
      </c>
      <c r="AU2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7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7">
        <f>IF(ISERROR(PV_DATA[[#This Row],[New Ark PO status]]),"",_xlfn.XLOOKUP(PV_DATA[[#This Row],[SPTN-PVHK New Ark PO'#]],New_Ark_Data[Purchase order Number],New_Ark_Data[Estimated time of arrival],"",0))</f>
        <v>46168</v>
      </c>
      <c r="AZ24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7">
        <f>IFERROR(PV_DATA[[#This Row],[ODP ETA Port]]+PV_DATA[[#This Row],[Customs/Leg3 Assumption]],"n/a")</f>
        <v>46164</v>
      </c>
      <c r="BB243" s="433">
        <f>YEAR(PV_DATA[[#This Row],[ETA for New Ark update]])</f>
        <v>2026</v>
      </c>
      <c r="BC243" s="430">
        <f>MONTH(PV_DATA[[#This Row],[ETA for New Ark update]])</f>
        <v>5</v>
      </c>
      <c r="BD243" s="430">
        <f>IFERROR(_xlfn.ISOWEEKNUM(PV_DATA[[#This Row],[ETA for New Ark update]]),0)</f>
        <v>21</v>
      </c>
      <c r="BE243" s="431">
        <f>_xlfn.XLOOKUP(PV_DATA[[#This Row],[New Ark SKU]],Table9[New Ark SKU],Table9[Total PCS per Pallet],,0)</f>
        <v>36</v>
      </c>
      <c r="BF243" s="431">
        <f>_xlfn.XLOOKUP(PV_DATA[[#This Row],[New Ark SKU]],Table9[New Ark SKU],Table9[Total PCS per 40HQ Container],,0)</f>
        <v>936</v>
      </c>
      <c r="BG243" s="431" t="str">
        <f>_xlfn.XLOOKUP(PV_DATA[[#This Row],[New Ark SKU]],Table9[New Ark SKU],Table9[Back Glass],,0)</f>
        <v>Black glazing</v>
      </c>
      <c r="BH243" s="431" t="str">
        <f>_xlfn.XLOOKUP(PV_DATA[[#This Row],[PORT DESTINATION]],Table12[PORT DESTINATION],Table12[Cosco Line],,0)</f>
        <v>AEU</v>
      </c>
      <c r="BJ243" s="430"/>
    </row>
    <row r="244" spans="1:62" ht="10.5">
      <c r="A244" s="462" t="s">
        <v>1244</v>
      </c>
      <c r="B244" s="462" t="s">
        <v>61</v>
      </c>
      <c r="C244" s="462" t="str">
        <f>IFERROR(LEFT(PV_DATA[[#This Row],[TCL REFERENCE]],FIND(".",PV_DATA[[#This Row],[TCL REFERENCE]],1)-1),"Main Line")</f>
        <v>Main Line</v>
      </c>
      <c r="D244" s="462" t="s">
        <v>63</v>
      </c>
      <c r="E244" s="462" t="s">
        <v>144</v>
      </c>
      <c r="F244" s="462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2" t="s">
        <v>402</v>
      </c>
      <c r="H244" s="462" t="s">
        <v>538</v>
      </c>
      <c r="I244" s="439" t="s">
        <v>882</v>
      </c>
      <c r="J244" s="430" t="s">
        <v>1232</v>
      </c>
      <c r="K244" s="430" t="s">
        <v>1233</v>
      </c>
      <c r="L244" s="430"/>
      <c r="M244" s="430" t="s">
        <v>840</v>
      </c>
      <c r="N244" s="432">
        <v>46045</v>
      </c>
      <c r="O244" s="430" t="s">
        <v>1032</v>
      </c>
      <c r="P244" s="430" t="s">
        <v>560</v>
      </c>
      <c r="Q244" s="430" t="s">
        <v>196</v>
      </c>
      <c r="R244" s="431" t="str">
        <f>_xlfn.XLOOKUP(PV_DATA[[#This Row],[New Ark SKU]],Table9[New Ark SKU],Table9[Connector],,0)</f>
        <v>EVO2A</v>
      </c>
      <c r="S244" s="442" t="str">
        <f>_xlfn.XLOOKUP(PV_DATA[[#This Row],[New Ark SKU]],Table9[New Ark SKU],Table9[Cable],,0)</f>
        <v>±1400mm</v>
      </c>
      <c r="T244" s="433">
        <v>450</v>
      </c>
      <c r="U244" s="1088">
        <v>1044</v>
      </c>
      <c r="V244" s="434">
        <f>PV_DATA[[#This Row],[QUANTITY]]*PV_DATA[[#This Row],[WATT]]/1000000</f>
        <v>0.4698</v>
      </c>
      <c r="W244" s="435">
        <f>PV_DATA[[#This Row],[QUANTITY]]/PV_DATA[[#This Row],[Qty/Pallet]]</f>
        <v>29</v>
      </c>
      <c r="X244" s="1040">
        <f>PV_DATA[[#This Row],[QUANTITY]]/PV_DATA[[#This Row],[Qty/CT]]</f>
        <v>1.1153846153846154</v>
      </c>
      <c r="Y244" s="430" t="s">
        <v>75</v>
      </c>
      <c r="Z244" s="430" t="str">
        <f t="shared" si="0"/>
        <v>COMPLETED</v>
      </c>
      <c r="AA244" s="430"/>
      <c r="AB244" s="437">
        <v>46081</v>
      </c>
      <c r="AC244" s="438">
        <f>IF(PV_DATA[[#This Row],[Pick- Up Date]]&lt;&gt;"",_xlfn.ISOWEEKNUM(PV_DATA[[#This Row],[Pick- Up Date]]),"")</f>
        <v>9</v>
      </c>
      <c r="AD244" s="439" t="s">
        <v>1245</v>
      </c>
      <c r="AE244" s="430"/>
      <c r="AF244" s="430" t="s">
        <v>77</v>
      </c>
      <c r="AG244" s="430" t="s">
        <v>61</v>
      </c>
      <c r="AH244" s="430" t="s">
        <v>541</v>
      </c>
      <c r="AI244" s="437">
        <v>46088</v>
      </c>
      <c r="AJ244" s="437">
        <v>46091</v>
      </c>
      <c r="AK244" s="441">
        <v>46090</v>
      </c>
      <c r="AL244" s="437">
        <v>46154</v>
      </c>
      <c r="AM244" s="437">
        <v>46168</v>
      </c>
      <c r="AN244" s="437">
        <v>46164</v>
      </c>
      <c r="AO244" s="430" t="s">
        <v>402</v>
      </c>
      <c r="AP244" s="430" t="s">
        <v>1237</v>
      </c>
      <c r="AQ244" s="430" t="s">
        <v>161</v>
      </c>
      <c r="AR244" s="430" t="s">
        <v>1238</v>
      </c>
      <c r="AS244" s="430" t="s">
        <v>1239</v>
      </c>
      <c r="AT244" s="482" t="s">
        <v>1239</v>
      </c>
      <c r="AU2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7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7">
        <f>IF(ISERROR(PV_DATA[[#This Row],[New Ark PO status]]),"",_xlfn.XLOOKUP(PV_DATA[[#This Row],[SPTN-PVHK New Ark PO'#]],New_Ark_Data[Purchase order Number],New_Ark_Data[Estimated time of arrival],"",0))</f>
        <v>46168</v>
      </c>
      <c r="AZ24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7">
        <f>IFERROR(PV_DATA[[#This Row],[ODP ETA Port]]+PV_DATA[[#This Row],[Customs/Leg3 Assumption]],"n/a")</f>
        <v>46164</v>
      </c>
      <c r="BB244" s="433">
        <f>YEAR(PV_DATA[[#This Row],[ETA for New Ark update]])</f>
        <v>2026</v>
      </c>
      <c r="BC244" s="430">
        <f>MONTH(PV_DATA[[#This Row],[ETA for New Ark update]])</f>
        <v>5</v>
      </c>
      <c r="BD244" s="430">
        <f>IFERROR(_xlfn.ISOWEEKNUM(PV_DATA[[#This Row],[ETA for New Ark update]]),0)</f>
        <v>21</v>
      </c>
      <c r="BE244" s="431">
        <f>_xlfn.XLOOKUP(PV_DATA[[#This Row],[New Ark SKU]],Table9[New Ark SKU],Table9[Total PCS per Pallet],,0)</f>
        <v>36</v>
      </c>
      <c r="BF244" s="431">
        <f>_xlfn.XLOOKUP(PV_DATA[[#This Row],[New Ark SKU]],Table9[New Ark SKU],Table9[Total PCS per 40HQ Container],,0)</f>
        <v>936</v>
      </c>
      <c r="BG244" s="431" t="str">
        <f>_xlfn.XLOOKUP(PV_DATA[[#This Row],[New Ark SKU]],Table9[New Ark SKU],Table9[Back Glass],,0)</f>
        <v>Transparent</v>
      </c>
      <c r="BH244" s="431" t="str">
        <f>_xlfn.XLOOKUP(PV_DATA[[#This Row],[PORT DESTINATION]],Table12[PORT DESTINATION],Table12[Cosco Line],,0)</f>
        <v>AEU</v>
      </c>
      <c r="BJ244" s="430"/>
    </row>
    <row r="245" spans="1:62" ht="10.5">
      <c r="A245" s="462" t="s">
        <v>1246</v>
      </c>
      <c r="B245" s="462" t="s">
        <v>61</v>
      </c>
      <c r="C245" s="462" t="str">
        <f>IFERROR(LEFT(PV_DATA[[#This Row],[TCL REFERENCE]],FIND(".",PV_DATA[[#This Row],[TCL REFERENCE]],1)-1),"Main Line")</f>
        <v>Main Line</v>
      </c>
      <c r="D245" s="462" t="s">
        <v>63</v>
      </c>
      <c r="E245" s="462" t="s">
        <v>144</v>
      </c>
      <c r="F245" s="462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2" t="s">
        <v>402</v>
      </c>
      <c r="H245" s="462" t="s">
        <v>538</v>
      </c>
      <c r="I245" s="439" t="s">
        <v>882</v>
      </c>
      <c r="J245" s="430" t="s">
        <v>1232</v>
      </c>
      <c r="K245" s="430" t="s">
        <v>1233</v>
      </c>
      <c r="L245" s="430"/>
      <c r="M245" s="430" t="s">
        <v>840</v>
      </c>
      <c r="N245" s="432" t="s">
        <v>68</v>
      </c>
      <c r="O245" s="430" t="s">
        <v>1032</v>
      </c>
      <c r="P245" s="430" t="s">
        <v>1247</v>
      </c>
      <c r="Q245" s="430" t="s">
        <v>196</v>
      </c>
      <c r="R245" s="431" t="str">
        <f>_xlfn.XLOOKUP(PV_DATA[[#This Row],[New Ark SKU]],Table9[New Ark SKU],Table9[Connector],,0)</f>
        <v>EVO2A</v>
      </c>
      <c r="S245" s="442" t="str">
        <f>_xlfn.XLOOKUP(PV_DATA[[#This Row],[New Ark SKU]],Table9[New Ark SKU],Table9[Cable],,0)</f>
        <v>±1400mm</v>
      </c>
      <c r="T245" s="433">
        <v>450</v>
      </c>
      <c r="U245" s="1088">
        <v>360</v>
      </c>
      <c r="V245" s="434">
        <f>PV_DATA[[#This Row],[QUANTITY]]*PV_DATA[[#This Row],[WATT]]/1000000</f>
        <v>0.16200000000000001</v>
      </c>
      <c r="W245" s="435">
        <f>PV_DATA[[#This Row],[QUANTITY]]/PV_DATA[[#This Row],[Qty/Pallet]]</f>
        <v>10</v>
      </c>
      <c r="X245" s="1040">
        <f>PV_DATA[[#This Row],[QUANTITY]]/PV_DATA[[#This Row],[Qty/CT]]</f>
        <v>0.38461538461538464</v>
      </c>
      <c r="Y245" s="430" t="s">
        <v>75</v>
      </c>
      <c r="Z245" s="430" t="str">
        <f t="shared" si="0"/>
        <v>COMPLETED</v>
      </c>
      <c r="AA245" s="430"/>
      <c r="AB245" s="437">
        <v>46081</v>
      </c>
      <c r="AC245" s="438">
        <f>IF(PV_DATA[[#This Row],[Pick- Up Date]]&lt;&gt;"",_xlfn.ISOWEEKNUM(PV_DATA[[#This Row],[Pick- Up Date]]),"")</f>
        <v>9</v>
      </c>
      <c r="AD245" s="439" t="s">
        <v>1248</v>
      </c>
      <c r="AE245" s="430"/>
      <c r="AF245" s="430" t="s">
        <v>77</v>
      </c>
      <c r="AG245" s="430" t="s">
        <v>61</v>
      </c>
      <c r="AH245" s="430" t="s">
        <v>541</v>
      </c>
      <c r="AI245" s="437">
        <v>46088</v>
      </c>
      <c r="AJ245" s="437">
        <v>46091</v>
      </c>
      <c r="AK245" s="441">
        <v>46090</v>
      </c>
      <c r="AL245" s="437">
        <v>46154</v>
      </c>
      <c r="AM245" s="437">
        <v>46168</v>
      </c>
      <c r="AN245" s="437">
        <v>46164</v>
      </c>
      <c r="AO245" s="430" t="s">
        <v>402</v>
      </c>
      <c r="AP245" s="430" t="s">
        <v>1237</v>
      </c>
      <c r="AQ245" s="430" t="s">
        <v>161</v>
      </c>
      <c r="AR245" s="430" t="s">
        <v>1238</v>
      </c>
      <c r="AS245" s="430" t="s">
        <v>1239</v>
      </c>
      <c r="AT245" s="482" t="s">
        <v>1239</v>
      </c>
      <c r="AU2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7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7">
        <f>IF(ISERROR(PV_DATA[[#This Row],[New Ark PO status]]),"",_xlfn.XLOOKUP(PV_DATA[[#This Row],[SPTN-PVHK New Ark PO'#]],New_Ark_Data[Purchase order Number],New_Ark_Data[Estimated time of arrival],"",0))</f>
        <v>46168</v>
      </c>
      <c r="AZ24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7">
        <f>IFERROR(PV_DATA[[#This Row],[ODP ETA Port]]+PV_DATA[[#This Row],[Customs/Leg3 Assumption]],"n/a")</f>
        <v>46164</v>
      </c>
      <c r="BB245" s="433">
        <f>YEAR(PV_DATA[[#This Row],[ETA for New Ark update]])</f>
        <v>2026</v>
      </c>
      <c r="BC245" s="430">
        <f>MONTH(PV_DATA[[#This Row],[ETA for New Ark update]])</f>
        <v>5</v>
      </c>
      <c r="BD245" s="430">
        <f>IFERROR(_xlfn.ISOWEEKNUM(PV_DATA[[#This Row],[ETA for New Ark update]]),0)</f>
        <v>21</v>
      </c>
      <c r="BE245" s="431">
        <f>_xlfn.XLOOKUP(PV_DATA[[#This Row],[New Ark SKU]],Table9[New Ark SKU],Table9[Total PCS per Pallet],,0)</f>
        <v>36</v>
      </c>
      <c r="BF245" s="431">
        <f>_xlfn.XLOOKUP(PV_DATA[[#This Row],[New Ark SKU]],Table9[New Ark SKU],Table9[Total PCS per 40HQ Container],,0)</f>
        <v>936</v>
      </c>
      <c r="BG245" s="431" t="str">
        <f>_xlfn.XLOOKUP(PV_DATA[[#This Row],[New Ark SKU]],Table9[New Ark SKU],Table9[Back Glass],,0)</f>
        <v>Black glazing</v>
      </c>
      <c r="BH245" s="431" t="str">
        <f>_xlfn.XLOOKUP(PV_DATA[[#This Row],[PORT DESTINATION]],Table12[PORT DESTINATION],Table12[Cosco Line],,0)</f>
        <v>AEU</v>
      </c>
      <c r="BJ245" s="430"/>
    </row>
    <row r="246" spans="1:62" ht="10.5">
      <c r="A246" s="462" t="s">
        <v>1249</v>
      </c>
      <c r="B246" s="462" t="s">
        <v>61</v>
      </c>
      <c r="C246" s="462" t="str">
        <f>IFERROR(LEFT(PV_DATA[[#This Row],[TCL REFERENCE]],FIND(".",PV_DATA[[#This Row],[TCL REFERENCE]],1)-1),"Main Line")</f>
        <v>Main Line</v>
      </c>
      <c r="D246" s="462" t="s">
        <v>63</v>
      </c>
      <c r="E246" s="462" t="s">
        <v>144</v>
      </c>
      <c r="F246" s="462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2" t="s">
        <v>402</v>
      </c>
      <c r="H246" s="462" t="s">
        <v>538</v>
      </c>
      <c r="I246" s="439" t="s">
        <v>882</v>
      </c>
      <c r="J246" s="430" t="s">
        <v>1232</v>
      </c>
      <c r="K246" s="430" t="s">
        <v>1233</v>
      </c>
      <c r="L246" s="430"/>
      <c r="M246" s="430" t="s">
        <v>840</v>
      </c>
      <c r="N246" s="432">
        <v>46045</v>
      </c>
      <c r="O246" s="430" t="s">
        <v>1032</v>
      </c>
      <c r="P246" s="430" t="s">
        <v>1250</v>
      </c>
      <c r="Q246" s="430" t="s">
        <v>1251</v>
      </c>
      <c r="R246" s="431" t="str">
        <f>_xlfn.XLOOKUP(PV_DATA[[#This Row],[New Ark SKU]],Table9[New Ark SKU],Table9[Connector],,0)</f>
        <v>EVO2A</v>
      </c>
      <c r="S246" s="442" t="str">
        <f>_xlfn.XLOOKUP(PV_DATA[[#This Row],[New Ark SKU]],Table9[New Ark SKU],Table9[Cable],,0)</f>
        <v>±1400mm</v>
      </c>
      <c r="T246" s="433">
        <v>440</v>
      </c>
      <c r="U246" s="1088">
        <v>108</v>
      </c>
      <c r="V246" s="434">
        <f>PV_DATA[[#This Row],[QUANTITY]]*PV_DATA[[#This Row],[WATT]]/1000000</f>
        <v>4.752E-2</v>
      </c>
      <c r="W246" s="435">
        <f>PV_DATA[[#This Row],[QUANTITY]]/PV_DATA[[#This Row],[Qty/Pallet]]</f>
        <v>3</v>
      </c>
      <c r="X246" s="1040">
        <f>PV_DATA[[#This Row],[QUANTITY]]/PV_DATA[[#This Row],[Qty/CT]]</f>
        <v>0.11538461538461539</v>
      </c>
      <c r="Y246" s="430" t="s">
        <v>75</v>
      </c>
      <c r="Z246" s="430" t="str">
        <f t="shared" ref="Z246:Z309" si="1">IF(AN246&lt;&gt;"","COMPLETED",IF(AK246&lt;&gt;"","IN-TRANSIT",""))</f>
        <v>COMPLETED</v>
      </c>
      <c r="AA246" s="430"/>
      <c r="AB246" s="437">
        <v>46081</v>
      </c>
      <c r="AC246" s="438">
        <f>IF(PV_DATA[[#This Row],[Pick- Up Date]]&lt;&gt;"",_xlfn.ISOWEEKNUM(PV_DATA[[#This Row],[Pick- Up Date]]),"")</f>
        <v>9</v>
      </c>
      <c r="AD246" s="439" t="s">
        <v>1252</v>
      </c>
      <c r="AE246" s="430"/>
      <c r="AF246" s="430" t="s">
        <v>77</v>
      </c>
      <c r="AG246" s="430" t="s">
        <v>61</v>
      </c>
      <c r="AH246" s="430" t="s">
        <v>541</v>
      </c>
      <c r="AI246" s="437">
        <v>46088</v>
      </c>
      <c r="AJ246" s="437">
        <v>46091</v>
      </c>
      <c r="AK246" s="441">
        <v>46090</v>
      </c>
      <c r="AL246" s="437">
        <v>46154</v>
      </c>
      <c r="AM246" s="437">
        <v>46168</v>
      </c>
      <c r="AN246" s="437">
        <v>46164</v>
      </c>
      <c r="AO246" s="430" t="s">
        <v>402</v>
      </c>
      <c r="AP246" s="430" t="s">
        <v>1237</v>
      </c>
      <c r="AQ246" s="430" t="s">
        <v>161</v>
      </c>
      <c r="AR246" s="430" t="s">
        <v>1238</v>
      </c>
      <c r="AS246" s="430" t="s">
        <v>1239</v>
      </c>
      <c r="AT246" s="482" t="s">
        <v>1239</v>
      </c>
      <c r="AU2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7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7">
        <f>IF(ISERROR(PV_DATA[[#This Row],[New Ark PO status]]),"",_xlfn.XLOOKUP(PV_DATA[[#This Row],[SPTN-PVHK New Ark PO'#]],New_Ark_Data[Purchase order Number],New_Ark_Data[Estimated time of arrival],"",0))</f>
        <v>46168</v>
      </c>
      <c r="AZ24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7">
        <f>IFERROR(PV_DATA[[#This Row],[ODP ETA Port]]+PV_DATA[[#This Row],[Customs/Leg3 Assumption]],"n/a")</f>
        <v>46164</v>
      </c>
      <c r="BB246" s="433">
        <f>YEAR(PV_DATA[[#This Row],[ETA for New Ark update]])</f>
        <v>2026</v>
      </c>
      <c r="BC246" s="430">
        <f>MONTH(PV_DATA[[#This Row],[ETA for New Ark update]])</f>
        <v>5</v>
      </c>
      <c r="BD246" s="430">
        <f>IFERROR(_xlfn.ISOWEEKNUM(PV_DATA[[#This Row],[ETA for New Ark update]]),0)</f>
        <v>21</v>
      </c>
      <c r="BE246" s="431">
        <f>_xlfn.XLOOKUP(PV_DATA[[#This Row],[New Ark SKU]],Table9[New Ark SKU],Table9[Total PCS per Pallet],,0)</f>
        <v>36</v>
      </c>
      <c r="BF246" s="431">
        <f>_xlfn.XLOOKUP(PV_DATA[[#This Row],[New Ark SKU]],Table9[New Ark SKU],Table9[Total PCS per 40HQ Container],,0)</f>
        <v>936</v>
      </c>
      <c r="BG246" s="431" t="str">
        <f>_xlfn.XLOOKUP(PV_DATA[[#This Row],[New Ark SKU]],Table9[New Ark SKU],Table9[Back Glass],,0)</f>
        <v>Black glazing</v>
      </c>
      <c r="BH246" s="431" t="str">
        <f>_xlfn.XLOOKUP(PV_DATA[[#This Row],[PORT DESTINATION]],Table12[PORT DESTINATION],Table12[Cosco Line],,0)</f>
        <v>AEU</v>
      </c>
      <c r="BJ246" s="430"/>
    </row>
    <row r="247" spans="1:62" ht="10.5">
      <c r="A247" s="462" t="s">
        <v>1253</v>
      </c>
      <c r="B247" s="462" t="s">
        <v>61</v>
      </c>
      <c r="C247" s="462" t="str">
        <f>IFERROR(LEFT(PV_DATA[[#This Row],[TCL REFERENCE]],FIND(".",PV_DATA[[#This Row],[TCL REFERENCE]],1)-1),"Main Line")</f>
        <v>Main Line</v>
      </c>
      <c r="D247" s="462" t="s">
        <v>63</v>
      </c>
      <c r="E247" s="462" t="s">
        <v>144</v>
      </c>
      <c r="F247" s="462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2" t="s">
        <v>402</v>
      </c>
      <c r="H247" s="462" t="s">
        <v>538</v>
      </c>
      <c r="I247" s="439" t="s">
        <v>882</v>
      </c>
      <c r="J247" s="430" t="s">
        <v>1254</v>
      </c>
      <c r="K247" s="430" t="s">
        <v>1233</v>
      </c>
      <c r="L247" s="430"/>
      <c r="M247" s="430" t="s">
        <v>840</v>
      </c>
      <c r="N247" s="432">
        <v>46045</v>
      </c>
      <c r="O247" s="430" t="s">
        <v>1032</v>
      </c>
      <c r="P247" s="430" t="s">
        <v>1255</v>
      </c>
      <c r="Q247" s="430" t="s">
        <v>72</v>
      </c>
      <c r="R247" s="431" t="str">
        <f>_xlfn.XLOOKUP(PV_DATA[[#This Row],[New Ark SKU]],Table9[New Ark SKU],Table9[Connector],,0)</f>
        <v>EVO2A</v>
      </c>
      <c r="S247" s="442" t="str">
        <f>_xlfn.XLOOKUP(PV_DATA[[#This Row],[New Ark SKU]],Table9[New Ark SKU],Table9[Cable],,0)</f>
        <v>±1400mm</v>
      </c>
      <c r="T247" s="433">
        <v>500</v>
      </c>
      <c r="U247" s="1088">
        <v>180</v>
      </c>
      <c r="V247" s="434">
        <f>PV_DATA[[#This Row],[QUANTITY]]*PV_DATA[[#This Row],[WATT]]/1000000</f>
        <v>0.09</v>
      </c>
      <c r="W247" s="435">
        <f>PV_DATA[[#This Row],[QUANTITY]]/PV_DATA[[#This Row],[Qty/Pallet]]</f>
        <v>5</v>
      </c>
      <c r="X247" s="1040">
        <f>PV_DATA[[#This Row],[QUANTITY]]/PV_DATA[[#This Row],[Qty/CT]]</f>
        <v>0.20833333333333334</v>
      </c>
      <c r="Y247" s="430" t="s">
        <v>75</v>
      </c>
      <c r="Z247" s="430" t="str">
        <f t="shared" si="1"/>
        <v>COMPLETED</v>
      </c>
      <c r="AA247" s="430"/>
      <c r="AB247" s="437">
        <v>46081</v>
      </c>
      <c r="AC247" s="438">
        <f>IF(PV_DATA[[#This Row],[Pick- Up Date]]&lt;&gt;"",_xlfn.ISOWEEKNUM(PV_DATA[[#This Row],[Pick- Up Date]]),"")</f>
        <v>9</v>
      </c>
      <c r="AD247" s="439" t="s">
        <v>1256</v>
      </c>
      <c r="AE247" s="430"/>
      <c r="AF247" s="430" t="s">
        <v>77</v>
      </c>
      <c r="AG247" s="430" t="s">
        <v>61</v>
      </c>
      <c r="AH247" s="430" t="s">
        <v>541</v>
      </c>
      <c r="AI247" s="437">
        <v>46088</v>
      </c>
      <c r="AJ247" s="437">
        <v>46091</v>
      </c>
      <c r="AK247" s="441">
        <v>46090</v>
      </c>
      <c r="AL247" s="437">
        <v>46154</v>
      </c>
      <c r="AM247" s="437">
        <v>46168</v>
      </c>
      <c r="AN247" s="437">
        <v>46164</v>
      </c>
      <c r="AO247" s="430" t="s">
        <v>402</v>
      </c>
      <c r="AP247" s="430" t="s">
        <v>1237</v>
      </c>
      <c r="AQ247" s="430" t="s">
        <v>161</v>
      </c>
      <c r="AR247" s="430" t="s">
        <v>1238</v>
      </c>
      <c r="AS247" s="430" t="s">
        <v>1239</v>
      </c>
      <c r="AT247" s="482" t="s">
        <v>1239</v>
      </c>
      <c r="AU2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7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7">
        <f>IF(ISERROR(PV_DATA[[#This Row],[New Ark PO status]]),"",_xlfn.XLOOKUP(PV_DATA[[#This Row],[SPTN-PVHK New Ark PO'#]],New_Ark_Data[Purchase order Number],New_Ark_Data[Estimated time of arrival],"",0))</f>
        <v>46168</v>
      </c>
      <c r="AZ24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7">
        <f>IFERROR(PV_DATA[[#This Row],[ODP ETA Port]]+PV_DATA[[#This Row],[Customs/Leg3 Assumption]],"n/a")</f>
        <v>46164</v>
      </c>
      <c r="BB247" s="433">
        <f>YEAR(PV_DATA[[#This Row],[ETA for New Ark update]])</f>
        <v>2026</v>
      </c>
      <c r="BC247" s="430">
        <f>MONTH(PV_DATA[[#This Row],[ETA for New Ark update]])</f>
        <v>5</v>
      </c>
      <c r="BD247" s="430">
        <f>IFERROR(_xlfn.ISOWEEKNUM(PV_DATA[[#This Row],[ETA for New Ark update]]),0)</f>
        <v>21</v>
      </c>
      <c r="BE247" s="431">
        <f>_xlfn.XLOOKUP(PV_DATA[[#This Row],[New Ark SKU]],Table9[New Ark SKU],Table9[Total PCS per Pallet],,0)</f>
        <v>36</v>
      </c>
      <c r="BF247" s="431">
        <f>_xlfn.XLOOKUP(PV_DATA[[#This Row],[New Ark SKU]],Table9[New Ark SKU],Table9[Total PCS per 40HQ Container],,0)</f>
        <v>864</v>
      </c>
      <c r="BG247" s="431" t="str">
        <f>_xlfn.XLOOKUP(PV_DATA[[#This Row],[New Ark SKU]],Table9[New Ark SKU],Table9[Back Glass],,0)</f>
        <v>Black glazing</v>
      </c>
      <c r="BH247" s="431" t="str">
        <f>_xlfn.XLOOKUP(PV_DATA[[#This Row],[PORT DESTINATION]],Table12[PORT DESTINATION],Table12[Cosco Line],,0)</f>
        <v>AEU</v>
      </c>
      <c r="BJ247" s="430"/>
    </row>
    <row r="248" spans="1:62" ht="10.5">
      <c r="A248" s="462" t="s">
        <v>1257</v>
      </c>
      <c r="B248" s="462" t="s">
        <v>61</v>
      </c>
      <c r="C248" s="462" t="str">
        <f>IFERROR(LEFT(PV_DATA[[#This Row],[TCL REFERENCE]],FIND(".",PV_DATA[[#This Row],[TCL REFERENCE]],1)-1),"Main Line")</f>
        <v>Main Line</v>
      </c>
      <c r="D248" s="462" t="s">
        <v>63</v>
      </c>
      <c r="E248" s="462" t="s">
        <v>144</v>
      </c>
      <c r="F248" s="462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2" t="s">
        <v>402</v>
      </c>
      <c r="H248" s="462" t="s">
        <v>538</v>
      </c>
      <c r="I248" s="439" t="s">
        <v>882</v>
      </c>
      <c r="J248" s="430" t="s">
        <v>1258</v>
      </c>
      <c r="K248" s="430" t="s">
        <v>1233</v>
      </c>
      <c r="L248" s="430"/>
      <c r="M248" s="430" t="s">
        <v>840</v>
      </c>
      <c r="N248" s="432">
        <v>46045</v>
      </c>
      <c r="O248" s="430" t="s">
        <v>1032</v>
      </c>
      <c r="P248" s="430" t="s">
        <v>1259</v>
      </c>
      <c r="Q248" s="430" t="s">
        <v>421</v>
      </c>
      <c r="R248" s="431" t="str">
        <f>_xlfn.XLOOKUP(PV_DATA[[#This Row],[New Ark SKU]],Table9[New Ark SKU],Table9[Connector],,0)</f>
        <v>EVO2A</v>
      </c>
      <c r="S248" s="442" t="str">
        <f>_xlfn.XLOOKUP(PV_DATA[[#This Row],[New Ark SKU]],Table9[New Ark SKU],Table9[Cable],,0)</f>
        <v>±1400mm</v>
      </c>
      <c r="T248" s="433">
        <v>505</v>
      </c>
      <c r="U248" s="1088">
        <v>684</v>
      </c>
      <c r="V248" s="434">
        <f>PV_DATA[[#This Row],[QUANTITY]]*PV_DATA[[#This Row],[WATT]]/1000000</f>
        <v>0.34542</v>
      </c>
      <c r="W248" s="435">
        <f>PV_DATA[[#This Row],[QUANTITY]]/PV_DATA[[#This Row],[Qty/Pallet]]</f>
        <v>19</v>
      </c>
      <c r="X248" s="1040">
        <f>PV_DATA[[#This Row],[QUANTITY]]/PV_DATA[[#This Row],[Qty/CT]]</f>
        <v>0.79166666666666663</v>
      </c>
      <c r="Y248" s="430" t="s">
        <v>75</v>
      </c>
      <c r="Z248" s="430" t="str">
        <f t="shared" si="1"/>
        <v>COMPLETED</v>
      </c>
      <c r="AA248" s="430"/>
      <c r="AB248" s="437">
        <v>46081</v>
      </c>
      <c r="AC248" s="438">
        <f>IF(PV_DATA[[#This Row],[Pick- Up Date]]&lt;&gt;"",_xlfn.ISOWEEKNUM(PV_DATA[[#This Row],[Pick- Up Date]]),"")</f>
        <v>9</v>
      </c>
      <c r="AD248" s="439" t="s">
        <v>1260</v>
      </c>
      <c r="AE248" s="430"/>
      <c r="AF248" s="430" t="s">
        <v>77</v>
      </c>
      <c r="AG248" s="430" t="s">
        <v>61</v>
      </c>
      <c r="AH248" s="430" t="s">
        <v>541</v>
      </c>
      <c r="AI248" s="437">
        <v>46088</v>
      </c>
      <c r="AJ248" s="437">
        <v>46091</v>
      </c>
      <c r="AK248" s="441">
        <v>46090</v>
      </c>
      <c r="AL248" s="437">
        <v>46154</v>
      </c>
      <c r="AM248" s="437">
        <v>46168</v>
      </c>
      <c r="AN248" s="437">
        <v>46164</v>
      </c>
      <c r="AO248" s="430" t="s">
        <v>402</v>
      </c>
      <c r="AP248" s="430" t="s">
        <v>1237</v>
      </c>
      <c r="AQ248" s="430" t="s">
        <v>161</v>
      </c>
      <c r="AR248" s="430" t="s">
        <v>1238</v>
      </c>
      <c r="AS248" s="430" t="s">
        <v>1239</v>
      </c>
      <c r="AT248" s="482" t="s">
        <v>1239</v>
      </c>
      <c r="AU2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7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7">
        <f>IF(ISERROR(PV_DATA[[#This Row],[New Ark PO status]]),"",_xlfn.XLOOKUP(PV_DATA[[#This Row],[SPTN-PVHK New Ark PO'#]],New_Ark_Data[Purchase order Number],New_Ark_Data[Estimated time of arrival],"",0))</f>
        <v>46168</v>
      </c>
      <c r="AZ24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7">
        <f>IFERROR(PV_DATA[[#This Row],[ODP ETA Port]]+PV_DATA[[#This Row],[Customs/Leg3 Assumption]],"n/a")</f>
        <v>46164</v>
      </c>
      <c r="BB248" s="433">
        <f>YEAR(PV_DATA[[#This Row],[ETA for New Ark update]])</f>
        <v>2026</v>
      </c>
      <c r="BC248" s="430">
        <f>MONTH(PV_DATA[[#This Row],[ETA for New Ark update]])</f>
        <v>5</v>
      </c>
      <c r="BD248" s="430">
        <f>IFERROR(_xlfn.ISOWEEKNUM(PV_DATA[[#This Row],[ETA for New Ark update]]),0)</f>
        <v>21</v>
      </c>
      <c r="BE248" s="431">
        <f>_xlfn.XLOOKUP(PV_DATA[[#This Row],[New Ark SKU]],Table9[New Ark SKU],Table9[Total PCS per Pallet],,0)</f>
        <v>36</v>
      </c>
      <c r="BF248" s="431">
        <f>_xlfn.XLOOKUP(PV_DATA[[#This Row],[New Ark SKU]],Table9[New Ark SKU],Table9[Total PCS per 40HQ Container],,0)</f>
        <v>864</v>
      </c>
      <c r="BG248" s="431" t="str">
        <f>_xlfn.XLOOKUP(PV_DATA[[#This Row],[New Ark SKU]],Table9[New Ark SKU],Table9[Back Glass],,0)</f>
        <v>Black glazing</v>
      </c>
      <c r="BH248" s="431" t="str">
        <f>_xlfn.XLOOKUP(PV_DATA[[#This Row],[PORT DESTINATION]],Table12[PORT DESTINATION],Table12[Cosco Line],,0)</f>
        <v>AEU</v>
      </c>
      <c r="BJ248" s="430"/>
    </row>
    <row r="249" spans="1:62" s="450" customFormat="1" ht="10.5">
      <c r="A249" s="462" t="s">
        <v>1261</v>
      </c>
      <c r="B249" s="462" t="s">
        <v>61</v>
      </c>
      <c r="C249" s="462" t="str">
        <f>IFERROR(LEFT(PV_DATA[[#This Row],[TCL REFERENCE]],FIND(".",PV_DATA[[#This Row],[TCL REFERENCE]],1)-1),"Main Line")</f>
        <v>26Feb017</v>
      </c>
      <c r="D249" s="462" t="s">
        <v>63</v>
      </c>
      <c r="E249" s="462" t="s">
        <v>144</v>
      </c>
      <c r="F249" s="462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2" t="s">
        <v>402</v>
      </c>
      <c r="H249" s="462" t="s">
        <v>1262</v>
      </c>
      <c r="I249" s="439" t="s">
        <v>689</v>
      </c>
      <c r="J249" s="430" t="s">
        <v>1263</v>
      </c>
      <c r="K249" s="430" t="s">
        <v>1264</v>
      </c>
      <c r="L249" s="430"/>
      <c r="M249" s="430" t="s">
        <v>840</v>
      </c>
      <c r="N249" s="432">
        <v>46076</v>
      </c>
      <c r="O249" s="430" t="s">
        <v>70</v>
      </c>
      <c r="P249" s="430" t="s">
        <v>195</v>
      </c>
      <c r="Q249" s="430" t="s">
        <v>196</v>
      </c>
      <c r="R249" s="431" t="str">
        <f>_xlfn.XLOOKUP(PV_DATA[[#This Row],[New Ark SKU]],Table9[New Ark SKU],Table9[Connector],,0)</f>
        <v>EVO2A</v>
      </c>
      <c r="S249" s="442" t="str">
        <f>_xlfn.XLOOKUP(PV_DATA[[#This Row],[New Ark SKU]],Table9[New Ark SKU],Table9[Cable],,0)</f>
        <v>±1200mm</v>
      </c>
      <c r="T249" s="433">
        <v>450</v>
      </c>
      <c r="U249" s="1088">
        <f>936*1</f>
        <v>936</v>
      </c>
      <c r="V249" s="434">
        <f>PV_DATA[[#This Row],[QUANTITY]]*PV_DATA[[#This Row],[WATT]]/1000000</f>
        <v>0.42120000000000002</v>
      </c>
      <c r="W249" s="435">
        <f>PV_DATA[[#This Row],[QUANTITY]]/PV_DATA[[#This Row],[Qty/Pallet]]</f>
        <v>26</v>
      </c>
      <c r="X249" s="1040">
        <f>PV_DATA[[#This Row],[QUANTITY]]/PV_DATA[[#This Row],[Qty/CT]]</f>
        <v>1</v>
      </c>
      <c r="Y249" s="430" t="s">
        <v>75</v>
      </c>
      <c r="Z249" s="430" t="str">
        <f t="shared" si="1"/>
        <v>COMPLETED</v>
      </c>
      <c r="AA249" s="430"/>
      <c r="AB249" s="437">
        <v>46084</v>
      </c>
      <c r="AC249" s="438">
        <f>IF(PV_DATA[[#This Row],[Pick- Up Date]]&lt;&gt;"",_xlfn.ISOWEEKNUM(PV_DATA[[#This Row],[Pick- Up Date]]),"")</f>
        <v>10</v>
      </c>
      <c r="AD249" s="439" t="s">
        <v>1265</v>
      </c>
      <c r="AE249" s="430"/>
      <c r="AF249" s="430" t="s">
        <v>77</v>
      </c>
      <c r="AG249" s="430" t="s">
        <v>61</v>
      </c>
      <c r="AH249" s="430" t="s">
        <v>105</v>
      </c>
      <c r="AI249" s="437">
        <v>46088</v>
      </c>
      <c r="AJ249" s="437">
        <v>46088</v>
      </c>
      <c r="AK249" s="441">
        <v>46088</v>
      </c>
      <c r="AL249" s="437">
        <v>46133</v>
      </c>
      <c r="AM249" s="437">
        <v>46142</v>
      </c>
      <c r="AN249" s="437">
        <v>46141</v>
      </c>
      <c r="AO249" s="430" t="s">
        <v>402</v>
      </c>
      <c r="AP249" s="430" t="s">
        <v>889</v>
      </c>
      <c r="AQ249" s="430" t="s">
        <v>80</v>
      </c>
      <c r="AR249" s="430" t="s">
        <v>1266</v>
      </c>
      <c r="AS249" s="430" t="s">
        <v>1267</v>
      </c>
      <c r="AT249" s="482" t="s">
        <v>1267</v>
      </c>
      <c r="AU2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0"/>
      <c r="AW249" s="437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7">
        <f>IF(ISERROR(PV_DATA[[#This Row],[New Ark PO status]]),"",_xlfn.XLOOKUP(PV_DATA[[#This Row],[SPTN-PVHK New Ark PO'#]],New_Ark_Data[Purchase order Number],New_Ark_Data[Estimated time of arrival],"",0))</f>
        <v>46146</v>
      </c>
      <c r="AZ24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7">
        <f>IFERROR(PV_DATA[[#This Row],[ODP ETA Port]]+PV_DATA[[#This Row],[Customs/Leg3 Assumption]],"n/a")</f>
        <v>46141</v>
      </c>
      <c r="BB249" s="433">
        <f>YEAR(PV_DATA[[#This Row],[ETA for New Ark update]])</f>
        <v>2026</v>
      </c>
      <c r="BC249" s="430">
        <f>MONTH(PV_DATA[[#This Row],[ETA for New Ark update]])</f>
        <v>4</v>
      </c>
      <c r="BD249" s="430">
        <f>IFERROR(_xlfn.ISOWEEKNUM(PV_DATA[[#This Row],[ETA for New Ark update]]),0)</f>
        <v>18</v>
      </c>
      <c r="BE249" s="431">
        <f>_xlfn.XLOOKUP(PV_DATA[[#This Row],[New Ark SKU]],Table9[New Ark SKU],Table9[Total PCS per Pallet],,0)</f>
        <v>36</v>
      </c>
      <c r="BF249" s="431">
        <f>_xlfn.XLOOKUP(PV_DATA[[#This Row],[New Ark SKU]],Table9[New Ark SKU],Table9[Total PCS per 40HQ Container],,0)</f>
        <v>936</v>
      </c>
      <c r="BG249" s="431" t="str">
        <f>_xlfn.XLOOKUP(PV_DATA[[#This Row],[New Ark SKU]],Table9[New Ark SKU],Table9[Back Glass],,0)</f>
        <v>Black glazing</v>
      </c>
      <c r="BH249" s="431" t="str">
        <f>_xlfn.XLOOKUP(PV_DATA[[#This Row],[PORT DESTINATION]],Table12[PORT DESTINATION],Table12[Cosco Line],,0)</f>
        <v>AEU</v>
      </c>
    </row>
    <row r="250" spans="1:62" ht="10.5">
      <c r="A250" s="462" t="s">
        <v>1268</v>
      </c>
      <c r="B250" s="462" t="s">
        <v>61</v>
      </c>
      <c r="C250" s="462" t="str">
        <f>IFERROR(LEFT(PV_DATA[[#This Row],[TCL REFERENCE]],FIND(".",PV_DATA[[#This Row],[TCL REFERENCE]],1)-1),"Main Line")</f>
        <v>26Feb017</v>
      </c>
      <c r="D250" s="462" t="s">
        <v>63</v>
      </c>
      <c r="E250" s="462" t="s">
        <v>144</v>
      </c>
      <c r="F250" s="462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2" t="s">
        <v>402</v>
      </c>
      <c r="H250" s="462" t="s">
        <v>1269</v>
      </c>
      <c r="I250" s="439" t="s">
        <v>689</v>
      </c>
      <c r="J250" s="430" t="s">
        <v>1270</v>
      </c>
      <c r="K250" s="430" t="s">
        <v>1271</v>
      </c>
      <c r="L250" s="430"/>
      <c r="M250" s="430" t="s">
        <v>840</v>
      </c>
      <c r="N250" s="432">
        <v>46076</v>
      </c>
      <c r="O250" s="430" t="s">
        <v>70</v>
      </c>
      <c r="P250" s="430" t="s">
        <v>195</v>
      </c>
      <c r="Q250" s="430" t="s">
        <v>196</v>
      </c>
      <c r="R250" s="431" t="str">
        <f>_xlfn.XLOOKUP(PV_DATA[[#This Row],[New Ark SKU]],Table9[New Ark SKU],Table9[Connector],,0)</f>
        <v>EVO2A</v>
      </c>
      <c r="S250" s="442" t="str">
        <f>_xlfn.XLOOKUP(PV_DATA[[#This Row],[New Ark SKU]],Table9[New Ark SKU],Table9[Cable],,0)</f>
        <v>±1200mm</v>
      </c>
      <c r="T250" s="433">
        <v>450</v>
      </c>
      <c r="U250" s="1088">
        <f>936*2</f>
        <v>1872</v>
      </c>
      <c r="V250" s="434">
        <f>PV_DATA[[#This Row],[QUANTITY]]*PV_DATA[[#This Row],[WATT]]/1000000</f>
        <v>0.84240000000000004</v>
      </c>
      <c r="W250" s="435">
        <f>PV_DATA[[#This Row],[QUANTITY]]/PV_DATA[[#This Row],[Qty/Pallet]]</f>
        <v>52</v>
      </c>
      <c r="X250" s="1040">
        <f>PV_DATA[[#This Row],[QUANTITY]]/PV_DATA[[#This Row],[Qty/CT]]</f>
        <v>2</v>
      </c>
      <c r="Y250" s="430" t="s">
        <v>75</v>
      </c>
      <c r="Z250" s="430" t="str">
        <f t="shared" si="1"/>
        <v>COMPLETED</v>
      </c>
      <c r="AA250" s="430"/>
      <c r="AB250" s="437">
        <v>46084</v>
      </c>
      <c r="AC250" s="438">
        <f>IF(PV_DATA[[#This Row],[Pick- Up Date]]&lt;&gt;"",_xlfn.ISOWEEKNUM(PV_DATA[[#This Row],[Pick- Up Date]]),"")</f>
        <v>10</v>
      </c>
      <c r="AD250" s="439" t="s">
        <v>1272</v>
      </c>
      <c r="AE250" s="430"/>
      <c r="AF250" s="430" t="s">
        <v>77</v>
      </c>
      <c r="AG250" s="430" t="s">
        <v>61</v>
      </c>
      <c r="AH250" s="430" t="s">
        <v>105</v>
      </c>
      <c r="AI250" s="437">
        <v>46088</v>
      </c>
      <c r="AJ250" s="437">
        <v>46088</v>
      </c>
      <c r="AK250" s="441">
        <v>46088</v>
      </c>
      <c r="AL250" s="437">
        <v>46133</v>
      </c>
      <c r="AM250" s="437">
        <v>46142</v>
      </c>
      <c r="AN250" s="437">
        <v>46141</v>
      </c>
      <c r="AO250" s="430" t="s">
        <v>402</v>
      </c>
      <c r="AP250" s="430" t="s">
        <v>889</v>
      </c>
      <c r="AQ250" s="430" t="s">
        <v>80</v>
      </c>
      <c r="AR250" s="430" t="s">
        <v>1266</v>
      </c>
      <c r="AS250" s="430" t="s">
        <v>1273</v>
      </c>
      <c r="AT250" s="482" t="s">
        <v>1267</v>
      </c>
      <c r="AU2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7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7">
        <f>IF(ISERROR(PV_DATA[[#This Row],[New Ark PO status]]),"",_xlfn.XLOOKUP(PV_DATA[[#This Row],[SPTN-PVHK New Ark PO'#]],New_Ark_Data[Purchase order Number],New_Ark_Data[Estimated time of arrival],"",0))</f>
        <v>46146</v>
      </c>
      <c r="AZ25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7">
        <f>IFERROR(PV_DATA[[#This Row],[ODP ETA Port]]+PV_DATA[[#This Row],[Customs/Leg3 Assumption]],"n/a")</f>
        <v>46141</v>
      </c>
      <c r="BB250" s="433">
        <f>YEAR(PV_DATA[[#This Row],[ETA for New Ark update]])</f>
        <v>2026</v>
      </c>
      <c r="BC250" s="430">
        <f>MONTH(PV_DATA[[#This Row],[ETA for New Ark update]])</f>
        <v>4</v>
      </c>
      <c r="BD250" s="430">
        <f>IFERROR(_xlfn.ISOWEEKNUM(PV_DATA[[#This Row],[ETA for New Ark update]]),0)</f>
        <v>18</v>
      </c>
      <c r="BE250" s="431">
        <f>_xlfn.XLOOKUP(PV_DATA[[#This Row],[New Ark SKU]],Table9[New Ark SKU],Table9[Total PCS per Pallet],,0)</f>
        <v>36</v>
      </c>
      <c r="BF250" s="431">
        <f>_xlfn.XLOOKUP(PV_DATA[[#This Row],[New Ark SKU]],Table9[New Ark SKU],Table9[Total PCS per 40HQ Container],,0)</f>
        <v>936</v>
      </c>
      <c r="BG250" s="431" t="str">
        <f>_xlfn.XLOOKUP(PV_DATA[[#This Row],[New Ark SKU]],Table9[New Ark SKU],Table9[Back Glass],,0)</f>
        <v>Black glazing</v>
      </c>
      <c r="BH250" s="431" t="str">
        <f>_xlfn.XLOOKUP(PV_DATA[[#This Row],[PORT DESTINATION]],Table12[PORT DESTINATION],Table12[Cosco Line],,0)</f>
        <v>AEU</v>
      </c>
      <c r="BJ250" s="430"/>
    </row>
    <row r="251" spans="1:62" ht="10.5">
      <c r="A251" s="446" t="s">
        <v>1274</v>
      </c>
      <c r="B251" s="446" t="s">
        <v>61</v>
      </c>
      <c r="C251" s="446" t="str">
        <f>IFERROR(LEFT(PV_DATA[[#This Row],[TCL REFERENCE]],FIND(".",PV_DATA[[#This Row],[TCL REFERENCE]],1)-1),"Main Line")</f>
        <v>26Feb017</v>
      </c>
      <c r="D251" s="446" t="s">
        <v>63</v>
      </c>
      <c r="E251" s="446" t="s">
        <v>144</v>
      </c>
      <c r="F251" s="462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6" t="s">
        <v>402</v>
      </c>
      <c r="H251" s="446" t="s">
        <v>1275</v>
      </c>
      <c r="I251" s="446" t="s">
        <v>689</v>
      </c>
      <c r="J251" s="450" t="s">
        <v>1270</v>
      </c>
      <c r="K251" s="450" t="s">
        <v>1276</v>
      </c>
      <c r="L251" s="450"/>
      <c r="M251" s="450" t="s">
        <v>840</v>
      </c>
      <c r="N251" s="451">
        <v>46076</v>
      </c>
      <c r="O251" s="450" t="s">
        <v>70</v>
      </c>
      <c r="P251" s="450" t="s">
        <v>195</v>
      </c>
      <c r="Q251" s="450" t="s">
        <v>196</v>
      </c>
      <c r="R251" s="431" t="str">
        <f>_xlfn.XLOOKUP(PV_DATA[[#This Row],[New Ark SKU]],Table9[New Ark SKU],Table9[Connector],,0)</f>
        <v>EVO2A</v>
      </c>
      <c r="S251" s="442" t="str">
        <f>_xlfn.XLOOKUP(PV_DATA[[#This Row],[New Ark SKU]],Table9[New Ark SKU],Table9[Cable],,0)</f>
        <v>±1200mm</v>
      </c>
      <c r="T251" s="452">
        <v>450</v>
      </c>
      <c r="U251" s="1089">
        <f>936*1</f>
        <v>936</v>
      </c>
      <c r="V251" s="453">
        <f>PV_DATA[[#This Row],[QUANTITY]]*PV_DATA[[#This Row],[WATT]]/1000000</f>
        <v>0.42120000000000002</v>
      </c>
      <c r="W251" s="454">
        <f>PV_DATA[[#This Row],[QUANTITY]]/PV_DATA[[#This Row],[Qty/Pallet]]</f>
        <v>26</v>
      </c>
      <c r="X251" s="1045">
        <f>PV_DATA[[#This Row],[QUANTITY]]/PV_DATA[[#This Row],[Qty/CT]]</f>
        <v>1</v>
      </c>
      <c r="Y251" s="450" t="s">
        <v>75</v>
      </c>
      <c r="Z251" s="430" t="str">
        <f t="shared" si="1"/>
        <v>COMPLETED</v>
      </c>
      <c r="AA251" s="450"/>
      <c r="AB251" s="455">
        <v>46084</v>
      </c>
      <c r="AC251" s="456">
        <f>IF(PV_DATA[[#This Row],[Pick- Up Date]]&lt;&gt;"",_xlfn.ISOWEEKNUM(PV_DATA[[#This Row],[Pick- Up Date]]),"")</f>
        <v>10</v>
      </c>
      <c r="AD251" s="446" t="s">
        <v>1277</v>
      </c>
      <c r="AE251" s="450"/>
      <c r="AF251" s="450" t="s">
        <v>77</v>
      </c>
      <c r="AG251" s="450" t="s">
        <v>61</v>
      </c>
      <c r="AH251" s="450" t="s">
        <v>105</v>
      </c>
      <c r="AI251" s="455">
        <v>46088</v>
      </c>
      <c r="AJ251" s="455">
        <v>46088</v>
      </c>
      <c r="AK251" s="455">
        <v>46088</v>
      </c>
      <c r="AL251" s="455">
        <v>46133</v>
      </c>
      <c r="AM251" s="455">
        <v>46142</v>
      </c>
      <c r="AN251" s="455">
        <v>46141</v>
      </c>
      <c r="AO251" s="450" t="s">
        <v>402</v>
      </c>
      <c r="AP251" s="450" t="s">
        <v>889</v>
      </c>
      <c r="AQ251" s="450" t="s">
        <v>80</v>
      </c>
      <c r="AR251" s="450" t="s">
        <v>1266</v>
      </c>
      <c r="AS251" s="450" t="s">
        <v>1278</v>
      </c>
      <c r="AT251" s="482" t="s">
        <v>1267</v>
      </c>
      <c r="AU2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0"/>
      <c r="AW251" s="455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5">
        <f>IF(ISERROR(PV_DATA[[#This Row],[New Ark PO status]]),"",_xlfn.XLOOKUP(PV_DATA[[#This Row],[SPTN-PVHK New Ark PO'#]],New_Ark_Data[Purchase order Number],New_Ark_Data[Estimated time of arrival],"",0))</f>
        <v>46146</v>
      </c>
      <c r="AZ25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7">
        <f>IFERROR(PV_DATA[[#This Row],[ODP ETA Port]]+PV_DATA[[#This Row],[Customs/Leg3 Assumption]],"n/a")</f>
        <v>46141</v>
      </c>
      <c r="BB251" s="452">
        <f>YEAR(PV_DATA[[#This Row],[ETA for New Ark update]])</f>
        <v>2026</v>
      </c>
      <c r="BC251" s="450">
        <f>MONTH(PV_DATA[[#This Row],[ETA for New Ark update]])</f>
        <v>4</v>
      </c>
      <c r="BD251" s="450">
        <f>IFERROR(_xlfn.ISOWEEKNUM(PV_DATA[[#This Row],[ETA for New Ark update]]),0)</f>
        <v>18</v>
      </c>
      <c r="BE251" s="431">
        <f>_xlfn.XLOOKUP(PV_DATA[[#This Row],[New Ark SKU]],Table9[New Ark SKU],Table9[Total PCS per Pallet],,0)</f>
        <v>36</v>
      </c>
      <c r="BF251" s="431">
        <f>_xlfn.XLOOKUP(PV_DATA[[#This Row],[New Ark SKU]],Table9[New Ark SKU],Table9[Total PCS per 40HQ Container],,0)</f>
        <v>936</v>
      </c>
      <c r="BG251" s="431" t="str">
        <f>_xlfn.XLOOKUP(PV_DATA[[#This Row],[New Ark SKU]],Table9[New Ark SKU],Table9[Back Glass],,0)</f>
        <v>Black glazing</v>
      </c>
      <c r="BH251" s="431" t="str">
        <f>_xlfn.XLOOKUP(PV_DATA[[#This Row],[PORT DESTINATION]],Table12[PORT DESTINATION],Table12[Cosco Line],,0)</f>
        <v>AEU</v>
      </c>
      <c r="BJ251" s="430"/>
    </row>
    <row r="252" spans="1:62" ht="10.5">
      <c r="A252" s="462" t="s">
        <v>1279</v>
      </c>
      <c r="B252" s="462" t="s">
        <v>61</v>
      </c>
      <c r="C252" s="462" t="str">
        <f>IFERROR(LEFT(PV_DATA[[#This Row],[TCL REFERENCE]],FIND(".",PV_DATA[[#This Row],[TCL REFERENCE]],1)-1),"Main Line")</f>
        <v>26Feb017</v>
      </c>
      <c r="D252" s="462" t="s">
        <v>63</v>
      </c>
      <c r="E252" s="462" t="s">
        <v>144</v>
      </c>
      <c r="F252" s="462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2" t="s">
        <v>402</v>
      </c>
      <c r="H252" s="462" t="s">
        <v>1280</v>
      </c>
      <c r="I252" s="439" t="s">
        <v>689</v>
      </c>
      <c r="J252" s="430" t="s">
        <v>1270</v>
      </c>
      <c r="K252" s="430" t="s">
        <v>1281</v>
      </c>
      <c r="L252" s="430"/>
      <c r="M252" s="430" t="s">
        <v>840</v>
      </c>
      <c r="N252" s="432">
        <v>46076</v>
      </c>
      <c r="O252" s="430" t="s">
        <v>70</v>
      </c>
      <c r="P252" s="430" t="s">
        <v>195</v>
      </c>
      <c r="Q252" s="430" t="s">
        <v>196</v>
      </c>
      <c r="R252" s="431" t="str">
        <f>_xlfn.XLOOKUP(PV_DATA[[#This Row],[New Ark SKU]],Table9[New Ark SKU],Table9[Connector],,0)</f>
        <v>EVO2A</v>
      </c>
      <c r="S252" s="442" t="str">
        <f>_xlfn.XLOOKUP(PV_DATA[[#This Row],[New Ark SKU]],Table9[New Ark SKU],Table9[Cable],,0)</f>
        <v>±1200mm</v>
      </c>
      <c r="T252" s="433">
        <v>450</v>
      </c>
      <c r="U252" s="1088">
        <f>936*2</f>
        <v>1872</v>
      </c>
      <c r="V252" s="434">
        <f>PV_DATA[[#This Row],[QUANTITY]]*PV_DATA[[#This Row],[WATT]]/1000000</f>
        <v>0.84240000000000004</v>
      </c>
      <c r="W252" s="435">
        <f>PV_DATA[[#This Row],[QUANTITY]]/PV_DATA[[#This Row],[Qty/Pallet]]</f>
        <v>52</v>
      </c>
      <c r="X252" s="1040">
        <f>PV_DATA[[#This Row],[QUANTITY]]/PV_DATA[[#This Row],[Qty/CT]]</f>
        <v>2</v>
      </c>
      <c r="Y252" s="430" t="s">
        <v>75</v>
      </c>
      <c r="Z252" s="430" t="str">
        <f t="shared" si="1"/>
        <v>COMPLETED</v>
      </c>
      <c r="AA252" s="430"/>
      <c r="AB252" s="437">
        <v>46084</v>
      </c>
      <c r="AC252" s="438">
        <f>IF(PV_DATA[[#This Row],[Pick- Up Date]]&lt;&gt;"",_xlfn.ISOWEEKNUM(PV_DATA[[#This Row],[Pick- Up Date]]),"")</f>
        <v>10</v>
      </c>
      <c r="AD252" s="439" t="s">
        <v>1282</v>
      </c>
      <c r="AE252" s="430"/>
      <c r="AF252" s="430" t="s">
        <v>77</v>
      </c>
      <c r="AG252" s="430" t="s">
        <v>61</v>
      </c>
      <c r="AH252" s="430" t="s">
        <v>105</v>
      </c>
      <c r="AI252" s="437">
        <v>46088</v>
      </c>
      <c r="AJ252" s="437">
        <v>46088</v>
      </c>
      <c r="AK252" s="441">
        <v>46088</v>
      </c>
      <c r="AL252" s="437">
        <v>46133</v>
      </c>
      <c r="AM252" s="437">
        <v>46142</v>
      </c>
      <c r="AN252" s="437">
        <v>46141</v>
      </c>
      <c r="AO252" s="430" t="s">
        <v>402</v>
      </c>
      <c r="AP252" s="430" t="s">
        <v>889</v>
      </c>
      <c r="AQ252" s="430" t="s">
        <v>80</v>
      </c>
      <c r="AR252" s="430" t="s">
        <v>1266</v>
      </c>
      <c r="AS252" s="430" t="s">
        <v>1283</v>
      </c>
      <c r="AT252" s="482" t="s">
        <v>1267</v>
      </c>
      <c r="AU2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7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7">
        <f>IF(ISERROR(PV_DATA[[#This Row],[New Ark PO status]]),"",_xlfn.XLOOKUP(PV_DATA[[#This Row],[SPTN-PVHK New Ark PO'#]],New_Ark_Data[Purchase order Number],New_Ark_Data[Estimated time of arrival],"",0))</f>
        <v>46146</v>
      </c>
      <c r="AZ25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7">
        <f>IFERROR(PV_DATA[[#This Row],[ODP ETA Port]]+PV_DATA[[#This Row],[Customs/Leg3 Assumption]],"n/a")</f>
        <v>46141</v>
      </c>
      <c r="BB252" s="433">
        <f>YEAR(PV_DATA[[#This Row],[ETA for New Ark update]])</f>
        <v>2026</v>
      </c>
      <c r="BC252" s="430">
        <f>MONTH(PV_DATA[[#This Row],[ETA for New Ark update]])</f>
        <v>4</v>
      </c>
      <c r="BD252" s="430">
        <f>IFERROR(_xlfn.ISOWEEKNUM(PV_DATA[[#This Row],[ETA for New Ark update]]),0)</f>
        <v>18</v>
      </c>
      <c r="BE252" s="431">
        <f>_xlfn.XLOOKUP(PV_DATA[[#This Row],[New Ark SKU]],Table9[New Ark SKU],Table9[Total PCS per Pallet],,0)</f>
        <v>36</v>
      </c>
      <c r="BF252" s="431">
        <f>_xlfn.XLOOKUP(PV_DATA[[#This Row],[New Ark SKU]],Table9[New Ark SKU],Table9[Total PCS per 40HQ Container],,0)</f>
        <v>936</v>
      </c>
      <c r="BG252" s="431" t="str">
        <f>_xlfn.XLOOKUP(PV_DATA[[#This Row],[New Ark SKU]],Table9[New Ark SKU],Table9[Back Glass],,0)</f>
        <v>Black glazing</v>
      </c>
      <c r="BH252" s="431" t="str">
        <f>_xlfn.XLOOKUP(PV_DATA[[#This Row],[PORT DESTINATION]],Table12[PORT DESTINATION],Table12[Cosco Line],,0)</f>
        <v>AEU</v>
      </c>
      <c r="BJ252" s="430"/>
    </row>
    <row r="253" spans="1:62" ht="10.5">
      <c r="A253" s="462" t="s">
        <v>1284</v>
      </c>
      <c r="B253" s="462" t="s">
        <v>61</v>
      </c>
      <c r="C253" s="462" t="str">
        <f>IFERROR(LEFT(PV_DATA[[#This Row],[TCL REFERENCE]],FIND(".",PV_DATA[[#This Row],[TCL REFERENCE]],1)-1),"Main Line")</f>
        <v>26Feb017</v>
      </c>
      <c r="D253" s="462" t="s">
        <v>63</v>
      </c>
      <c r="E253" s="462" t="s">
        <v>144</v>
      </c>
      <c r="F253" s="462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2" t="s">
        <v>402</v>
      </c>
      <c r="H253" s="462" t="s">
        <v>1275</v>
      </c>
      <c r="I253" s="439" t="s">
        <v>689</v>
      </c>
      <c r="J253" s="430" t="s">
        <v>1270</v>
      </c>
      <c r="K253" s="430" t="s">
        <v>1276</v>
      </c>
      <c r="L253" s="430"/>
      <c r="M253" s="430" t="s">
        <v>840</v>
      </c>
      <c r="N253" s="432">
        <v>46076</v>
      </c>
      <c r="O253" s="430" t="s">
        <v>70</v>
      </c>
      <c r="P253" s="430" t="s">
        <v>195</v>
      </c>
      <c r="Q253" s="430" t="s">
        <v>196</v>
      </c>
      <c r="R253" s="431" t="str">
        <f>_xlfn.XLOOKUP(PV_DATA[[#This Row],[New Ark SKU]],Table9[New Ark SKU],Table9[Connector],,0)</f>
        <v>EVO2A</v>
      </c>
      <c r="S253" s="442" t="str">
        <f>_xlfn.XLOOKUP(PV_DATA[[#This Row],[New Ark SKU]],Table9[New Ark SKU],Table9[Cable],,0)</f>
        <v>±1200mm</v>
      </c>
      <c r="T253" s="433">
        <v>450</v>
      </c>
      <c r="U253" s="1088">
        <f>936*4</f>
        <v>3744</v>
      </c>
      <c r="V253" s="434">
        <f>PV_DATA[[#This Row],[QUANTITY]]*PV_DATA[[#This Row],[WATT]]/1000000</f>
        <v>1.6848000000000001</v>
      </c>
      <c r="W253" s="435">
        <f>PV_DATA[[#This Row],[QUANTITY]]/PV_DATA[[#This Row],[Qty/Pallet]]</f>
        <v>104</v>
      </c>
      <c r="X253" s="1040">
        <f>PV_DATA[[#This Row],[QUANTITY]]/PV_DATA[[#This Row],[Qty/CT]]</f>
        <v>4</v>
      </c>
      <c r="Y253" s="430" t="s">
        <v>75</v>
      </c>
      <c r="Z253" s="430" t="str">
        <f t="shared" si="1"/>
        <v>COMPLETED</v>
      </c>
      <c r="AA253" s="430"/>
      <c r="AB253" s="437">
        <v>46084</v>
      </c>
      <c r="AC253" s="438">
        <f>IF(PV_DATA[[#This Row],[Pick- Up Date]]&lt;&gt;"",_xlfn.ISOWEEKNUM(PV_DATA[[#This Row],[Pick- Up Date]]),"")</f>
        <v>10</v>
      </c>
      <c r="AD253" s="439" t="s">
        <v>1277</v>
      </c>
      <c r="AE253" s="430"/>
      <c r="AF253" s="430" t="s">
        <v>77</v>
      </c>
      <c r="AG253" s="430" t="s">
        <v>61</v>
      </c>
      <c r="AH253" s="430" t="s">
        <v>105</v>
      </c>
      <c r="AI253" s="437">
        <v>46088</v>
      </c>
      <c r="AJ253" s="437">
        <v>46088</v>
      </c>
      <c r="AK253" s="441">
        <v>46088</v>
      </c>
      <c r="AL253" s="437">
        <v>46133</v>
      </c>
      <c r="AM253" s="437">
        <v>46142</v>
      </c>
      <c r="AN253" s="437">
        <v>46141</v>
      </c>
      <c r="AO253" s="430" t="s">
        <v>402</v>
      </c>
      <c r="AP253" s="430" t="s">
        <v>889</v>
      </c>
      <c r="AQ253" s="430" t="s">
        <v>80</v>
      </c>
      <c r="AR253" s="430" t="s">
        <v>1266</v>
      </c>
      <c r="AS253" s="430" t="s">
        <v>1278</v>
      </c>
      <c r="AT253" s="482" t="s">
        <v>1278</v>
      </c>
      <c r="AU2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7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7">
        <f>IF(ISERROR(PV_DATA[[#This Row],[New Ark PO status]]),"",_xlfn.XLOOKUP(PV_DATA[[#This Row],[SPTN-PVHK New Ark PO'#]],New_Ark_Data[Purchase order Number],New_Ark_Data[Estimated time of arrival],"",0))</f>
        <v>46146</v>
      </c>
      <c r="AZ25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7">
        <f>IFERROR(PV_DATA[[#This Row],[ODP ETA Port]]+PV_DATA[[#This Row],[Customs/Leg3 Assumption]],"n/a")</f>
        <v>46141</v>
      </c>
      <c r="BB253" s="433">
        <f>YEAR(PV_DATA[[#This Row],[ETA for New Ark update]])</f>
        <v>2026</v>
      </c>
      <c r="BC253" s="430">
        <f>MONTH(PV_DATA[[#This Row],[ETA for New Ark update]])</f>
        <v>4</v>
      </c>
      <c r="BD253" s="430">
        <f>IFERROR(_xlfn.ISOWEEKNUM(PV_DATA[[#This Row],[ETA for New Ark update]]),0)</f>
        <v>18</v>
      </c>
      <c r="BE253" s="431">
        <f>_xlfn.XLOOKUP(PV_DATA[[#This Row],[New Ark SKU]],Table9[New Ark SKU],Table9[Total PCS per Pallet],,0)</f>
        <v>36</v>
      </c>
      <c r="BF253" s="431">
        <f>_xlfn.XLOOKUP(PV_DATA[[#This Row],[New Ark SKU]],Table9[New Ark SKU],Table9[Total PCS per 40HQ Container],,0)</f>
        <v>936</v>
      </c>
      <c r="BG253" s="431" t="str">
        <f>_xlfn.XLOOKUP(PV_DATA[[#This Row],[New Ark SKU]],Table9[New Ark SKU],Table9[Back Glass],,0)</f>
        <v>Black glazing</v>
      </c>
      <c r="BH253" s="431" t="str">
        <f>_xlfn.XLOOKUP(PV_DATA[[#This Row],[PORT DESTINATION]],Table12[PORT DESTINATION],Table12[Cosco Line],,0)</f>
        <v>AEU</v>
      </c>
      <c r="BJ253" s="430"/>
    </row>
    <row r="254" spans="1:62" ht="10.5">
      <c r="A254" s="462" t="s">
        <v>1285</v>
      </c>
      <c r="B254" s="462" t="s">
        <v>61</v>
      </c>
      <c r="C254" s="462" t="str">
        <f>IFERROR(LEFT(PV_DATA[[#This Row],[TCL REFERENCE]],FIND(".",PV_DATA[[#This Row],[TCL REFERENCE]],1)-1),"Main Line")</f>
        <v>26Feb020</v>
      </c>
      <c r="D254" s="462" t="s">
        <v>63</v>
      </c>
      <c r="E254" s="462" t="s">
        <v>64</v>
      </c>
      <c r="F254" s="462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2" t="s">
        <v>402</v>
      </c>
      <c r="H254" s="462" t="s">
        <v>451</v>
      </c>
      <c r="I254" s="439" t="s">
        <v>689</v>
      </c>
      <c r="J254" s="430" t="s">
        <v>1287</v>
      </c>
      <c r="K254" s="430"/>
      <c r="L254" s="430"/>
      <c r="M254" s="430" t="s">
        <v>68</v>
      </c>
      <c r="N254" s="432">
        <v>46048</v>
      </c>
      <c r="O254" s="430" t="s">
        <v>70</v>
      </c>
      <c r="P254" s="430" t="s">
        <v>1151</v>
      </c>
      <c r="Q254" s="430" t="s">
        <v>421</v>
      </c>
      <c r="R254" s="431" t="str">
        <f>_xlfn.XLOOKUP(PV_DATA[[#This Row],[New Ark SKU]],Table9[New Ark SKU],Table9[Connector],,0)</f>
        <v>EVO2A</v>
      </c>
      <c r="S254" s="442" t="str">
        <f>_xlfn.XLOOKUP(PV_DATA[[#This Row],[New Ark SKU]],Table9[New Ark SKU],Table9[Cable],,0)</f>
        <v>±1200mm</v>
      </c>
      <c r="T254" s="433">
        <v>505</v>
      </c>
      <c r="U254" s="1088">
        <f>864*1</f>
        <v>864</v>
      </c>
      <c r="V254" s="434">
        <f>PV_DATA[[#This Row],[QUANTITY]]*PV_DATA[[#This Row],[WATT]]/1000000</f>
        <v>0.43631999999999999</v>
      </c>
      <c r="W254" s="435">
        <f>PV_DATA[[#This Row],[QUANTITY]]/PV_DATA[[#This Row],[Qty/Pallet]]</f>
        <v>24</v>
      </c>
      <c r="X254" s="1040">
        <f>PV_DATA[[#This Row],[QUANTITY]]/PV_DATA[[#This Row],[Qty/CT]]</f>
        <v>1</v>
      </c>
      <c r="Y254" s="430" t="s">
        <v>75</v>
      </c>
      <c r="Z254" s="430" t="str">
        <f t="shared" si="1"/>
        <v>COMPLETED</v>
      </c>
      <c r="AA254" s="430"/>
      <c r="AB254" s="437">
        <v>46082</v>
      </c>
      <c r="AC254" s="438">
        <f>IF(PV_DATA[[#This Row],[Pick- Up Date]]&lt;&gt;"",_xlfn.ISOWEEKNUM(PV_DATA[[#This Row],[Pick- Up Date]]),"")</f>
        <v>9</v>
      </c>
      <c r="AD254" s="439" t="s">
        <v>1288</v>
      </c>
      <c r="AE254" s="430"/>
      <c r="AF254" s="430" t="s">
        <v>77</v>
      </c>
      <c r="AG254" s="430" t="s">
        <v>61</v>
      </c>
      <c r="AH254" s="430" t="s">
        <v>456</v>
      </c>
      <c r="AI254" s="437">
        <v>46088</v>
      </c>
      <c r="AJ254" s="437">
        <v>46088</v>
      </c>
      <c r="AK254" s="441">
        <v>46088</v>
      </c>
      <c r="AL254" s="437">
        <v>46138</v>
      </c>
      <c r="AM254" s="437">
        <v>46160</v>
      </c>
      <c r="AN254" s="437">
        <v>46160</v>
      </c>
      <c r="AO254" s="430" t="s">
        <v>402</v>
      </c>
      <c r="AP254" s="430" t="s">
        <v>889</v>
      </c>
      <c r="AQ254" s="430" t="s">
        <v>80</v>
      </c>
      <c r="AR254" s="430" t="s">
        <v>1289</v>
      </c>
      <c r="AS254" s="430" t="s">
        <v>1290</v>
      </c>
      <c r="AT254" s="482" t="s">
        <v>1290</v>
      </c>
      <c r="AU2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7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7">
        <f>IF(ISERROR(PV_DATA[[#This Row],[New Ark PO status]]),"",_xlfn.XLOOKUP(PV_DATA[[#This Row],[SPTN-PVHK New Ark PO'#]],New_Ark_Data[Purchase order Number],New_Ark_Data[Estimated time of arrival],"",0))</f>
        <v>46174</v>
      </c>
      <c r="AZ25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7">
        <f>IFERROR(PV_DATA[[#This Row],[ODP ETA Port]]+PV_DATA[[#This Row],[Customs/Leg3 Assumption]],"n/a")</f>
        <v>46167</v>
      </c>
      <c r="BB254" s="433">
        <f>YEAR(PV_DATA[[#This Row],[ETA for New Ark update]])</f>
        <v>2026</v>
      </c>
      <c r="BC254" s="430">
        <f>MONTH(PV_DATA[[#This Row],[ETA for New Ark update]])</f>
        <v>5</v>
      </c>
      <c r="BD254" s="430">
        <f>IFERROR(_xlfn.ISOWEEKNUM(PV_DATA[[#This Row],[ETA for New Ark update]]),0)</f>
        <v>22</v>
      </c>
      <c r="BE254" s="431">
        <f>_xlfn.XLOOKUP(PV_DATA[[#This Row],[New Ark SKU]],Table9[New Ark SKU],Table9[Total PCS per Pallet],,0)</f>
        <v>36</v>
      </c>
      <c r="BF254" s="431">
        <f>_xlfn.XLOOKUP(PV_DATA[[#This Row],[New Ark SKU]],Table9[New Ark SKU],Table9[Total PCS per 40HQ Container],,0)</f>
        <v>864</v>
      </c>
      <c r="BG254" s="431" t="str">
        <f>_xlfn.XLOOKUP(PV_DATA[[#This Row],[New Ark SKU]],Table9[New Ark SKU],Table9[Back Glass],,0)</f>
        <v>Black glazing</v>
      </c>
      <c r="BH254" s="431" t="str">
        <f>_xlfn.XLOOKUP(PV_DATA[[#This Row],[PORT DESTINATION]],Table12[PORT DESTINATION],Table12[Cosco Line],,0)</f>
        <v>AEU</v>
      </c>
      <c r="BJ254" s="430"/>
    </row>
    <row r="255" spans="1:62" ht="10.5">
      <c r="A255" s="462" t="s">
        <v>1291</v>
      </c>
      <c r="B255" s="462" t="s">
        <v>61</v>
      </c>
      <c r="C255" s="462" t="str">
        <f>IFERROR(LEFT(PV_DATA[[#This Row],[TCL REFERENCE]],FIND(".",PV_DATA[[#This Row],[TCL REFERENCE]],1)-1),"Main Line")</f>
        <v>26Feb020</v>
      </c>
      <c r="D255" s="462" t="s">
        <v>63</v>
      </c>
      <c r="E255" s="462" t="s">
        <v>64</v>
      </c>
      <c r="F255" s="462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2" t="s">
        <v>402</v>
      </c>
      <c r="H255" s="462" t="s">
        <v>451</v>
      </c>
      <c r="I255" s="439" t="s">
        <v>689</v>
      </c>
      <c r="J255" s="430" t="s">
        <v>1292</v>
      </c>
      <c r="K255" s="430"/>
      <c r="L255" s="430"/>
      <c r="M255" s="430" t="s">
        <v>68</v>
      </c>
      <c r="N255" s="432">
        <v>46048</v>
      </c>
      <c r="O255" s="430" t="s">
        <v>70</v>
      </c>
      <c r="P255" s="430" t="s">
        <v>1151</v>
      </c>
      <c r="Q255" s="430" t="s">
        <v>421</v>
      </c>
      <c r="R255" s="431" t="str">
        <f>_xlfn.XLOOKUP(PV_DATA[[#This Row],[New Ark SKU]],Table9[New Ark SKU],Table9[Connector],,0)</f>
        <v>EVO2A</v>
      </c>
      <c r="S255" s="442" t="str">
        <f>_xlfn.XLOOKUP(PV_DATA[[#This Row],[New Ark SKU]],Table9[New Ark SKU],Table9[Cable],,0)</f>
        <v>±1200mm</v>
      </c>
      <c r="T255" s="433">
        <v>505</v>
      </c>
      <c r="U255" s="1088">
        <f>864*2</f>
        <v>1728</v>
      </c>
      <c r="V255" s="434">
        <f>PV_DATA[[#This Row],[QUANTITY]]*PV_DATA[[#This Row],[WATT]]/1000000</f>
        <v>0.87263999999999997</v>
      </c>
      <c r="W255" s="435">
        <f>PV_DATA[[#This Row],[QUANTITY]]/PV_DATA[[#This Row],[Qty/Pallet]]</f>
        <v>48</v>
      </c>
      <c r="X255" s="1040">
        <f>PV_DATA[[#This Row],[QUANTITY]]/PV_DATA[[#This Row],[Qty/CT]]</f>
        <v>2</v>
      </c>
      <c r="Y255" s="430" t="s">
        <v>75</v>
      </c>
      <c r="Z255" s="430" t="str">
        <f t="shared" si="1"/>
        <v>COMPLETED</v>
      </c>
      <c r="AA255" s="430"/>
      <c r="AB255" s="437">
        <v>46082</v>
      </c>
      <c r="AC255" s="438">
        <f>IF(PV_DATA[[#This Row],[Pick- Up Date]]&lt;&gt;"",_xlfn.ISOWEEKNUM(PV_DATA[[#This Row],[Pick- Up Date]]),"")</f>
        <v>9</v>
      </c>
      <c r="AD255" s="439" t="s">
        <v>1293</v>
      </c>
      <c r="AE255" s="430"/>
      <c r="AF255" s="430" t="s">
        <v>77</v>
      </c>
      <c r="AG255" s="430" t="s">
        <v>61</v>
      </c>
      <c r="AH255" s="430" t="s">
        <v>456</v>
      </c>
      <c r="AI255" s="437">
        <v>46088</v>
      </c>
      <c r="AJ255" s="437">
        <v>46088</v>
      </c>
      <c r="AK255" s="441">
        <v>46088</v>
      </c>
      <c r="AL255" s="437">
        <v>46138</v>
      </c>
      <c r="AM255" s="437">
        <v>46160</v>
      </c>
      <c r="AN255" s="437">
        <v>46160</v>
      </c>
      <c r="AO255" s="430" t="s">
        <v>402</v>
      </c>
      <c r="AP255" s="430" t="s">
        <v>889</v>
      </c>
      <c r="AQ255" s="430" t="s">
        <v>80</v>
      </c>
      <c r="AR255" s="430" t="s">
        <v>1289</v>
      </c>
      <c r="AS255" s="430" t="s">
        <v>1290</v>
      </c>
      <c r="AT255" s="482" t="s">
        <v>1290</v>
      </c>
      <c r="AU2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7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7">
        <f>IF(ISERROR(PV_DATA[[#This Row],[New Ark PO status]]),"",_xlfn.XLOOKUP(PV_DATA[[#This Row],[SPTN-PVHK New Ark PO'#]],New_Ark_Data[Purchase order Number],New_Ark_Data[Estimated time of arrival],"",0))</f>
        <v>46174</v>
      </c>
      <c r="AZ25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7">
        <f>IFERROR(PV_DATA[[#This Row],[ODP ETA Port]]+PV_DATA[[#This Row],[Customs/Leg3 Assumption]],"n/a")</f>
        <v>46167</v>
      </c>
      <c r="BB255" s="433">
        <f>YEAR(PV_DATA[[#This Row],[ETA for New Ark update]])</f>
        <v>2026</v>
      </c>
      <c r="BC255" s="430">
        <f>MONTH(PV_DATA[[#This Row],[ETA for New Ark update]])</f>
        <v>5</v>
      </c>
      <c r="BD255" s="430">
        <f>IFERROR(_xlfn.ISOWEEKNUM(PV_DATA[[#This Row],[ETA for New Ark update]]),0)</f>
        <v>22</v>
      </c>
      <c r="BE255" s="431">
        <f>_xlfn.XLOOKUP(PV_DATA[[#This Row],[New Ark SKU]],Table9[New Ark SKU],Table9[Total PCS per Pallet],,0)</f>
        <v>36</v>
      </c>
      <c r="BF255" s="431">
        <f>_xlfn.XLOOKUP(PV_DATA[[#This Row],[New Ark SKU]],Table9[New Ark SKU],Table9[Total PCS per 40HQ Container],,0)</f>
        <v>864</v>
      </c>
      <c r="BG255" s="431" t="str">
        <f>_xlfn.XLOOKUP(PV_DATA[[#This Row],[New Ark SKU]],Table9[New Ark SKU],Table9[Back Glass],,0)</f>
        <v>Black glazing</v>
      </c>
      <c r="BH255" s="431" t="str">
        <f>_xlfn.XLOOKUP(PV_DATA[[#This Row],[PORT DESTINATION]],Table12[PORT DESTINATION],Table12[Cosco Line],,0)</f>
        <v>AEU</v>
      </c>
      <c r="BJ255" s="430"/>
    </row>
    <row r="256" spans="1:62" ht="10.5">
      <c r="A256" s="462" t="s">
        <v>1294</v>
      </c>
      <c r="B256" s="462" t="s">
        <v>61</v>
      </c>
      <c r="C256" s="462" t="str">
        <f>IFERROR(LEFT(PV_DATA[[#This Row],[TCL REFERENCE]],FIND(".",PV_DATA[[#This Row],[TCL REFERENCE]],1)-1),"Main Line")</f>
        <v>26JAN005</v>
      </c>
      <c r="D256" s="462" t="s">
        <v>63</v>
      </c>
      <c r="E256" s="462" t="s">
        <v>64</v>
      </c>
      <c r="F256" s="462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2" t="s">
        <v>402</v>
      </c>
      <c r="H256" s="462" t="s">
        <v>451</v>
      </c>
      <c r="I256" s="439" t="s">
        <v>689</v>
      </c>
      <c r="J256" s="430" t="s">
        <v>1287</v>
      </c>
      <c r="K256" s="430"/>
      <c r="L256" s="430"/>
      <c r="M256" s="430" t="s">
        <v>68</v>
      </c>
      <c r="N256" s="432">
        <v>46048</v>
      </c>
      <c r="O256" s="430" t="s">
        <v>70</v>
      </c>
      <c r="P256" s="430" t="s">
        <v>1151</v>
      </c>
      <c r="Q256" s="430" t="s">
        <v>421</v>
      </c>
      <c r="R256" s="431" t="str">
        <f>_xlfn.XLOOKUP(PV_DATA[[#This Row],[New Ark SKU]],Table9[New Ark SKU],Table9[Connector],,0)</f>
        <v>EVO2A</v>
      </c>
      <c r="S256" s="442" t="str">
        <f>_xlfn.XLOOKUP(PV_DATA[[#This Row],[New Ark SKU]],Table9[New Ark SKU],Table9[Cable],,0)</f>
        <v>±1200mm</v>
      </c>
      <c r="T256" s="433">
        <v>505</v>
      </c>
      <c r="U256" s="1088">
        <f>864*2</f>
        <v>1728</v>
      </c>
      <c r="V256" s="434">
        <f>PV_DATA[[#This Row],[QUANTITY]]*PV_DATA[[#This Row],[WATT]]/1000000</f>
        <v>0.87263999999999997</v>
      </c>
      <c r="W256" s="435">
        <f>PV_DATA[[#This Row],[QUANTITY]]/PV_DATA[[#This Row],[Qty/Pallet]]</f>
        <v>48</v>
      </c>
      <c r="X256" s="1040">
        <f>PV_DATA[[#This Row],[QUANTITY]]/PV_DATA[[#This Row],[Qty/CT]]</f>
        <v>2</v>
      </c>
      <c r="Y256" s="430" t="s">
        <v>75</v>
      </c>
      <c r="Z256" s="430" t="str">
        <f t="shared" si="1"/>
        <v>COMPLETED</v>
      </c>
      <c r="AA256" s="430"/>
      <c r="AB256" s="437">
        <v>46082</v>
      </c>
      <c r="AC256" s="438">
        <f>IF(PV_DATA[[#This Row],[Pick- Up Date]]&lt;&gt;"",_xlfn.ISOWEEKNUM(PV_DATA[[#This Row],[Pick- Up Date]]),"")</f>
        <v>9</v>
      </c>
      <c r="AD256" s="439" t="s">
        <v>1295</v>
      </c>
      <c r="AE256" s="430"/>
      <c r="AF256" s="430" t="s">
        <v>77</v>
      </c>
      <c r="AG256" s="430" t="s">
        <v>61</v>
      </c>
      <c r="AH256" s="430" t="s">
        <v>456</v>
      </c>
      <c r="AI256" s="437">
        <v>46088</v>
      </c>
      <c r="AJ256" s="437">
        <v>46088</v>
      </c>
      <c r="AK256" s="441">
        <v>46088</v>
      </c>
      <c r="AL256" s="437">
        <v>46138</v>
      </c>
      <c r="AM256" s="437">
        <v>46160</v>
      </c>
      <c r="AN256" s="437">
        <v>46160</v>
      </c>
      <c r="AO256" s="430" t="s">
        <v>402</v>
      </c>
      <c r="AP256" s="430" t="s">
        <v>1296</v>
      </c>
      <c r="AQ256" s="430" t="s">
        <v>80</v>
      </c>
      <c r="AR256" s="430" t="s">
        <v>1289</v>
      </c>
      <c r="AS256" s="430" t="s">
        <v>1290</v>
      </c>
      <c r="AT256" s="482" t="s">
        <v>1290</v>
      </c>
      <c r="AU2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7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7">
        <f>IF(ISERROR(PV_DATA[[#This Row],[New Ark PO status]]),"",_xlfn.XLOOKUP(PV_DATA[[#This Row],[SPTN-PVHK New Ark PO'#]],New_Ark_Data[Purchase order Number],New_Ark_Data[Estimated time of arrival],"",0))</f>
        <v>46174</v>
      </c>
      <c r="AZ25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7">
        <f>IFERROR(PV_DATA[[#This Row],[ODP ETA Port]]+PV_DATA[[#This Row],[Customs/Leg3 Assumption]],"n/a")</f>
        <v>46167</v>
      </c>
      <c r="BB256" s="433">
        <f>YEAR(PV_DATA[[#This Row],[ETA for New Ark update]])</f>
        <v>2026</v>
      </c>
      <c r="BC256" s="430">
        <f>MONTH(PV_DATA[[#This Row],[ETA for New Ark update]])</f>
        <v>5</v>
      </c>
      <c r="BD256" s="430">
        <f>IFERROR(_xlfn.ISOWEEKNUM(PV_DATA[[#This Row],[ETA for New Ark update]]),0)</f>
        <v>22</v>
      </c>
      <c r="BE256" s="431">
        <f>_xlfn.XLOOKUP(PV_DATA[[#This Row],[New Ark SKU]],Table9[New Ark SKU],Table9[Total PCS per Pallet],,0)</f>
        <v>36</v>
      </c>
      <c r="BF256" s="431">
        <f>_xlfn.XLOOKUP(PV_DATA[[#This Row],[New Ark SKU]],Table9[New Ark SKU],Table9[Total PCS per 40HQ Container],,0)</f>
        <v>864</v>
      </c>
      <c r="BG256" s="431" t="str">
        <f>_xlfn.XLOOKUP(PV_DATA[[#This Row],[New Ark SKU]],Table9[New Ark SKU],Table9[Back Glass],,0)</f>
        <v>Black glazing</v>
      </c>
      <c r="BH256" s="431" t="str">
        <f>_xlfn.XLOOKUP(PV_DATA[[#This Row],[PORT DESTINATION]],Table12[PORT DESTINATION],Table12[Cosco Line],,0)</f>
        <v>AEU</v>
      </c>
      <c r="BJ256" s="430"/>
    </row>
    <row r="257" spans="1:62" ht="10.5">
      <c r="A257" s="462" t="s">
        <v>1297</v>
      </c>
      <c r="B257" s="462" t="s">
        <v>111</v>
      </c>
      <c r="C257" s="462" t="str">
        <f>IFERROR(LEFT(PV_DATA[[#This Row],[TCL REFERENCE]],FIND(".",PV_DATA[[#This Row],[TCL REFERENCE]],1)-1),"Main Line")</f>
        <v>Main Line</v>
      </c>
      <c r="D257" s="462" t="s">
        <v>63</v>
      </c>
      <c r="E257" s="462" t="s">
        <v>144</v>
      </c>
      <c r="F257" s="462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2" t="s">
        <v>402</v>
      </c>
      <c r="H257" s="462" t="s">
        <v>1029</v>
      </c>
      <c r="I257" s="439" t="s">
        <v>689</v>
      </c>
      <c r="J257" s="430" t="s">
        <v>1030</v>
      </c>
      <c r="K257" s="430" t="s">
        <v>1298</v>
      </c>
      <c r="L257" s="430"/>
      <c r="M257" s="430" t="s">
        <v>840</v>
      </c>
      <c r="N257" s="432">
        <v>46045</v>
      </c>
      <c r="O257" s="430" t="s">
        <v>713</v>
      </c>
      <c r="P257" s="430" t="s">
        <v>1299</v>
      </c>
      <c r="Q257" s="430" t="s">
        <v>1300</v>
      </c>
      <c r="R257" s="431" t="str">
        <f>_xlfn.XLOOKUP(PV_DATA[[#This Row],[New Ark SKU]],Table9[New Ark SKU],Table9[Connector],,0)</f>
        <v>EVO2A</v>
      </c>
      <c r="S257" s="442" t="str">
        <f>_xlfn.XLOOKUP(PV_DATA[[#This Row],[New Ark SKU]],Table9[New Ark SKU],Table9[Cable],,0)</f>
        <v>±1200mm</v>
      </c>
      <c r="T257" s="433">
        <v>720</v>
      </c>
      <c r="U257" s="1088">
        <v>1782</v>
      </c>
      <c r="V257" s="434">
        <f>PV_DATA[[#This Row],[QUANTITY]]*PV_DATA[[#This Row],[WATT]]/1000000</f>
        <v>1.28304</v>
      </c>
      <c r="W257" s="435">
        <f>PV_DATA[[#This Row],[QUANTITY]]/PV_DATA[[#This Row],[Qty/Pallet]]</f>
        <v>54</v>
      </c>
      <c r="X257" s="1040">
        <f>PV_DATA[[#This Row],[QUANTITY]]/PV_DATA[[#This Row],[Qty/CT]]</f>
        <v>3</v>
      </c>
      <c r="Y257" s="430" t="s">
        <v>75</v>
      </c>
      <c r="Z257" s="430" t="str">
        <f t="shared" si="1"/>
        <v>COMPLETED</v>
      </c>
      <c r="AA257" s="430"/>
      <c r="AB257" s="437">
        <v>46084</v>
      </c>
      <c r="AC257" s="438">
        <f>IF(PV_DATA[[#This Row],[Pick- Up Date]]&lt;&gt;"",_xlfn.ISOWEEKNUM(PV_DATA[[#This Row],[Pick- Up Date]]),"")</f>
        <v>10</v>
      </c>
      <c r="AD257" s="439" t="s">
        <v>1301</v>
      </c>
      <c r="AE257" s="430"/>
      <c r="AF257" s="430" t="s">
        <v>122</v>
      </c>
      <c r="AG257" s="430" t="s">
        <v>123</v>
      </c>
      <c r="AH257" s="430" t="s">
        <v>888</v>
      </c>
      <c r="AI257" s="437">
        <v>46091</v>
      </c>
      <c r="AJ257" s="437">
        <v>46090</v>
      </c>
      <c r="AK257" s="441">
        <v>46090</v>
      </c>
      <c r="AL257" s="437">
        <v>46141</v>
      </c>
      <c r="AM257" s="437">
        <v>46140</v>
      </c>
      <c r="AN257" s="437">
        <v>46140</v>
      </c>
      <c r="AO257" s="430" t="s">
        <v>402</v>
      </c>
      <c r="AP257" s="430" t="s">
        <v>1302</v>
      </c>
      <c r="AQ257" s="430" t="s">
        <v>80</v>
      </c>
      <c r="AR257" s="430" t="s">
        <v>1303</v>
      </c>
      <c r="AS257" s="430" t="s">
        <v>1304</v>
      </c>
      <c r="AT257" s="482" t="s">
        <v>1304</v>
      </c>
      <c r="AU2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7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7">
        <f>IF(ISERROR(PV_DATA[[#This Row],[New Ark PO status]]),"",_xlfn.XLOOKUP(PV_DATA[[#This Row],[SPTN-PVHK New Ark PO'#]],New_Ark_Data[Purchase order Number],New_Ark_Data[Estimated time of arrival],"",0))</f>
        <v>46155</v>
      </c>
      <c r="AZ25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7">
        <f>IFERROR(PV_DATA[[#This Row],[ODP ETA Port]]+PV_DATA[[#This Row],[Customs/Leg3 Assumption]],"n/a")</f>
        <v>46140</v>
      </c>
      <c r="BB257" s="433">
        <f>YEAR(PV_DATA[[#This Row],[ETA for New Ark update]])</f>
        <v>2026</v>
      </c>
      <c r="BC257" s="430">
        <f>MONTH(PV_DATA[[#This Row],[ETA for New Ark update]])</f>
        <v>4</v>
      </c>
      <c r="BD257" s="430">
        <f>IFERROR(_xlfn.ISOWEEKNUM(PV_DATA[[#This Row],[ETA for New Ark update]]),0)</f>
        <v>18</v>
      </c>
      <c r="BE257" s="431">
        <f>_xlfn.XLOOKUP(PV_DATA[[#This Row],[New Ark SKU]],Table9[New Ark SKU],Table9[Total PCS per Pallet],,0)</f>
        <v>33</v>
      </c>
      <c r="BF257" s="431">
        <f>_xlfn.XLOOKUP(PV_DATA[[#This Row],[New Ark SKU]],Table9[New Ark SKU],Table9[Total PCS per 40HQ Container],,0)</f>
        <v>594</v>
      </c>
      <c r="BG257" s="431" t="str">
        <f>_xlfn.XLOOKUP(PV_DATA[[#This Row],[New Ark SKU]],Table9[New Ark SKU],Table9[Back Glass],,0)</f>
        <v>White glazing</v>
      </c>
      <c r="BH257" s="431" t="str">
        <f>_xlfn.XLOOKUP(PV_DATA[[#This Row],[PORT DESTINATION]],Table12[PORT DESTINATION],Table12[Cosco Line],,0)</f>
        <v>AEU</v>
      </c>
      <c r="BJ257" s="430"/>
    </row>
    <row r="258" spans="1:62" ht="10.5">
      <c r="A258" s="462" t="s">
        <v>1305</v>
      </c>
      <c r="B258" s="462" t="s">
        <v>111</v>
      </c>
      <c r="C258" s="462" t="str">
        <f>IFERROR(LEFT(PV_DATA[[#This Row],[TCL REFERENCE]],FIND(".",PV_DATA[[#This Row],[TCL REFERENCE]],1)-1),"Main Line")</f>
        <v>26Feb026</v>
      </c>
      <c r="D258" s="462" t="s">
        <v>63</v>
      </c>
      <c r="E258" s="462" t="s">
        <v>64</v>
      </c>
      <c r="F258" s="462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2" t="s">
        <v>402</v>
      </c>
      <c r="H258" s="462" t="s">
        <v>67</v>
      </c>
      <c r="I258" s="439" t="s">
        <v>822</v>
      </c>
      <c r="J258" s="430" t="s">
        <v>1047</v>
      </c>
      <c r="K258" s="430"/>
      <c r="L258" s="430"/>
      <c r="M258" s="430" t="s">
        <v>68</v>
      </c>
      <c r="N258" s="432">
        <v>46069</v>
      </c>
      <c r="O258" s="430" t="s">
        <v>70</v>
      </c>
      <c r="P258" s="430" t="s">
        <v>1002</v>
      </c>
      <c r="Q258" s="430" t="s">
        <v>330</v>
      </c>
      <c r="R258" s="431" t="str">
        <f>_xlfn.XLOOKUP(PV_DATA[[#This Row],[New Ark SKU]],Table9[New Ark SKU],Table9[Connector],,0)</f>
        <v>EVO2A</v>
      </c>
      <c r="S258" s="442" t="str">
        <f>_xlfn.XLOOKUP(PV_DATA[[#This Row],[New Ark SKU]],Table9[New Ark SKU],Table9[Cable],,0)</f>
        <v>±1400mm</v>
      </c>
      <c r="T258" s="433">
        <v>625</v>
      </c>
      <c r="U258" s="1088">
        <v>7920</v>
      </c>
      <c r="V258" s="434">
        <f>PV_DATA[[#This Row],[QUANTITY]]*PV_DATA[[#This Row],[WATT]]/1000000</f>
        <v>4.95</v>
      </c>
      <c r="W258" s="435">
        <f>PV_DATA[[#This Row],[QUANTITY]]/PV_DATA[[#This Row],[Qty/Pallet]]</f>
        <v>220</v>
      </c>
      <c r="X258" s="1040">
        <f>PV_DATA[[#This Row],[QUANTITY]]/PV_DATA[[#This Row],[Qty/CT]]</f>
        <v>11</v>
      </c>
      <c r="Y258" s="430" t="s">
        <v>75</v>
      </c>
      <c r="Z258" s="430" t="str">
        <f t="shared" si="1"/>
        <v>COMPLETED</v>
      </c>
      <c r="AA258" s="430"/>
      <c r="AB258" s="437">
        <v>46083</v>
      </c>
      <c r="AC258" s="438">
        <f>IF(PV_DATA[[#This Row],[Pick- Up Date]]&lt;&gt;"",_xlfn.ISOWEEKNUM(PV_DATA[[#This Row],[Pick- Up Date]]),"")</f>
        <v>10</v>
      </c>
      <c r="AD258" s="439" t="s">
        <v>1306</v>
      </c>
      <c r="AE258" s="430"/>
      <c r="AF258" s="430" t="s">
        <v>122</v>
      </c>
      <c r="AG258" s="430" t="s">
        <v>123</v>
      </c>
      <c r="AH258" s="430" t="s">
        <v>105</v>
      </c>
      <c r="AI258" s="437">
        <v>46091</v>
      </c>
      <c r="AJ258" s="437">
        <v>46096</v>
      </c>
      <c r="AK258" s="441">
        <v>46096</v>
      </c>
      <c r="AL258" s="437">
        <v>46126</v>
      </c>
      <c r="AM258" s="437">
        <v>46142</v>
      </c>
      <c r="AN258" s="437">
        <v>46141</v>
      </c>
      <c r="AO258" s="430" t="s">
        <v>402</v>
      </c>
      <c r="AP258" s="430" t="s">
        <v>872</v>
      </c>
      <c r="AQ258" s="430" t="s">
        <v>80</v>
      </c>
      <c r="AR258" s="430" t="s">
        <v>1307</v>
      </c>
      <c r="AS258" s="430" t="s">
        <v>1308</v>
      </c>
      <c r="AT258" s="482" t="s">
        <v>1308</v>
      </c>
      <c r="AU2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7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7">
        <f>IF(ISERROR(PV_DATA[[#This Row],[New Ark PO status]]),"",_xlfn.XLOOKUP(PV_DATA[[#This Row],[SPTN-PVHK New Ark PO'#]],New_Ark_Data[Purchase order Number],New_Ark_Data[Estimated time of arrival],"",0))</f>
        <v>46163</v>
      </c>
      <c r="AZ25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7">
        <f>IFERROR(PV_DATA[[#This Row],[ODP ETA Port]]+PV_DATA[[#This Row],[Customs/Leg3 Assumption]],"n/a")</f>
        <v>46148</v>
      </c>
      <c r="BB258" s="433">
        <f>YEAR(PV_DATA[[#This Row],[ETA for New Ark update]])</f>
        <v>2026</v>
      </c>
      <c r="BC258" s="430">
        <f>MONTH(PV_DATA[[#This Row],[ETA for New Ark update]])</f>
        <v>5</v>
      </c>
      <c r="BD258" s="430">
        <f>IFERROR(_xlfn.ISOWEEKNUM(PV_DATA[[#This Row],[ETA for New Ark update]]),0)</f>
        <v>19</v>
      </c>
      <c r="BE258" s="431">
        <f>_xlfn.XLOOKUP(PV_DATA[[#This Row],[New Ark SKU]],Table9[New Ark SKU],Table9[Total PCS per Pallet],,0)</f>
        <v>36</v>
      </c>
      <c r="BF258" s="431">
        <f>_xlfn.XLOOKUP(PV_DATA[[#This Row],[New Ark SKU]],Table9[New Ark SKU],Table9[Total PCS per 40HQ Container],,0)</f>
        <v>720</v>
      </c>
      <c r="BG258" s="431" t="str">
        <f>_xlfn.XLOOKUP(PV_DATA[[#This Row],[New Ark SKU]],Table9[New Ark SKU],Table9[Back Glass],,0)</f>
        <v>Redirection Film</v>
      </c>
      <c r="BH258" s="431" t="str">
        <f>_xlfn.XLOOKUP(PV_DATA[[#This Row],[PORT DESTINATION]],Table12[PORT DESTINATION],Table12[Cosco Line],,0)</f>
        <v>AEU</v>
      </c>
      <c r="BJ258" s="430"/>
    </row>
    <row r="259" spans="1:62" ht="10.5">
      <c r="A259" s="462" t="s">
        <v>1309</v>
      </c>
      <c r="B259" s="462" t="s">
        <v>111</v>
      </c>
      <c r="C259" s="462" t="str">
        <f>IFERROR(LEFT(PV_DATA[[#This Row],[TCL REFERENCE]],FIND(".",PV_DATA[[#This Row],[TCL REFERENCE]],1)-1),"Main Line")</f>
        <v>26Feb007</v>
      </c>
      <c r="D259" s="462" t="s">
        <v>63</v>
      </c>
      <c r="E259" s="462" t="s">
        <v>64</v>
      </c>
      <c r="F259" s="462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2" t="s">
        <v>402</v>
      </c>
      <c r="H259" s="462" t="s">
        <v>67</v>
      </c>
      <c r="I259" s="439" t="s">
        <v>689</v>
      </c>
      <c r="J259" s="430" t="s">
        <v>483</v>
      </c>
      <c r="K259" s="430"/>
      <c r="L259" s="430"/>
      <c r="M259" s="430" t="s">
        <v>68</v>
      </c>
      <c r="N259" s="432">
        <v>46083</v>
      </c>
      <c r="O259" s="430" t="s">
        <v>473</v>
      </c>
      <c r="P259" s="430" t="s">
        <v>529</v>
      </c>
      <c r="Q259" s="430" t="s">
        <v>1311</v>
      </c>
      <c r="R259" s="431" t="str">
        <f>_xlfn.XLOOKUP(PV_DATA[[#This Row],[New Ark SKU]],Table9[New Ark SKU],Table9[Connector],,0)</f>
        <v>EVO2A</v>
      </c>
      <c r="S259" s="442" t="str">
        <f>_xlfn.XLOOKUP(PV_DATA[[#This Row],[New Ark SKU]],Table9[New Ark SKU],Table9[Cable],,0)</f>
        <v>±1200mm</v>
      </c>
      <c r="T259" s="433">
        <v>455</v>
      </c>
      <c r="U259" s="1088">
        <v>3456</v>
      </c>
      <c r="V259" s="434">
        <f>PV_DATA[[#This Row],[QUANTITY]]*PV_DATA[[#This Row],[WATT]]/1000000</f>
        <v>1.5724800000000001</v>
      </c>
      <c r="W259" s="435">
        <f>PV_DATA[[#This Row],[QUANTITY]]/PV_DATA[[#This Row],[Qty/Pallet]]</f>
        <v>96</v>
      </c>
      <c r="X259" s="1040">
        <f>PV_DATA[[#This Row],[QUANTITY]]/PV_DATA[[#This Row],[Qty/CT]]</f>
        <v>4</v>
      </c>
      <c r="Y259" s="430" t="s">
        <v>75</v>
      </c>
      <c r="Z259" s="430" t="str">
        <f t="shared" si="1"/>
        <v>COMPLETED</v>
      </c>
      <c r="AA259" s="430"/>
      <c r="AB259" s="437">
        <v>46085</v>
      </c>
      <c r="AC259" s="438">
        <f>IF(PV_DATA[[#This Row],[Pick- Up Date]]&lt;&gt;"",_xlfn.ISOWEEKNUM(PV_DATA[[#This Row],[Pick- Up Date]]),"")</f>
        <v>10</v>
      </c>
      <c r="AD259" s="439" t="s">
        <v>1312</v>
      </c>
      <c r="AE259" s="430"/>
      <c r="AF259" s="430" t="s">
        <v>122</v>
      </c>
      <c r="AG259" s="430" t="s">
        <v>123</v>
      </c>
      <c r="AH259" s="430" t="s">
        <v>105</v>
      </c>
      <c r="AI259" s="437">
        <v>46091</v>
      </c>
      <c r="AJ259" s="437">
        <v>46090</v>
      </c>
      <c r="AK259" s="441">
        <v>46090</v>
      </c>
      <c r="AL259" s="437">
        <v>46122</v>
      </c>
      <c r="AM259" s="437">
        <v>46141</v>
      </c>
      <c r="AN259" s="437">
        <v>46137</v>
      </c>
      <c r="AO259" s="430" t="s">
        <v>402</v>
      </c>
      <c r="AP259" s="430" t="s">
        <v>872</v>
      </c>
      <c r="AQ259" s="430" t="s">
        <v>80</v>
      </c>
      <c r="AR259" s="430" t="s">
        <v>1313</v>
      </c>
      <c r="AS259" s="430" t="s">
        <v>1314</v>
      </c>
      <c r="AT259" s="482" t="s">
        <v>1314</v>
      </c>
      <c r="AU2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7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7">
        <f>IF(ISERROR(PV_DATA[[#This Row],[New Ark PO status]]),"",_xlfn.XLOOKUP(PV_DATA[[#This Row],[SPTN-PVHK New Ark PO'#]],New_Ark_Data[Purchase order Number],New_Ark_Data[Estimated time of arrival],"",0))</f>
        <v>46150</v>
      </c>
      <c r="AZ25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7">
        <f>IFERROR(PV_DATA[[#This Row],[ODP ETA Port]]+PV_DATA[[#This Row],[Customs/Leg3 Assumption]],"n/a")</f>
        <v>46144</v>
      </c>
      <c r="BB259" s="433">
        <f>YEAR(PV_DATA[[#This Row],[ETA for New Ark update]])</f>
        <v>2026</v>
      </c>
      <c r="BC259" s="430">
        <f>MONTH(PV_DATA[[#This Row],[ETA for New Ark update]])</f>
        <v>5</v>
      </c>
      <c r="BD259" s="430">
        <f>IFERROR(_xlfn.ISOWEEKNUM(PV_DATA[[#This Row],[ETA for New Ark update]]),0)</f>
        <v>18</v>
      </c>
      <c r="BE259" s="431">
        <f>_xlfn.XLOOKUP(PV_DATA[[#This Row],[New Ark SKU]],Table9[New Ark SKU],Table9[Total PCS per Pallet],,0)</f>
        <v>36</v>
      </c>
      <c r="BF259" s="431">
        <f>_xlfn.XLOOKUP(PV_DATA[[#This Row],[New Ark SKU]],Table9[New Ark SKU],Table9[Total PCS per 40HQ Container],,0)</f>
        <v>864</v>
      </c>
      <c r="BG259" s="431" t="str">
        <f>_xlfn.XLOOKUP(PV_DATA[[#This Row],[New Ark SKU]],Table9[New Ark SKU],Table9[Back Glass],,0)</f>
        <v>Black glazing</v>
      </c>
      <c r="BH259" s="431" t="str">
        <f>_xlfn.XLOOKUP(PV_DATA[[#This Row],[PORT DESTINATION]],Table12[PORT DESTINATION],Table12[Cosco Line],,0)</f>
        <v>AEU</v>
      </c>
      <c r="BJ259" s="430"/>
    </row>
    <row r="260" spans="1:62" ht="10.5">
      <c r="A260" s="462" t="s">
        <v>1315</v>
      </c>
      <c r="B260" s="462" t="s">
        <v>111</v>
      </c>
      <c r="C260" s="462" t="str">
        <f>IFERROR(LEFT(PV_DATA[[#This Row],[TCL REFERENCE]],FIND(".",PV_DATA[[#This Row],[TCL REFERENCE]],1)-1),"Main Line")</f>
        <v>26Feb009</v>
      </c>
      <c r="D260" s="462" t="s">
        <v>63</v>
      </c>
      <c r="E260" s="462" t="s">
        <v>64</v>
      </c>
      <c r="F260" s="462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2" t="s">
        <v>402</v>
      </c>
      <c r="H260" s="462" t="s">
        <v>67</v>
      </c>
      <c r="I260" s="439" t="s">
        <v>689</v>
      </c>
      <c r="J260" s="430" t="s">
        <v>101</v>
      </c>
      <c r="K260" s="430"/>
      <c r="L260" s="430"/>
      <c r="M260" s="430" t="s">
        <v>68</v>
      </c>
      <c r="N260" s="432">
        <v>46069</v>
      </c>
      <c r="O260" s="430" t="s">
        <v>132</v>
      </c>
      <c r="P260" s="430" t="s">
        <v>189</v>
      </c>
      <c r="Q260" s="430" t="s">
        <v>190</v>
      </c>
      <c r="R260" s="431" t="str">
        <f>_xlfn.XLOOKUP(PV_DATA[[#This Row],[New Ark SKU]],Table9[New Ark SKU],Table9[Connector],,0)</f>
        <v>EVO2A</v>
      </c>
      <c r="S260" s="442" t="str">
        <f>_xlfn.XLOOKUP(PV_DATA[[#This Row],[New Ark SKU]],Table9[New Ark SKU],Table9[Cable],,0)</f>
        <v>±1200mm</v>
      </c>
      <c r="T260" s="433">
        <v>465</v>
      </c>
      <c r="U260" s="1088">
        <f>864*4</f>
        <v>3456</v>
      </c>
      <c r="V260" s="434">
        <f>PV_DATA[[#This Row],[QUANTITY]]*PV_DATA[[#This Row],[WATT]]/1000000</f>
        <v>1.60704</v>
      </c>
      <c r="W260" s="435">
        <f>PV_DATA[[#This Row],[QUANTITY]]/PV_DATA[[#This Row],[Qty/Pallet]]</f>
        <v>96</v>
      </c>
      <c r="X260" s="1040">
        <f>PV_DATA[[#This Row],[QUANTITY]]/PV_DATA[[#This Row],[Qty/CT]]</f>
        <v>4</v>
      </c>
      <c r="Y260" s="430" t="s">
        <v>75</v>
      </c>
      <c r="Z260" s="430" t="str">
        <f t="shared" si="1"/>
        <v>COMPLETED</v>
      </c>
      <c r="AA260" s="430"/>
      <c r="AB260" s="437">
        <v>46085</v>
      </c>
      <c r="AC260" s="438">
        <f>IF(PV_DATA[[#This Row],[Pick- Up Date]]&lt;&gt;"",_xlfn.ISOWEEKNUM(PV_DATA[[#This Row],[Pick- Up Date]]),"")</f>
        <v>10</v>
      </c>
      <c r="AD260" s="439" t="s">
        <v>1316</v>
      </c>
      <c r="AE260" s="430"/>
      <c r="AF260" s="430" t="s">
        <v>122</v>
      </c>
      <c r="AG260" s="430" t="s">
        <v>123</v>
      </c>
      <c r="AH260" s="430" t="s">
        <v>105</v>
      </c>
      <c r="AI260" s="437">
        <v>46091</v>
      </c>
      <c r="AJ260" s="437">
        <v>46090</v>
      </c>
      <c r="AK260" s="441">
        <v>46090</v>
      </c>
      <c r="AL260" s="437">
        <v>46122</v>
      </c>
      <c r="AM260" s="437">
        <v>46141</v>
      </c>
      <c r="AN260" s="437">
        <v>46137</v>
      </c>
      <c r="AO260" s="430" t="s">
        <v>402</v>
      </c>
      <c r="AP260" s="430" t="s">
        <v>872</v>
      </c>
      <c r="AQ260" s="430" t="s">
        <v>80</v>
      </c>
      <c r="AR260" s="430" t="s">
        <v>1313</v>
      </c>
      <c r="AS260" s="430" t="s">
        <v>1314</v>
      </c>
      <c r="AT260" s="482" t="s">
        <v>1314</v>
      </c>
      <c r="AU2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7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7">
        <f>IF(ISERROR(PV_DATA[[#This Row],[New Ark PO status]]),"",_xlfn.XLOOKUP(PV_DATA[[#This Row],[SPTN-PVHK New Ark PO'#]],New_Ark_Data[Purchase order Number],New_Ark_Data[Estimated time of arrival],"",0))</f>
        <v>46150</v>
      </c>
      <c r="AZ2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7">
        <f>IFERROR(PV_DATA[[#This Row],[ODP ETA Port]]+PV_DATA[[#This Row],[Customs/Leg3 Assumption]],"n/a")</f>
        <v>46144</v>
      </c>
      <c r="BB260" s="433">
        <f>YEAR(PV_DATA[[#This Row],[ETA for New Ark update]])</f>
        <v>2026</v>
      </c>
      <c r="BC260" s="430">
        <f>MONTH(PV_DATA[[#This Row],[ETA for New Ark update]])</f>
        <v>5</v>
      </c>
      <c r="BD260" s="430">
        <f>IFERROR(_xlfn.ISOWEEKNUM(PV_DATA[[#This Row],[ETA for New Ark update]]),0)</f>
        <v>18</v>
      </c>
      <c r="BE260" s="431">
        <f>_xlfn.XLOOKUP(PV_DATA[[#This Row],[New Ark SKU]],Table9[New Ark SKU],Table9[Total PCS per Pallet],,0)</f>
        <v>36</v>
      </c>
      <c r="BF260" s="431">
        <f>_xlfn.XLOOKUP(PV_DATA[[#This Row],[New Ark SKU]],Table9[New Ark SKU],Table9[Total PCS per 40HQ Container],,0)</f>
        <v>864</v>
      </c>
      <c r="BG260" s="431" t="str">
        <f>_xlfn.XLOOKUP(PV_DATA[[#This Row],[New Ark SKU]],Table9[New Ark SKU],Table9[Back Glass],,0)</f>
        <v>White glazing</v>
      </c>
      <c r="BH260" s="431" t="str">
        <f>_xlfn.XLOOKUP(PV_DATA[[#This Row],[PORT DESTINATION]],Table12[PORT DESTINATION],Table12[Cosco Line],,0)</f>
        <v>AEU</v>
      </c>
      <c r="BJ260" s="430"/>
    </row>
    <row r="261" spans="1:62" ht="10.5">
      <c r="A261" s="462" t="s">
        <v>1317</v>
      </c>
      <c r="B261" s="462" t="s">
        <v>111</v>
      </c>
      <c r="C261" s="462" t="str">
        <f>IFERROR(LEFT(PV_DATA[[#This Row],[TCL REFERENCE]],FIND(".",PV_DATA[[#This Row],[TCL REFERENCE]],1)-1),"Main Line")</f>
        <v>26Feb008</v>
      </c>
      <c r="D261" s="462" t="s">
        <v>63</v>
      </c>
      <c r="E261" s="462" t="s">
        <v>64</v>
      </c>
      <c r="F261" s="462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2" t="s">
        <v>402</v>
      </c>
      <c r="H261" s="462" t="s">
        <v>67</v>
      </c>
      <c r="I261" s="439" t="s">
        <v>689</v>
      </c>
      <c r="J261" s="430" t="s">
        <v>483</v>
      </c>
      <c r="K261" s="430"/>
      <c r="L261" s="430"/>
      <c r="M261" s="430" t="s">
        <v>68</v>
      </c>
      <c r="N261" s="432" t="s">
        <v>68</v>
      </c>
      <c r="O261" s="430" t="s">
        <v>473</v>
      </c>
      <c r="P261" s="430" t="s">
        <v>474</v>
      </c>
      <c r="Q261" s="430" t="s">
        <v>1319</v>
      </c>
      <c r="R261" s="431" t="str">
        <f>_xlfn.XLOOKUP(PV_DATA[[#This Row],[New Ark SKU]],Table9[New Ark SKU],Table9[Connector],,0)</f>
        <v>EVO2A</v>
      </c>
      <c r="S261" s="442" t="str">
        <f>_xlfn.XLOOKUP(PV_DATA[[#This Row],[New Ark SKU]],Table9[New Ark SKU],Table9[Cable],,0)</f>
        <v>±1200mm</v>
      </c>
      <c r="T261" s="433">
        <v>460</v>
      </c>
      <c r="U261" s="1088">
        <v>1728</v>
      </c>
      <c r="V261" s="434">
        <f>PV_DATA[[#This Row],[QUANTITY]]*PV_DATA[[#This Row],[WATT]]/1000000</f>
        <v>0.79488000000000003</v>
      </c>
      <c r="W261" s="435">
        <f>PV_DATA[[#This Row],[QUANTITY]]/PV_DATA[[#This Row],[Qty/Pallet]]</f>
        <v>48</v>
      </c>
      <c r="X261" s="1040">
        <f>PV_DATA[[#This Row],[QUANTITY]]/PV_DATA[[#This Row],[Qty/CT]]</f>
        <v>2</v>
      </c>
      <c r="Y261" s="430" t="s">
        <v>75</v>
      </c>
      <c r="Z261" s="430" t="str">
        <f t="shared" si="1"/>
        <v>COMPLETED</v>
      </c>
      <c r="AA261" s="430"/>
      <c r="AB261" s="437">
        <v>46085</v>
      </c>
      <c r="AC261" s="438">
        <f>IF(PV_DATA[[#This Row],[Pick- Up Date]]&lt;&gt;"",_xlfn.ISOWEEKNUM(PV_DATA[[#This Row],[Pick- Up Date]]),"")</f>
        <v>10</v>
      </c>
      <c r="AD261" s="439" t="s">
        <v>1320</v>
      </c>
      <c r="AE261" s="430"/>
      <c r="AF261" s="430" t="s">
        <v>122</v>
      </c>
      <c r="AG261" s="430" t="s">
        <v>123</v>
      </c>
      <c r="AH261" s="430" t="s">
        <v>105</v>
      </c>
      <c r="AI261" s="437">
        <v>46091</v>
      </c>
      <c r="AJ261" s="437">
        <v>46090</v>
      </c>
      <c r="AK261" s="441">
        <v>46090</v>
      </c>
      <c r="AL261" s="437">
        <v>46122</v>
      </c>
      <c r="AM261" s="437">
        <v>46141</v>
      </c>
      <c r="AN261" s="437">
        <v>46137</v>
      </c>
      <c r="AO261" s="430" t="s">
        <v>402</v>
      </c>
      <c r="AP261" s="430" t="s">
        <v>872</v>
      </c>
      <c r="AQ261" s="430" t="s">
        <v>80</v>
      </c>
      <c r="AR261" s="430" t="s">
        <v>1313</v>
      </c>
      <c r="AS261" s="430" t="s">
        <v>1314</v>
      </c>
      <c r="AT261" s="482" t="s">
        <v>1314</v>
      </c>
      <c r="AU2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7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7">
        <f>IF(ISERROR(PV_DATA[[#This Row],[New Ark PO status]]),"",_xlfn.XLOOKUP(PV_DATA[[#This Row],[SPTN-PVHK New Ark PO'#]],New_Ark_Data[Purchase order Number],New_Ark_Data[Estimated time of arrival],"",0))</f>
        <v>46150</v>
      </c>
      <c r="AZ2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7">
        <f>IFERROR(PV_DATA[[#This Row],[ODP ETA Port]]+PV_DATA[[#This Row],[Customs/Leg3 Assumption]],"n/a")</f>
        <v>46144</v>
      </c>
      <c r="BB261" s="433">
        <f>YEAR(PV_DATA[[#This Row],[ETA for New Ark update]])</f>
        <v>2026</v>
      </c>
      <c r="BC261" s="430">
        <f>MONTH(PV_DATA[[#This Row],[ETA for New Ark update]])</f>
        <v>5</v>
      </c>
      <c r="BD261" s="430">
        <f>IFERROR(_xlfn.ISOWEEKNUM(PV_DATA[[#This Row],[ETA for New Ark update]]),0)</f>
        <v>18</v>
      </c>
      <c r="BE261" s="431">
        <f>_xlfn.XLOOKUP(PV_DATA[[#This Row],[New Ark SKU]],Table9[New Ark SKU],Table9[Total PCS per Pallet],,0)</f>
        <v>36</v>
      </c>
      <c r="BF261" s="431">
        <f>_xlfn.XLOOKUP(PV_DATA[[#This Row],[New Ark SKU]],Table9[New Ark SKU],Table9[Total PCS per 40HQ Container],,0)</f>
        <v>864</v>
      </c>
      <c r="BG261" s="431" t="str">
        <f>_xlfn.XLOOKUP(PV_DATA[[#This Row],[New Ark SKU]],Table9[New Ark SKU],Table9[Back Glass],,0)</f>
        <v>Black glazing</v>
      </c>
      <c r="BH261" s="431" t="str">
        <f>_xlfn.XLOOKUP(PV_DATA[[#This Row],[PORT DESTINATION]],Table12[PORT DESTINATION],Table12[Cosco Line],,0)</f>
        <v>AEU</v>
      </c>
      <c r="BJ261" s="430"/>
    </row>
    <row r="262" spans="1:62" ht="10.5">
      <c r="A262" s="462" t="s">
        <v>1321</v>
      </c>
      <c r="B262" s="462" t="s">
        <v>111</v>
      </c>
      <c r="C262" s="462" t="str">
        <f>IFERROR(LEFT(PV_DATA[[#This Row],[TCL REFERENCE]],FIND(".",PV_DATA[[#This Row],[TCL REFERENCE]],1)-1),"Main Line")</f>
        <v>26Feb010</v>
      </c>
      <c r="D262" s="462" t="s">
        <v>63</v>
      </c>
      <c r="E262" s="462" t="s">
        <v>64</v>
      </c>
      <c r="F262" s="462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2" t="s">
        <v>402</v>
      </c>
      <c r="H262" s="462" t="s">
        <v>67</v>
      </c>
      <c r="I262" s="439" t="s">
        <v>869</v>
      </c>
      <c r="J262" s="430" t="s">
        <v>101</v>
      </c>
      <c r="K262" s="430"/>
      <c r="L262" s="430"/>
      <c r="M262" s="430" t="s">
        <v>68</v>
      </c>
      <c r="N262" s="432">
        <v>46076</v>
      </c>
      <c r="O262" s="430" t="s">
        <v>132</v>
      </c>
      <c r="P262" s="430" t="s">
        <v>1062</v>
      </c>
      <c r="Q262" s="430" t="s">
        <v>1063</v>
      </c>
      <c r="R262" s="431" t="str">
        <f>_xlfn.XLOOKUP(PV_DATA[[#This Row],[New Ark SKU]],Table9[New Ark SKU],Table9[Connector],,0)</f>
        <v>EVO2A</v>
      </c>
      <c r="S262" s="442" t="str">
        <f>_xlfn.XLOOKUP(PV_DATA[[#This Row],[New Ark SKU]],Table9[New Ark SKU],Table9[Cable],,0)</f>
        <v>±1200mm</v>
      </c>
      <c r="T262" s="433">
        <v>470</v>
      </c>
      <c r="U262" s="1088">
        <v>1728</v>
      </c>
      <c r="V262" s="434">
        <f>PV_DATA[[#This Row],[QUANTITY]]*PV_DATA[[#This Row],[WATT]]/1000000</f>
        <v>0.81215999999999999</v>
      </c>
      <c r="W262" s="435">
        <f>PV_DATA[[#This Row],[QUANTITY]]/PV_DATA[[#This Row],[Qty/Pallet]]</f>
        <v>48</v>
      </c>
      <c r="X262" s="1040">
        <f>PV_DATA[[#This Row],[QUANTITY]]/PV_DATA[[#This Row],[Qty/CT]]</f>
        <v>2</v>
      </c>
      <c r="Y262" s="430" t="s">
        <v>75</v>
      </c>
      <c r="Z262" s="430" t="str">
        <f t="shared" si="1"/>
        <v>COMPLETED</v>
      </c>
      <c r="AA262" s="430"/>
      <c r="AB262" s="437">
        <v>46083</v>
      </c>
      <c r="AC262" s="438">
        <f>IF(PV_DATA[[#This Row],[Pick- Up Date]]&lt;&gt;"",_xlfn.ISOWEEKNUM(PV_DATA[[#This Row],[Pick- Up Date]]),"")</f>
        <v>10</v>
      </c>
      <c r="AD262" s="439" t="s">
        <v>1322</v>
      </c>
      <c r="AE262" s="430"/>
      <c r="AF262" s="430" t="s">
        <v>122</v>
      </c>
      <c r="AG262" s="430" t="s">
        <v>123</v>
      </c>
      <c r="AH262" s="430" t="s">
        <v>105</v>
      </c>
      <c r="AI262" s="437">
        <v>46091</v>
      </c>
      <c r="AJ262" s="437">
        <v>46090</v>
      </c>
      <c r="AK262" s="441">
        <v>46090</v>
      </c>
      <c r="AL262" s="437">
        <v>46122</v>
      </c>
      <c r="AM262" s="437">
        <v>46141</v>
      </c>
      <c r="AN262" s="437">
        <v>46137</v>
      </c>
      <c r="AO262" s="430" t="s">
        <v>402</v>
      </c>
      <c r="AP262" s="430" t="s">
        <v>872</v>
      </c>
      <c r="AQ262" s="430" t="s">
        <v>80</v>
      </c>
      <c r="AR262" s="430" t="s">
        <v>1323</v>
      </c>
      <c r="AS262" s="430" t="s">
        <v>1324</v>
      </c>
      <c r="AT262" s="482" t="s">
        <v>1324</v>
      </c>
      <c r="AU2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7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7">
        <f>IF(ISERROR(PV_DATA[[#This Row],[New Ark PO status]]),"",_xlfn.XLOOKUP(PV_DATA[[#This Row],[SPTN-PVHK New Ark PO'#]],New_Ark_Data[Purchase order Number],New_Ark_Data[Estimated time of arrival],"",0))</f>
        <v>46150</v>
      </c>
      <c r="AZ26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7">
        <f>IFERROR(PV_DATA[[#This Row],[ODP ETA Port]]+PV_DATA[[#This Row],[Customs/Leg3 Assumption]],"n/a")</f>
        <v>46144</v>
      </c>
      <c r="BB262" s="433">
        <f>YEAR(PV_DATA[[#This Row],[ETA for New Ark update]])</f>
        <v>2026</v>
      </c>
      <c r="BC262" s="430">
        <f>MONTH(PV_DATA[[#This Row],[ETA for New Ark update]])</f>
        <v>5</v>
      </c>
      <c r="BD262" s="430">
        <f>IFERROR(_xlfn.ISOWEEKNUM(PV_DATA[[#This Row],[ETA for New Ark update]]),0)</f>
        <v>18</v>
      </c>
      <c r="BE262" s="431">
        <f>_xlfn.XLOOKUP(PV_DATA[[#This Row],[New Ark SKU]],Table9[New Ark SKU],Table9[Total PCS per Pallet],,0)</f>
        <v>36</v>
      </c>
      <c r="BF262" s="431">
        <f>_xlfn.XLOOKUP(PV_DATA[[#This Row],[New Ark SKU]],Table9[New Ark SKU],Table9[Total PCS per 40HQ Container],,0)</f>
        <v>864</v>
      </c>
      <c r="BG262" s="431" t="str">
        <f>_xlfn.XLOOKUP(PV_DATA[[#This Row],[New Ark SKU]],Table9[New Ark SKU],Table9[Back Glass],,0)</f>
        <v>White glazing</v>
      </c>
      <c r="BH262" s="431" t="str">
        <f>_xlfn.XLOOKUP(PV_DATA[[#This Row],[PORT DESTINATION]],Table12[PORT DESTINATION],Table12[Cosco Line],,0)</f>
        <v>AEU</v>
      </c>
      <c r="BJ262" s="430"/>
    </row>
    <row r="263" spans="1:62" ht="10.5">
      <c r="A263" s="462" t="s">
        <v>1325</v>
      </c>
      <c r="B263" s="462" t="s">
        <v>111</v>
      </c>
      <c r="C263" s="462" t="str">
        <f>IFERROR(LEFT(PV_DATA[[#This Row],[TCL REFERENCE]],FIND(".",PV_DATA[[#This Row],[TCL REFERENCE]],1)-1),"Main Line")</f>
        <v>26Feb037</v>
      </c>
      <c r="D263" s="462" t="s">
        <v>113</v>
      </c>
      <c r="E263" s="462" t="s">
        <v>64</v>
      </c>
      <c r="F263" s="462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2" t="s">
        <v>402</v>
      </c>
      <c r="H263" s="462" t="s">
        <v>67</v>
      </c>
      <c r="I263" s="439" t="s">
        <v>822</v>
      </c>
      <c r="J263" s="430" t="s">
        <v>1327</v>
      </c>
      <c r="K263" s="430"/>
      <c r="L263" s="430"/>
      <c r="M263" s="430" t="s">
        <v>68</v>
      </c>
      <c r="N263" s="432" t="s">
        <v>68</v>
      </c>
      <c r="O263" s="430" t="s">
        <v>70</v>
      </c>
      <c r="P263" s="430" t="s">
        <v>218</v>
      </c>
      <c r="Q263" s="430" t="s">
        <v>219</v>
      </c>
      <c r="R263" s="431" t="str">
        <f>_xlfn.XLOOKUP(PV_DATA[[#This Row],[New Ark SKU]],Table9[New Ark SKU],Table9[Connector],,0)</f>
        <v>EVO2A</v>
      </c>
      <c r="S263" s="442" t="str">
        <f>_xlfn.XLOOKUP(PV_DATA[[#This Row],[New Ark SKU]],Table9[New Ark SKU],Table9[Cable],,0)</f>
        <v>±1400mm</v>
      </c>
      <c r="T263" s="433">
        <v>625</v>
      </c>
      <c r="U263" s="1088">
        <f>2*720</f>
        <v>1440</v>
      </c>
      <c r="V263" s="434">
        <f>PV_DATA[[#This Row],[QUANTITY]]*PV_DATA[[#This Row],[WATT]]/1000000</f>
        <v>0.9</v>
      </c>
      <c r="W263" s="435">
        <f>PV_DATA[[#This Row],[QUANTITY]]/PV_DATA[[#This Row],[Qty/Pallet]]</f>
        <v>40</v>
      </c>
      <c r="X263" s="1040">
        <f>PV_DATA[[#This Row],[QUANTITY]]/PV_DATA[[#This Row],[Qty/CT]]</f>
        <v>2</v>
      </c>
      <c r="Y263" s="430" t="s">
        <v>75</v>
      </c>
      <c r="Z263" s="430" t="str">
        <f t="shared" si="1"/>
        <v>COMPLETED</v>
      </c>
      <c r="AA263" s="430"/>
      <c r="AB263" s="437">
        <v>46084</v>
      </c>
      <c r="AC263" s="438">
        <f>IF(PV_DATA[[#This Row],[Pick- Up Date]]&lt;&gt;"",_xlfn.ISOWEEKNUM(PV_DATA[[#This Row],[Pick- Up Date]]),"")</f>
        <v>10</v>
      </c>
      <c r="AD263" s="439" t="s">
        <v>1328</v>
      </c>
      <c r="AE263" s="430"/>
      <c r="AF263" s="430" t="s">
        <v>122</v>
      </c>
      <c r="AG263" s="430" t="s">
        <v>123</v>
      </c>
      <c r="AH263" s="430" t="s">
        <v>78</v>
      </c>
      <c r="AI263" s="437">
        <v>46094</v>
      </c>
      <c r="AJ263" s="437">
        <v>46096</v>
      </c>
      <c r="AK263" s="441">
        <v>46097</v>
      </c>
      <c r="AL263" s="437">
        <v>46140</v>
      </c>
      <c r="AM263" s="437">
        <v>46145</v>
      </c>
      <c r="AN263" s="437">
        <v>46148</v>
      </c>
      <c r="AO263" s="430" t="s">
        <v>402</v>
      </c>
      <c r="AP263" s="430" t="s">
        <v>1329</v>
      </c>
      <c r="AQ263" s="430" t="s">
        <v>80</v>
      </c>
      <c r="AR263" s="430" t="s">
        <v>1330</v>
      </c>
      <c r="AS263" s="430" t="s">
        <v>1331</v>
      </c>
      <c r="AT263" s="482" t="s">
        <v>1331</v>
      </c>
      <c r="AU2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7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7">
        <f>IF(ISERROR(PV_DATA[[#This Row],[New Ark PO status]]),"",_xlfn.XLOOKUP(PV_DATA[[#This Row],[SPTN-PVHK New Ark PO'#]],New_Ark_Data[Purchase order Number],New_Ark_Data[Estimated time of arrival],"",0))</f>
        <v>46160</v>
      </c>
      <c r="AZ26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7">
        <f>IFERROR(PV_DATA[[#This Row],[ODP ETA Port]]+PV_DATA[[#This Row],[Customs/Leg3 Assumption]],"n/a")</f>
        <v>46156</v>
      </c>
      <c r="BB263" s="433">
        <f>YEAR(PV_DATA[[#This Row],[ETA for New Ark update]])</f>
        <v>2026</v>
      </c>
      <c r="BC263" s="430">
        <f>MONTH(PV_DATA[[#This Row],[ETA for New Ark update]])</f>
        <v>5</v>
      </c>
      <c r="BD263" s="430">
        <f>IFERROR(_xlfn.ISOWEEKNUM(PV_DATA[[#This Row],[ETA for New Ark update]]),0)</f>
        <v>20</v>
      </c>
      <c r="BE263" s="431">
        <f>_xlfn.XLOOKUP(PV_DATA[[#This Row],[New Ark SKU]],Table9[New Ark SKU],Table9[Total PCS per Pallet],,0)</f>
        <v>36</v>
      </c>
      <c r="BF263" s="431">
        <f>_xlfn.XLOOKUP(PV_DATA[[#This Row],[New Ark SKU]],Table9[New Ark SKU],Table9[Total PCS per 40HQ Container],,0)</f>
        <v>720</v>
      </c>
      <c r="BG263" s="431" t="str">
        <f>_xlfn.XLOOKUP(PV_DATA[[#This Row],[New Ark SKU]],Table9[New Ark SKU],Table9[Back Glass],,0)</f>
        <v>Redirection Film</v>
      </c>
      <c r="BH263" s="431" t="str">
        <f>_xlfn.XLOOKUP(PV_DATA[[#This Row],[PORT DESTINATION]],Table12[PORT DESTINATION],Table12[Cosco Line],,0)</f>
        <v>AEM</v>
      </c>
      <c r="BJ263" s="430"/>
    </row>
    <row r="264" spans="1:62" ht="10.5">
      <c r="A264" s="462" t="s">
        <v>1332</v>
      </c>
      <c r="B264" s="462" t="s">
        <v>111</v>
      </c>
      <c r="C264" s="462" t="str">
        <f>IFERROR(LEFT(PV_DATA[[#This Row],[TCL REFERENCE]],FIND(".",PV_DATA[[#This Row],[TCL REFERENCE]],1)-1),"Main Line")</f>
        <v>26Feb038</v>
      </c>
      <c r="D264" s="462" t="s">
        <v>113</v>
      </c>
      <c r="E264" s="462" t="s">
        <v>64</v>
      </c>
      <c r="F264" s="462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2" t="s">
        <v>402</v>
      </c>
      <c r="H264" s="462" t="s">
        <v>67</v>
      </c>
      <c r="I264" s="439" t="s">
        <v>822</v>
      </c>
      <c r="J264" s="430" t="s">
        <v>1327</v>
      </c>
      <c r="K264" s="430"/>
      <c r="L264" s="430"/>
      <c r="M264" s="430" t="s">
        <v>68</v>
      </c>
      <c r="N264" s="432" t="s">
        <v>68</v>
      </c>
      <c r="O264" s="430" t="s">
        <v>70</v>
      </c>
      <c r="P264" s="430" t="s">
        <v>1334</v>
      </c>
      <c r="Q264" s="430" t="s">
        <v>1335</v>
      </c>
      <c r="R264" s="431" t="str">
        <f>_xlfn.XLOOKUP(PV_DATA[[#This Row],[New Ark SKU]],Table9[New Ark SKU],Table9[Connector],,0)</f>
        <v>EVO2A</v>
      </c>
      <c r="S264" s="442" t="str">
        <f>_xlfn.XLOOKUP(PV_DATA[[#This Row],[New Ark SKU]],Table9[New Ark SKU],Table9[Cable],,0)</f>
        <v>±1400mm</v>
      </c>
      <c r="T264" s="433">
        <v>630</v>
      </c>
      <c r="U264" s="1088">
        <f>720*5</f>
        <v>3600</v>
      </c>
      <c r="V264" s="434">
        <f>PV_DATA[[#This Row],[QUANTITY]]*PV_DATA[[#This Row],[WATT]]/1000000</f>
        <v>2.2679999999999998</v>
      </c>
      <c r="W264" s="435">
        <f>PV_DATA[[#This Row],[QUANTITY]]/PV_DATA[[#This Row],[Qty/Pallet]]</f>
        <v>100</v>
      </c>
      <c r="X264" s="1040">
        <f>PV_DATA[[#This Row],[QUANTITY]]/PV_DATA[[#This Row],[Qty/CT]]</f>
        <v>5</v>
      </c>
      <c r="Y264" s="430" t="s">
        <v>75</v>
      </c>
      <c r="Z264" s="430" t="str">
        <f t="shared" si="1"/>
        <v>COMPLETED</v>
      </c>
      <c r="AA264" s="430"/>
      <c r="AB264" s="437">
        <v>46084</v>
      </c>
      <c r="AC264" s="438">
        <f>IF(PV_DATA[[#This Row],[Pick- Up Date]]&lt;&gt;"",_xlfn.ISOWEEKNUM(PV_DATA[[#This Row],[Pick- Up Date]]),"")</f>
        <v>10</v>
      </c>
      <c r="AD264" s="439" t="s">
        <v>1336</v>
      </c>
      <c r="AE264" s="430"/>
      <c r="AF264" s="430" t="s">
        <v>122</v>
      </c>
      <c r="AG264" s="430" t="s">
        <v>123</v>
      </c>
      <c r="AH264" s="430" t="s">
        <v>78</v>
      </c>
      <c r="AI264" s="437">
        <v>46094</v>
      </c>
      <c r="AJ264" s="437">
        <v>46096</v>
      </c>
      <c r="AK264" s="441">
        <v>46097</v>
      </c>
      <c r="AL264" s="437">
        <v>46140</v>
      </c>
      <c r="AM264" s="437">
        <v>46145</v>
      </c>
      <c r="AN264" s="437">
        <v>46148</v>
      </c>
      <c r="AO264" s="430" t="s">
        <v>402</v>
      </c>
      <c r="AP264" s="430" t="s">
        <v>1329</v>
      </c>
      <c r="AQ264" s="430" t="s">
        <v>80</v>
      </c>
      <c r="AR264" s="430" t="s">
        <v>1330</v>
      </c>
      <c r="AS264" s="430" t="s">
        <v>1331</v>
      </c>
      <c r="AT264" s="482" t="s">
        <v>1331</v>
      </c>
      <c r="AU2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7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7">
        <f>IF(ISERROR(PV_DATA[[#This Row],[New Ark PO status]]),"",_xlfn.XLOOKUP(PV_DATA[[#This Row],[SPTN-PVHK New Ark PO'#]],New_Ark_Data[Purchase order Number],New_Ark_Data[Estimated time of arrival],"",0))</f>
        <v>46160</v>
      </c>
      <c r="AZ26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7">
        <f>IFERROR(PV_DATA[[#This Row],[ODP ETA Port]]+PV_DATA[[#This Row],[Customs/Leg3 Assumption]],"n/a")</f>
        <v>46156</v>
      </c>
      <c r="BB264" s="433">
        <f>YEAR(PV_DATA[[#This Row],[ETA for New Ark update]])</f>
        <v>2026</v>
      </c>
      <c r="BC264" s="430">
        <f>MONTH(PV_DATA[[#This Row],[ETA for New Ark update]])</f>
        <v>5</v>
      </c>
      <c r="BD264" s="430">
        <f>IFERROR(_xlfn.ISOWEEKNUM(PV_DATA[[#This Row],[ETA for New Ark update]]),0)</f>
        <v>20</v>
      </c>
      <c r="BE264" s="431">
        <f>_xlfn.XLOOKUP(PV_DATA[[#This Row],[New Ark SKU]],Table9[New Ark SKU],Table9[Total PCS per Pallet],,0)</f>
        <v>36</v>
      </c>
      <c r="BF264" s="431">
        <f>_xlfn.XLOOKUP(PV_DATA[[#This Row],[New Ark SKU]],Table9[New Ark SKU],Table9[Total PCS per 40HQ Container],,0)</f>
        <v>720</v>
      </c>
      <c r="BG264" s="431" t="str">
        <f>_xlfn.XLOOKUP(PV_DATA[[#This Row],[New Ark SKU]],Table9[New Ark SKU],Table9[Back Glass],,0)</f>
        <v>Transparent</v>
      </c>
      <c r="BH264" s="431" t="str">
        <f>_xlfn.XLOOKUP(PV_DATA[[#This Row],[PORT DESTINATION]],Table12[PORT DESTINATION],Table12[Cosco Line],,0)</f>
        <v>AEM</v>
      </c>
      <c r="BJ264" s="430"/>
    </row>
    <row r="265" spans="1:62" ht="10.5">
      <c r="A265" s="462" t="s">
        <v>1337</v>
      </c>
      <c r="B265" s="462" t="s">
        <v>111</v>
      </c>
      <c r="C265" s="462" t="str">
        <f>IFERROR(LEFT(PV_DATA[[#This Row],[TCL REFERENCE]],FIND(".",PV_DATA[[#This Row],[TCL REFERENCE]],1)-1),"Main Line")</f>
        <v>26Feb038</v>
      </c>
      <c r="D265" s="462" t="s">
        <v>113</v>
      </c>
      <c r="E265" s="462" t="s">
        <v>64</v>
      </c>
      <c r="F265" s="462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2" t="s">
        <v>402</v>
      </c>
      <c r="H265" s="462" t="s">
        <v>67</v>
      </c>
      <c r="I265" s="439" t="s">
        <v>822</v>
      </c>
      <c r="J265" s="430" t="s">
        <v>1327</v>
      </c>
      <c r="K265" s="430"/>
      <c r="L265" s="430"/>
      <c r="M265" s="430" t="s">
        <v>68</v>
      </c>
      <c r="N265" s="432" t="s">
        <v>68</v>
      </c>
      <c r="O265" s="430" t="s">
        <v>70</v>
      </c>
      <c r="P265" s="430" t="s">
        <v>1334</v>
      </c>
      <c r="Q265" s="430" t="s">
        <v>1335</v>
      </c>
      <c r="R265" s="431" t="str">
        <f>_xlfn.XLOOKUP(PV_DATA[[#This Row],[New Ark SKU]],Table9[New Ark SKU],Table9[Connector],,0)</f>
        <v>EVO2A</v>
      </c>
      <c r="S265" s="442" t="str">
        <f>_xlfn.XLOOKUP(PV_DATA[[#This Row],[New Ark SKU]],Table9[New Ark SKU],Table9[Cable],,0)</f>
        <v>±1400mm</v>
      </c>
      <c r="T265" s="433">
        <v>630</v>
      </c>
      <c r="U265" s="1088">
        <f>720*8</f>
        <v>5760</v>
      </c>
      <c r="V265" s="434">
        <f>PV_DATA[[#This Row],[QUANTITY]]*PV_DATA[[#This Row],[WATT]]/1000000</f>
        <v>3.6288</v>
      </c>
      <c r="W265" s="435">
        <f>PV_DATA[[#This Row],[QUANTITY]]/PV_DATA[[#This Row],[Qty/Pallet]]</f>
        <v>160</v>
      </c>
      <c r="X265" s="1040">
        <f>PV_DATA[[#This Row],[QUANTITY]]/PV_DATA[[#This Row],[Qty/CT]]</f>
        <v>8</v>
      </c>
      <c r="Y265" s="430" t="s">
        <v>75</v>
      </c>
      <c r="Z265" s="430" t="str">
        <f t="shared" si="1"/>
        <v>COMPLETED</v>
      </c>
      <c r="AA265" s="430"/>
      <c r="AB265" s="437">
        <v>46084</v>
      </c>
      <c r="AC265" s="438">
        <f>IF(PV_DATA[[#This Row],[Pick- Up Date]]&lt;&gt;"",_xlfn.ISOWEEKNUM(PV_DATA[[#This Row],[Pick- Up Date]]),"")</f>
        <v>10</v>
      </c>
      <c r="AD265" s="439" t="s">
        <v>1338</v>
      </c>
      <c r="AE265" s="430"/>
      <c r="AF265" s="430" t="s">
        <v>122</v>
      </c>
      <c r="AG265" s="430" t="s">
        <v>123</v>
      </c>
      <c r="AH265" s="430" t="s">
        <v>78</v>
      </c>
      <c r="AI265" s="437">
        <v>46092</v>
      </c>
      <c r="AJ265" s="437">
        <v>46094</v>
      </c>
      <c r="AK265" s="441">
        <v>46094</v>
      </c>
      <c r="AL265" s="437">
        <v>46143</v>
      </c>
      <c r="AM265" s="437">
        <v>46144</v>
      </c>
      <c r="AN265" s="437">
        <v>46144</v>
      </c>
      <c r="AO265" s="430" t="s">
        <v>402</v>
      </c>
      <c r="AP265" s="430" t="s">
        <v>1224</v>
      </c>
      <c r="AQ265" s="430" t="s">
        <v>80</v>
      </c>
      <c r="AR265" s="430" t="s">
        <v>1339</v>
      </c>
      <c r="AS265" s="430" t="s">
        <v>1340</v>
      </c>
      <c r="AT265" s="482" t="s">
        <v>1340</v>
      </c>
      <c r="AU2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7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7">
        <f>IF(ISERROR(PV_DATA[[#This Row],[New Ark PO status]]),"",_xlfn.XLOOKUP(PV_DATA[[#This Row],[SPTN-PVHK New Ark PO'#]],New_Ark_Data[Purchase order Number],New_Ark_Data[Estimated time of arrival],"",0))</f>
        <v>46160</v>
      </c>
      <c r="AZ26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7">
        <f>IFERROR(PV_DATA[[#This Row],[ODP ETA Port]]+PV_DATA[[#This Row],[Customs/Leg3 Assumption]],"n/a")</f>
        <v>46152</v>
      </c>
      <c r="BB265" s="433">
        <f>YEAR(PV_DATA[[#This Row],[ETA for New Ark update]])</f>
        <v>2026</v>
      </c>
      <c r="BC265" s="430">
        <f>MONTH(PV_DATA[[#This Row],[ETA for New Ark update]])</f>
        <v>5</v>
      </c>
      <c r="BD265" s="430">
        <f>IFERROR(_xlfn.ISOWEEKNUM(PV_DATA[[#This Row],[ETA for New Ark update]]),0)</f>
        <v>19</v>
      </c>
      <c r="BE265" s="431">
        <f>_xlfn.XLOOKUP(PV_DATA[[#This Row],[New Ark SKU]],Table9[New Ark SKU],Table9[Total PCS per Pallet],,0)</f>
        <v>36</v>
      </c>
      <c r="BF265" s="431">
        <f>_xlfn.XLOOKUP(PV_DATA[[#This Row],[New Ark SKU]],Table9[New Ark SKU],Table9[Total PCS per 40HQ Container],,0)</f>
        <v>720</v>
      </c>
      <c r="BG265" s="431" t="str">
        <f>_xlfn.XLOOKUP(PV_DATA[[#This Row],[New Ark SKU]],Table9[New Ark SKU],Table9[Back Glass],,0)</f>
        <v>Transparent</v>
      </c>
      <c r="BH265" s="431" t="str">
        <f>_xlfn.XLOOKUP(PV_DATA[[#This Row],[PORT DESTINATION]],Table12[PORT DESTINATION],Table12[Cosco Line],,0)</f>
        <v>AEM</v>
      </c>
      <c r="BJ265" s="430"/>
    </row>
    <row r="266" spans="1:62" ht="10.5">
      <c r="A266" s="462" t="s">
        <v>1341</v>
      </c>
      <c r="B266" s="462" t="s">
        <v>111</v>
      </c>
      <c r="C266" s="462" t="str">
        <f>IFERROR(LEFT(PV_DATA[[#This Row],[TCL REFERENCE]],FIND(".",PV_DATA[[#This Row],[TCL REFERENCE]],1)-1),"Main Line")</f>
        <v>26Feb008</v>
      </c>
      <c r="D266" s="462" t="s">
        <v>63</v>
      </c>
      <c r="E266" s="462" t="s">
        <v>64</v>
      </c>
      <c r="F266" s="462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2" t="s">
        <v>402</v>
      </c>
      <c r="H266" s="462" t="s">
        <v>311</v>
      </c>
      <c r="I266" s="439" t="s">
        <v>689</v>
      </c>
      <c r="J266" s="430" t="s">
        <v>1342</v>
      </c>
      <c r="K266" s="430"/>
      <c r="L266" s="430"/>
      <c r="M266" s="430" t="s">
        <v>68</v>
      </c>
      <c r="N266" s="432">
        <v>46083</v>
      </c>
      <c r="O266" s="430" t="s">
        <v>473</v>
      </c>
      <c r="P266" s="430" t="s">
        <v>474</v>
      </c>
      <c r="Q266" s="430" t="s">
        <v>1319</v>
      </c>
      <c r="R266" s="431" t="str">
        <f>_xlfn.XLOOKUP(PV_DATA[[#This Row],[New Ark SKU]],Table9[New Ark SKU],Table9[Connector],,0)</f>
        <v>EVO2A</v>
      </c>
      <c r="S266" s="442" t="str">
        <f>_xlfn.XLOOKUP(PV_DATA[[#This Row],[New Ark SKU]],Table9[New Ark SKU],Table9[Cable],,0)</f>
        <v>±1200mm</v>
      </c>
      <c r="T266" s="433">
        <v>460</v>
      </c>
      <c r="U266" s="1088">
        <f>864*4</f>
        <v>3456</v>
      </c>
      <c r="V266" s="434">
        <f>PV_DATA[[#This Row],[QUANTITY]]*PV_DATA[[#This Row],[WATT]]/1000000</f>
        <v>1.5897600000000001</v>
      </c>
      <c r="W266" s="435">
        <f>PV_DATA[[#This Row],[QUANTITY]]/PV_DATA[[#This Row],[Qty/Pallet]]</f>
        <v>96</v>
      </c>
      <c r="X266" s="1040">
        <f>PV_DATA[[#This Row],[QUANTITY]]/PV_DATA[[#This Row],[Qty/CT]]</f>
        <v>4</v>
      </c>
      <c r="Y266" s="430" t="s">
        <v>75</v>
      </c>
      <c r="Z266" s="430" t="str">
        <f t="shared" si="1"/>
        <v>COMPLETED</v>
      </c>
      <c r="AA266" s="430"/>
      <c r="AB266" s="437">
        <v>46083</v>
      </c>
      <c r="AC266" s="438">
        <f>IF(PV_DATA[[#This Row],[Pick- Up Date]]&lt;&gt;"",_xlfn.ISOWEEKNUM(PV_DATA[[#This Row],[Pick- Up Date]]),"")</f>
        <v>10</v>
      </c>
      <c r="AD266" s="439" t="s">
        <v>1343</v>
      </c>
      <c r="AE266" s="430"/>
      <c r="AF266" s="430" t="s">
        <v>122</v>
      </c>
      <c r="AG266" s="430" t="s">
        <v>123</v>
      </c>
      <c r="AH266" s="430" t="s">
        <v>314</v>
      </c>
      <c r="AI266" s="437">
        <v>46092</v>
      </c>
      <c r="AJ266" s="437">
        <v>46094</v>
      </c>
      <c r="AK266" s="441">
        <v>46094</v>
      </c>
      <c r="AL266" s="437">
        <v>46138</v>
      </c>
      <c r="AM266" s="437">
        <v>46148</v>
      </c>
      <c r="AN266" s="437">
        <v>46148</v>
      </c>
      <c r="AO266" s="430" t="s">
        <v>402</v>
      </c>
      <c r="AP266" s="430" t="s">
        <v>1224</v>
      </c>
      <c r="AQ266" s="430" t="s">
        <v>80</v>
      </c>
      <c r="AR266" s="430" t="s">
        <v>1344</v>
      </c>
      <c r="AS266" s="430" t="s">
        <v>1345</v>
      </c>
      <c r="AT266" s="482" t="s">
        <v>1345</v>
      </c>
      <c r="AU2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7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7">
        <f>IF(ISERROR(PV_DATA[[#This Row],[New Ark PO status]]),"",_xlfn.XLOOKUP(PV_DATA[[#This Row],[SPTN-PVHK New Ark PO'#]],New_Ark_Data[Purchase order Number],New_Ark_Data[Estimated time of arrival],"",0))</f>
        <v>46162</v>
      </c>
      <c r="AZ26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66" s="437">
        <f>IFERROR(PV_DATA[[#This Row],[ODP ETA Port]]+PV_DATA[[#This Row],[Customs/Leg3 Assumption]],"n/a")</f>
        <v>46158</v>
      </c>
      <c r="BB266" s="433">
        <f>YEAR(PV_DATA[[#This Row],[ETA for New Ark update]])</f>
        <v>2026</v>
      </c>
      <c r="BC266" s="430">
        <f>MONTH(PV_DATA[[#This Row],[ETA for New Ark update]])</f>
        <v>5</v>
      </c>
      <c r="BD266" s="430">
        <f>IFERROR(_xlfn.ISOWEEKNUM(PV_DATA[[#This Row],[ETA for New Ark update]]),0)</f>
        <v>20</v>
      </c>
      <c r="BE266" s="431">
        <f>_xlfn.XLOOKUP(PV_DATA[[#This Row],[New Ark SKU]],Table9[New Ark SKU],Table9[Total PCS per Pallet],,0)</f>
        <v>36</v>
      </c>
      <c r="BF266" s="431">
        <f>_xlfn.XLOOKUP(PV_DATA[[#This Row],[New Ark SKU]],Table9[New Ark SKU],Table9[Total PCS per 40HQ Container],,0)</f>
        <v>864</v>
      </c>
      <c r="BG266" s="431" t="str">
        <f>_xlfn.XLOOKUP(PV_DATA[[#This Row],[New Ark SKU]],Table9[New Ark SKU],Table9[Back Glass],,0)</f>
        <v>Black glazing</v>
      </c>
      <c r="BH266" s="431" t="str">
        <f>_xlfn.XLOOKUP(PV_DATA[[#This Row],[PORT DESTINATION]],Table12[PORT DESTINATION],Table12[Cosco Line],,0)</f>
        <v>AEM</v>
      </c>
      <c r="BJ266" s="430"/>
    </row>
    <row r="267" spans="1:62" ht="10.5">
      <c r="A267" s="462" t="s">
        <v>1346</v>
      </c>
      <c r="B267" s="462" t="s">
        <v>111</v>
      </c>
      <c r="C267" s="462" t="str">
        <f>IFERROR(LEFT(PV_DATA[[#This Row],[TCL REFERENCE]],FIND(".",PV_DATA[[#This Row],[TCL REFERENCE]],1)-1),"Main Line")</f>
        <v>Main Line</v>
      </c>
      <c r="D267" s="462" t="s">
        <v>63</v>
      </c>
      <c r="E267" s="462" t="s">
        <v>144</v>
      </c>
      <c r="F267" s="462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2" t="s">
        <v>402</v>
      </c>
      <c r="H267" s="462" t="s">
        <v>538</v>
      </c>
      <c r="I267" s="439" t="s">
        <v>882</v>
      </c>
      <c r="J267" s="430" t="s">
        <v>1232</v>
      </c>
      <c r="K267" s="430" t="s">
        <v>1233</v>
      </c>
      <c r="L267" s="430"/>
      <c r="M267" s="430" t="s">
        <v>840</v>
      </c>
      <c r="N267" s="432">
        <v>46045</v>
      </c>
      <c r="O267" s="430" t="s">
        <v>1032</v>
      </c>
      <c r="P267" s="430" t="s">
        <v>1347</v>
      </c>
      <c r="Q267" s="430" t="s">
        <v>1348</v>
      </c>
      <c r="R267" s="431" t="str">
        <f>_xlfn.XLOOKUP(PV_DATA[[#This Row],[New Ark SKU]],Table9[New Ark SKU],Table9[Connector],,0)</f>
        <v>EVO2A</v>
      </c>
      <c r="S267" s="442" t="str">
        <f>_xlfn.XLOOKUP(PV_DATA[[#This Row],[New Ark SKU]],Table9[New Ark SKU],Table9[Cable],,0)</f>
        <v>±1400mm</v>
      </c>
      <c r="T267" s="433">
        <v>710</v>
      </c>
      <c r="U267" s="1088">
        <v>132</v>
      </c>
      <c r="V267" s="434">
        <f>PV_DATA[[#This Row],[QUANTITY]]*PV_DATA[[#This Row],[WATT]]/1000000</f>
        <v>9.3719999999999998E-2</v>
      </c>
      <c r="W267" s="435">
        <f>PV_DATA[[#This Row],[QUANTITY]]/PV_DATA[[#This Row],[Qty/Pallet]]</f>
        <v>4</v>
      </c>
      <c r="X267" s="1040">
        <f>PV_DATA[[#This Row],[QUANTITY]]/PV_DATA[[#This Row],[Qty/CT]]</f>
        <v>0.22222222222222221</v>
      </c>
      <c r="Y267" s="430" t="s">
        <v>75</v>
      </c>
      <c r="Z267" s="430" t="str">
        <f t="shared" si="1"/>
        <v>COMPLETED</v>
      </c>
      <c r="AA267" s="430"/>
      <c r="AB267" s="437">
        <v>46086</v>
      </c>
      <c r="AC267" s="438">
        <f>IF(PV_DATA[[#This Row],[Pick- Up Date]]&lt;&gt;"",_xlfn.ISOWEEKNUM(PV_DATA[[#This Row],[Pick- Up Date]]),"")</f>
        <v>10</v>
      </c>
      <c r="AD267" s="439" t="s">
        <v>1349</v>
      </c>
      <c r="AE267" s="430"/>
      <c r="AF267" s="430" t="s">
        <v>122</v>
      </c>
      <c r="AG267" s="430" t="s">
        <v>123</v>
      </c>
      <c r="AH267" s="430" t="s">
        <v>541</v>
      </c>
      <c r="AI267" s="437">
        <v>46091</v>
      </c>
      <c r="AJ267" s="437">
        <v>46091</v>
      </c>
      <c r="AK267" s="441">
        <v>46091</v>
      </c>
      <c r="AL267" s="437">
        <v>46154</v>
      </c>
      <c r="AM267" s="437">
        <v>46161</v>
      </c>
      <c r="AN267" s="437">
        <v>46162</v>
      </c>
      <c r="AO267" s="430" t="s">
        <v>402</v>
      </c>
      <c r="AP267" s="430" t="s">
        <v>1350</v>
      </c>
      <c r="AQ267" s="430" t="s">
        <v>161</v>
      </c>
      <c r="AR267" s="430" t="s">
        <v>1351</v>
      </c>
      <c r="AS267" s="430" t="s">
        <v>1352</v>
      </c>
      <c r="AT267" s="482" t="s">
        <v>1353</v>
      </c>
      <c r="AU2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7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7">
        <f>IF(ISERROR(PV_DATA[[#This Row],[New Ark PO status]]),"",_xlfn.XLOOKUP(PV_DATA[[#This Row],[SPTN-PVHK New Ark PO'#]],New_Ark_Data[Purchase order Number],New_Ark_Data[Estimated time of arrival],"",0))</f>
        <v>46168</v>
      </c>
      <c r="AZ26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7">
        <f>IFERROR(PV_DATA[[#This Row],[ODP ETA Port]]+PV_DATA[[#This Row],[Customs/Leg3 Assumption]],"n/a")</f>
        <v>46162</v>
      </c>
      <c r="BB267" s="433">
        <f>YEAR(PV_DATA[[#This Row],[ETA for New Ark update]])</f>
        <v>2026</v>
      </c>
      <c r="BC267" s="430">
        <f>MONTH(PV_DATA[[#This Row],[ETA for New Ark update]])</f>
        <v>5</v>
      </c>
      <c r="BD267" s="430">
        <f>IFERROR(_xlfn.ISOWEEKNUM(PV_DATA[[#This Row],[ETA for New Ark update]]),0)</f>
        <v>21</v>
      </c>
      <c r="BE267" s="431">
        <f>_xlfn.XLOOKUP(PV_DATA[[#This Row],[New Ark SKU]],Table9[New Ark SKU],Table9[Total PCS per Pallet],,0)</f>
        <v>33</v>
      </c>
      <c r="BF267" s="431">
        <f>_xlfn.XLOOKUP(PV_DATA[[#This Row],[New Ark SKU]],Table9[New Ark SKU],Table9[Total PCS per 40HQ Container],,0)</f>
        <v>594</v>
      </c>
      <c r="BG267" s="431" t="str">
        <f>_xlfn.XLOOKUP(PV_DATA[[#This Row],[New Ark SKU]],Table9[New Ark SKU],Table9[Back Glass],,0)</f>
        <v>Redirection Film</v>
      </c>
      <c r="BH267" s="431" t="str">
        <f>_xlfn.XLOOKUP(PV_DATA[[#This Row],[PORT DESTINATION]],Table12[PORT DESTINATION],Table12[Cosco Line],,0)</f>
        <v>AEU</v>
      </c>
      <c r="BJ267" s="430"/>
    </row>
    <row r="268" spans="1:62" ht="10.5">
      <c r="A268" s="462" t="s">
        <v>1354</v>
      </c>
      <c r="B268" s="462" t="s">
        <v>111</v>
      </c>
      <c r="C268" s="462" t="str">
        <f>IFERROR(LEFT(PV_DATA[[#This Row],[TCL REFERENCE]],FIND(".",PV_DATA[[#This Row],[TCL REFERENCE]],1)-1),"Main Line")</f>
        <v>Main Line</v>
      </c>
      <c r="D268" s="462" t="s">
        <v>63</v>
      </c>
      <c r="E268" s="462" t="s">
        <v>144</v>
      </c>
      <c r="F268" s="462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2" t="s">
        <v>402</v>
      </c>
      <c r="H268" s="462" t="s">
        <v>538</v>
      </c>
      <c r="I268" s="439" t="s">
        <v>882</v>
      </c>
      <c r="J268" s="430" t="s">
        <v>1232</v>
      </c>
      <c r="K268" s="430" t="s">
        <v>1233</v>
      </c>
      <c r="L268" s="430"/>
      <c r="M268" s="430" t="s">
        <v>840</v>
      </c>
      <c r="N268" s="432">
        <v>46045</v>
      </c>
      <c r="O268" s="430" t="s">
        <v>1032</v>
      </c>
      <c r="P268" s="459" t="s">
        <v>1355</v>
      </c>
      <c r="Q268" s="430" t="s">
        <v>1356</v>
      </c>
      <c r="R268" s="431" t="str">
        <f>_xlfn.XLOOKUP(PV_DATA[[#This Row],[New Ark SKU]],Table9[New Ark SKU],Table9[Connector],,0)</f>
        <v>EVO2A</v>
      </c>
      <c r="S268" s="442" t="str">
        <f>_xlfn.XLOOKUP(PV_DATA[[#This Row],[New Ark SKU]],Table9[New Ark SKU],Table9[Cable],,0)</f>
        <v>±1400mm</v>
      </c>
      <c r="T268" s="433">
        <v>715</v>
      </c>
      <c r="U268" s="1088">
        <v>462</v>
      </c>
      <c r="V268" s="434">
        <f>PV_DATA[[#This Row],[QUANTITY]]*PV_DATA[[#This Row],[WATT]]/1000000</f>
        <v>0.33033000000000001</v>
      </c>
      <c r="W268" s="435">
        <f>PV_DATA[[#This Row],[QUANTITY]]/PV_DATA[[#This Row],[Qty/Pallet]]</f>
        <v>14</v>
      </c>
      <c r="X268" s="1040">
        <f>PV_DATA[[#This Row],[QUANTITY]]/PV_DATA[[#This Row],[Qty/CT]]</f>
        <v>0.77777777777777779</v>
      </c>
      <c r="Y268" s="430" t="s">
        <v>75</v>
      </c>
      <c r="Z268" s="430" t="str">
        <f t="shared" si="1"/>
        <v>COMPLETED</v>
      </c>
      <c r="AA268" s="430"/>
      <c r="AB268" s="437">
        <v>46086</v>
      </c>
      <c r="AC268" s="438">
        <f>IF(PV_DATA[[#This Row],[Pick- Up Date]]&lt;&gt;"",_xlfn.ISOWEEKNUM(PV_DATA[[#This Row],[Pick- Up Date]]),"")</f>
        <v>10</v>
      </c>
      <c r="AD268" s="439" t="s">
        <v>1357</v>
      </c>
      <c r="AE268" s="430"/>
      <c r="AF268" s="430" t="s">
        <v>122</v>
      </c>
      <c r="AG268" s="430" t="s">
        <v>123</v>
      </c>
      <c r="AH268" s="430" t="s">
        <v>541</v>
      </c>
      <c r="AI268" s="437">
        <v>46091</v>
      </c>
      <c r="AJ268" s="437">
        <v>46091</v>
      </c>
      <c r="AK268" s="441">
        <v>46091</v>
      </c>
      <c r="AL268" s="437">
        <v>46154</v>
      </c>
      <c r="AM268" s="437">
        <v>46161</v>
      </c>
      <c r="AN268" s="437">
        <v>46162</v>
      </c>
      <c r="AO268" s="430" t="s">
        <v>402</v>
      </c>
      <c r="AP268" s="430" t="s">
        <v>1350</v>
      </c>
      <c r="AQ268" s="430" t="s">
        <v>161</v>
      </c>
      <c r="AR268" s="430" t="s">
        <v>1351</v>
      </c>
      <c r="AS268" s="430" t="s">
        <v>1352</v>
      </c>
      <c r="AT268" s="482" t="s">
        <v>1353</v>
      </c>
      <c r="AU2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7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7">
        <f>IF(ISERROR(PV_DATA[[#This Row],[New Ark PO status]]),"",_xlfn.XLOOKUP(PV_DATA[[#This Row],[SPTN-PVHK New Ark PO'#]],New_Ark_Data[Purchase order Number],New_Ark_Data[Estimated time of arrival],"",0))</f>
        <v>46168</v>
      </c>
      <c r="AZ26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7">
        <f>IFERROR(PV_DATA[[#This Row],[ODP ETA Port]]+PV_DATA[[#This Row],[Customs/Leg3 Assumption]],"n/a")</f>
        <v>46162</v>
      </c>
      <c r="BB268" s="433">
        <f>YEAR(PV_DATA[[#This Row],[ETA for New Ark update]])</f>
        <v>2026</v>
      </c>
      <c r="BC268" s="430">
        <f>MONTH(PV_DATA[[#This Row],[ETA for New Ark update]])</f>
        <v>5</v>
      </c>
      <c r="BD268" s="430">
        <f>IFERROR(_xlfn.ISOWEEKNUM(PV_DATA[[#This Row],[ETA for New Ark update]]),0)</f>
        <v>21</v>
      </c>
      <c r="BE268" s="431">
        <f>_xlfn.XLOOKUP(PV_DATA[[#This Row],[New Ark SKU]],Table9[New Ark SKU],Table9[Total PCS per Pallet],,0)</f>
        <v>33</v>
      </c>
      <c r="BF268" s="431">
        <f>_xlfn.XLOOKUP(PV_DATA[[#This Row],[New Ark SKU]],Table9[New Ark SKU],Table9[Total PCS per 40HQ Container],,0)</f>
        <v>594</v>
      </c>
      <c r="BG268" s="431" t="str">
        <f>_xlfn.XLOOKUP(PV_DATA[[#This Row],[New Ark SKU]],Table9[New Ark SKU],Table9[Back Glass],,0)</f>
        <v>Redirection Film</v>
      </c>
      <c r="BH268" s="431" t="str">
        <f>_xlfn.XLOOKUP(PV_DATA[[#This Row],[PORT DESTINATION]],Table12[PORT DESTINATION],Table12[Cosco Line],,0)</f>
        <v>AEU</v>
      </c>
      <c r="BJ268" s="430"/>
    </row>
    <row r="269" spans="1:62" ht="10.5">
      <c r="A269" s="462" t="s">
        <v>1358</v>
      </c>
      <c r="B269" s="462" t="s">
        <v>61</v>
      </c>
      <c r="C269" s="462" t="str">
        <f>IFERROR(LEFT(PV_DATA[[#This Row],[TCL REFERENCE]],FIND(".",PV_DATA[[#This Row],[TCL REFERENCE]],1)-1),"Main Line")</f>
        <v>26Feb017</v>
      </c>
      <c r="D269" s="462" t="s">
        <v>63</v>
      </c>
      <c r="E269" s="462" t="s">
        <v>64</v>
      </c>
      <c r="F269" s="462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2" t="s">
        <v>402</v>
      </c>
      <c r="H269" s="462" t="s">
        <v>67</v>
      </c>
      <c r="I269" s="439" t="s">
        <v>689</v>
      </c>
      <c r="J269" s="430" t="s">
        <v>1132</v>
      </c>
      <c r="K269" s="430"/>
      <c r="L269" s="430"/>
      <c r="M269" s="430" t="s">
        <v>840</v>
      </c>
      <c r="N269" s="432">
        <v>46069</v>
      </c>
      <c r="O269" s="430" t="s">
        <v>70</v>
      </c>
      <c r="P269" s="430" t="s">
        <v>195</v>
      </c>
      <c r="Q269" s="430" t="s">
        <v>196</v>
      </c>
      <c r="R269" s="431" t="str">
        <f>_xlfn.XLOOKUP(PV_DATA[[#This Row],[New Ark SKU]],Table9[New Ark SKU],Table9[Connector],,0)</f>
        <v>EVO2A</v>
      </c>
      <c r="S269" s="442" t="str">
        <f>_xlfn.XLOOKUP(PV_DATA[[#This Row],[New Ark SKU]],Table9[New Ark SKU],Table9[Cable],,0)</f>
        <v>±1200mm</v>
      </c>
      <c r="T269" s="433">
        <v>450</v>
      </c>
      <c r="U269" s="1088">
        <f>936*5</f>
        <v>4680</v>
      </c>
      <c r="V269" s="434">
        <f>PV_DATA[[#This Row],[QUANTITY]]*PV_DATA[[#This Row],[WATT]]/1000000</f>
        <v>2.1059999999999999</v>
      </c>
      <c r="W269" s="435">
        <f>PV_DATA[[#This Row],[QUANTITY]]/PV_DATA[[#This Row],[Qty/Pallet]]</f>
        <v>130</v>
      </c>
      <c r="X269" s="1040">
        <f>PV_DATA[[#This Row],[QUANTITY]]/PV_DATA[[#This Row],[Qty/CT]]</f>
        <v>5</v>
      </c>
      <c r="Y269" s="430" t="s">
        <v>75</v>
      </c>
      <c r="Z269" s="430" t="str">
        <f t="shared" si="1"/>
        <v>COMPLETED</v>
      </c>
      <c r="AA269" s="430"/>
      <c r="AB269" s="437">
        <v>46084</v>
      </c>
      <c r="AC269" s="438">
        <f>IF(PV_DATA[[#This Row],[Pick- Up Date]]&lt;&gt;"",_xlfn.ISOWEEKNUM(PV_DATA[[#This Row],[Pick- Up Date]]),"")</f>
        <v>10</v>
      </c>
      <c r="AD269" s="449" t="s">
        <v>1359</v>
      </c>
      <c r="AE269" s="430"/>
      <c r="AF269" s="430" t="s">
        <v>77</v>
      </c>
      <c r="AG269" s="430" t="s">
        <v>61</v>
      </c>
      <c r="AH269" s="430" t="s">
        <v>105</v>
      </c>
      <c r="AI269" s="437">
        <v>46088</v>
      </c>
      <c r="AJ269" s="437">
        <v>46088</v>
      </c>
      <c r="AK269" s="441">
        <v>46088</v>
      </c>
      <c r="AL269" s="437">
        <v>46141</v>
      </c>
      <c r="AM269" s="437">
        <v>46142</v>
      </c>
      <c r="AN269" s="437">
        <v>46141</v>
      </c>
      <c r="AO269" s="430" t="s">
        <v>402</v>
      </c>
      <c r="AP269" s="430" t="s">
        <v>889</v>
      </c>
      <c r="AQ269" s="430" t="s">
        <v>80</v>
      </c>
      <c r="AR269" s="430" t="s">
        <v>1360</v>
      </c>
      <c r="AS269" s="430" t="s">
        <v>1361</v>
      </c>
      <c r="AT269" s="482" t="s">
        <v>1361</v>
      </c>
      <c r="AU2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7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7">
        <f>IF(ISERROR(PV_DATA[[#This Row],[New Ark PO status]]),"",_xlfn.XLOOKUP(PV_DATA[[#This Row],[SPTN-PVHK New Ark PO'#]],New_Ark_Data[Purchase order Number],New_Ark_Data[Estimated time of arrival],"",0))</f>
        <v>46163</v>
      </c>
      <c r="AZ26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7">
        <f>IFERROR(PV_DATA[[#This Row],[ODP ETA Port]]+PV_DATA[[#This Row],[Customs/Leg3 Assumption]],"n/a")</f>
        <v>46148</v>
      </c>
      <c r="BB269" s="433">
        <f>YEAR(PV_DATA[[#This Row],[ETA for New Ark update]])</f>
        <v>2026</v>
      </c>
      <c r="BC269" s="430">
        <f>MONTH(PV_DATA[[#This Row],[ETA for New Ark update]])</f>
        <v>5</v>
      </c>
      <c r="BD269" s="430">
        <f>IFERROR(_xlfn.ISOWEEKNUM(PV_DATA[[#This Row],[ETA for New Ark update]]),0)</f>
        <v>19</v>
      </c>
      <c r="BE269" s="431">
        <f>_xlfn.XLOOKUP(PV_DATA[[#This Row],[New Ark SKU]],Table9[New Ark SKU],Table9[Total PCS per Pallet],,0)</f>
        <v>36</v>
      </c>
      <c r="BF269" s="431">
        <f>_xlfn.XLOOKUP(PV_DATA[[#This Row],[New Ark SKU]],Table9[New Ark SKU],Table9[Total PCS per 40HQ Container],,0)</f>
        <v>936</v>
      </c>
      <c r="BG269" s="431" t="str">
        <f>_xlfn.XLOOKUP(PV_DATA[[#This Row],[New Ark SKU]],Table9[New Ark SKU],Table9[Back Glass],,0)</f>
        <v>Black glazing</v>
      </c>
      <c r="BH269" s="431" t="str">
        <f>_xlfn.XLOOKUP(PV_DATA[[#This Row],[PORT DESTINATION]],Table12[PORT DESTINATION],Table12[Cosco Line],,0)</f>
        <v>AEU</v>
      </c>
      <c r="BJ269" s="430"/>
    </row>
    <row r="270" spans="1:62" ht="10.5">
      <c r="A270" s="462" t="s">
        <v>1362</v>
      </c>
      <c r="B270" s="462" t="s">
        <v>61</v>
      </c>
      <c r="C270" s="462" t="str">
        <f>IFERROR(LEFT(PV_DATA[[#This Row],[TCL REFERENCE]],FIND(".",PV_DATA[[#This Row],[TCL REFERENCE]],1)-1),"Main Line")</f>
        <v>26Feb017</v>
      </c>
      <c r="D270" s="462" t="s">
        <v>63</v>
      </c>
      <c r="E270" s="462" t="s">
        <v>64</v>
      </c>
      <c r="F270" s="462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2" t="s">
        <v>402</v>
      </c>
      <c r="H270" s="462" t="s">
        <v>67</v>
      </c>
      <c r="I270" s="439" t="s">
        <v>689</v>
      </c>
      <c r="J270" s="430" t="s">
        <v>1363</v>
      </c>
      <c r="K270" s="430"/>
      <c r="L270" s="430"/>
      <c r="M270" s="430" t="s">
        <v>68</v>
      </c>
      <c r="N270" s="432">
        <v>46069</v>
      </c>
      <c r="O270" s="430" t="s">
        <v>70</v>
      </c>
      <c r="P270" s="430" t="s">
        <v>195</v>
      </c>
      <c r="Q270" s="430" t="s">
        <v>196</v>
      </c>
      <c r="R270" s="431" t="str">
        <f>_xlfn.XLOOKUP(PV_DATA[[#This Row],[New Ark SKU]],Table9[New Ark SKU],Table9[Connector],,0)</f>
        <v>EVO2A</v>
      </c>
      <c r="S270" s="442" t="str">
        <f>_xlfn.XLOOKUP(PV_DATA[[#This Row],[New Ark SKU]],Table9[New Ark SKU],Table9[Cable],,0)</f>
        <v>±1200mm</v>
      </c>
      <c r="T270" s="433">
        <v>450</v>
      </c>
      <c r="U270" s="1088">
        <f>936*2</f>
        <v>1872</v>
      </c>
      <c r="V270" s="434">
        <f>PV_DATA[[#This Row],[QUANTITY]]*PV_DATA[[#This Row],[WATT]]/1000000</f>
        <v>0.84240000000000004</v>
      </c>
      <c r="W270" s="435">
        <f>PV_DATA[[#This Row],[QUANTITY]]/PV_DATA[[#This Row],[Qty/Pallet]]</f>
        <v>52</v>
      </c>
      <c r="X270" s="1040">
        <f>PV_DATA[[#This Row],[QUANTITY]]/PV_DATA[[#This Row],[Qty/CT]]</f>
        <v>2</v>
      </c>
      <c r="Y270" s="430" t="s">
        <v>75</v>
      </c>
      <c r="Z270" s="430" t="str">
        <f t="shared" si="1"/>
        <v>COMPLETED</v>
      </c>
      <c r="AA270" s="430"/>
      <c r="AB270" s="437">
        <v>46083</v>
      </c>
      <c r="AC270" s="438">
        <f>IF(PV_DATA[[#This Row],[Pick- Up Date]]&lt;&gt;"",_xlfn.ISOWEEKNUM(PV_DATA[[#This Row],[Pick- Up Date]]),"")</f>
        <v>10</v>
      </c>
      <c r="AD270" s="439" t="s">
        <v>1364</v>
      </c>
      <c r="AE270" s="430"/>
      <c r="AF270" s="430" t="s">
        <v>77</v>
      </c>
      <c r="AG270" s="430" t="s">
        <v>61</v>
      </c>
      <c r="AH270" s="430" t="s">
        <v>105</v>
      </c>
      <c r="AI270" s="437">
        <v>46088</v>
      </c>
      <c r="AJ270" s="437">
        <v>46088</v>
      </c>
      <c r="AK270" s="441">
        <v>46088</v>
      </c>
      <c r="AL270" s="437">
        <v>46133</v>
      </c>
      <c r="AM270" s="437">
        <v>46142</v>
      </c>
      <c r="AN270" s="437">
        <v>46141</v>
      </c>
      <c r="AO270" s="430" t="s">
        <v>402</v>
      </c>
      <c r="AP270" s="430" t="s">
        <v>889</v>
      </c>
      <c r="AQ270" s="430" t="s">
        <v>80</v>
      </c>
      <c r="AR270" s="430" t="s">
        <v>1365</v>
      </c>
      <c r="AS270" s="430" t="s">
        <v>1366</v>
      </c>
      <c r="AT270" s="482" t="s">
        <v>1366</v>
      </c>
      <c r="AU2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7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7">
        <f>IF(ISERROR(PV_DATA[[#This Row],[New Ark PO status]]),"",_xlfn.XLOOKUP(PV_DATA[[#This Row],[SPTN-PVHK New Ark PO'#]],New_Ark_Data[Purchase order Number],New_Ark_Data[Estimated time of arrival],"",0))</f>
        <v>46163</v>
      </c>
      <c r="AZ27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7">
        <f>IFERROR(PV_DATA[[#This Row],[ODP ETA Port]]+PV_DATA[[#This Row],[Customs/Leg3 Assumption]],"n/a")</f>
        <v>46148</v>
      </c>
      <c r="BB270" s="433">
        <f>YEAR(PV_DATA[[#This Row],[ETA for New Ark update]])</f>
        <v>2026</v>
      </c>
      <c r="BC270" s="430">
        <f>MONTH(PV_DATA[[#This Row],[ETA for New Ark update]])</f>
        <v>5</v>
      </c>
      <c r="BD270" s="430">
        <f>IFERROR(_xlfn.ISOWEEKNUM(PV_DATA[[#This Row],[ETA for New Ark update]]),0)</f>
        <v>19</v>
      </c>
      <c r="BE270" s="431">
        <f>_xlfn.XLOOKUP(PV_DATA[[#This Row],[New Ark SKU]],Table9[New Ark SKU],Table9[Total PCS per Pallet],,0)</f>
        <v>36</v>
      </c>
      <c r="BF270" s="431">
        <f>_xlfn.XLOOKUP(PV_DATA[[#This Row],[New Ark SKU]],Table9[New Ark SKU],Table9[Total PCS per 40HQ Container],,0)</f>
        <v>936</v>
      </c>
      <c r="BG270" s="431" t="str">
        <f>_xlfn.XLOOKUP(PV_DATA[[#This Row],[New Ark SKU]],Table9[New Ark SKU],Table9[Back Glass],,0)</f>
        <v>Black glazing</v>
      </c>
      <c r="BH270" s="431" t="str">
        <f>_xlfn.XLOOKUP(PV_DATA[[#This Row],[PORT DESTINATION]],Table12[PORT DESTINATION],Table12[Cosco Line],,0)</f>
        <v>AEU</v>
      </c>
      <c r="BJ270" s="430"/>
    </row>
    <row r="271" spans="1:62" ht="10.5">
      <c r="A271" s="462" t="s">
        <v>1367</v>
      </c>
      <c r="B271" s="462" t="s">
        <v>61</v>
      </c>
      <c r="C271" s="462" t="str">
        <f>IFERROR(LEFT(PV_DATA[[#This Row],[TCL REFERENCE]],FIND(".",PV_DATA[[#This Row],[TCL REFERENCE]],1)-1),"Main Line")</f>
        <v>26Feb017</v>
      </c>
      <c r="D271" s="462" t="s">
        <v>63</v>
      </c>
      <c r="E271" s="462" t="s">
        <v>64</v>
      </c>
      <c r="F271" s="462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2" t="s">
        <v>402</v>
      </c>
      <c r="H271" s="462" t="s">
        <v>67</v>
      </c>
      <c r="I271" s="439" t="s">
        <v>689</v>
      </c>
      <c r="J271" s="430" t="s">
        <v>1368</v>
      </c>
      <c r="K271" s="430"/>
      <c r="L271" s="430"/>
      <c r="M271" s="430" t="s">
        <v>68</v>
      </c>
      <c r="N271" s="432">
        <v>46069</v>
      </c>
      <c r="O271" s="430" t="s">
        <v>70</v>
      </c>
      <c r="P271" s="430" t="s">
        <v>195</v>
      </c>
      <c r="Q271" s="430" t="s">
        <v>196</v>
      </c>
      <c r="R271" s="431" t="str">
        <f>_xlfn.XLOOKUP(PV_DATA[[#This Row],[New Ark SKU]],Table9[New Ark SKU],Table9[Connector],,0)</f>
        <v>EVO2A</v>
      </c>
      <c r="S271" s="442" t="str">
        <f>_xlfn.XLOOKUP(PV_DATA[[#This Row],[New Ark SKU]],Table9[New Ark SKU],Table9[Cable],,0)</f>
        <v>±1200mm</v>
      </c>
      <c r="T271" s="433">
        <v>450</v>
      </c>
      <c r="U271" s="1088">
        <f>936*2</f>
        <v>1872</v>
      </c>
      <c r="V271" s="434">
        <f>PV_DATA[[#This Row],[QUANTITY]]*PV_DATA[[#This Row],[WATT]]/1000000</f>
        <v>0.84240000000000004</v>
      </c>
      <c r="W271" s="435">
        <f>PV_DATA[[#This Row],[QUANTITY]]/PV_DATA[[#This Row],[Qty/Pallet]]</f>
        <v>52</v>
      </c>
      <c r="X271" s="1040">
        <f>PV_DATA[[#This Row],[QUANTITY]]/PV_DATA[[#This Row],[Qty/CT]]</f>
        <v>2</v>
      </c>
      <c r="Y271" s="430" t="s">
        <v>75</v>
      </c>
      <c r="Z271" s="430" t="str">
        <f t="shared" si="1"/>
        <v>COMPLETED</v>
      </c>
      <c r="AA271" s="430"/>
      <c r="AB271" s="437">
        <v>46083</v>
      </c>
      <c r="AC271" s="438">
        <f>IF(PV_DATA[[#This Row],[Pick- Up Date]]&lt;&gt;"",_xlfn.ISOWEEKNUM(PV_DATA[[#This Row],[Pick- Up Date]]),"")</f>
        <v>10</v>
      </c>
      <c r="AD271" s="439" t="s">
        <v>1369</v>
      </c>
      <c r="AE271" s="430"/>
      <c r="AF271" s="430" t="s">
        <v>77</v>
      </c>
      <c r="AG271" s="430" t="s">
        <v>61</v>
      </c>
      <c r="AH271" s="430" t="s">
        <v>105</v>
      </c>
      <c r="AI271" s="437">
        <v>46088</v>
      </c>
      <c r="AJ271" s="437">
        <v>46088</v>
      </c>
      <c r="AK271" s="441">
        <v>46088</v>
      </c>
      <c r="AL271" s="437">
        <v>46133</v>
      </c>
      <c r="AM271" s="437">
        <v>46142</v>
      </c>
      <c r="AN271" s="437">
        <v>46141</v>
      </c>
      <c r="AO271" s="430" t="s">
        <v>402</v>
      </c>
      <c r="AP271" s="430" t="s">
        <v>889</v>
      </c>
      <c r="AQ271" s="430" t="s">
        <v>80</v>
      </c>
      <c r="AR271" s="430" t="s">
        <v>1365</v>
      </c>
      <c r="AS271" s="430" t="s">
        <v>1366</v>
      </c>
      <c r="AT271" s="482" t="s">
        <v>1366</v>
      </c>
      <c r="AU2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7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7">
        <f>IF(ISERROR(PV_DATA[[#This Row],[New Ark PO status]]),"",_xlfn.XLOOKUP(PV_DATA[[#This Row],[SPTN-PVHK New Ark PO'#]],New_Ark_Data[Purchase order Number],New_Ark_Data[Estimated time of arrival],"",0))</f>
        <v>46163</v>
      </c>
      <c r="AZ27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7">
        <f>IFERROR(PV_DATA[[#This Row],[ODP ETA Port]]+PV_DATA[[#This Row],[Customs/Leg3 Assumption]],"n/a")</f>
        <v>46148</v>
      </c>
      <c r="BB271" s="433">
        <f>YEAR(PV_DATA[[#This Row],[ETA for New Ark update]])</f>
        <v>2026</v>
      </c>
      <c r="BC271" s="430">
        <f>MONTH(PV_DATA[[#This Row],[ETA for New Ark update]])</f>
        <v>5</v>
      </c>
      <c r="BD271" s="430">
        <f>IFERROR(_xlfn.ISOWEEKNUM(PV_DATA[[#This Row],[ETA for New Ark update]]),0)</f>
        <v>19</v>
      </c>
      <c r="BE271" s="431">
        <f>_xlfn.XLOOKUP(PV_DATA[[#This Row],[New Ark SKU]],Table9[New Ark SKU],Table9[Total PCS per Pallet],,0)</f>
        <v>36</v>
      </c>
      <c r="BF271" s="431">
        <f>_xlfn.XLOOKUP(PV_DATA[[#This Row],[New Ark SKU]],Table9[New Ark SKU],Table9[Total PCS per 40HQ Container],,0)</f>
        <v>936</v>
      </c>
      <c r="BG271" s="431" t="str">
        <f>_xlfn.XLOOKUP(PV_DATA[[#This Row],[New Ark SKU]],Table9[New Ark SKU],Table9[Back Glass],,0)</f>
        <v>Black glazing</v>
      </c>
      <c r="BH271" s="431" t="str">
        <f>_xlfn.XLOOKUP(PV_DATA[[#This Row],[PORT DESTINATION]],Table12[PORT DESTINATION],Table12[Cosco Line],,0)</f>
        <v>AEU</v>
      </c>
      <c r="BJ271" s="430"/>
    </row>
    <row r="272" spans="1:62" s="450" customFormat="1" ht="10.5">
      <c r="A272" s="462" t="s">
        <v>1370</v>
      </c>
      <c r="B272" s="462" t="s">
        <v>61</v>
      </c>
      <c r="C272" s="462" t="str">
        <f>IFERROR(LEFT(PV_DATA[[#This Row],[TCL REFERENCE]],FIND(".",PV_DATA[[#This Row],[TCL REFERENCE]],1)-1),"Main Line")</f>
        <v>26Feb017</v>
      </c>
      <c r="D272" s="462" t="s">
        <v>63</v>
      </c>
      <c r="E272" s="462" t="s">
        <v>64</v>
      </c>
      <c r="F272" s="462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2" t="s">
        <v>402</v>
      </c>
      <c r="H272" s="462" t="s">
        <v>67</v>
      </c>
      <c r="I272" s="439" t="s">
        <v>689</v>
      </c>
      <c r="J272" s="430" t="s">
        <v>1371</v>
      </c>
      <c r="K272" s="430"/>
      <c r="L272" s="430"/>
      <c r="M272" s="430" t="s">
        <v>68</v>
      </c>
      <c r="N272" s="432">
        <v>46069</v>
      </c>
      <c r="O272" s="430" t="s">
        <v>70</v>
      </c>
      <c r="P272" s="430" t="s">
        <v>195</v>
      </c>
      <c r="Q272" s="430" t="s">
        <v>196</v>
      </c>
      <c r="R272" s="431" t="str">
        <f>_xlfn.XLOOKUP(PV_DATA[[#This Row],[New Ark SKU]],Table9[New Ark SKU],Table9[Connector],,0)</f>
        <v>EVO2A</v>
      </c>
      <c r="S272" s="442" t="str">
        <f>_xlfn.XLOOKUP(PV_DATA[[#This Row],[New Ark SKU]],Table9[New Ark SKU],Table9[Cable],,0)</f>
        <v>±1200mm</v>
      </c>
      <c r="T272" s="433">
        <v>450</v>
      </c>
      <c r="U272" s="1088">
        <f>936*1</f>
        <v>936</v>
      </c>
      <c r="V272" s="434">
        <f>PV_DATA[[#This Row],[QUANTITY]]*PV_DATA[[#This Row],[WATT]]/1000000</f>
        <v>0.42120000000000002</v>
      </c>
      <c r="W272" s="435">
        <f>PV_DATA[[#This Row],[QUANTITY]]/PV_DATA[[#This Row],[Qty/Pallet]]</f>
        <v>26</v>
      </c>
      <c r="X272" s="1040">
        <f>PV_DATA[[#This Row],[QUANTITY]]/PV_DATA[[#This Row],[Qty/CT]]</f>
        <v>1</v>
      </c>
      <c r="Y272" s="430" t="s">
        <v>75</v>
      </c>
      <c r="Z272" s="430" t="str">
        <f t="shared" si="1"/>
        <v>COMPLETED</v>
      </c>
      <c r="AA272" s="430"/>
      <c r="AB272" s="437">
        <v>46083</v>
      </c>
      <c r="AC272" s="438">
        <f>IF(PV_DATA[[#This Row],[Pick- Up Date]]&lt;&gt;"",_xlfn.ISOWEEKNUM(PV_DATA[[#This Row],[Pick- Up Date]]),"")</f>
        <v>10</v>
      </c>
      <c r="AD272" s="439" t="s">
        <v>1372</v>
      </c>
      <c r="AE272" s="430"/>
      <c r="AF272" s="430" t="s">
        <v>77</v>
      </c>
      <c r="AG272" s="430" t="s">
        <v>61</v>
      </c>
      <c r="AH272" s="430" t="s">
        <v>105</v>
      </c>
      <c r="AI272" s="437">
        <v>46088</v>
      </c>
      <c r="AJ272" s="437">
        <v>46088</v>
      </c>
      <c r="AK272" s="441">
        <v>46088</v>
      </c>
      <c r="AL272" s="437">
        <v>46133</v>
      </c>
      <c r="AM272" s="437">
        <v>46142</v>
      </c>
      <c r="AN272" s="437">
        <v>46141</v>
      </c>
      <c r="AO272" s="430" t="s">
        <v>402</v>
      </c>
      <c r="AP272" s="430" t="s">
        <v>889</v>
      </c>
      <c r="AQ272" s="430" t="s">
        <v>80</v>
      </c>
      <c r="AR272" s="430" t="s">
        <v>1365</v>
      </c>
      <c r="AS272" s="430" t="s">
        <v>1366</v>
      </c>
      <c r="AT272" s="482" t="s">
        <v>1366</v>
      </c>
      <c r="AU2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0"/>
      <c r="AW272" s="437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7">
        <f>IF(ISERROR(PV_DATA[[#This Row],[New Ark PO status]]),"",_xlfn.XLOOKUP(PV_DATA[[#This Row],[SPTN-PVHK New Ark PO'#]],New_Ark_Data[Purchase order Number],New_Ark_Data[Estimated time of arrival],"",0))</f>
        <v>46163</v>
      </c>
      <c r="AZ27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7">
        <f>IFERROR(PV_DATA[[#This Row],[ODP ETA Port]]+PV_DATA[[#This Row],[Customs/Leg3 Assumption]],"n/a")</f>
        <v>46148</v>
      </c>
      <c r="BB272" s="433">
        <f>YEAR(PV_DATA[[#This Row],[ETA for New Ark update]])</f>
        <v>2026</v>
      </c>
      <c r="BC272" s="430">
        <f>MONTH(PV_DATA[[#This Row],[ETA for New Ark update]])</f>
        <v>5</v>
      </c>
      <c r="BD272" s="430">
        <f>IFERROR(_xlfn.ISOWEEKNUM(PV_DATA[[#This Row],[ETA for New Ark update]]),0)</f>
        <v>19</v>
      </c>
      <c r="BE272" s="431">
        <f>_xlfn.XLOOKUP(PV_DATA[[#This Row],[New Ark SKU]],Table9[New Ark SKU],Table9[Total PCS per Pallet],,0)</f>
        <v>36</v>
      </c>
      <c r="BF272" s="431">
        <f>_xlfn.XLOOKUP(PV_DATA[[#This Row],[New Ark SKU]],Table9[New Ark SKU],Table9[Total PCS per 40HQ Container],,0)</f>
        <v>936</v>
      </c>
      <c r="BG272" s="431" t="str">
        <f>_xlfn.XLOOKUP(PV_DATA[[#This Row],[New Ark SKU]],Table9[New Ark SKU],Table9[Back Glass],,0)</f>
        <v>Black glazing</v>
      </c>
      <c r="BH272" s="431" t="str">
        <f>_xlfn.XLOOKUP(PV_DATA[[#This Row],[PORT DESTINATION]],Table12[PORT DESTINATION],Table12[Cosco Line],,0)</f>
        <v>AEU</v>
      </c>
    </row>
    <row r="273" spans="1:62" ht="10.5">
      <c r="A273" s="462" t="s">
        <v>1373</v>
      </c>
      <c r="B273" s="462" t="s">
        <v>61</v>
      </c>
      <c r="C273" s="462" t="str">
        <f>IFERROR(LEFT(PV_DATA[[#This Row],[TCL REFERENCE]],FIND(".",PV_DATA[[#This Row],[TCL REFERENCE]],1)-1),"Main Line")</f>
        <v>26JAN005</v>
      </c>
      <c r="D273" s="462" t="s">
        <v>63</v>
      </c>
      <c r="E273" s="462" t="s">
        <v>64</v>
      </c>
      <c r="F273" s="462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2" t="s">
        <v>402</v>
      </c>
      <c r="H273" s="462" t="s">
        <v>67</v>
      </c>
      <c r="I273" s="439" t="s">
        <v>689</v>
      </c>
      <c r="J273" s="430" t="s">
        <v>101</v>
      </c>
      <c r="K273" s="430"/>
      <c r="L273" s="430"/>
      <c r="M273" s="430" t="s">
        <v>68</v>
      </c>
      <c r="N273" s="432">
        <v>46048</v>
      </c>
      <c r="O273" s="430" t="s">
        <v>70</v>
      </c>
      <c r="P273" s="430" t="s">
        <v>1151</v>
      </c>
      <c r="Q273" s="430" t="s">
        <v>421</v>
      </c>
      <c r="R273" s="431" t="str">
        <f>_xlfn.XLOOKUP(PV_DATA[[#This Row],[New Ark SKU]],Table9[New Ark SKU],Table9[Connector],,0)</f>
        <v>EVO2A</v>
      </c>
      <c r="S273" s="442" t="str">
        <f>_xlfn.XLOOKUP(PV_DATA[[#This Row],[New Ark SKU]],Table9[New Ark SKU],Table9[Cable],,0)</f>
        <v>±1200mm</v>
      </c>
      <c r="T273" s="433">
        <v>505</v>
      </c>
      <c r="U273" s="1088">
        <f>864*3</f>
        <v>2592</v>
      </c>
      <c r="V273" s="434">
        <f>PV_DATA[[#This Row],[QUANTITY]]*PV_DATA[[#This Row],[WATT]]/1000000</f>
        <v>1.3089599999999999</v>
      </c>
      <c r="W273" s="435">
        <f>PV_DATA[[#This Row],[QUANTITY]]/PV_DATA[[#This Row],[Qty/Pallet]]</f>
        <v>72</v>
      </c>
      <c r="X273" s="1040">
        <f>PV_DATA[[#This Row],[QUANTITY]]/PV_DATA[[#This Row],[Qty/CT]]</f>
        <v>3</v>
      </c>
      <c r="Y273" s="430" t="s">
        <v>75</v>
      </c>
      <c r="Z273" s="430" t="str">
        <f t="shared" si="1"/>
        <v>COMPLETED</v>
      </c>
      <c r="AA273" s="430"/>
      <c r="AB273" s="437">
        <v>46083</v>
      </c>
      <c r="AC273" s="438">
        <f>IF(PV_DATA[[#This Row],[Pick- Up Date]]&lt;&gt;"",_xlfn.ISOWEEKNUM(PV_DATA[[#This Row],[Pick- Up Date]]),"")</f>
        <v>10</v>
      </c>
      <c r="AD273" s="439" t="s">
        <v>1374</v>
      </c>
      <c r="AE273" s="430"/>
      <c r="AF273" s="430" t="s">
        <v>77</v>
      </c>
      <c r="AG273" s="430" t="s">
        <v>61</v>
      </c>
      <c r="AH273" s="430" t="s">
        <v>105</v>
      </c>
      <c r="AI273" s="437">
        <v>46088</v>
      </c>
      <c r="AJ273" s="437">
        <v>46088</v>
      </c>
      <c r="AK273" s="441">
        <v>46088</v>
      </c>
      <c r="AL273" s="437">
        <v>46133</v>
      </c>
      <c r="AM273" s="437">
        <v>46142</v>
      </c>
      <c r="AN273" s="437">
        <v>46141</v>
      </c>
      <c r="AO273" s="430" t="s">
        <v>402</v>
      </c>
      <c r="AP273" s="430" t="s">
        <v>889</v>
      </c>
      <c r="AQ273" s="430" t="s">
        <v>80</v>
      </c>
      <c r="AR273" s="430" t="s">
        <v>1365</v>
      </c>
      <c r="AS273" s="430" t="s">
        <v>1366</v>
      </c>
      <c r="AT273" s="482" t="s">
        <v>1366</v>
      </c>
      <c r="AU2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7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7">
        <f>IF(ISERROR(PV_DATA[[#This Row],[New Ark PO status]]),"",_xlfn.XLOOKUP(PV_DATA[[#This Row],[SPTN-PVHK New Ark PO'#]],New_Ark_Data[Purchase order Number],New_Ark_Data[Estimated time of arrival],"",0))</f>
        <v>46163</v>
      </c>
      <c r="AZ2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7">
        <f>IFERROR(PV_DATA[[#This Row],[ODP ETA Port]]+PV_DATA[[#This Row],[Customs/Leg3 Assumption]],"n/a")</f>
        <v>46148</v>
      </c>
      <c r="BB273" s="433">
        <f>YEAR(PV_DATA[[#This Row],[ETA for New Ark update]])</f>
        <v>2026</v>
      </c>
      <c r="BC273" s="430">
        <f>MONTH(PV_DATA[[#This Row],[ETA for New Ark update]])</f>
        <v>5</v>
      </c>
      <c r="BD273" s="430">
        <f>IFERROR(_xlfn.ISOWEEKNUM(PV_DATA[[#This Row],[ETA for New Ark update]]),0)</f>
        <v>19</v>
      </c>
      <c r="BE273" s="431">
        <f>_xlfn.XLOOKUP(PV_DATA[[#This Row],[New Ark SKU]],Table9[New Ark SKU],Table9[Total PCS per Pallet],,0)</f>
        <v>36</v>
      </c>
      <c r="BF273" s="431">
        <f>_xlfn.XLOOKUP(PV_DATA[[#This Row],[New Ark SKU]],Table9[New Ark SKU],Table9[Total PCS per 40HQ Container],,0)</f>
        <v>864</v>
      </c>
      <c r="BG273" s="431" t="str">
        <f>_xlfn.XLOOKUP(PV_DATA[[#This Row],[New Ark SKU]],Table9[New Ark SKU],Table9[Back Glass],,0)</f>
        <v>Black glazing</v>
      </c>
      <c r="BH273" s="431" t="str">
        <f>_xlfn.XLOOKUP(PV_DATA[[#This Row],[PORT DESTINATION]],Table12[PORT DESTINATION],Table12[Cosco Line],,0)</f>
        <v>AEU</v>
      </c>
      <c r="BJ273" s="430"/>
    </row>
    <row r="274" spans="1:62" ht="10.5">
      <c r="A274" s="446" t="s">
        <v>1375</v>
      </c>
      <c r="B274" s="446" t="s">
        <v>61</v>
      </c>
      <c r="C274" s="462" t="str">
        <f>IFERROR(LEFT(PV_DATA[[#This Row],[TCL REFERENCE]],FIND(".",PV_DATA[[#This Row],[TCL REFERENCE]],1)-1),"Main Line")</f>
        <v>26JAN005</v>
      </c>
      <c r="D274" s="462" t="s">
        <v>63</v>
      </c>
      <c r="E274" s="446" t="s">
        <v>64</v>
      </c>
      <c r="F274" s="462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2" t="s">
        <v>402</v>
      </c>
      <c r="H274" s="462" t="s">
        <v>67</v>
      </c>
      <c r="I274" s="439" t="s">
        <v>689</v>
      </c>
      <c r="J274" s="430" t="s">
        <v>1376</v>
      </c>
      <c r="K274" s="430"/>
      <c r="L274" s="430"/>
      <c r="M274" s="430" t="s">
        <v>68</v>
      </c>
      <c r="N274" s="432">
        <v>46048</v>
      </c>
      <c r="O274" s="430" t="s">
        <v>70</v>
      </c>
      <c r="P274" s="450" t="s">
        <v>1151</v>
      </c>
      <c r="Q274" s="450" t="s">
        <v>421</v>
      </c>
      <c r="R274" s="431" t="str">
        <f>_xlfn.XLOOKUP(PV_DATA[[#This Row],[New Ark SKU]],Table9[New Ark SKU],Table9[Connector],,0)</f>
        <v>EVO2A</v>
      </c>
      <c r="S274" s="442" t="str">
        <f>_xlfn.XLOOKUP(PV_DATA[[#This Row],[New Ark SKU]],Table9[New Ark SKU],Table9[Cable],,0)</f>
        <v>±1200mm</v>
      </c>
      <c r="T274" s="452">
        <v>505</v>
      </c>
      <c r="U274" s="1089">
        <f>864*8</f>
        <v>6912</v>
      </c>
      <c r="V274" s="453">
        <f>PV_DATA[[#This Row],[QUANTITY]]*PV_DATA[[#This Row],[WATT]]/1000000</f>
        <v>3.4905599999999999</v>
      </c>
      <c r="W274" s="454">
        <f>PV_DATA[[#This Row],[QUANTITY]]/PV_DATA[[#This Row],[Qty/Pallet]]</f>
        <v>192</v>
      </c>
      <c r="X274" s="1045">
        <f>PV_DATA[[#This Row],[QUANTITY]]/PV_DATA[[#This Row],[Qty/CT]]</f>
        <v>8</v>
      </c>
      <c r="Y274" s="450" t="s">
        <v>75</v>
      </c>
      <c r="Z274" s="430" t="str">
        <f t="shared" si="1"/>
        <v>COMPLETED</v>
      </c>
      <c r="AA274" s="450"/>
      <c r="AB274" s="455">
        <v>46083</v>
      </c>
      <c r="AC274" s="456">
        <f>IF(PV_DATA[[#This Row],[Pick- Up Date]]&lt;&gt;"",_xlfn.ISOWEEKNUM(PV_DATA[[#This Row],[Pick- Up Date]]),"")</f>
        <v>10</v>
      </c>
      <c r="AD274" s="446" t="s">
        <v>1377</v>
      </c>
      <c r="AE274" s="450"/>
      <c r="AF274" s="450" t="s">
        <v>77</v>
      </c>
      <c r="AG274" s="450" t="s">
        <v>61</v>
      </c>
      <c r="AH274" s="450" t="s">
        <v>105</v>
      </c>
      <c r="AI274" s="455">
        <v>46088</v>
      </c>
      <c r="AJ274" s="437">
        <v>46088</v>
      </c>
      <c r="AK274" s="441">
        <v>46088</v>
      </c>
      <c r="AL274" s="455">
        <v>46133</v>
      </c>
      <c r="AM274" s="455">
        <v>46142</v>
      </c>
      <c r="AN274" s="455">
        <v>46141</v>
      </c>
      <c r="AO274" s="450" t="s">
        <v>402</v>
      </c>
      <c r="AP274" s="450" t="s">
        <v>889</v>
      </c>
      <c r="AQ274" s="450" t="s">
        <v>80</v>
      </c>
      <c r="AR274" s="450" t="s">
        <v>1378</v>
      </c>
      <c r="AS274" s="450" t="s">
        <v>1379</v>
      </c>
      <c r="AT274" s="482" t="s">
        <v>1379</v>
      </c>
      <c r="AU2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0"/>
      <c r="AW274" s="455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5">
        <f>IF(ISERROR(PV_DATA[[#This Row],[New Ark PO status]]),"",_xlfn.XLOOKUP(PV_DATA[[#This Row],[SPTN-PVHK New Ark PO'#]],New_Ark_Data[Purchase order Number],New_Ark_Data[Estimated time of arrival],"",0))</f>
        <v>46163</v>
      </c>
      <c r="AZ27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7">
        <f>IFERROR(PV_DATA[[#This Row],[ODP ETA Port]]+PV_DATA[[#This Row],[Customs/Leg3 Assumption]],"n/a")</f>
        <v>46148</v>
      </c>
      <c r="BB274" s="452">
        <f>YEAR(PV_DATA[[#This Row],[ETA for New Ark update]])</f>
        <v>2026</v>
      </c>
      <c r="BC274" s="450">
        <f>MONTH(PV_DATA[[#This Row],[ETA for New Ark update]])</f>
        <v>5</v>
      </c>
      <c r="BD274" s="450">
        <f>IFERROR(_xlfn.ISOWEEKNUM(PV_DATA[[#This Row],[ETA for New Ark update]]),0)</f>
        <v>19</v>
      </c>
      <c r="BE274" s="431">
        <f>_xlfn.XLOOKUP(PV_DATA[[#This Row],[New Ark SKU]],Table9[New Ark SKU],Table9[Total PCS per Pallet],,0)</f>
        <v>36</v>
      </c>
      <c r="BF274" s="431">
        <f>_xlfn.XLOOKUP(PV_DATA[[#This Row],[New Ark SKU]],Table9[New Ark SKU],Table9[Total PCS per 40HQ Container],,0)</f>
        <v>864</v>
      </c>
      <c r="BG274" s="431" t="str">
        <f>_xlfn.XLOOKUP(PV_DATA[[#This Row],[New Ark SKU]],Table9[New Ark SKU],Table9[Back Glass],,0)</f>
        <v>Black glazing</v>
      </c>
      <c r="BH274" s="431" t="str">
        <f>_xlfn.XLOOKUP(PV_DATA[[#This Row],[PORT DESTINATION]],Table12[PORT DESTINATION],Table12[Cosco Line],,0)</f>
        <v>AEU</v>
      </c>
      <c r="BJ274" s="430"/>
    </row>
    <row r="275" spans="1:62" s="1205" customFormat="1" ht="10.5">
      <c r="A275" s="1204" t="s">
        <v>1380</v>
      </c>
      <c r="B275" s="1204" t="s">
        <v>61</v>
      </c>
      <c r="C275" s="1204" t="str">
        <f>IFERROR(LEFT(PV_DATA[[#This Row],[TCL REFERENCE]],FIND(".",PV_DATA[[#This Row],[TCL REFERENCE]],1)-1),"Main Line")</f>
        <v>26Feb017</v>
      </c>
      <c r="D275" s="1204" t="s">
        <v>63</v>
      </c>
      <c r="E275" s="1204" t="s">
        <v>144</v>
      </c>
      <c r="F275" s="1204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1204" t="s">
        <v>402</v>
      </c>
      <c r="H275" s="1204" t="s">
        <v>1381</v>
      </c>
      <c r="I275" s="1204" t="s">
        <v>689</v>
      </c>
      <c r="J275" s="1205" t="s">
        <v>1270</v>
      </c>
      <c r="K275" s="1205" t="s">
        <v>1382</v>
      </c>
      <c r="M275" s="1205" t="s">
        <v>840</v>
      </c>
      <c r="N275" s="1206">
        <v>46076</v>
      </c>
      <c r="O275" s="1205" t="s">
        <v>70</v>
      </c>
      <c r="P275" s="1205" t="s">
        <v>195</v>
      </c>
      <c r="Q275" s="1205" t="s">
        <v>196</v>
      </c>
      <c r="R275" s="1205" t="str">
        <f>_xlfn.XLOOKUP(PV_DATA[[#This Row],[New Ark SKU]],Table9[New Ark SKU],Table9[Connector],,0)</f>
        <v>EVO2A</v>
      </c>
      <c r="S275" s="1207" t="str">
        <f>_xlfn.XLOOKUP(PV_DATA[[#This Row],[New Ark SKU]],Table9[New Ark SKU],Table9[Cable],,0)</f>
        <v>±1200mm</v>
      </c>
      <c r="T275" s="1207">
        <v>450</v>
      </c>
      <c r="U275" s="1208">
        <f>936*2</f>
        <v>1872</v>
      </c>
      <c r="V275" s="1209">
        <f>PV_DATA[[#This Row],[QUANTITY]]*PV_DATA[[#This Row],[WATT]]/1000000</f>
        <v>0.84240000000000004</v>
      </c>
      <c r="W275" s="1210">
        <f>PV_DATA[[#This Row],[QUANTITY]]/PV_DATA[[#This Row],[Qty/Pallet]]</f>
        <v>52</v>
      </c>
      <c r="X275" s="1211">
        <f>PV_DATA[[#This Row],[QUANTITY]]/PV_DATA[[#This Row],[Qty/CT]]</f>
        <v>2</v>
      </c>
      <c r="Y275" s="1205" t="s">
        <v>75</v>
      </c>
      <c r="Z275" s="1205" t="str">
        <f t="shared" si="1"/>
        <v>COMPLETED</v>
      </c>
      <c r="AB275" s="1212">
        <v>46082</v>
      </c>
      <c r="AC275" s="1213">
        <f>IF(PV_DATA[[#This Row],[Pick- Up Date]]&lt;&gt;"",_xlfn.ISOWEEKNUM(PV_DATA[[#This Row],[Pick- Up Date]]),"")</f>
        <v>9</v>
      </c>
      <c r="AD275" s="1204" t="s">
        <v>1383</v>
      </c>
      <c r="AF275" s="1205" t="s">
        <v>77</v>
      </c>
      <c r="AG275" s="1205" t="s">
        <v>61</v>
      </c>
      <c r="AH275" s="1205" t="s">
        <v>105</v>
      </c>
      <c r="AI275" s="1212">
        <v>46088</v>
      </c>
      <c r="AJ275" s="1212">
        <v>46088</v>
      </c>
      <c r="AK275" s="1212">
        <v>46088</v>
      </c>
      <c r="AL275" s="1212">
        <v>46133</v>
      </c>
      <c r="AM275" s="1212">
        <v>46142</v>
      </c>
      <c r="AN275" s="1212">
        <v>46141</v>
      </c>
      <c r="AO275" s="1205" t="s">
        <v>402</v>
      </c>
      <c r="AP275" s="1205" t="s">
        <v>889</v>
      </c>
      <c r="AQ275" s="1205" t="s">
        <v>80</v>
      </c>
      <c r="AR275" s="1205" t="s">
        <v>1384</v>
      </c>
      <c r="AS275" s="1205" t="s">
        <v>1385</v>
      </c>
      <c r="AT275" s="1214" t="s">
        <v>1386</v>
      </c>
      <c r="AU275" s="120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1212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120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1212">
        <f>IF(ISERROR(PV_DATA[[#This Row],[New Ark PO status]]),"",_xlfn.XLOOKUP(PV_DATA[[#This Row],[SPTN-PVHK New Ark PO'#]],New_Ark_Data[Purchase order Number],New_Ark_Data[Estimated time of arrival],"",0))</f>
        <v>46146</v>
      </c>
      <c r="AZ275" s="120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1212">
        <f>IFERROR(PV_DATA[[#This Row],[ODP ETA Port]]+PV_DATA[[#This Row],[Customs/Leg3 Assumption]],"n/a")</f>
        <v>46141</v>
      </c>
      <c r="BB275" s="1207">
        <f>YEAR(PV_DATA[[#This Row],[ETA for New Ark update]])</f>
        <v>2026</v>
      </c>
      <c r="BC275" s="1205">
        <f>MONTH(PV_DATA[[#This Row],[ETA for New Ark update]])</f>
        <v>4</v>
      </c>
      <c r="BD275" s="1205">
        <f>IFERROR(_xlfn.ISOWEEKNUM(PV_DATA[[#This Row],[ETA for New Ark update]]),0)</f>
        <v>18</v>
      </c>
      <c r="BE275" s="1205">
        <f>_xlfn.XLOOKUP(PV_DATA[[#This Row],[New Ark SKU]],Table9[New Ark SKU],Table9[Total PCS per Pallet],,0)</f>
        <v>36</v>
      </c>
      <c r="BF275" s="1205">
        <f>_xlfn.XLOOKUP(PV_DATA[[#This Row],[New Ark SKU]],Table9[New Ark SKU],Table9[Total PCS per 40HQ Container],,0)</f>
        <v>936</v>
      </c>
      <c r="BG275" s="1205" t="str">
        <f>_xlfn.XLOOKUP(PV_DATA[[#This Row],[New Ark SKU]],Table9[New Ark SKU],Table9[Back Glass],,0)</f>
        <v>Black glazing</v>
      </c>
      <c r="BH275" s="1205" t="str">
        <f>_xlfn.XLOOKUP(PV_DATA[[#This Row],[PORT DESTINATION]],Table12[PORT DESTINATION],Table12[Cosco Line],,0)</f>
        <v>AEU</v>
      </c>
    </row>
    <row r="276" spans="1:62" s="1205" customFormat="1" ht="10.5">
      <c r="A276" s="1204" t="s">
        <v>1387</v>
      </c>
      <c r="B276" s="1204" t="s">
        <v>61</v>
      </c>
      <c r="C276" s="1204" t="str">
        <f>IFERROR(LEFT(PV_DATA[[#This Row],[TCL REFERENCE]],FIND(".",PV_DATA[[#This Row],[TCL REFERENCE]],1)-1),"Main Line")</f>
        <v>26Feb017</v>
      </c>
      <c r="D276" s="1204" t="s">
        <v>63</v>
      </c>
      <c r="E276" s="1204" t="s">
        <v>64</v>
      </c>
      <c r="F276" s="1204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1204" t="s">
        <v>402</v>
      </c>
      <c r="H276" s="1204" t="s">
        <v>67</v>
      </c>
      <c r="I276" s="1204" t="s">
        <v>689</v>
      </c>
      <c r="J276" s="1205" t="s">
        <v>1263</v>
      </c>
      <c r="K276" s="1205" t="s">
        <v>1264</v>
      </c>
      <c r="M276" s="1205" t="s">
        <v>840</v>
      </c>
      <c r="N276" s="1206">
        <v>46076</v>
      </c>
      <c r="O276" s="1205" t="s">
        <v>70</v>
      </c>
      <c r="P276" s="1205" t="s">
        <v>195</v>
      </c>
      <c r="Q276" s="1205" t="s">
        <v>196</v>
      </c>
      <c r="R276" s="1205" t="str">
        <f>_xlfn.XLOOKUP(PV_DATA[[#This Row],[New Ark SKU]],Table9[New Ark SKU],Table9[Connector],,0)</f>
        <v>EVO2A</v>
      </c>
      <c r="S276" s="1207" t="str">
        <f>_xlfn.XLOOKUP(PV_DATA[[#This Row],[New Ark SKU]],Table9[New Ark SKU],Table9[Cable],,0)</f>
        <v>±1200mm</v>
      </c>
      <c r="T276" s="1207">
        <v>450</v>
      </c>
      <c r="U276" s="1208">
        <f>936*3</f>
        <v>2808</v>
      </c>
      <c r="V276" s="1209">
        <f>PV_DATA[[#This Row],[QUANTITY]]*PV_DATA[[#This Row],[WATT]]/1000000</f>
        <v>1.2636000000000001</v>
      </c>
      <c r="W276" s="1210">
        <f>PV_DATA[[#This Row],[QUANTITY]]/PV_DATA[[#This Row],[Qty/Pallet]]</f>
        <v>78</v>
      </c>
      <c r="X276" s="1211">
        <f>PV_DATA[[#This Row],[QUANTITY]]/PV_DATA[[#This Row],[Qty/CT]]</f>
        <v>3</v>
      </c>
      <c r="Y276" s="1205" t="s">
        <v>75</v>
      </c>
      <c r="Z276" s="1205" t="str">
        <f t="shared" si="1"/>
        <v>COMPLETED</v>
      </c>
      <c r="AB276" s="1212">
        <v>46082</v>
      </c>
      <c r="AC276" s="1213">
        <f>IF(PV_DATA[[#This Row],[Pick- Up Date]]&lt;&gt;"",_xlfn.ISOWEEKNUM(PV_DATA[[#This Row],[Pick- Up Date]]),"")</f>
        <v>9</v>
      </c>
      <c r="AD276" s="1204" t="s">
        <v>1388</v>
      </c>
      <c r="AF276" s="1205" t="s">
        <v>77</v>
      </c>
      <c r="AG276" s="1205" t="s">
        <v>61</v>
      </c>
      <c r="AH276" s="1205" t="s">
        <v>105</v>
      </c>
      <c r="AI276" s="1212">
        <v>46088</v>
      </c>
      <c r="AJ276" s="1212">
        <v>46088</v>
      </c>
      <c r="AK276" s="1212">
        <v>46088</v>
      </c>
      <c r="AL276" s="1212">
        <v>46133</v>
      </c>
      <c r="AM276" s="1212">
        <v>46142</v>
      </c>
      <c r="AN276" s="1212">
        <v>46141</v>
      </c>
      <c r="AO276" s="1205" t="s">
        <v>402</v>
      </c>
      <c r="AP276" s="1205" t="s">
        <v>889</v>
      </c>
      <c r="AQ276" s="1205" t="s">
        <v>80</v>
      </c>
      <c r="AR276" s="1205" t="s">
        <v>1384</v>
      </c>
      <c r="AS276" s="1205" t="s">
        <v>1386</v>
      </c>
      <c r="AT276" s="1214" t="s">
        <v>1386</v>
      </c>
      <c r="AU276" s="120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1212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120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1212">
        <f>IF(ISERROR(PV_DATA[[#This Row],[New Ark PO status]]),"",_xlfn.XLOOKUP(PV_DATA[[#This Row],[SPTN-PVHK New Ark PO'#]],New_Ark_Data[Purchase order Number],New_Ark_Data[Estimated time of arrival],"",0))</f>
        <v>46154</v>
      </c>
      <c r="AZ276" s="120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1212">
        <f>IFERROR(PV_DATA[[#This Row],[ODP ETA Port]]+PV_DATA[[#This Row],[Customs/Leg3 Assumption]],"n/a")</f>
        <v>46148</v>
      </c>
      <c r="BB276" s="1207">
        <f>YEAR(PV_DATA[[#This Row],[ETA for New Ark update]])</f>
        <v>2026</v>
      </c>
      <c r="BC276" s="1205">
        <f>MONTH(PV_DATA[[#This Row],[ETA for New Ark update]])</f>
        <v>5</v>
      </c>
      <c r="BD276" s="1205">
        <f>IFERROR(_xlfn.ISOWEEKNUM(PV_DATA[[#This Row],[ETA for New Ark update]]),0)</f>
        <v>19</v>
      </c>
      <c r="BE276" s="1205">
        <f>_xlfn.XLOOKUP(PV_DATA[[#This Row],[New Ark SKU]],Table9[New Ark SKU],Table9[Total PCS per Pallet],,0)</f>
        <v>36</v>
      </c>
      <c r="BF276" s="1205">
        <f>_xlfn.XLOOKUP(PV_DATA[[#This Row],[New Ark SKU]],Table9[New Ark SKU],Table9[Total PCS per 40HQ Container],,0)</f>
        <v>936</v>
      </c>
      <c r="BG276" s="1205" t="str">
        <f>_xlfn.XLOOKUP(PV_DATA[[#This Row],[New Ark SKU]],Table9[New Ark SKU],Table9[Back Glass],,0)</f>
        <v>Black glazing</v>
      </c>
      <c r="BH276" s="1205" t="str">
        <f>_xlfn.XLOOKUP(PV_DATA[[#This Row],[PORT DESTINATION]],Table12[PORT DESTINATION],Table12[Cosco Line],,0)</f>
        <v>AEU</v>
      </c>
    </row>
    <row r="277" spans="1:62" s="1205" customFormat="1" ht="10.5">
      <c r="A277" s="1204" t="s">
        <v>1389</v>
      </c>
      <c r="B277" s="1204" t="s">
        <v>61</v>
      </c>
      <c r="C277" s="1204" t="str">
        <f>IFERROR(LEFT(PV_DATA[[#This Row],[TCL REFERENCE]],FIND(".",PV_DATA[[#This Row],[TCL REFERENCE]],1)-1),"Main Line")</f>
        <v>26Feb017</v>
      </c>
      <c r="D277" s="1204" t="s">
        <v>63</v>
      </c>
      <c r="E277" s="1204" t="s">
        <v>144</v>
      </c>
      <c r="F277" s="1204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1204" t="s">
        <v>402</v>
      </c>
      <c r="H277" s="1204" t="s">
        <v>1381</v>
      </c>
      <c r="I277" s="1204" t="s">
        <v>689</v>
      </c>
      <c r="J277" s="1205" t="s">
        <v>1270</v>
      </c>
      <c r="K277" s="1205" t="s">
        <v>1382</v>
      </c>
      <c r="M277" s="1205" t="s">
        <v>840</v>
      </c>
      <c r="N277" s="1206">
        <v>46076</v>
      </c>
      <c r="O277" s="1205" t="s">
        <v>70</v>
      </c>
      <c r="P277" s="1205" t="s">
        <v>195</v>
      </c>
      <c r="Q277" s="1205" t="s">
        <v>196</v>
      </c>
      <c r="R277" s="1205" t="str">
        <f>_xlfn.XLOOKUP(PV_DATA[[#This Row],[New Ark SKU]],Table9[New Ark SKU],Table9[Connector],,0)</f>
        <v>EVO2A</v>
      </c>
      <c r="S277" s="1207" t="str">
        <f>_xlfn.XLOOKUP(PV_DATA[[#This Row],[New Ark SKU]],Table9[New Ark SKU],Table9[Cable],,0)</f>
        <v>±1200mm</v>
      </c>
      <c r="T277" s="1207">
        <v>450</v>
      </c>
      <c r="U277" s="1208">
        <f>936*5</f>
        <v>4680</v>
      </c>
      <c r="V277" s="1209">
        <f>PV_DATA[[#This Row],[QUANTITY]]*PV_DATA[[#This Row],[WATT]]/1000000</f>
        <v>2.1059999999999999</v>
      </c>
      <c r="W277" s="1210">
        <f>PV_DATA[[#This Row],[QUANTITY]]/PV_DATA[[#This Row],[Qty/Pallet]]</f>
        <v>130</v>
      </c>
      <c r="X277" s="1211">
        <f>PV_DATA[[#This Row],[QUANTITY]]/PV_DATA[[#This Row],[Qty/CT]]</f>
        <v>5</v>
      </c>
      <c r="Y277" s="1205" t="s">
        <v>75</v>
      </c>
      <c r="Z277" s="1205" t="str">
        <f t="shared" si="1"/>
        <v>COMPLETED</v>
      </c>
      <c r="AB277" s="1212">
        <v>46082</v>
      </c>
      <c r="AC277" s="1213">
        <f>IF(PV_DATA[[#This Row],[Pick- Up Date]]&lt;&gt;"",_xlfn.ISOWEEKNUM(PV_DATA[[#This Row],[Pick- Up Date]]),"")</f>
        <v>9</v>
      </c>
      <c r="AD277" s="1204" t="s">
        <v>1383</v>
      </c>
      <c r="AF277" s="1205" t="s">
        <v>77</v>
      </c>
      <c r="AG277" s="1205" t="s">
        <v>61</v>
      </c>
      <c r="AH277" s="1205" t="s">
        <v>105</v>
      </c>
      <c r="AI277" s="1212">
        <v>46088</v>
      </c>
      <c r="AJ277" s="1212">
        <v>46088</v>
      </c>
      <c r="AK277" s="1212">
        <v>46088</v>
      </c>
      <c r="AL277" s="1212">
        <v>46133</v>
      </c>
      <c r="AM277" s="1212">
        <v>46142</v>
      </c>
      <c r="AN277" s="1212">
        <v>46141</v>
      </c>
      <c r="AO277" s="1205" t="s">
        <v>402</v>
      </c>
      <c r="AP277" s="1205" t="s">
        <v>889</v>
      </c>
      <c r="AQ277" s="1205" t="s">
        <v>80</v>
      </c>
      <c r="AR277" s="1205" t="s">
        <v>1384</v>
      </c>
      <c r="AS277" s="1205" t="s">
        <v>1385</v>
      </c>
      <c r="AT277" s="1214" t="s">
        <v>1385</v>
      </c>
      <c r="AU277" s="120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1212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120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1212">
        <f>IF(ISERROR(PV_DATA[[#This Row],[New Ark PO status]]),"",_xlfn.XLOOKUP(PV_DATA[[#This Row],[SPTN-PVHK New Ark PO'#]],New_Ark_Data[Purchase order Number],New_Ark_Data[Estimated time of arrival],"",0))</f>
        <v>46146</v>
      </c>
      <c r="AZ277" s="120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1212">
        <f>IFERROR(PV_DATA[[#This Row],[ODP ETA Port]]+PV_DATA[[#This Row],[Customs/Leg3 Assumption]],"n/a")</f>
        <v>46141</v>
      </c>
      <c r="BB277" s="1207">
        <f>YEAR(PV_DATA[[#This Row],[ETA for New Ark update]])</f>
        <v>2026</v>
      </c>
      <c r="BC277" s="1205">
        <f>MONTH(PV_DATA[[#This Row],[ETA for New Ark update]])</f>
        <v>4</v>
      </c>
      <c r="BD277" s="1205">
        <f>IFERROR(_xlfn.ISOWEEKNUM(PV_DATA[[#This Row],[ETA for New Ark update]]),0)</f>
        <v>18</v>
      </c>
      <c r="BE277" s="1205">
        <f>_xlfn.XLOOKUP(PV_DATA[[#This Row],[New Ark SKU]],Table9[New Ark SKU],Table9[Total PCS per Pallet],,0)</f>
        <v>36</v>
      </c>
      <c r="BF277" s="1205">
        <f>_xlfn.XLOOKUP(PV_DATA[[#This Row],[New Ark SKU]],Table9[New Ark SKU],Table9[Total PCS per 40HQ Container],,0)</f>
        <v>936</v>
      </c>
      <c r="BG277" s="1205" t="str">
        <f>_xlfn.XLOOKUP(PV_DATA[[#This Row],[New Ark SKU]],Table9[New Ark SKU],Table9[Back Glass],,0)</f>
        <v>Black glazing</v>
      </c>
      <c r="BH277" s="1205" t="str">
        <f>_xlfn.XLOOKUP(PV_DATA[[#This Row],[PORT DESTINATION]],Table12[PORT DESTINATION],Table12[Cosco Line],,0)</f>
        <v>AEU</v>
      </c>
    </row>
    <row r="278" spans="1:62" ht="10.5">
      <c r="A278" s="462" t="s">
        <v>1390</v>
      </c>
      <c r="B278" s="462" t="s">
        <v>61</v>
      </c>
      <c r="C278" s="462" t="str">
        <f>IFERROR(LEFT(PV_DATA[[#This Row],[TCL REFERENCE]],FIND(".",PV_DATA[[#This Row],[TCL REFERENCE]],1)-1),"Main Line")</f>
        <v>26Mar025</v>
      </c>
      <c r="D278" s="462" t="s">
        <v>113</v>
      </c>
      <c r="E278" s="462" t="s">
        <v>64</v>
      </c>
      <c r="F278" s="462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2" t="s">
        <v>402</v>
      </c>
      <c r="H278" s="462" t="s">
        <v>67</v>
      </c>
      <c r="I278" s="439" t="s">
        <v>822</v>
      </c>
      <c r="J278" s="430" t="s">
        <v>1177</v>
      </c>
      <c r="K278" s="430"/>
      <c r="L278" s="430"/>
      <c r="M278" s="430" t="s">
        <v>68</v>
      </c>
      <c r="N278" s="432">
        <v>46045</v>
      </c>
      <c r="O278" s="430" t="s">
        <v>713</v>
      </c>
      <c r="P278" s="430" t="s">
        <v>714</v>
      </c>
      <c r="Q278" s="430" t="s">
        <v>1173</v>
      </c>
      <c r="R278" s="431" t="str">
        <f>_xlfn.XLOOKUP(PV_DATA[[#This Row],[New Ark SKU]],Table9[New Ark SKU],Table9[Connector],,0)</f>
        <v>EVO2A</v>
      </c>
      <c r="S278" s="442" t="str">
        <f>_xlfn.XLOOKUP(PV_DATA[[#This Row],[New Ark SKU]],Table9[New Ark SKU],Table9[Cable],,0)</f>
        <v>±1600mm</v>
      </c>
      <c r="T278" s="433">
        <v>625</v>
      </c>
      <c r="U278" s="1088">
        <f>576*13</f>
        <v>7488</v>
      </c>
      <c r="V278" s="434">
        <f>PV_DATA[[#This Row],[QUANTITY]]*PV_DATA[[#This Row],[WATT]]/1000000</f>
        <v>4.68</v>
      </c>
      <c r="W278" s="435">
        <f>PV_DATA[[#This Row],[QUANTITY]]/PV_DATA[[#This Row],[Qty/Pallet]]</f>
        <v>208</v>
      </c>
      <c r="X278" s="1040">
        <f>PV_DATA[[#This Row],[QUANTITY]]/PV_DATA[[#This Row],[Qty/CT]]</f>
        <v>13</v>
      </c>
      <c r="Y278" s="430" t="s">
        <v>75</v>
      </c>
      <c r="Z278" s="430" t="str">
        <f t="shared" si="1"/>
        <v>COMPLETED</v>
      </c>
      <c r="AA278" s="430"/>
      <c r="AB278" s="437">
        <v>46086</v>
      </c>
      <c r="AC278" s="438">
        <f>IF(PV_DATA[[#This Row],[Pick- Up Date]]&lt;&gt;"",_xlfn.ISOWEEKNUM(PV_DATA[[#This Row],[Pick- Up Date]]),"")</f>
        <v>10</v>
      </c>
      <c r="AD278" s="439" t="s">
        <v>1391</v>
      </c>
      <c r="AE278" s="430"/>
      <c r="AF278" s="430" t="s">
        <v>77</v>
      </c>
      <c r="AG278" s="430" t="s">
        <v>61</v>
      </c>
      <c r="AH278" s="430" t="s">
        <v>356</v>
      </c>
      <c r="AI278" s="437">
        <v>46091</v>
      </c>
      <c r="AJ278" s="437">
        <v>46091</v>
      </c>
      <c r="AK278" s="441">
        <v>46091</v>
      </c>
      <c r="AL278" s="437">
        <v>46140</v>
      </c>
      <c r="AM278" s="437">
        <v>46140</v>
      </c>
      <c r="AN278" s="437">
        <v>46140</v>
      </c>
      <c r="AO278" s="430" t="s">
        <v>402</v>
      </c>
      <c r="AP278" s="430" t="s">
        <v>1392</v>
      </c>
      <c r="AQ278" s="430" t="s">
        <v>161</v>
      </c>
      <c r="AR278" s="430" t="s">
        <v>1393</v>
      </c>
      <c r="AS278" s="430">
        <v>273285388</v>
      </c>
      <c r="AT278" s="431">
        <v>273285388</v>
      </c>
      <c r="AU2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7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7">
        <f>IF(ISERROR(PV_DATA[[#This Row],[New Ark PO status]]),"",_xlfn.XLOOKUP(PV_DATA[[#This Row],[SPTN-PVHK New Ark PO'#]],New_Ark_Data[Purchase order Number],New_Ark_Data[Estimated time of arrival],"",0))</f>
        <v>46153</v>
      </c>
      <c r="AZ27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78" s="437">
        <f>IFERROR(PV_DATA[[#This Row],[ODP ETA Port]]+PV_DATA[[#This Row],[Customs/Leg3 Assumption]],"n/a")</f>
        <v>46150</v>
      </c>
      <c r="BB278" s="433">
        <f>YEAR(PV_DATA[[#This Row],[ETA for New Ark update]])</f>
        <v>2026</v>
      </c>
      <c r="BC278" s="430">
        <f>MONTH(PV_DATA[[#This Row],[ETA for New Ark update]])</f>
        <v>5</v>
      </c>
      <c r="BD278" s="430">
        <f>IFERROR(_xlfn.ISOWEEKNUM(PV_DATA[[#This Row],[ETA for New Ark update]]),0)</f>
        <v>19</v>
      </c>
      <c r="BE278" s="431">
        <f>_xlfn.XLOOKUP(PV_DATA[[#This Row],[New Ark SKU]],Table9[New Ark SKU],Table9[Total PCS per Pallet],,0)</f>
        <v>36</v>
      </c>
      <c r="BF278" s="431">
        <f>_xlfn.XLOOKUP(PV_DATA[[#This Row],[New Ark SKU]],Table9[New Ark SKU],Table9[Total PCS per 40HQ Container],,0)</f>
        <v>576</v>
      </c>
      <c r="BG278" s="431" t="str">
        <f>_xlfn.XLOOKUP(PV_DATA[[#This Row],[New Ark SKU]],Table9[New Ark SKU],Table9[Back Glass],,0)</f>
        <v>White glazing</v>
      </c>
      <c r="BH278" s="431" t="str">
        <f>_xlfn.XLOOKUP(PV_DATA[[#This Row],[PORT DESTINATION]],Table12[PORT DESTINATION],Table12[Cosco Line],,0)</f>
        <v>AEU</v>
      </c>
      <c r="BJ278" s="430"/>
    </row>
    <row r="279" spans="1:62" ht="10.5">
      <c r="A279" s="462" t="s">
        <v>1394</v>
      </c>
      <c r="B279" s="462" t="s">
        <v>61</v>
      </c>
      <c r="C279" s="462" t="str">
        <f>IFERROR(LEFT(PV_DATA[[#This Row],[TCL REFERENCE]],FIND(".",PV_DATA[[#This Row],[TCL REFERENCE]],1)-1),"Main Line")</f>
        <v>26JAN005</v>
      </c>
      <c r="D279" s="462" t="s">
        <v>63</v>
      </c>
      <c r="E279" s="462" t="s">
        <v>64</v>
      </c>
      <c r="F279" s="462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2" t="s">
        <v>402</v>
      </c>
      <c r="H279" s="462" t="s">
        <v>67</v>
      </c>
      <c r="I279" s="439" t="s">
        <v>1395</v>
      </c>
      <c r="J279" s="430" t="s">
        <v>96</v>
      </c>
      <c r="K279" s="430"/>
      <c r="L279" s="430"/>
      <c r="M279" s="430" t="s">
        <v>68</v>
      </c>
      <c r="N279" s="432">
        <v>46048</v>
      </c>
      <c r="O279" s="430" t="s">
        <v>70</v>
      </c>
      <c r="P279" s="430" t="s">
        <v>1151</v>
      </c>
      <c r="Q279" s="430" t="s">
        <v>421</v>
      </c>
      <c r="R279" s="431" t="str">
        <f>_xlfn.XLOOKUP(PV_DATA[[#This Row],[New Ark SKU]],Table9[New Ark SKU],Table9[Connector],,0)</f>
        <v>EVO2A</v>
      </c>
      <c r="S279" s="442" t="str">
        <f>_xlfn.XLOOKUP(PV_DATA[[#This Row],[New Ark SKU]],Table9[New Ark SKU],Table9[Cable],,0)</f>
        <v>±1200mm</v>
      </c>
      <c r="T279" s="433">
        <v>505</v>
      </c>
      <c r="U279" s="1088">
        <f>864*5</f>
        <v>4320</v>
      </c>
      <c r="V279" s="434">
        <f>PV_DATA[[#This Row],[QUANTITY]]*PV_DATA[[#This Row],[WATT]]/1000000</f>
        <v>2.1816</v>
      </c>
      <c r="W279" s="435">
        <f>PV_DATA[[#This Row],[QUANTITY]]/PV_DATA[[#This Row],[Qty/Pallet]]</f>
        <v>120</v>
      </c>
      <c r="X279" s="1040">
        <f>PV_DATA[[#This Row],[QUANTITY]]/PV_DATA[[#This Row],[Qty/CT]]</f>
        <v>5</v>
      </c>
      <c r="Y279" s="430" t="s">
        <v>951</v>
      </c>
      <c r="Z279" s="430" t="str">
        <f t="shared" si="1"/>
        <v>COMPLETED</v>
      </c>
      <c r="AA279" s="430"/>
      <c r="AB279" s="437">
        <v>46083</v>
      </c>
      <c r="AC279" s="438">
        <f>IF(PV_DATA[[#This Row],[Pick- Up Date]]&lt;&gt;"",_xlfn.ISOWEEKNUM(PV_DATA[[#This Row],[Pick- Up Date]]),"")</f>
        <v>10</v>
      </c>
      <c r="AD279" s="439" t="s">
        <v>1396</v>
      </c>
      <c r="AE279" s="430"/>
      <c r="AF279" s="430" t="s">
        <v>77</v>
      </c>
      <c r="AG279" s="430" t="s">
        <v>61</v>
      </c>
      <c r="AH279" s="430" t="s">
        <v>78</v>
      </c>
      <c r="AI279" s="437">
        <v>46088</v>
      </c>
      <c r="AJ279" s="437">
        <v>46088</v>
      </c>
      <c r="AK279" s="441">
        <v>46088</v>
      </c>
      <c r="AL279" s="437">
        <v>46153</v>
      </c>
      <c r="AM279" s="437">
        <v>46184</v>
      </c>
      <c r="AN279" s="437">
        <v>46184</v>
      </c>
      <c r="AO279" s="430" t="s">
        <v>402</v>
      </c>
      <c r="AP279" s="430" t="s">
        <v>889</v>
      </c>
      <c r="AQ279" s="430" t="s">
        <v>80</v>
      </c>
      <c r="AR279" s="430" t="s">
        <v>1397</v>
      </c>
      <c r="AS279" s="430" t="s">
        <v>1398</v>
      </c>
      <c r="AT279" s="482" t="s">
        <v>1398</v>
      </c>
      <c r="AU2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7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7">
        <f>IF(ISERROR(PV_DATA[[#This Row],[New Ark PO status]]),"",_xlfn.XLOOKUP(PV_DATA[[#This Row],[SPTN-PVHK New Ark PO'#]],New_Ark_Data[Purchase order Number],New_Ark_Data[Estimated time of arrival],"",0))</f>
        <v>46199</v>
      </c>
      <c r="AZ27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7">
        <f>IFERROR(PV_DATA[[#This Row],[ODP ETA Port]]+PV_DATA[[#This Row],[Customs/Leg3 Assumption]],"n/a")</f>
        <v>46192</v>
      </c>
      <c r="BB279" s="433">
        <f>YEAR(PV_DATA[[#This Row],[ETA for New Ark update]])</f>
        <v>2026</v>
      </c>
      <c r="BC279" s="430">
        <f>MONTH(PV_DATA[[#This Row],[ETA for New Ark update]])</f>
        <v>6</v>
      </c>
      <c r="BD279" s="430">
        <f>IFERROR(_xlfn.ISOWEEKNUM(PV_DATA[[#This Row],[ETA for New Ark update]]),0)</f>
        <v>25</v>
      </c>
      <c r="BE279" s="431">
        <f>_xlfn.XLOOKUP(PV_DATA[[#This Row],[New Ark SKU]],Table9[New Ark SKU],Table9[Total PCS per Pallet],,0)</f>
        <v>36</v>
      </c>
      <c r="BF279" s="431">
        <f>_xlfn.XLOOKUP(PV_DATA[[#This Row],[New Ark SKU]],Table9[New Ark SKU],Table9[Total PCS per 40HQ Container],,0)</f>
        <v>864</v>
      </c>
      <c r="BG279" s="431" t="str">
        <f>_xlfn.XLOOKUP(PV_DATA[[#This Row],[New Ark SKU]],Table9[New Ark SKU],Table9[Back Glass],,0)</f>
        <v>Black glazing</v>
      </c>
      <c r="BH279" s="431" t="str">
        <f>_xlfn.XLOOKUP(PV_DATA[[#This Row],[PORT DESTINATION]],Table12[PORT DESTINATION],Table12[Cosco Line],,0)</f>
        <v>AEM</v>
      </c>
      <c r="BJ279" s="430"/>
    </row>
    <row r="280" spans="1:62" ht="10.5">
      <c r="A280" s="462" t="s">
        <v>1399</v>
      </c>
      <c r="B280" s="462" t="s">
        <v>111</v>
      </c>
      <c r="C280" s="462" t="str">
        <f>IFERROR(LEFT(PV_DATA[[#This Row],[TCL REFERENCE]],FIND(".",PV_DATA[[#This Row],[TCL REFERENCE]],1)-1),"Main Line")</f>
        <v>26Feb004</v>
      </c>
      <c r="D280" s="462" t="s">
        <v>113</v>
      </c>
      <c r="E280" s="462" t="s">
        <v>144</v>
      </c>
      <c r="F280" s="462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2" t="s">
        <v>156</v>
      </c>
      <c r="H280" s="462" t="s">
        <v>68</v>
      </c>
      <c r="I280" s="439" t="s">
        <v>68</v>
      </c>
      <c r="J280" s="430" t="s">
        <v>1401</v>
      </c>
      <c r="K280" s="430" t="s">
        <v>1402</v>
      </c>
      <c r="L280" s="430"/>
      <c r="M280" s="430" t="s">
        <v>68</v>
      </c>
      <c r="N280" s="432">
        <v>46076</v>
      </c>
      <c r="O280" s="430" t="s">
        <v>70</v>
      </c>
      <c r="P280" s="430" t="s">
        <v>329</v>
      </c>
      <c r="Q280" s="430" t="s">
        <v>330</v>
      </c>
      <c r="R280" s="431" t="str">
        <f>_xlfn.XLOOKUP(PV_DATA[[#This Row],[New Ark SKU]],Table9[New Ark SKU],Table9[Connector],,0)</f>
        <v>H4(Com)</v>
      </c>
      <c r="S280" s="442" t="str">
        <f>_xlfn.XLOOKUP(PV_DATA[[#This Row],[New Ark SKU]],Table9[New Ark SKU],Table9[Cable],,0)</f>
        <v>±1400mm</v>
      </c>
      <c r="T280" s="433">
        <v>625</v>
      </c>
      <c r="U280" s="1088">
        <f>720*17</f>
        <v>12240</v>
      </c>
      <c r="V280" s="457">
        <f>PV_DATA[[#This Row],[QUANTITY]]*PV_DATA[[#This Row],[WATT]]/1000000</f>
        <v>7.65</v>
      </c>
      <c r="W280" s="435">
        <f>PV_DATA[[#This Row],[QUANTITY]]/PV_DATA[[#This Row],[Qty/Pallet]]</f>
        <v>340</v>
      </c>
      <c r="X280" s="1040">
        <f>PV_DATA[[#This Row],[QUANTITY]]/PV_DATA[[#This Row],[Qty/CT]]</f>
        <v>17</v>
      </c>
      <c r="Y280" s="430" t="s">
        <v>75</v>
      </c>
      <c r="Z280" s="430" t="str">
        <f t="shared" si="1"/>
        <v>COMPLETED</v>
      </c>
      <c r="AA280" s="430"/>
      <c r="AB280" s="437">
        <v>46089</v>
      </c>
      <c r="AC280" s="438">
        <f>IF(PV_DATA[[#This Row],[Pick- Up Date]]&lt;&gt;"",_xlfn.ISOWEEKNUM(PV_DATA[[#This Row],[Pick- Up Date]]),"")</f>
        <v>10</v>
      </c>
      <c r="AD280" s="439" t="s">
        <v>1403</v>
      </c>
      <c r="AE280" s="430"/>
      <c r="AF280" s="430" t="s">
        <v>122</v>
      </c>
      <c r="AG280" s="430" t="s">
        <v>123</v>
      </c>
      <c r="AH280" s="430" t="s">
        <v>1404</v>
      </c>
      <c r="AI280" s="437">
        <v>46092</v>
      </c>
      <c r="AJ280" s="437">
        <v>46098</v>
      </c>
      <c r="AK280" s="441">
        <v>46098</v>
      </c>
      <c r="AL280" s="437">
        <v>46146</v>
      </c>
      <c r="AM280" s="437">
        <v>46160</v>
      </c>
      <c r="AN280" s="437">
        <v>46158</v>
      </c>
      <c r="AO280" s="430" t="s">
        <v>156</v>
      </c>
      <c r="AP280" s="430" t="s">
        <v>1405</v>
      </c>
      <c r="AQ280" s="430" t="s">
        <v>161</v>
      </c>
      <c r="AR280" s="430" t="s">
        <v>1406</v>
      </c>
      <c r="AS280" s="430" t="s">
        <v>1407</v>
      </c>
      <c r="AT280" s="482" t="s">
        <v>1408</v>
      </c>
      <c r="AU2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7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7">
        <f>IF(ISERROR(PV_DATA[[#This Row],[New Ark PO status]]),"",_xlfn.XLOOKUP(PV_DATA[[#This Row],[SPTN-PVHK New Ark PO'#]],New_Ark_Data[Purchase order Number],New_Ark_Data[Estimated time of arrival],"",0))</f>
        <v>46160</v>
      </c>
      <c r="AZ28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7">
        <f>IFERROR(PV_DATA[[#This Row],[ODP ETA Port]]+PV_DATA[[#This Row],[Customs/Leg3 Assumption]],"n/a")</f>
        <v>46158</v>
      </c>
      <c r="BB280" s="433">
        <f>YEAR(PV_DATA[[#This Row],[ETA for New Ark update]])</f>
        <v>2026</v>
      </c>
      <c r="BC280" s="430">
        <f>MONTH(PV_DATA[[#This Row],[ETA for New Ark update]])</f>
        <v>5</v>
      </c>
      <c r="BD280" s="430">
        <f>IFERROR(_xlfn.ISOWEEKNUM(PV_DATA[[#This Row],[ETA for New Ark update]]),0)</f>
        <v>20</v>
      </c>
      <c r="BE280" s="431">
        <f>_xlfn.XLOOKUP(PV_DATA[[#This Row],[New Ark SKU]],Table9[New Ark SKU],Table9[Total PCS per Pallet],,0)</f>
        <v>36</v>
      </c>
      <c r="BF280" s="431">
        <f>_xlfn.XLOOKUP(PV_DATA[[#This Row],[New Ark SKU]],Table9[New Ark SKU],Table9[Total PCS per 40HQ Container],,0)</f>
        <v>720</v>
      </c>
      <c r="BG280" s="431" t="str">
        <f>_xlfn.XLOOKUP(PV_DATA[[#This Row],[New Ark SKU]],Table9[New Ark SKU],Table9[Back Glass],,0)</f>
        <v>Redirection Film</v>
      </c>
      <c r="BH280" s="431" t="str">
        <f>_xlfn.XLOOKUP(PV_DATA[[#This Row],[PORT DESTINATION]],Table12[PORT DESTINATION],Table12[Cosco Line],,0)</f>
        <v>n/a</v>
      </c>
      <c r="BJ280" s="430"/>
    </row>
    <row r="281" spans="1:62" ht="10.5">
      <c r="A281" s="462" t="s">
        <v>1409</v>
      </c>
      <c r="B281" s="462" t="s">
        <v>111</v>
      </c>
      <c r="C281" s="462" t="str">
        <f>IFERROR(LEFT(PV_DATA[[#This Row],[TCL REFERENCE]],FIND(".",PV_DATA[[#This Row],[TCL REFERENCE]],1)-1),"Main Line")</f>
        <v>26Feb003</v>
      </c>
      <c r="D281" s="462" t="s">
        <v>113</v>
      </c>
      <c r="E281" s="462" t="s">
        <v>144</v>
      </c>
      <c r="F281" s="462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2" t="s">
        <v>156</v>
      </c>
      <c r="H281" s="462" t="s">
        <v>68</v>
      </c>
      <c r="I281" s="439" t="s">
        <v>68</v>
      </c>
      <c r="J281" s="430" t="s">
        <v>1401</v>
      </c>
      <c r="K281" s="430" t="s">
        <v>1402</v>
      </c>
      <c r="L281" s="430"/>
      <c r="M281" s="430" t="s">
        <v>68</v>
      </c>
      <c r="N281" s="432">
        <v>46076</v>
      </c>
      <c r="O281" s="430" t="s">
        <v>70</v>
      </c>
      <c r="P281" s="430" t="s">
        <v>585</v>
      </c>
      <c r="Q281" s="430" t="s">
        <v>103</v>
      </c>
      <c r="R281" s="431" t="str">
        <f>_xlfn.XLOOKUP(PV_DATA[[#This Row],[New Ark SKU]],Table9[New Ark SKU],Table9[Connector],,0)</f>
        <v>H4(Com)</v>
      </c>
      <c r="S281" s="442" t="str">
        <f>_xlfn.XLOOKUP(PV_DATA[[#This Row],[New Ark SKU]],Table9[New Ark SKU],Table9[Cable],,0)</f>
        <v>±1400mm</v>
      </c>
      <c r="T281" s="433">
        <v>620</v>
      </c>
      <c r="U281" s="1088">
        <f>720*17</f>
        <v>12240</v>
      </c>
      <c r="V281" s="457">
        <f>PV_DATA[[#This Row],[QUANTITY]]*PV_DATA[[#This Row],[WATT]]/1000000</f>
        <v>7.5888</v>
      </c>
      <c r="W281" s="435">
        <f>PV_DATA[[#This Row],[QUANTITY]]/PV_DATA[[#This Row],[Qty/Pallet]]</f>
        <v>340</v>
      </c>
      <c r="X281" s="1040">
        <f>PV_DATA[[#This Row],[QUANTITY]]/PV_DATA[[#This Row],[Qty/CT]]</f>
        <v>17</v>
      </c>
      <c r="Y281" s="430" t="s">
        <v>75</v>
      </c>
      <c r="Z281" s="430" t="str">
        <f t="shared" si="1"/>
        <v>COMPLETED</v>
      </c>
      <c r="AA281" s="430"/>
      <c r="AB281" s="437">
        <v>46087</v>
      </c>
      <c r="AC281" s="438">
        <f>IF(PV_DATA[[#This Row],[Pick- Up Date]]&lt;&gt;"",_xlfn.ISOWEEKNUM(PV_DATA[[#This Row],[Pick- Up Date]]),"")</f>
        <v>10</v>
      </c>
      <c r="AD281" s="439" t="s">
        <v>1411</v>
      </c>
      <c r="AE281" s="430"/>
      <c r="AF281" s="430" t="s">
        <v>122</v>
      </c>
      <c r="AG281" s="430" t="s">
        <v>123</v>
      </c>
      <c r="AH281" s="430" t="s">
        <v>1404</v>
      </c>
      <c r="AI281" s="437">
        <v>46092</v>
      </c>
      <c r="AJ281" s="437">
        <v>46098</v>
      </c>
      <c r="AK281" s="441">
        <v>46098</v>
      </c>
      <c r="AL281" s="437">
        <v>46146</v>
      </c>
      <c r="AM281" s="437">
        <v>46160</v>
      </c>
      <c r="AN281" s="437">
        <v>46160</v>
      </c>
      <c r="AO281" s="430" t="s">
        <v>156</v>
      </c>
      <c r="AP281" s="430" t="s">
        <v>1405</v>
      </c>
      <c r="AQ281" s="430" t="s">
        <v>161</v>
      </c>
      <c r="AR281" s="430" t="s">
        <v>1412</v>
      </c>
      <c r="AS281" s="430" t="s">
        <v>1413</v>
      </c>
      <c r="AT281" s="482" t="s">
        <v>1414</v>
      </c>
      <c r="AU2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7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7">
        <f>IF(ISERROR(PV_DATA[[#This Row],[New Ark PO status]]),"",_xlfn.XLOOKUP(PV_DATA[[#This Row],[SPTN-PVHK New Ark PO'#]],New_Ark_Data[Purchase order Number],New_Ark_Data[Estimated time of arrival],"",0))</f>
        <v>46160</v>
      </c>
      <c r="AZ28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7">
        <f>IFERROR(PV_DATA[[#This Row],[ODP ETA Port]]+PV_DATA[[#This Row],[Customs/Leg3 Assumption]],"n/a")</f>
        <v>46160</v>
      </c>
      <c r="BB281" s="433">
        <f>YEAR(PV_DATA[[#This Row],[ETA for New Ark update]])</f>
        <v>2026</v>
      </c>
      <c r="BC281" s="430">
        <f>MONTH(PV_DATA[[#This Row],[ETA for New Ark update]])</f>
        <v>5</v>
      </c>
      <c r="BD281" s="430">
        <f>IFERROR(_xlfn.ISOWEEKNUM(PV_DATA[[#This Row],[ETA for New Ark update]]),0)</f>
        <v>21</v>
      </c>
      <c r="BE281" s="431">
        <f>_xlfn.XLOOKUP(PV_DATA[[#This Row],[New Ark SKU]],Table9[New Ark SKU],Table9[Total PCS per Pallet],,0)</f>
        <v>36</v>
      </c>
      <c r="BF281" s="431">
        <f>_xlfn.XLOOKUP(PV_DATA[[#This Row],[New Ark SKU]],Table9[New Ark SKU],Table9[Total PCS per 40HQ Container],,0)</f>
        <v>720</v>
      </c>
      <c r="BG281" s="431" t="str">
        <f>_xlfn.XLOOKUP(PV_DATA[[#This Row],[New Ark SKU]],Table9[New Ark SKU],Table9[Back Glass],,0)</f>
        <v>Redirection Film</v>
      </c>
      <c r="BH281" s="431" t="str">
        <f>_xlfn.XLOOKUP(PV_DATA[[#This Row],[PORT DESTINATION]],Table12[PORT DESTINATION],Table12[Cosco Line],,0)</f>
        <v>n/a</v>
      </c>
      <c r="BJ281" s="430"/>
    </row>
    <row r="282" spans="1:62" ht="10.5">
      <c r="A282" s="462" t="s">
        <v>1415</v>
      </c>
      <c r="B282" s="462" t="s">
        <v>111</v>
      </c>
      <c r="C282" s="462" t="str">
        <f>IFERROR(LEFT(PV_DATA[[#This Row],[TCL REFERENCE]],FIND(".",PV_DATA[[#This Row],[TCL REFERENCE]],1)-1),"Main Line")</f>
        <v>26Feb004</v>
      </c>
      <c r="D282" s="462" t="s">
        <v>113</v>
      </c>
      <c r="E282" s="462" t="s">
        <v>144</v>
      </c>
      <c r="F282" s="462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2" t="s">
        <v>156</v>
      </c>
      <c r="H282" s="462" t="s">
        <v>68</v>
      </c>
      <c r="I282" s="439" t="s">
        <v>68</v>
      </c>
      <c r="J282" s="430" t="s">
        <v>1401</v>
      </c>
      <c r="K282" s="430" t="s">
        <v>1402</v>
      </c>
      <c r="L282" s="430"/>
      <c r="M282" s="430" t="s">
        <v>68</v>
      </c>
      <c r="N282" s="432">
        <v>46076</v>
      </c>
      <c r="O282" s="430" t="s">
        <v>70</v>
      </c>
      <c r="P282" s="430" t="s">
        <v>329</v>
      </c>
      <c r="Q282" s="430" t="s">
        <v>330</v>
      </c>
      <c r="R282" s="431" t="str">
        <f>_xlfn.XLOOKUP(PV_DATA[[#This Row],[New Ark SKU]],Table9[New Ark SKU],Table9[Connector],,0)</f>
        <v>H4(Com)</v>
      </c>
      <c r="S282" s="442" t="str">
        <f>_xlfn.XLOOKUP(PV_DATA[[#This Row],[New Ark SKU]],Table9[New Ark SKU],Table9[Cable],,0)</f>
        <v>±1400mm</v>
      </c>
      <c r="T282" s="433">
        <v>625</v>
      </c>
      <c r="U282" s="1088">
        <f>720*17</f>
        <v>12240</v>
      </c>
      <c r="V282" s="457">
        <f>PV_DATA[[#This Row],[QUANTITY]]*PV_DATA[[#This Row],[WATT]]/1000000</f>
        <v>7.65</v>
      </c>
      <c r="W282" s="435">
        <f>PV_DATA[[#This Row],[QUANTITY]]/PV_DATA[[#This Row],[Qty/Pallet]]</f>
        <v>340</v>
      </c>
      <c r="X282" s="1040">
        <f>PV_DATA[[#This Row],[QUANTITY]]/PV_DATA[[#This Row],[Qty/CT]]</f>
        <v>17</v>
      </c>
      <c r="Y282" s="430" t="s">
        <v>75</v>
      </c>
      <c r="Z282" s="430" t="str">
        <f t="shared" si="1"/>
        <v>COMPLETED</v>
      </c>
      <c r="AA282" s="430"/>
      <c r="AB282" s="437">
        <v>46094</v>
      </c>
      <c r="AC282" s="438">
        <f>IF(PV_DATA[[#This Row],[Pick- Up Date]]&lt;&gt;"",_xlfn.ISOWEEKNUM(PV_DATA[[#This Row],[Pick- Up Date]]),"")</f>
        <v>11</v>
      </c>
      <c r="AD282" s="439" t="s">
        <v>1416</v>
      </c>
      <c r="AE282" s="430"/>
      <c r="AF282" s="430" t="s">
        <v>122</v>
      </c>
      <c r="AG282" s="430" t="s">
        <v>123</v>
      </c>
      <c r="AH282" s="430" t="s">
        <v>1404</v>
      </c>
      <c r="AI282" s="437">
        <v>46099</v>
      </c>
      <c r="AJ282" s="437">
        <v>46101</v>
      </c>
      <c r="AK282" s="441">
        <v>46105</v>
      </c>
      <c r="AL282" s="437">
        <v>46154</v>
      </c>
      <c r="AM282" s="437">
        <v>46172</v>
      </c>
      <c r="AN282" s="437">
        <v>46172</v>
      </c>
      <c r="AO282" s="430" t="s">
        <v>156</v>
      </c>
      <c r="AP282" s="430" t="s">
        <v>1417</v>
      </c>
      <c r="AQ282" s="430" t="s">
        <v>161</v>
      </c>
      <c r="AR282" s="430" t="s">
        <v>1418</v>
      </c>
      <c r="AS282" s="430" t="s">
        <v>1419</v>
      </c>
      <c r="AT282" s="482" t="s">
        <v>1420</v>
      </c>
      <c r="AU2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7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7">
        <f>IF(ISERROR(PV_DATA[[#This Row],[New Ark PO status]]),"",_xlfn.XLOOKUP(PV_DATA[[#This Row],[SPTN-PVHK New Ark PO'#]],New_Ark_Data[Purchase order Number],New_Ark_Data[Estimated time of arrival],"",0))</f>
        <v>46168</v>
      </c>
      <c r="AZ2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7">
        <f>IFERROR(PV_DATA[[#This Row],[ODP ETA Port]]+PV_DATA[[#This Row],[Customs/Leg3 Assumption]],"n/a")</f>
        <v>46172</v>
      </c>
      <c r="BB282" s="433">
        <f>YEAR(PV_DATA[[#This Row],[ETA for New Ark update]])</f>
        <v>2026</v>
      </c>
      <c r="BC282" s="430">
        <f>MONTH(PV_DATA[[#This Row],[ETA for New Ark update]])</f>
        <v>5</v>
      </c>
      <c r="BD282" s="430">
        <f>IFERROR(_xlfn.ISOWEEKNUM(PV_DATA[[#This Row],[ETA for New Ark update]]),0)</f>
        <v>22</v>
      </c>
      <c r="BE282" s="431">
        <f>_xlfn.XLOOKUP(PV_DATA[[#This Row],[New Ark SKU]],Table9[New Ark SKU],Table9[Total PCS per Pallet],,0)</f>
        <v>36</v>
      </c>
      <c r="BF282" s="431">
        <f>_xlfn.XLOOKUP(PV_DATA[[#This Row],[New Ark SKU]],Table9[New Ark SKU],Table9[Total PCS per 40HQ Container],,0)</f>
        <v>720</v>
      </c>
      <c r="BG282" s="431" t="str">
        <f>_xlfn.XLOOKUP(PV_DATA[[#This Row],[New Ark SKU]],Table9[New Ark SKU],Table9[Back Glass],,0)</f>
        <v>Redirection Film</v>
      </c>
      <c r="BH282" s="431" t="str">
        <f>_xlfn.XLOOKUP(PV_DATA[[#This Row],[PORT DESTINATION]],Table12[PORT DESTINATION],Table12[Cosco Line],,0)</f>
        <v>n/a</v>
      </c>
      <c r="BJ282" s="430"/>
    </row>
    <row r="283" spans="1:62" ht="10.5">
      <c r="A283" s="462" t="s">
        <v>1421</v>
      </c>
      <c r="B283" s="462" t="s">
        <v>111</v>
      </c>
      <c r="C283" s="462" t="str">
        <f>IFERROR(LEFT(PV_DATA[[#This Row],[TCL REFERENCE]],FIND(".",PV_DATA[[#This Row],[TCL REFERENCE]],1)-1),"Main Line")</f>
        <v>26Feb003</v>
      </c>
      <c r="D283" s="462" t="s">
        <v>113</v>
      </c>
      <c r="E283" s="462" t="s">
        <v>144</v>
      </c>
      <c r="F283" s="462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2" t="s">
        <v>156</v>
      </c>
      <c r="H283" s="462" t="s">
        <v>68</v>
      </c>
      <c r="I283" s="439" t="s">
        <v>68</v>
      </c>
      <c r="J283" s="430" t="s">
        <v>1401</v>
      </c>
      <c r="K283" s="430" t="s">
        <v>1402</v>
      </c>
      <c r="L283" s="430"/>
      <c r="M283" s="430" t="s">
        <v>68</v>
      </c>
      <c r="N283" s="432">
        <v>46076</v>
      </c>
      <c r="O283" s="430" t="s">
        <v>70</v>
      </c>
      <c r="P283" s="430" t="s">
        <v>585</v>
      </c>
      <c r="Q283" s="430" t="s">
        <v>103</v>
      </c>
      <c r="R283" s="431" t="str">
        <f>_xlfn.XLOOKUP(PV_DATA[[#This Row],[New Ark SKU]],Table9[New Ark SKU],Table9[Connector],,0)</f>
        <v>H4(Com)</v>
      </c>
      <c r="S283" s="442" t="str">
        <f>_xlfn.XLOOKUP(PV_DATA[[#This Row],[New Ark SKU]],Table9[New Ark SKU],Table9[Cable],,0)</f>
        <v>±1400mm</v>
      </c>
      <c r="T283" s="433">
        <v>620</v>
      </c>
      <c r="U283" s="1088">
        <f>720*17</f>
        <v>12240</v>
      </c>
      <c r="V283" s="457">
        <f>PV_DATA[[#This Row],[QUANTITY]]*PV_DATA[[#This Row],[WATT]]/1000000</f>
        <v>7.5888</v>
      </c>
      <c r="W283" s="435">
        <f>PV_DATA[[#This Row],[QUANTITY]]/PV_DATA[[#This Row],[Qty/Pallet]]</f>
        <v>340</v>
      </c>
      <c r="X283" s="1040">
        <f>PV_DATA[[#This Row],[QUANTITY]]/PV_DATA[[#This Row],[Qty/CT]]</f>
        <v>17</v>
      </c>
      <c r="Y283" s="430" t="s">
        <v>75</v>
      </c>
      <c r="Z283" s="430" t="str">
        <f t="shared" si="1"/>
        <v>COMPLETED</v>
      </c>
      <c r="AA283" s="430"/>
      <c r="AB283" s="437">
        <v>46095</v>
      </c>
      <c r="AC283" s="438">
        <f>IF(PV_DATA[[#This Row],[Pick- Up Date]]&lt;&gt;"",_xlfn.ISOWEEKNUM(PV_DATA[[#This Row],[Pick- Up Date]]),"")</f>
        <v>11</v>
      </c>
      <c r="AD283" s="439" t="s">
        <v>1422</v>
      </c>
      <c r="AE283" s="430"/>
      <c r="AF283" s="430" t="s">
        <v>122</v>
      </c>
      <c r="AG283" s="430" t="s">
        <v>123</v>
      </c>
      <c r="AH283" s="430" t="s">
        <v>1404</v>
      </c>
      <c r="AI283" s="437">
        <v>46099</v>
      </c>
      <c r="AJ283" s="437">
        <v>46101</v>
      </c>
      <c r="AK283" s="441">
        <v>46105</v>
      </c>
      <c r="AL283" s="437">
        <v>46154</v>
      </c>
      <c r="AM283" s="437">
        <v>46172</v>
      </c>
      <c r="AN283" s="437">
        <v>46172</v>
      </c>
      <c r="AO283" s="430" t="s">
        <v>156</v>
      </c>
      <c r="AP283" s="430" t="s">
        <v>1417</v>
      </c>
      <c r="AQ283" s="430" t="s">
        <v>161</v>
      </c>
      <c r="AR283" s="430" t="s">
        <v>1423</v>
      </c>
      <c r="AS283" s="430" t="s">
        <v>1424</v>
      </c>
      <c r="AT283" s="482" t="s">
        <v>1425</v>
      </c>
      <c r="AU2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7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7">
        <f>IF(ISERROR(PV_DATA[[#This Row],[New Ark PO status]]),"",_xlfn.XLOOKUP(PV_DATA[[#This Row],[SPTN-PVHK New Ark PO'#]],New_Ark_Data[Purchase order Number],New_Ark_Data[Estimated time of arrival],"",0))</f>
        <v>46168</v>
      </c>
      <c r="AZ28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7">
        <f>IFERROR(PV_DATA[[#This Row],[ODP ETA Port]]+PV_DATA[[#This Row],[Customs/Leg3 Assumption]],"n/a")</f>
        <v>46172</v>
      </c>
      <c r="BB283" s="433">
        <f>YEAR(PV_DATA[[#This Row],[ETA for New Ark update]])</f>
        <v>2026</v>
      </c>
      <c r="BC283" s="430">
        <f>MONTH(PV_DATA[[#This Row],[ETA for New Ark update]])</f>
        <v>5</v>
      </c>
      <c r="BD283" s="430">
        <f>IFERROR(_xlfn.ISOWEEKNUM(PV_DATA[[#This Row],[ETA for New Ark update]]),0)</f>
        <v>22</v>
      </c>
      <c r="BE283" s="431">
        <f>_xlfn.XLOOKUP(PV_DATA[[#This Row],[New Ark SKU]],Table9[New Ark SKU],Table9[Total PCS per Pallet],,0)</f>
        <v>36</v>
      </c>
      <c r="BF283" s="431">
        <f>_xlfn.XLOOKUP(PV_DATA[[#This Row],[New Ark SKU]],Table9[New Ark SKU],Table9[Total PCS per 40HQ Container],,0)</f>
        <v>720</v>
      </c>
      <c r="BG283" s="431" t="str">
        <f>_xlfn.XLOOKUP(PV_DATA[[#This Row],[New Ark SKU]],Table9[New Ark SKU],Table9[Back Glass],,0)</f>
        <v>Redirection Film</v>
      </c>
      <c r="BH283" s="431" t="str">
        <f>_xlfn.XLOOKUP(PV_DATA[[#This Row],[PORT DESTINATION]],Table12[PORT DESTINATION],Table12[Cosco Line],,0)</f>
        <v>n/a</v>
      </c>
      <c r="BJ283" s="430"/>
    </row>
    <row r="284" spans="1:62" ht="10.5">
      <c r="A284" s="462" t="s">
        <v>1426</v>
      </c>
      <c r="B284" s="462" t="s">
        <v>111</v>
      </c>
      <c r="C284" s="462" t="str">
        <f>IFERROR(LEFT(PV_DATA[[#This Row],[TCL REFERENCE]],FIND(".",PV_DATA[[#This Row],[TCL REFERENCE]],1)-1),"Main Line")</f>
        <v>26JAN001</v>
      </c>
      <c r="D284" s="462" t="s">
        <v>113</v>
      </c>
      <c r="E284" s="462" t="s">
        <v>64</v>
      </c>
      <c r="F284" s="462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2" t="s">
        <v>402</v>
      </c>
      <c r="H284" s="462" t="s">
        <v>67</v>
      </c>
      <c r="I284" s="439" t="s">
        <v>822</v>
      </c>
      <c r="J284" s="430" t="s">
        <v>1428</v>
      </c>
      <c r="K284" s="430" t="s">
        <v>328</v>
      </c>
      <c r="L284" s="430"/>
      <c r="M284" s="430" t="s">
        <v>68</v>
      </c>
      <c r="N284" s="432">
        <v>46045</v>
      </c>
      <c r="O284" s="430" t="s">
        <v>713</v>
      </c>
      <c r="P284" s="430" t="s">
        <v>1429</v>
      </c>
      <c r="Q284" s="430" t="s">
        <v>1430</v>
      </c>
      <c r="R284" s="431" t="str">
        <f>_xlfn.XLOOKUP(PV_DATA[[#This Row],[New Ark SKU]],Table9[New Ark SKU],Table9[Connector],,0)</f>
        <v>EVO2A</v>
      </c>
      <c r="S284" s="442" t="str">
        <f>_xlfn.XLOOKUP(PV_DATA[[#This Row],[New Ark SKU]],Table9[New Ark SKU],Table9[Cable],,0)</f>
        <v>±1500mm</v>
      </c>
      <c r="T284" s="433">
        <v>620</v>
      </c>
      <c r="U284" s="1088">
        <f>4176+72</f>
        <v>4248</v>
      </c>
      <c r="V284" s="434">
        <f>PV_DATA[[#This Row],[QUANTITY]]*PV_DATA[[#This Row],[WATT]]/1000000</f>
        <v>2.6337600000000001</v>
      </c>
      <c r="W284" s="435">
        <f>PV_DATA[[#This Row],[QUANTITY]]/PV_DATA[[#This Row],[Qty/Pallet]]</f>
        <v>118</v>
      </c>
      <c r="X284" s="1040">
        <f>PV_DATA[[#This Row],[QUANTITY]]/PV_DATA[[#This Row],[Qty/CT]]</f>
        <v>5.9</v>
      </c>
      <c r="Y284" s="430" t="s">
        <v>75</v>
      </c>
      <c r="Z284" s="430" t="str">
        <f t="shared" si="1"/>
        <v>COMPLETED</v>
      </c>
      <c r="AA284" s="430"/>
      <c r="AB284" s="437">
        <v>46087</v>
      </c>
      <c r="AC284" s="438">
        <f>IF(PV_DATA[[#This Row],[Pick- Up Date]]&lt;&gt;"",_xlfn.ISOWEEKNUM(PV_DATA[[#This Row],[Pick- Up Date]]),"")</f>
        <v>10</v>
      </c>
      <c r="AD284" s="439" t="s">
        <v>1431</v>
      </c>
      <c r="AE284" s="430"/>
      <c r="AF284" s="430" t="s">
        <v>122</v>
      </c>
      <c r="AG284" s="430" t="s">
        <v>123</v>
      </c>
      <c r="AH284" s="430" t="s">
        <v>356</v>
      </c>
      <c r="AI284" s="437">
        <v>46096</v>
      </c>
      <c r="AJ284" s="437">
        <v>46103</v>
      </c>
      <c r="AK284" s="441">
        <v>46101</v>
      </c>
      <c r="AL284" s="437">
        <v>46133</v>
      </c>
      <c r="AM284" s="437">
        <v>46139</v>
      </c>
      <c r="AN284" s="437">
        <v>46141</v>
      </c>
      <c r="AO284" s="430" t="s">
        <v>402</v>
      </c>
      <c r="AP284" s="430" t="s">
        <v>1432</v>
      </c>
      <c r="AQ284" s="430" t="s">
        <v>161</v>
      </c>
      <c r="AR284" s="430" t="s">
        <v>1433</v>
      </c>
      <c r="AS284" s="430" t="s">
        <v>1434</v>
      </c>
      <c r="AT284" s="482" t="s">
        <v>1434</v>
      </c>
      <c r="AU2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7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7">
        <f>IF(ISERROR(PV_DATA[[#This Row],[New Ark PO status]]),"",_xlfn.XLOOKUP(PV_DATA[[#This Row],[SPTN-PVHK New Ark PO'#]],New_Ark_Data[Purchase order Number],New_Ark_Data[Estimated time of arrival],"",0))</f>
        <v>46153</v>
      </c>
      <c r="AZ28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4" s="437">
        <f>IFERROR(PV_DATA[[#This Row],[ODP ETA Port]]+PV_DATA[[#This Row],[Customs/Leg3 Assumption]],"n/a")</f>
        <v>46151</v>
      </c>
      <c r="BB284" s="433">
        <f>YEAR(PV_DATA[[#This Row],[ETA for New Ark update]])</f>
        <v>2026</v>
      </c>
      <c r="BC284" s="430">
        <f>MONTH(PV_DATA[[#This Row],[ETA for New Ark update]])</f>
        <v>5</v>
      </c>
      <c r="BD284" s="430">
        <f>IFERROR(_xlfn.ISOWEEKNUM(PV_DATA[[#This Row],[ETA for New Ark update]]),0)</f>
        <v>19</v>
      </c>
      <c r="BE284" s="431">
        <f>_xlfn.XLOOKUP(PV_DATA[[#This Row],[New Ark SKU]],Table9[New Ark SKU],Table9[Total PCS per Pallet],,0)</f>
        <v>36</v>
      </c>
      <c r="BF284" s="431">
        <f>_xlfn.XLOOKUP(PV_DATA[[#This Row],[New Ark SKU]],Table9[New Ark SKU],Table9[Total PCS per 40HQ Container],,0)</f>
        <v>720</v>
      </c>
      <c r="BG284" s="431" t="str">
        <f>_xlfn.XLOOKUP(PV_DATA[[#This Row],[New Ark SKU]],Table9[New Ark SKU],Table9[Back Glass],,0)</f>
        <v>White glazing</v>
      </c>
      <c r="BH284" s="431" t="str">
        <f>_xlfn.XLOOKUP(PV_DATA[[#This Row],[PORT DESTINATION]],Table12[PORT DESTINATION],Table12[Cosco Line],,0)</f>
        <v>AEU</v>
      </c>
      <c r="BJ284" s="430"/>
    </row>
    <row r="285" spans="1:62" ht="10.5">
      <c r="A285" s="462" t="s">
        <v>1435</v>
      </c>
      <c r="B285" s="462" t="s">
        <v>111</v>
      </c>
      <c r="C285" s="462" t="str">
        <f>IFERROR(LEFT(PV_DATA[[#This Row],[TCL REFERENCE]],FIND(".",PV_DATA[[#This Row],[TCL REFERENCE]],1)-1),"Main Line")</f>
        <v>26JAN001</v>
      </c>
      <c r="D285" s="462" t="s">
        <v>113</v>
      </c>
      <c r="E285" s="462" t="s">
        <v>64</v>
      </c>
      <c r="F285" s="462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2" t="s">
        <v>402</v>
      </c>
      <c r="H285" s="462" t="s">
        <v>67</v>
      </c>
      <c r="I285" s="439" t="s">
        <v>822</v>
      </c>
      <c r="J285" s="430" t="s">
        <v>1428</v>
      </c>
      <c r="K285" s="430" t="s">
        <v>328</v>
      </c>
      <c r="L285" s="430"/>
      <c r="M285" s="430" t="s">
        <v>68</v>
      </c>
      <c r="N285" s="432">
        <v>46045</v>
      </c>
      <c r="O285" s="430" t="s">
        <v>713</v>
      </c>
      <c r="P285" s="430" t="s">
        <v>1429</v>
      </c>
      <c r="Q285" s="430" t="s">
        <v>1430</v>
      </c>
      <c r="R285" s="431" t="str">
        <f>_xlfn.XLOOKUP(PV_DATA[[#This Row],[New Ark SKU]],Table9[New Ark SKU],Table9[Connector],,0)</f>
        <v>EVO2A</v>
      </c>
      <c r="S285" s="442" t="str">
        <f>_xlfn.XLOOKUP(PV_DATA[[#This Row],[New Ark SKU]],Table9[New Ark SKU],Table9[Cable],,0)</f>
        <v>±1500mm</v>
      </c>
      <c r="T285" s="433">
        <v>620</v>
      </c>
      <c r="U285" s="1088">
        <f>4032-72</f>
        <v>3960</v>
      </c>
      <c r="V285" s="434">
        <f>PV_DATA[[#This Row],[QUANTITY]]*PV_DATA[[#This Row],[WATT]]/1000000</f>
        <v>2.4552</v>
      </c>
      <c r="W285" s="435">
        <f>PV_DATA[[#This Row],[QUANTITY]]/PV_DATA[[#This Row],[Qty/Pallet]]</f>
        <v>110</v>
      </c>
      <c r="X285" s="1040">
        <f>PV_DATA[[#This Row],[QUANTITY]]/PV_DATA[[#This Row],[Qty/CT]]</f>
        <v>5.5</v>
      </c>
      <c r="Y285" s="430" t="s">
        <v>75</v>
      </c>
      <c r="Z285" s="430" t="str">
        <f t="shared" si="1"/>
        <v>COMPLETED</v>
      </c>
      <c r="AA285" s="430"/>
      <c r="AB285" s="437">
        <v>46087</v>
      </c>
      <c r="AC285" s="438">
        <f>IF(PV_DATA[[#This Row],[Pick- Up Date]]&lt;&gt;"",_xlfn.ISOWEEKNUM(PV_DATA[[#This Row],[Pick- Up Date]]),"")</f>
        <v>10</v>
      </c>
      <c r="AD285" s="439" t="s">
        <v>1436</v>
      </c>
      <c r="AE285" s="430"/>
      <c r="AF285" s="430" t="s">
        <v>122</v>
      </c>
      <c r="AG285" s="430" t="s">
        <v>123</v>
      </c>
      <c r="AH285" s="430" t="s">
        <v>356</v>
      </c>
      <c r="AI285" s="437">
        <v>46096</v>
      </c>
      <c r="AJ285" s="437">
        <v>46103</v>
      </c>
      <c r="AK285" s="441">
        <v>46101</v>
      </c>
      <c r="AL285" s="437">
        <v>46133</v>
      </c>
      <c r="AM285" s="437">
        <v>46139</v>
      </c>
      <c r="AN285" s="437">
        <v>46141</v>
      </c>
      <c r="AO285" s="430" t="s">
        <v>402</v>
      </c>
      <c r="AP285" s="430" t="s">
        <v>1432</v>
      </c>
      <c r="AQ285" s="430" t="s">
        <v>161</v>
      </c>
      <c r="AR285" s="430" t="s">
        <v>1433</v>
      </c>
      <c r="AS285" s="430" t="s">
        <v>1434</v>
      </c>
      <c r="AT285" s="482" t="s">
        <v>1434</v>
      </c>
      <c r="AU2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7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7">
        <f>IF(ISERROR(PV_DATA[[#This Row],[New Ark PO status]]),"",_xlfn.XLOOKUP(PV_DATA[[#This Row],[SPTN-PVHK New Ark PO'#]],New_Ark_Data[Purchase order Number],New_Ark_Data[Estimated time of arrival],"",0))</f>
        <v>46153</v>
      </c>
      <c r="AZ28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5" s="437">
        <f>IFERROR(PV_DATA[[#This Row],[ODP ETA Port]]+PV_DATA[[#This Row],[Customs/Leg3 Assumption]],"n/a")</f>
        <v>46151</v>
      </c>
      <c r="BB285" s="433">
        <f>YEAR(PV_DATA[[#This Row],[ETA for New Ark update]])</f>
        <v>2026</v>
      </c>
      <c r="BC285" s="430">
        <f>MONTH(PV_DATA[[#This Row],[ETA for New Ark update]])</f>
        <v>5</v>
      </c>
      <c r="BD285" s="430">
        <f>IFERROR(_xlfn.ISOWEEKNUM(PV_DATA[[#This Row],[ETA for New Ark update]]),0)</f>
        <v>19</v>
      </c>
      <c r="BE285" s="431">
        <f>_xlfn.XLOOKUP(PV_DATA[[#This Row],[New Ark SKU]],Table9[New Ark SKU],Table9[Total PCS per Pallet],,0)</f>
        <v>36</v>
      </c>
      <c r="BF285" s="431">
        <f>_xlfn.XLOOKUP(PV_DATA[[#This Row],[New Ark SKU]],Table9[New Ark SKU],Table9[Total PCS per 40HQ Container],,0)</f>
        <v>720</v>
      </c>
      <c r="BG285" s="431" t="str">
        <f>_xlfn.XLOOKUP(PV_DATA[[#This Row],[New Ark SKU]],Table9[New Ark SKU],Table9[Back Glass],,0)</f>
        <v>White glazing</v>
      </c>
      <c r="BH285" s="431" t="str">
        <f>_xlfn.XLOOKUP(PV_DATA[[#This Row],[PORT DESTINATION]],Table12[PORT DESTINATION],Table12[Cosco Line],,0)</f>
        <v>AEU</v>
      </c>
      <c r="BJ285" s="430"/>
    </row>
    <row r="286" spans="1:62" ht="10.5">
      <c r="A286" s="462" t="s">
        <v>1437</v>
      </c>
      <c r="B286" s="462" t="s">
        <v>111</v>
      </c>
      <c r="C286" s="462" t="str">
        <f>IFERROR(LEFT(PV_DATA[[#This Row],[TCL REFERENCE]],FIND(".",PV_DATA[[#This Row],[TCL REFERENCE]],1)-1),"Main Line")</f>
        <v>26Mar026</v>
      </c>
      <c r="D286" s="462" t="s">
        <v>113</v>
      </c>
      <c r="E286" s="462" t="s">
        <v>64</v>
      </c>
      <c r="F286" s="462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2" t="s">
        <v>402</v>
      </c>
      <c r="H286" s="462" t="s">
        <v>67</v>
      </c>
      <c r="I286" s="439" t="s">
        <v>822</v>
      </c>
      <c r="J286" s="430" t="s">
        <v>1184</v>
      </c>
      <c r="K286" s="430" t="s">
        <v>328</v>
      </c>
      <c r="L286" s="430"/>
      <c r="M286" s="430" t="s">
        <v>68</v>
      </c>
      <c r="N286" s="432">
        <v>46045</v>
      </c>
      <c r="O286" s="430" t="s">
        <v>713</v>
      </c>
      <c r="P286" s="430" t="s">
        <v>1185</v>
      </c>
      <c r="Q286" s="430" t="s">
        <v>1186</v>
      </c>
      <c r="R286" s="431" t="str">
        <f>_xlfn.XLOOKUP(PV_DATA[[#This Row],[New Ark SKU]],Table9[New Ark SKU],Table9[Connector],,0)</f>
        <v>EVO2A</v>
      </c>
      <c r="S286" s="442" t="str">
        <f>_xlfn.XLOOKUP(PV_DATA[[#This Row],[New Ark SKU]],Table9[New Ark SKU],Table9[Cable],,0)</f>
        <v>±1500mm</v>
      </c>
      <c r="T286" s="433">
        <v>615</v>
      </c>
      <c r="U286" s="1088">
        <f>3168+72</f>
        <v>3240</v>
      </c>
      <c r="V286" s="434">
        <f>PV_DATA[[#This Row],[QUANTITY]]*PV_DATA[[#This Row],[WATT]]/1000000</f>
        <v>1.9925999999999999</v>
      </c>
      <c r="W286" s="435">
        <f>PV_DATA[[#This Row],[QUANTITY]]/PV_DATA[[#This Row],[Qty/Pallet]]</f>
        <v>90</v>
      </c>
      <c r="X286" s="1040">
        <f>PV_DATA[[#This Row],[QUANTITY]]/PV_DATA[[#This Row],[Qty/CT]]</f>
        <v>4.5</v>
      </c>
      <c r="Y286" s="430" t="s">
        <v>75</v>
      </c>
      <c r="Z286" s="430" t="str">
        <f t="shared" si="1"/>
        <v>COMPLETED</v>
      </c>
      <c r="AA286" s="430"/>
      <c r="AB286" s="437">
        <v>46087</v>
      </c>
      <c r="AC286" s="438">
        <f>IF(PV_DATA[[#This Row],[Pick- Up Date]]&lt;&gt;"",_xlfn.ISOWEEKNUM(PV_DATA[[#This Row],[Pick- Up Date]]),"")</f>
        <v>10</v>
      </c>
      <c r="AD286" s="439" t="s">
        <v>1438</v>
      </c>
      <c r="AE286" s="430"/>
      <c r="AF286" s="430" t="s">
        <v>122</v>
      </c>
      <c r="AG286" s="430" t="s">
        <v>123</v>
      </c>
      <c r="AH286" s="430" t="s">
        <v>356</v>
      </c>
      <c r="AI286" s="437">
        <v>46096</v>
      </c>
      <c r="AJ286" s="437">
        <v>46103</v>
      </c>
      <c r="AK286" s="441">
        <v>46101</v>
      </c>
      <c r="AL286" s="437">
        <v>46133</v>
      </c>
      <c r="AM286" s="437">
        <v>46139</v>
      </c>
      <c r="AN286" s="437">
        <v>46141</v>
      </c>
      <c r="AO286" s="430" t="s">
        <v>402</v>
      </c>
      <c r="AP286" s="430" t="s">
        <v>1432</v>
      </c>
      <c r="AQ286" s="430" t="s">
        <v>161</v>
      </c>
      <c r="AR286" s="430" t="s">
        <v>1433</v>
      </c>
      <c r="AS286" s="430" t="s">
        <v>1434</v>
      </c>
      <c r="AT286" s="482" t="s">
        <v>1434</v>
      </c>
      <c r="AU2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7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7">
        <f>IF(ISERROR(PV_DATA[[#This Row],[New Ark PO status]]),"",_xlfn.XLOOKUP(PV_DATA[[#This Row],[SPTN-PVHK New Ark PO'#]],New_Ark_Data[Purchase order Number],New_Ark_Data[Estimated time of arrival],"",0))</f>
        <v>46153</v>
      </c>
      <c r="AZ28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6" s="437">
        <f>IFERROR(PV_DATA[[#This Row],[ODP ETA Port]]+PV_DATA[[#This Row],[Customs/Leg3 Assumption]],"n/a")</f>
        <v>46151</v>
      </c>
      <c r="BB286" s="433">
        <f>YEAR(PV_DATA[[#This Row],[ETA for New Ark update]])</f>
        <v>2026</v>
      </c>
      <c r="BC286" s="430">
        <f>MONTH(PV_DATA[[#This Row],[ETA for New Ark update]])</f>
        <v>5</v>
      </c>
      <c r="BD286" s="430">
        <f>IFERROR(_xlfn.ISOWEEKNUM(PV_DATA[[#This Row],[ETA for New Ark update]]),0)</f>
        <v>19</v>
      </c>
      <c r="BE286" s="431">
        <f>_xlfn.XLOOKUP(PV_DATA[[#This Row],[New Ark SKU]],Table9[New Ark SKU],Table9[Total PCS per Pallet],,0)</f>
        <v>36</v>
      </c>
      <c r="BF286" s="431">
        <f>_xlfn.XLOOKUP(PV_DATA[[#This Row],[New Ark SKU]],Table9[New Ark SKU],Table9[Total PCS per 40HQ Container],,0)</f>
        <v>720</v>
      </c>
      <c r="BG286" s="431" t="str">
        <f>_xlfn.XLOOKUP(PV_DATA[[#This Row],[New Ark SKU]],Table9[New Ark SKU],Table9[Back Glass],,0)</f>
        <v>White glazing</v>
      </c>
      <c r="BH286" s="431" t="str">
        <f>_xlfn.XLOOKUP(PV_DATA[[#This Row],[PORT DESTINATION]],Table12[PORT DESTINATION],Table12[Cosco Line],,0)</f>
        <v>AEU</v>
      </c>
      <c r="BJ286" s="430"/>
    </row>
    <row r="287" spans="1:62" s="431" customFormat="1" ht="10.5">
      <c r="A287" s="462" t="s">
        <v>1439</v>
      </c>
      <c r="B287" s="462" t="s">
        <v>111</v>
      </c>
      <c r="C287" s="462" t="str">
        <f>IFERROR(LEFT(PV_DATA[[#This Row],[TCL REFERENCE]],FIND(".",PV_DATA[[#This Row],[TCL REFERENCE]],1)-1),"Main Line")</f>
        <v>Main Line</v>
      </c>
      <c r="D287" s="462" t="s">
        <v>113</v>
      </c>
      <c r="E287" s="462" t="s">
        <v>64</v>
      </c>
      <c r="F287" s="462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2" t="s">
        <v>402</v>
      </c>
      <c r="H287" s="462" t="s">
        <v>67</v>
      </c>
      <c r="I287" s="439" t="s">
        <v>689</v>
      </c>
      <c r="J287" s="430" t="s">
        <v>1440</v>
      </c>
      <c r="K287" s="430"/>
      <c r="L287" s="430"/>
      <c r="M287" s="430" t="s">
        <v>68</v>
      </c>
      <c r="N287" s="432">
        <v>46045</v>
      </c>
      <c r="O287" s="430" t="s">
        <v>713</v>
      </c>
      <c r="P287" s="430" t="s">
        <v>1185</v>
      </c>
      <c r="Q287" s="430" t="s">
        <v>1186</v>
      </c>
      <c r="R287" s="431" t="str">
        <f>_xlfn.XLOOKUP(PV_DATA[[#This Row],[New Ark SKU]],Table9[New Ark SKU],Table9[Connector],,0)</f>
        <v>EVO2A</v>
      </c>
      <c r="S287" s="442" t="str">
        <f>_xlfn.XLOOKUP(PV_DATA[[#This Row],[New Ark SKU]],Table9[New Ark SKU],Table9[Cable],,0)</f>
        <v>±1500mm</v>
      </c>
      <c r="T287" s="433">
        <v>615</v>
      </c>
      <c r="U287" s="1088">
        <v>3852</v>
      </c>
      <c r="V287" s="434">
        <f>PV_DATA[[#This Row],[QUANTITY]]*PV_DATA[[#This Row],[WATT]]/1000000</f>
        <v>2.3689800000000001</v>
      </c>
      <c r="W287" s="435">
        <f>PV_DATA[[#This Row],[QUANTITY]]/PV_DATA[[#This Row],[Qty/Pallet]]</f>
        <v>107</v>
      </c>
      <c r="X287" s="1040">
        <f>PV_DATA[[#This Row],[QUANTITY]]/PV_DATA[[#This Row],[Qty/CT]]</f>
        <v>5.35</v>
      </c>
      <c r="Y287" s="430" t="s">
        <v>75</v>
      </c>
      <c r="Z287" s="430" t="str">
        <f t="shared" si="1"/>
        <v>COMPLETED</v>
      </c>
      <c r="AA287" s="430"/>
      <c r="AB287" s="437">
        <v>46085</v>
      </c>
      <c r="AC287" s="438">
        <f>IF(PV_DATA[[#This Row],[Pick- Up Date]]&lt;&gt;"",_xlfn.ISOWEEKNUM(PV_DATA[[#This Row],[Pick- Up Date]]),"")</f>
        <v>10</v>
      </c>
      <c r="AD287" s="439" t="s">
        <v>1441</v>
      </c>
      <c r="AE287" s="430"/>
      <c r="AF287" s="430" t="s">
        <v>122</v>
      </c>
      <c r="AG287" s="430" t="s">
        <v>123</v>
      </c>
      <c r="AH287" s="430" t="s">
        <v>105</v>
      </c>
      <c r="AI287" s="437">
        <v>46096</v>
      </c>
      <c r="AJ287" s="437">
        <v>46103</v>
      </c>
      <c r="AK287" s="441">
        <v>46103</v>
      </c>
      <c r="AL287" s="437">
        <v>46133</v>
      </c>
      <c r="AM287" s="437">
        <v>46150</v>
      </c>
      <c r="AN287" s="437">
        <v>46148</v>
      </c>
      <c r="AO287" s="430" t="s">
        <v>402</v>
      </c>
      <c r="AP287" s="430" t="s">
        <v>889</v>
      </c>
      <c r="AQ287" s="430" t="s">
        <v>80</v>
      </c>
      <c r="AR287" s="430" t="s">
        <v>1442</v>
      </c>
      <c r="AS287" s="430" t="s">
        <v>1443</v>
      </c>
      <c r="AT287" s="482" t="s">
        <v>1443</v>
      </c>
      <c r="AU2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0"/>
      <c r="AW287" s="437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7">
        <f>IF(ISERROR(PV_DATA[[#This Row],[New Ark PO status]]),"",_xlfn.XLOOKUP(PV_DATA[[#This Row],[SPTN-PVHK New Ark PO'#]],New_Ark_Data[Purchase order Number],New_Ark_Data[Estimated time of arrival],"",0))</f>
        <v>46164</v>
      </c>
      <c r="AZ2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7">
        <f>IFERROR(PV_DATA[[#This Row],[ODP ETA Port]]+PV_DATA[[#This Row],[Customs/Leg3 Assumption]],"n/a")</f>
        <v>46155</v>
      </c>
      <c r="BB287" s="433">
        <f>YEAR(PV_DATA[[#This Row],[ETA for New Ark update]])</f>
        <v>2026</v>
      </c>
      <c r="BC287" s="430">
        <f>MONTH(PV_DATA[[#This Row],[ETA for New Ark update]])</f>
        <v>5</v>
      </c>
      <c r="BD287" s="430">
        <f>IFERROR(_xlfn.ISOWEEKNUM(PV_DATA[[#This Row],[ETA for New Ark update]]),0)</f>
        <v>20</v>
      </c>
      <c r="BE287" s="431">
        <f>_xlfn.XLOOKUP(PV_DATA[[#This Row],[New Ark SKU]],Table9[New Ark SKU],Table9[Total PCS per Pallet],,0)</f>
        <v>36</v>
      </c>
      <c r="BF287" s="431">
        <f>_xlfn.XLOOKUP(PV_DATA[[#This Row],[New Ark SKU]],Table9[New Ark SKU],Table9[Total PCS per 40HQ Container],,0)</f>
        <v>720</v>
      </c>
      <c r="BG287" s="431" t="str">
        <f>_xlfn.XLOOKUP(PV_DATA[[#This Row],[New Ark SKU]],Table9[New Ark SKU],Table9[Back Glass],,0)</f>
        <v>White glazing</v>
      </c>
      <c r="BH287" s="431" t="str">
        <f>_xlfn.XLOOKUP(PV_DATA[[#This Row],[PORT DESTINATION]],Table12[PORT DESTINATION],Table12[Cosco Line],,0)</f>
        <v>AEU</v>
      </c>
    </row>
    <row r="288" spans="1:62" s="431" customFormat="1" ht="10.5">
      <c r="A288" s="462" t="s">
        <v>1444</v>
      </c>
      <c r="B288" s="462" t="s">
        <v>111</v>
      </c>
      <c r="C288" s="462" t="str">
        <f>IFERROR(LEFT(PV_DATA[[#This Row],[TCL REFERENCE]],FIND(".",PV_DATA[[#This Row],[TCL REFERENCE]],1)-1),"Main Line")</f>
        <v>26Mar021</v>
      </c>
      <c r="D288" s="462" t="s">
        <v>113</v>
      </c>
      <c r="E288" s="462" t="s">
        <v>64</v>
      </c>
      <c r="F288" s="462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2" t="s">
        <v>402</v>
      </c>
      <c r="H288" s="462" t="s">
        <v>67</v>
      </c>
      <c r="I288" s="439" t="s">
        <v>689</v>
      </c>
      <c r="J288" s="430" t="s">
        <v>1446</v>
      </c>
      <c r="K288" s="430"/>
      <c r="L288" s="430"/>
      <c r="M288" s="430" t="s">
        <v>68</v>
      </c>
      <c r="N288" s="432">
        <v>46045</v>
      </c>
      <c r="O288" s="430" t="s">
        <v>713</v>
      </c>
      <c r="P288" s="430" t="s">
        <v>1429</v>
      </c>
      <c r="Q288" s="430" t="s">
        <v>1430</v>
      </c>
      <c r="R288" s="431" t="str">
        <f>_xlfn.XLOOKUP(PV_DATA[[#This Row],[New Ark SKU]],Table9[New Ark SKU],Table9[Connector],,0)</f>
        <v>EVO2A</v>
      </c>
      <c r="S288" s="442" t="str">
        <f>_xlfn.XLOOKUP(PV_DATA[[#This Row],[New Ark SKU]],Table9[New Ark SKU],Table9[Cable],,0)</f>
        <v>±1500mm</v>
      </c>
      <c r="T288" s="433">
        <v>620</v>
      </c>
      <c r="U288" s="1088">
        <f>3420-72</f>
        <v>3348</v>
      </c>
      <c r="V288" s="434">
        <f>PV_DATA[[#This Row],[QUANTITY]]*PV_DATA[[#This Row],[WATT]]/1000000</f>
        <v>2.0757599999999998</v>
      </c>
      <c r="W288" s="435">
        <f>PV_DATA[[#This Row],[QUANTITY]]/PV_DATA[[#This Row],[Qty/Pallet]]</f>
        <v>93</v>
      </c>
      <c r="X288" s="1040">
        <f>PV_DATA[[#This Row],[QUANTITY]]/PV_DATA[[#This Row],[Qty/CT]]</f>
        <v>4.6500000000000004</v>
      </c>
      <c r="Y288" s="430" t="s">
        <v>75</v>
      </c>
      <c r="Z288" s="430" t="str">
        <f t="shared" si="1"/>
        <v>COMPLETED</v>
      </c>
      <c r="AA288" s="430"/>
      <c r="AB288" s="437">
        <v>46085</v>
      </c>
      <c r="AC288" s="438">
        <f>IF(PV_DATA[[#This Row],[Pick- Up Date]]&lt;&gt;"",_xlfn.ISOWEEKNUM(PV_DATA[[#This Row],[Pick- Up Date]]),"")</f>
        <v>10</v>
      </c>
      <c r="AD288" s="439" t="s">
        <v>1447</v>
      </c>
      <c r="AE288" s="430"/>
      <c r="AF288" s="430" t="s">
        <v>122</v>
      </c>
      <c r="AG288" s="430" t="s">
        <v>123</v>
      </c>
      <c r="AH288" s="430" t="s">
        <v>105</v>
      </c>
      <c r="AI288" s="437">
        <v>46096</v>
      </c>
      <c r="AJ288" s="437">
        <v>46103</v>
      </c>
      <c r="AK288" s="441">
        <v>46103</v>
      </c>
      <c r="AL288" s="437">
        <v>46133</v>
      </c>
      <c r="AM288" s="437">
        <v>46150</v>
      </c>
      <c r="AN288" s="437">
        <v>46148</v>
      </c>
      <c r="AO288" s="430" t="s">
        <v>402</v>
      </c>
      <c r="AP288" s="430" t="s">
        <v>889</v>
      </c>
      <c r="AQ288" s="430" t="s">
        <v>80</v>
      </c>
      <c r="AR288" s="430" t="s">
        <v>1442</v>
      </c>
      <c r="AS288" s="430" t="s">
        <v>1443</v>
      </c>
      <c r="AT288" s="482" t="s">
        <v>1443</v>
      </c>
      <c r="AU2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0"/>
      <c r="AW288" s="437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7">
        <f>IF(ISERROR(PV_DATA[[#This Row],[New Ark PO status]]),"",_xlfn.XLOOKUP(PV_DATA[[#This Row],[SPTN-PVHK New Ark PO'#]],New_Ark_Data[Purchase order Number],New_Ark_Data[Estimated time of arrival],"",0))</f>
        <v>46164</v>
      </c>
      <c r="AZ28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7">
        <f>IFERROR(PV_DATA[[#This Row],[ODP ETA Port]]+PV_DATA[[#This Row],[Customs/Leg3 Assumption]],"n/a")</f>
        <v>46155</v>
      </c>
      <c r="BB288" s="433">
        <f>YEAR(PV_DATA[[#This Row],[ETA for New Ark update]])</f>
        <v>2026</v>
      </c>
      <c r="BC288" s="430">
        <f>MONTH(PV_DATA[[#This Row],[ETA for New Ark update]])</f>
        <v>5</v>
      </c>
      <c r="BD288" s="430">
        <f>IFERROR(_xlfn.ISOWEEKNUM(PV_DATA[[#This Row],[ETA for New Ark update]]),0)</f>
        <v>20</v>
      </c>
      <c r="BE288" s="431">
        <f>_xlfn.XLOOKUP(PV_DATA[[#This Row],[New Ark SKU]],Table9[New Ark SKU],Table9[Total PCS per Pallet],,0)</f>
        <v>36</v>
      </c>
      <c r="BF288" s="431">
        <f>_xlfn.XLOOKUP(PV_DATA[[#This Row],[New Ark SKU]],Table9[New Ark SKU],Table9[Total PCS per 40HQ Container],,0)</f>
        <v>720</v>
      </c>
      <c r="BG288" s="431" t="str">
        <f>_xlfn.XLOOKUP(PV_DATA[[#This Row],[New Ark SKU]],Table9[New Ark SKU],Table9[Back Glass],,0)</f>
        <v>White glazing</v>
      </c>
      <c r="BH288" s="431" t="str">
        <f>_xlfn.XLOOKUP(PV_DATA[[#This Row],[PORT DESTINATION]],Table12[PORT DESTINATION],Table12[Cosco Line],,0)</f>
        <v>AEU</v>
      </c>
    </row>
    <row r="289" spans="1:62" ht="10.5">
      <c r="A289" s="462" t="s">
        <v>1448</v>
      </c>
      <c r="B289" s="462" t="s">
        <v>111</v>
      </c>
      <c r="C289" s="462" t="str">
        <f>IFERROR(LEFT(PV_DATA[[#This Row],[TCL REFERENCE]],FIND(".",PV_DATA[[#This Row],[TCL REFERENCE]],1)-1),"Main Line")</f>
        <v>26Feb010</v>
      </c>
      <c r="D289" s="462" t="s">
        <v>63</v>
      </c>
      <c r="E289" s="462" t="s">
        <v>144</v>
      </c>
      <c r="F289" s="462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2" t="s">
        <v>402</v>
      </c>
      <c r="H289" s="712" t="s">
        <v>1449</v>
      </c>
      <c r="I289" s="462" t="s">
        <v>689</v>
      </c>
      <c r="J289" s="430" t="s">
        <v>1450</v>
      </c>
      <c r="K289" s="437" t="s">
        <v>1451</v>
      </c>
      <c r="L289" s="450">
        <v>6</v>
      </c>
      <c r="M289" s="430" t="s">
        <v>840</v>
      </c>
      <c r="N289" s="437">
        <v>46076</v>
      </c>
      <c r="O289" s="436" t="s">
        <v>132</v>
      </c>
      <c r="P289" s="430" t="s">
        <v>1062</v>
      </c>
      <c r="Q289" s="430" t="s">
        <v>1063</v>
      </c>
      <c r="R289" s="431" t="str">
        <f>_xlfn.XLOOKUP(PV_DATA[[#This Row],[New Ark SKU]],Table9[New Ark SKU],Table9[Connector],,0)</f>
        <v>EVO2A</v>
      </c>
      <c r="S289" s="442" t="str">
        <f>_xlfn.XLOOKUP(PV_DATA[[#This Row],[New Ark SKU]],Table9[New Ark SKU],Table9[Cable],,0)</f>
        <v>±1200mm</v>
      </c>
      <c r="T289" s="430">
        <v>470</v>
      </c>
      <c r="U289" s="1090">
        <f>864*3</f>
        <v>2592</v>
      </c>
      <c r="V289" s="458">
        <f>PV_DATA[[#This Row],[QUANTITY]]*PV_DATA[[#This Row],[WATT]]/1000000</f>
        <v>1.21824</v>
      </c>
      <c r="W289" s="430">
        <f>PV_DATA[[#This Row],[QUANTITY]]/PV_DATA[[#This Row],[Qty/Pallet]]</f>
        <v>72</v>
      </c>
      <c r="X289" s="1056">
        <f>PV_DATA[[#This Row],[QUANTITY]]/PV_DATA[[#This Row],[Qty/CT]]</f>
        <v>3</v>
      </c>
      <c r="Y289" s="430" t="s">
        <v>75</v>
      </c>
      <c r="Z289" s="430" t="str">
        <f t="shared" si="1"/>
        <v>COMPLETED</v>
      </c>
      <c r="AA289" s="437"/>
      <c r="AB289" s="437">
        <v>46086</v>
      </c>
      <c r="AC289" s="431">
        <f>IF(PV_DATA[[#This Row],[Pick- Up Date]]&lt;&gt;"",_xlfn.ISOWEEKNUM(PV_DATA[[#This Row],[Pick- Up Date]]),"")</f>
        <v>10</v>
      </c>
      <c r="AD289" s="437" t="s">
        <v>1452</v>
      </c>
      <c r="AE289" s="437"/>
      <c r="AF289" s="437" t="s">
        <v>122</v>
      </c>
      <c r="AG289" s="437" t="s">
        <v>123</v>
      </c>
      <c r="AH289" s="430" t="s">
        <v>105</v>
      </c>
      <c r="AI289" s="437">
        <v>46096</v>
      </c>
      <c r="AJ289" s="437">
        <v>46103</v>
      </c>
      <c r="AK289" s="437">
        <v>46103</v>
      </c>
      <c r="AL289" s="437">
        <v>46133</v>
      </c>
      <c r="AM289" s="437">
        <v>46150</v>
      </c>
      <c r="AN289" s="437">
        <v>46148</v>
      </c>
      <c r="AO289" s="430" t="s">
        <v>402</v>
      </c>
      <c r="AP289" s="430" t="s">
        <v>889</v>
      </c>
      <c r="AQ289" s="437" t="s">
        <v>80</v>
      </c>
      <c r="AR289" s="437" t="s">
        <v>1453</v>
      </c>
      <c r="AS289" s="430" t="s">
        <v>1454</v>
      </c>
      <c r="AT289" s="482" t="s">
        <v>1443</v>
      </c>
      <c r="AU2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7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1">
        <f>IF(ISERROR(PV_DATA[[#This Row],[New Ark PO status]]),"",_xlfn.XLOOKUP(PV_DATA[[#This Row],[SPTN-PVHK New Ark PO'#]],New_Ark_Data[Purchase order Number],New_Ark_Data[Estimated time of arrival],"",0))</f>
        <v>46139</v>
      </c>
      <c r="AZ28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7">
        <f>IFERROR(PV_DATA[[#This Row],[ODP ETA Port]]+PV_DATA[[#This Row],[Customs/Leg3 Assumption]],"n/a")</f>
        <v>46148</v>
      </c>
      <c r="BB289" s="442">
        <f>YEAR(PV_DATA[[#This Row],[ETA for New Ark update]])</f>
        <v>2026</v>
      </c>
      <c r="BC289" s="431">
        <f>MONTH(PV_DATA[[#This Row],[ETA for New Ark update]])</f>
        <v>5</v>
      </c>
      <c r="BD289" s="430">
        <f>IFERROR(_xlfn.ISOWEEKNUM(PV_DATA[[#This Row],[ETA for New Ark update]]),0)</f>
        <v>19</v>
      </c>
      <c r="BE289" s="431">
        <f>_xlfn.XLOOKUP(PV_DATA[[#This Row],[New Ark SKU]],Table9[New Ark SKU],Table9[Total PCS per Pallet],,0)</f>
        <v>36</v>
      </c>
      <c r="BF289" s="431">
        <f>_xlfn.XLOOKUP(PV_DATA[[#This Row],[New Ark SKU]],Table9[New Ark SKU],Table9[Total PCS per 40HQ Container],,0)</f>
        <v>864</v>
      </c>
      <c r="BG289" s="431" t="str">
        <f>_xlfn.XLOOKUP(PV_DATA[[#This Row],[New Ark SKU]],Table9[New Ark SKU],Table9[Back Glass],,0)</f>
        <v>White glazing</v>
      </c>
      <c r="BH289" s="431" t="str">
        <f>_xlfn.XLOOKUP(PV_DATA[[#This Row],[PORT DESTINATION]],Table12[PORT DESTINATION],Table12[Cosco Line],,0)</f>
        <v>AEU</v>
      </c>
      <c r="BJ289" s="430"/>
    </row>
    <row r="290" spans="1:62" ht="10.5">
      <c r="A290" s="462" t="s">
        <v>1455</v>
      </c>
      <c r="B290" s="713" t="s">
        <v>111</v>
      </c>
      <c r="C290" s="713" t="str">
        <f>IFERROR(LEFT(PV_DATA[[#This Row],[TCL REFERENCE]],FIND(".",PV_DATA[[#This Row],[TCL REFERENCE]],1)-1),"Main Line")</f>
        <v>26Feb010</v>
      </c>
      <c r="D290" s="713" t="s">
        <v>63</v>
      </c>
      <c r="E290" s="462" t="s">
        <v>144</v>
      </c>
      <c r="F290" s="462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2" t="s">
        <v>402</v>
      </c>
      <c r="H290" s="462" t="s">
        <v>1449</v>
      </c>
      <c r="I290" s="462" t="s">
        <v>689</v>
      </c>
      <c r="J290" s="430" t="s">
        <v>1450</v>
      </c>
      <c r="K290" s="437" t="s">
        <v>1451</v>
      </c>
      <c r="L290" s="450">
        <v>7</v>
      </c>
      <c r="M290" s="430" t="s">
        <v>840</v>
      </c>
      <c r="N290" s="437">
        <v>46076</v>
      </c>
      <c r="O290" s="437" t="s">
        <v>132</v>
      </c>
      <c r="P290" s="430" t="s">
        <v>1062</v>
      </c>
      <c r="Q290" s="430" t="s">
        <v>1063</v>
      </c>
      <c r="R290" s="431" t="str">
        <f>_xlfn.XLOOKUP(PV_DATA[[#This Row],[New Ark SKU]],Table9[New Ark SKU],Table9[Connector],,0)</f>
        <v>EVO2A</v>
      </c>
      <c r="S290" s="442" t="str">
        <f>_xlfn.XLOOKUP(PV_DATA[[#This Row],[New Ark SKU]],Table9[New Ark SKU],Table9[Cable],,0)</f>
        <v>±1200mm</v>
      </c>
      <c r="T290" s="430">
        <v>470</v>
      </c>
      <c r="U290" s="1090">
        <f>864*2</f>
        <v>1728</v>
      </c>
      <c r="V290" s="458">
        <f>PV_DATA[[#This Row],[QUANTITY]]*PV_DATA[[#This Row],[WATT]]/1000000</f>
        <v>0.81215999999999999</v>
      </c>
      <c r="W290" s="430">
        <f>PV_DATA[[#This Row],[QUANTITY]]/PV_DATA[[#This Row],[Qty/Pallet]]</f>
        <v>48</v>
      </c>
      <c r="X290" s="1048">
        <f>PV_DATA[[#This Row],[QUANTITY]]/PV_DATA[[#This Row],[Qty/CT]]</f>
        <v>2</v>
      </c>
      <c r="Y290" s="430" t="s">
        <v>75</v>
      </c>
      <c r="Z290" s="430" t="str">
        <f t="shared" si="1"/>
        <v>COMPLETED</v>
      </c>
      <c r="AA290" s="431" t="s">
        <v>1456</v>
      </c>
      <c r="AB290" s="437">
        <v>46086</v>
      </c>
      <c r="AC290" s="430">
        <f>IF(PV_DATA[[#This Row],[Pick- Up Date]]&lt;&gt;"",_xlfn.ISOWEEKNUM(PV_DATA[[#This Row],[Pick- Up Date]]),"")</f>
        <v>10</v>
      </c>
      <c r="AD290" s="430" t="s">
        <v>1457</v>
      </c>
      <c r="AE290" s="430"/>
      <c r="AF290" s="430" t="s">
        <v>122</v>
      </c>
      <c r="AG290" s="430" t="s">
        <v>123</v>
      </c>
      <c r="AH290" s="430" t="s">
        <v>105</v>
      </c>
      <c r="AI290" s="437">
        <v>46096</v>
      </c>
      <c r="AJ290" s="437">
        <v>46103</v>
      </c>
      <c r="AK290" s="437">
        <v>46103</v>
      </c>
      <c r="AL290" s="437">
        <v>46133</v>
      </c>
      <c r="AM290" s="437">
        <v>46150</v>
      </c>
      <c r="AN290" s="437">
        <v>46148</v>
      </c>
      <c r="AO290" s="430" t="s">
        <v>402</v>
      </c>
      <c r="AP290" s="430" t="s">
        <v>889</v>
      </c>
      <c r="AQ290" s="430" t="s">
        <v>80</v>
      </c>
      <c r="AR290" s="430" t="s">
        <v>1453</v>
      </c>
      <c r="AS290" s="430" t="s">
        <v>1454</v>
      </c>
      <c r="AT290" s="482" t="s">
        <v>1443</v>
      </c>
      <c r="AU2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7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7">
        <f>IF(ISERROR(PV_DATA[[#This Row],[New Ark PO status]]),"",_xlfn.XLOOKUP(PV_DATA[[#This Row],[SPTN-PVHK New Ark PO'#]],New_Ark_Data[Purchase order Number],New_Ark_Data[Estimated time of arrival],"",0))</f>
        <v>46164</v>
      </c>
      <c r="AZ2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7">
        <f>IFERROR(PV_DATA[[#This Row],[ODP ETA Port]]+PV_DATA[[#This Row],[Customs/Leg3 Assumption]],"n/a")</f>
        <v>46148</v>
      </c>
      <c r="BB290" s="433">
        <f>YEAR(PV_DATA[[#This Row],[ETA for New Ark update]])</f>
        <v>2026</v>
      </c>
      <c r="BC290" s="430">
        <f>MONTH(PV_DATA[[#This Row],[ETA for New Ark update]])</f>
        <v>5</v>
      </c>
      <c r="BD290" s="430">
        <f>IFERROR(_xlfn.ISOWEEKNUM(PV_DATA[[#This Row],[ETA for New Ark update]]),0)</f>
        <v>19</v>
      </c>
      <c r="BE290" s="431">
        <f>_xlfn.XLOOKUP(PV_DATA[[#This Row],[New Ark SKU]],Table9[New Ark SKU],Table9[Total PCS per Pallet],,0)</f>
        <v>36</v>
      </c>
      <c r="BF290" s="431">
        <f>_xlfn.XLOOKUP(PV_DATA[[#This Row],[New Ark SKU]],Table9[New Ark SKU],Table9[Total PCS per 40HQ Container],,0)</f>
        <v>864</v>
      </c>
      <c r="BG290" s="431" t="str">
        <f>_xlfn.XLOOKUP(PV_DATA[[#This Row],[New Ark SKU]],Table9[New Ark SKU],Table9[Back Glass],,0)</f>
        <v>White glazing</v>
      </c>
      <c r="BH290" s="431" t="str">
        <f>_xlfn.XLOOKUP(PV_DATA[[#This Row],[PORT DESTINATION]],Table12[PORT DESTINATION],Table12[Cosco Line],,0)</f>
        <v>AEU</v>
      </c>
      <c r="BJ290" s="430"/>
    </row>
    <row r="291" spans="1:62" ht="10.5">
      <c r="A291" s="462" t="s">
        <v>1458</v>
      </c>
      <c r="B291" s="462" t="s">
        <v>111</v>
      </c>
      <c r="C291" s="462" t="str">
        <f>IFERROR(LEFT(PV_DATA[[#This Row],[TCL REFERENCE]],FIND(".",PV_DATA[[#This Row],[TCL REFERENCE]],1)-1),"Main Line")</f>
        <v>26Feb025</v>
      </c>
      <c r="D291" s="462" t="s">
        <v>63</v>
      </c>
      <c r="E291" s="462" t="s">
        <v>64</v>
      </c>
      <c r="F291" s="462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2" t="s">
        <v>402</v>
      </c>
      <c r="H291" s="462" t="s">
        <v>67</v>
      </c>
      <c r="I291" s="439" t="s">
        <v>689</v>
      </c>
      <c r="J291" s="430" t="s">
        <v>1460</v>
      </c>
      <c r="K291" s="430"/>
      <c r="L291" s="430"/>
      <c r="M291" s="430" t="s">
        <v>68</v>
      </c>
      <c r="N291" s="432">
        <v>46097</v>
      </c>
      <c r="O291" s="430" t="s">
        <v>70</v>
      </c>
      <c r="P291" s="430" t="s">
        <v>1461</v>
      </c>
      <c r="Q291" s="430" t="s">
        <v>103</v>
      </c>
      <c r="R291" s="431" t="str">
        <f>_xlfn.XLOOKUP(PV_DATA[[#This Row],[New Ark SKU]],Table9[New Ark SKU],Table9[Connector],,0)</f>
        <v>EVO2A</v>
      </c>
      <c r="S291" s="442" t="str">
        <f>_xlfn.XLOOKUP(PV_DATA[[#This Row],[New Ark SKU]],Table9[New Ark SKU],Table9[Cable],,0)</f>
        <v>±1400mm</v>
      </c>
      <c r="T291" s="433">
        <v>620</v>
      </c>
      <c r="U291" s="1088">
        <f>720*11</f>
        <v>7920</v>
      </c>
      <c r="V291" s="434">
        <f>PV_DATA[[#This Row],[QUANTITY]]*PV_DATA[[#This Row],[WATT]]/1000000</f>
        <v>4.9104000000000001</v>
      </c>
      <c r="W291" s="435">
        <f>PV_DATA[[#This Row],[QUANTITY]]/PV_DATA[[#This Row],[Qty/Pallet]]</f>
        <v>220</v>
      </c>
      <c r="X291" s="1040">
        <f>PV_DATA[[#This Row],[QUANTITY]]/PV_DATA[[#This Row],[Qty/CT]]</f>
        <v>11</v>
      </c>
      <c r="Y291" s="430" t="s">
        <v>75</v>
      </c>
      <c r="Z291" s="430" t="str">
        <f t="shared" si="1"/>
        <v>COMPLETED</v>
      </c>
      <c r="AA291" s="430" t="s">
        <v>1456</v>
      </c>
      <c r="AB291" s="437">
        <v>46090</v>
      </c>
      <c r="AC291" s="438">
        <f>IF(PV_DATA[[#This Row],[Pick- Up Date]]&lt;&gt;"",_xlfn.ISOWEEKNUM(PV_DATA[[#This Row],[Pick- Up Date]]),"")</f>
        <v>11</v>
      </c>
      <c r="AD291" s="439" t="s">
        <v>1462</v>
      </c>
      <c r="AE291" s="430"/>
      <c r="AF291" s="430" t="s">
        <v>122</v>
      </c>
      <c r="AG291" s="430" t="s">
        <v>123</v>
      </c>
      <c r="AH291" s="430" t="s">
        <v>105</v>
      </c>
      <c r="AI291" s="437">
        <v>46096</v>
      </c>
      <c r="AJ291" s="437">
        <v>46103</v>
      </c>
      <c r="AK291" s="441">
        <v>46103</v>
      </c>
      <c r="AL291" s="437">
        <v>46133</v>
      </c>
      <c r="AM291" s="437">
        <v>46150</v>
      </c>
      <c r="AN291" s="437">
        <v>46148</v>
      </c>
      <c r="AO291" s="430" t="s">
        <v>402</v>
      </c>
      <c r="AP291" s="430" t="s">
        <v>889</v>
      </c>
      <c r="AQ291" s="430" t="s">
        <v>80</v>
      </c>
      <c r="AR291" s="430" t="s">
        <v>1463</v>
      </c>
      <c r="AS291" s="430" t="s">
        <v>1464</v>
      </c>
      <c r="AT291" s="482" t="s">
        <v>1464</v>
      </c>
      <c r="AU2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7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7">
        <f>IF(ISERROR(PV_DATA[[#This Row],[New Ark PO status]]),"",_xlfn.XLOOKUP(PV_DATA[[#This Row],[SPTN-PVHK New Ark PO'#]],New_Ark_Data[Purchase order Number],New_Ark_Data[Estimated time of arrival],"",0))</f>
        <v>46164</v>
      </c>
      <c r="AZ29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7">
        <f>IFERROR(PV_DATA[[#This Row],[ODP ETA Port]]+PV_DATA[[#This Row],[Customs/Leg3 Assumption]],"n/a")</f>
        <v>46155</v>
      </c>
      <c r="BB291" s="433">
        <f>YEAR(PV_DATA[[#This Row],[ETA for New Ark update]])</f>
        <v>2026</v>
      </c>
      <c r="BC291" s="430">
        <f>MONTH(PV_DATA[[#This Row],[ETA for New Ark update]])</f>
        <v>5</v>
      </c>
      <c r="BD291" s="430">
        <f>IFERROR(_xlfn.ISOWEEKNUM(PV_DATA[[#This Row],[ETA for New Ark update]]),0)</f>
        <v>20</v>
      </c>
      <c r="BE291" s="431">
        <f>_xlfn.XLOOKUP(PV_DATA[[#This Row],[New Ark SKU]],Table9[New Ark SKU],Table9[Total PCS per Pallet],,0)</f>
        <v>36</v>
      </c>
      <c r="BF291" s="431">
        <f>_xlfn.XLOOKUP(PV_DATA[[#This Row],[New Ark SKU]],Table9[New Ark SKU],Table9[Total PCS per 40HQ Container],,0)</f>
        <v>720</v>
      </c>
      <c r="BG291" s="431" t="str">
        <f>_xlfn.XLOOKUP(PV_DATA[[#This Row],[New Ark SKU]],Table9[New Ark SKU],Table9[Back Glass],,0)</f>
        <v>Redirection Film</v>
      </c>
      <c r="BH291" s="431" t="str">
        <f>_xlfn.XLOOKUP(PV_DATA[[#This Row],[PORT DESTINATION]],Table12[PORT DESTINATION],Table12[Cosco Line],,0)</f>
        <v>AEU</v>
      </c>
      <c r="BJ291" s="430"/>
    </row>
    <row r="292" spans="1:62" ht="10.5">
      <c r="A292" s="462" t="s">
        <v>1465</v>
      </c>
      <c r="B292" s="462" t="s">
        <v>111</v>
      </c>
      <c r="C292" s="462" t="str">
        <f>IFERROR(LEFT(PV_DATA[[#This Row],[TCL REFERENCE]],FIND(".",PV_DATA[[#This Row],[TCL REFERENCE]],1)-1),"Main Line")</f>
        <v>26Feb010</v>
      </c>
      <c r="D292" s="462" t="s">
        <v>63</v>
      </c>
      <c r="E292" s="462" t="s">
        <v>64</v>
      </c>
      <c r="F292" s="462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2" t="s">
        <v>402</v>
      </c>
      <c r="H292" s="462" t="s">
        <v>67</v>
      </c>
      <c r="I292" s="439" t="s">
        <v>689</v>
      </c>
      <c r="J292" s="430" t="s">
        <v>101</v>
      </c>
      <c r="K292" s="430"/>
      <c r="L292" s="430"/>
      <c r="M292" s="430" t="s">
        <v>68</v>
      </c>
      <c r="N292" s="432">
        <v>46076</v>
      </c>
      <c r="O292" s="430" t="s">
        <v>132</v>
      </c>
      <c r="P292" s="430" t="s">
        <v>1062</v>
      </c>
      <c r="Q292" s="430" t="s">
        <v>1063</v>
      </c>
      <c r="R292" s="431" t="str">
        <f>_xlfn.XLOOKUP(PV_DATA[[#This Row],[New Ark SKU]],Table9[New Ark SKU],Table9[Connector],,0)</f>
        <v>EVO2A</v>
      </c>
      <c r="S292" s="442" t="str">
        <f>_xlfn.XLOOKUP(PV_DATA[[#This Row],[New Ark SKU]],Table9[New Ark SKU],Table9[Cable],,0)</f>
        <v>±1200mm</v>
      </c>
      <c r="T292" s="433">
        <v>470</v>
      </c>
      <c r="U292" s="1088">
        <f>864*4</f>
        <v>3456</v>
      </c>
      <c r="V292" s="434">
        <f>PV_DATA[[#This Row],[QUANTITY]]*PV_DATA[[#This Row],[WATT]]/1000000</f>
        <v>1.62432</v>
      </c>
      <c r="W292" s="435">
        <f>PV_DATA[[#This Row],[QUANTITY]]/PV_DATA[[#This Row],[Qty/Pallet]]</f>
        <v>96</v>
      </c>
      <c r="X292" s="1040">
        <f>PV_DATA[[#This Row],[QUANTITY]]/PV_DATA[[#This Row],[Qty/CT]]</f>
        <v>4</v>
      </c>
      <c r="Y292" s="430" t="s">
        <v>75</v>
      </c>
      <c r="Z292" s="430" t="str">
        <f t="shared" si="1"/>
        <v>COMPLETED</v>
      </c>
      <c r="AA292" s="430"/>
      <c r="AB292" s="437">
        <v>46091</v>
      </c>
      <c r="AC292" s="438">
        <f>IF(PV_DATA[[#This Row],[Pick- Up Date]]&lt;&gt;"",_xlfn.ISOWEEKNUM(PV_DATA[[#This Row],[Pick- Up Date]]),"")</f>
        <v>11</v>
      </c>
      <c r="AD292" s="439" t="s">
        <v>1466</v>
      </c>
      <c r="AE292" s="430"/>
      <c r="AF292" s="430" t="s">
        <v>122</v>
      </c>
      <c r="AG292" s="430" t="s">
        <v>123</v>
      </c>
      <c r="AH292" s="430" t="s">
        <v>105</v>
      </c>
      <c r="AI292" s="437">
        <v>46096</v>
      </c>
      <c r="AJ292" s="437">
        <v>46103</v>
      </c>
      <c r="AK292" s="441">
        <v>46103</v>
      </c>
      <c r="AL292" s="437">
        <v>46133</v>
      </c>
      <c r="AM292" s="437">
        <v>46150</v>
      </c>
      <c r="AN292" s="437">
        <v>46148</v>
      </c>
      <c r="AO292" s="430" t="s">
        <v>402</v>
      </c>
      <c r="AP292" s="430" t="s">
        <v>889</v>
      </c>
      <c r="AQ292" s="430" t="s">
        <v>80</v>
      </c>
      <c r="AR292" s="430" t="s">
        <v>1463</v>
      </c>
      <c r="AS292" s="430" t="s">
        <v>1464</v>
      </c>
      <c r="AT292" s="482" t="s">
        <v>1464</v>
      </c>
      <c r="AU2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7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7">
        <f>IF(ISERROR(PV_DATA[[#This Row],[New Ark PO status]]),"",_xlfn.XLOOKUP(PV_DATA[[#This Row],[SPTN-PVHK New Ark PO'#]],New_Ark_Data[Purchase order Number],New_Ark_Data[Estimated time of arrival],"",0))</f>
        <v>46164</v>
      </c>
      <c r="AZ29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7">
        <f>IFERROR(PV_DATA[[#This Row],[ODP ETA Port]]+PV_DATA[[#This Row],[Customs/Leg3 Assumption]],"n/a")</f>
        <v>46155</v>
      </c>
      <c r="BB292" s="433">
        <f>YEAR(PV_DATA[[#This Row],[ETA for New Ark update]])</f>
        <v>2026</v>
      </c>
      <c r="BC292" s="430">
        <f>MONTH(PV_DATA[[#This Row],[ETA for New Ark update]])</f>
        <v>5</v>
      </c>
      <c r="BD292" s="430">
        <f>IFERROR(_xlfn.ISOWEEKNUM(PV_DATA[[#This Row],[ETA for New Ark update]]),0)</f>
        <v>20</v>
      </c>
      <c r="BE292" s="431">
        <f>_xlfn.XLOOKUP(PV_DATA[[#This Row],[New Ark SKU]],Table9[New Ark SKU],Table9[Total PCS per Pallet],,0)</f>
        <v>36</v>
      </c>
      <c r="BF292" s="431">
        <f>_xlfn.XLOOKUP(PV_DATA[[#This Row],[New Ark SKU]],Table9[New Ark SKU],Table9[Total PCS per 40HQ Container],,0)</f>
        <v>864</v>
      </c>
      <c r="BG292" s="431" t="str">
        <f>_xlfn.XLOOKUP(PV_DATA[[#This Row],[New Ark SKU]],Table9[New Ark SKU],Table9[Back Glass],,0)</f>
        <v>White glazing</v>
      </c>
      <c r="BH292" s="431" t="str">
        <f>_xlfn.XLOOKUP(PV_DATA[[#This Row],[PORT DESTINATION]],Table12[PORT DESTINATION],Table12[Cosco Line],,0)</f>
        <v>AEU</v>
      </c>
      <c r="BJ292" s="430"/>
    </row>
    <row r="293" spans="1:62" ht="10.5">
      <c r="A293" s="462" t="s">
        <v>1467</v>
      </c>
      <c r="B293" s="462" t="s">
        <v>111</v>
      </c>
      <c r="C293" s="462" t="str">
        <f>IFERROR(LEFT(PV_DATA[[#This Row],[TCL REFERENCE]],FIND(".",PV_DATA[[#This Row],[TCL REFERENCE]],1)-1),"Main Line")</f>
        <v>26Feb025</v>
      </c>
      <c r="D293" s="462" t="s">
        <v>63</v>
      </c>
      <c r="E293" s="462" t="s">
        <v>64</v>
      </c>
      <c r="F293" s="462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2" t="s">
        <v>402</v>
      </c>
      <c r="H293" s="462" t="s">
        <v>67</v>
      </c>
      <c r="I293" s="439" t="s">
        <v>689</v>
      </c>
      <c r="J293" s="430" t="s">
        <v>101</v>
      </c>
      <c r="K293" s="430"/>
      <c r="L293" s="430"/>
      <c r="M293" s="430" t="s">
        <v>68</v>
      </c>
      <c r="N293" s="432">
        <v>46097</v>
      </c>
      <c r="O293" s="430" t="s">
        <v>70</v>
      </c>
      <c r="P293" s="430" t="s">
        <v>1461</v>
      </c>
      <c r="Q293" s="430" t="s">
        <v>103</v>
      </c>
      <c r="R293" s="431" t="str">
        <f>_xlfn.XLOOKUP(PV_DATA[[#This Row],[New Ark SKU]],Table9[New Ark SKU],Table9[Connector],,0)</f>
        <v>EVO2A</v>
      </c>
      <c r="S293" s="442" t="str">
        <f>_xlfn.XLOOKUP(PV_DATA[[#This Row],[New Ark SKU]],Table9[New Ark SKU],Table9[Cable],,0)</f>
        <v>±1400mm</v>
      </c>
      <c r="T293" s="433">
        <v>620</v>
      </c>
      <c r="U293" s="1088">
        <f>720*3</f>
        <v>2160</v>
      </c>
      <c r="V293" s="434">
        <f>PV_DATA[[#This Row],[QUANTITY]]*PV_DATA[[#This Row],[WATT]]/1000000</f>
        <v>1.3391999999999999</v>
      </c>
      <c r="W293" s="435">
        <f>PV_DATA[[#This Row],[QUANTITY]]/PV_DATA[[#This Row],[Qty/Pallet]]</f>
        <v>60</v>
      </c>
      <c r="X293" s="1040">
        <f>PV_DATA[[#This Row],[QUANTITY]]/PV_DATA[[#This Row],[Qty/CT]]</f>
        <v>3</v>
      </c>
      <c r="Y293" s="430" t="s">
        <v>75</v>
      </c>
      <c r="Z293" s="430" t="str">
        <f t="shared" si="1"/>
        <v>COMPLETED</v>
      </c>
      <c r="AA293" s="430" t="s">
        <v>1456</v>
      </c>
      <c r="AB293" s="437">
        <v>46092</v>
      </c>
      <c r="AC293" s="438">
        <f>IF(PV_DATA[[#This Row],[Pick- Up Date]]&lt;&gt;"",_xlfn.ISOWEEKNUM(PV_DATA[[#This Row],[Pick- Up Date]]),"")</f>
        <v>11</v>
      </c>
      <c r="AD293" s="439" t="s">
        <v>1468</v>
      </c>
      <c r="AE293" s="430"/>
      <c r="AF293" s="430" t="s">
        <v>122</v>
      </c>
      <c r="AG293" s="430" t="s">
        <v>123</v>
      </c>
      <c r="AH293" s="430" t="s">
        <v>105</v>
      </c>
      <c r="AI293" s="437">
        <v>46096</v>
      </c>
      <c r="AJ293" s="437">
        <v>46103</v>
      </c>
      <c r="AK293" s="441">
        <v>46103</v>
      </c>
      <c r="AL293" s="437">
        <v>46133</v>
      </c>
      <c r="AM293" s="437">
        <v>46150</v>
      </c>
      <c r="AN293" s="437">
        <v>46148</v>
      </c>
      <c r="AO293" s="430" t="s">
        <v>402</v>
      </c>
      <c r="AP293" s="430" t="s">
        <v>889</v>
      </c>
      <c r="AQ293" s="430" t="s">
        <v>80</v>
      </c>
      <c r="AR293" s="430" t="s">
        <v>919</v>
      </c>
      <c r="AS293" s="430" t="s">
        <v>920</v>
      </c>
      <c r="AT293" s="482" t="s">
        <v>920</v>
      </c>
      <c r="AU2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7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7">
        <f>IF(ISERROR(PV_DATA[[#This Row],[New Ark PO status]]),"",_xlfn.XLOOKUP(PV_DATA[[#This Row],[SPTN-PVHK New Ark PO'#]],New_Ark_Data[Purchase order Number],New_Ark_Data[Estimated time of arrival],"",0))</f>
        <v>46164</v>
      </c>
      <c r="AZ29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7">
        <f>IFERROR(PV_DATA[[#This Row],[ODP ETA Port]]+PV_DATA[[#This Row],[Customs/Leg3 Assumption]],"n/a")</f>
        <v>46155</v>
      </c>
      <c r="BB293" s="433">
        <f>YEAR(PV_DATA[[#This Row],[ETA for New Ark update]])</f>
        <v>2026</v>
      </c>
      <c r="BC293" s="430">
        <f>MONTH(PV_DATA[[#This Row],[ETA for New Ark update]])</f>
        <v>5</v>
      </c>
      <c r="BD293" s="430">
        <f>IFERROR(_xlfn.ISOWEEKNUM(PV_DATA[[#This Row],[ETA for New Ark update]]),0)</f>
        <v>20</v>
      </c>
      <c r="BE293" s="431">
        <f>_xlfn.XLOOKUP(PV_DATA[[#This Row],[New Ark SKU]],Table9[New Ark SKU],Table9[Total PCS per Pallet],,0)</f>
        <v>36</v>
      </c>
      <c r="BF293" s="431">
        <f>_xlfn.XLOOKUP(PV_DATA[[#This Row],[New Ark SKU]],Table9[New Ark SKU],Table9[Total PCS per 40HQ Container],,0)</f>
        <v>720</v>
      </c>
      <c r="BG293" s="431" t="str">
        <f>_xlfn.XLOOKUP(PV_DATA[[#This Row],[New Ark SKU]],Table9[New Ark SKU],Table9[Back Glass],,0)</f>
        <v>Redirection Film</v>
      </c>
      <c r="BH293" s="431" t="str">
        <f>_xlfn.XLOOKUP(PV_DATA[[#This Row],[PORT DESTINATION]],Table12[PORT DESTINATION],Table12[Cosco Line],,0)</f>
        <v>AEU</v>
      </c>
      <c r="BJ293" s="430"/>
    </row>
    <row r="294" spans="1:62" ht="10.5">
      <c r="A294" s="462" t="s">
        <v>1469</v>
      </c>
      <c r="B294" s="462" t="s">
        <v>111</v>
      </c>
      <c r="C294" s="462" t="str">
        <f>IFERROR(LEFT(PV_DATA[[#This Row],[TCL REFERENCE]],FIND(".",PV_DATA[[#This Row],[TCL REFERENCE]],1)-1),"Main Line")</f>
        <v>26Feb025</v>
      </c>
      <c r="D294" s="462" t="s">
        <v>63</v>
      </c>
      <c r="E294" s="462" t="s">
        <v>64</v>
      </c>
      <c r="F294" s="462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2" t="s">
        <v>402</v>
      </c>
      <c r="H294" s="462" t="s">
        <v>67</v>
      </c>
      <c r="I294" s="439" t="s">
        <v>689</v>
      </c>
      <c r="J294" s="430" t="s">
        <v>917</v>
      </c>
      <c r="K294" s="430"/>
      <c r="L294" s="430"/>
      <c r="M294" s="430" t="s">
        <v>68</v>
      </c>
      <c r="N294" s="432">
        <v>46097</v>
      </c>
      <c r="O294" s="430" t="s">
        <v>70</v>
      </c>
      <c r="P294" s="430" t="s">
        <v>1461</v>
      </c>
      <c r="Q294" s="430" t="s">
        <v>103</v>
      </c>
      <c r="R294" s="431" t="str">
        <f>_xlfn.XLOOKUP(PV_DATA[[#This Row],[New Ark SKU]],Table9[New Ark SKU],Table9[Connector],,0)</f>
        <v>EVO2A</v>
      </c>
      <c r="S294" s="442" t="str">
        <f>_xlfn.XLOOKUP(PV_DATA[[#This Row],[New Ark SKU]],Table9[New Ark SKU],Table9[Cable],,0)</f>
        <v>±1400mm</v>
      </c>
      <c r="T294" s="433">
        <v>620</v>
      </c>
      <c r="U294" s="1088">
        <f>720*4</f>
        <v>2880</v>
      </c>
      <c r="V294" s="434">
        <f>PV_DATA[[#This Row],[QUANTITY]]*PV_DATA[[#This Row],[WATT]]/1000000</f>
        <v>1.7856000000000001</v>
      </c>
      <c r="W294" s="435">
        <f>PV_DATA[[#This Row],[QUANTITY]]/PV_DATA[[#This Row],[Qty/Pallet]]</f>
        <v>80</v>
      </c>
      <c r="X294" s="1040">
        <f>PV_DATA[[#This Row],[QUANTITY]]/PV_DATA[[#This Row],[Qty/CT]]</f>
        <v>4</v>
      </c>
      <c r="Y294" s="430" t="s">
        <v>75</v>
      </c>
      <c r="Z294" s="430" t="str">
        <f t="shared" si="1"/>
        <v>COMPLETED</v>
      </c>
      <c r="AA294" s="430" t="s">
        <v>1456</v>
      </c>
      <c r="AB294" s="437">
        <v>46092</v>
      </c>
      <c r="AC294" s="438">
        <f>IF(PV_DATA[[#This Row],[Pick- Up Date]]&lt;&gt;"",_xlfn.ISOWEEKNUM(PV_DATA[[#This Row],[Pick- Up Date]]),"")</f>
        <v>11</v>
      </c>
      <c r="AD294" s="439" t="s">
        <v>1470</v>
      </c>
      <c r="AE294" s="430"/>
      <c r="AF294" s="430" t="s">
        <v>122</v>
      </c>
      <c r="AG294" s="430" t="s">
        <v>123</v>
      </c>
      <c r="AH294" s="430" t="s">
        <v>105</v>
      </c>
      <c r="AI294" s="437">
        <v>46096</v>
      </c>
      <c r="AJ294" s="437">
        <v>46103</v>
      </c>
      <c r="AK294" s="441">
        <v>46103</v>
      </c>
      <c r="AL294" s="437">
        <v>46133</v>
      </c>
      <c r="AM294" s="437">
        <v>46150</v>
      </c>
      <c r="AN294" s="437">
        <v>46148</v>
      </c>
      <c r="AO294" s="430" t="s">
        <v>402</v>
      </c>
      <c r="AP294" s="430" t="s">
        <v>889</v>
      </c>
      <c r="AQ294" s="430" t="s">
        <v>80</v>
      </c>
      <c r="AR294" s="430" t="s">
        <v>919</v>
      </c>
      <c r="AS294" s="430" t="s">
        <v>920</v>
      </c>
      <c r="AT294" s="482" t="s">
        <v>920</v>
      </c>
      <c r="AU2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7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7">
        <f>IF(ISERROR(PV_DATA[[#This Row],[New Ark PO status]]),"",_xlfn.XLOOKUP(PV_DATA[[#This Row],[SPTN-PVHK New Ark PO'#]],New_Ark_Data[Purchase order Number],New_Ark_Data[Estimated time of arrival],"",0))</f>
        <v>46164</v>
      </c>
      <c r="AZ2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7">
        <f>IFERROR(PV_DATA[[#This Row],[ODP ETA Port]]+PV_DATA[[#This Row],[Customs/Leg3 Assumption]],"n/a")</f>
        <v>46155</v>
      </c>
      <c r="BB294" s="433">
        <f>YEAR(PV_DATA[[#This Row],[ETA for New Ark update]])</f>
        <v>2026</v>
      </c>
      <c r="BC294" s="430">
        <f>MONTH(PV_DATA[[#This Row],[ETA for New Ark update]])</f>
        <v>5</v>
      </c>
      <c r="BD294" s="430">
        <f>IFERROR(_xlfn.ISOWEEKNUM(PV_DATA[[#This Row],[ETA for New Ark update]]),0)</f>
        <v>20</v>
      </c>
      <c r="BE294" s="431">
        <f>_xlfn.XLOOKUP(PV_DATA[[#This Row],[New Ark SKU]],Table9[New Ark SKU],Table9[Total PCS per Pallet],,0)</f>
        <v>36</v>
      </c>
      <c r="BF294" s="431">
        <f>_xlfn.XLOOKUP(PV_DATA[[#This Row],[New Ark SKU]],Table9[New Ark SKU],Table9[Total PCS per 40HQ Container],,0)</f>
        <v>720</v>
      </c>
      <c r="BG294" s="431" t="str">
        <f>_xlfn.XLOOKUP(PV_DATA[[#This Row],[New Ark SKU]],Table9[New Ark SKU],Table9[Back Glass],,0)</f>
        <v>Redirection Film</v>
      </c>
      <c r="BH294" s="431" t="str">
        <f>_xlfn.XLOOKUP(PV_DATA[[#This Row],[PORT DESTINATION]],Table12[PORT DESTINATION],Table12[Cosco Line],,0)</f>
        <v>AEU</v>
      </c>
      <c r="BJ294" s="430"/>
    </row>
    <row r="295" spans="1:62" ht="10.5">
      <c r="A295" s="462" t="s">
        <v>1471</v>
      </c>
      <c r="B295" s="462" t="s">
        <v>111</v>
      </c>
      <c r="C295" s="462" t="str">
        <f>IFERROR(LEFT(PV_DATA[[#This Row],[TCL REFERENCE]],FIND(".",PV_DATA[[#This Row],[TCL REFERENCE]],1)-1),"Main Line")</f>
        <v>26Feb026</v>
      </c>
      <c r="D295" s="462" t="s">
        <v>63</v>
      </c>
      <c r="E295" s="462" t="s">
        <v>64</v>
      </c>
      <c r="F295" s="462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2" t="s">
        <v>402</v>
      </c>
      <c r="H295" s="462" t="s">
        <v>67</v>
      </c>
      <c r="I295" s="439" t="s">
        <v>822</v>
      </c>
      <c r="J295" s="430" t="s">
        <v>1047</v>
      </c>
      <c r="K295" s="430"/>
      <c r="L295" s="430"/>
      <c r="M295" s="430" t="s">
        <v>68</v>
      </c>
      <c r="N295" s="432">
        <v>46069</v>
      </c>
      <c r="O295" s="430" t="s">
        <v>70</v>
      </c>
      <c r="P295" s="430" t="s">
        <v>1002</v>
      </c>
      <c r="Q295" s="430" t="s">
        <v>330</v>
      </c>
      <c r="R295" s="431" t="str">
        <f>_xlfn.XLOOKUP(PV_DATA[[#This Row],[New Ark SKU]],Table9[New Ark SKU],Table9[Connector],,0)</f>
        <v>EVO2A</v>
      </c>
      <c r="S295" s="442" t="str">
        <f>_xlfn.XLOOKUP(PV_DATA[[#This Row],[New Ark SKU]],Table9[New Ark SKU],Table9[Cable],,0)</f>
        <v>±1400mm</v>
      </c>
      <c r="T295" s="433">
        <v>625</v>
      </c>
      <c r="U295" s="1088">
        <v>7200</v>
      </c>
      <c r="V295" s="434">
        <f>PV_DATA[[#This Row],[QUANTITY]]*PV_DATA[[#This Row],[WATT]]/1000000</f>
        <v>4.5</v>
      </c>
      <c r="W295" s="435">
        <f>PV_DATA[[#This Row],[QUANTITY]]/PV_DATA[[#This Row],[Qty/Pallet]]</f>
        <v>200</v>
      </c>
      <c r="X295" s="1040">
        <f>PV_DATA[[#This Row],[QUANTITY]]/PV_DATA[[#This Row],[Qty/CT]]</f>
        <v>10</v>
      </c>
      <c r="Y295" s="430" t="s">
        <v>75</v>
      </c>
      <c r="Z295" s="430" t="str">
        <f t="shared" si="1"/>
        <v>COMPLETED</v>
      </c>
      <c r="AA295" s="430" t="s">
        <v>1472</v>
      </c>
      <c r="AB295" s="437">
        <v>46090</v>
      </c>
      <c r="AC295" s="438">
        <f>IF(PV_DATA[[#This Row],[Pick- Up Date]]&lt;&gt;"",_xlfn.ISOWEEKNUM(PV_DATA[[#This Row],[Pick- Up Date]]),"")</f>
        <v>11</v>
      </c>
      <c r="AD295" s="439" t="s">
        <v>1473</v>
      </c>
      <c r="AE295" s="430"/>
      <c r="AF295" s="430" t="s">
        <v>122</v>
      </c>
      <c r="AG295" s="430" t="s">
        <v>123</v>
      </c>
      <c r="AH295" s="430" t="s">
        <v>105</v>
      </c>
      <c r="AI295" s="437">
        <v>46096</v>
      </c>
      <c r="AJ295" s="437">
        <v>46103</v>
      </c>
      <c r="AK295" s="441">
        <v>46103</v>
      </c>
      <c r="AL295" s="437">
        <v>46133</v>
      </c>
      <c r="AM295" s="437">
        <v>46150</v>
      </c>
      <c r="AN295" s="437">
        <v>46148</v>
      </c>
      <c r="AO295" s="430" t="s">
        <v>402</v>
      </c>
      <c r="AP295" s="430" t="s">
        <v>889</v>
      </c>
      <c r="AQ295" s="430" t="s">
        <v>80</v>
      </c>
      <c r="AR295" s="430" t="s">
        <v>1474</v>
      </c>
      <c r="AS295" s="430" t="s">
        <v>1475</v>
      </c>
      <c r="AT295" s="482" t="s">
        <v>1475</v>
      </c>
      <c r="AU2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7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7">
        <f>IF(ISERROR(PV_DATA[[#This Row],[New Ark PO status]]),"",_xlfn.XLOOKUP(PV_DATA[[#This Row],[SPTN-PVHK New Ark PO'#]],New_Ark_Data[Purchase order Number],New_Ark_Data[Estimated time of arrival],"",0))</f>
        <v>46164</v>
      </c>
      <c r="AZ2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7">
        <f>IFERROR(PV_DATA[[#This Row],[ODP ETA Port]]+PV_DATA[[#This Row],[Customs/Leg3 Assumption]],"n/a")</f>
        <v>46155</v>
      </c>
      <c r="BB295" s="433">
        <f>YEAR(PV_DATA[[#This Row],[ETA for New Ark update]])</f>
        <v>2026</v>
      </c>
      <c r="BC295" s="430">
        <f>MONTH(PV_DATA[[#This Row],[ETA for New Ark update]])</f>
        <v>5</v>
      </c>
      <c r="BD295" s="430">
        <f>IFERROR(_xlfn.ISOWEEKNUM(PV_DATA[[#This Row],[ETA for New Ark update]]),0)</f>
        <v>20</v>
      </c>
      <c r="BE295" s="431">
        <f>_xlfn.XLOOKUP(PV_DATA[[#This Row],[New Ark SKU]],Table9[New Ark SKU],Table9[Total PCS per Pallet],,0)</f>
        <v>36</v>
      </c>
      <c r="BF295" s="431">
        <f>_xlfn.XLOOKUP(PV_DATA[[#This Row],[New Ark SKU]],Table9[New Ark SKU],Table9[Total PCS per 40HQ Container],,0)</f>
        <v>720</v>
      </c>
      <c r="BG295" s="431" t="str">
        <f>_xlfn.XLOOKUP(PV_DATA[[#This Row],[New Ark SKU]],Table9[New Ark SKU],Table9[Back Glass],,0)</f>
        <v>Redirection Film</v>
      </c>
      <c r="BH295" s="431" t="str">
        <f>_xlfn.XLOOKUP(PV_DATA[[#This Row],[PORT DESTINATION]],Table12[PORT DESTINATION],Table12[Cosco Line],,0)</f>
        <v>AEU</v>
      </c>
      <c r="BJ295" s="430"/>
    </row>
    <row r="296" spans="1:62" ht="10.5">
      <c r="A296" s="462" t="s">
        <v>1476</v>
      </c>
      <c r="B296" s="462" t="s">
        <v>111</v>
      </c>
      <c r="C296" s="462" t="str">
        <f>IFERROR(LEFT(PV_DATA[[#This Row],[TCL REFERENCE]],FIND(".",PV_DATA[[#This Row],[TCL REFERENCE]],1)-1),"Main Line")</f>
        <v>26Feb008</v>
      </c>
      <c r="D296" s="462" t="s">
        <v>63</v>
      </c>
      <c r="E296" s="462" t="s">
        <v>64</v>
      </c>
      <c r="F296" s="462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2" t="s">
        <v>402</v>
      </c>
      <c r="H296" s="462" t="s">
        <v>67</v>
      </c>
      <c r="I296" s="439" t="s">
        <v>689</v>
      </c>
      <c r="J296" s="430" t="s">
        <v>483</v>
      </c>
      <c r="K296" s="430"/>
      <c r="L296" s="430"/>
      <c r="M296" s="430" t="s">
        <v>68</v>
      </c>
      <c r="N296" s="432">
        <v>46083</v>
      </c>
      <c r="O296" s="430" t="s">
        <v>473</v>
      </c>
      <c r="P296" s="430" t="s">
        <v>474</v>
      </c>
      <c r="Q296" s="430" t="s">
        <v>1319</v>
      </c>
      <c r="R296" s="431" t="str">
        <f>_xlfn.XLOOKUP(PV_DATA[[#This Row],[New Ark SKU]],Table9[New Ark SKU],Table9[Connector],,0)</f>
        <v>EVO2A</v>
      </c>
      <c r="S296" s="442" t="str">
        <f>_xlfn.XLOOKUP(PV_DATA[[#This Row],[New Ark SKU]],Table9[New Ark SKU],Table9[Cable],,0)</f>
        <v>±1200mm</v>
      </c>
      <c r="T296" s="433">
        <v>460</v>
      </c>
      <c r="U296" s="1088">
        <v>8640</v>
      </c>
      <c r="V296" s="434">
        <f>PV_DATA[[#This Row],[QUANTITY]]*PV_DATA[[#This Row],[WATT]]/1000000</f>
        <v>3.9744000000000002</v>
      </c>
      <c r="W296" s="435">
        <f>PV_DATA[[#This Row],[QUANTITY]]/PV_DATA[[#This Row],[Qty/Pallet]]</f>
        <v>240</v>
      </c>
      <c r="X296" s="1040">
        <f>PV_DATA[[#This Row],[QUANTITY]]/PV_DATA[[#This Row],[Qty/CT]]</f>
        <v>10</v>
      </c>
      <c r="Y296" s="430" t="s">
        <v>75</v>
      </c>
      <c r="Z296" s="430" t="str">
        <f t="shared" si="1"/>
        <v>COMPLETED</v>
      </c>
      <c r="AA296" s="430" t="s">
        <v>1477</v>
      </c>
      <c r="AB296" s="437">
        <v>46092</v>
      </c>
      <c r="AC296" s="438">
        <f>IF(PV_DATA[[#This Row],[Pick- Up Date]]&lt;&gt;"",_xlfn.ISOWEEKNUM(PV_DATA[[#This Row],[Pick- Up Date]]),"")</f>
        <v>11</v>
      </c>
      <c r="AD296" s="439" t="s">
        <v>1478</v>
      </c>
      <c r="AE296" s="430"/>
      <c r="AF296" s="430" t="s">
        <v>122</v>
      </c>
      <c r="AG296" s="430" t="s">
        <v>123</v>
      </c>
      <c r="AH296" s="430" t="s">
        <v>105</v>
      </c>
      <c r="AI296" s="437">
        <v>46096</v>
      </c>
      <c r="AJ296" s="437">
        <v>46103</v>
      </c>
      <c r="AK296" s="441">
        <v>46103</v>
      </c>
      <c r="AL296" s="437">
        <v>46133</v>
      </c>
      <c r="AM296" s="437">
        <v>46150</v>
      </c>
      <c r="AN296" s="437">
        <v>46148</v>
      </c>
      <c r="AO296" s="430" t="s">
        <v>402</v>
      </c>
      <c r="AP296" s="430" t="s">
        <v>889</v>
      </c>
      <c r="AQ296" s="430" t="s">
        <v>80</v>
      </c>
      <c r="AR296" s="430" t="s">
        <v>1479</v>
      </c>
      <c r="AS296" s="430" t="s">
        <v>1480</v>
      </c>
      <c r="AT296" s="482" t="s">
        <v>1480</v>
      </c>
      <c r="AU2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7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7">
        <f>IF(ISERROR(PV_DATA[[#This Row],[New Ark PO status]]),"",_xlfn.XLOOKUP(PV_DATA[[#This Row],[SPTN-PVHK New Ark PO'#]],New_Ark_Data[Purchase order Number],New_Ark_Data[Estimated time of arrival],"",0))</f>
        <v>46164</v>
      </c>
      <c r="AZ2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7">
        <f>IFERROR(PV_DATA[[#This Row],[ODP ETA Port]]+PV_DATA[[#This Row],[Customs/Leg3 Assumption]],"n/a")</f>
        <v>46155</v>
      </c>
      <c r="BB296" s="433">
        <f>YEAR(PV_DATA[[#This Row],[ETA for New Ark update]])</f>
        <v>2026</v>
      </c>
      <c r="BC296" s="430">
        <f>MONTH(PV_DATA[[#This Row],[ETA for New Ark update]])</f>
        <v>5</v>
      </c>
      <c r="BD296" s="430">
        <f>IFERROR(_xlfn.ISOWEEKNUM(PV_DATA[[#This Row],[ETA for New Ark update]]),0)</f>
        <v>20</v>
      </c>
      <c r="BE296" s="431">
        <f>_xlfn.XLOOKUP(PV_DATA[[#This Row],[New Ark SKU]],Table9[New Ark SKU],Table9[Total PCS per Pallet],,0)</f>
        <v>36</v>
      </c>
      <c r="BF296" s="431">
        <f>_xlfn.XLOOKUP(PV_DATA[[#This Row],[New Ark SKU]],Table9[New Ark SKU],Table9[Total PCS per 40HQ Container],,0)</f>
        <v>864</v>
      </c>
      <c r="BG296" s="431" t="str">
        <f>_xlfn.XLOOKUP(PV_DATA[[#This Row],[New Ark SKU]],Table9[New Ark SKU],Table9[Back Glass],,0)</f>
        <v>Black glazing</v>
      </c>
      <c r="BH296" s="431" t="str">
        <f>_xlfn.XLOOKUP(PV_DATA[[#This Row],[PORT DESTINATION]],Table12[PORT DESTINATION],Table12[Cosco Line],,0)</f>
        <v>AEU</v>
      </c>
      <c r="BJ296" s="430"/>
    </row>
    <row r="297" spans="1:62" ht="10.5">
      <c r="A297" s="462" t="s">
        <v>1481</v>
      </c>
      <c r="B297" s="462" t="s">
        <v>111</v>
      </c>
      <c r="C297" s="462" t="str">
        <f>IFERROR(LEFT(PV_DATA[[#This Row],[TCL REFERENCE]],FIND(".",PV_DATA[[#This Row],[TCL REFERENCE]],1)-1),"Main Line")</f>
        <v>26Feb032</v>
      </c>
      <c r="D297" s="462" t="s">
        <v>63</v>
      </c>
      <c r="E297" s="462" t="s">
        <v>64</v>
      </c>
      <c r="F297" s="462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2" t="s">
        <v>402</v>
      </c>
      <c r="H297" s="462" t="s">
        <v>67</v>
      </c>
      <c r="I297" s="439" t="s">
        <v>689</v>
      </c>
      <c r="J297" s="430" t="s">
        <v>101</v>
      </c>
      <c r="K297" s="430"/>
      <c r="L297" s="430"/>
      <c r="M297" s="430" t="s">
        <v>68</v>
      </c>
      <c r="N297" s="432">
        <v>46093</v>
      </c>
      <c r="O297" s="430" t="s">
        <v>70</v>
      </c>
      <c r="P297" s="459" t="s">
        <v>1483</v>
      </c>
      <c r="Q297" s="430" t="s">
        <v>1484</v>
      </c>
      <c r="R297" s="431" t="str">
        <f>_xlfn.XLOOKUP(PV_DATA[[#This Row],[New Ark SKU]],Table9[New Ark SKU],Table9[Connector],,0)</f>
        <v>EVO2A</v>
      </c>
      <c r="S297" s="442" t="str">
        <f>_xlfn.XLOOKUP(PV_DATA[[#This Row],[New Ark SKU]],Table9[New Ark SKU],Table9[Cable],,0)</f>
        <v>±1400mm</v>
      </c>
      <c r="T297" s="433">
        <v>725</v>
      </c>
      <c r="U297" s="1088">
        <v>8910</v>
      </c>
      <c r="V297" s="434">
        <f>PV_DATA[[#This Row],[QUANTITY]]*PV_DATA[[#This Row],[WATT]]/1000000</f>
        <v>6.4597499999999997</v>
      </c>
      <c r="W297" s="435">
        <v>270</v>
      </c>
      <c r="X297" s="1040">
        <v>15</v>
      </c>
      <c r="Y297" s="430" t="s">
        <v>75</v>
      </c>
      <c r="Z297" s="430" t="str">
        <f t="shared" si="1"/>
        <v>COMPLETED</v>
      </c>
      <c r="AA297" s="430" t="s">
        <v>1456</v>
      </c>
      <c r="AB297" s="437">
        <v>46094</v>
      </c>
      <c r="AC297" s="438">
        <f>IF(PV_DATA[[#This Row],[Pick- Up Date]]&lt;&gt;"",_xlfn.ISOWEEKNUM(PV_DATA[[#This Row],[Pick- Up Date]]),"")</f>
        <v>11</v>
      </c>
      <c r="AD297" s="439" t="s">
        <v>1485</v>
      </c>
      <c r="AE297" s="430"/>
      <c r="AF297" s="430" t="s">
        <v>122</v>
      </c>
      <c r="AG297" s="430" t="s">
        <v>123</v>
      </c>
      <c r="AH297" s="430" t="s">
        <v>105</v>
      </c>
      <c r="AI297" s="437">
        <v>46097</v>
      </c>
      <c r="AJ297" s="437">
        <v>46112</v>
      </c>
      <c r="AK297" s="441">
        <v>46112</v>
      </c>
      <c r="AL297" s="437">
        <v>46134</v>
      </c>
      <c r="AM297" s="437">
        <v>46154</v>
      </c>
      <c r="AN297" s="437">
        <v>46157</v>
      </c>
      <c r="AO297" s="430" t="s">
        <v>402</v>
      </c>
      <c r="AP297" s="430" t="s">
        <v>1486</v>
      </c>
      <c r="AQ297" s="430" t="s">
        <v>80</v>
      </c>
      <c r="AR297" s="430" t="s">
        <v>1487</v>
      </c>
      <c r="AS297" s="430" t="s">
        <v>1488</v>
      </c>
      <c r="AT297" s="482" t="s">
        <v>1488</v>
      </c>
      <c r="AU2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7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7">
        <f>IF(ISERROR(PV_DATA[[#This Row],[New Ark PO status]]),"",_xlfn.XLOOKUP(PV_DATA[[#This Row],[SPTN-PVHK New Ark PO'#]],New_Ark_Data[Purchase order Number],New_Ark_Data[Estimated time of arrival],"",0))</f>
        <v>46169</v>
      </c>
      <c r="AZ29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7">
        <f>IFERROR(PV_DATA[[#This Row],[ODP ETA Port]]+PV_DATA[[#This Row],[Customs/Leg3 Assumption]],"n/a")</f>
        <v>46164</v>
      </c>
      <c r="BB297" s="433">
        <f>YEAR(PV_DATA[[#This Row],[ETA for New Ark update]])</f>
        <v>2026</v>
      </c>
      <c r="BC297" s="430">
        <f>MONTH(PV_DATA[[#This Row],[ETA for New Ark update]])</f>
        <v>5</v>
      </c>
      <c r="BD297" s="430">
        <f>IFERROR(_xlfn.ISOWEEKNUM(PV_DATA[[#This Row],[ETA for New Ark update]]),0)</f>
        <v>21</v>
      </c>
      <c r="BE297" s="431">
        <v>33</v>
      </c>
      <c r="BF297" s="431">
        <v>594</v>
      </c>
      <c r="BG297" s="431" t="str">
        <f>_xlfn.XLOOKUP(PV_DATA[[#This Row],[New Ark SKU]],Table9[New Ark SKU],Table9[Back Glass],,0)</f>
        <v>Redirection Film</v>
      </c>
      <c r="BH297" s="431" t="str">
        <f>_xlfn.XLOOKUP(PV_DATA[[#This Row],[PORT DESTINATION]],Table12[PORT DESTINATION],Table12[Cosco Line],,0)</f>
        <v>AEU</v>
      </c>
      <c r="BJ297" s="430"/>
    </row>
    <row r="298" spans="1:62" ht="10.5">
      <c r="A298" s="462" t="s">
        <v>1489</v>
      </c>
      <c r="B298" s="462" t="s">
        <v>111</v>
      </c>
      <c r="C298" s="462" t="str">
        <f>IFERROR(LEFT(PV_DATA[[#This Row],[TCL REFERENCE]],FIND(".",PV_DATA[[#This Row],[TCL REFERENCE]],1)-1),"Main Line")</f>
        <v>26Feb007</v>
      </c>
      <c r="D298" s="462" t="s">
        <v>63</v>
      </c>
      <c r="E298" s="462" t="s">
        <v>64</v>
      </c>
      <c r="F298" s="462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2" t="s">
        <v>402</v>
      </c>
      <c r="H298" s="462" t="s">
        <v>67</v>
      </c>
      <c r="I298" s="439" t="s">
        <v>689</v>
      </c>
      <c r="J298" s="430" t="s">
        <v>1490</v>
      </c>
      <c r="K298" s="430"/>
      <c r="L298" s="430"/>
      <c r="M298" s="430" t="s">
        <v>68</v>
      </c>
      <c r="N298" s="432">
        <v>46083</v>
      </c>
      <c r="O298" s="430" t="s">
        <v>473</v>
      </c>
      <c r="P298" s="430" t="s">
        <v>529</v>
      </c>
      <c r="Q298" s="430" t="s">
        <v>1311</v>
      </c>
      <c r="R298" s="431" t="str">
        <f>_xlfn.XLOOKUP(PV_DATA[[#This Row],[New Ark SKU]],Table9[New Ark SKU],Table9[Connector],,0)</f>
        <v>EVO2A</v>
      </c>
      <c r="S298" s="442" t="str">
        <f>_xlfn.XLOOKUP(PV_DATA[[#This Row],[New Ark SKU]],Table9[New Ark SKU],Table9[Cable],,0)</f>
        <v>±1200mm</v>
      </c>
      <c r="T298" s="433">
        <v>455</v>
      </c>
      <c r="U298" s="1088">
        <f>864*5</f>
        <v>4320</v>
      </c>
      <c r="V298" s="434">
        <f>PV_DATA[[#This Row],[QUANTITY]]*PV_DATA[[#This Row],[WATT]]/1000000</f>
        <v>1.9656</v>
      </c>
      <c r="W298" s="435">
        <f>PV_DATA[[#This Row],[QUANTITY]]/PV_DATA[[#This Row],[Qty/Pallet]]</f>
        <v>120</v>
      </c>
      <c r="X298" s="1040">
        <f>PV_DATA[[#This Row],[QUANTITY]]/PV_DATA[[#This Row],[Qty/CT]]</f>
        <v>5</v>
      </c>
      <c r="Y298" s="430" t="s">
        <v>75</v>
      </c>
      <c r="Z298" s="430" t="str">
        <f t="shared" si="1"/>
        <v>COMPLETED</v>
      </c>
      <c r="AA298" s="430" t="s">
        <v>1491</v>
      </c>
      <c r="AB298" s="437">
        <v>46093</v>
      </c>
      <c r="AC298" s="438">
        <f>IF(PV_DATA[[#This Row],[Pick- Up Date]]&lt;&gt;"",_xlfn.ISOWEEKNUM(PV_DATA[[#This Row],[Pick- Up Date]]),"")</f>
        <v>11</v>
      </c>
      <c r="AD298" s="439" t="s">
        <v>1492</v>
      </c>
      <c r="AE298" s="430"/>
      <c r="AF298" s="430" t="s">
        <v>122</v>
      </c>
      <c r="AG298" s="430" t="s">
        <v>123</v>
      </c>
      <c r="AH298" s="430" t="s">
        <v>105</v>
      </c>
      <c r="AI298" s="437">
        <v>46097</v>
      </c>
      <c r="AJ298" s="437">
        <v>46100</v>
      </c>
      <c r="AK298" s="441">
        <v>46102</v>
      </c>
      <c r="AL298" s="437">
        <v>46134</v>
      </c>
      <c r="AM298" s="437">
        <v>46143</v>
      </c>
      <c r="AN298" s="437">
        <v>46144</v>
      </c>
      <c r="AO298" s="430" t="s">
        <v>402</v>
      </c>
      <c r="AP298" s="430" t="s">
        <v>1486</v>
      </c>
      <c r="AQ298" s="430" t="s">
        <v>80</v>
      </c>
      <c r="AR298" s="430" t="s">
        <v>1493</v>
      </c>
      <c r="AS298" s="430" t="s">
        <v>1494</v>
      </c>
      <c r="AT298" s="482" t="s">
        <v>1494</v>
      </c>
      <c r="AU2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7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7">
        <f>IF(ISERROR(PV_DATA[[#This Row],[New Ark PO status]]),"",_xlfn.XLOOKUP(PV_DATA[[#This Row],[SPTN-PVHK New Ark PO'#]],New_Ark_Data[Purchase order Number],New_Ark_Data[Estimated time of arrival],"",0))</f>
        <v>46156</v>
      </c>
      <c r="AZ29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7">
        <f>IFERROR(PV_DATA[[#This Row],[ODP ETA Port]]+PV_DATA[[#This Row],[Customs/Leg3 Assumption]],"n/a")</f>
        <v>46151</v>
      </c>
      <c r="BB298" s="433">
        <f>YEAR(PV_DATA[[#This Row],[ETA for New Ark update]])</f>
        <v>2026</v>
      </c>
      <c r="BC298" s="430">
        <f>MONTH(PV_DATA[[#This Row],[ETA for New Ark update]])</f>
        <v>5</v>
      </c>
      <c r="BD298" s="430">
        <f>IFERROR(_xlfn.ISOWEEKNUM(PV_DATA[[#This Row],[ETA for New Ark update]]),0)</f>
        <v>19</v>
      </c>
      <c r="BE298" s="431">
        <f>_xlfn.XLOOKUP(PV_DATA[[#This Row],[New Ark SKU]],Table9[New Ark SKU],Table9[Total PCS per Pallet],,0)</f>
        <v>36</v>
      </c>
      <c r="BF298" s="431">
        <f>_xlfn.XLOOKUP(PV_DATA[[#This Row],[New Ark SKU]],Table9[New Ark SKU],Table9[Total PCS per 40HQ Container],,0)</f>
        <v>864</v>
      </c>
      <c r="BG298" s="431" t="str">
        <f>_xlfn.XLOOKUP(PV_DATA[[#This Row],[New Ark SKU]],Table9[New Ark SKU],Table9[Back Glass],,0)</f>
        <v>Black glazing</v>
      </c>
      <c r="BH298" s="431" t="str">
        <f>_xlfn.XLOOKUP(PV_DATA[[#This Row],[PORT DESTINATION]],Table12[PORT DESTINATION],Table12[Cosco Line],,0)</f>
        <v>AEU</v>
      </c>
      <c r="BJ298" s="430"/>
    </row>
    <row r="299" spans="1:62" ht="10.5">
      <c r="A299" s="462" t="s">
        <v>1495</v>
      </c>
      <c r="B299" s="462" t="s">
        <v>111</v>
      </c>
      <c r="C299" s="462" t="str">
        <f>IFERROR(LEFT(PV_DATA[[#This Row],[TCL REFERENCE]],FIND(".",PV_DATA[[#This Row],[TCL REFERENCE]],1)-1),"Main Line")</f>
        <v>26Feb026</v>
      </c>
      <c r="D299" s="462" t="s">
        <v>63</v>
      </c>
      <c r="E299" s="462" t="s">
        <v>64</v>
      </c>
      <c r="F299" s="462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2" t="s">
        <v>402</v>
      </c>
      <c r="H299" s="462" t="s">
        <v>67</v>
      </c>
      <c r="I299" s="439" t="s">
        <v>822</v>
      </c>
      <c r="J299" s="430" t="s">
        <v>1047</v>
      </c>
      <c r="K299" s="430"/>
      <c r="L299" s="430"/>
      <c r="M299" s="430" t="s">
        <v>68</v>
      </c>
      <c r="N299" s="432">
        <v>46069</v>
      </c>
      <c r="O299" s="430" t="s">
        <v>70</v>
      </c>
      <c r="P299" s="430" t="s">
        <v>1002</v>
      </c>
      <c r="Q299" s="430" t="s">
        <v>330</v>
      </c>
      <c r="R299" s="431" t="str">
        <f>_xlfn.XLOOKUP(PV_DATA[[#This Row],[New Ark SKU]],Table9[New Ark SKU],Table9[Connector],,0)</f>
        <v>EVO2A</v>
      </c>
      <c r="S299" s="442" t="str">
        <f>_xlfn.XLOOKUP(PV_DATA[[#This Row],[New Ark SKU]],Table9[New Ark SKU],Table9[Cable],,0)</f>
        <v>±1400mm</v>
      </c>
      <c r="T299" s="433">
        <v>625</v>
      </c>
      <c r="U299" s="1088">
        <v>720</v>
      </c>
      <c r="V299" s="434">
        <f>PV_DATA[[#This Row],[QUANTITY]]*PV_DATA[[#This Row],[WATT]]/1000000</f>
        <v>0.45</v>
      </c>
      <c r="W299" s="435">
        <f>PV_DATA[[#This Row],[QUANTITY]]/PV_DATA[[#This Row],[Qty/Pallet]]</f>
        <v>20</v>
      </c>
      <c r="X299" s="1040">
        <f>PV_DATA[[#This Row],[QUANTITY]]/PV_DATA[[#This Row],[Qty/CT]]</f>
        <v>1</v>
      </c>
      <c r="Y299" s="430" t="s">
        <v>75</v>
      </c>
      <c r="Z299" s="430" t="str">
        <f t="shared" si="1"/>
        <v>COMPLETED</v>
      </c>
      <c r="AA299" s="430" t="s">
        <v>1472</v>
      </c>
      <c r="AB299" s="437">
        <v>46093</v>
      </c>
      <c r="AC299" s="438">
        <f>IF(PV_DATA[[#This Row],[Pick- Up Date]]&lt;&gt;"",_xlfn.ISOWEEKNUM(PV_DATA[[#This Row],[Pick- Up Date]]),"")</f>
        <v>11</v>
      </c>
      <c r="AD299" s="439" t="s">
        <v>1496</v>
      </c>
      <c r="AE299" s="430"/>
      <c r="AF299" s="430" t="s">
        <v>122</v>
      </c>
      <c r="AG299" s="430" t="s">
        <v>123</v>
      </c>
      <c r="AH299" s="430" t="s">
        <v>105</v>
      </c>
      <c r="AI299" s="437">
        <v>46096</v>
      </c>
      <c r="AJ299" s="437">
        <v>46100</v>
      </c>
      <c r="AK299" s="441">
        <v>46103</v>
      </c>
      <c r="AL299" s="437">
        <v>46133</v>
      </c>
      <c r="AM299" s="437">
        <v>46151</v>
      </c>
      <c r="AN299" s="437">
        <v>46153</v>
      </c>
      <c r="AO299" s="430" t="s">
        <v>402</v>
      </c>
      <c r="AP299" s="430" t="s">
        <v>1486</v>
      </c>
      <c r="AQ299" s="430" t="s">
        <v>80</v>
      </c>
      <c r="AR299" s="430" t="s">
        <v>1497</v>
      </c>
      <c r="AS299" s="430" t="s">
        <v>1498</v>
      </c>
      <c r="AT299" s="482" t="s">
        <v>1498</v>
      </c>
      <c r="AU2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7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7">
        <f>IF(ISERROR(PV_DATA[[#This Row],[New Ark PO status]]),"",_xlfn.XLOOKUP(PV_DATA[[#This Row],[SPTN-PVHK New Ark PO'#]],New_Ark_Data[Purchase order Number],New_Ark_Data[Estimated time of arrival],"",0))</f>
        <v>46160</v>
      </c>
      <c r="AZ29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7">
        <f>IFERROR(PV_DATA[[#This Row],[ODP ETA Port]]+PV_DATA[[#This Row],[Customs/Leg3 Assumption]],"n/a")</f>
        <v>46160</v>
      </c>
      <c r="BB299" s="433">
        <f>YEAR(PV_DATA[[#This Row],[ETA for New Ark update]])</f>
        <v>2026</v>
      </c>
      <c r="BC299" s="430">
        <f>MONTH(PV_DATA[[#This Row],[ETA for New Ark update]])</f>
        <v>5</v>
      </c>
      <c r="BD299" s="430">
        <f>IFERROR(_xlfn.ISOWEEKNUM(PV_DATA[[#This Row],[ETA for New Ark update]]),0)</f>
        <v>21</v>
      </c>
      <c r="BE299" s="431">
        <f>_xlfn.XLOOKUP(PV_DATA[[#This Row],[New Ark SKU]],Table9[New Ark SKU],Table9[Total PCS per Pallet],,0)</f>
        <v>36</v>
      </c>
      <c r="BF299" s="431">
        <f>_xlfn.XLOOKUP(PV_DATA[[#This Row],[New Ark SKU]],Table9[New Ark SKU],Table9[Total PCS per 40HQ Container],,0)</f>
        <v>720</v>
      </c>
      <c r="BG299" s="431" t="str">
        <f>_xlfn.XLOOKUP(PV_DATA[[#This Row],[New Ark SKU]],Table9[New Ark SKU],Table9[Back Glass],,0)</f>
        <v>Redirection Film</v>
      </c>
      <c r="BH299" s="431" t="str">
        <f>_xlfn.XLOOKUP(PV_DATA[[#This Row],[PORT DESTINATION]],Table12[PORT DESTINATION],Table12[Cosco Line],,0)</f>
        <v>AEU</v>
      </c>
      <c r="BJ299" s="430"/>
    </row>
    <row r="300" spans="1:62" ht="10.5">
      <c r="A300" s="462" t="s">
        <v>1499</v>
      </c>
      <c r="B300" s="462" t="s">
        <v>111</v>
      </c>
      <c r="C300" s="462" t="str">
        <f>IFERROR(LEFT(PV_DATA[[#This Row],[TCL REFERENCE]],FIND(".",PV_DATA[[#This Row],[TCL REFERENCE]],1)-1),"Main Line")</f>
        <v>26Feb008</v>
      </c>
      <c r="D300" s="462" t="s">
        <v>63</v>
      </c>
      <c r="E300" s="462" t="s">
        <v>64</v>
      </c>
      <c r="F300" s="462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2" t="s">
        <v>402</v>
      </c>
      <c r="H300" s="462" t="s">
        <v>67</v>
      </c>
      <c r="I300" s="439" t="s">
        <v>689</v>
      </c>
      <c r="J300" s="430" t="s">
        <v>483</v>
      </c>
      <c r="K300" s="430"/>
      <c r="L300" s="430"/>
      <c r="M300" s="430" t="s">
        <v>68</v>
      </c>
      <c r="N300" s="432">
        <v>46083</v>
      </c>
      <c r="O300" s="430" t="s">
        <v>473</v>
      </c>
      <c r="P300" s="430" t="s">
        <v>474</v>
      </c>
      <c r="Q300" s="430" t="s">
        <v>1319</v>
      </c>
      <c r="R300" s="431" t="str">
        <f>_xlfn.XLOOKUP(PV_DATA[[#This Row],[New Ark SKU]],Table9[New Ark SKU],Table9[Connector],,0)</f>
        <v>EVO2A</v>
      </c>
      <c r="S300" s="442" t="str">
        <f>_xlfn.XLOOKUP(PV_DATA[[#This Row],[New Ark SKU]],Table9[New Ark SKU],Table9[Cable],,0)</f>
        <v>±1200mm</v>
      </c>
      <c r="T300" s="433">
        <v>460</v>
      </c>
      <c r="U300" s="1088">
        <v>864</v>
      </c>
      <c r="V300" s="434">
        <f>PV_DATA[[#This Row],[QUANTITY]]*PV_DATA[[#This Row],[WATT]]/1000000</f>
        <v>0.39744000000000002</v>
      </c>
      <c r="W300" s="435">
        <f>PV_DATA[[#This Row],[QUANTITY]]/PV_DATA[[#This Row],[Qty/Pallet]]</f>
        <v>24</v>
      </c>
      <c r="X300" s="1040">
        <f>PV_DATA[[#This Row],[QUANTITY]]/PV_DATA[[#This Row],[Qty/CT]]</f>
        <v>1</v>
      </c>
      <c r="Y300" s="430" t="s">
        <v>75</v>
      </c>
      <c r="Z300" s="430" t="str">
        <f t="shared" si="1"/>
        <v>COMPLETED</v>
      </c>
      <c r="AA300" s="430" t="s">
        <v>1500</v>
      </c>
      <c r="AB300" s="437">
        <v>46093</v>
      </c>
      <c r="AC300" s="438">
        <f>IF(PV_DATA[[#This Row],[Pick- Up Date]]&lt;&gt;"",_xlfn.ISOWEEKNUM(PV_DATA[[#This Row],[Pick- Up Date]]),"")</f>
        <v>11</v>
      </c>
      <c r="AD300" s="439" t="s">
        <v>1501</v>
      </c>
      <c r="AE300" s="430"/>
      <c r="AF300" s="430" t="s">
        <v>122</v>
      </c>
      <c r="AG300" s="430" t="s">
        <v>123</v>
      </c>
      <c r="AH300" s="430" t="s">
        <v>105</v>
      </c>
      <c r="AI300" s="437">
        <v>46097</v>
      </c>
      <c r="AJ300" s="437">
        <v>46100</v>
      </c>
      <c r="AK300" s="441">
        <v>46103</v>
      </c>
      <c r="AL300" s="437">
        <v>46134</v>
      </c>
      <c r="AM300" s="437">
        <v>46151</v>
      </c>
      <c r="AN300" s="437">
        <v>46153</v>
      </c>
      <c r="AO300" s="430" t="s">
        <v>402</v>
      </c>
      <c r="AP300" s="430" t="s">
        <v>1486</v>
      </c>
      <c r="AQ300" s="430" t="s">
        <v>80</v>
      </c>
      <c r="AR300" s="430" t="s">
        <v>1497</v>
      </c>
      <c r="AS300" s="430" t="s">
        <v>1498</v>
      </c>
      <c r="AT300" s="482" t="s">
        <v>1498</v>
      </c>
      <c r="AU3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7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7">
        <f>IF(ISERROR(PV_DATA[[#This Row],[New Ark PO status]]),"",_xlfn.XLOOKUP(PV_DATA[[#This Row],[SPTN-PVHK New Ark PO'#]],New_Ark_Data[Purchase order Number],New_Ark_Data[Estimated time of arrival],"",0))</f>
        <v>46160</v>
      </c>
      <c r="AZ30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7">
        <f>IFERROR(PV_DATA[[#This Row],[ODP ETA Port]]+PV_DATA[[#This Row],[Customs/Leg3 Assumption]],"n/a")</f>
        <v>46160</v>
      </c>
      <c r="BB300" s="433">
        <f>YEAR(PV_DATA[[#This Row],[ETA for New Ark update]])</f>
        <v>2026</v>
      </c>
      <c r="BC300" s="430">
        <f>MONTH(PV_DATA[[#This Row],[ETA for New Ark update]])</f>
        <v>5</v>
      </c>
      <c r="BD300" s="430">
        <f>IFERROR(_xlfn.ISOWEEKNUM(PV_DATA[[#This Row],[ETA for New Ark update]]),0)</f>
        <v>21</v>
      </c>
      <c r="BE300" s="431">
        <f>_xlfn.XLOOKUP(PV_DATA[[#This Row],[New Ark SKU]],Table9[New Ark SKU],Table9[Total PCS per Pallet],,0)</f>
        <v>36</v>
      </c>
      <c r="BF300" s="431">
        <f>_xlfn.XLOOKUP(PV_DATA[[#This Row],[New Ark SKU]],Table9[New Ark SKU],Table9[Total PCS per 40HQ Container],,0)</f>
        <v>864</v>
      </c>
      <c r="BG300" s="431" t="str">
        <f>_xlfn.XLOOKUP(PV_DATA[[#This Row],[New Ark SKU]],Table9[New Ark SKU],Table9[Back Glass],,0)</f>
        <v>Black glazing</v>
      </c>
      <c r="BH300" s="431" t="str">
        <f>_xlfn.XLOOKUP(PV_DATA[[#This Row],[PORT DESTINATION]],Table12[PORT DESTINATION],Table12[Cosco Line],,0)</f>
        <v>AEU</v>
      </c>
      <c r="BJ300" s="430"/>
    </row>
    <row r="301" spans="1:62" ht="10.5">
      <c r="A301" s="462" t="s">
        <v>1482</v>
      </c>
      <c r="B301" s="462" t="s">
        <v>111</v>
      </c>
      <c r="C301" s="462" t="str">
        <f>IFERROR(LEFT(PV_DATA[[#This Row],[TCL REFERENCE]],FIND(".",PV_DATA[[#This Row],[TCL REFERENCE]],1)-1),"Main Line")</f>
        <v>Main Line</v>
      </c>
      <c r="D301" s="462" t="s">
        <v>63</v>
      </c>
      <c r="E301" s="462" t="s">
        <v>64</v>
      </c>
      <c r="F301" s="462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2" t="s">
        <v>402</v>
      </c>
      <c r="H301" s="462" t="s">
        <v>67</v>
      </c>
      <c r="I301" s="439" t="s">
        <v>689</v>
      </c>
      <c r="J301" s="430" t="s">
        <v>101</v>
      </c>
      <c r="K301" s="430"/>
      <c r="L301" s="430"/>
      <c r="M301" s="430" t="s">
        <v>68</v>
      </c>
      <c r="N301" s="432">
        <v>46093</v>
      </c>
      <c r="O301" s="430" t="s">
        <v>70</v>
      </c>
      <c r="P301" s="459" t="s">
        <v>1483</v>
      </c>
      <c r="Q301" s="430" t="s">
        <v>1484</v>
      </c>
      <c r="R301" s="431" t="str">
        <f>_xlfn.XLOOKUP(PV_DATA[[#This Row],[New Ark SKU]],Table9[New Ark SKU],Table9[Connector],,0)</f>
        <v>EVO2A</v>
      </c>
      <c r="S301" s="442" t="str">
        <f>_xlfn.XLOOKUP(PV_DATA[[#This Row],[New Ark SKU]],Table9[New Ark SKU],Table9[Cable],,0)</f>
        <v>±1400mm</v>
      </c>
      <c r="T301" s="433">
        <v>725</v>
      </c>
      <c r="U301" s="1088" cm="1">
        <f t="array" ref="U301">19008-fx_qty</f>
        <v>594</v>
      </c>
      <c r="V301" s="434">
        <f>PV_DATA[[#This Row],[QUANTITY]]*PV_DATA[[#This Row],[WATT]]/1000000</f>
        <v>0.43064999999999998</v>
      </c>
      <c r="W301" s="435">
        <v>18</v>
      </c>
      <c r="X301" s="1040">
        <v>1</v>
      </c>
      <c r="Y301" s="430" t="s">
        <v>75</v>
      </c>
      <c r="Z301" s="430" t="str">
        <f t="shared" si="1"/>
        <v>COMPLETED</v>
      </c>
      <c r="AA301" s="430" t="s">
        <v>1456</v>
      </c>
      <c r="AB301" s="437">
        <v>46093</v>
      </c>
      <c r="AC301" s="438">
        <f>IF(PV_DATA[[#This Row],[Pick- Up Date]]&lt;&gt;"",_xlfn.ISOWEEKNUM(PV_DATA[[#This Row],[Pick- Up Date]]),"")</f>
        <v>11</v>
      </c>
      <c r="AD301" s="439" t="s">
        <v>1502</v>
      </c>
      <c r="AE301" s="430"/>
      <c r="AF301" s="430" t="s">
        <v>122</v>
      </c>
      <c r="AG301" s="430" t="s">
        <v>123</v>
      </c>
      <c r="AH301" s="430" t="s">
        <v>105</v>
      </c>
      <c r="AI301" s="437">
        <v>46097</v>
      </c>
      <c r="AJ301" s="437">
        <v>46100</v>
      </c>
      <c r="AK301" s="441">
        <v>46103</v>
      </c>
      <c r="AL301" s="437">
        <v>46134</v>
      </c>
      <c r="AM301" s="437">
        <v>46151</v>
      </c>
      <c r="AN301" s="437">
        <v>46153</v>
      </c>
      <c r="AO301" s="430" t="s">
        <v>402</v>
      </c>
      <c r="AP301" s="430" t="s">
        <v>1486</v>
      </c>
      <c r="AQ301" s="430" t="s">
        <v>80</v>
      </c>
      <c r="AR301" s="430" t="s">
        <v>1497</v>
      </c>
      <c r="AS301" s="430" t="s">
        <v>1498</v>
      </c>
      <c r="AT301" s="482" t="s">
        <v>1498</v>
      </c>
      <c r="AU3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7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7">
        <f>IF(ISERROR(PV_DATA[[#This Row],[New Ark PO status]]),"",_xlfn.XLOOKUP(PV_DATA[[#This Row],[SPTN-PVHK New Ark PO'#]],New_Ark_Data[Purchase order Number],New_Ark_Data[Estimated time of arrival],"",0))</f>
        <v>46160</v>
      </c>
      <c r="AZ3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7">
        <f>IFERROR(PV_DATA[[#This Row],[ODP ETA Port]]+PV_DATA[[#This Row],[Customs/Leg3 Assumption]],"n/a")</f>
        <v>46160</v>
      </c>
      <c r="BB301" s="433">
        <f>YEAR(PV_DATA[[#This Row],[ETA for New Ark update]])</f>
        <v>2026</v>
      </c>
      <c r="BC301" s="430">
        <f>MONTH(PV_DATA[[#This Row],[ETA for New Ark update]])</f>
        <v>5</v>
      </c>
      <c r="BD301" s="430">
        <f>IFERROR(_xlfn.ISOWEEKNUM(PV_DATA[[#This Row],[ETA for New Ark update]]),0)</f>
        <v>21</v>
      </c>
      <c r="BE301" s="431">
        <v>33</v>
      </c>
      <c r="BF301" s="431">
        <v>594</v>
      </c>
      <c r="BG301" s="431" t="str">
        <f>_xlfn.XLOOKUP(PV_DATA[[#This Row],[New Ark SKU]],Table9[New Ark SKU],Table9[Back Glass],,0)</f>
        <v>Redirection Film</v>
      </c>
      <c r="BH301" s="431" t="str">
        <f>_xlfn.XLOOKUP(PV_DATA[[#This Row],[PORT DESTINATION]],Table12[PORT DESTINATION],Table12[Cosco Line],,0)</f>
        <v>AEU</v>
      </c>
      <c r="BJ301" s="430"/>
    </row>
    <row r="302" spans="1:62" ht="10.5">
      <c r="A302" s="462" t="s">
        <v>1503</v>
      </c>
      <c r="B302" s="462" t="s">
        <v>111</v>
      </c>
      <c r="C302" s="462" t="str">
        <f>IFERROR(LEFT(PV_DATA[[#This Row],[TCL REFERENCE]],FIND(".",PV_DATA[[#This Row],[TCL REFERENCE]],1)-1),"Main Line")</f>
        <v>26Feb007</v>
      </c>
      <c r="D302" s="462" t="s">
        <v>63</v>
      </c>
      <c r="E302" s="462" t="s">
        <v>64</v>
      </c>
      <c r="F302" s="462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2" t="s">
        <v>402</v>
      </c>
      <c r="H302" s="462" t="s">
        <v>67</v>
      </c>
      <c r="I302" s="439" t="s">
        <v>689</v>
      </c>
      <c r="J302" s="430" t="s">
        <v>483</v>
      </c>
      <c r="K302" s="430"/>
      <c r="L302" s="430"/>
      <c r="M302" s="430" t="s">
        <v>68</v>
      </c>
      <c r="N302" s="432">
        <v>46083</v>
      </c>
      <c r="O302" s="430" t="s">
        <v>473</v>
      </c>
      <c r="P302" s="430" t="s">
        <v>529</v>
      </c>
      <c r="Q302" s="430" t="s">
        <v>1311</v>
      </c>
      <c r="R302" s="431" t="str">
        <f>_xlfn.XLOOKUP(PV_DATA[[#This Row],[New Ark SKU]],Table9[New Ark SKU],Table9[Connector],,0)</f>
        <v>EVO2A</v>
      </c>
      <c r="S302" s="442" t="str">
        <f>_xlfn.XLOOKUP(PV_DATA[[#This Row],[New Ark SKU]],Table9[New Ark SKU],Table9[Cable],,0)</f>
        <v>±1200mm</v>
      </c>
      <c r="T302" s="433">
        <v>455</v>
      </c>
      <c r="U302" s="1088">
        <v>6912</v>
      </c>
      <c r="V302" s="434">
        <f>PV_DATA[[#This Row],[QUANTITY]]*PV_DATA[[#This Row],[WATT]]/1000000</f>
        <v>3.1449600000000002</v>
      </c>
      <c r="W302" s="435">
        <f>PV_DATA[[#This Row],[QUANTITY]]/PV_DATA[[#This Row],[Qty/Pallet]]</f>
        <v>192</v>
      </c>
      <c r="X302" s="1040">
        <f>PV_DATA[[#This Row],[QUANTITY]]/PV_DATA[[#This Row],[Qty/CT]]</f>
        <v>8</v>
      </c>
      <c r="Y302" s="430" t="s">
        <v>75</v>
      </c>
      <c r="Z302" s="430" t="str">
        <f t="shared" si="1"/>
        <v>COMPLETED</v>
      </c>
      <c r="AA302" s="430" t="s">
        <v>1504</v>
      </c>
      <c r="AB302" s="437">
        <v>46093</v>
      </c>
      <c r="AC302" s="438">
        <f>IF(PV_DATA[[#This Row],[Pick- Up Date]]&lt;&gt;"",_xlfn.ISOWEEKNUM(PV_DATA[[#This Row],[Pick- Up Date]]),"")</f>
        <v>11</v>
      </c>
      <c r="AD302" s="439" t="s">
        <v>1505</v>
      </c>
      <c r="AE302" s="430"/>
      <c r="AF302" s="430" t="s">
        <v>122</v>
      </c>
      <c r="AG302" s="430" t="s">
        <v>123</v>
      </c>
      <c r="AH302" s="430" t="s">
        <v>105</v>
      </c>
      <c r="AI302" s="437">
        <v>46097</v>
      </c>
      <c r="AJ302" s="437">
        <v>46100</v>
      </c>
      <c r="AK302" s="441">
        <v>46103</v>
      </c>
      <c r="AL302" s="437">
        <v>46134</v>
      </c>
      <c r="AM302" s="437">
        <v>46151</v>
      </c>
      <c r="AN302" s="437">
        <v>46153</v>
      </c>
      <c r="AO302" s="430" t="s">
        <v>402</v>
      </c>
      <c r="AP302" s="430" t="s">
        <v>1486</v>
      </c>
      <c r="AQ302" s="430" t="s">
        <v>80</v>
      </c>
      <c r="AR302" s="430" t="s">
        <v>1497</v>
      </c>
      <c r="AS302" s="430" t="s">
        <v>1498</v>
      </c>
      <c r="AT302" s="482" t="s">
        <v>1498</v>
      </c>
      <c r="AU3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7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7">
        <f>IF(ISERROR(PV_DATA[[#This Row],[New Ark PO status]]),"",_xlfn.XLOOKUP(PV_DATA[[#This Row],[SPTN-PVHK New Ark PO'#]],New_Ark_Data[Purchase order Number],New_Ark_Data[Estimated time of arrival],"",0))</f>
        <v>46160</v>
      </c>
      <c r="AZ3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7">
        <f>IFERROR(PV_DATA[[#This Row],[ODP ETA Port]]+PV_DATA[[#This Row],[Customs/Leg3 Assumption]],"n/a")</f>
        <v>46160</v>
      </c>
      <c r="BB302" s="433">
        <f>YEAR(PV_DATA[[#This Row],[ETA for New Ark update]])</f>
        <v>2026</v>
      </c>
      <c r="BC302" s="430">
        <f>MONTH(PV_DATA[[#This Row],[ETA for New Ark update]])</f>
        <v>5</v>
      </c>
      <c r="BD302" s="430">
        <f>IFERROR(_xlfn.ISOWEEKNUM(PV_DATA[[#This Row],[ETA for New Ark update]]),0)</f>
        <v>21</v>
      </c>
      <c r="BE302" s="431">
        <f>_xlfn.XLOOKUP(PV_DATA[[#This Row],[New Ark SKU]],Table9[New Ark SKU],Table9[Total PCS per Pallet],,0)</f>
        <v>36</v>
      </c>
      <c r="BF302" s="431">
        <f>_xlfn.XLOOKUP(PV_DATA[[#This Row],[New Ark SKU]],Table9[New Ark SKU],Table9[Total PCS per 40HQ Container],,0)</f>
        <v>864</v>
      </c>
      <c r="BG302" s="431" t="str">
        <f>_xlfn.XLOOKUP(PV_DATA[[#This Row],[New Ark SKU]],Table9[New Ark SKU],Table9[Back Glass],,0)</f>
        <v>Black glazing</v>
      </c>
      <c r="BH302" s="431" t="str">
        <f>_xlfn.XLOOKUP(PV_DATA[[#This Row],[PORT DESTINATION]],Table12[PORT DESTINATION],Table12[Cosco Line],,0)</f>
        <v>AEU</v>
      </c>
      <c r="BJ302" s="430"/>
    </row>
    <row r="303" spans="1:62" ht="10.5">
      <c r="A303" s="462" t="s">
        <v>1506</v>
      </c>
      <c r="B303" s="462" t="s">
        <v>111</v>
      </c>
      <c r="C303" s="462" t="str">
        <f>IFERROR(LEFT(PV_DATA[[#This Row],[TCL REFERENCE]],FIND(".",PV_DATA[[#This Row],[TCL REFERENCE]],1)-1),"Main Line")</f>
        <v>26Feb037</v>
      </c>
      <c r="D303" s="462" t="s">
        <v>113</v>
      </c>
      <c r="E303" s="462" t="s">
        <v>64</v>
      </c>
      <c r="F303" s="462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2" t="s">
        <v>402</v>
      </c>
      <c r="H303" s="462" t="s">
        <v>67</v>
      </c>
      <c r="I303" s="439" t="s">
        <v>822</v>
      </c>
      <c r="J303" s="430" t="s">
        <v>1327</v>
      </c>
      <c r="K303" s="430"/>
      <c r="L303" s="430"/>
      <c r="M303" s="430" t="s">
        <v>68</v>
      </c>
      <c r="N303" s="432" t="s">
        <v>68</v>
      </c>
      <c r="O303" s="430" t="s">
        <v>70</v>
      </c>
      <c r="P303" s="430" t="s">
        <v>218</v>
      </c>
      <c r="Q303" s="430" t="s">
        <v>219</v>
      </c>
      <c r="R303" s="431" t="str">
        <f>_xlfn.XLOOKUP(PV_DATA[[#This Row],[New Ark SKU]],Table9[New Ark SKU],Table9[Connector],,0)</f>
        <v>EVO2A</v>
      </c>
      <c r="S303" s="442" t="str">
        <f>_xlfn.XLOOKUP(PV_DATA[[#This Row],[New Ark SKU]],Table9[New Ark SKU],Table9[Cable],,0)</f>
        <v>±1400mm</v>
      </c>
      <c r="T303" s="433">
        <v>625</v>
      </c>
      <c r="U303" s="1088">
        <f>9*720</f>
        <v>6480</v>
      </c>
      <c r="V303" s="434">
        <f>PV_DATA[[#This Row],[QUANTITY]]*PV_DATA[[#This Row],[WATT]]/1000000</f>
        <v>4.05</v>
      </c>
      <c r="W303" s="435">
        <f>PV_DATA[[#This Row],[QUANTITY]]/PV_DATA[[#This Row],[Qty/Pallet]]</f>
        <v>180</v>
      </c>
      <c r="X303" s="1040">
        <f>PV_DATA[[#This Row],[QUANTITY]]/PV_DATA[[#This Row],[Qty/CT]]</f>
        <v>9</v>
      </c>
      <c r="Y303" s="430" t="s">
        <v>75</v>
      </c>
      <c r="Z303" s="430" t="str">
        <f t="shared" si="1"/>
        <v>COMPLETED</v>
      </c>
      <c r="AA303" s="430"/>
      <c r="AB303" s="437">
        <v>46091</v>
      </c>
      <c r="AC303" s="438">
        <f>IF(PV_DATA[[#This Row],[Pick- Up Date]]&lt;&gt;"",_xlfn.ISOWEEKNUM(PV_DATA[[#This Row],[Pick- Up Date]]),"")</f>
        <v>11</v>
      </c>
      <c r="AD303" s="439" t="s">
        <v>1507</v>
      </c>
      <c r="AE303" s="430"/>
      <c r="AF303" s="430" t="s">
        <v>122</v>
      </c>
      <c r="AG303" s="430" t="s">
        <v>123</v>
      </c>
      <c r="AH303" s="430" t="s">
        <v>78</v>
      </c>
      <c r="AI303" s="437">
        <v>46096</v>
      </c>
      <c r="AJ303" s="437">
        <v>46095</v>
      </c>
      <c r="AK303" s="441">
        <v>46095</v>
      </c>
      <c r="AL303" s="437">
        <v>46146</v>
      </c>
      <c r="AM303" s="437">
        <v>46153</v>
      </c>
      <c r="AN303" s="437">
        <v>46159</v>
      </c>
      <c r="AO303" s="430" t="s">
        <v>402</v>
      </c>
      <c r="AP303" s="430" t="s">
        <v>1508</v>
      </c>
      <c r="AQ303" s="430" t="s">
        <v>80</v>
      </c>
      <c r="AR303" s="430" t="s">
        <v>1509</v>
      </c>
      <c r="AS303" s="430" t="s">
        <v>1510</v>
      </c>
      <c r="AT303" s="482" t="s">
        <v>1510</v>
      </c>
      <c r="AU3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7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7">
        <f>IF(ISERROR(PV_DATA[[#This Row],[New Ark PO status]]),"",_xlfn.XLOOKUP(PV_DATA[[#This Row],[SPTN-PVHK New Ark PO'#]],New_Ark_Data[Purchase order Number],New_Ark_Data[Estimated time of arrival],"",0))</f>
        <v>46171</v>
      </c>
      <c r="AZ30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7">
        <f>IFERROR(PV_DATA[[#This Row],[ODP ETA Port]]+PV_DATA[[#This Row],[Customs/Leg3 Assumption]],"n/a")</f>
        <v>46167</v>
      </c>
      <c r="BB303" s="433">
        <f>YEAR(PV_DATA[[#This Row],[ETA for New Ark update]])</f>
        <v>2026</v>
      </c>
      <c r="BC303" s="430">
        <f>MONTH(PV_DATA[[#This Row],[ETA for New Ark update]])</f>
        <v>5</v>
      </c>
      <c r="BD303" s="430">
        <f>IFERROR(_xlfn.ISOWEEKNUM(PV_DATA[[#This Row],[ETA for New Ark update]]),0)</f>
        <v>22</v>
      </c>
      <c r="BE303" s="431">
        <f>_xlfn.XLOOKUP(PV_DATA[[#This Row],[New Ark SKU]],Table9[New Ark SKU],Table9[Total PCS per Pallet],,0)</f>
        <v>36</v>
      </c>
      <c r="BF303" s="431">
        <f>_xlfn.XLOOKUP(PV_DATA[[#This Row],[New Ark SKU]],Table9[New Ark SKU],Table9[Total PCS per 40HQ Container],,0)</f>
        <v>720</v>
      </c>
      <c r="BG303" s="431" t="str">
        <f>_xlfn.XLOOKUP(PV_DATA[[#This Row],[New Ark SKU]],Table9[New Ark SKU],Table9[Back Glass],,0)</f>
        <v>Redirection Film</v>
      </c>
      <c r="BH303" s="431" t="str">
        <f>_xlfn.XLOOKUP(PV_DATA[[#This Row],[PORT DESTINATION]],Table12[PORT DESTINATION],Table12[Cosco Line],,0)</f>
        <v>AEM</v>
      </c>
      <c r="BJ303" s="430"/>
    </row>
    <row r="304" spans="1:62" ht="10.5">
      <c r="A304" s="462" t="s">
        <v>1511</v>
      </c>
      <c r="B304" s="462" t="s">
        <v>111</v>
      </c>
      <c r="C304" s="462" t="str">
        <f>IFERROR(LEFT(PV_DATA[[#This Row],[TCL REFERENCE]],FIND(".",PV_DATA[[#This Row],[TCL REFERENCE]],1)-1),"Main Line")</f>
        <v>26Feb038</v>
      </c>
      <c r="D304" s="462" t="s">
        <v>113</v>
      </c>
      <c r="E304" s="462" t="s">
        <v>64</v>
      </c>
      <c r="F304" s="462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2" t="s">
        <v>402</v>
      </c>
      <c r="H304" s="462" t="s">
        <v>67</v>
      </c>
      <c r="I304" s="439" t="s">
        <v>822</v>
      </c>
      <c r="J304" s="430" t="s">
        <v>1327</v>
      </c>
      <c r="K304" s="430"/>
      <c r="L304" s="430"/>
      <c r="M304" s="430" t="s">
        <v>68</v>
      </c>
      <c r="N304" s="432" t="s">
        <v>68</v>
      </c>
      <c r="O304" s="430" t="s">
        <v>70</v>
      </c>
      <c r="P304" s="430" t="s">
        <v>1334</v>
      </c>
      <c r="Q304" s="430" t="s">
        <v>1335</v>
      </c>
      <c r="R304" s="431" t="str">
        <f>_xlfn.XLOOKUP(PV_DATA[[#This Row],[New Ark SKU]],Table9[New Ark SKU],Table9[Connector],,0)</f>
        <v>EVO2A</v>
      </c>
      <c r="S304" s="442" t="str">
        <f>_xlfn.XLOOKUP(PV_DATA[[#This Row],[New Ark SKU]],Table9[New Ark SKU],Table9[Cable],,0)</f>
        <v>±1400mm</v>
      </c>
      <c r="T304" s="433">
        <v>630</v>
      </c>
      <c r="U304" s="1088">
        <f>720*6</f>
        <v>4320</v>
      </c>
      <c r="V304" s="434">
        <f>PV_DATA[[#This Row],[QUANTITY]]*PV_DATA[[#This Row],[WATT]]/1000000</f>
        <v>2.7216</v>
      </c>
      <c r="W304" s="435">
        <f>PV_DATA[[#This Row],[QUANTITY]]/PV_DATA[[#This Row],[Qty/Pallet]]</f>
        <v>120</v>
      </c>
      <c r="X304" s="1040">
        <f>PV_DATA[[#This Row],[QUANTITY]]/PV_DATA[[#This Row],[Qty/CT]]</f>
        <v>6</v>
      </c>
      <c r="Y304" s="430" t="s">
        <v>75</v>
      </c>
      <c r="Z304" s="430" t="str">
        <f t="shared" si="1"/>
        <v>COMPLETED</v>
      </c>
      <c r="AA304" s="430"/>
      <c r="AB304" s="437">
        <v>46091</v>
      </c>
      <c r="AC304" s="438">
        <f>IF(PV_DATA[[#This Row],[Pick- Up Date]]&lt;&gt;"",_xlfn.ISOWEEKNUM(PV_DATA[[#This Row],[Pick- Up Date]]),"")</f>
        <v>11</v>
      </c>
      <c r="AD304" s="439" t="s">
        <v>1512</v>
      </c>
      <c r="AE304" s="430"/>
      <c r="AF304" s="430" t="s">
        <v>122</v>
      </c>
      <c r="AG304" s="430" t="s">
        <v>123</v>
      </c>
      <c r="AH304" s="430" t="s">
        <v>78</v>
      </c>
      <c r="AI304" s="437">
        <v>46096</v>
      </c>
      <c r="AJ304" s="437">
        <v>46095</v>
      </c>
      <c r="AK304" s="441">
        <v>46095</v>
      </c>
      <c r="AL304" s="437">
        <v>46146</v>
      </c>
      <c r="AM304" s="437">
        <v>46153</v>
      </c>
      <c r="AN304" s="437">
        <v>46159</v>
      </c>
      <c r="AO304" s="430" t="s">
        <v>402</v>
      </c>
      <c r="AP304" s="430" t="s">
        <v>1508</v>
      </c>
      <c r="AQ304" s="430" t="s">
        <v>80</v>
      </c>
      <c r="AR304" s="430" t="s">
        <v>1509</v>
      </c>
      <c r="AS304" s="430" t="s">
        <v>1510</v>
      </c>
      <c r="AT304" s="482" t="s">
        <v>1510</v>
      </c>
      <c r="AU3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7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7">
        <f>IF(ISERROR(PV_DATA[[#This Row],[New Ark PO status]]),"",_xlfn.XLOOKUP(PV_DATA[[#This Row],[SPTN-PVHK New Ark PO'#]],New_Ark_Data[Purchase order Number],New_Ark_Data[Estimated time of arrival],"",0))</f>
        <v>46171</v>
      </c>
      <c r="AZ30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7">
        <f>IFERROR(PV_DATA[[#This Row],[ODP ETA Port]]+PV_DATA[[#This Row],[Customs/Leg3 Assumption]],"n/a")</f>
        <v>46167</v>
      </c>
      <c r="BB304" s="433">
        <f>YEAR(PV_DATA[[#This Row],[ETA for New Ark update]])</f>
        <v>2026</v>
      </c>
      <c r="BC304" s="430">
        <f>MONTH(PV_DATA[[#This Row],[ETA for New Ark update]])</f>
        <v>5</v>
      </c>
      <c r="BD304" s="430">
        <f>IFERROR(_xlfn.ISOWEEKNUM(PV_DATA[[#This Row],[ETA for New Ark update]]),0)</f>
        <v>22</v>
      </c>
      <c r="BE304" s="431">
        <f>_xlfn.XLOOKUP(PV_DATA[[#This Row],[New Ark SKU]],Table9[New Ark SKU],Table9[Total PCS per Pallet],,0)</f>
        <v>36</v>
      </c>
      <c r="BF304" s="431">
        <f>_xlfn.XLOOKUP(PV_DATA[[#This Row],[New Ark SKU]],Table9[New Ark SKU],Table9[Total PCS per 40HQ Container],,0)</f>
        <v>720</v>
      </c>
      <c r="BG304" s="431" t="str">
        <f>_xlfn.XLOOKUP(PV_DATA[[#This Row],[New Ark SKU]],Table9[New Ark SKU],Table9[Back Glass],,0)</f>
        <v>Transparent</v>
      </c>
      <c r="BH304" s="431" t="str">
        <f>_xlfn.XLOOKUP(PV_DATA[[#This Row],[PORT DESTINATION]],Table12[PORT DESTINATION],Table12[Cosco Line],,0)</f>
        <v>AEM</v>
      </c>
      <c r="BJ304" s="430"/>
    </row>
    <row r="305" spans="1:62" ht="10.5">
      <c r="A305" s="462" t="s">
        <v>1513</v>
      </c>
      <c r="B305" s="462" t="s">
        <v>111</v>
      </c>
      <c r="C305" s="462" t="str">
        <f>IFERROR(LEFT(PV_DATA[[#This Row],[TCL REFERENCE]],FIND(".",PV_DATA[[#This Row],[TCL REFERENCE]],1)-1),"Main Line")</f>
        <v>26Feb008</v>
      </c>
      <c r="D305" s="462" t="s">
        <v>63</v>
      </c>
      <c r="E305" s="462" t="s">
        <v>64</v>
      </c>
      <c r="F305" s="462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2" t="s">
        <v>402</v>
      </c>
      <c r="H305" s="462" t="s">
        <v>115</v>
      </c>
      <c r="I305" s="439" t="s">
        <v>689</v>
      </c>
      <c r="J305" s="430" t="s">
        <v>646</v>
      </c>
      <c r="K305" s="430"/>
      <c r="L305" s="430"/>
      <c r="M305" s="430" t="s">
        <v>68</v>
      </c>
      <c r="N305" s="432">
        <v>46083</v>
      </c>
      <c r="O305" s="430" t="s">
        <v>473</v>
      </c>
      <c r="P305" s="430" t="s">
        <v>474</v>
      </c>
      <c r="Q305" s="430" t="s">
        <v>1319</v>
      </c>
      <c r="R305" s="431" t="str">
        <f>_xlfn.XLOOKUP(PV_DATA[[#This Row],[New Ark SKU]],Table9[New Ark SKU],Table9[Connector],,0)</f>
        <v>EVO2A</v>
      </c>
      <c r="S305" s="442" t="str">
        <f>_xlfn.XLOOKUP(PV_DATA[[#This Row],[New Ark SKU]],Table9[New Ark SKU],Table9[Cable],,0)</f>
        <v>±1200mm</v>
      </c>
      <c r="T305" s="433">
        <v>460</v>
      </c>
      <c r="U305" s="1088">
        <f>864*2</f>
        <v>1728</v>
      </c>
      <c r="V305" s="434">
        <f>PV_DATA[[#This Row],[QUANTITY]]*PV_DATA[[#This Row],[WATT]]/1000000</f>
        <v>0.79488000000000003</v>
      </c>
      <c r="W305" s="435">
        <f>PV_DATA[[#This Row],[QUANTITY]]/PV_DATA[[#This Row],[Qty/Pallet]]</f>
        <v>48</v>
      </c>
      <c r="X305" s="1040">
        <f>PV_DATA[[#This Row],[QUANTITY]]/PV_DATA[[#This Row],[Qty/CT]]</f>
        <v>2</v>
      </c>
      <c r="Y305" s="430" t="s">
        <v>75</v>
      </c>
      <c r="Z305" s="430" t="str">
        <f t="shared" si="1"/>
        <v>COMPLETED</v>
      </c>
      <c r="AA305" s="430" t="s">
        <v>1514</v>
      </c>
      <c r="AB305" s="437">
        <v>46088</v>
      </c>
      <c r="AC305" s="438">
        <f>IF(PV_DATA[[#This Row],[Pick- Up Date]]&lt;&gt;"",_xlfn.ISOWEEKNUM(PV_DATA[[#This Row],[Pick- Up Date]]),"")</f>
        <v>10</v>
      </c>
      <c r="AD305" s="439" t="s">
        <v>1515</v>
      </c>
      <c r="AE305" s="430"/>
      <c r="AF305" s="430" t="s">
        <v>122</v>
      </c>
      <c r="AG305" s="430" t="s">
        <v>123</v>
      </c>
      <c r="AH305" s="430" t="s">
        <v>124</v>
      </c>
      <c r="AI305" s="437">
        <v>46096</v>
      </c>
      <c r="AJ305" s="437">
        <v>46095</v>
      </c>
      <c r="AK305" s="441">
        <v>46095</v>
      </c>
      <c r="AL305" s="437">
        <v>46149</v>
      </c>
      <c r="AM305" s="437">
        <v>46162</v>
      </c>
      <c r="AN305" s="437">
        <v>46162</v>
      </c>
      <c r="AO305" s="430" t="s">
        <v>402</v>
      </c>
      <c r="AP305" s="430" t="s">
        <v>1508</v>
      </c>
      <c r="AQ305" s="430" t="s">
        <v>80</v>
      </c>
      <c r="AR305" s="430" t="s">
        <v>1516</v>
      </c>
      <c r="AS305" s="430" t="s">
        <v>1517</v>
      </c>
      <c r="AT305" s="482" t="s">
        <v>1517</v>
      </c>
      <c r="AU3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7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7">
        <f>IF(ISERROR(PV_DATA[[#This Row],[New Ark PO status]]),"",_xlfn.XLOOKUP(PV_DATA[[#This Row],[SPTN-PVHK New Ark PO'#]],New_Ark_Data[Purchase order Number],New_Ark_Data[Estimated time of arrival],"",0))</f>
        <v>46176</v>
      </c>
      <c r="AZ30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7">
        <f>IFERROR(PV_DATA[[#This Row],[ODP ETA Port]]+PV_DATA[[#This Row],[Customs/Leg3 Assumption]],"n/a")</f>
        <v>46171</v>
      </c>
      <c r="BB305" s="433">
        <f>YEAR(PV_DATA[[#This Row],[ETA for New Ark update]])</f>
        <v>2026</v>
      </c>
      <c r="BC305" s="430">
        <f>MONTH(PV_DATA[[#This Row],[ETA for New Ark update]])</f>
        <v>5</v>
      </c>
      <c r="BD305" s="430">
        <f>IFERROR(_xlfn.ISOWEEKNUM(PV_DATA[[#This Row],[ETA for New Ark update]]),0)</f>
        <v>22</v>
      </c>
      <c r="BE305" s="431">
        <f>_xlfn.XLOOKUP(PV_DATA[[#This Row],[New Ark SKU]],Table9[New Ark SKU],Table9[Total PCS per Pallet],,0)</f>
        <v>36</v>
      </c>
      <c r="BF305" s="431">
        <f>_xlfn.XLOOKUP(PV_DATA[[#This Row],[New Ark SKU]],Table9[New Ark SKU],Table9[Total PCS per 40HQ Container],,0)</f>
        <v>864</v>
      </c>
      <c r="BG305" s="431" t="str">
        <f>_xlfn.XLOOKUP(PV_DATA[[#This Row],[New Ark SKU]],Table9[New Ark SKU],Table9[Back Glass],,0)</f>
        <v>Black glazing</v>
      </c>
      <c r="BH305" s="431" t="str">
        <f>_xlfn.XLOOKUP(PV_DATA[[#This Row],[PORT DESTINATION]],Table12[PORT DESTINATION],Table12[Cosco Line],,0)</f>
        <v>AEM</v>
      </c>
      <c r="BJ305" s="430"/>
    </row>
    <row r="306" spans="1:62" ht="10.5">
      <c r="A306" s="462" t="s">
        <v>1518</v>
      </c>
      <c r="B306" s="462" t="s">
        <v>1519</v>
      </c>
      <c r="C306" s="462" t="str">
        <f>IFERROR(LEFT(PV_DATA[[#This Row],[TCL REFERENCE]],FIND(".",PV_DATA[[#This Row],[TCL REFERENCE]],1)-1),"Main Line")</f>
        <v>26Feb027</v>
      </c>
      <c r="D306" s="462" t="s">
        <v>63</v>
      </c>
      <c r="E306" s="462" t="s">
        <v>64</v>
      </c>
      <c r="F306" s="462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2" t="s">
        <v>402</v>
      </c>
      <c r="H306" s="462" t="s">
        <v>67</v>
      </c>
      <c r="I306" s="439" t="s">
        <v>689</v>
      </c>
      <c r="J306" s="430" t="s">
        <v>483</v>
      </c>
      <c r="K306" s="430"/>
      <c r="L306" s="430"/>
      <c r="M306" s="430" t="s">
        <v>68</v>
      </c>
      <c r="N306" s="432">
        <v>46090</v>
      </c>
      <c r="O306" s="430" t="s">
        <v>284</v>
      </c>
      <c r="P306" s="430" t="s">
        <v>1521</v>
      </c>
      <c r="Q306" s="430" t="s">
        <v>1522</v>
      </c>
      <c r="R306" s="431" t="str">
        <f>_xlfn.XLOOKUP(PV_DATA[[#This Row],[New Ark SKU]],Table9[New Ark SKU],Table9[Connector],,0)</f>
        <v>EVO2A</v>
      </c>
      <c r="S306" s="442" t="str">
        <f>_xlfn.XLOOKUP(PV_DATA[[#This Row],[New Ark SKU]],Table9[New Ark SKU],Table9[Cable],,0)</f>
        <v>±1200mm</v>
      </c>
      <c r="T306" s="433">
        <v>490</v>
      </c>
      <c r="U306" s="1088">
        <f>864*4</f>
        <v>3456</v>
      </c>
      <c r="V306" s="434">
        <f>PV_DATA[[#This Row],[QUANTITY]]*PV_DATA[[#This Row],[WATT]]/1000000</f>
        <v>1.6934400000000001</v>
      </c>
      <c r="W306" s="435">
        <f>PV_DATA[[#This Row],[QUANTITY]]/PV_DATA[[#This Row],[Qty/Pallet]]</f>
        <v>96</v>
      </c>
      <c r="X306" s="1040">
        <f>PV_DATA[[#This Row],[QUANTITY]]/PV_DATA[[#This Row],[Qty/CT]]</f>
        <v>4</v>
      </c>
      <c r="Y306" s="430" t="s">
        <v>75</v>
      </c>
      <c r="Z306" s="430" t="str">
        <f t="shared" si="1"/>
        <v>COMPLETED</v>
      </c>
      <c r="AA306" s="430" t="s">
        <v>1523</v>
      </c>
      <c r="AB306" s="437">
        <v>46091</v>
      </c>
      <c r="AC306" s="438">
        <f>IF(PV_DATA[[#This Row],[Pick- Up Date]]&lt;&gt;"",_xlfn.ISOWEEKNUM(PV_DATA[[#This Row],[Pick- Up Date]]),"")</f>
        <v>11</v>
      </c>
      <c r="AD306" s="439" t="s">
        <v>1524</v>
      </c>
      <c r="AE306" s="430"/>
      <c r="AF306" s="430" t="s">
        <v>1525</v>
      </c>
      <c r="AG306" s="430" t="s">
        <v>123</v>
      </c>
      <c r="AH306" s="430" t="s">
        <v>105</v>
      </c>
      <c r="AI306" s="437">
        <v>46100</v>
      </c>
      <c r="AJ306" s="437">
        <v>46100</v>
      </c>
      <c r="AK306" s="441">
        <v>46101</v>
      </c>
      <c r="AL306" s="437">
        <v>46143</v>
      </c>
      <c r="AM306" s="437">
        <v>46148</v>
      </c>
      <c r="AN306" s="437">
        <v>46161</v>
      </c>
      <c r="AO306" s="430" t="s">
        <v>402</v>
      </c>
      <c r="AP306" s="430" t="s">
        <v>1526</v>
      </c>
      <c r="AQ306" s="430" t="s">
        <v>161</v>
      </c>
      <c r="AR306" s="430" t="s">
        <v>1527</v>
      </c>
      <c r="AS306" s="430" t="s">
        <v>1528</v>
      </c>
      <c r="AT306" s="482" t="s">
        <v>1529</v>
      </c>
      <c r="AU3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7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7">
        <f>IF(ISERROR(PV_DATA[[#This Row],[New Ark PO status]]),"",_xlfn.XLOOKUP(PV_DATA[[#This Row],[SPTN-PVHK New Ark PO'#]],New_Ark_Data[Purchase order Number],New_Ark_Data[Estimated time of arrival],"",0))</f>
        <v>46176</v>
      </c>
      <c r="AZ30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7">
        <f>IFERROR(PV_DATA[[#This Row],[ODP ETA Port]]+PV_DATA[[#This Row],[Customs/Leg3 Assumption]],"n/a")</f>
        <v>46168</v>
      </c>
      <c r="BB306" s="433">
        <f>YEAR(PV_DATA[[#This Row],[ETA for New Ark update]])</f>
        <v>2026</v>
      </c>
      <c r="BC306" s="430">
        <f>MONTH(PV_DATA[[#This Row],[ETA for New Ark update]])</f>
        <v>5</v>
      </c>
      <c r="BD306" s="430">
        <f>IFERROR(_xlfn.ISOWEEKNUM(PV_DATA[[#This Row],[ETA for New Ark update]]),0)</f>
        <v>22</v>
      </c>
      <c r="BE306" s="431">
        <f>_xlfn.XLOOKUP(PV_DATA[[#This Row],[New Ark SKU]],Table9[New Ark SKU],Table9[Total PCS per Pallet],,0)</f>
        <v>36</v>
      </c>
      <c r="BF306" s="431">
        <f>_xlfn.XLOOKUP(PV_DATA[[#This Row],[New Ark SKU]],Table9[New Ark SKU],Table9[Total PCS per 40HQ Container],,0)</f>
        <v>864</v>
      </c>
      <c r="BG306" s="431" t="str">
        <f>_xlfn.XLOOKUP(PV_DATA[[#This Row],[New Ark SKU]],Table9[New Ark SKU],Table9[Back Glass],,0)</f>
        <v>Black glazing</v>
      </c>
      <c r="BH306" s="431" t="str">
        <f>_xlfn.XLOOKUP(PV_DATA[[#This Row],[PORT DESTINATION]],Table12[PORT DESTINATION],Table12[Cosco Line],,0)</f>
        <v>AEU</v>
      </c>
      <c r="BJ306" s="430"/>
    </row>
    <row r="307" spans="1:62" ht="10.5">
      <c r="A307" s="462" t="s">
        <v>1530</v>
      </c>
      <c r="B307" s="462" t="s">
        <v>1519</v>
      </c>
      <c r="C307" s="462" t="str">
        <f>IFERROR(LEFT(PV_DATA[[#This Row],[TCL REFERENCE]],FIND(".",PV_DATA[[#This Row],[TCL REFERENCE]],1)-1),"Main Line")</f>
        <v>26Feb028</v>
      </c>
      <c r="D307" s="462" t="s">
        <v>63</v>
      </c>
      <c r="E307" s="462" t="s">
        <v>64</v>
      </c>
      <c r="F307" s="462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2" t="s">
        <v>402</v>
      </c>
      <c r="H307" s="462" t="s">
        <v>67</v>
      </c>
      <c r="I307" s="439" t="s">
        <v>689</v>
      </c>
      <c r="J307" s="430" t="s">
        <v>483</v>
      </c>
      <c r="K307" s="430"/>
      <c r="L307" s="430"/>
      <c r="M307" s="430" t="s">
        <v>68</v>
      </c>
      <c r="N307" s="432">
        <v>46090</v>
      </c>
      <c r="O307" s="430" t="s">
        <v>284</v>
      </c>
      <c r="P307" s="430" t="s">
        <v>1532</v>
      </c>
      <c r="Q307" s="430" t="s">
        <v>1533</v>
      </c>
      <c r="R307" s="431" t="str">
        <f>_xlfn.XLOOKUP(PV_DATA[[#This Row],[New Ark SKU]],Table9[New Ark SKU],Table9[Connector],,0)</f>
        <v>EVO2A</v>
      </c>
      <c r="S307" s="442" t="str">
        <f>_xlfn.XLOOKUP(PV_DATA[[#This Row],[New Ark SKU]],Table9[New Ark SKU],Table9[Cable],,0)</f>
        <v>±1200mm</v>
      </c>
      <c r="T307" s="433">
        <v>495</v>
      </c>
      <c r="U307" s="1088">
        <f>864*1</f>
        <v>864</v>
      </c>
      <c r="V307" s="434">
        <f>PV_DATA[[#This Row],[QUANTITY]]*PV_DATA[[#This Row],[WATT]]/1000000</f>
        <v>0.42768</v>
      </c>
      <c r="W307" s="435">
        <f>PV_DATA[[#This Row],[QUANTITY]]/PV_DATA[[#This Row],[Qty/Pallet]]</f>
        <v>24</v>
      </c>
      <c r="X307" s="1040">
        <f>PV_DATA[[#This Row],[QUANTITY]]/PV_DATA[[#This Row],[Qty/CT]]</f>
        <v>1</v>
      </c>
      <c r="Y307" s="430" t="s">
        <v>75</v>
      </c>
      <c r="Z307" s="430" t="str">
        <f t="shared" si="1"/>
        <v>COMPLETED</v>
      </c>
      <c r="AA307" s="430" t="s">
        <v>1534</v>
      </c>
      <c r="AB307" s="437">
        <v>46091</v>
      </c>
      <c r="AC307" s="438">
        <f>IF(PV_DATA[[#This Row],[Pick- Up Date]]&lt;&gt;"",_xlfn.ISOWEEKNUM(PV_DATA[[#This Row],[Pick- Up Date]]),"")</f>
        <v>11</v>
      </c>
      <c r="AD307" s="439" t="s">
        <v>1535</v>
      </c>
      <c r="AE307" s="430"/>
      <c r="AF307" s="430" t="s">
        <v>1525</v>
      </c>
      <c r="AG307" s="430" t="s">
        <v>123</v>
      </c>
      <c r="AH307" s="430" t="s">
        <v>105</v>
      </c>
      <c r="AI307" s="437">
        <v>46100</v>
      </c>
      <c r="AJ307" s="437">
        <v>46100</v>
      </c>
      <c r="AK307" s="441">
        <v>46101</v>
      </c>
      <c r="AL307" s="437">
        <v>46143</v>
      </c>
      <c r="AM307" s="437">
        <v>46148</v>
      </c>
      <c r="AN307" s="437">
        <v>46161</v>
      </c>
      <c r="AO307" s="430" t="s">
        <v>402</v>
      </c>
      <c r="AP307" s="430" t="s">
        <v>1526</v>
      </c>
      <c r="AQ307" s="430" t="s">
        <v>161</v>
      </c>
      <c r="AR307" s="430" t="s">
        <v>1527</v>
      </c>
      <c r="AS307" s="430" t="s">
        <v>1528</v>
      </c>
      <c r="AT307" s="482" t="s">
        <v>1529</v>
      </c>
      <c r="AU3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7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7">
        <f>IF(ISERROR(PV_DATA[[#This Row],[New Ark PO status]]),"",_xlfn.XLOOKUP(PV_DATA[[#This Row],[SPTN-PVHK New Ark PO'#]],New_Ark_Data[Purchase order Number],New_Ark_Data[Estimated time of arrival],"",0))</f>
        <v>46175</v>
      </c>
      <c r="AZ30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7">
        <f>IFERROR(PV_DATA[[#This Row],[ODP ETA Port]]+PV_DATA[[#This Row],[Customs/Leg3 Assumption]],"n/a")</f>
        <v>46168</v>
      </c>
      <c r="BB307" s="433">
        <f>YEAR(PV_DATA[[#This Row],[ETA for New Ark update]])</f>
        <v>2026</v>
      </c>
      <c r="BC307" s="430">
        <f>MONTH(PV_DATA[[#This Row],[ETA for New Ark update]])</f>
        <v>5</v>
      </c>
      <c r="BD307" s="430">
        <f>IFERROR(_xlfn.ISOWEEKNUM(PV_DATA[[#This Row],[ETA for New Ark update]]),0)</f>
        <v>22</v>
      </c>
      <c r="BE307" s="431">
        <f>_xlfn.XLOOKUP(PV_DATA[[#This Row],[New Ark SKU]],Table9[New Ark SKU],Table9[Total PCS per Pallet],,0)</f>
        <v>36</v>
      </c>
      <c r="BF307" s="431">
        <f>_xlfn.XLOOKUP(PV_DATA[[#This Row],[New Ark SKU]],Table9[New Ark SKU],Table9[Total PCS per 40HQ Container],,0)</f>
        <v>864</v>
      </c>
      <c r="BG307" s="431" t="str">
        <f>_xlfn.XLOOKUP(PV_DATA[[#This Row],[New Ark SKU]],Table9[New Ark SKU],Table9[Back Glass],,0)</f>
        <v>Black glazing</v>
      </c>
      <c r="BH307" s="431" t="str">
        <f>_xlfn.XLOOKUP(PV_DATA[[#This Row],[PORT DESTINATION]],Table12[PORT DESTINATION],Table12[Cosco Line],,0)</f>
        <v>AEU</v>
      </c>
      <c r="BJ307" s="430"/>
    </row>
    <row r="308" spans="1:62" ht="10.5">
      <c r="A308" s="462" t="s">
        <v>1536</v>
      </c>
      <c r="B308" s="462" t="s">
        <v>1519</v>
      </c>
      <c r="C308" s="462" t="str">
        <f>IFERROR(LEFT(PV_DATA[[#This Row],[TCL REFERENCE]],FIND(".",PV_DATA[[#This Row],[TCL REFERENCE]],1)-1),"Main Line")</f>
        <v>26Feb028</v>
      </c>
      <c r="D308" s="462" t="s">
        <v>63</v>
      </c>
      <c r="E308" s="462" t="s">
        <v>144</v>
      </c>
      <c r="F308" s="462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2" t="s">
        <v>402</v>
      </c>
      <c r="H308" s="462" t="s">
        <v>538</v>
      </c>
      <c r="I308" s="439" t="s">
        <v>689</v>
      </c>
      <c r="J308" s="430" t="s">
        <v>1537</v>
      </c>
      <c r="K308" s="430" t="s">
        <v>1538</v>
      </c>
      <c r="L308" s="430"/>
      <c r="M308" s="430" t="s">
        <v>840</v>
      </c>
      <c r="N308" s="432">
        <v>46090</v>
      </c>
      <c r="O308" s="430" t="s">
        <v>284</v>
      </c>
      <c r="P308" s="430" t="s">
        <v>1532</v>
      </c>
      <c r="Q308" s="430" t="s">
        <v>1533</v>
      </c>
      <c r="R308" s="431" t="str">
        <f>_xlfn.XLOOKUP(PV_DATA[[#This Row],[New Ark SKU]],Table9[New Ark SKU],Table9[Connector],,0)</f>
        <v>EVO2A</v>
      </c>
      <c r="S308" s="442" t="str">
        <f>_xlfn.XLOOKUP(PV_DATA[[#This Row],[New Ark SKU]],Table9[New Ark SKU],Table9[Cable],,0)</f>
        <v>±1200mm</v>
      </c>
      <c r="T308" s="433">
        <v>495</v>
      </c>
      <c r="U308" s="1088">
        <f>864*1</f>
        <v>864</v>
      </c>
      <c r="V308" s="434">
        <f>PV_DATA[[#This Row],[QUANTITY]]*PV_DATA[[#This Row],[WATT]]/1000000</f>
        <v>0.42768</v>
      </c>
      <c r="W308" s="435">
        <f>PV_DATA[[#This Row],[QUANTITY]]/PV_DATA[[#This Row],[Qty/Pallet]]</f>
        <v>24</v>
      </c>
      <c r="X308" s="1040">
        <f>PV_DATA[[#This Row],[QUANTITY]]/PV_DATA[[#This Row],[Qty/CT]]</f>
        <v>1</v>
      </c>
      <c r="Y308" s="430" t="s">
        <v>75</v>
      </c>
      <c r="Z308" s="430" t="str">
        <f t="shared" si="1"/>
        <v>COMPLETED</v>
      </c>
      <c r="AA308" s="430" t="s">
        <v>1534</v>
      </c>
      <c r="AB308" s="437">
        <v>46093</v>
      </c>
      <c r="AC308" s="438">
        <f>IF(PV_DATA[[#This Row],[Pick- Up Date]]&lt;&gt;"",_xlfn.ISOWEEKNUM(PV_DATA[[#This Row],[Pick- Up Date]]),"")</f>
        <v>11</v>
      </c>
      <c r="AD308" s="439" t="s">
        <v>1539</v>
      </c>
      <c r="AE308" s="430"/>
      <c r="AF308" s="430" t="s">
        <v>1525</v>
      </c>
      <c r="AG308" s="430" t="s">
        <v>123</v>
      </c>
      <c r="AH308" s="430" t="s">
        <v>541</v>
      </c>
      <c r="AI308" s="437">
        <v>46101</v>
      </c>
      <c r="AJ308" s="437">
        <v>46100</v>
      </c>
      <c r="AK308" s="441">
        <v>46100</v>
      </c>
      <c r="AL308" s="437">
        <v>46161</v>
      </c>
      <c r="AM308" s="437">
        <v>46171</v>
      </c>
      <c r="AN308" s="437">
        <v>46172</v>
      </c>
      <c r="AO308" s="430" t="s">
        <v>402</v>
      </c>
      <c r="AP308" s="430" t="s">
        <v>1540</v>
      </c>
      <c r="AQ308" s="430" t="s">
        <v>161</v>
      </c>
      <c r="AR308" s="430" t="s">
        <v>1541</v>
      </c>
      <c r="AS308" s="430" t="s">
        <v>1542</v>
      </c>
      <c r="AT308" s="482" t="s">
        <v>1542</v>
      </c>
      <c r="AU3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7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7">
        <f>IF(ISERROR(PV_DATA[[#This Row],[New Ark PO status]]),"",_xlfn.XLOOKUP(PV_DATA[[#This Row],[SPTN-PVHK New Ark PO'#]],New_Ark_Data[Purchase order Number],New_Ark_Data[Estimated time of arrival],"",0))</f>
        <v>46178</v>
      </c>
      <c r="AZ3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7">
        <f>IFERROR(PV_DATA[[#This Row],[ODP ETA Port]]+PV_DATA[[#This Row],[Customs/Leg3 Assumption]],"n/a")</f>
        <v>46172</v>
      </c>
      <c r="BB308" s="433">
        <f>YEAR(PV_DATA[[#This Row],[ETA for New Ark update]])</f>
        <v>2026</v>
      </c>
      <c r="BC308" s="430">
        <f>MONTH(PV_DATA[[#This Row],[ETA for New Ark update]])</f>
        <v>5</v>
      </c>
      <c r="BD308" s="430">
        <f>IFERROR(_xlfn.ISOWEEKNUM(PV_DATA[[#This Row],[ETA for New Ark update]]),0)</f>
        <v>22</v>
      </c>
      <c r="BE308" s="431">
        <f>_xlfn.XLOOKUP(PV_DATA[[#This Row],[New Ark SKU]],Table9[New Ark SKU],Table9[Total PCS per Pallet],,0)</f>
        <v>36</v>
      </c>
      <c r="BF308" s="431">
        <f>_xlfn.XLOOKUP(PV_DATA[[#This Row],[New Ark SKU]],Table9[New Ark SKU],Table9[Total PCS per 40HQ Container],,0)</f>
        <v>864</v>
      </c>
      <c r="BG308" s="431" t="str">
        <f>_xlfn.XLOOKUP(PV_DATA[[#This Row],[New Ark SKU]],Table9[New Ark SKU],Table9[Back Glass],,0)</f>
        <v>Black glazing</v>
      </c>
      <c r="BH308" s="431" t="str">
        <f>_xlfn.XLOOKUP(PV_DATA[[#This Row],[PORT DESTINATION]],Table12[PORT DESTINATION],Table12[Cosco Line],,0)</f>
        <v>AEU</v>
      </c>
      <c r="BJ308" s="430"/>
    </row>
    <row r="309" spans="1:62" ht="10.5">
      <c r="A309" s="462" t="s">
        <v>1543</v>
      </c>
      <c r="B309" s="462" t="s">
        <v>1519</v>
      </c>
      <c r="C309" s="462" t="str">
        <f>IFERROR(LEFT(PV_DATA[[#This Row],[TCL REFERENCE]],FIND(".",PV_DATA[[#This Row],[TCL REFERENCE]],1)-1),"Main Line")</f>
        <v>26Feb027</v>
      </c>
      <c r="D309" s="462" t="s">
        <v>63</v>
      </c>
      <c r="E309" s="462" t="s">
        <v>144</v>
      </c>
      <c r="F309" s="462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2" t="s">
        <v>402</v>
      </c>
      <c r="H309" s="462" t="s">
        <v>538</v>
      </c>
      <c r="I309" s="439" t="s">
        <v>689</v>
      </c>
      <c r="J309" s="430" t="s">
        <v>1537</v>
      </c>
      <c r="K309" s="430" t="s">
        <v>1538</v>
      </c>
      <c r="L309" s="430"/>
      <c r="M309" s="430" t="s">
        <v>840</v>
      </c>
      <c r="N309" s="432">
        <v>46090</v>
      </c>
      <c r="O309" s="430" t="s">
        <v>284</v>
      </c>
      <c r="P309" s="430" t="s">
        <v>1521</v>
      </c>
      <c r="Q309" s="430" t="s">
        <v>1522</v>
      </c>
      <c r="R309" s="431" t="str">
        <f>_xlfn.XLOOKUP(PV_DATA[[#This Row],[New Ark SKU]],Table9[New Ark SKU],Table9[Connector],,0)</f>
        <v>EVO2A</v>
      </c>
      <c r="S309" s="442" t="str">
        <f>_xlfn.XLOOKUP(PV_DATA[[#This Row],[New Ark SKU]],Table9[New Ark SKU],Table9[Cable],,0)</f>
        <v>±1200mm</v>
      </c>
      <c r="T309" s="433">
        <v>490</v>
      </c>
      <c r="U309" s="1088">
        <f>864*2</f>
        <v>1728</v>
      </c>
      <c r="V309" s="434">
        <f>PV_DATA[[#This Row],[QUANTITY]]*PV_DATA[[#This Row],[WATT]]/1000000</f>
        <v>0.84672000000000003</v>
      </c>
      <c r="W309" s="435">
        <f>PV_DATA[[#This Row],[QUANTITY]]/PV_DATA[[#This Row],[Qty/Pallet]]</f>
        <v>48</v>
      </c>
      <c r="X309" s="1040">
        <f>PV_DATA[[#This Row],[QUANTITY]]/PV_DATA[[#This Row],[Qty/CT]]</f>
        <v>2</v>
      </c>
      <c r="Y309" s="430" t="s">
        <v>75</v>
      </c>
      <c r="Z309" s="430" t="str">
        <f t="shared" si="1"/>
        <v>COMPLETED</v>
      </c>
      <c r="AA309" s="430" t="s">
        <v>1544</v>
      </c>
      <c r="AB309" s="437">
        <v>46093</v>
      </c>
      <c r="AC309" s="438">
        <f>IF(PV_DATA[[#This Row],[Pick- Up Date]]&lt;&gt;"",_xlfn.ISOWEEKNUM(PV_DATA[[#This Row],[Pick- Up Date]]),"")</f>
        <v>11</v>
      </c>
      <c r="AD309" s="439" t="s">
        <v>1545</v>
      </c>
      <c r="AE309" s="430"/>
      <c r="AF309" s="430" t="s">
        <v>1525</v>
      </c>
      <c r="AG309" s="430" t="s">
        <v>123</v>
      </c>
      <c r="AH309" s="430" t="s">
        <v>541</v>
      </c>
      <c r="AI309" s="437">
        <v>46101</v>
      </c>
      <c r="AJ309" s="437">
        <v>46100</v>
      </c>
      <c r="AK309" s="441">
        <v>46100</v>
      </c>
      <c r="AL309" s="437">
        <v>46161</v>
      </c>
      <c r="AM309" s="437">
        <v>46171</v>
      </c>
      <c r="AN309" s="437">
        <v>46172</v>
      </c>
      <c r="AO309" s="430" t="s">
        <v>402</v>
      </c>
      <c r="AP309" s="430" t="s">
        <v>1540</v>
      </c>
      <c r="AQ309" s="430" t="s">
        <v>161</v>
      </c>
      <c r="AR309" s="430" t="s">
        <v>1541</v>
      </c>
      <c r="AS309" s="430" t="s">
        <v>1546</v>
      </c>
      <c r="AT309" s="482" t="s">
        <v>1542</v>
      </c>
      <c r="AU3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7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7">
        <f>IF(ISERROR(PV_DATA[[#This Row],[New Ark PO status]]),"",_xlfn.XLOOKUP(PV_DATA[[#This Row],[SPTN-PVHK New Ark PO'#]],New_Ark_Data[Purchase order Number],New_Ark_Data[Estimated time of arrival],"",0))</f>
        <v>46178</v>
      </c>
      <c r="AZ3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7">
        <f>IFERROR(PV_DATA[[#This Row],[ODP ETA Port]]+PV_DATA[[#This Row],[Customs/Leg3 Assumption]],"n/a")</f>
        <v>46172</v>
      </c>
      <c r="BB309" s="433">
        <f>YEAR(PV_DATA[[#This Row],[ETA for New Ark update]])</f>
        <v>2026</v>
      </c>
      <c r="BC309" s="430">
        <f>MONTH(PV_DATA[[#This Row],[ETA for New Ark update]])</f>
        <v>5</v>
      </c>
      <c r="BD309" s="430">
        <f>IFERROR(_xlfn.ISOWEEKNUM(PV_DATA[[#This Row],[ETA for New Ark update]]),0)</f>
        <v>22</v>
      </c>
      <c r="BE309" s="431">
        <f>_xlfn.XLOOKUP(PV_DATA[[#This Row],[New Ark SKU]],Table9[New Ark SKU],Table9[Total PCS per Pallet],,0)</f>
        <v>36</v>
      </c>
      <c r="BF309" s="431">
        <f>_xlfn.XLOOKUP(PV_DATA[[#This Row],[New Ark SKU]],Table9[New Ark SKU],Table9[Total PCS per 40HQ Container],,0)</f>
        <v>864</v>
      </c>
      <c r="BG309" s="431" t="str">
        <f>_xlfn.XLOOKUP(PV_DATA[[#This Row],[New Ark SKU]],Table9[New Ark SKU],Table9[Back Glass],,0)</f>
        <v>Black glazing</v>
      </c>
      <c r="BH309" s="431" t="str">
        <f>_xlfn.XLOOKUP(PV_DATA[[#This Row],[PORT DESTINATION]],Table12[PORT DESTINATION],Table12[Cosco Line],,0)</f>
        <v>AEU</v>
      </c>
      <c r="BJ309" s="430"/>
    </row>
    <row r="310" spans="1:62" ht="10.5">
      <c r="A310" s="462" t="s">
        <v>1547</v>
      </c>
      <c r="B310" s="462" t="s">
        <v>111</v>
      </c>
      <c r="C310" s="462" t="str">
        <f>IFERROR(LEFT(PV_DATA[[#This Row],[TCL REFERENCE]],FIND(".",PV_DATA[[#This Row],[TCL REFERENCE]],1)-1),"Main Line")</f>
        <v>26Feb008</v>
      </c>
      <c r="D310" s="462" t="s">
        <v>63</v>
      </c>
      <c r="E310" s="462" t="s">
        <v>144</v>
      </c>
      <c r="F310" s="462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2" t="s">
        <v>402</v>
      </c>
      <c r="H310" s="462" t="s">
        <v>538</v>
      </c>
      <c r="I310" s="439" t="s">
        <v>689</v>
      </c>
      <c r="J310" s="430" t="s">
        <v>1537</v>
      </c>
      <c r="K310" s="430" t="s">
        <v>1538</v>
      </c>
      <c r="L310" s="430"/>
      <c r="M310" s="430" t="s">
        <v>840</v>
      </c>
      <c r="N310" s="432">
        <v>46083</v>
      </c>
      <c r="O310" s="430" t="s">
        <v>473</v>
      </c>
      <c r="P310" s="430" t="s">
        <v>474</v>
      </c>
      <c r="Q310" s="430" t="s">
        <v>1319</v>
      </c>
      <c r="R310" s="431" t="str">
        <f>_xlfn.XLOOKUP(PV_DATA[[#This Row],[New Ark SKU]],Table9[New Ark SKU],Table9[Connector],,0)</f>
        <v>EVO2A</v>
      </c>
      <c r="S310" s="442" t="str">
        <f>_xlfn.XLOOKUP(PV_DATA[[#This Row],[New Ark SKU]],Table9[New Ark SKU],Table9[Cable],,0)</f>
        <v>±1200mm</v>
      </c>
      <c r="T310" s="433">
        <v>460</v>
      </c>
      <c r="U310" s="1088">
        <f>864*10</f>
        <v>8640</v>
      </c>
      <c r="V310" s="434">
        <f>PV_DATA[[#This Row],[QUANTITY]]*PV_DATA[[#This Row],[WATT]]/1000000</f>
        <v>3.9744000000000002</v>
      </c>
      <c r="W310" s="435">
        <f>PV_DATA[[#This Row],[QUANTITY]]/PV_DATA[[#This Row],[Qty/Pallet]]</f>
        <v>240</v>
      </c>
      <c r="X310" s="1040">
        <f>PV_DATA[[#This Row],[QUANTITY]]/PV_DATA[[#This Row],[Qty/CT]]</f>
        <v>10</v>
      </c>
      <c r="Y310" s="430" t="s">
        <v>75</v>
      </c>
      <c r="Z310" s="430" t="str">
        <f t="shared" ref="Z310:Z373" si="2">IF(AN310&lt;&gt;"","COMPLETED",IF(AK310&lt;&gt;"","IN-TRANSIT",""))</f>
        <v>COMPLETED</v>
      </c>
      <c r="AA310" s="430" t="s">
        <v>1548</v>
      </c>
      <c r="AB310" s="437">
        <v>46093</v>
      </c>
      <c r="AC310" s="438">
        <f>IF(PV_DATA[[#This Row],[Pick- Up Date]]&lt;&gt;"",_xlfn.ISOWEEKNUM(PV_DATA[[#This Row],[Pick- Up Date]]),"")</f>
        <v>11</v>
      </c>
      <c r="AD310" s="439" t="s">
        <v>1549</v>
      </c>
      <c r="AE310" s="430"/>
      <c r="AF310" s="430" t="s">
        <v>122</v>
      </c>
      <c r="AG310" s="430" t="s">
        <v>123</v>
      </c>
      <c r="AH310" s="430" t="s">
        <v>541</v>
      </c>
      <c r="AI310" s="437">
        <v>46103</v>
      </c>
      <c r="AJ310" s="437">
        <v>46102</v>
      </c>
      <c r="AK310" s="441">
        <v>46102</v>
      </c>
      <c r="AL310" s="437">
        <v>46161</v>
      </c>
      <c r="AM310" s="437">
        <v>46163</v>
      </c>
      <c r="AN310" s="437">
        <v>46163</v>
      </c>
      <c r="AO310" s="430" t="s">
        <v>402</v>
      </c>
      <c r="AP310" s="430" t="s">
        <v>1550</v>
      </c>
      <c r="AQ310" s="430" t="s">
        <v>161</v>
      </c>
      <c r="AR310" s="430" t="s">
        <v>1551</v>
      </c>
      <c r="AS310" s="430" t="s">
        <v>1552</v>
      </c>
      <c r="AT310" s="482" t="s">
        <v>1553</v>
      </c>
      <c r="AU3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7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7">
        <f>IF(ISERROR(PV_DATA[[#This Row],[New Ark PO status]]),"",_xlfn.XLOOKUP(PV_DATA[[#This Row],[SPTN-PVHK New Ark PO'#]],New_Ark_Data[Purchase order Number],New_Ark_Data[Estimated time of arrival],"",0))</f>
        <v>46178</v>
      </c>
      <c r="AZ3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7">
        <f>IFERROR(PV_DATA[[#This Row],[ODP ETA Port]]+PV_DATA[[#This Row],[Customs/Leg3 Assumption]],"n/a")</f>
        <v>46163</v>
      </c>
      <c r="BB310" s="433">
        <f>YEAR(PV_DATA[[#This Row],[ETA for New Ark update]])</f>
        <v>2026</v>
      </c>
      <c r="BC310" s="430">
        <f>MONTH(PV_DATA[[#This Row],[ETA for New Ark update]])</f>
        <v>5</v>
      </c>
      <c r="BD310" s="430">
        <f>IFERROR(_xlfn.ISOWEEKNUM(PV_DATA[[#This Row],[ETA for New Ark update]]),0)</f>
        <v>21</v>
      </c>
      <c r="BE310" s="431">
        <f>_xlfn.XLOOKUP(PV_DATA[[#This Row],[New Ark SKU]],Table9[New Ark SKU],Table9[Total PCS per Pallet],,0)</f>
        <v>36</v>
      </c>
      <c r="BF310" s="431">
        <f>_xlfn.XLOOKUP(PV_DATA[[#This Row],[New Ark SKU]],Table9[New Ark SKU],Table9[Total PCS per 40HQ Container],,0)</f>
        <v>864</v>
      </c>
      <c r="BG310" s="431" t="str">
        <f>_xlfn.XLOOKUP(PV_DATA[[#This Row],[New Ark SKU]],Table9[New Ark SKU],Table9[Back Glass],,0)</f>
        <v>Black glazing</v>
      </c>
      <c r="BH310" s="431" t="str">
        <f>_xlfn.XLOOKUP(PV_DATA[[#This Row],[PORT DESTINATION]],Table12[PORT DESTINATION],Table12[Cosco Line],,0)</f>
        <v>AEU</v>
      </c>
      <c r="BJ310" s="430"/>
    </row>
    <row r="311" spans="1:62" ht="10.5">
      <c r="A311" s="462" t="s">
        <v>1554</v>
      </c>
      <c r="B311" s="462" t="s">
        <v>1519</v>
      </c>
      <c r="C311" s="462" t="str">
        <f>IFERROR(LEFT(PV_DATA[[#This Row],[TCL REFERENCE]],FIND(".",PV_DATA[[#This Row],[TCL REFERENCE]],1)-1),"Main Line")</f>
        <v>26Feb028</v>
      </c>
      <c r="D311" s="462" t="s">
        <v>63</v>
      </c>
      <c r="E311" s="462" t="s">
        <v>64</v>
      </c>
      <c r="F311" s="462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2" t="s">
        <v>402</v>
      </c>
      <c r="H311" s="462" t="s">
        <v>311</v>
      </c>
      <c r="I311" s="439" t="s">
        <v>689</v>
      </c>
      <c r="J311" s="430" t="s">
        <v>1342</v>
      </c>
      <c r="K311" s="430"/>
      <c r="L311" s="430"/>
      <c r="M311" s="430" t="s">
        <v>68</v>
      </c>
      <c r="N311" s="432">
        <v>46090</v>
      </c>
      <c r="O311" s="430" t="s">
        <v>284</v>
      </c>
      <c r="P311" s="430" t="s">
        <v>1532</v>
      </c>
      <c r="Q311" s="430" t="s">
        <v>1533</v>
      </c>
      <c r="R311" s="431" t="str">
        <f>_xlfn.XLOOKUP(PV_DATA[[#This Row],[New Ark SKU]],Table9[New Ark SKU],Table9[Connector],,0)</f>
        <v>EVO2A</v>
      </c>
      <c r="S311" s="442" t="str">
        <f>_xlfn.XLOOKUP(PV_DATA[[#This Row],[New Ark SKU]],Table9[New Ark SKU],Table9[Cable],,0)</f>
        <v>±1200mm</v>
      </c>
      <c r="T311" s="433">
        <v>495</v>
      </c>
      <c r="U311" s="1088">
        <f>864*6</f>
        <v>5184</v>
      </c>
      <c r="V311" s="434">
        <f>PV_DATA[[#This Row],[QUANTITY]]*PV_DATA[[#This Row],[WATT]]/1000000</f>
        <v>2.5660799999999999</v>
      </c>
      <c r="W311" s="435">
        <f>PV_DATA[[#This Row],[QUANTITY]]/PV_DATA[[#This Row],[Qty/Pallet]]</f>
        <v>144</v>
      </c>
      <c r="X311" s="1040">
        <f>PV_DATA[[#This Row],[QUANTITY]]/PV_DATA[[#This Row],[Qty/CT]]</f>
        <v>6</v>
      </c>
      <c r="Y311" s="430" t="s">
        <v>75</v>
      </c>
      <c r="Z311" s="430" t="str">
        <f t="shared" si="2"/>
        <v>COMPLETED</v>
      </c>
      <c r="AA311" s="430"/>
      <c r="AB311" s="437">
        <v>46091</v>
      </c>
      <c r="AC311" s="438">
        <f>IF(PV_DATA[[#This Row],[Pick- Up Date]]&lt;&gt;"",_xlfn.ISOWEEKNUM(PV_DATA[[#This Row],[Pick- Up Date]]),"")</f>
        <v>11</v>
      </c>
      <c r="AD311" s="439" t="s">
        <v>1555</v>
      </c>
      <c r="AE311" s="430"/>
      <c r="AF311" s="430" t="s">
        <v>122</v>
      </c>
      <c r="AG311" s="430" t="s">
        <v>123</v>
      </c>
      <c r="AH311" s="430" t="s">
        <v>314</v>
      </c>
      <c r="AI311" s="437">
        <v>46096</v>
      </c>
      <c r="AJ311" s="437">
        <v>46095</v>
      </c>
      <c r="AK311" s="441">
        <v>46095</v>
      </c>
      <c r="AL311" s="437">
        <v>46141</v>
      </c>
      <c r="AM311" s="437">
        <v>46155</v>
      </c>
      <c r="AN311" s="437">
        <v>46155</v>
      </c>
      <c r="AO311" s="430" t="s">
        <v>402</v>
      </c>
      <c r="AP311" s="430" t="s">
        <v>1508</v>
      </c>
      <c r="AQ311" s="430" t="s">
        <v>80</v>
      </c>
      <c r="AR311" s="430" t="s">
        <v>1556</v>
      </c>
      <c r="AS311" s="430" t="s">
        <v>1557</v>
      </c>
      <c r="AT311" s="482" t="s">
        <v>1557</v>
      </c>
      <c r="AU3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7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7">
        <f>IF(ISERROR(PV_DATA[[#This Row],[New Ark PO status]]),"",_xlfn.XLOOKUP(PV_DATA[[#This Row],[SPTN-PVHK New Ark PO'#]],New_Ark_Data[Purchase order Number],New_Ark_Data[Estimated time of arrival],"",0))</f>
        <v>46169</v>
      </c>
      <c r="AZ31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1" s="437">
        <f>IFERROR(PV_DATA[[#This Row],[ODP ETA Port]]+PV_DATA[[#This Row],[Customs/Leg3 Assumption]],"n/a")</f>
        <v>46165</v>
      </c>
      <c r="BB311" s="433">
        <f>YEAR(PV_DATA[[#This Row],[ETA for New Ark update]])</f>
        <v>2026</v>
      </c>
      <c r="BC311" s="430">
        <f>MONTH(PV_DATA[[#This Row],[ETA for New Ark update]])</f>
        <v>5</v>
      </c>
      <c r="BD311" s="430">
        <f>IFERROR(_xlfn.ISOWEEKNUM(PV_DATA[[#This Row],[ETA for New Ark update]]),0)</f>
        <v>21</v>
      </c>
      <c r="BE311" s="431">
        <f>_xlfn.XLOOKUP(PV_DATA[[#This Row],[New Ark SKU]],Table9[New Ark SKU],Table9[Total PCS per Pallet],,0)</f>
        <v>36</v>
      </c>
      <c r="BF311" s="431">
        <f>_xlfn.XLOOKUP(PV_DATA[[#This Row],[New Ark SKU]],Table9[New Ark SKU],Table9[Total PCS per 40HQ Container],,0)</f>
        <v>864</v>
      </c>
      <c r="BG311" s="431" t="str">
        <f>_xlfn.XLOOKUP(PV_DATA[[#This Row],[New Ark SKU]],Table9[New Ark SKU],Table9[Back Glass],,0)</f>
        <v>Black glazing</v>
      </c>
      <c r="BH311" s="431" t="str">
        <f>_xlfn.XLOOKUP(PV_DATA[[#This Row],[PORT DESTINATION]],Table12[PORT DESTINATION],Table12[Cosco Line],,0)</f>
        <v>AEM</v>
      </c>
      <c r="BJ311" s="430"/>
    </row>
    <row r="312" spans="1:62" ht="10.5">
      <c r="A312" s="462" t="s">
        <v>1558</v>
      </c>
      <c r="B312" s="462" t="s">
        <v>1519</v>
      </c>
      <c r="C312" s="462" t="str">
        <f>IFERROR(LEFT(PV_DATA[[#This Row],[TCL REFERENCE]],FIND(".",PV_DATA[[#This Row],[TCL REFERENCE]],1)-1),"Main Line")</f>
        <v>26Feb027</v>
      </c>
      <c r="D312" s="462" t="s">
        <v>63</v>
      </c>
      <c r="E312" s="462" t="s">
        <v>64</v>
      </c>
      <c r="F312" s="462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2" t="s">
        <v>402</v>
      </c>
      <c r="H312" s="462" t="s">
        <v>311</v>
      </c>
      <c r="I312" s="439" t="s">
        <v>689</v>
      </c>
      <c r="J312" s="430" t="s">
        <v>1559</v>
      </c>
      <c r="K312" s="430"/>
      <c r="L312" s="430"/>
      <c r="M312" s="430" t="s">
        <v>68</v>
      </c>
      <c r="N312" s="432">
        <v>46090</v>
      </c>
      <c r="O312" s="430" t="s">
        <v>284</v>
      </c>
      <c r="P312" s="430" t="s">
        <v>1521</v>
      </c>
      <c r="Q312" s="430" t="s">
        <v>1522</v>
      </c>
      <c r="R312" s="431" t="str">
        <f>_xlfn.XLOOKUP(PV_DATA[[#This Row],[New Ark SKU]],Table9[New Ark SKU],Table9[Connector],,0)</f>
        <v>EVO2A</v>
      </c>
      <c r="S312" s="442" t="str">
        <f>_xlfn.XLOOKUP(PV_DATA[[#This Row],[New Ark SKU]],Table9[New Ark SKU],Table9[Cable],,0)</f>
        <v>±1200mm</v>
      </c>
      <c r="T312" s="433">
        <v>490</v>
      </c>
      <c r="U312" s="1088">
        <f>864*3</f>
        <v>2592</v>
      </c>
      <c r="V312" s="434">
        <f>PV_DATA[[#This Row],[QUANTITY]]*PV_DATA[[#This Row],[WATT]]/1000000</f>
        <v>1.2700800000000001</v>
      </c>
      <c r="W312" s="435">
        <f>PV_DATA[[#This Row],[QUANTITY]]/PV_DATA[[#This Row],[Qty/Pallet]]</f>
        <v>72</v>
      </c>
      <c r="X312" s="1040">
        <f>PV_DATA[[#This Row],[QUANTITY]]/PV_DATA[[#This Row],[Qty/CT]]</f>
        <v>3</v>
      </c>
      <c r="Y312" s="430" t="s">
        <v>75</v>
      </c>
      <c r="Z312" s="430" t="str">
        <f t="shared" si="2"/>
        <v>COMPLETED</v>
      </c>
      <c r="AA312" s="430"/>
      <c r="AB312" s="437">
        <v>46093</v>
      </c>
      <c r="AC312" s="438">
        <f>IF(PV_DATA[[#This Row],[Pick- Up Date]]&lt;&gt;"",_xlfn.ISOWEEKNUM(PV_DATA[[#This Row],[Pick- Up Date]]),"")</f>
        <v>11</v>
      </c>
      <c r="AD312" s="439" t="s">
        <v>1560</v>
      </c>
      <c r="AE312" s="430"/>
      <c r="AF312" s="430" t="s">
        <v>122</v>
      </c>
      <c r="AG312" s="430" t="s">
        <v>123</v>
      </c>
      <c r="AH312" s="430" t="s">
        <v>1561</v>
      </c>
      <c r="AI312" s="437">
        <v>46099</v>
      </c>
      <c r="AJ312" s="437">
        <v>46099</v>
      </c>
      <c r="AK312" s="441">
        <v>46100</v>
      </c>
      <c r="AL312" s="437">
        <v>46157</v>
      </c>
      <c r="AM312" s="437">
        <v>46159</v>
      </c>
      <c r="AN312" s="437">
        <v>46158</v>
      </c>
      <c r="AO312" s="430" t="s">
        <v>402</v>
      </c>
      <c r="AP312" s="430" t="s">
        <v>1562</v>
      </c>
      <c r="AQ312" s="430" t="s">
        <v>80</v>
      </c>
      <c r="AR312" s="430" t="s">
        <v>1563</v>
      </c>
      <c r="AS312" s="430" t="s">
        <v>1564</v>
      </c>
      <c r="AT312" s="482" t="s">
        <v>1564</v>
      </c>
      <c r="AU3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7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7">
        <f>IF(ISERROR(PV_DATA[[#This Row],[New Ark PO status]]),"",_xlfn.XLOOKUP(PV_DATA[[#This Row],[SPTN-PVHK New Ark PO'#]],New_Ark_Data[Purchase order Number],New_Ark_Data[Estimated time of arrival],"",0))</f>
        <v>46171</v>
      </c>
      <c r="AZ31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2" s="437">
        <f>IFERROR(PV_DATA[[#This Row],[ODP ETA Port]]+PV_DATA[[#This Row],[Customs/Leg3 Assumption]],"n/a")</f>
        <v>46168</v>
      </c>
      <c r="BB312" s="433">
        <f>YEAR(PV_DATA[[#This Row],[ETA for New Ark update]])</f>
        <v>2026</v>
      </c>
      <c r="BC312" s="430">
        <f>MONTH(PV_DATA[[#This Row],[ETA for New Ark update]])</f>
        <v>5</v>
      </c>
      <c r="BD312" s="430">
        <f>IFERROR(_xlfn.ISOWEEKNUM(PV_DATA[[#This Row],[ETA for New Ark update]]),0)</f>
        <v>22</v>
      </c>
      <c r="BE312" s="431">
        <f>_xlfn.XLOOKUP(PV_DATA[[#This Row],[New Ark SKU]],Table9[New Ark SKU],Table9[Total PCS per Pallet],,0)</f>
        <v>36</v>
      </c>
      <c r="BF312" s="431">
        <f>_xlfn.XLOOKUP(PV_DATA[[#This Row],[New Ark SKU]],Table9[New Ark SKU],Table9[Total PCS per 40HQ Container],,0)</f>
        <v>864</v>
      </c>
      <c r="BG312" s="431" t="str">
        <f>_xlfn.XLOOKUP(PV_DATA[[#This Row],[New Ark SKU]],Table9[New Ark SKU],Table9[Back Glass],,0)</f>
        <v>Black glazing</v>
      </c>
      <c r="BH312" s="431" t="str">
        <f>_xlfn.XLOOKUP(PV_DATA[[#This Row],[PORT DESTINATION]],Table12[PORT DESTINATION],Table12[Cosco Line],,0)</f>
        <v>AEM</v>
      </c>
      <c r="BJ312" s="430"/>
    </row>
    <row r="313" spans="1:62" ht="10.5">
      <c r="A313" s="462" t="s">
        <v>1565</v>
      </c>
      <c r="B313" s="462" t="s">
        <v>1566</v>
      </c>
      <c r="C313" s="462" t="str">
        <f>IFERROR(LEFT(PV_DATA[[#This Row],[TCL REFERENCE]],FIND(".",PV_DATA[[#This Row],[TCL REFERENCE]],1)-1),"Main Line")</f>
        <v>26Feb030</v>
      </c>
      <c r="D313" s="462" t="s">
        <v>63</v>
      </c>
      <c r="E313" s="462" t="s">
        <v>64</v>
      </c>
      <c r="F313" s="462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2" t="s">
        <v>402</v>
      </c>
      <c r="H313" s="462" t="s">
        <v>67</v>
      </c>
      <c r="I313" s="439" t="s">
        <v>689</v>
      </c>
      <c r="J313" s="430" t="s">
        <v>1568</v>
      </c>
      <c r="K313" s="430"/>
      <c r="L313" s="430"/>
      <c r="M313" s="430" t="s">
        <v>68</v>
      </c>
      <c r="N313" s="432">
        <v>46090</v>
      </c>
      <c r="O313" s="430" t="s">
        <v>284</v>
      </c>
      <c r="P313" s="430" t="s">
        <v>1569</v>
      </c>
      <c r="Q313" s="430" t="s">
        <v>1570</v>
      </c>
      <c r="R313" s="431" t="str">
        <f>_xlfn.XLOOKUP(PV_DATA[[#This Row],[New Ark SKU]],Table9[New Ark SKU],Table9[Connector],,0)</f>
        <v>EVO2A</v>
      </c>
      <c r="S313" s="442" t="str">
        <f>_xlfn.XLOOKUP(PV_DATA[[#This Row],[New Ark SKU]],Table9[New Ark SKU],Table9[Cable],,0)</f>
        <v>±1400mm</v>
      </c>
      <c r="T313" s="433">
        <v>650</v>
      </c>
      <c r="U313" s="1088">
        <v>4320</v>
      </c>
      <c r="V313" s="434">
        <f>PV_DATA[[#This Row],[QUANTITY]]*PV_DATA[[#This Row],[WATT]]/1000000</f>
        <v>2.8079999999999998</v>
      </c>
      <c r="W313" s="435">
        <f>PV_DATA[[#This Row],[QUANTITY]]/PV_DATA[[#This Row],[Qty/Pallet]]</f>
        <v>120</v>
      </c>
      <c r="X313" s="1040">
        <f>PV_DATA[[#This Row],[QUANTITY]]/PV_DATA[[#This Row],[Qty/CT]]</f>
        <v>6</v>
      </c>
      <c r="Y313" s="430" t="s">
        <v>75</v>
      </c>
      <c r="Z313" s="430" t="str">
        <f t="shared" si="2"/>
        <v>COMPLETED</v>
      </c>
      <c r="AA313" s="430" t="s">
        <v>1571</v>
      </c>
      <c r="AB313" s="437">
        <v>46093</v>
      </c>
      <c r="AC313" s="438">
        <f>IF(PV_DATA[[#This Row],[Pick- Up Date]]&lt;&gt;"",_xlfn.ISOWEEKNUM(PV_DATA[[#This Row],[Pick- Up Date]]),"")</f>
        <v>11</v>
      </c>
      <c r="AD313" s="439" t="s">
        <v>1572</v>
      </c>
      <c r="AE313" s="430"/>
      <c r="AF313" s="430" t="s">
        <v>1525</v>
      </c>
      <c r="AG313" s="430" t="s">
        <v>123</v>
      </c>
      <c r="AH313" s="430" t="s">
        <v>105</v>
      </c>
      <c r="AI313" s="437">
        <v>46100</v>
      </c>
      <c r="AJ313" s="437">
        <v>46100</v>
      </c>
      <c r="AK313" s="441">
        <v>46101</v>
      </c>
      <c r="AL313" s="437">
        <v>46144</v>
      </c>
      <c r="AM313" s="437">
        <v>46159</v>
      </c>
      <c r="AN313" s="437">
        <v>46159</v>
      </c>
      <c r="AO313" s="430" t="s">
        <v>402</v>
      </c>
      <c r="AP313" s="430" t="s">
        <v>1526</v>
      </c>
      <c r="AQ313" s="430" t="s">
        <v>161</v>
      </c>
      <c r="AR313" s="430" t="s">
        <v>1573</v>
      </c>
      <c r="AS313" s="430" t="s">
        <v>1574</v>
      </c>
      <c r="AT313" s="482" t="s">
        <v>1575</v>
      </c>
      <c r="AU3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7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7">
        <f>IF(ISERROR(PV_DATA[[#This Row],[New Ark PO status]]),"",_xlfn.XLOOKUP(PV_DATA[[#This Row],[SPTN-PVHK New Ark PO'#]],New_Ark_Data[Purchase order Number],New_Ark_Data[Estimated time of arrival],"",0))</f>
        <v>46176</v>
      </c>
      <c r="AZ3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7">
        <f>IFERROR(PV_DATA[[#This Row],[ODP ETA Port]]+PV_DATA[[#This Row],[Customs/Leg3 Assumption]],"n/a")</f>
        <v>46166</v>
      </c>
      <c r="BB313" s="433">
        <f>YEAR(PV_DATA[[#This Row],[ETA for New Ark update]])</f>
        <v>2026</v>
      </c>
      <c r="BC313" s="430">
        <f>MONTH(PV_DATA[[#This Row],[ETA for New Ark update]])</f>
        <v>5</v>
      </c>
      <c r="BD313" s="430">
        <f>IFERROR(_xlfn.ISOWEEKNUM(PV_DATA[[#This Row],[ETA for New Ark update]]),0)</f>
        <v>21</v>
      </c>
      <c r="BE313" s="431">
        <f>_xlfn.XLOOKUP(PV_DATA[[#This Row],[New Ark SKU]],Table9[New Ark SKU],Table9[Total PCS per Pallet],,0)</f>
        <v>36</v>
      </c>
      <c r="BF313" s="431">
        <f>_xlfn.XLOOKUP(PV_DATA[[#This Row],[New Ark SKU]],Table9[New Ark SKU],Table9[Total PCS per 40HQ Container],,0)</f>
        <v>720</v>
      </c>
      <c r="BG313" s="431" t="str">
        <f>_xlfn.XLOOKUP(PV_DATA[[#This Row],[New Ark SKU]],Table9[New Ark SKU],Table9[Back Glass],,0)</f>
        <v>White glazing</v>
      </c>
      <c r="BH313" s="431" t="str">
        <f>_xlfn.XLOOKUP(PV_DATA[[#This Row],[PORT DESTINATION]],Table12[PORT DESTINATION],Table12[Cosco Line],,0)</f>
        <v>AEU</v>
      </c>
      <c r="BJ313" s="430"/>
    </row>
    <row r="314" spans="1:62" ht="10.5">
      <c r="A314" s="462" t="s">
        <v>1576</v>
      </c>
      <c r="B314" s="462" t="s">
        <v>1566</v>
      </c>
      <c r="C314" s="462" t="str">
        <f>IFERROR(LEFT(PV_DATA[[#This Row],[TCL REFERENCE]],FIND(".",PV_DATA[[#This Row],[TCL REFERENCE]],1)-1),"Main Line")</f>
        <v>26Feb030</v>
      </c>
      <c r="D314" s="462" t="s">
        <v>63</v>
      </c>
      <c r="E314" s="462" t="s">
        <v>64</v>
      </c>
      <c r="F314" s="462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2" t="s">
        <v>402</v>
      </c>
      <c r="H314" s="462" t="s">
        <v>67</v>
      </c>
      <c r="I314" s="439" t="s">
        <v>689</v>
      </c>
      <c r="J314" s="430" t="s">
        <v>1568</v>
      </c>
      <c r="K314" s="430"/>
      <c r="L314" s="430"/>
      <c r="M314" s="430" t="s">
        <v>68</v>
      </c>
      <c r="N314" s="432">
        <v>46097</v>
      </c>
      <c r="O314" s="430" t="s">
        <v>284</v>
      </c>
      <c r="P314" s="430" t="s">
        <v>1569</v>
      </c>
      <c r="Q314" s="430" t="s">
        <v>1570</v>
      </c>
      <c r="R314" s="431" t="str">
        <f>_xlfn.XLOOKUP(PV_DATA[[#This Row],[New Ark SKU]],Table9[New Ark SKU],Table9[Connector],,0)</f>
        <v>EVO2A</v>
      </c>
      <c r="S314" s="442" t="str">
        <f>_xlfn.XLOOKUP(PV_DATA[[#This Row],[New Ark SKU]],Table9[New Ark SKU],Table9[Cable],,0)</f>
        <v>±1400mm</v>
      </c>
      <c r="T314" s="433">
        <v>650</v>
      </c>
      <c r="U314" s="1088">
        <f>720*8</f>
        <v>5760</v>
      </c>
      <c r="V314" s="434">
        <f>PV_DATA[[#This Row],[QUANTITY]]*PV_DATA[[#This Row],[WATT]]/1000000</f>
        <v>3.7440000000000002</v>
      </c>
      <c r="W314" s="435">
        <f>PV_DATA[[#This Row],[QUANTITY]]/PV_DATA[[#This Row],[Qty/Pallet]]</f>
        <v>160</v>
      </c>
      <c r="X314" s="1040">
        <f>PV_DATA[[#This Row],[QUANTITY]]/PV_DATA[[#This Row],[Qty/CT]]</f>
        <v>8</v>
      </c>
      <c r="Y314" s="430" t="s">
        <v>75</v>
      </c>
      <c r="Z314" s="430" t="str">
        <f t="shared" si="2"/>
        <v>COMPLETED</v>
      </c>
      <c r="AA314" s="430" t="s">
        <v>1577</v>
      </c>
      <c r="AB314" s="437">
        <v>46095</v>
      </c>
      <c r="AC314" s="438">
        <f>IF(PV_DATA[[#This Row],[Pick- Up Date]]&lt;&gt;"",_xlfn.ISOWEEKNUM(PV_DATA[[#This Row],[Pick- Up Date]]),"")</f>
        <v>11</v>
      </c>
      <c r="AD314" s="439" t="s">
        <v>1578</v>
      </c>
      <c r="AE314" s="430"/>
      <c r="AF314" s="430" t="s">
        <v>1525</v>
      </c>
      <c r="AG314" s="430" t="s">
        <v>123</v>
      </c>
      <c r="AH314" s="430" t="s">
        <v>105</v>
      </c>
      <c r="AI314" s="437">
        <v>46100</v>
      </c>
      <c r="AJ314" s="437">
        <v>46100</v>
      </c>
      <c r="AK314" s="441">
        <v>46101</v>
      </c>
      <c r="AL314" s="437">
        <v>46144</v>
      </c>
      <c r="AM314" s="437">
        <v>46159</v>
      </c>
      <c r="AN314" s="437">
        <v>46159</v>
      </c>
      <c r="AO314" s="430" t="s">
        <v>402</v>
      </c>
      <c r="AP314" s="430" t="s">
        <v>1526</v>
      </c>
      <c r="AQ314" s="430" t="s">
        <v>161</v>
      </c>
      <c r="AR314" s="430" t="s">
        <v>1579</v>
      </c>
      <c r="AS314" s="430" t="s">
        <v>1580</v>
      </c>
      <c r="AT314" s="482" t="s">
        <v>1581</v>
      </c>
      <c r="AU3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7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7">
        <f>IF(ISERROR(PV_DATA[[#This Row],[New Ark PO status]]),"",_xlfn.XLOOKUP(PV_DATA[[#This Row],[SPTN-PVHK New Ark PO'#]],New_Ark_Data[Purchase order Number],New_Ark_Data[Estimated time of arrival],"",0))</f>
        <v>46176</v>
      </c>
      <c r="AZ3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7">
        <f>IFERROR(PV_DATA[[#This Row],[ODP ETA Port]]+PV_DATA[[#This Row],[Customs/Leg3 Assumption]],"n/a")</f>
        <v>46166</v>
      </c>
      <c r="BB314" s="433">
        <f>YEAR(PV_DATA[[#This Row],[ETA for New Ark update]])</f>
        <v>2026</v>
      </c>
      <c r="BC314" s="430">
        <f>MONTH(PV_DATA[[#This Row],[ETA for New Ark update]])</f>
        <v>5</v>
      </c>
      <c r="BD314" s="430">
        <f>IFERROR(_xlfn.ISOWEEKNUM(PV_DATA[[#This Row],[ETA for New Ark update]]),0)</f>
        <v>21</v>
      </c>
      <c r="BE314" s="431">
        <f>_xlfn.XLOOKUP(PV_DATA[[#This Row],[New Ark SKU]],Table9[New Ark SKU],Table9[Total PCS per Pallet],,0)</f>
        <v>36</v>
      </c>
      <c r="BF314" s="431">
        <f>_xlfn.XLOOKUP(PV_DATA[[#This Row],[New Ark SKU]],Table9[New Ark SKU],Table9[Total PCS per 40HQ Container],,0)</f>
        <v>720</v>
      </c>
      <c r="BG314" s="431" t="str">
        <f>_xlfn.XLOOKUP(PV_DATA[[#This Row],[New Ark SKU]],Table9[New Ark SKU],Table9[Back Glass],,0)</f>
        <v>White glazing</v>
      </c>
      <c r="BH314" s="431" t="str">
        <f>_xlfn.XLOOKUP(PV_DATA[[#This Row],[PORT DESTINATION]],Table12[PORT DESTINATION],Table12[Cosco Line],,0)</f>
        <v>AEU</v>
      </c>
      <c r="BJ314" s="430"/>
    </row>
    <row r="315" spans="1:62" ht="10.5">
      <c r="A315" s="462" t="s">
        <v>1582</v>
      </c>
      <c r="B315" s="462" t="s">
        <v>1566</v>
      </c>
      <c r="C315" s="462" t="str">
        <f>IFERROR(LEFT(PV_DATA[[#This Row],[TCL REFERENCE]],FIND(".",PV_DATA[[#This Row],[TCL REFERENCE]],1)-1),"Main Line")</f>
        <v>26Feb029</v>
      </c>
      <c r="D315" s="462" t="s">
        <v>63</v>
      </c>
      <c r="E315" s="462" t="s">
        <v>64</v>
      </c>
      <c r="F315" s="462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2" t="s">
        <v>402</v>
      </c>
      <c r="H315" s="462" t="s">
        <v>67</v>
      </c>
      <c r="I315" s="439" t="s">
        <v>689</v>
      </c>
      <c r="J315" s="430" t="s">
        <v>1568</v>
      </c>
      <c r="K315" s="430"/>
      <c r="L315" s="430"/>
      <c r="M315" s="430" t="s">
        <v>68</v>
      </c>
      <c r="N315" s="432">
        <v>46097</v>
      </c>
      <c r="O315" s="430" t="s">
        <v>284</v>
      </c>
      <c r="P315" s="430" t="s">
        <v>1584</v>
      </c>
      <c r="Q315" s="430" t="s">
        <v>1585</v>
      </c>
      <c r="R315" s="431" t="str">
        <f>_xlfn.XLOOKUP(PV_DATA[[#This Row],[New Ark SKU]],Table9[New Ark SKU],Table9[Connector],,0)</f>
        <v>EVO2A</v>
      </c>
      <c r="S315" s="442" t="str">
        <f>_xlfn.XLOOKUP(PV_DATA[[#This Row],[New Ark SKU]],Table9[New Ark SKU],Table9[Cable],,0)</f>
        <v>±1400mm</v>
      </c>
      <c r="T315" s="433">
        <v>645</v>
      </c>
      <c r="U315" s="1088">
        <v>1440</v>
      </c>
      <c r="V315" s="434">
        <f>PV_DATA[[#This Row],[QUANTITY]]*PV_DATA[[#This Row],[WATT]]/1000000</f>
        <v>0.92879999999999996</v>
      </c>
      <c r="W315" s="435">
        <f>PV_DATA[[#This Row],[QUANTITY]]/PV_DATA[[#This Row],[Qty/Pallet]]</f>
        <v>40</v>
      </c>
      <c r="X315" s="1040">
        <f>PV_DATA[[#This Row],[QUANTITY]]/PV_DATA[[#This Row],[Qty/CT]]</f>
        <v>2</v>
      </c>
      <c r="Y315" s="430" t="s">
        <v>75</v>
      </c>
      <c r="Z315" s="430" t="str">
        <f t="shared" si="2"/>
        <v>COMPLETED</v>
      </c>
      <c r="AA315" s="430" t="s">
        <v>1577</v>
      </c>
      <c r="AB315" s="437">
        <v>46095</v>
      </c>
      <c r="AC315" s="438">
        <f>IF(PV_DATA[[#This Row],[Pick- Up Date]]&lt;&gt;"",_xlfn.ISOWEEKNUM(PV_DATA[[#This Row],[Pick- Up Date]]),"")</f>
        <v>11</v>
      </c>
      <c r="AD315" s="439" t="s">
        <v>1586</v>
      </c>
      <c r="AE315" s="430"/>
      <c r="AF315" s="430" t="s">
        <v>1525</v>
      </c>
      <c r="AG315" s="430" t="s">
        <v>123</v>
      </c>
      <c r="AH315" s="430" t="s">
        <v>105</v>
      </c>
      <c r="AI315" s="437">
        <v>46100</v>
      </c>
      <c r="AJ315" s="437">
        <v>46100</v>
      </c>
      <c r="AK315" s="441">
        <v>46101</v>
      </c>
      <c r="AL315" s="437">
        <v>46144</v>
      </c>
      <c r="AM315" s="437">
        <v>46159</v>
      </c>
      <c r="AN315" s="437">
        <v>46159</v>
      </c>
      <c r="AO315" s="430" t="s">
        <v>402</v>
      </c>
      <c r="AP315" s="430" t="s">
        <v>1526</v>
      </c>
      <c r="AQ315" s="430" t="s">
        <v>161</v>
      </c>
      <c r="AR315" s="430" t="s">
        <v>1579</v>
      </c>
      <c r="AS315" s="430" t="s">
        <v>1580</v>
      </c>
      <c r="AT315" s="482" t="s">
        <v>1581</v>
      </c>
      <c r="AU3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7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7">
        <f>IF(ISERROR(PV_DATA[[#This Row],[New Ark PO status]]),"",_xlfn.XLOOKUP(PV_DATA[[#This Row],[SPTN-PVHK New Ark PO'#]],New_Ark_Data[Purchase order Number],New_Ark_Data[Estimated time of arrival],"",0))</f>
        <v>46176</v>
      </c>
      <c r="AZ3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7">
        <f>IFERROR(PV_DATA[[#This Row],[ODP ETA Port]]+PV_DATA[[#This Row],[Customs/Leg3 Assumption]],"n/a")</f>
        <v>46166</v>
      </c>
      <c r="BB315" s="433">
        <f>YEAR(PV_DATA[[#This Row],[ETA for New Ark update]])</f>
        <v>2026</v>
      </c>
      <c r="BC315" s="430">
        <f>MONTH(PV_DATA[[#This Row],[ETA for New Ark update]])</f>
        <v>5</v>
      </c>
      <c r="BD315" s="430">
        <f>IFERROR(_xlfn.ISOWEEKNUM(PV_DATA[[#This Row],[ETA for New Ark update]]),0)</f>
        <v>21</v>
      </c>
      <c r="BE315" s="431">
        <f>_xlfn.XLOOKUP(PV_DATA[[#This Row],[New Ark SKU]],Table9[New Ark SKU],Table9[Total PCS per Pallet],,0)</f>
        <v>36</v>
      </c>
      <c r="BF315" s="431">
        <f>_xlfn.XLOOKUP(PV_DATA[[#This Row],[New Ark SKU]],Table9[New Ark SKU],Table9[Total PCS per 40HQ Container],,0)</f>
        <v>720</v>
      </c>
      <c r="BG315" s="431" t="str">
        <f>_xlfn.XLOOKUP(PV_DATA[[#This Row],[New Ark SKU]],Table9[New Ark SKU],Table9[Back Glass],,0)</f>
        <v>White glazing</v>
      </c>
      <c r="BH315" s="431" t="str">
        <f>_xlfn.XLOOKUP(PV_DATA[[#This Row],[PORT DESTINATION]],Table12[PORT DESTINATION],Table12[Cosco Line],,0)</f>
        <v>AEU</v>
      </c>
      <c r="BJ315" s="430"/>
    </row>
    <row r="316" spans="1:62" ht="10.5">
      <c r="A316" s="462" t="s">
        <v>1587</v>
      </c>
      <c r="B316" s="462" t="s">
        <v>111</v>
      </c>
      <c r="C316" s="462" t="str">
        <f>IFERROR(LEFT(PV_DATA[[#This Row],[TCL REFERENCE]],FIND(".",PV_DATA[[#This Row],[TCL REFERENCE]],1)-1),"Main Line")</f>
        <v>26Feb015</v>
      </c>
      <c r="D316" s="462" t="s">
        <v>63</v>
      </c>
      <c r="E316" s="462" t="s">
        <v>64</v>
      </c>
      <c r="F316" s="462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2" t="s">
        <v>402</v>
      </c>
      <c r="H316" s="462" t="s">
        <v>67</v>
      </c>
      <c r="I316" s="439" t="s">
        <v>68</v>
      </c>
      <c r="J316" s="430" t="s">
        <v>1588</v>
      </c>
      <c r="K316" s="430"/>
      <c r="L316" s="430"/>
      <c r="M316" s="430" t="s">
        <v>68</v>
      </c>
      <c r="N316" s="432">
        <v>46048</v>
      </c>
      <c r="O316" s="430" t="s">
        <v>132</v>
      </c>
      <c r="P316" s="430" t="s">
        <v>133</v>
      </c>
      <c r="Q316" s="430" t="s">
        <v>134</v>
      </c>
      <c r="R316" s="431" t="str">
        <f>_xlfn.XLOOKUP(PV_DATA[[#This Row],[New Ark SKU]],Table9[New Ark SKU],Table9[Connector],,0)</f>
        <v>EVO2A</v>
      </c>
      <c r="S316" s="442" t="str">
        <f>_xlfn.XLOOKUP(PV_DATA[[#This Row],[New Ark SKU]],Table9[New Ark SKU],Table9[Cable],,0)</f>
        <v>±1400mm</v>
      </c>
      <c r="T316" s="433">
        <v>720</v>
      </c>
      <c r="U316" s="1088">
        <f>2*594</f>
        <v>1188</v>
      </c>
      <c r="V316" s="434">
        <f>PV_DATA[[#This Row],[QUANTITY]]*PV_DATA[[#This Row],[WATT]]/1000000</f>
        <v>0.85536000000000001</v>
      </c>
      <c r="W316" s="435">
        <f>PV_DATA[[#This Row],[QUANTITY]]/PV_DATA[[#This Row],[Qty/Pallet]]</f>
        <v>36</v>
      </c>
      <c r="X316" s="1040">
        <f>PV_DATA[[#This Row],[QUANTITY]]/PV_DATA[[#This Row],[Qty/CT]]</f>
        <v>2</v>
      </c>
      <c r="Y316" s="430" t="s">
        <v>75</v>
      </c>
      <c r="Z316" s="430" t="str">
        <f t="shared" si="2"/>
        <v>COMPLETED</v>
      </c>
      <c r="AA316" s="430"/>
      <c r="AB316" s="437">
        <v>46095</v>
      </c>
      <c r="AC316" s="438">
        <f>IF(PV_DATA[[#This Row],[Pick- Up Date]]&lt;&gt;"",_xlfn.ISOWEEKNUM(PV_DATA[[#This Row],[Pick- Up Date]]),"")</f>
        <v>11</v>
      </c>
      <c r="AD316" s="439" t="s">
        <v>1589</v>
      </c>
      <c r="AE316" s="430"/>
      <c r="AF316" s="430" t="s">
        <v>122</v>
      </c>
      <c r="AG316" s="430" t="s">
        <v>123</v>
      </c>
      <c r="AH316" s="430" t="s">
        <v>105</v>
      </c>
      <c r="AI316" s="437">
        <v>46099</v>
      </c>
      <c r="AJ316" s="437">
        <v>46098</v>
      </c>
      <c r="AK316" s="441">
        <v>46100</v>
      </c>
      <c r="AL316" s="437">
        <v>46149</v>
      </c>
      <c r="AM316" s="437">
        <v>46149</v>
      </c>
      <c r="AN316" s="437">
        <v>46149</v>
      </c>
      <c r="AO316" s="430" t="s">
        <v>402</v>
      </c>
      <c r="AP316" s="430" t="s">
        <v>1590</v>
      </c>
      <c r="AQ316" s="430" t="s">
        <v>161</v>
      </c>
      <c r="AR316" s="430" t="s">
        <v>1591</v>
      </c>
      <c r="AS316" s="430">
        <v>267391376</v>
      </c>
      <c r="AT316" s="431">
        <v>267391376</v>
      </c>
      <c r="AU3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7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7">
        <f>IF(ISERROR(PV_DATA[[#This Row],[New Ark PO status]]),"",_xlfn.XLOOKUP(PV_DATA[[#This Row],[SPTN-PVHK New Ark PO'#]],New_Ark_Data[Purchase order Number],New_Ark_Data[Estimated time of arrival],"",0))</f>
        <v>46163</v>
      </c>
      <c r="AZ31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7">
        <f>IFERROR(PV_DATA[[#This Row],[ODP ETA Port]]+PV_DATA[[#This Row],[Customs/Leg3 Assumption]],"n/a")</f>
        <v>46156</v>
      </c>
      <c r="BB316" s="433">
        <f>YEAR(PV_DATA[[#This Row],[ETA for New Ark update]])</f>
        <v>2026</v>
      </c>
      <c r="BC316" s="430">
        <f>MONTH(PV_DATA[[#This Row],[ETA for New Ark update]])</f>
        <v>5</v>
      </c>
      <c r="BD316" s="430">
        <f>IFERROR(_xlfn.ISOWEEKNUM(PV_DATA[[#This Row],[ETA for New Ark update]]),0)</f>
        <v>20</v>
      </c>
      <c r="BE316" s="431">
        <f>_xlfn.XLOOKUP(PV_DATA[[#This Row],[New Ark SKU]],Table9[New Ark SKU],Table9[Total PCS per Pallet],,0)</f>
        <v>33</v>
      </c>
      <c r="BF316" s="431">
        <f>_xlfn.XLOOKUP(PV_DATA[[#This Row],[New Ark SKU]],Table9[New Ark SKU],Table9[Total PCS per 40HQ Container],,0)</f>
        <v>594</v>
      </c>
      <c r="BG316" s="431" t="str">
        <f>_xlfn.XLOOKUP(PV_DATA[[#This Row],[New Ark SKU]],Table9[New Ark SKU],Table9[Back Glass],,0)</f>
        <v>White glazing</v>
      </c>
      <c r="BH316" s="431" t="str">
        <f>_xlfn.XLOOKUP(PV_DATA[[#This Row],[PORT DESTINATION]],Table12[PORT DESTINATION],Table12[Cosco Line],,0)</f>
        <v>AEU</v>
      </c>
      <c r="BJ316" s="430"/>
    </row>
    <row r="317" spans="1:62" ht="10.5">
      <c r="A317" s="462" t="s">
        <v>1592</v>
      </c>
      <c r="B317" s="462" t="s">
        <v>61</v>
      </c>
      <c r="C317" s="462" t="str">
        <f>IFERROR(LEFT(PV_DATA[[#This Row],[TCL REFERENCE]],FIND(".",PV_DATA[[#This Row],[TCL REFERENCE]],1)-1),"Main Line")</f>
        <v>26Feb019</v>
      </c>
      <c r="D317" s="462" t="s">
        <v>63</v>
      </c>
      <c r="E317" s="462" t="s">
        <v>64</v>
      </c>
      <c r="F317" s="462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2" t="s">
        <v>402</v>
      </c>
      <c r="H317" s="462" t="s">
        <v>67</v>
      </c>
      <c r="I317" s="439" t="s">
        <v>689</v>
      </c>
      <c r="J317" s="430" t="s">
        <v>1568</v>
      </c>
      <c r="K317" s="430"/>
      <c r="L317" s="430"/>
      <c r="M317" s="430" t="s">
        <v>68</v>
      </c>
      <c r="N317" s="432">
        <v>46083</v>
      </c>
      <c r="O317" s="430" t="s">
        <v>70</v>
      </c>
      <c r="P317" s="430" t="s">
        <v>71</v>
      </c>
      <c r="Q317" s="430" t="s">
        <v>72</v>
      </c>
      <c r="R317" s="431" t="str">
        <f>_xlfn.XLOOKUP(PV_DATA[[#This Row],[New Ark SKU]],Table9[New Ark SKU],Table9[Connector],,0)</f>
        <v>EVO2A</v>
      </c>
      <c r="S317" s="442" t="str">
        <f>_xlfn.XLOOKUP(PV_DATA[[#This Row],[New Ark SKU]],Table9[New Ark SKU],Table9[Cable],,0)</f>
        <v>±1200mm</v>
      </c>
      <c r="T317" s="433">
        <v>500</v>
      </c>
      <c r="U317" s="1088">
        <f>864*8</f>
        <v>6912</v>
      </c>
      <c r="V317" s="434">
        <f>PV_DATA[[#This Row],[QUANTITY]]*PV_DATA[[#This Row],[WATT]]/1000000</f>
        <v>3.456</v>
      </c>
      <c r="W317" s="435">
        <f>PV_DATA[[#This Row],[QUANTITY]]/PV_DATA[[#This Row],[Qty/Pallet]]</f>
        <v>192</v>
      </c>
      <c r="X317" s="1040">
        <f>PV_DATA[[#This Row],[QUANTITY]]/PV_DATA[[#This Row],[Qty/CT]]</f>
        <v>8</v>
      </c>
      <c r="Y317" s="430" t="s">
        <v>75</v>
      </c>
      <c r="Z317" s="430" t="str">
        <f t="shared" si="2"/>
        <v>COMPLETED</v>
      </c>
      <c r="AA317" s="430" t="s">
        <v>1594</v>
      </c>
      <c r="AB317" s="437">
        <v>46092</v>
      </c>
      <c r="AC317" s="438">
        <f>IF(PV_DATA[[#This Row],[Pick- Up Date]]&lt;&gt;"",_xlfn.ISOWEEKNUM(PV_DATA[[#This Row],[Pick- Up Date]]),"")</f>
        <v>11</v>
      </c>
      <c r="AD317" s="439" t="s">
        <v>1595</v>
      </c>
      <c r="AE317" s="430"/>
      <c r="AF317" s="430" t="s">
        <v>77</v>
      </c>
      <c r="AG317" s="430" t="s">
        <v>61</v>
      </c>
      <c r="AH317" s="430" t="s">
        <v>356</v>
      </c>
      <c r="AI317" s="437">
        <v>46098</v>
      </c>
      <c r="AJ317" s="437">
        <v>46098</v>
      </c>
      <c r="AK317" s="441">
        <v>46098</v>
      </c>
      <c r="AL317" s="437">
        <v>46147</v>
      </c>
      <c r="AM317" s="437">
        <v>46144</v>
      </c>
      <c r="AN317" s="437">
        <v>46144</v>
      </c>
      <c r="AO317" s="430" t="s">
        <v>402</v>
      </c>
      <c r="AP317" s="430" t="s">
        <v>1596</v>
      </c>
      <c r="AQ317" s="430" t="s">
        <v>161</v>
      </c>
      <c r="AR317" s="430" t="s">
        <v>986</v>
      </c>
      <c r="AS317" s="430" t="s">
        <v>1597</v>
      </c>
      <c r="AT317" s="431">
        <v>267064335</v>
      </c>
      <c r="AU3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7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7">
        <f>IF(ISERROR(PV_DATA[[#This Row],[New Ark PO status]]),"",_xlfn.XLOOKUP(PV_DATA[[#This Row],[SPTN-PVHK New Ark PO'#]],New_Ark_Data[Purchase order Number],New_Ark_Data[Estimated time of arrival],"",0))</f>
        <v>46158</v>
      </c>
      <c r="AZ31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7" s="437">
        <f>IFERROR(PV_DATA[[#This Row],[ODP ETA Port]]+PV_DATA[[#This Row],[Customs/Leg3 Assumption]],"n/a")</f>
        <v>46154</v>
      </c>
      <c r="BB317" s="433">
        <f>YEAR(PV_DATA[[#This Row],[ETA for New Ark update]])</f>
        <v>2026</v>
      </c>
      <c r="BC317" s="430">
        <f>MONTH(PV_DATA[[#This Row],[ETA for New Ark update]])</f>
        <v>5</v>
      </c>
      <c r="BD317" s="430">
        <f>IFERROR(_xlfn.ISOWEEKNUM(PV_DATA[[#This Row],[ETA for New Ark update]]),0)</f>
        <v>20</v>
      </c>
      <c r="BE317" s="431">
        <f>_xlfn.XLOOKUP(PV_DATA[[#This Row],[New Ark SKU]],Table9[New Ark SKU],Table9[Total PCS per Pallet],,0)</f>
        <v>36</v>
      </c>
      <c r="BF317" s="431">
        <f>_xlfn.XLOOKUP(PV_DATA[[#This Row],[New Ark SKU]],Table9[New Ark SKU],Table9[Total PCS per 40HQ Container],,0)</f>
        <v>864</v>
      </c>
      <c r="BG317" s="431" t="str">
        <f>_xlfn.XLOOKUP(PV_DATA[[#This Row],[New Ark SKU]],Table9[New Ark SKU],Table9[Back Glass],,0)</f>
        <v>Black glazing</v>
      </c>
      <c r="BH317" s="431" t="str">
        <f>_xlfn.XLOOKUP(PV_DATA[[#This Row],[PORT DESTINATION]],Table12[PORT DESTINATION],Table12[Cosco Line],,0)</f>
        <v>AEU</v>
      </c>
      <c r="BJ317" s="430"/>
    </row>
    <row r="318" spans="1:62" s="450" customFormat="1" ht="10.5">
      <c r="A318" s="446" t="s">
        <v>1598</v>
      </c>
      <c r="B318" s="446" t="s">
        <v>61</v>
      </c>
      <c r="C318" s="446" t="str">
        <f>IFERROR(LEFT(PV_DATA[[#This Row],[TCL REFERENCE]],FIND(".",PV_DATA[[#This Row],[TCL REFERENCE]],1)-1),"Main Line")</f>
        <v>26Feb019</v>
      </c>
      <c r="D318" s="446" t="s">
        <v>63</v>
      </c>
      <c r="E318" s="446" t="s">
        <v>144</v>
      </c>
      <c r="F318" s="446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46" t="s">
        <v>402</v>
      </c>
      <c r="H318" s="446" t="s">
        <v>868</v>
      </c>
      <c r="I318" s="446" t="s">
        <v>689</v>
      </c>
      <c r="J318" s="450" t="s">
        <v>147</v>
      </c>
      <c r="K318" s="450" t="s">
        <v>870</v>
      </c>
      <c r="M318" s="450" t="s">
        <v>840</v>
      </c>
      <c r="N318" s="451">
        <v>46090</v>
      </c>
      <c r="O318" s="450" t="s">
        <v>70</v>
      </c>
      <c r="P318" s="450" t="s">
        <v>71</v>
      </c>
      <c r="Q318" s="450" t="s">
        <v>72</v>
      </c>
      <c r="R318" s="450" t="str">
        <f>_xlfn.XLOOKUP(PV_DATA[[#This Row],[New Ark SKU]],Table9[New Ark SKU],Table9[Connector],,0)</f>
        <v>EVO2A</v>
      </c>
      <c r="S318" s="452" t="str">
        <f>_xlfn.XLOOKUP(PV_DATA[[#This Row],[New Ark SKU]],Table9[New Ark SKU],Table9[Cable],,0)</f>
        <v>±1200mm</v>
      </c>
      <c r="T318" s="452">
        <v>500</v>
      </c>
      <c r="U318" s="1089">
        <f>864*2</f>
        <v>1728</v>
      </c>
      <c r="V318" s="453">
        <f>PV_DATA[[#This Row],[QUANTITY]]*PV_DATA[[#This Row],[WATT]]/1000000</f>
        <v>0.86399999999999999</v>
      </c>
      <c r="W318" s="454">
        <f>PV_DATA[[#This Row],[QUANTITY]]/PV_DATA[[#This Row],[Qty/Pallet]]</f>
        <v>48</v>
      </c>
      <c r="X318" s="1045">
        <f>PV_DATA[[#This Row],[QUANTITY]]/PV_DATA[[#This Row],[Qty/CT]]</f>
        <v>2</v>
      </c>
      <c r="Y318" s="450" t="s">
        <v>75</v>
      </c>
      <c r="Z318" s="450" t="str">
        <f t="shared" si="2"/>
        <v>COMPLETED</v>
      </c>
      <c r="AA318" s="450" t="s">
        <v>1599</v>
      </c>
      <c r="AB318" s="455">
        <v>46092</v>
      </c>
      <c r="AC318" s="456">
        <f>IF(PV_DATA[[#This Row],[Pick- Up Date]]&lt;&gt;"",_xlfn.ISOWEEKNUM(PV_DATA[[#This Row],[Pick- Up Date]]),"")</f>
        <v>11</v>
      </c>
      <c r="AD318" s="446" t="s">
        <v>1600</v>
      </c>
      <c r="AF318" s="450" t="s">
        <v>77</v>
      </c>
      <c r="AG318" s="450" t="s">
        <v>61</v>
      </c>
      <c r="AH318" s="450" t="s">
        <v>356</v>
      </c>
      <c r="AI318" s="455">
        <v>46098</v>
      </c>
      <c r="AJ318" s="455">
        <v>46098</v>
      </c>
      <c r="AK318" s="455">
        <v>46098</v>
      </c>
      <c r="AL318" s="455">
        <v>46147</v>
      </c>
      <c r="AM318" s="455">
        <v>46144</v>
      </c>
      <c r="AN318" s="455">
        <v>46144</v>
      </c>
      <c r="AO318" s="450" t="s">
        <v>402</v>
      </c>
      <c r="AP318" s="450" t="s">
        <v>1596</v>
      </c>
      <c r="AQ318" s="450" t="s">
        <v>161</v>
      </c>
      <c r="AR318" s="450" t="s">
        <v>1601</v>
      </c>
      <c r="AS318" s="450" t="s">
        <v>1602</v>
      </c>
      <c r="AT318" s="450">
        <v>267064412</v>
      </c>
      <c r="AU318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55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55">
        <f>IF(ISERROR(PV_DATA[[#This Row],[New Ark PO status]]),"",_xlfn.XLOOKUP(PV_DATA[[#This Row],[SPTN-PVHK New Ark PO'#]],New_Ark_Data[Purchase order Number],New_Ark_Data[Estimated time of arrival],"",0))</f>
        <v>46161</v>
      </c>
      <c r="AZ31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55">
        <f>IFERROR(PV_DATA[[#This Row],[ODP ETA Port]]+PV_DATA[[#This Row],[Customs/Leg3 Assumption]],"n/a")</f>
        <v>46144</v>
      </c>
      <c r="BB318" s="452">
        <f>YEAR(PV_DATA[[#This Row],[ETA for New Ark update]])</f>
        <v>2026</v>
      </c>
      <c r="BC318" s="450">
        <f>MONTH(PV_DATA[[#This Row],[ETA for New Ark update]])</f>
        <v>5</v>
      </c>
      <c r="BD318" s="450">
        <f>IFERROR(_xlfn.ISOWEEKNUM(PV_DATA[[#This Row],[ETA for New Ark update]]),0)</f>
        <v>18</v>
      </c>
      <c r="BE318" s="450">
        <f>_xlfn.XLOOKUP(PV_DATA[[#This Row],[New Ark SKU]],Table9[New Ark SKU],Table9[Total PCS per Pallet],,0)</f>
        <v>36</v>
      </c>
      <c r="BF318" s="450">
        <f>_xlfn.XLOOKUP(PV_DATA[[#This Row],[New Ark SKU]],Table9[New Ark SKU],Table9[Total PCS per 40HQ Container],,0)</f>
        <v>864</v>
      </c>
      <c r="BG318" s="450" t="str">
        <f>_xlfn.XLOOKUP(PV_DATA[[#This Row],[New Ark SKU]],Table9[New Ark SKU],Table9[Back Glass],,0)</f>
        <v>Black glazing</v>
      </c>
      <c r="BH318" s="450" t="str">
        <f>_xlfn.XLOOKUP(PV_DATA[[#This Row],[PORT DESTINATION]],Table12[PORT DESTINATION],Table12[Cosco Line],,0)</f>
        <v>AEU</v>
      </c>
    </row>
    <row r="319" spans="1:62" s="450" customFormat="1" ht="10.5">
      <c r="A319" s="446" t="s">
        <v>1603</v>
      </c>
      <c r="B319" s="446" t="s">
        <v>61</v>
      </c>
      <c r="C319" s="446" t="str">
        <f>IFERROR(LEFT(PV_DATA[[#This Row],[TCL REFERENCE]],FIND(".",PV_DATA[[#This Row],[TCL REFERENCE]],1)-1),"Main Line")</f>
        <v>26Feb019</v>
      </c>
      <c r="D319" s="446" t="s">
        <v>63</v>
      </c>
      <c r="E319" s="446" t="s">
        <v>64</v>
      </c>
      <c r="F319" s="446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46" t="s">
        <v>402</v>
      </c>
      <c r="H319" s="446" t="s">
        <v>67</v>
      </c>
      <c r="I319" s="446" t="s">
        <v>689</v>
      </c>
      <c r="J319" s="450" t="s">
        <v>1604</v>
      </c>
      <c r="M319" s="450" t="s">
        <v>68</v>
      </c>
      <c r="N319" s="451">
        <v>46090</v>
      </c>
      <c r="O319" s="450" t="s">
        <v>70</v>
      </c>
      <c r="P319" s="450" t="s">
        <v>71</v>
      </c>
      <c r="Q319" s="450" t="s">
        <v>72</v>
      </c>
      <c r="R319" s="450" t="str">
        <f>_xlfn.XLOOKUP(PV_DATA[[#This Row],[New Ark SKU]],Table9[New Ark SKU],Table9[Connector],,0)</f>
        <v>EVO2A</v>
      </c>
      <c r="S319" s="452" t="str">
        <f>_xlfn.XLOOKUP(PV_DATA[[#This Row],[New Ark SKU]],Table9[New Ark SKU],Table9[Cable],,0)</f>
        <v>±1200mm</v>
      </c>
      <c r="T319" s="452">
        <v>500</v>
      </c>
      <c r="U319" s="1089">
        <f>864*2</f>
        <v>1728</v>
      </c>
      <c r="V319" s="453">
        <f>PV_DATA[[#This Row],[QUANTITY]]*PV_DATA[[#This Row],[WATT]]/1000000</f>
        <v>0.86399999999999999</v>
      </c>
      <c r="W319" s="454">
        <f>PV_DATA[[#This Row],[QUANTITY]]/PV_DATA[[#This Row],[Qty/Pallet]]</f>
        <v>48</v>
      </c>
      <c r="X319" s="1045">
        <f>PV_DATA[[#This Row],[QUANTITY]]/PV_DATA[[#This Row],[Qty/CT]]</f>
        <v>2</v>
      </c>
      <c r="Y319" s="450" t="s">
        <v>75</v>
      </c>
      <c r="Z319" s="450" t="str">
        <f t="shared" si="2"/>
        <v>COMPLETED</v>
      </c>
      <c r="AA319" s="450" t="s">
        <v>1599</v>
      </c>
      <c r="AB319" s="455">
        <v>46092</v>
      </c>
      <c r="AC319" s="456">
        <f>IF(PV_DATA[[#This Row],[Pick- Up Date]]&lt;&gt;"",_xlfn.ISOWEEKNUM(PV_DATA[[#This Row],[Pick- Up Date]]),"")</f>
        <v>11</v>
      </c>
      <c r="AD319" s="446" t="s">
        <v>1605</v>
      </c>
      <c r="AF319" s="450" t="s">
        <v>77</v>
      </c>
      <c r="AG319" s="450" t="s">
        <v>61</v>
      </c>
      <c r="AH319" s="450" t="s">
        <v>356</v>
      </c>
      <c r="AI319" s="455">
        <v>46098</v>
      </c>
      <c r="AJ319" s="455">
        <v>46098</v>
      </c>
      <c r="AK319" s="455">
        <v>46098</v>
      </c>
      <c r="AL319" s="455">
        <v>46147</v>
      </c>
      <c r="AM319" s="455">
        <v>46144</v>
      </c>
      <c r="AN319" s="455">
        <v>46144</v>
      </c>
      <c r="AO319" s="450" t="s">
        <v>402</v>
      </c>
      <c r="AP319" s="450" t="s">
        <v>1596</v>
      </c>
      <c r="AQ319" s="450" t="s">
        <v>161</v>
      </c>
      <c r="AR319" s="450" t="s">
        <v>1601</v>
      </c>
      <c r="AS319" s="450" t="s">
        <v>1606</v>
      </c>
      <c r="AT319" s="450">
        <v>267064412</v>
      </c>
      <c r="AU319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55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55">
        <f>IF(ISERROR(PV_DATA[[#This Row],[New Ark PO status]]),"",_xlfn.XLOOKUP(PV_DATA[[#This Row],[SPTN-PVHK New Ark PO'#]],New_Ark_Data[Purchase order Number],New_Ark_Data[Estimated time of arrival],"",0))</f>
        <v>46160</v>
      </c>
      <c r="AZ319" s="45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9" s="455">
        <f>IFERROR(PV_DATA[[#This Row],[ODP ETA Port]]+PV_DATA[[#This Row],[Customs/Leg3 Assumption]],"n/a")</f>
        <v>46154</v>
      </c>
      <c r="BB319" s="452">
        <f>YEAR(PV_DATA[[#This Row],[ETA for New Ark update]])</f>
        <v>2026</v>
      </c>
      <c r="BC319" s="450">
        <f>MONTH(PV_DATA[[#This Row],[ETA for New Ark update]])</f>
        <v>5</v>
      </c>
      <c r="BD319" s="450">
        <f>IFERROR(_xlfn.ISOWEEKNUM(PV_DATA[[#This Row],[ETA for New Ark update]]),0)</f>
        <v>20</v>
      </c>
      <c r="BE319" s="450">
        <f>_xlfn.XLOOKUP(PV_DATA[[#This Row],[New Ark SKU]],Table9[New Ark SKU],Table9[Total PCS per Pallet],,0)</f>
        <v>36</v>
      </c>
      <c r="BF319" s="450">
        <f>_xlfn.XLOOKUP(PV_DATA[[#This Row],[New Ark SKU]],Table9[New Ark SKU],Table9[Total PCS per 40HQ Container],,0)</f>
        <v>864</v>
      </c>
      <c r="BG319" s="450" t="str">
        <f>_xlfn.XLOOKUP(PV_DATA[[#This Row],[New Ark SKU]],Table9[New Ark SKU],Table9[Back Glass],,0)</f>
        <v>Black glazing</v>
      </c>
      <c r="BH319" s="450" t="str">
        <f>_xlfn.XLOOKUP(PV_DATA[[#This Row],[PORT DESTINATION]],Table12[PORT DESTINATION],Table12[Cosco Line],,0)</f>
        <v>AEU</v>
      </c>
    </row>
    <row r="320" spans="1:62" ht="10.5">
      <c r="A320" s="462" t="s">
        <v>1607</v>
      </c>
      <c r="B320" s="462" t="s">
        <v>61</v>
      </c>
      <c r="C320" s="462" t="str">
        <f>IFERROR(LEFT(PV_DATA[[#This Row],[TCL REFERENCE]],FIND(".",PV_DATA[[#This Row],[TCL REFERENCE]],1)-1),"Main Line")</f>
        <v>26Feb019</v>
      </c>
      <c r="D320" s="462" t="s">
        <v>63</v>
      </c>
      <c r="E320" s="462" t="s">
        <v>64</v>
      </c>
      <c r="F320" s="462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2" t="s">
        <v>402</v>
      </c>
      <c r="H320" s="462" t="s">
        <v>67</v>
      </c>
      <c r="I320" s="439" t="s">
        <v>689</v>
      </c>
      <c r="J320" s="430" t="s">
        <v>690</v>
      </c>
      <c r="K320" s="430"/>
      <c r="L320" s="430"/>
      <c r="M320" s="430" t="s">
        <v>68</v>
      </c>
      <c r="N320" s="432">
        <v>46083</v>
      </c>
      <c r="O320" s="430" t="s">
        <v>70</v>
      </c>
      <c r="P320" s="430" t="s">
        <v>71</v>
      </c>
      <c r="Q320" s="430" t="s">
        <v>72</v>
      </c>
      <c r="R320" s="431" t="str">
        <f>_xlfn.XLOOKUP(PV_DATA[[#This Row],[New Ark SKU]],Table9[New Ark SKU],Table9[Connector],,0)</f>
        <v>EVO2A</v>
      </c>
      <c r="S320" s="442" t="str">
        <f>_xlfn.XLOOKUP(PV_DATA[[#This Row],[New Ark SKU]],Table9[New Ark SKU],Table9[Cable],,0)</f>
        <v>±1200mm</v>
      </c>
      <c r="T320" s="433">
        <v>500</v>
      </c>
      <c r="U320" s="1088">
        <f>864*6</f>
        <v>5184</v>
      </c>
      <c r="V320" s="434">
        <f>PV_DATA[[#This Row],[QUANTITY]]*PV_DATA[[#This Row],[WATT]]/1000000</f>
        <v>2.5920000000000001</v>
      </c>
      <c r="W320" s="435">
        <f>PV_DATA[[#This Row],[QUANTITY]]/PV_DATA[[#This Row],[Qty/Pallet]]</f>
        <v>144</v>
      </c>
      <c r="X320" s="1040">
        <f>PV_DATA[[#This Row],[QUANTITY]]/PV_DATA[[#This Row],[Qty/CT]]</f>
        <v>6</v>
      </c>
      <c r="Y320" s="430" t="s">
        <v>75</v>
      </c>
      <c r="Z320" s="430" t="str">
        <f t="shared" si="2"/>
        <v>COMPLETED</v>
      </c>
      <c r="AA320" s="430" t="s">
        <v>1608</v>
      </c>
      <c r="AB320" s="437">
        <v>46092</v>
      </c>
      <c r="AC320" s="438">
        <f>IF(PV_DATA[[#This Row],[Pick- Up Date]]&lt;&gt;"",_xlfn.ISOWEEKNUM(PV_DATA[[#This Row],[Pick- Up Date]]),"")</f>
        <v>11</v>
      </c>
      <c r="AD320" s="439" t="s">
        <v>1609</v>
      </c>
      <c r="AE320" s="430"/>
      <c r="AF320" s="430" t="s">
        <v>77</v>
      </c>
      <c r="AG320" s="430" t="s">
        <v>61</v>
      </c>
      <c r="AH320" s="430" t="s">
        <v>356</v>
      </c>
      <c r="AI320" s="437">
        <v>46098</v>
      </c>
      <c r="AJ320" s="437">
        <v>46098</v>
      </c>
      <c r="AK320" s="441">
        <v>46098</v>
      </c>
      <c r="AL320" s="437">
        <v>46147</v>
      </c>
      <c r="AM320" s="437">
        <v>46144</v>
      </c>
      <c r="AN320" s="437">
        <v>46144</v>
      </c>
      <c r="AO320" s="430" t="s">
        <v>402</v>
      </c>
      <c r="AP320" s="430" t="s">
        <v>1596</v>
      </c>
      <c r="AQ320" s="430" t="s">
        <v>161</v>
      </c>
      <c r="AR320" s="430" t="s">
        <v>1601</v>
      </c>
      <c r="AS320" s="430" t="s">
        <v>1606</v>
      </c>
      <c r="AT320" s="431">
        <v>267064412</v>
      </c>
      <c r="AU3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7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7">
        <f>IF(ISERROR(PV_DATA[[#This Row],[New Ark PO status]]),"",_xlfn.XLOOKUP(PV_DATA[[#This Row],[SPTN-PVHK New Ark PO'#]],New_Ark_Data[Purchase order Number],New_Ark_Data[Estimated time of arrival],"",0))</f>
        <v>46158</v>
      </c>
      <c r="AZ32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20" s="437">
        <f>IFERROR(PV_DATA[[#This Row],[ODP ETA Port]]+PV_DATA[[#This Row],[Customs/Leg3 Assumption]],"n/a")</f>
        <v>46154</v>
      </c>
      <c r="BB320" s="433">
        <f>YEAR(PV_DATA[[#This Row],[ETA for New Ark update]])</f>
        <v>2026</v>
      </c>
      <c r="BC320" s="430">
        <f>MONTH(PV_DATA[[#This Row],[ETA for New Ark update]])</f>
        <v>5</v>
      </c>
      <c r="BD320" s="430">
        <f>IFERROR(_xlfn.ISOWEEKNUM(PV_DATA[[#This Row],[ETA for New Ark update]]),0)</f>
        <v>20</v>
      </c>
      <c r="BE320" s="431">
        <f>_xlfn.XLOOKUP(PV_DATA[[#This Row],[New Ark SKU]],Table9[New Ark SKU],Table9[Total PCS per Pallet],,0)</f>
        <v>36</v>
      </c>
      <c r="BF320" s="431">
        <f>_xlfn.XLOOKUP(PV_DATA[[#This Row],[New Ark SKU]],Table9[New Ark SKU],Table9[Total PCS per 40HQ Container],,0)</f>
        <v>864</v>
      </c>
      <c r="BG320" s="431" t="str">
        <f>_xlfn.XLOOKUP(PV_DATA[[#This Row],[New Ark SKU]],Table9[New Ark SKU],Table9[Back Glass],,0)</f>
        <v>Black glazing</v>
      </c>
      <c r="BH320" s="431" t="str">
        <f>_xlfn.XLOOKUP(PV_DATA[[#This Row],[PORT DESTINATION]],Table12[PORT DESTINATION],Table12[Cosco Line],,0)</f>
        <v>AEU</v>
      </c>
      <c r="BJ320" s="430"/>
    </row>
    <row r="321" spans="1:62" ht="10.5">
      <c r="A321" s="462" t="s">
        <v>1610</v>
      </c>
      <c r="B321" s="462" t="s">
        <v>61</v>
      </c>
      <c r="C321" s="462" t="str">
        <f>IFERROR(LEFT(PV_DATA[[#This Row],[TCL REFERENCE]],FIND(".",PV_DATA[[#This Row],[TCL REFERENCE]],1)-1),"Main Line")</f>
        <v>26Feb020</v>
      </c>
      <c r="D321" s="462" t="s">
        <v>63</v>
      </c>
      <c r="E321" s="462" t="s">
        <v>64</v>
      </c>
      <c r="F321" s="462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2" t="s">
        <v>402</v>
      </c>
      <c r="H321" s="462" t="s">
        <v>67</v>
      </c>
      <c r="I321" s="439" t="s">
        <v>689</v>
      </c>
      <c r="J321" s="430" t="s">
        <v>101</v>
      </c>
      <c r="K321" s="430"/>
      <c r="L321" s="430"/>
      <c r="M321" s="430" t="s">
        <v>68</v>
      </c>
      <c r="N321" s="432">
        <v>46104</v>
      </c>
      <c r="O321" s="430" t="s">
        <v>70</v>
      </c>
      <c r="P321" s="430" t="s">
        <v>1151</v>
      </c>
      <c r="Q321" s="430" t="s">
        <v>421</v>
      </c>
      <c r="R321" s="431" t="str">
        <f>_xlfn.XLOOKUP(PV_DATA[[#This Row],[New Ark SKU]],Table9[New Ark SKU],Table9[Connector],,0)</f>
        <v>EVO2A</v>
      </c>
      <c r="S321" s="442" t="str">
        <f>_xlfn.XLOOKUP(PV_DATA[[#This Row],[New Ark SKU]],Table9[New Ark SKU],Table9[Cable],,0)</f>
        <v>±1200mm</v>
      </c>
      <c r="T321" s="433">
        <v>505</v>
      </c>
      <c r="U321" s="1088">
        <f>864*3</f>
        <v>2592</v>
      </c>
      <c r="V321" s="434">
        <f>PV_DATA[[#This Row],[QUANTITY]]*PV_DATA[[#This Row],[WATT]]/1000000</f>
        <v>1.3089599999999999</v>
      </c>
      <c r="W321" s="435">
        <f>PV_DATA[[#This Row],[QUANTITY]]/PV_DATA[[#This Row],[Qty/Pallet]]</f>
        <v>72</v>
      </c>
      <c r="X321" s="1040">
        <f>PV_DATA[[#This Row],[QUANTITY]]/PV_DATA[[#This Row],[Qty/CT]]</f>
        <v>3</v>
      </c>
      <c r="Y321" s="430" t="s">
        <v>75</v>
      </c>
      <c r="Z321" s="430" t="str">
        <f t="shared" si="2"/>
        <v>COMPLETED</v>
      </c>
      <c r="AA321" s="430" t="s">
        <v>1456</v>
      </c>
      <c r="AB321" s="437">
        <v>46091</v>
      </c>
      <c r="AC321" s="438">
        <f>IF(PV_DATA[[#This Row],[Pick- Up Date]]&lt;&gt;"",_xlfn.ISOWEEKNUM(PV_DATA[[#This Row],[Pick- Up Date]]),"")</f>
        <v>11</v>
      </c>
      <c r="AD321" s="439" t="s">
        <v>1611</v>
      </c>
      <c r="AE321" s="430"/>
      <c r="AF321" s="430" t="s">
        <v>77</v>
      </c>
      <c r="AG321" s="430" t="s">
        <v>61</v>
      </c>
      <c r="AH321" s="430" t="s">
        <v>105</v>
      </c>
      <c r="AI321" s="437">
        <v>46095</v>
      </c>
      <c r="AJ321" s="437">
        <v>46095</v>
      </c>
      <c r="AK321" s="441">
        <v>46095</v>
      </c>
      <c r="AL321" s="437">
        <v>46142</v>
      </c>
      <c r="AM321" s="437">
        <v>46150</v>
      </c>
      <c r="AN321" s="437">
        <v>46148</v>
      </c>
      <c r="AO321" s="430" t="s">
        <v>402</v>
      </c>
      <c r="AP321" s="430" t="s">
        <v>925</v>
      </c>
      <c r="AQ321" s="430" t="s">
        <v>80</v>
      </c>
      <c r="AR321" s="430" t="s">
        <v>1612</v>
      </c>
      <c r="AS321" s="430" t="s">
        <v>1613</v>
      </c>
      <c r="AT321" s="482" t="s">
        <v>1613</v>
      </c>
      <c r="AU3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7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7">
        <f>IF(ISERROR(PV_DATA[[#This Row],[New Ark PO status]]),"",_xlfn.XLOOKUP(PV_DATA[[#This Row],[SPTN-PVHK New Ark PO'#]],New_Ark_Data[Purchase order Number],New_Ark_Data[Estimated time of arrival],"",0))</f>
        <v>46164</v>
      </c>
      <c r="AZ3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7">
        <f>IFERROR(PV_DATA[[#This Row],[ODP ETA Port]]+PV_DATA[[#This Row],[Customs/Leg3 Assumption]],"n/a")</f>
        <v>46155</v>
      </c>
      <c r="BB321" s="433">
        <f>YEAR(PV_DATA[[#This Row],[ETA for New Ark update]])</f>
        <v>2026</v>
      </c>
      <c r="BC321" s="430">
        <f>MONTH(PV_DATA[[#This Row],[ETA for New Ark update]])</f>
        <v>5</v>
      </c>
      <c r="BD321" s="430">
        <f>IFERROR(_xlfn.ISOWEEKNUM(PV_DATA[[#This Row],[ETA for New Ark update]]),0)</f>
        <v>20</v>
      </c>
      <c r="BE321" s="431">
        <f>_xlfn.XLOOKUP(PV_DATA[[#This Row],[New Ark SKU]],Table9[New Ark SKU],Table9[Total PCS per Pallet],,0)</f>
        <v>36</v>
      </c>
      <c r="BF321" s="431">
        <f>_xlfn.XLOOKUP(PV_DATA[[#This Row],[New Ark SKU]],Table9[New Ark SKU],Table9[Total PCS per 40HQ Container],,0)</f>
        <v>864</v>
      </c>
      <c r="BG321" s="431" t="str">
        <f>_xlfn.XLOOKUP(PV_DATA[[#This Row],[New Ark SKU]],Table9[New Ark SKU],Table9[Back Glass],,0)</f>
        <v>Black glazing</v>
      </c>
      <c r="BH321" s="431" t="str">
        <f>_xlfn.XLOOKUP(PV_DATA[[#This Row],[PORT DESTINATION]],Table12[PORT DESTINATION],Table12[Cosco Line],,0)</f>
        <v>AEU</v>
      </c>
      <c r="BJ321" s="430"/>
    </row>
    <row r="322" spans="1:62" ht="10.5">
      <c r="A322" s="462" t="s">
        <v>1614</v>
      </c>
      <c r="B322" s="462" t="s">
        <v>61</v>
      </c>
      <c r="C322" s="462" t="str">
        <f>IFERROR(LEFT(PV_DATA[[#This Row],[TCL REFERENCE]],FIND(".",PV_DATA[[#This Row],[TCL REFERENCE]],1)-1),"Main Line")</f>
        <v>26Feb017</v>
      </c>
      <c r="D322" s="462" t="s">
        <v>63</v>
      </c>
      <c r="E322" s="462" t="s">
        <v>144</v>
      </c>
      <c r="F322" s="462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2" t="s">
        <v>402</v>
      </c>
      <c r="H322" s="462" t="s">
        <v>538</v>
      </c>
      <c r="I322" s="439" t="s">
        <v>689</v>
      </c>
      <c r="J322" s="430" t="s">
        <v>1615</v>
      </c>
      <c r="K322" s="430" t="s">
        <v>1538</v>
      </c>
      <c r="L322" s="430"/>
      <c r="M322" s="430" t="s">
        <v>840</v>
      </c>
      <c r="N322" s="432">
        <v>46076</v>
      </c>
      <c r="O322" s="430" t="s">
        <v>70</v>
      </c>
      <c r="P322" s="430" t="s">
        <v>195</v>
      </c>
      <c r="Q322" s="430" t="s">
        <v>196</v>
      </c>
      <c r="R322" s="431" t="str">
        <f>_xlfn.XLOOKUP(PV_DATA[[#This Row],[New Ark SKU]],Table9[New Ark SKU],Table9[Connector],,0)</f>
        <v>EVO2A</v>
      </c>
      <c r="S322" s="442" t="str">
        <f>_xlfn.XLOOKUP(PV_DATA[[#This Row],[New Ark SKU]],Table9[New Ark SKU],Table9[Cable],,0)</f>
        <v>±1200mm</v>
      </c>
      <c r="T322" s="433">
        <v>450</v>
      </c>
      <c r="U322" s="1088">
        <v>8424</v>
      </c>
      <c r="V322" s="434">
        <f>PV_DATA[[#This Row],[QUANTITY]]*PV_DATA[[#This Row],[WATT]]/1000000</f>
        <v>3.7907999999999999</v>
      </c>
      <c r="W322" s="435">
        <f>PV_DATA[[#This Row],[QUANTITY]]/PV_DATA[[#This Row],[Qty/Pallet]]</f>
        <v>234</v>
      </c>
      <c r="X322" s="1040">
        <f>PV_DATA[[#This Row],[QUANTITY]]/PV_DATA[[#This Row],[Qty/CT]]</f>
        <v>9</v>
      </c>
      <c r="Y322" s="430" t="s">
        <v>75</v>
      </c>
      <c r="Z322" s="430" t="str">
        <f t="shared" si="2"/>
        <v>COMPLETED</v>
      </c>
      <c r="AA322" s="430" t="s">
        <v>1456</v>
      </c>
      <c r="AB322" s="437">
        <v>46093</v>
      </c>
      <c r="AC322" s="438">
        <f>IF(PV_DATA[[#This Row],[Pick- Up Date]]&lt;&gt;"",_xlfn.ISOWEEKNUM(PV_DATA[[#This Row],[Pick- Up Date]]),"")</f>
        <v>11</v>
      </c>
      <c r="AD322" s="439" t="s">
        <v>1616</v>
      </c>
      <c r="AE322" s="430"/>
      <c r="AF322" s="430" t="s">
        <v>77</v>
      </c>
      <c r="AG322" s="430" t="s">
        <v>61</v>
      </c>
      <c r="AH322" s="430" t="s">
        <v>1617</v>
      </c>
      <c r="AI322" s="437">
        <v>46098</v>
      </c>
      <c r="AJ322" s="437">
        <v>46098</v>
      </c>
      <c r="AK322" s="441">
        <v>46097</v>
      </c>
      <c r="AL322" s="437">
        <v>46168</v>
      </c>
      <c r="AM322" s="437">
        <v>46157</v>
      </c>
      <c r="AN322" s="437">
        <v>46158</v>
      </c>
      <c r="AO322" s="430" t="s">
        <v>402</v>
      </c>
      <c r="AP322" s="430" t="s">
        <v>1618</v>
      </c>
      <c r="AQ322" s="430" t="s">
        <v>161</v>
      </c>
      <c r="AR322" s="430" t="s">
        <v>1619</v>
      </c>
      <c r="AS322" s="430" t="s">
        <v>1620</v>
      </c>
      <c r="AT322" s="482" t="s">
        <v>1620</v>
      </c>
      <c r="AU3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7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7">
        <f>IF(ISERROR(PV_DATA[[#This Row],[New Ark PO status]]),"",_xlfn.XLOOKUP(PV_DATA[[#This Row],[SPTN-PVHK New Ark PO'#]],New_Ark_Data[Purchase order Number],New_Ark_Data[Estimated time of arrival],"",0))</f>
        <v>46182</v>
      </c>
      <c r="AZ3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7">
        <f>IFERROR(PV_DATA[[#This Row],[ODP ETA Port]]+PV_DATA[[#This Row],[Customs/Leg3 Assumption]],"n/a")</f>
        <v>46158</v>
      </c>
      <c r="BB322" s="433">
        <f>YEAR(PV_DATA[[#This Row],[ETA for New Ark update]])</f>
        <v>2026</v>
      </c>
      <c r="BC322" s="430">
        <f>MONTH(PV_DATA[[#This Row],[ETA for New Ark update]])</f>
        <v>5</v>
      </c>
      <c r="BD322" s="430">
        <f>IFERROR(_xlfn.ISOWEEKNUM(PV_DATA[[#This Row],[ETA for New Ark update]]),0)</f>
        <v>20</v>
      </c>
      <c r="BE322" s="431">
        <f>_xlfn.XLOOKUP(PV_DATA[[#This Row],[New Ark SKU]],Table9[New Ark SKU],Table9[Total PCS per Pallet],,0)</f>
        <v>36</v>
      </c>
      <c r="BF322" s="431">
        <f>_xlfn.XLOOKUP(PV_DATA[[#This Row],[New Ark SKU]],Table9[New Ark SKU],Table9[Total PCS per 40HQ Container],,0)</f>
        <v>936</v>
      </c>
      <c r="BG322" s="431" t="str">
        <f>_xlfn.XLOOKUP(PV_DATA[[#This Row],[New Ark SKU]],Table9[New Ark SKU],Table9[Back Glass],,0)</f>
        <v>Black glazing</v>
      </c>
      <c r="BH322" s="431" t="e">
        <f>_xlfn.XLOOKUP(PV_DATA[[#This Row],[PORT DESTINATION]],Table12[PORT DESTINATION],Table12[Cosco Line],,0)</f>
        <v>#N/A</v>
      </c>
      <c r="BJ322" s="430"/>
    </row>
    <row r="323" spans="1:62" ht="10.5">
      <c r="A323" s="462" t="s">
        <v>1621</v>
      </c>
      <c r="B323" s="462" t="s">
        <v>61</v>
      </c>
      <c r="C323" s="462" t="str">
        <f>IFERROR(LEFT(PV_DATA[[#This Row],[TCL REFERENCE]],FIND(".",PV_DATA[[#This Row],[TCL REFERENCE]],1)-1),"Main Line")</f>
        <v>26Feb020</v>
      </c>
      <c r="D323" s="462" t="s">
        <v>63</v>
      </c>
      <c r="E323" s="462" t="s">
        <v>64</v>
      </c>
      <c r="F323" s="462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2" t="s">
        <v>402</v>
      </c>
      <c r="H323" s="462" t="s">
        <v>67</v>
      </c>
      <c r="I323" s="439" t="s">
        <v>689</v>
      </c>
      <c r="J323" s="430" t="s">
        <v>1622</v>
      </c>
      <c r="K323" s="430"/>
      <c r="L323" s="430"/>
      <c r="M323" s="430" t="s">
        <v>68</v>
      </c>
      <c r="N323" s="432">
        <v>46090</v>
      </c>
      <c r="O323" s="430" t="s">
        <v>70</v>
      </c>
      <c r="P323" s="430" t="s">
        <v>1151</v>
      </c>
      <c r="Q323" s="430" t="s">
        <v>421</v>
      </c>
      <c r="R323" s="431" t="str">
        <f>_xlfn.XLOOKUP(PV_DATA[[#This Row],[New Ark SKU]],Table9[New Ark SKU],Table9[Connector],,0)</f>
        <v>EVO2A</v>
      </c>
      <c r="S323" s="442" t="str">
        <f>_xlfn.XLOOKUP(PV_DATA[[#This Row],[New Ark SKU]],Table9[New Ark SKU],Table9[Cable],,0)</f>
        <v>±1200mm</v>
      </c>
      <c r="T323" s="433">
        <v>505</v>
      </c>
      <c r="U323" s="1088">
        <f>864*10</f>
        <v>8640</v>
      </c>
      <c r="V323" s="434">
        <f>PV_DATA[[#This Row],[QUANTITY]]*PV_DATA[[#This Row],[WATT]]/1000000</f>
        <v>4.3632</v>
      </c>
      <c r="W323" s="435">
        <f>PV_DATA[[#This Row],[QUANTITY]]/PV_DATA[[#This Row],[Qty/Pallet]]</f>
        <v>240</v>
      </c>
      <c r="X323" s="1040">
        <f>PV_DATA[[#This Row],[QUANTITY]]/PV_DATA[[#This Row],[Qty/CT]]</f>
        <v>10</v>
      </c>
      <c r="Y323" s="430" t="s">
        <v>75</v>
      </c>
      <c r="Z323" s="430" t="str">
        <f t="shared" si="2"/>
        <v>COMPLETED</v>
      </c>
      <c r="AA323" s="430"/>
      <c r="AB323" s="437">
        <v>46091</v>
      </c>
      <c r="AC323" s="438">
        <f>IF(PV_DATA[[#This Row],[Pick- Up Date]]&lt;&gt;"",_xlfn.ISOWEEKNUM(PV_DATA[[#This Row],[Pick- Up Date]]),"")</f>
        <v>11</v>
      </c>
      <c r="AD323" s="439" t="s">
        <v>1623</v>
      </c>
      <c r="AE323" s="430"/>
      <c r="AF323" s="430" t="s">
        <v>77</v>
      </c>
      <c r="AG323" s="430" t="s">
        <v>61</v>
      </c>
      <c r="AH323" s="430" t="s">
        <v>105</v>
      </c>
      <c r="AI323" s="437">
        <v>46095</v>
      </c>
      <c r="AJ323" s="437">
        <v>46095</v>
      </c>
      <c r="AK323" s="441">
        <v>46095</v>
      </c>
      <c r="AL323" s="437">
        <v>46142</v>
      </c>
      <c r="AM323" s="437">
        <v>46150</v>
      </c>
      <c r="AN323" s="437">
        <v>46148</v>
      </c>
      <c r="AO323" s="430" t="s">
        <v>402</v>
      </c>
      <c r="AP323" s="430" t="s">
        <v>925</v>
      </c>
      <c r="AQ323" s="430" t="s">
        <v>80</v>
      </c>
      <c r="AR323" s="430" t="s">
        <v>1624</v>
      </c>
      <c r="AS323" s="430" t="s">
        <v>1625</v>
      </c>
      <c r="AT323" s="482" t="s">
        <v>1625</v>
      </c>
      <c r="AU3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7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7">
        <f>IF(ISERROR(PV_DATA[[#This Row],[New Ark PO status]]),"",_xlfn.XLOOKUP(PV_DATA[[#This Row],[SPTN-PVHK New Ark PO'#]],New_Ark_Data[Purchase order Number],New_Ark_Data[Estimated time of arrival],"",0))</f>
        <v>46164</v>
      </c>
      <c r="AZ32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7">
        <f>IFERROR(PV_DATA[[#This Row],[ODP ETA Port]]+PV_DATA[[#This Row],[Customs/Leg3 Assumption]],"n/a")</f>
        <v>46155</v>
      </c>
      <c r="BB323" s="433">
        <f>YEAR(PV_DATA[[#This Row],[ETA for New Ark update]])</f>
        <v>2026</v>
      </c>
      <c r="BC323" s="430">
        <f>MONTH(PV_DATA[[#This Row],[ETA for New Ark update]])</f>
        <v>5</v>
      </c>
      <c r="BD323" s="430">
        <f>IFERROR(_xlfn.ISOWEEKNUM(PV_DATA[[#This Row],[ETA for New Ark update]]),0)</f>
        <v>20</v>
      </c>
      <c r="BE323" s="431">
        <f>_xlfn.XLOOKUP(PV_DATA[[#This Row],[New Ark SKU]],Table9[New Ark SKU],Table9[Total PCS per Pallet],,0)</f>
        <v>36</v>
      </c>
      <c r="BF323" s="431">
        <f>_xlfn.XLOOKUP(PV_DATA[[#This Row],[New Ark SKU]],Table9[New Ark SKU],Table9[Total PCS per 40HQ Container],,0)</f>
        <v>864</v>
      </c>
      <c r="BG323" s="431" t="str">
        <f>_xlfn.XLOOKUP(PV_DATA[[#This Row],[New Ark SKU]],Table9[New Ark SKU],Table9[Back Glass],,0)</f>
        <v>Black glazing</v>
      </c>
      <c r="BH323" s="431" t="str">
        <f>_xlfn.XLOOKUP(PV_DATA[[#This Row],[PORT DESTINATION]],Table12[PORT DESTINATION],Table12[Cosco Line],,0)</f>
        <v>AEU</v>
      </c>
      <c r="BJ323" s="430"/>
    </row>
    <row r="324" spans="1:62" ht="10.5">
      <c r="A324" s="462" t="s">
        <v>1626</v>
      </c>
      <c r="B324" s="462" t="s">
        <v>61</v>
      </c>
      <c r="C324" s="462" t="str">
        <f>IFERROR(LEFT(PV_DATA[[#This Row],[TCL REFERENCE]],FIND(".",PV_DATA[[#This Row],[TCL REFERENCE]],1)-1),"Main Line")</f>
        <v>Main Line</v>
      </c>
      <c r="D324" s="462" t="s">
        <v>113</v>
      </c>
      <c r="E324" s="462" t="s">
        <v>64</v>
      </c>
      <c r="F324" s="462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2" t="s">
        <v>402</v>
      </c>
      <c r="H324" s="462" t="s">
        <v>67</v>
      </c>
      <c r="I324" s="439" t="s">
        <v>689</v>
      </c>
      <c r="J324" s="430" t="s">
        <v>1627</v>
      </c>
      <c r="K324" s="430"/>
      <c r="L324" s="430"/>
      <c r="M324" s="430" t="s">
        <v>68</v>
      </c>
      <c r="N324" s="432">
        <v>46045</v>
      </c>
      <c r="O324" s="430" t="s">
        <v>713</v>
      </c>
      <c r="P324" s="430" t="s">
        <v>1628</v>
      </c>
      <c r="Q324" s="430" t="s">
        <v>1629</v>
      </c>
      <c r="R324" s="431" t="str">
        <f>_xlfn.XLOOKUP(PV_DATA[[#This Row],[New Ark SKU]],Table9[New Ark SKU],Table9[Connector],,0)</f>
        <v>EVO2A</v>
      </c>
      <c r="S324" s="442" t="str">
        <f>_xlfn.XLOOKUP(PV_DATA[[#This Row],[New Ark SKU]],Table9[New Ark SKU],Table9[Cable],,0)</f>
        <v>±1600mm</v>
      </c>
      <c r="T324" s="433">
        <v>630</v>
      </c>
      <c r="U324" s="1088">
        <v>108</v>
      </c>
      <c r="V324" s="434">
        <f>PV_DATA[[#This Row],[QUANTITY]]*PV_DATA[[#This Row],[WATT]]/1000000</f>
        <v>6.8040000000000003E-2</v>
      </c>
      <c r="W324" s="435">
        <f>PV_DATA[[#This Row],[QUANTITY]]/PV_DATA[[#This Row],[Qty/Pallet]]</f>
        <v>3</v>
      </c>
      <c r="X324" s="1040">
        <f>PV_DATA[[#This Row],[QUANTITY]]/PV_DATA[[#This Row],[Qty/CT]]</f>
        <v>0.1875</v>
      </c>
      <c r="Y324" s="430" t="s">
        <v>75</v>
      </c>
      <c r="Z324" s="430" t="str">
        <f t="shared" si="2"/>
        <v>COMPLETED</v>
      </c>
      <c r="AA324" s="430"/>
      <c r="AB324" s="437">
        <v>46090</v>
      </c>
      <c r="AC324" s="438">
        <f>IF(PV_DATA[[#This Row],[Pick- Up Date]]&lt;&gt;"",_xlfn.ISOWEEKNUM(PV_DATA[[#This Row],[Pick- Up Date]]),"")</f>
        <v>11</v>
      </c>
      <c r="AD324" s="439" t="s">
        <v>1630</v>
      </c>
      <c r="AE324" s="430"/>
      <c r="AF324" s="430" t="s">
        <v>77</v>
      </c>
      <c r="AG324" s="430" t="s">
        <v>61</v>
      </c>
      <c r="AH324" s="430" t="s">
        <v>105</v>
      </c>
      <c r="AI324" s="437">
        <v>46096</v>
      </c>
      <c r="AJ324" s="437">
        <v>46103</v>
      </c>
      <c r="AK324" s="441">
        <v>46103</v>
      </c>
      <c r="AL324" s="437">
        <v>46139</v>
      </c>
      <c r="AM324" s="437">
        <v>46147</v>
      </c>
      <c r="AN324" s="437">
        <v>46147</v>
      </c>
      <c r="AO324" s="430" t="s">
        <v>402</v>
      </c>
      <c r="AP324" s="430" t="s">
        <v>1631</v>
      </c>
      <c r="AQ324" s="430" t="s">
        <v>161</v>
      </c>
      <c r="AR324" s="430" t="s">
        <v>1632</v>
      </c>
      <c r="AS324" s="430" t="s">
        <v>1633</v>
      </c>
      <c r="AT324" s="431">
        <v>267006396</v>
      </c>
      <c r="AU3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7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7">
        <f>IF(ISERROR(PV_DATA[[#This Row],[New Ark PO status]]),"",_xlfn.XLOOKUP(PV_DATA[[#This Row],[SPTN-PVHK New Ark PO'#]],New_Ark_Data[Purchase order Number],New_Ark_Data[Estimated time of arrival],"",0))</f>
        <v>46154</v>
      </c>
      <c r="AZ3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7">
        <f>IFERROR(PV_DATA[[#This Row],[ODP ETA Port]]+PV_DATA[[#This Row],[Customs/Leg3 Assumption]],"n/a")</f>
        <v>46154</v>
      </c>
      <c r="BB324" s="433">
        <f>YEAR(PV_DATA[[#This Row],[ETA for New Ark update]])</f>
        <v>2026</v>
      </c>
      <c r="BC324" s="430">
        <f>MONTH(PV_DATA[[#This Row],[ETA for New Ark update]])</f>
        <v>5</v>
      </c>
      <c r="BD324" s="430">
        <f>IFERROR(_xlfn.ISOWEEKNUM(PV_DATA[[#This Row],[ETA for New Ark update]]),0)</f>
        <v>20</v>
      </c>
      <c r="BE324" s="431">
        <f>_xlfn.XLOOKUP(PV_DATA[[#This Row],[New Ark SKU]],Table9[New Ark SKU],Table9[Total PCS per Pallet],,0)</f>
        <v>36</v>
      </c>
      <c r="BF324" s="431">
        <f>_xlfn.XLOOKUP(PV_DATA[[#This Row],[New Ark SKU]],Table9[New Ark SKU],Table9[Total PCS per 40HQ Container],,0)</f>
        <v>576</v>
      </c>
      <c r="BG324" s="431" t="str">
        <f>_xlfn.XLOOKUP(PV_DATA[[#This Row],[New Ark SKU]],Table9[New Ark SKU],Table9[Back Glass],,0)</f>
        <v>White glazing</v>
      </c>
      <c r="BH324" s="431" t="str">
        <f>_xlfn.XLOOKUP(PV_DATA[[#This Row],[PORT DESTINATION]],Table12[PORT DESTINATION],Table12[Cosco Line],,0)</f>
        <v>AEU</v>
      </c>
      <c r="BJ324" s="430"/>
    </row>
    <row r="325" spans="1:62" ht="10.5">
      <c r="A325" s="462" t="s">
        <v>1634</v>
      </c>
      <c r="B325" s="462" t="s">
        <v>61</v>
      </c>
      <c r="C325" s="462" t="str">
        <f>IFERROR(LEFT(PV_DATA[[#This Row],[TCL REFERENCE]],FIND(".",PV_DATA[[#This Row],[TCL REFERENCE]],1)-1),"Main Line")</f>
        <v>26Mar022</v>
      </c>
      <c r="D325" s="462" t="s">
        <v>113</v>
      </c>
      <c r="E325" s="462" t="s">
        <v>64</v>
      </c>
      <c r="F325" s="462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2" t="s">
        <v>402</v>
      </c>
      <c r="H325" s="462" t="s">
        <v>67</v>
      </c>
      <c r="I325" s="439" t="s">
        <v>689</v>
      </c>
      <c r="J325" s="430" t="s">
        <v>1635</v>
      </c>
      <c r="K325" s="430"/>
      <c r="L325" s="430"/>
      <c r="M325" s="430" t="s">
        <v>68</v>
      </c>
      <c r="N325" s="432">
        <v>46045</v>
      </c>
      <c r="O325" s="430" t="s">
        <v>713</v>
      </c>
      <c r="P325" s="430" t="s">
        <v>1164</v>
      </c>
      <c r="Q325" s="430" t="s">
        <v>1165</v>
      </c>
      <c r="R325" s="431" t="str">
        <f>_xlfn.XLOOKUP(PV_DATA[[#This Row],[New Ark SKU]],Table9[New Ark SKU],Table9[Connector],,0)</f>
        <v>EVO2A</v>
      </c>
      <c r="S325" s="442" t="str">
        <f>_xlfn.XLOOKUP(PV_DATA[[#This Row],[New Ark SKU]],Table9[New Ark SKU],Table9[Cable],,0)</f>
        <v>±1600mm</v>
      </c>
      <c r="T325" s="433">
        <v>620</v>
      </c>
      <c r="U325" s="1088">
        <f>9108-U326</f>
        <v>4500</v>
      </c>
      <c r="V325" s="434">
        <f>PV_DATA[[#This Row],[QUANTITY]]*PV_DATA[[#This Row],[WATT]]/1000000</f>
        <v>2.79</v>
      </c>
      <c r="W325" s="435">
        <f>PV_DATA[[#This Row],[QUANTITY]]/PV_DATA[[#This Row],[Qty/Pallet]]</f>
        <v>125</v>
      </c>
      <c r="X325" s="1040">
        <f>PV_DATA[[#This Row],[QUANTITY]]/PV_DATA[[#This Row],[Qty/CT]]</f>
        <v>7.8125</v>
      </c>
      <c r="Y325" s="430" t="s">
        <v>75</v>
      </c>
      <c r="Z325" s="430" t="str">
        <f t="shared" si="2"/>
        <v>COMPLETED</v>
      </c>
      <c r="AA325" s="430"/>
      <c r="AB325" s="437">
        <v>46090</v>
      </c>
      <c r="AC325" s="438">
        <f>IF(PV_DATA[[#This Row],[Pick- Up Date]]&lt;&gt;"",_xlfn.ISOWEEKNUM(PV_DATA[[#This Row],[Pick- Up Date]]),"")</f>
        <v>11</v>
      </c>
      <c r="AD325" s="439" t="s">
        <v>1636</v>
      </c>
      <c r="AE325" s="430"/>
      <c r="AF325" s="430" t="s">
        <v>77</v>
      </c>
      <c r="AG325" s="430" t="s">
        <v>61</v>
      </c>
      <c r="AH325" s="430" t="s">
        <v>105</v>
      </c>
      <c r="AI325" s="437">
        <v>46096</v>
      </c>
      <c r="AJ325" s="437">
        <v>46103</v>
      </c>
      <c r="AK325" s="441">
        <v>46103</v>
      </c>
      <c r="AL325" s="437">
        <v>46139</v>
      </c>
      <c r="AM325" s="437">
        <v>46147</v>
      </c>
      <c r="AN325" s="437">
        <v>46147</v>
      </c>
      <c r="AO325" s="430" t="s">
        <v>402</v>
      </c>
      <c r="AP325" s="430" t="s">
        <v>1631</v>
      </c>
      <c r="AQ325" s="430" t="s">
        <v>161</v>
      </c>
      <c r="AR325" s="430" t="s">
        <v>1632</v>
      </c>
      <c r="AS325" s="430" t="s">
        <v>1633</v>
      </c>
      <c r="AT325" s="431">
        <v>267006396</v>
      </c>
      <c r="AU3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7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7">
        <f>IF(ISERROR(PV_DATA[[#This Row],[New Ark PO status]]),"",_xlfn.XLOOKUP(PV_DATA[[#This Row],[SPTN-PVHK New Ark PO'#]],New_Ark_Data[Purchase order Number],New_Ark_Data[Estimated time of arrival],"",0))</f>
        <v>46154</v>
      </c>
      <c r="AZ32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7">
        <f>IFERROR(PV_DATA[[#This Row],[ODP ETA Port]]+PV_DATA[[#This Row],[Customs/Leg3 Assumption]],"n/a")</f>
        <v>46154</v>
      </c>
      <c r="BB325" s="433">
        <f>YEAR(PV_DATA[[#This Row],[ETA for New Ark update]])</f>
        <v>2026</v>
      </c>
      <c r="BC325" s="430">
        <f>MONTH(PV_DATA[[#This Row],[ETA for New Ark update]])</f>
        <v>5</v>
      </c>
      <c r="BD325" s="430">
        <f>IFERROR(_xlfn.ISOWEEKNUM(PV_DATA[[#This Row],[ETA for New Ark update]]),0)</f>
        <v>20</v>
      </c>
      <c r="BE325" s="431">
        <f>_xlfn.XLOOKUP(PV_DATA[[#This Row],[New Ark SKU]],Table9[New Ark SKU],Table9[Total PCS per Pallet],,0)</f>
        <v>36</v>
      </c>
      <c r="BF325" s="431">
        <f>_xlfn.XLOOKUP(PV_DATA[[#This Row],[New Ark SKU]],Table9[New Ark SKU],Table9[Total PCS per 40HQ Container],,0)</f>
        <v>576</v>
      </c>
      <c r="BG325" s="431" t="str">
        <f>_xlfn.XLOOKUP(PV_DATA[[#This Row],[New Ark SKU]],Table9[New Ark SKU],Table9[Back Glass],,0)</f>
        <v>White glazing</v>
      </c>
      <c r="BH325" s="431" t="str">
        <f>_xlfn.XLOOKUP(PV_DATA[[#This Row],[PORT DESTINATION]],Table12[PORT DESTINATION],Table12[Cosco Line],,0)</f>
        <v>AEU</v>
      </c>
      <c r="BJ325" s="430"/>
    </row>
    <row r="326" spans="1:62" ht="10.5">
      <c r="A326" s="462" t="s">
        <v>1637</v>
      </c>
      <c r="B326" s="462" t="s">
        <v>61</v>
      </c>
      <c r="C326" s="462" t="str">
        <f>IFERROR(LEFT(PV_DATA[[#This Row],[TCL REFERENCE]],FIND(".",PV_DATA[[#This Row],[TCL REFERENCE]],1)-1),"Main Line")</f>
        <v>26Mar022</v>
      </c>
      <c r="D326" s="462" t="s">
        <v>113</v>
      </c>
      <c r="E326" s="462" t="s">
        <v>64</v>
      </c>
      <c r="F326" s="462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2" t="s">
        <v>402</v>
      </c>
      <c r="H326" s="462" t="s">
        <v>67</v>
      </c>
      <c r="I326" s="439" t="s">
        <v>689</v>
      </c>
      <c r="J326" s="430" t="s">
        <v>1635</v>
      </c>
      <c r="K326" s="430"/>
      <c r="L326" s="430"/>
      <c r="M326" s="430" t="s">
        <v>68</v>
      </c>
      <c r="N326" s="432">
        <v>46045</v>
      </c>
      <c r="O326" s="430" t="s">
        <v>713</v>
      </c>
      <c r="P326" s="430" t="s">
        <v>1164</v>
      </c>
      <c r="Q326" s="430" t="s">
        <v>1165</v>
      </c>
      <c r="R326" s="431" t="str">
        <f>_xlfn.XLOOKUP(PV_DATA[[#This Row],[New Ark SKU]],Table9[New Ark SKU],Table9[Connector],,0)</f>
        <v>EVO2A</v>
      </c>
      <c r="S326" s="442" t="str">
        <f>_xlfn.XLOOKUP(PV_DATA[[#This Row],[New Ark SKU]],Table9[New Ark SKU],Table9[Cable],,0)</f>
        <v>±1600mm</v>
      </c>
      <c r="T326" s="433">
        <v>620</v>
      </c>
      <c r="U326" s="1088">
        <v>4608</v>
      </c>
      <c r="V326" s="434">
        <f>PV_DATA[[#This Row],[QUANTITY]]*PV_DATA[[#This Row],[WATT]]/1000000</f>
        <v>2.8569599999999999</v>
      </c>
      <c r="W326" s="435">
        <f>PV_DATA[[#This Row],[QUANTITY]]/PV_DATA[[#This Row],[Qty/Pallet]]</f>
        <v>128</v>
      </c>
      <c r="X326" s="1040">
        <f>PV_DATA[[#This Row],[QUANTITY]]/PV_DATA[[#This Row],[Qty/CT]]</f>
        <v>8</v>
      </c>
      <c r="Y326" s="430" t="s">
        <v>75</v>
      </c>
      <c r="Z326" s="430" t="str">
        <f t="shared" si="2"/>
        <v>COMPLETED</v>
      </c>
      <c r="AA326" s="430"/>
      <c r="AB326" s="437">
        <v>46090</v>
      </c>
      <c r="AC326" s="438">
        <f>IF(PV_DATA[[#This Row],[Pick- Up Date]]&lt;&gt;"",_xlfn.ISOWEEKNUM(PV_DATA[[#This Row],[Pick- Up Date]]),"")</f>
        <v>11</v>
      </c>
      <c r="AD326" s="439" t="s">
        <v>1638</v>
      </c>
      <c r="AE326" s="430"/>
      <c r="AF326" s="430" t="s">
        <v>77</v>
      </c>
      <c r="AG326" s="430" t="s">
        <v>61</v>
      </c>
      <c r="AH326" s="430" t="s">
        <v>105</v>
      </c>
      <c r="AI326" s="437">
        <v>46096</v>
      </c>
      <c r="AJ326" s="437">
        <v>46103</v>
      </c>
      <c r="AK326" s="441">
        <v>46103</v>
      </c>
      <c r="AL326" s="437">
        <v>46139</v>
      </c>
      <c r="AM326" s="437">
        <v>46147</v>
      </c>
      <c r="AN326" s="437">
        <v>46147</v>
      </c>
      <c r="AO326" s="430" t="s">
        <v>402</v>
      </c>
      <c r="AP326" s="430" t="s">
        <v>1631</v>
      </c>
      <c r="AQ326" s="430" t="s">
        <v>161</v>
      </c>
      <c r="AR326" s="430" t="s">
        <v>1632</v>
      </c>
      <c r="AS326" s="430" t="s">
        <v>1633</v>
      </c>
      <c r="AT326" s="431">
        <v>267006396</v>
      </c>
      <c r="AU3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7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7">
        <f>IF(ISERROR(PV_DATA[[#This Row],[New Ark PO status]]),"",_xlfn.XLOOKUP(PV_DATA[[#This Row],[SPTN-PVHK New Ark PO'#]],New_Ark_Data[Purchase order Number],New_Ark_Data[Estimated time of arrival],"",0))</f>
        <v>46154</v>
      </c>
      <c r="AZ32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7">
        <f>IFERROR(PV_DATA[[#This Row],[ODP ETA Port]]+PV_DATA[[#This Row],[Customs/Leg3 Assumption]],"n/a")</f>
        <v>46154</v>
      </c>
      <c r="BB326" s="433">
        <f>YEAR(PV_DATA[[#This Row],[ETA for New Ark update]])</f>
        <v>2026</v>
      </c>
      <c r="BC326" s="430">
        <f>MONTH(PV_DATA[[#This Row],[ETA for New Ark update]])</f>
        <v>5</v>
      </c>
      <c r="BD326" s="430">
        <f>IFERROR(_xlfn.ISOWEEKNUM(PV_DATA[[#This Row],[ETA for New Ark update]]),0)</f>
        <v>20</v>
      </c>
      <c r="BE326" s="431">
        <f>_xlfn.XLOOKUP(PV_DATA[[#This Row],[New Ark SKU]],Table9[New Ark SKU],Table9[Total PCS per Pallet],,0)</f>
        <v>36</v>
      </c>
      <c r="BF326" s="431">
        <f>_xlfn.XLOOKUP(PV_DATA[[#This Row],[New Ark SKU]],Table9[New Ark SKU],Table9[Total PCS per 40HQ Container],,0)</f>
        <v>576</v>
      </c>
      <c r="BG326" s="431" t="str">
        <f>_xlfn.XLOOKUP(PV_DATA[[#This Row],[New Ark SKU]],Table9[New Ark SKU],Table9[Back Glass],,0)</f>
        <v>White glazing</v>
      </c>
      <c r="BH326" s="431" t="str">
        <f>_xlfn.XLOOKUP(PV_DATA[[#This Row],[PORT DESTINATION]],Table12[PORT DESTINATION],Table12[Cosco Line],,0)</f>
        <v>AEU</v>
      </c>
      <c r="BJ326" s="430"/>
    </row>
    <row r="327" spans="1:62" ht="10.5">
      <c r="A327" s="462" t="s">
        <v>1639</v>
      </c>
      <c r="B327" s="462" t="s">
        <v>61</v>
      </c>
      <c r="C327" s="462" t="str">
        <f>IFERROR(LEFT(PV_DATA[[#This Row],[TCL REFERENCE]],FIND(".",PV_DATA[[#This Row],[TCL REFERENCE]],1)-1),"Main Line")</f>
        <v>26Feb020</v>
      </c>
      <c r="D327" s="462" t="s">
        <v>63</v>
      </c>
      <c r="E327" s="462" t="s">
        <v>64</v>
      </c>
      <c r="F327" s="462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2" t="s">
        <v>402</v>
      </c>
      <c r="H327" s="462" t="s">
        <v>67</v>
      </c>
      <c r="I327" s="439" t="s">
        <v>689</v>
      </c>
      <c r="J327" s="430" t="s">
        <v>101</v>
      </c>
      <c r="K327" s="430"/>
      <c r="L327" s="430"/>
      <c r="M327" s="430" t="s">
        <v>68</v>
      </c>
      <c r="N327" s="432">
        <v>46097</v>
      </c>
      <c r="O327" s="430" t="s">
        <v>70</v>
      </c>
      <c r="P327" s="430" t="s">
        <v>1151</v>
      </c>
      <c r="Q327" s="430" t="s">
        <v>421</v>
      </c>
      <c r="R327" s="431" t="str">
        <f>_xlfn.XLOOKUP(PV_DATA[[#This Row],[New Ark SKU]],Table9[New Ark SKU],Table9[Connector],,0)</f>
        <v>EVO2A</v>
      </c>
      <c r="S327" s="442" t="str">
        <f>_xlfn.XLOOKUP(PV_DATA[[#This Row],[New Ark SKU]],Table9[New Ark SKU],Table9[Cable],,0)</f>
        <v>±1200mm</v>
      </c>
      <c r="T327" s="433">
        <v>505</v>
      </c>
      <c r="U327" s="1088">
        <v>9504</v>
      </c>
      <c r="V327" s="434">
        <f>PV_DATA[[#This Row],[QUANTITY]]*PV_DATA[[#This Row],[WATT]]/1000000</f>
        <v>4.7995200000000002</v>
      </c>
      <c r="W327" s="435">
        <f>PV_DATA[[#This Row],[QUANTITY]]/PV_DATA[[#This Row],[Qty/Pallet]]</f>
        <v>264</v>
      </c>
      <c r="X327" s="1040">
        <f>PV_DATA[[#This Row],[QUANTITY]]/PV_DATA[[#This Row],[Qty/CT]]</f>
        <v>11</v>
      </c>
      <c r="Y327" s="430" t="s">
        <v>75</v>
      </c>
      <c r="Z327" s="430" t="str">
        <f t="shared" si="2"/>
        <v>COMPLETED</v>
      </c>
      <c r="AA327" s="430" t="s">
        <v>1456</v>
      </c>
      <c r="AB327" s="437">
        <v>46091</v>
      </c>
      <c r="AC327" s="438">
        <f>IF(PV_DATA[[#This Row],[Pick- Up Date]]&lt;&gt;"",_xlfn.ISOWEEKNUM(PV_DATA[[#This Row],[Pick- Up Date]]),"")</f>
        <v>11</v>
      </c>
      <c r="AD327" s="439" t="s">
        <v>1640</v>
      </c>
      <c r="AE327" s="430"/>
      <c r="AF327" s="430" t="s">
        <v>77</v>
      </c>
      <c r="AG327" s="430" t="s">
        <v>61</v>
      </c>
      <c r="AH327" s="430" t="s">
        <v>105</v>
      </c>
      <c r="AI327" s="437">
        <v>46095</v>
      </c>
      <c r="AJ327" s="437">
        <v>46095</v>
      </c>
      <c r="AK327" s="441">
        <v>46095</v>
      </c>
      <c r="AL327" s="437">
        <v>46142</v>
      </c>
      <c r="AM327" s="437">
        <v>46154</v>
      </c>
      <c r="AN327" s="437">
        <v>46157</v>
      </c>
      <c r="AO327" s="430" t="s">
        <v>402</v>
      </c>
      <c r="AP327" s="430" t="s">
        <v>925</v>
      </c>
      <c r="AQ327" s="430" t="s">
        <v>80</v>
      </c>
      <c r="AR327" s="430" t="s">
        <v>926</v>
      </c>
      <c r="AS327" s="430" t="s">
        <v>927</v>
      </c>
      <c r="AT327" s="482" t="s">
        <v>927</v>
      </c>
      <c r="AU3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7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7">
        <f>IF(ISERROR(PV_DATA[[#This Row],[New Ark PO status]]),"",_xlfn.XLOOKUP(PV_DATA[[#This Row],[SPTN-PVHK New Ark PO'#]],New_Ark_Data[Purchase order Number],New_Ark_Data[Estimated time of arrival],"",0))</f>
        <v>46171</v>
      </c>
      <c r="AZ32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7">
        <f>IFERROR(PV_DATA[[#This Row],[ODP ETA Port]]+PV_DATA[[#This Row],[Customs/Leg3 Assumption]],"n/a")</f>
        <v>46164</v>
      </c>
      <c r="BB327" s="433">
        <f>YEAR(PV_DATA[[#This Row],[ETA for New Ark update]])</f>
        <v>2026</v>
      </c>
      <c r="BC327" s="430">
        <f>MONTH(PV_DATA[[#This Row],[ETA for New Ark update]])</f>
        <v>5</v>
      </c>
      <c r="BD327" s="430">
        <f>IFERROR(_xlfn.ISOWEEKNUM(PV_DATA[[#This Row],[ETA for New Ark update]]),0)</f>
        <v>21</v>
      </c>
      <c r="BE327" s="431">
        <f>_xlfn.XLOOKUP(PV_DATA[[#This Row],[New Ark SKU]],Table9[New Ark SKU],Table9[Total PCS per Pallet],,0)</f>
        <v>36</v>
      </c>
      <c r="BF327" s="431">
        <f>_xlfn.XLOOKUP(PV_DATA[[#This Row],[New Ark SKU]],Table9[New Ark SKU],Table9[Total PCS per 40HQ Container],,0)</f>
        <v>864</v>
      </c>
      <c r="BG327" s="431" t="str">
        <f>_xlfn.XLOOKUP(PV_DATA[[#This Row],[New Ark SKU]],Table9[New Ark SKU],Table9[Back Glass],,0)</f>
        <v>Black glazing</v>
      </c>
      <c r="BH327" s="431" t="str">
        <f>_xlfn.XLOOKUP(PV_DATA[[#This Row],[PORT DESTINATION]],Table12[PORT DESTINATION],Table12[Cosco Line],,0)</f>
        <v>AEU</v>
      </c>
      <c r="BJ327" s="430"/>
    </row>
    <row r="328" spans="1:62">
      <c r="A328" s="462" t="s">
        <v>1641</v>
      </c>
      <c r="B328" s="462" t="s">
        <v>111</v>
      </c>
      <c r="C328" s="462" t="str">
        <f>IFERROR(LEFT(PV_DATA[[#This Row],[TCL REFERENCE]],FIND(".",PV_DATA[[#This Row],[TCL REFERENCE]],1)-1),"Main Line")</f>
        <v>26Feb010</v>
      </c>
      <c r="D328" s="462" t="s">
        <v>63</v>
      </c>
      <c r="E328" s="462" t="s">
        <v>64</v>
      </c>
      <c r="F328" s="462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2" t="s">
        <v>402</v>
      </c>
      <c r="H328" s="462" t="s">
        <v>451</v>
      </c>
      <c r="I328" s="439" t="s">
        <v>689</v>
      </c>
      <c r="J328" s="430" t="s">
        <v>1112</v>
      </c>
      <c r="K328" s="430" t="s">
        <v>1113</v>
      </c>
      <c r="L328" s="430"/>
      <c r="M328" s="430" t="s">
        <v>68</v>
      </c>
      <c r="N328" s="432">
        <v>46076</v>
      </c>
      <c r="O328" s="430" t="s">
        <v>132</v>
      </c>
      <c r="P328" s="430" t="s">
        <v>1062</v>
      </c>
      <c r="Q328" s="430" t="s">
        <v>1063</v>
      </c>
      <c r="R328" s="431" t="str">
        <f>_xlfn.XLOOKUP(PV_DATA[[#This Row],[New Ark SKU]],Table9[New Ark SKU],Table9[Connector],,0)</f>
        <v>EVO2A</v>
      </c>
      <c r="S328" s="442" t="str">
        <f>_xlfn.XLOOKUP(PV_DATA[[#This Row],[New Ark SKU]],Table9[New Ark SKU],Table9[Cable],,0)</f>
        <v>±1200mm</v>
      </c>
      <c r="T328" s="433">
        <v>470</v>
      </c>
      <c r="U328" s="1088">
        <f>4*864</f>
        <v>3456</v>
      </c>
      <c r="V328" s="434">
        <f>PV_DATA[[#This Row],[QUANTITY]]*PV_DATA[[#This Row],[WATT]]/1000000</f>
        <v>1.62432</v>
      </c>
      <c r="W328" s="435">
        <f>PV_DATA[[#This Row],[QUANTITY]]/PV_DATA[[#This Row],[Qty/Pallet]]</f>
        <v>96</v>
      </c>
      <c r="X328" s="1045">
        <f>PV_DATA[[#This Row],[QUANTITY]]/PV_DATA[[#This Row],[Qty/CT]]</f>
        <v>4</v>
      </c>
      <c r="Y328" s="430" t="s">
        <v>75</v>
      </c>
      <c r="Z328" s="430" t="str">
        <f t="shared" si="2"/>
        <v>COMPLETED</v>
      </c>
      <c r="AA328" s="430"/>
      <c r="AB328" s="437">
        <v>46097</v>
      </c>
      <c r="AC328" s="438">
        <f>IF(PV_DATA[[#This Row],[Pick- Up Date]]&lt;&gt;"",_xlfn.ISOWEEKNUM(PV_DATA[[#This Row],[Pick- Up Date]]),"")</f>
        <v>12</v>
      </c>
      <c r="AD328" s="439" t="s">
        <v>1642</v>
      </c>
      <c r="AE328" s="430"/>
      <c r="AF328" s="430" t="s">
        <v>4412</v>
      </c>
      <c r="AG328" s="430" t="s">
        <v>123</v>
      </c>
      <c r="AH328" s="430" t="s">
        <v>456</v>
      </c>
      <c r="AI328" s="437">
        <v>46103</v>
      </c>
      <c r="AJ328" s="437">
        <v>46110</v>
      </c>
      <c r="AK328" s="441">
        <v>46110</v>
      </c>
      <c r="AL328" s="437">
        <v>46141</v>
      </c>
      <c r="AM328" s="437">
        <v>46160</v>
      </c>
      <c r="AN328" s="437">
        <v>46157</v>
      </c>
      <c r="AO328" s="430" t="s">
        <v>402</v>
      </c>
      <c r="AP328" s="430" t="s">
        <v>1644</v>
      </c>
      <c r="AQ328" s="430" t="s">
        <v>80</v>
      </c>
      <c r="AR328" s="430" t="s">
        <v>1645</v>
      </c>
      <c r="AS328" s="430" t="s">
        <v>1646</v>
      </c>
      <c r="AT328" s="482" t="s">
        <v>1646</v>
      </c>
      <c r="AU3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7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7">
        <f>IF(ISERROR(PV_DATA[[#This Row],[New Ark PO status]]),"",_xlfn.XLOOKUP(PV_DATA[[#This Row],[SPTN-PVHK New Ark PO'#]],New_Ark_Data[Purchase order Number],New_Ark_Data[Estimated time of arrival],"",0))</f>
        <v>46171</v>
      </c>
      <c r="AZ32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7">
        <f>IFERROR(PV_DATA[[#This Row],[ODP ETA Port]]+PV_DATA[[#This Row],[Customs/Leg3 Assumption]],"n/a")</f>
        <v>46164</v>
      </c>
      <c r="BB328" s="433">
        <f>YEAR(PV_DATA[[#This Row],[ETA for New Ark update]])</f>
        <v>2026</v>
      </c>
      <c r="BC328" s="430">
        <f>MONTH(PV_DATA[[#This Row],[ETA for New Ark update]])</f>
        <v>5</v>
      </c>
      <c r="BD328" s="430">
        <f>IFERROR(_xlfn.ISOWEEKNUM(PV_DATA[[#This Row],[ETA for New Ark update]]),0)</f>
        <v>21</v>
      </c>
      <c r="BE328" s="431">
        <f>_xlfn.XLOOKUP(PV_DATA[[#This Row],[New Ark SKU]],Table9[New Ark SKU],Table9[Total PCS per Pallet],,0)</f>
        <v>36</v>
      </c>
      <c r="BF328" s="431">
        <f>_xlfn.XLOOKUP(PV_DATA[[#This Row],[New Ark SKU]],Table9[New Ark SKU],Table9[Total PCS per 40HQ Container],,0)</f>
        <v>864</v>
      </c>
      <c r="BG328" s="431" t="str">
        <f>_xlfn.XLOOKUP(PV_DATA[[#This Row],[New Ark SKU]],Table9[New Ark SKU],Table9[Back Glass],,0)</f>
        <v>White glazing</v>
      </c>
      <c r="BH328" s="431" t="str">
        <f>_xlfn.XLOOKUP(PV_DATA[[#This Row],[PORT DESTINATION]],Table12[PORT DESTINATION],Table12[Cosco Line],,0)</f>
        <v>AEU</v>
      </c>
      <c r="BJ328" s="430"/>
    </row>
    <row r="329" spans="1:62" ht="10.5">
      <c r="A329" s="462" t="s">
        <v>1647</v>
      </c>
      <c r="B329" s="462" t="s">
        <v>111</v>
      </c>
      <c r="C329" s="462" t="str">
        <f>IFERROR(LEFT(PV_DATA[[#This Row],[TCL REFERENCE]],FIND(".",PV_DATA[[#This Row],[TCL REFERENCE]],1)-1),"Main Line")</f>
        <v>26Feb010</v>
      </c>
      <c r="D329" s="462" t="s">
        <v>63</v>
      </c>
      <c r="E329" s="462" t="s">
        <v>64</v>
      </c>
      <c r="F329" s="462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2" t="s">
        <v>402</v>
      </c>
      <c r="H329" s="462" t="s">
        <v>67</v>
      </c>
      <c r="I329" s="439" t="s">
        <v>869</v>
      </c>
      <c r="J329" s="430" t="s">
        <v>101</v>
      </c>
      <c r="K329" s="430"/>
      <c r="L329" s="430"/>
      <c r="M329" s="430" t="s">
        <v>68</v>
      </c>
      <c r="N329" s="432">
        <v>46076</v>
      </c>
      <c r="O329" s="430" t="s">
        <v>132</v>
      </c>
      <c r="P329" s="430" t="s">
        <v>1062</v>
      </c>
      <c r="Q329" s="430" t="s">
        <v>1063</v>
      </c>
      <c r="R329" s="431" t="str">
        <f>_xlfn.XLOOKUP(PV_DATA[[#This Row],[New Ark SKU]],Table9[New Ark SKU],Table9[Connector],,0)</f>
        <v>EVO2A</v>
      </c>
      <c r="S329" s="442" t="str">
        <f>_xlfn.XLOOKUP(PV_DATA[[#This Row],[New Ark SKU]],Table9[New Ark SKU],Table9[Cable],,0)</f>
        <v>±1200mm</v>
      </c>
      <c r="T329" s="433">
        <v>470</v>
      </c>
      <c r="U329" s="1088">
        <v>5184</v>
      </c>
      <c r="V329" s="434">
        <f>PV_DATA[[#This Row],[QUANTITY]]*PV_DATA[[#This Row],[WATT]]/1000000</f>
        <v>2.43648</v>
      </c>
      <c r="W329" s="435">
        <f>PV_DATA[[#This Row],[QUANTITY]]/PV_DATA[[#This Row],[Qty/Pallet]]</f>
        <v>144</v>
      </c>
      <c r="X329" s="1045">
        <f>PV_DATA[[#This Row],[QUANTITY]]/PV_DATA[[#This Row],[Qty/CT]]</f>
        <v>6</v>
      </c>
      <c r="Y329" s="430" t="s">
        <v>75</v>
      </c>
      <c r="Z329" s="430" t="str">
        <f t="shared" si="2"/>
        <v>COMPLETED</v>
      </c>
      <c r="AA329" s="430"/>
      <c r="AB329" s="437">
        <v>46095</v>
      </c>
      <c r="AC329" s="438">
        <f>IF(PV_DATA[[#This Row],[Pick- Up Date]]&lt;&gt;"",_xlfn.ISOWEEKNUM(PV_DATA[[#This Row],[Pick- Up Date]]),"")</f>
        <v>11</v>
      </c>
      <c r="AD329" s="439" t="s">
        <v>1648</v>
      </c>
      <c r="AE329" s="430"/>
      <c r="AF329" s="430" t="s">
        <v>122</v>
      </c>
      <c r="AG329" s="430" t="s">
        <v>123</v>
      </c>
      <c r="AH329" s="430" t="s">
        <v>105</v>
      </c>
      <c r="AI329" s="437">
        <v>46102</v>
      </c>
      <c r="AJ329" s="437">
        <v>46103</v>
      </c>
      <c r="AK329" s="441">
        <v>46103</v>
      </c>
      <c r="AL329" s="437">
        <v>46144</v>
      </c>
      <c r="AM329" s="437">
        <v>46151</v>
      </c>
      <c r="AN329" s="437">
        <v>46153</v>
      </c>
      <c r="AO329" s="430" t="s">
        <v>402</v>
      </c>
      <c r="AP329" s="430" t="s">
        <v>1644</v>
      </c>
      <c r="AQ329" s="430" t="s">
        <v>80</v>
      </c>
      <c r="AR329" s="430" t="s">
        <v>1649</v>
      </c>
      <c r="AS329" s="430" t="s">
        <v>1650</v>
      </c>
      <c r="AT329" s="482" t="s">
        <v>1650</v>
      </c>
      <c r="AU3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7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7">
        <f>IF(ISERROR(PV_DATA[[#This Row],[New Ark PO status]]),"",_xlfn.XLOOKUP(PV_DATA[[#This Row],[SPTN-PVHK New Ark PO'#]],New_Ark_Data[Purchase order Number],New_Ark_Data[Estimated time of arrival],"",0))</f>
        <v>46160</v>
      </c>
      <c r="AZ32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7">
        <f>IFERROR(PV_DATA[[#This Row],[ODP ETA Port]]+PV_DATA[[#This Row],[Customs/Leg3 Assumption]],"n/a")</f>
        <v>46160</v>
      </c>
      <c r="BB329" s="433">
        <f>YEAR(PV_DATA[[#This Row],[ETA for New Ark update]])</f>
        <v>2026</v>
      </c>
      <c r="BC329" s="430">
        <f>MONTH(PV_DATA[[#This Row],[ETA for New Ark update]])</f>
        <v>5</v>
      </c>
      <c r="BD329" s="430">
        <f>IFERROR(_xlfn.ISOWEEKNUM(PV_DATA[[#This Row],[ETA for New Ark update]]),0)</f>
        <v>21</v>
      </c>
      <c r="BE329" s="431">
        <f>_xlfn.XLOOKUP(PV_DATA[[#This Row],[New Ark SKU]],Table9[New Ark SKU],Table9[Total PCS per Pallet],,0)</f>
        <v>36</v>
      </c>
      <c r="BF329" s="431">
        <f>_xlfn.XLOOKUP(PV_DATA[[#This Row],[New Ark SKU]],Table9[New Ark SKU],Table9[Total PCS per 40HQ Container],,0)</f>
        <v>864</v>
      </c>
      <c r="BG329" s="431" t="str">
        <f>_xlfn.XLOOKUP(PV_DATA[[#This Row],[New Ark SKU]],Table9[New Ark SKU],Table9[Back Glass],,0)</f>
        <v>White glazing</v>
      </c>
      <c r="BH329" s="431" t="str">
        <f>_xlfn.XLOOKUP(PV_DATA[[#This Row],[PORT DESTINATION]],Table12[PORT DESTINATION],Table12[Cosco Line],,0)</f>
        <v>AEU</v>
      </c>
      <c r="BJ329" s="430"/>
    </row>
    <row r="330" spans="1:62" ht="10.5">
      <c r="A330" s="462" t="s">
        <v>1651</v>
      </c>
      <c r="B330" s="462" t="s">
        <v>111</v>
      </c>
      <c r="C330" s="462" t="str">
        <f>IFERROR(LEFT(PV_DATA[[#This Row],[TCL REFERENCE]],FIND(".",PV_DATA[[#This Row],[TCL REFERENCE]],1)-1),"Main Line")</f>
        <v>26Feb015</v>
      </c>
      <c r="D330" s="462" t="s">
        <v>63</v>
      </c>
      <c r="E330" s="462" t="s">
        <v>64</v>
      </c>
      <c r="F330" s="462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2" t="s">
        <v>402</v>
      </c>
      <c r="H330" s="462" t="s">
        <v>67</v>
      </c>
      <c r="I330" s="439" t="s">
        <v>1395</v>
      </c>
      <c r="J330" s="430" t="s">
        <v>101</v>
      </c>
      <c r="K330" s="430"/>
      <c r="L330" s="430"/>
      <c r="M330" s="430" t="s">
        <v>68</v>
      </c>
      <c r="N330" s="432">
        <v>46048</v>
      </c>
      <c r="O330" s="430" t="s">
        <v>132</v>
      </c>
      <c r="P330" s="430" t="s">
        <v>133</v>
      </c>
      <c r="Q330" s="430" t="s">
        <v>134</v>
      </c>
      <c r="R330" s="431" t="str">
        <f>_xlfn.XLOOKUP(PV_DATA[[#This Row],[New Ark SKU]],Table9[New Ark SKU],Table9[Connector],,0)</f>
        <v>EVO2A</v>
      </c>
      <c r="S330" s="442" t="str">
        <f>_xlfn.XLOOKUP(PV_DATA[[#This Row],[New Ark SKU]],Table9[New Ark SKU],Table9[Cable],,0)</f>
        <v>±1400mm</v>
      </c>
      <c r="T330" s="433">
        <v>720</v>
      </c>
      <c r="U330" s="1088">
        <f>594*7</f>
        <v>4158</v>
      </c>
      <c r="V330" s="434">
        <f>PV_DATA[[#This Row],[QUANTITY]]*PV_DATA[[#This Row],[WATT]]/1000000</f>
        <v>2.99376</v>
      </c>
      <c r="W330" s="435">
        <f>PV_DATA[[#This Row],[QUANTITY]]/PV_DATA[[#This Row],[Qty/Pallet]]</f>
        <v>126</v>
      </c>
      <c r="X330" s="1045">
        <f>PV_DATA[[#This Row],[QUANTITY]]/PV_DATA[[#This Row],[Qty/CT]]</f>
        <v>7</v>
      </c>
      <c r="Y330" s="430" t="s">
        <v>75</v>
      </c>
      <c r="Z330" s="430" t="str">
        <f t="shared" si="2"/>
        <v>COMPLETED</v>
      </c>
      <c r="AA330" s="430"/>
      <c r="AB330" s="437">
        <v>46095</v>
      </c>
      <c r="AC330" s="438">
        <f>IF(PV_DATA[[#This Row],[Pick- Up Date]]&lt;&gt;"",_xlfn.ISOWEEKNUM(PV_DATA[[#This Row],[Pick- Up Date]]),"")</f>
        <v>11</v>
      </c>
      <c r="AD330" s="439" t="s">
        <v>1652</v>
      </c>
      <c r="AE330" s="430"/>
      <c r="AF330" s="430" t="s">
        <v>122</v>
      </c>
      <c r="AG330" s="430" t="s">
        <v>123</v>
      </c>
      <c r="AH330" s="430" t="s">
        <v>105</v>
      </c>
      <c r="AI330" s="437">
        <v>46102</v>
      </c>
      <c r="AJ330" s="437">
        <v>46103</v>
      </c>
      <c r="AK330" s="441">
        <v>46103</v>
      </c>
      <c r="AL330" s="437">
        <v>46144</v>
      </c>
      <c r="AM330" s="437">
        <v>46151</v>
      </c>
      <c r="AN330" s="437">
        <v>46153</v>
      </c>
      <c r="AO330" s="430" t="s">
        <v>402</v>
      </c>
      <c r="AP330" s="430" t="s">
        <v>1644</v>
      </c>
      <c r="AQ330" s="430" t="s">
        <v>80</v>
      </c>
      <c r="AR330" s="430" t="s">
        <v>1649</v>
      </c>
      <c r="AS330" s="430" t="s">
        <v>1650</v>
      </c>
      <c r="AT330" s="482" t="s">
        <v>1650</v>
      </c>
      <c r="AU3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7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7">
        <f>IF(ISERROR(PV_DATA[[#This Row],[New Ark PO status]]),"",_xlfn.XLOOKUP(PV_DATA[[#This Row],[SPTN-PVHK New Ark PO'#]],New_Ark_Data[Purchase order Number],New_Ark_Data[Estimated time of arrival],"",0))</f>
        <v>46160</v>
      </c>
      <c r="AZ33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7">
        <f>IFERROR(PV_DATA[[#This Row],[ODP ETA Port]]+PV_DATA[[#This Row],[Customs/Leg3 Assumption]],"n/a")</f>
        <v>46160</v>
      </c>
      <c r="BB330" s="433">
        <f>YEAR(PV_DATA[[#This Row],[ETA for New Ark update]])</f>
        <v>2026</v>
      </c>
      <c r="BC330" s="430">
        <f>MONTH(PV_DATA[[#This Row],[ETA for New Ark update]])</f>
        <v>5</v>
      </c>
      <c r="BD330" s="430">
        <f>IFERROR(_xlfn.ISOWEEKNUM(PV_DATA[[#This Row],[ETA for New Ark update]]),0)</f>
        <v>21</v>
      </c>
      <c r="BE330" s="431">
        <f>_xlfn.XLOOKUP(PV_DATA[[#This Row],[New Ark SKU]],Table9[New Ark SKU],Table9[Total PCS per Pallet],,0)</f>
        <v>33</v>
      </c>
      <c r="BF330" s="431">
        <f>_xlfn.XLOOKUP(PV_DATA[[#This Row],[New Ark SKU]],Table9[New Ark SKU],Table9[Total PCS per 40HQ Container],,0)</f>
        <v>594</v>
      </c>
      <c r="BG330" s="431" t="str">
        <f>_xlfn.XLOOKUP(PV_DATA[[#This Row],[New Ark SKU]],Table9[New Ark SKU],Table9[Back Glass],,0)</f>
        <v>White glazing</v>
      </c>
      <c r="BH330" s="431" t="str">
        <f>_xlfn.XLOOKUP(PV_DATA[[#This Row],[PORT DESTINATION]],Table12[PORT DESTINATION],Table12[Cosco Line],,0)</f>
        <v>AEU</v>
      </c>
      <c r="BJ330" s="430"/>
    </row>
    <row r="331" spans="1:62" ht="10.5">
      <c r="A331" s="462" t="s">
        <v>1653</v>
      </c>
      <c r="B331" s="462" t="s">
        <v>111</v>
      </c>
      <c r="C331" s="462" t="str">
        <f>IFERROR(LEFT(PV_DATA[[#This Row],[TCL REFERENCE]],FIND(".",PV_DATA[[#This Row],[TCL REFERENCE]],1)-1),"Main Line")</f>
        <v>26Feb015</v>
      </c>
      <c r="D331" s="462" t="s">
        <v>63</v>
      </c>
      <c r="E331" s="462" t="s">
        <v>64</v>
      </c>
      <c r="F331" s="462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2" t="s">
        <v>402</v>
      </c>
      <c r="H331" s="462" t="s">
        <v>67</v>
      </c>
      <c r="I331" s="439" t="s">
        <v>689</v>
      </c>
      <c r="J331" s="430" t="s">
        <v>1654</v>
      </c>
      <c r="K331" s="430"/>
      <c r="L331" s="430"/>
      <c r="M331" s="430" t="s">
        <v>68</v>
      </c>
      <c r="N331" s="432">
        <v>46048</v>
      </c>
      <c r="O331" s="430" t="s">
        <v>132</v>
      </c>
      <c r="P331" s="430" t="s">
        <v>133</v>
      </c>
      <c r="Q331" s="430" t="s">
        <v>134</v>
      </c>
      <c r="R331" s="431" t="str">
        <f>_xlfn.XLOOKUP(PV_DATA[[#This Row],[New Ark SKU]],Table9[New Ark SKU],Table9[Connector],,0)</f>
        <v>EVO2A</v>
      </c>
      <c r="S331" s="442" t="str">
        <f>_xlfn.XLOOKUP(PV_DATA[[#This Row],[New Ark SKU]],Table9[New Ark SKU],Table9[Cable],,0)</f>
        <v>±1400mm</v>
      </c>
      <c r="T331" s="433">
        <v>720</v>
      </c>
      <c r="U331" s="1088">
        <f>2*594</f>
        <v>1188</v>
      </c>
      <c r="V331" s="434">
        <f>PV_DATA[[#This Row],[QUANTITY]]*PV_DATA[[#This Row],[WATT]]/1000000</f>
        <v>0.85536000000000001</v>
      </c>
      <c r="W331" s="435">
        <f>PV_DATA[[#This Row],[QUANTITY]]/PV_DATA[[#This Row],[Qty/Pallet]]</f>
        <v>36</v>
      </c>
      <c r="X331" s="1045">
        <f>PV_DATA[[#This Row],[QUANTITY]]/PV_DATA[[#This Row],[Qty/CT]]</f>
        <v>2</v>
      </c>
      <c r="Y331" s="430" t="s">
        <v>75</v>
      </c>
      <c r="Z331" s="430" t="str">
        <f t="shared" si="2"/>
        <v>COMPLETED</v>
      </c>
      <c r="AA331" s="430"/>
      <c r="AB331" s="437">
        <v>46095</v>
      </c>
      <c r="AC331" s="438">
        <f>IF(PV_DATA[[#This Row],[Pick- Up Date]]&lt;&gt;"",_xlfn.ISOWEEKNUM(PV_DATA[[#This Row],[Pick- Up Date]]),"")</f>
        <v>11</v>
      </c>
      <c r="AD331" s="439" t="s">
        <v>1655</v>
      </c>
      <c r="AE331" s="430"/>
      <c r="AF331" s="430" t="s">
        <v>122</v>
      </c>
      <c r="AG331" s="430" t="s">
        <v>123</v>
      </c>
      <c r="AH331" s="430" t="s">
        <v>105</v>
      </c>
      <c r="AI331" s="437">
        <v>46102</v>
      </c>
      <c r="AJ331" s="437">
        <v>46103</v>
      </c>
      <c r="AK331" s="441">
        <v>46103</v>
      </c>
      <c r="AL331" s="437">
        <v>46144</v>
      </c>
      <c r="AM331" s="437">
        <v>46151</v>
      </c>
      <c r="AN331" s="437">
        <v>46153</v>
      </c>
      <c r="AO331" s="430" t="s">
        <v>402</v>
      </c>
      <c r="AP331" s="430" t="s">
        <v>1644</v>
      </c>
      <c r="AQ331" s="430" t="s">
        <v>80</v>
      </c>
      <c r="AR331" s="430" t="s">
        <v>1649</v>
      </c>
      <c r="AS331" s="430" t="s">
        <v>1650</v>
      </c>
      <c r="AT331" s="482" t="s">
        <v>1650</v>
      </c>
      <c r="AU3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7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7">
        <f>IF(ISERROR(PV_DATA[[#This Row],[New Ark PO status]]),"",_xlfn.XLOOKUP(PV_DATA[[#This Row],[SPTN-PVHK New Ark PO'#]],New_Ark_Data[Purchase order Number],New_Ark_Data[Estimated time of arrival],"",0))</f>
        <v>46160</v>
      </c>
      <c r="AZ3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7">
        <f>IFERROR(PV_DATA[[#This Row],[ODP ETA Port]]+PV_DATA[[#This Row],[Customs/Leg3 Assumption]],"n/a")</f>
        <v>46160</v>
      </c>
      <c r="BB331" s="433">
        <f>YEAR(PV_DATA[[#This Row],[ETA for New Ark update]])</f>
        <v>2026</v>
      </c>
      <c r="BC331" s="430">
        <f>MONTH(PV_DATA[[#This Row],[ETA for New Ark update]])</f>
        <v>5</v>
      </c>
      <c r="BD331" s="430">
        <f>IFERROR(_xlfn.ISOWEEKNUM(PV_DATA[[#This Row],[ETA for New Ark update]]),0)</f>
        <v>21</v>
      </c>
      <c r="BE331" s="431">
        <f>_xlfn.XLOOKUP(PV_DATA[[#This Row],[New Ark SKU]],Table9[New Ark SKU],Table9[Total PCS per Pallet],,0)</f>
        <v>33</v>
      </c>
      <c r="BF331" s="431">
        <f>_xlfn.XLOOKUP(PV_DATA[[#This Row],[New Ark SKU]],Table9[New Ark SKU],Table9[Total PCS per 40HQ Container],,0)</f>
        <v>594</v>
      </c>
      <c r="BG331" s="431" t="str">
        <f>_xlfn.XLOOKUP(PV_DATA[[#This Row],[New Ark SKU]],Table9[New Ark SKU],Table9[Back Glass],,0)</f>
        <v>White glazing</v>
      </c>
      <c r="BH331" s="431" t="str">
        <f>_xlfn.XLOOKUP(PV_DATA[[#This Row],[PORT DESTINATION]],Table12[PORT DESTINATION],Table12[Cosco Line],,0)</f>
        <v>AEU</v>
      </c>
      <c r="BJ331" s="430"/>
    </row>
    <row r="332" spans="1:62" ht="10.5">
      <c r="A332" s="462" t="s">
        <v>1656</v>
      </c>
      <c r="B332" s="462" t="s">
        <v>111</v>
      </c>
      <c r="C332" s="462" t="str">
        <f>IFERROR(LEFT(PV_DATA[[#This Row],[TCL REFERENCE]],FIND(".",PV_DATA[[#This Row],[TCL REFERENCE]],1)-1),"Main Line")</f>
        <v>26Feb026</v>
      </c>
      <c r="D332" s="462" t="s">
        <v>63</v>
      </c>
      <c r="E332" s="462" t="s">
        <v>64</v>
      </c>
      <c r="F332" s="462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2" t="s">
        <v>402</v>
      </c>
      <c r="H332" s="462" t="s">
        <v>67</v>
      </c>
      <c r="I332" s="439" t="s">
        <v>822</v>
      </c>
      <c r="J332" s="430" t="s">
        <v>1047</v>
      </c>
      <c r="K332" s="430"/>
      <c r="L332" s="430"/>
      <c r="M332" s="430" t="s">
        <v>68</v>
      </c>
      <c r="N332" s="432">
        <v>46069</v>
      </c>
      <c r="O332" s="430" t="s">
        <v>70</v>
      </c>
      <c r="P332" s="430" t="s">
        <v>1002</v>
      </c>
      <c r="Q332" s="430" t="s">
        <v>330</v>
      </c>
      <c r="R332" s="431" t="str">
        <f>_xlfn.XLOOKUP(PV_DATA[[#This Row],[New Ark SKU]],Table9[New Ark SKU],Table9[Connector],,0)</f>
        <v>EVO2A</v>
      </c>
      <c r="S332" s="442" t="str">
        <f>_xlfn.XLOOKUP(PV_DATA[[#This Row],[New Ark SKU]],Table9[New Ark SKU],Table9[Cable],,0)</f>
        <v>±1400mm</v>
      </c>
      <c r="T332" s="433">
        <v>625</v>
      </c>
      <c r="U332" s="1088">
        <v>7920</v>
      </c>
      <c r="V332" s="434">
        <f>PV_DATA[[#This Row],[QUANTITY]]*PV_DATA[[#This Row],[WATT]]/1000000</f>
        <v>4.95</v>
      </c>
      <c r="W332" s="435">
        <f>PV_DATA[[#This Row],[QUANTITY]]/PV_DATA[[#This Row],[Qty/Pallet]]</f>
        <v>220</v>
      </c>
      <c r="X332" s="1045">
        <f>PV_DATA[[#This Row],[QUANTITY]]/PV_DATA[[#This Row],[Qty/CT]]</f>
        <v>11</v>
      </c>
      <c r="Y332" s="430" t="s">
        <v>75</v>
      </c>
      <c r="Z332" s="430" t="str">
        <f t="shared" si="2"/>
        <v>COMPLETED</v>
      </c>
      <c r="AA332" s="430" t="s">
        <v>1500</v>
      </c>
      <c r="AB332" s="437">
        <v>46096</v>
      </c>
      <c r="AC332" s="438">
        <f>IF(PV_DATA[[#This Row],[Pick- Up Date]]&lt;&gt;"",_xlfn.ISOWEEKNUM(PV_DATA[[#This Row],[Pick- Up Date]]),"")</f>
        <v>11</v>
      </c>
      <c r="AD332" s="439" t="s">
        <v>1657</v>
      </c>
      <c r="AE332" s="430"/>
      <c r="AF332" s="430" t="s">
        <v>122</v>
      </c>
      <c r="AG332" s="430" t="s">
        <v>123</v>
      </c>
      <c r="AH332" s="430" t="s">
        <v>105</v>
      </c>
      <c r="AI332" s="437">
        <v>46103</v>
      </c>
      <c r="AJ332" s="437">
        <v>46103</v>
      </c>
      <c r="AK332" s="441">
        <v>46103</v>
      </c>
      <c r="AL332" s="437">
        <v>46140</v>
      </c>
      <c r="AM332" s="437">
        <v>46150</v>
      </c>
      <c r="AN332" s="437">
        <v>46148</v>
      </c>
      <c r="AO332" s="430" t="s">
        <v>402</v>
      </c>
      <c r="AP332" s="430" t="s">
        <v>925</v>
      </c>
      <c r="AQ332" s="430" t="s">
        <v>80</v>
      </c>
      <c r="AR332" s="430" t="s">
        <v>1658</v>
      </c>
      <c r="AS332" s="430" t="s">
        <v>1659</v>
      </c>
      <c r="AT332" s="482" t="s">
        <v>1659</v>
      </c>
      <c r="AU3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7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7">
        <f>IF(ISERROR(PV_DATA[[#This Row],[New Ark PO status]]),"",_xlfn.XLOOKUP(PV_DATA[[#This Row],[SPTN-PVHK New Ark PO'#]],New_Ark_Data[Purchase order Number],New_Ark_Data[Estimated time of arrival],"",0))</f>
        <v>46164</v>
      </c>
      <c r="AZ3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7">
        <f>IFERROR(PV_DATA[[#This Row],[ODP ETA Port]]+PV_DATA[[#This Row],[Customs/Leg3 Assumption]],"n/a")</f>
        <v>46155</v>
      </c>
      <c r="BB332" s="433">
        <f>YEAR(PV_DATA[[#This Row],[ETA for New Ark update]])</f>
        <v>2026</v>
      </c>
      <c r="BC332" s="430">
        <f>MONTH(PV_DATA[[#This Row],[ETA for New Ark update]])</f>
        <v>5</v>
      </c>
      <c r="BD332" s="430">
        <f>IFERROR(_xlfn.ISOWEEKNUM(PV_DATA[[#This Row],[ETA for New Ark update]]),0)</f>
        <v>20</v>
      </c>
      <c r="BE332" s="431">
        <f>_xlfn.XLOOKUP(PV_DATA[[#This Row],[New Ark SKU]],Table9[New Ark SKU],Table9[Total PCS per Pallet],,0)</f>
        <v>36</v>
      </c>
      <c r="BF332" s="431">
        <f>_xlfn.XLOOKUP(PV_DATA[[#This Row],[New Ark SKU]],Table9[New Ark SKU],Table9[Total PCS per 40HQ Container],,0)</f>
        <v>720</v>
      </c>
      <c r="BG332" s="431" t="str">
        <f>_xlfn.XLOOKUP(PV_DATA[[#This Row],[New Ark SKU]],Table9[New Ark SKU],Table9[Back Glass],,0)</f>
        <v>Redirection Film</v>
      </c>
      <c r="BH332" s="431" t="str">
        <f>_xlfn.XLOOKUP(PV_DATA[[#This Row],[PORT DESTINATION]],Table12[PORT DESTINATION],Table12[Cosco Line],,0)</f>
        <v>AEU</v>
      </c>
      <c r="BJ332" s="430"/>
    </row>
    <row r="333" spans="1:62">
      <c r="A333" s="462" t="s">
        <v>1660</v>
      </c>
      <c r="B333" s="462" t="s">
        <v>111</v>
      </c>
      <c r="C333" s="462" t="str">
        <f>IFERROR(LEFT(PV_DATA[[#This Row],[TCL REFERENCE]],FIND(".",PV_DATA[[#This Row],[TCL REFERENCE]],1)-1),"Main Line")</f>
        <v>26Feb032</v>
      </c>
      <c r="D333" s="462" t="s">
        <v>63</v>
      </c>
      <c r="E333" s="462" t="s">
        <v>64</v>
      </c>
      <c r="F333" s="462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2" t="s">
        <v>402</v>
      </c>
      <c r="H333" s="462" t="s">
        <v>67</v>
      </c>
      <c r="I333" s="439" t="s">
        <v>689</v>
      </c>
      <c r="J333" s="430" t="s">
        <v>101</v>
      </c>
      <c r="K333" s="430"/>
      <c r="L333" s="430"/>
      <c r="M333" s="430" t="s">
        <v>68</v>
      </c>
      <c r="N333" s="432">
        <v>46093</v>
      </c>
      <c r="O333" s="430" t="s">
        <v>70</v>
      </c>
      <c r="P333" s="459" t="s">
        <v>1483</v>
      </c>
      <c r="Q333" s="430" t="s">
        <v>1484</v>
      </c>
      <c r="R333" s="431" t="str">
        <f>_xlfn.XLOOKUP(PV_DATA[[#This Row],[New Ark SKU]],Table9[New Ark SKU],Table9[Connector],,0)</f>
        <v>EVO2A</v>
      </c>
      <c r="S333" s="442" t="str">
        <f>_xlfn.XLOOKUP(PV_DATA[[#This Row],[New Ark SKU]],Table9[New Ark SKU],Table9[Cable],,0)</f>
        <v>±1400mm</v>
      </c>
      <c r="T333" s="433">
        <v>725</v>
      </c>
      <c r="U333" s="1088">
        <f>594*15</f>
        <v>8910</v>
      </c>
      <c r="V333" s="434">
        <f>PV_DATA[[#This Row],[QUANTITY]]*PV_DATA[[#This Row],[WATT]]/1000000</f>
        <v>6.4597499999999997</v>
      </c>
      <c r="W333" s="435">
        <v>270</v>
      </c>
      <c r="X333" s="1045">
        <v>15</v>
      </c>
      <c r="Y333" s="430" t="s">
        <v>75</v>
      </c>
      <c r="Z333" s="430" t="str">
        <f t="shared" si="2"/>
        <v>COMPLETED</v>
      </c>
      <c r="AA333" s="430"/>
      <c r="AB333" s="437">
        <v>46096</v>
      </c>
      <c r="AC333" s="438">
        <f>IF(PV_DATA[[#This Row],[Pick- Up Date]]&lt;&gt;"",_xlfn.ISOWEEKNUM(PV_DATA[[#This Row],[Pick- Up Date]]),"")</f>
        <v>11</v>
      </c>
      <c r="AD333" s="439" t="s">
        <v>1661</v>
      </c>
      <c r="AE333" s="430"/>
      <c r="AF333" s="430" t="s">
        <v>4413</v>
      </c>
      <c r="AG333" s="430" t="s">
        <v>123</v>
      </c>
      <c r="AH333" s="430" t="s">
        <v>105</v>
      </c>
      <c r="AI333" s="437">
        <v>46102</v>
      </c>
      <c r="AJ333" s="437">
        <v>46112</v>
      </c>
      <c r="AK333" s="441">
        <v>46112</v>
      </c>
      <c r="AL333" s="437">
        <v>46144</v>
      </c>
      <c r="AM333" s="437">
        <v>46154</v>
      </c>
      <c r="AN333" s="437">
        <v>46157</v>
      </c>
      <c r="AO333" s="430" t="s">
        <v>402</v>
      </c>
      <c r="AP333" s="430" t="s">
        <v>1644</v>
      </c>
      <c r="AQ333" s="430" t="s">
        <v>80</v>
      </c>
      <c r="AR333" s="430" t="s">
        <v>1662</v>
      </c>
      <c r="AS333" s="430" t="s">
        <v>1663</v>
      </c>
      <c r="AT333" s="482" t="s">
        <v>1663</v>
      </c>
      <c r="AU3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7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7">
        <f>IF(ISERROR(PV_DATA[[#This Row],[New Ark PO status]]),"",_xlfn.XLOOKUP(PV_DATA[[#This Row],[SPTN-PVHK New Ark PO'#]],New_Ark_Data[Purchase order Number],New_Ark_Data[Estimated time of arrival],"",0))</f>
        <v>46169</v>
      </c>
      <c r="AZ3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7">
        <f>IFERROR(PV_DATA[[#This Row],[ODP ETA Port]]+PV_DATA[[#This Row],[Customs/Leg3 Assumption]],"n/a")</f>
        <v>46164</v>
      </c>
      <c r="BB333" s="433">
        <f>YEAR(PV_DATA[[#This Row],[ETA for New Ark update]])</f>
        <v>2026</v>
      </c>
      <c r="BC333" s="430">
        <f>MONTH(PV_DATA[[#This Row],[ETA for New Ark update]])</f>
        <v>5</v>
      </c>
      <c r="BD333" s="430">
        <f>IFERROR(_xlfn.ISOWEEKNUM(PV_DATA[[#This Row],[ETA for New Ark update]]),0)</f>
        <v>21</v>
      </c>
      <c r="BE333" s="431">
        <v>33</v>
      </c>
      <c r="BF333" s="431">
        <v>594</v>
      </c>
      <c r="BG333" s="431" t="str">
        <f>_xlfn.XLOOKUP(PV_DATA[[#This Row],[New Ark SKU]],Table9[New Ark SKU],Table9[Back Glass],,0)</f>
        <v>Redirection Film</v>
      </c>
      <c r="BH333" s="431" t="str">
        <f>_xlfn.XLOOKUP(PV_DATA[[#This Row],[PORT DESTINATION]],Table12[PORT DESTINATION],Table12[Cosco Line],,0)</f>
        <v>AEU</v>
      </c>
      <c r="BJ333" s="430"/>
    </row>
    <row r="334" spans="1:62" ht="10.5">
      <c r="A334" s="462" t="s">
        <v>1664</v>
      </c>
      <c r="B334" s="462" t="s">
        <v>111</v>
      </c>
      <c r="C334" s="462" t="str">
        <f>IFERROR(LEFT(PV_DATA[[#This Row],[TCL REFERENCE]],FIND(".",PV_DATA[[#This Row],[TCL REFERENCE]],1)-1),"Main Line")</f>
        <v>26Feb032</v>
      </c>
      <c r="D334" s="462" t="s">
        <v>63</v>
      </c>
      <c r="E334" s="462" t="s">
        <v>64</v>
      </c>
      <c r="F334" s="462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2" t="s">
        <v>402</v>
      </c>
      <c r="H334" s="462" t="s">
        <v>67</v>
      </c>
      <c r="I334" s="439" t="s">
        <v>689</v>
      </c>
      <c r="J334" s="430" t="s">
        <v>101</v>
      </c>
      <c r="K334" s="430"/>
      <c r="L334" s="430"/>
      <c r="M334" s="430" t="s">
        <v>68</v>
      </c>
      <c r="N334" s="432">
        <v>46093</v>
      </c>
      <c r="O334" s="430" t="s">
        <v>70</v>
      </c>
      <c r="P334" s="459" t="s">
        <v>1483</v>
      </c>
      <c r="Q334" s="430" t="s">
        <v>1484</v>
      </c>
      <c r="R334" s="431" t="str">
        <f>_xlfn.XLOOKUP(PV_DATA[[#This Row],[New Ark SKU]],Table9[New Ark SKU],Table9[Connector],,0)</f>
        <v>EVO2A</v>
      </c>
      <c r="S334" s="442" t="str">
        <f>_xlfn.XLOOKUP(PV_DATA[[#This Row],[New Ark SKU]],Table9[New Ark SKU],Table9[Cable],,0)</f>
        <v>±1400mm</v>
      </c>
      <c r="T334" s="433">
        <v>725</v>
      </c>
      <c r="U334" s="1088">
        <f>594*1</f>
        <v>594</v>
      </c>
      <c r="V334" s="434">
        <f>PV_DATA[[#This Row],[QUANTITY]]*PV_DATA[[#This Row],[WATT]]/1000000</f>
        <v>0.43064999999999998</v>
      </c>
      <c r="W334" s="435">
        <v>18</v>
      </c>
      <c r="X334" s="1040">
        <v>1</v>
      </c>
      <c r="Y334" s="430" t="s">
        <v>75</v>
      </c>
      <c r="Z334" s="430" t="str">
        <f t="shared" si="2"/>
        <v>COMPLETED</v>
      </c>
      <c r="AA334" s="430"/>
      <c r="AB334" s="437">
        <v>46097</v>
      </c>
      <c r="AC334" s="438">
        <f>IF(PV_DATA[[#This Row],[Pick- Up Date]]&lt;&gt;"",_xlfn.ISOWEEKNUM(PV_DATA[[#This Row],[Pick- Up Date]]),"")</f>
        <v>12</v>
      </c>
      <c r="AD334" s="439" t="s">
        <v>1665</v>
      </c>
      <c r="AE334" s="430"/>
      <c r="AF334" s="430" t="s">
        <v>122</v>
      </c>
      <c r="AG334" s="430" t="s">
        <v>123</v>
      </c>
      <c r="AH334" s="430" t="s">
        <v>105</v>
      </c>
      <c r="AI334" s="437">
        <v>46100</v>
      </c>
      <c r="AJ334" s="437">
        <v>46101</v>
      </c>
      <c r="AK334" s="441">
        <v>46101</v>
      </c>
      <c r="AL334" s="437">
        <v>46140</v>
      </c>
      <c r="AM334" s="437">
        <v>46151</v>
      </c>
      <c r="AN334" s="437">
        <v>46151</v>
      </c>
      <c r="AO334" s="430" t="s">
        <v>402</v>
      </c>
      <c r="AP334" s="430" t="s">
        <v>1666</v>
      </c>
      <c r="AQ334" s="430" t="s">
        <v>161</v>
      </c>
      <c r="AR334" s="430" t="s">
        <v>1667</v>
      </c>
      <c r="AS334" s="430" t="s">
        <v>1668</v>
      </c>
      <c r="AT334" s="482" t="s">
        <v>1669</v>
      </c>
      <c r="AU3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7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7">
        <f>IF(ISERROR(PV_DATA[[#This Row],[New Ark PO status]]),"",_xlfn.XLOOKUP(PV_DATA[[#This Row],[SPTN-PVHK New Ark PO'#]],New_Ark_Data[Purchase order Number],New_Ark_Data[Estimated time of arrival],"",0))</f>
        <v>46154</v>
      </c>
      <c r="AZ3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7">
        <f>IFERROR(PV_DATA[[#This Row],[ODP ETA Port]]+PV_DATA[[#This Row],[Customs/Leg3 Assumption]],"n/a")</f>
        <v>46158</v>
      </c>
      <c r="BB334" s="433">
        <f>YEAR(PV_DATA[[#This Row],[ETA for New Ark update]])</f>
        <v>2026</v>
      </c>
      <c r="BC334" s="430">
        <f>MONTH(PV_DATA[[#This Row],[ETA for New Ark update]])</f>
        <v>5</v>
      </c>
      <c r="BD334" s="430">
        <f>IFERROR(_xlfn.ISOWEEKNUM(PV_DATA[[#This Row],[ETA for New Ark update]]),0)</f>
        <v>20</v>
      </c>
      <c r="BE334" s="431">
        <v>33</v>
      </c>
      <c r="BF334" s="431">
        <v>594</v>
      </c>
      <c r="BG334" s="431" t="str">
        <f>_xlfn.XLOOKUP(PV_DATA[[#This Row],[New Ark SKU]],Table9[New Ark SKU],Table9[Back Glass],,0)</f>
        <v>Redirection Film</v>
      </c>
      <c r="BH334" s="431" t="str">
        <f>_xlfn.XLOOKUP(PV_DATA[[#This Row],[PORT DESTINATION]],Table12[PORT DESTINATION],Table12[Cosco Line],,0)</f>
        <v>AEU</v>
      </c>
      <c r="BJ334" s="430"/>
    </row>
    <row r="335" spans="1:62" ht="10.5">
      <c r="A335" s="462" t="s">
        <v>1670</v>
      </c>
      <c r="B335" s="462" t="s">
        <v>111</v>
      </c>
      <c r="C335" s="462" t="str">
        <f>IFERROR(LEFT(PV_DATA[[#This Row],[TCL REFERENCE]],FIND(".",PV_DATA[[#This Row],[TCL REFERENCE]],1)-1),"Main Line")</f>
        <v>26Feb015</v>
      </c>
      <c r="D335" s="462" t="s">
        <v>63</v>
      </c>
      <c r="E335" s="462" t="s">
        <v>64</v>
      </c>
      <c r="F335" s="462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2" t="s">
        <v>402</v>
      </c>
      <c r="H335" s="462" t="s">
        <v>67</v>
      </c>
      <c r="I335" s="439" t="s">
        <v>689</v>
      </c>
      <c r="J335" s="430" t="s">
        <v>101</v>
      </c>
      <c r="K335" s="430"/>
      <c r="L335" s="430"/>
      <c r="M335" s="430" t="s">
        <v>68</v>
      </c>
      <c r="N335" s="432">
        <v>46048</v>
      </c>
      <c r="O335" s="430" t="s">
        <v>132</v>
      </c>
      <c r="P335" s="430" t="s">
        <v>133</v>
      </c>
      <c r="Q335" s="430" t="s">
        <v>134</v>
      </c>
      <c r="R335" s="431" t="str">
        <f>_xlfn.XLOOKUP(PV_DATA[[#This Row],[New Ark SKU]],Table9[New Ark SKU],Table9[Connector],,0)</f>
        <v>EVO2A</v>
      </c>
      <c r="S335" s="442" t="str">
        <f>_xlfn.XLOOKUP(PV_DATA[[#This Row],[New Ark SKU]],Table9[New Ark SKU],Table9[Cable],,0)</f>
        <v>±1400mm</v>
      </c>
      <c r="T335" s="433">
        <v>720</v>
      </c>
      <c r="U335" s="1088">
        <v>2970</v>
      </c>
      <c r="V335" s="434">
        <f>PV_DATA[[#This Row],[QUANTITY]]*PV_DATA[[#This Row],[WATT]]/1000000</f>
        <v>2.1383999999999999</v>
      </c>
      <c r="W335" s="435">
        <f>PV_DATA[[#This Row],[QUANTITY]]/PV_DATA[[#This Row],[Qty/Pallet]]</f>
        <v>90</v>
      </c>
      <c r="X335" s="1040">
        <f>PV_DATA[[#This Row],[QUANTITY]]/PV_DATA[[#This Row],[Qty/CT]]</f>
        <v>5</v>
      </c>
      <c r="Y335" s="430" t="s">
        <v>75</v>
      </c>
      <c r="Z335" s="430" t="str">
        <f t="shared" si="2"/>
        <v>COMPLETED</v>
      </c>
      <c r="AA335" s="430"/>
      <c r="AB335" s="437">
        <v>46097</v>
      </c>
      <c r="AC335" s="438">
        <f>IF(PV_DATA[[#This Row],[Pick- Up Date]]&lt;&gt;"",_xlfn.ISOWEEKNUM(PV_DATA[[#This Row],[Pick- Up Date]]),"")</f>
        <v>12</v>
      </c>
      <c r="AD335" s="439" t="s">
        <v>1671</v>
      </c>
      <c r="AE335" s="430"/>
      <c r="AF335" s="430" t="s">
        <v>122</v>
      </c>
      <c r="AG335" s="430" t="s">
        <v>123</v>
      </c>
      <c r="AH335" s="430" t="s">
        <v>105</v>
      </c>
      <c r="AI335" s="437">
        <v>46100</v>
      </c>
      <c r="AJ335" s="437">
        <v>46101</v>
      </c>
      <c r="AK335" s="441">
        <v>46101</v>
      </c>
      <c r="AL335" s="437">
        <v>46140</v>
      </c>
      <c r="AM335" s="437">
        <v>46151</v>
      </c>
      <c r="AN335" s="437">
        <v>46151</v>
      </c>
      <c r="AO335" s="430" t="s">
        <v>402</v>
      </c>
      <c r="AP335" s="430" t="s">
        <v>1666</v>
      </c>
      <c r="AQ335" s="430" t="s">
        <v>161</v>
      </c>
      <c r="AR335" s="430" t="s">
        <v>1667</v>
      </c>
      <c r="AS335" s="430" t="s">
        <v>1668</v>
      </c>
      <c r="AT335" s="482" t="s">
        <v>1669</v>
      </c>
      <c r="AU3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7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7">
        <f>IF(ISERROR(PV_DATA[[#This Row],[New Ark PO status]]),"",_xlfn.XLOOKUP(PV_DATA[[#This Row],[SPTN-PVHK New Ark PO'#]],New_Ark_Data[Purchase order Number],New_Ark_Data[Estimated time of arrival],"",0))</f>
        <v>46154</v>
      </c>
      <c r="AZ3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7">
        <f>IFERROR(PV_DATA[[#This Row],[ODP ETA Port]]+PV_DATA[[#This Row],[Customs/Leg3 Assumption]],"n/a")</f>
        <v>46158</v>
      </c>
      <c r="BB335" s="433">
        <f>YEAR(PV_DATA[[#This Row],[ETA for New Ark update]])</f>
        <v>2026</v>
      </c>
      <c r="BC335" s="430">
        <f>MONTH(PV_DATA[[#This Row],[ETA for New Ark update]])</f>
        <v>5</v>
      </c>
      <c r="BD335" s="430">
        <f>IFERROR(_xlfn.ISOWEEKNUM(PV_DATA[[#This Row],[ETA for New Ark update]]),0)</f>
        <v>20</v>
      </c>
      <c r="BE335" s="431">
        <f>_xlfn.XLOOKUP(PV_DATA[[#This Row],[New Ark SKU]],Table9[New Ark SKU],Table9[Total PCS per Pallet],,0)</f>
        <v>33</v>
      </c>
      <c r="BF335" s="431">
        <f>_xlfn.XLOOKUP(PV_DATA[[#This Row],[New Ark SKU]],Table9[New Ark SKU],Table9[Total PCS per 40HQ Container],,0)</f>
        <v>594</v>
      </c>
      <c r="BG335" s="431" t="str">
        <f>_xlfn.XLOOKUP(PV_DATA[[#This Row],[New Ark SKU]],Table9[New Ark SKU],Table9[Back Glass],,0)</f>
        <v>White glazing</v>
      </c>
      <c r="BH335" s="431" t="str">
        <f>_xlfn.XLOOKUP(PV_DATA[[#This Row],[PORT DESTINATION]],Table12[PORT DESTINATION],Table12[Cosco Line],,0)</f>
        <v>AEU</v>
      </c>
      <c r="BJ335" s="430"/>
    </row>
    <row r="336" spans="1:62" ht="10.5">
      <c r="A336" s="462" t="s">
        <v>1672</v>
      </c>
      <c r="B336" s="462" t="s">
        <v>111</v>
      </c>
      <c r="C336" s="462" t="str">
        <f>IFERROR(LEFT(PV_DATA[[#This Row],[TCL REFERENCE]],FIND(".",PV_DATA[[#This Row],[TCL REFERENCE]],1)-1),"Main Line")</f>
        <v>26Feb008</v>
      </c>
      <c r="D336" s="462" t="s">
        <v>63</v>
      </c>
      <c r="E336" s="462" t="s">
        <v>64</v>
      </c>
      <c r="F336" s="462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2" t="s">
        <v>402</v>
      </c>
      <c r="H336" s="462" t="s">
        <v>67</v>
      </c>
      <c r="I336" s="439" t="s">
        <v>689</v>
      </c>
      <c r="J336" s="430" t="s">
        <v>483</v>
      </c>
      <c r="K336" s="430"/>
      <c r="L336" s="430"/>
      <c r="M336" s="430" t="s">
        <v>68</v>
      </c>
      <c r="N336" s="432">
        <v>46083</v>
      </c>
      <c r="O336" s="430" t="s">
        <v>473</v>
      </c>
      <c r="P336" s="430" t="s">
        <v>474</v>
      </c>
      <c r="Q336" s="430" t="s">
        <v>1319</v>
      </c>
      <c r="R336" s="431" t="str">
        <f>_xlfn.XLOOKUP(PV_DATA[[#This Row],[New Ark SKU]],Table9[New Ark SKU],Table9[Connector],,0)</f>
        <v>EVO2A</v>
      </c>
      <c r="S336" s="442" t="str">
        <f>_xlfn.XLOOKUP(PV_DATA[[#This Row],[New Ark SKU]],Table9[New Ark SKU],Table9[Cable],,0)</f>
        <v>±1200mm</v>
      </c>
      <c r="T336" s="433">
        <v>460</v>
      </c>
      <c r="U336" s="1088">
        <f>864*7</f>
        <v>6048</v>
      </c>
      <c r="V336" s="434">
        <f>PV_DATA[[#This Row],[QUANTITY]]*PV_DATA[[#This Row],[WATT]]/1000000</f>
        <v>2.7820800000000001</v>
      </c>
      <c r="W336" s="435">
        <f>PV_DATA[[#This Row],[QUANTITY]]/PV_DATA[[#This Row],[Qty/Pallet]]</f>
        <v>168</v>
      </c>
      <c r="X336" s="1040">
        <f>PV_DATA[[#This Row],[QUANTITY]]/PV_DATA[[#This Row],[Qty/CT]]</f>
        <v>7</v>
      </c>
      <c r="Y336" s="430" t="s">
        <v>75</v>
      </c>
      <c r="Z336" s="430" t="str">
        <f t="shared" si="2"/>
        <v>COMPLETED</v>
      </c>
      <c r="AA336" s="430" t="s">
        <v>1548</v>
      </c>
      <c r="AB336" s="437">
        <v>46097</v>
      </c>
      <c r="AC336" s="438">
        <f>IF(PV_DATA[[#This Row],[Pick- Up Date]]&lt;&gt;"",_xlfn.ISOWEEKNUM(PV_DATA[[#This Row],[Pick- Up Date]]),"")</f>
        <v>12</v>
      </c>
      <c r="AD336" s="439" t="s">
        <v>1673</v>
      </c>
      <c r="AE336" s="430"/>
      <c r="AF336" s="430" t="s">
        <v>122</v>
      </c>
      <c r="AG336" s="430" t="s">
        <v>123</v>
      </c>
      <c r="AH336" s="430" t="s">
        <v>105</v>
      </c>
      <c r="AI336" s="437">
        <v>46100</v>
      </c>
      <c r="AJ336" s="437">
        <v>46101</v>
      </c>
      <c r="AK336" s="441">
        <v>46101</v>
      </c>
      <c r="AL336" s="437">
        <v>46147</v>
      </c>
      <c r="AM336" s="437">
        <v>46151</v>
      </c>
      <c r="AN336" s="437">
        <v>46152</v>
      </c>
      <c r="AO336" s="430" t="s">
        <v>402</v>
      </c>
      <c r="AP336" s="430" t="s">
        <v>1674</v>
      </c>
      <c r="AQ336" s="430" t="s">
        <v>161</v>
      </c>
      <c r="AR336" s="430" t="s">
        <v>1675</v>
      </c>
      <c r="AS336" s="430" t="s">
        <v>1676</v>
      </c>
      <c r="AT336" s="482" t="s">
        <v>1677</v>
      </c>
      <c r="AU3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7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7">
        <f>IF(ISERROR(PV_DATA[[#This Row],[New Ark PO status]]),"",_xlfn.XLOOKUP(PV_DATA[[#This Row],[SPTN-PVHK New Ark PO'#]],New_Ark_Data[Purchase order Number],New_Ark_Data[Estimated time of arrival],"",0))</f>
        <v>46154</v>
      </c>
      <c r="AZ3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7">
        <f>IFERROR(PV_DATA[[#This Row],[ODP ETA Port]]+PV_DATA[[#This Row],[Customs/Leg3 Assumption]],"n/a")</f>
        <v>46159</v>
      </c>
      <c r="BB336" s="433">
        <f>YEAR(PV_DATA[[#This Row],[ETA for New Ark update]])</f>
        <v>2026</v>
      </c>
      <c r="BC336" s="430">
        <f>MONTH(PV_DATA[[#This Row],[ETA for New Ark update]])</f>
        <v>5</v>
      </c>
      <c r="BD336" s="430">
        <f>IFERROR(_xlfn.ISOWEEKNUM(PV_DATA[[#This Row],[ETA for New Ark update]]),0)</f>
        <v>20</v>
      </c>
      <c r="BE336" s="431">
        <f>_xlfn.XLOOKUP(PV_DATA[[#This Row],[New Ark SKU]],Table9[New Ark SKU],Table9[Total PCS per Pallet],,0)</f>
        <v>36</v>
      </c>
      <c r="BF336" s="431">
        <f>_xlfn.XLOOKUP(PV_DATA[[#This Row],[New Ark SKU]],Table9[New Ark SKU],Table9[Total PCS per 40HQ Container],,0)</f>
        <v>864</v>
      </c>
      <c r="BG336" s="431" t="str">
        <f>_xlfn.XLOOKUP(PV_DATA[[#This Row],[New Ark SKU]],Table9[New Ark SKU],Table9[Back Glass],,0)</f>
        <v>Black glazing</v>
      </c>
      <c r="BH336" s="431" t="str">
        <f>_xlfn.XLOOKUP(PV_DATA[[#This Row],[PORT DESTINATION]],Table12[PORT DESTINATION],Table12[Cosco Line],,0)</f>
        <v>AEU</v>
      </c>
      <c r="BJ336" s="430"/>
    </row>
    <row r="337" spans="1:62" ht="10.5">
      <c r="A337" s="462" t="s">
        <v>1678</v>
      </c>
      <c r="B337" s="462" t="s">
        <v>111</v>
      </c>
      <c r="C337" s="462" t="str">
        <f>IFERROR(LEFT(PV_DATA[[#This Row],[TCL REFERENCE]],FIND(".",PV_DATA[[#This Row],[TCL REFERENCE]],1)-1),"Main Line")</f>
        <v>26Feb033</v>
      </c>
      <c r="D337" s="462" t="s">
        <v>63</v>
      </c>
      <c r="E337" s="462" t="s">
        <v>64</v>
      </c>
      <c r="F337" s="462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2" t="s">
        <v>402</v>
      </c>
      <c r="H337" s="462" t="s">
        <v>67</v>
      </c>
      <c r="I337" s="439" t="s">
        <v>689</v>
      </c>
      <c r="J337" s="430" t="s">
        <v>1680</v>
      </c>
      <c r="K337" s="430"/>
      <c r="L337" s="430"/>
      <c r="M337" s="430" t="s">
        <v>68</v>
      </c>
      <c r="N337" s="432">
        <v>46093</v>
      </c>
      <c r="O337" s="430" t="s">
        <v>70</v>
      </c>
      <c r="P337" s="430" t="s">
        <v>1681</v>
      </c>
      <c r="Q337" s="430" t="s">
        <v>1682</v>
      </c>
      <c r="R337" s="431" t="str">
        <f>_xlfn.XLOOKUP(PV_DATA[[#This Row],[New Ark SKU]],Table9[New Ark SKU],Table9[Connector],,0)</f>
        <v>EVO2A</v>
      </c>
      <c r="S337" s="442" t="str">
        <f>_xlfn.XLOOKUP(PV_DATA[[#This Row],[New Ark SKU]],Table9[New Ark SKU],Table9[Cable],,0)</f>
        <v>±1400mm</v>
      </c>
      <c r="T337" s="433">
        <v>730</v>
      </c>
      <c r="U337" s="1088">
        <f>594*3</f>
        <v>1782</v>
      </c>
      <c r="V337" s="434">
        <f>PV_DATA[[#This Row],[QUANTITY]]*PV_DATA[[#This Row],[WATT]]/1000000</f>
        <v>1.3008599999999999</v>
      </c>
      <c r="W337" s="435">
        <f>PV_DATA[[#This Row],[QUANTITY]]/PV_DATA[[#This Row],[Qty/Pallet]]</f>
        <v>54</v>
      </c>
      <c r="X337" s="1040">
        <f>PV_DATA[[#This Row],[QUANTITY]]/PV_DATA[[#This Row],[Qty/CT]]</f>
        <v>3</v>
      </c>
      <c r="Y337" s="430" t="s">
        <v>75</v>
      </c>
      <c r="Z337" s="430" t="str">
        <f t="shared" si="2"/>
        <v>COMPLETED</v>
      </c>
      <c r="AA337" s="430"/>
      <c r="AB337" s="437">
        <v>46096</v>
      </c>
      <c r="AC337" s="438">
        <f>IF(PV_DATA[[#This Row],[Pick- Up Date]]&lt;&gt;"",_xlfn.ISOWEEKNUM(PV_DATA[[#This Row],[Pick- Up Date]]),"")</f>
        <v>11</v>
      </c>
      <c r="AD337" s="439" t="s">
        <v>1683</v>
      </c>
      <c r="AE337" s="430"/>
      <c r="AF337" s="430" t="s">
        <v>122</v>
      </c>
      <c r="AG337" s="430" t="s">
        <v>123</v>
      </c>
      <c r="AH337" s="430" t="s">
        <v>105</v>
      </c>
      <c r="AI337" s="437">
        <v>46103</v>
      </c>
      <c r="AJ337" s="437">
        <v>46104</v>
      </c>
      <c r="AK337" s="441">
        <v>46104</v>
      </c>
      <c r="AL337" s="437">
        <v>46140</v>
      </c>
      <c r="AM337" s="437">
        <v>46151</v>
      </c>
      <c r="AN337" s="437">
        <v>46148</v>
      </c>
      <c r="AO337" s="430" t="s">
        <v>402</v>
      </c>
      <c r="AP337" s="430" t="s">
        <v>1684</v>
      </c>
      <c r="AQ337" s="430" t="s">
        <v>161</v>
      </c>
      <c r="AR337" s="430" t="s">
        <v>1685</v>
      </c>
      <c r="AS337" s="430" t="s">
        <v>1686</v>
      </c>
      <c r="AT337" s="482" t="s">
        <v>1687</v>
      </c>
      <c r="AU3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7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7">
        <f>IF(ISERROR(PV_DATA[[#This Row],[New Ark PO status]]),"",_xlfn.XLOOKUP(PV_DATA[[#This Row],[SPTN-PVHK New Ark PO'#]],New_Ark_Data[Purchase order Number],New_Ark_Data[Estimated time of arrival],"",0))</f>
        <v>46156</v>
      </c>
      <c r="AZ33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7">
        <f>IFERROR(PV_DATA[[#This Row],[ODP ETA Port]]+PV_DATA[[#This Row],[Customs/Leg3 Assumption]],"n/a")</f>
        <v>46155</v>
      </c>
      <c r="BB337" s="433">
        <f>YEAR(PV_DATA[[#This Row],[ETA for New Ark update]])</f>
        <v>2026</v>
      </c>
      <c r="BC337" s="430">
        <f>MONTH(PV_DATA[[#This Row],[ETA for New Ark update]])</f>
        <v>5</v>
      </c>
      <c r="BD337" s="430">
        <f>IFERROR(_xlfn.ISOWEEKNUM(PV_DATA[[#This Row],[ETA for New Ark update]]),0)</f>
        <v>20</v>
      </c>
      <c r="BE337" s="431">
        <f>_xlfn.XLOOKUP(PV_DATA[[#This Row],[New Ark SKU]],Table9[New Ark SKU],Table9[Total PCS per Pallet],,0)</f>
        <v>33</v>
      </c>
      <c r="BF337" s="431">
        <f>_xlfn.XLOOKUP(PV_DATA[[#This Row],[New Ark SKU]],Table9[New Ark SKU],Table9[Total PCS per 40HQ Container],,0)</f>
        <v>594</v>
      </c>
      <c r="BG337" s="431" t="str">
        <f>_xlfn.XLOOKUP(PV_DATA[[#This Row],[New Ark SKU]],Table9[New Ark SKU],Table9[Back Glass],,0)</f>
        <v>Transparent</v>
      </c>
      <c r="BH337" s="431" t="str">
        <f>_xlfn.XLOOKUP(PV_DATA[[#This Row],[PORT DESTINATION]],Table12[PORT DESTINATION],Table12[Cosco Line],,0)</f>
        <v>AEU</v>
      </c>
      <c r="BJ337" s="430"/>
    </row>
    <row r="338" spans="1:62" ht="10.5">
      <c r="A338" s="462" t="s">
        <v>1688</v>
      </c>
      <c r="B338" s="462" t="s">
        <v>111</v>
      </c>
      <c r="C338" s="462" t="str">
        <f>IFERROR(LEFT(PV_DATA[[#This Row],[TCL REFERENCE]],FIND(".",PV_DATA[[#This Row],[TCL REFERENCE]],1)-1),"Main Line")</f>
        <v>26Feb025</v>
      </c>
      <c r="D338" s="462" t="s">
        <v>63</v>
      </c>
      <c r="E338" s="462" t="s">
        <v>64</v>
      </c>
      <c r="F338" s="462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2" t="s">
        <v>402</v>
      </c>
      <c r="H338" s="462" t="s">
        <v>67</v>
      </c>
      <c r="I338" s="439" t="s">
        <v>689</v>
      </c>
      <c r="J338" s="430" t="s">
        <v>101</v>
      </c>
      <c r="K338" s="430"/>
      <c r="L338" s="430"/>
      <c r="M338" s="430" t="s">
        <v>68</v>
      </c>
      <c r="N338" s="432">
        <v>46097</v>
      </c>
      <c r="O338" s="430" t="s">
        <v>70</v>
      </c>
      <c r="P338" s="430" t="s">
        <v>1461</v>
      </c>
      <c r="Q338" s="430" t="s">
        <v>103</v>
      </c>
      <c r="R338" s="431" t="str">
        <f>_xlfn.XLOOKUP(PV_DATA[[#This Row],[New Ark SKU]],Table9[New Ark SKU],Table9[Connector],,0)</f>
        <v>EVO2A</v>
      </c>
      <c r="S338" s="442" t="str">
        <f>_xlfn.XLOOKUP(PV_DATA[[#This Row],[New Ark SKU]],Table9[New Ark SKU],Table9[Cable],,0)</f>
        <v>±1400mm</v>
      </c>
      <c r="T338" s="433">
        <v>620</v>
      </c>
      <c r="U338" s="1088">
        <f>720*3</f>
        <v>2160</v>
      </c>
      <c r="V338" s="434">
        <f>PV_DATA[[#This Row],[QUANTITY]]*PV_DATA[[#This Row],[WATT]]/1000000</f>
        <v>1.3391999999999999</v>
      </c>
      <c r="W338" s="435">
        <f>PV_DATA[[#This Row],[QUANTITY]]/PV_DATA[[#This Row],[Qty/Pallet]]</f>
        <v>60</v>
      </c>
      <c r="X338" s="1040">
        <f>PV_DATA[[#This Row],[QUANTITY]]/PV_DATA[[#This Row],[Qty/CT]]</f>
        <v>3</v>
      </c>
      <c r="Y338" s="430" t="s">
        <v>75</v>
      </c>
      <c r="Z338" s="430" t="str">
        <f t="shared" si="2"/>
        <v>COMPLETED</v>
      </c>
      <c r="AA338" s="430"/>
      <c r="AB338" s="437">
        <v>46096</v>
      </c>
      <c r="AC338" s="438">
        <f>IF(PV_DATA[[#This Row],[Pick- Up Date]]&lt;&gt;"",_xlfn.ISOWEEKNUM(PV_DATA[[#This Row],[Pick- Up Date]]),"")</f>
        <v>11</v>
      </c>
      <c r="AD338" s="439" t="s">
        <v>1689</v>
      </c>
      <c r="AE338" s="430"/>
      <c r="AF338" s="430" t="s">
        <v>122</v>
      </c>
      <c r="AG338" s="430" t="s">
        <v>123</v>
      </c>
      <c r="AH338" s="430" t="s">
        <v>105</v>
      </c>
      <c r="AI338" s="437">
        <v>46103</v>
      </c>
      <c r="AJ338" s="437">
        <v>46104</v>
      </c>
      <c r="AK338" s="441">
        <v>46104</v>
      </c>
      <c r="AL338" s="437">
        <v>46140</v>
      </c>
      <c r="AM338" s="437">
        <v>46151</v>
      </c>
      <c r="AN338" s="437">
        <v>46148</v>
      </c>
      <c r="AO338" s="430" t="s">
        <v>402</v>
      </c>
      <c r="AP338" s="430" t="s">
        <v>1684</v>
      </c>
      <c r="AQ338" s="430" t="s">
        <v>161</v>
      </c>
      <c r="AR338" s="430" t="s">
        <v>1685</v>
      </c>
      <c r="AS338" s="430" t="s">
        <v>1686</v>
      </c>
      <c r="AT338" s="482" t="s">
        <v>1687</v>
      </c>
      <c r="AU3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7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7">
        <f>IF(ISERROR(PV_DATA[[#This Row],[New Ark PO status]]),"",_xlfn.XLOOKUP(PV_DATA[[#This Row],[SPTN-PVHK New Ark PO'#]],New_Ark_Data[Purchase order Number],New_Ark_Data[Estimated time of arrival],"",0))</f>
        <v>46156</v>
      </c>
      <c r="AZ33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7">
        <f>IFERROR(PV_DATA[[#This Row],[ODP ETA Port]]+PV_DATA[[#This Row],[Customs/Leg3 Assumption]],"n/a")</f>
        <v>46155</v>
      </c>
      <c r="BB338" s="433">
        <f>YEAR(PV_DATA[[#This Row],[ETA for New Ark update]])</f>
        <v>2026</v>
      </c>
      <c r="BC338" s="430">
        <f>MONTH(PV_DATA[[#This Row],[ETA for New Ark update]])</f>
        <v>5</v>
      </c>
      <c r="BD338" s="430">
        <f>IFERROR(_xlfn.ISOWEEKNUM(PV_DATA[[#This Row],[ETA for New Ark update]]),0)</f>
        <v>20</v>
      </c>
      <c r="BE338" s="431">
        <f>_xlfn.XLOOKUP(PV_DATA[[#This Row],[New Ark SKU]],Table9[New Ark SKU],Table9[Total PCS per Pallet],,0)</f>
        <v>36</v>
      </c>
      <c r="BF338" s="431">
        <f>_xlfn.XLOOKUP(PV_DATA[[#This Row],[New Ark SKU]],Table9[New Ark SKU],Table9[Total PCS per 40HQ Container],,0)</f>
        <v>720</v>
      </c>
      <c r="BG338" s="431" t="str">
        <f>_xlfn.XLOOKUP(PV_DATA[[#This Row],[New Ark SKU]],Table9[New Ark SKU],Table9[Back Glass],,0)</f>
        <v>Redirection Film</v>
      </c>
      <c r="BH338" s="431" t="str">
        <f>_xlfn.XLOOKUP(PV_DATA[[#This Row],[PORT DESTINATION]],Table12[PORT DESTINATION],Table12[Cosco Line],,0)</f>
        <v>AEU</v>
      </c>
      <c r="BJ338" s="430"/>
    </row>
    <row r="339" spans="1:62">
      <c r="A339" s="462" t="s">
        <v>1690</v>
      </c>
      <c r="B339" s="462" t="s">
        <v>111</v>
      </c>
      <c r="C339" s="462" t="str">
        <f>IFERROR(LEFT(PV_DATA[[#This Row],[TCL REFERENCE]],FIND(".",PV_DATA[[#This Row],[TCL REFERENCE]],1)-1),"Main Line")</f>
        <v>26Feb025</v>
      </c>
      <c r="D339" s="462" t="s">
        <v>63</v>
      </c>
      <c r="E339" s="462" t="s">
        <v>64</v>
      </c>
      <c r="F339" s="462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2" t="s">
        <v>402</v>
      </c>
      <c r="H339" s="462" t="s">
        <v>67</v>
      </c>
      <c r="I339" s="439" t="s">
        <v>689</v>
      </c>
      <c r="J339" s="430" t="s">
        <v>101</v>
      </c>
      <c r="K339" s="430"/>
      <c r="L339" s="430"/>
      <c r="M339" s="430" t="s">
        <v>68</v>
      </c>
      <c r="N339" s="432">
        <v>46097</v>
      </c>
      <c r="O339" s="430" t="s">
        <v>70</v>
      </c>
      <c r="P339" s="430" t="s">
        <v>1461</v>
      </c>
      <c r="Q339" s="430" t="s">
        <v>103</v>
      </c>
      <c r="R339" s="431" t="str">
        <f>_xlfn.XLOOKUP(PV_DATA[[#This Row],[New Ark SKU]],Table9[New Ark SKU],Table9[Connector],,0)</f>
        <v>EVO2A</v>
      </c>
      <c r="S339" s="442" t="str">
        <f>_xlfn.XLOOKUP(PV_DATA[[#This Row],[New Ark SKU]],Table9[New Ark SKU],Table9[Cable],,0)</f>
        <v>±1400mm</v>
      </c>
      <c r="T339" s="433">
        <v>620</v>
      </c>
      <c r="U339" s="1088">
        <f>720*15</f>
        <v>10800</v>
      </c>
      <c r="V339" s="434">
        <f>PV_DATA[[#This Row],[QUANTITY]]*PV_DATA[[#This Row],[WATT]]/1000000</f>
        <v>6.6959999999999997</v>
      </c>
      <c r="W339" s="435">
        <f>PV_DATA[[#This Row],[QUANTITY]]/PV_DATA[[#This Row],[Qty/Pallet]]</f>
        <v>300</v>
      </c>
      <c r="X339" s="1045">
        <f>PV_DATA[[#This Row],[QUANTITY]]/PV_DATA[[#This Row],[Qty/CT]]</f>
        <v>15</v>
      </c>
      <c r="Y339" s="430" t="s">
        <v>75</v>
      </c>
      <c r="Z339" s="430" t="str">
        <f t="shared" si="2"/>
        <v>COMPLETED</v>
      </c>
      <c r="AA339" s="430"/>
      <c r="AB339" s="437">
        <v>46097</v>
      </c>
      <c r="AC339" s="438">
        <f>IF(PV_DATA[[#This Row],[Pick- Up Date]]&lt;&gt;"",_xlfn.ISOWEEKNUM(PV_DATA[[#This Row],[Pick- Up Date]]),"")</f>
        <v>12</v>
      </c>
      <c r="AD339" s="439" t="s">
        <v>1691</v>
      </c>
      <c r="AE339" s="430"/>
      <c r="AF339" s="430" t="s">
        <v>4412</v>
      </c>
      <c r="AG339" s="430" t="s">
        <v>123</v>
      </c>
      <c r="AH339" s="430" t="s">
        <v>105</v>
      </c>
      <c r="AI339" s="437">
        <v>46102</v>
      </c>
      <c r="AJ339" s="437">
        <v>46112</v>
      </c>
      <c r="AK339" s="441">
        <v>46112</v>
      </c>
      <c r="AL339" s="437">
        <v>46140</v>
      </c>
      <c r="AM339" s="437">
        <v>46154</v>
      </c>
      <c r="AN339" s="437">
        <v>46157</v>
      </c>
      <c r="AO339" s="430" t="s">
        <v>402</v>
      </c>
      <c r="AP339" s="430" t="s">
        <v>1644</v>
      </c>
      <c r="AQ339" s="430" t="s">
        <v>80</v>
      </c>
      <c r="AR339" s="430" t="s">
        <v>1692</v>
      </c>
      <c r="AS339" s="430" t="s">
        <v>1693</v>
      </c>
      <c r="AT339" s="482" t="s">
        <v>1693</v>
      </c>
      <c r="AU3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7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7">
        <f>IF(ISERROR(PV_DATA[[#This Row],[New Ark PO status]]),"",_xlfn.XLOOKUP(PV_DATA[[#This Row],[SPTN-PVHK New Ark PO'#]],New_Ark_Data[Purchase order Number],New_Ark_Data[Estimated time of arrival],"",0))</f>
        <v>46171</v>
      </c>
      <c r="AZ33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7">
        <f>IFERROR(PV_DATA[[#This Row],[ODP ETA Port]]+PV_DATA[[#This Row],[Customs/Leg3 Assumption]],"n/a")</f>
        <v>46164</v>
      </c>
      <c r="BB339" s="433">
        <f>YEAR(PV_DATA[[#This Row],[ETA for New Ark update]])</f>
        <v>2026</v>
      </c>
      <c r="BC339" s="430">
        <f>MONTH(PV_DATA[[#This Row],[ETA for New Ark update]])</f>
        <v>5</v>
      </c>
      <c r="BD339" s="430">
        <f>IFERROR(_xlfn.ISOWEEKNUM(PV_DATA[[#This Row],[ETA for New Ark update]]),0)</f>
        <v>21</v>
      </c>
      <c r="BE339" s="431">
        <f>_xlfn.XLOOKUP(PV_DATA[[#This Row],[New Ark SKU]],Table9[New Ark SKU],Table9[Total PCS per Pallet],,0)</f>
        <v>36</v>
      </c>
      <c r="BF339" s="431">
        <f>_xlfn.XLOOKUP(PV_DATA[[#This Row],[New Ark SKU]],Table9[New Ark SKU],Table9[Total PCS per 40HQ Container],,0)</f>
        <v>720</v>
      </c>
      <c r="BG339" s="431" t="str">
        <f>_xlfn.XLOOKUP(PV_DATA[[#This Row],[New Ark SKU]],Table9[New Ark SKU],Table9[Back Glass],,0)</f>
        <v>Redirection Film</v>
      </c>
      <c r="BH339" s="431" t="str">
        <f>_xlfn.XLOOKUP(PV_DATA[[#This Row],[PORT DESTINATION]],Table12[PORT DESTINATION],Table12[Cosco Line],,0)</f>
        <v>AEU</v>
      </c>
      <c r="BJ339" s="430"/>
    </row>
    <row r="340" spans="1:62">
      <c r="A340" s="462" t="s">
        <v>1679</v>
      </c>
      <c r="B340" s="462" t="s">
        <v>111</v>
      </c>
      <c r="C340" s="462" t="str">
        <f>IFERROR(LEFT(PV_DATA[[#This Row],[TCL REFERENCE]],FIND(".",PV_DATA[[#This Row],[TCL REFERENCE]],1)-1),"Main Line")</f>
        <v>Main Line</v>
      </c>
      <c r="D340" s="462" t="s">
        <v>63</v>
      </c>
      <c r="E340" s="462" t="s">
        <v>64</v>
      </c>
      <c r="F340" s="462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2" t="s">
        <v>402</v>
      </c>
      <c r="H340" s="462" t="s">
        <v>67</v>
      </c>
      <c r="I340" s="439" t="s">
        <v>689</v>
      </c>
      <c r="J340" s="430" t="s">
        <v>1680</v>
      </c>
      <c r="K340" s="430"/>
      <c r="L340" s="430"/>
      <c r="M340" s="430" t="s">
        <v>68</v>
      </c>
      <c r="N340" s="432">
        <v>46093</v>
      </c>
      <c r="O340" s="430" t="s">
        <v>70</v>
      </c>
      <c r="P340" s="430" t="s">
        <v>1681</v>
      </c>
      <c r="Q340" s="430" t="s">
        <v>1682</v>
      </c>
      <c r="R340" s="431" t="str">
        <f>_xlfn.XLOOKUP(PV_DATA[[#This Row],[New Ark SKU]],Table9[New Ark SKU],Table9[Connector],,0)</f>
        <v>EVO2A</v>
      </c>
      <c r="S340" s="442" t="str">
        <f>_xlfn.XLOOKUP(PV_DATA[[#This Row],[New Ark SKU]],Table9[New Ark SKU],Table9[Cable],,0)</f>
        <v>±1400mm</v>
      </c>
      <c r="T340" s="433">
        <v>730</v>
      </c>
      <c r="U340" s="1088">
        <f>594*11</f>
        <v>6534</v>
      </c>
      <c r="V340" s="434">
        <f>PV_DATA[[#This Row],[QUANTITY]]*PV_DATA[[#This Row],[WATT]]/1000000</f>
        <v>4.7698200000000002</v>
      </c>
      <c r="W340" s="435">
        <f>PV_DATA[[#This Row],[QUANTITY]]/PV_DATA[[#This Row],[Qty/Pallet]]</f>
        <v>198</v>
      </c>
      <c r="X340" s="1045">
        <f>PV_DATA[[#This Row],[QUANTITY]]/PV_DATA[[#This Row],[Qty/CT]]</f>
        <v>11</v>
      </c>
      <c r="Y340" s="430" t="s">
        <v>75</v>
      </c>
      <c r="Z340" s="430" t="str">
        <f t="shared" si="2"/>
        <v>COMPLETED</v>
      </c>
      <c r="AA340" s="430"/>
      <c r="AB340" s="437">
        <v>46097</v>
      </c>
      <c r="AC340" s="438">
        <f>IF(PV_DATA[[#This Row],[Pick- Up Date]]&lt;&gt;"",_xlfn.ISOWEEKNUM(PV_DATA[[#This Row],[Pick- Up Date]]),"")</f>
        <v>12</v>
      </c>
      <c r="AD340" s="439" t="s">
        <v>1694</v>
      </c>
      <c r="AE340" s="430"/>
      <c r="AF340" s="430" t="s">
        <v>4414</v>
      </c>
      <c r="AG340" s="430" t="s">
        <v>123</v>
      </c>
      <c r="AH340" s="430" t="s">
        <v>105</v>
      </c>
      <c r="AI340" s="437">
        <v>46102</v>
      </c>
      <c r="AJ340" s="437">
        <v>46112</v>
      </c>
      <c r="AK340" s="441">
        <v>46112</v>
      </c>
      <c r="AL340" s="437">
        <v>46140</v>
      </c>
      <c r="AM340" s="437">
        <v>46154</v>
      </c>
      <c r="AN340" s="437">
        <v>46157</v>
      </c>
      <c r="AO340" s="430" t="s">
        <v>402</v>
      </c>
      <c r="AP340" s="430" t="s">
        <v>1644</v>
      </c>
      <c r="AQ340" s="430" t="s">
        <v>80</v>
      </c>
      <c r="AR340" s="430" t="s">
        <v>1695</v>
      </c>
      <c r="AS340" s="430" t="s">
        <v>1696</v>
      </c>
      <c r="AT340" s="482" t="s">
        <v>1696</v>
      </c>
      <c r="AU3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7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7">
        <f>IF(ISERROR(PV_DATA[[#This Row],[New Ark PO status]]),"",_xlfn.XLOOKUP(PV_DATA[[#This Row],[SPTN-PVHK New Ark PO'#]],New_Ark_Data[Purchase order Number],New_Ark_Data[Estimated time of arrival],"",0))</f>
        <v>46171</v>
      </c>
      <c r="AZ34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7">
        <f>IFERROR(PV_DATA[[#This Row],[ODP ETA Port]]+PV_DATA[[#This Row],[Customs/Leg3 Assumption]],"n/a")</f>
        <v>46164</v>
      </c>
      <c r="BB340" s="433">
        <f>YEAR(PV_DATA[[#This Row],[ETA for New Ark update]])</f>
        <v>2026</v>
      </c>
      <c r="BC340" s="430">
        <f>MONTH(PV_DATA[[#This Row],[ETA for New Ark update]])</f>
        <v>5</v>
      </c>
      <c r="BD340" s="430">
        <f>IFERROR(_xlfn.ISOWEEKNUM(PV_DATA[[#This Row],[ETA for New Ark update]]),0)</f>
        <v>21</v>
      </c>
      <c r="BE340" s="431">
        <f>_xlfn.XLOOKUP(PV_DATA[[#This Row],[New Ark SKU]],Table9[New Ark SKU],Table9[Total PCS per Pallet],,0)</f>
        <v>33</v>
      </c>
      <c r="BF340" s="431">
        <f>_xlfn.XLOOKUP(PV_DATA[[#This Row],[New Ark SKU]],Table9[New Ark SKU],Table9[Total PCS per 40HQ Container],,0)</f>
        <v>594</v>
      </c>
      <c r="BG340" s="431" t="str">
        <f>_xlfn.XLOOKUP(PV_DATA[[#This Row],[New Ark SKU]],Table9[New Ark SKU],Table9[Back Glass],,0)</f>
        <v>Transparent</v>
      </c>
      <c r="BH340" s="431" t="str">
        <f>_xlfn.XLOOKUP(PV_DATA[[#This Row],[PORT DESTINATION]],Table12[PORT DESTINATION],Table12[Cosco Line],,0)</f>
        <v>AEU</v>
      </c>
      <c r="BJ340" s="430"/>
    </row>
    <row r="341" spans="1:62">
      <c r="A341" s="462" t="s">
        <v>1697</v>
      </c>
      <c r="B341" s="462" t="s">
        <v>111</v>
      </c>
      <c r="C341" s="462" t="str">
        <f>IFERROR(LEFT(PV_DATA[[#This Row],[TCL REFERENCE]],FIND(".",PV_DATA[[#This Row],[TCL REFERENCE]],1)-1),"Main Line")</f>
        <v>26Feb025</v>
      </c>
      <c r="D341" s="462" t="s">
        <v>63</v>
      </c>
      <c r="E341" s="462" t="s">
        <v>64</v>
      </c>
      <c r="F341" s="462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2" t="s">
        <v>402</v>
      </c>
      <c r="H341" s="462" t="s">
        <v>67</v>
      </c>
      <c r="I341" s="439" t="s">
        <v>689</v>
      </c>
      <c r="J341" s="430" t="s">
        <v>917</v>
      </c>
      <c r="K341" s="430"/>
      <c r="L341" s="430"/>
      <c r="M341" s="430" t="s">
        <v>68</v>
      </c>
      <c r="N341" s="432">
        <v>46097</v>
      </c>
      <c r="O341" s="430" t="s">
        <v>70</v>
      </c>
      <c r="P341" s="430" t="s">
        <v>1461</v>
      </c>
      <c r="Q341" s="430" t="s">
        <v>103</v>
      </c>
      <c r="R341" s="431" t="str">
        <f>_xlfn.XLOOKUP(PV_DATA[[#This Row],[New Ark SKU]],Table9[New Ark SKU],Table9[Connector],,0)</f>
        <v>EVO2A</v>
      </c>
      <c r="S341" s="442" t="str">
        <f>_xlfn.XLOOKUP(PV_DATA[[#This Row],[New Ark SKU]],Table9[New Ark SKU],Table9[Cable],,0)</f>
        <v>±1400mm</v>
      </c>
      <c r="T341" s="433">
        <v>620</v>
      </c>
      <c r="U341" s="1088">
        <f>720*2</f>
        <v>1440</v>
      </c>
      <c r="V341" s="434">
        <f>PV_DATA[[#This Row],[QUANTITY]]*PV_DATA[[#This Row],[WATT]]/1000000</f>
        <v>0.89280000000000004</v>
      </c>
      <c r="W341" s="435">
        <f>PV_DATA[[#This Row],[QUANTITY]]/PV_DATA[[#This Row],[Qty/Pallet]]</f>
        <v>40</v>
      </c>
      <c r="X341" s="1045">
        <f>PV_DATA[[#This Row],[QUANTITY]]/PV_DATA[[#This Row],[Qty/CT]]</f>
        <v>2</v>
      </c>
      <c r="Y341" s="430" t="s">
        <v>75</v>
      </c>
      <c r="Z341" s="430" t="str">
        <f t="shared" si="2"/>
        <v>COMPLETED</v>
      </c>
      <c r="AA341" s="430"/>
      <c r="AB341" s="437">
        <v>46098</v>
      </c>
      <c r="AC341" s="438">
        <f>IF(PV_DATA[[#This Row],[Pick- Up Date]]&lt;&gt;"",_xlfn.ISOWEEKNUM(PV_DATA[[#This Row],[Pick- Up Date]]),"")</f>
        <v>12</v>
      </c>
      <c r="AD341" s="439" t="s">
        <v>1698</v>
      </c>
      <c r="AE341" s="430"/>
      <c r="AF341" s="430" t="s">
        <v>4414</v>
      </c>
      <c r="AG341" s="430" t="s">
        <v>123</v>
      </c>
      <c r="AH341" s="430" t="s">
        <v>105</v>
      </c>
      <c r="AI341" s="437">
        <v>46103</v>
      </c>
      <c r="AJ341" s="437">
        <v>46112</v>
      </c>
      <c r="AK341" s="441">
        <v>46112</v>
      </c>
      <c r="AL341" s="437">
        <v>46140</v>
      </c>
      <c r="AM341" s="437">
        <v>46154</v>
      </c>
      <c r="AN341" s="437">
        <v>46157</v>
      </c>
      <c r="AO341" s="430" t="s">
        <v>402</v>
      </c>
      <c r="AP341" s="430" t="s">
        <v>925</v>
      </c>
      <c r="AQ341" s="430" t="s">
        <v>80</v>
      </c>
      <c r="AR341" s="430" t="s">
        <v>1699</v>
      </c>
      <c r="AS341" s="430" t="s">
        <v>1700</v>
      </c>
      <c r="AT341" s="482" t="s">
        <v>1700</v>
      </c>
      <c r="AU3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7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7">
        <f>IF(ISERROR(PV_DATA[[#This Row],[New Ark PO status]]),"",_xlfn.XLOOKUP(PV_DATA[[#This Row],[SPTN-PVHK New Ark PO'#]],New_Ark_Data[Purchase order Number],New_Ark_Data[Estimated time of arrival],"",0))</f>
        <v>46171</v>
      </c>
      <c r="AZ34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7">
        <f>IFERROR(PV_DATA[[#This Row],[ODP ETA Port]]+PV_DATA[[#This Row],[Customs/Leg3 Assumption]],"n/a")</f>
        <v>46164</v>
      </c>
      <c r="BB341" s="433">
        <f>YEAR(PV_DATA[[#This Row],[ETA for New Ark update]])</f>
        <v>2026</v>
      </c>
      <c r="BC341" s="430">
        <f>MONTH(PV_DATA[[#This Row],[ETA for New Ark update]])</f>
        <v>5</v>
      </c>
      <c r="BD341" s="430">
        <f>IFERROR(_xlfn.ISOWEEKNUM(PV_DATA[[#This Row],[ETA for New Ark update]]),0)</f>
        <v>21</v>
      </c>
      <c r="BE341" s="431">
        <f>_xlfn.XLOOKUP(PV_DATA[[#This Row],[New Ark SKU]],Table9[New Ark SKU],Table9[Total PCS per Pallet],,0)</f>
        <v>36</v>
      </c>
      <c r="BF341" s="431">
        <f>_xlfn.XLOOKUP(PV_DATA[[#This Row],[New Ark SKU]],Table9[New Ark SKU],Table9[Total PCS per 40HQ Container],,0)</f>
        <v>720</v>
      </c>
      <c r="BG341" s="431" t="str">
        <f>_xlfn.XLOOKUP(PV_DATA[[#This Row],[New Ark SKU]],Table9[New Ark SKU],Table9[Back Glass],,0)</f>
        <v>Redirection Film</v>
      </c>
      <c r="BH341" s="431" t="str">
        <f>_xlfn.XLOOKUP(PV_DATA[[#This Row],[PORT DESTINATION]],Table12[PORT DESTINATION],Table12[Cosco Line],,0)</f>
        <v>AEU</v>
      </c>
      <c r="BJ341" s="430"/>
    </row>
    <row r="342" spans="1:62">
      <c r="A342" s="462" t="s">
        <v>1701</v>
      </c>
      <c r="B342" s="462" t="s">
        <v>111</v>
      </c>
      <c r="C342" s="462" t="str">
        <f>IFERROR(LEFT(PV_DATA[[#This Row],[TCL REFERENCE]],FIND(".",PV_DATA[[#This Row],[TCL REFERENCE]],1)-1),"Main Line")</f>
        <v>26Feb010</v>
      </c>
      <c r="D342" s="462" t="s">
        <v>63</v>
      </c>
      <c r="E342" s="462" t="s">
        <v>64</v>
      </c>
      <c r="F342" s="462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2" t="s">
        <v>402</v>
      </c>
      <c r="H342" s="462" t="s">
        <v>67</v>
      </c>
      <c r="I342" s="439" t="s">
        <v>689</v>
      </c>
      <c r="J342" s="430" t="s">
        <v>1702</v>
      </c>
      <c r="K342" s="430"/>
      <c r="L342" s="430"/>
      <c r="M342" s="430" t="s">
        <v>68</v>
      </c>
      <c r="N342" s="432">
        <v>46076</v>
      </c>
      <c r="O342" s="430" t="s">
        <v>132</v>
      </c>
      <c r="P342" s="430" t="s">
        <v>1062</v>
      </c>
      <c r="Q342" s="430" t="s">
        <v>1063</v>
      </c>
      <c r="R342" s="431" t="str">
        <f>_xlfn.XLOOKUP(PV_DATA[[#This Row],[New Ark SKU]],Table9[New Ark SKU],Table9[Connector],,0)</f>
        <v>EVO2A</v>
      </c>
      <c r="S342" s="442" t="str">
        <f>_xlfn.XLOOKUP(PV_DATA[[#This Row],[New Ark SKU]],Table9[New Ark SKU],Table9[Cable],,0)</f>
        <v>±1200mm</v>
      </c>
      <c r="T342" s="433">
        <v>470</v>
      </c>
      <c r="U342" s="1088">
        <v>1728</v>
      </c>
      <c r="V342" s="434">
        <f>PV_DATA[[#This Row],[QUANTITY]]*PV_DATA[[#This Row],[WATT]]/1000000</f>
        <v>0.81215999999999999</v>
      </c>
      <c r="W342" s="435">
        <f>PV_DATA[[#This Row],[QUANTITY]]/PV_DATA[[#This Row],[Qty/Pallet]]</f>
        <v>48</v>
      </c>
      <c r="X342" s="1045">
        <f>PV_DATA[[#This Row],[QUANTITY]]/PV_DATA[[#This Row],[Qty/CT]]</f>
        <v>2</v>
      </c>
      <c r="Y342" s="430" t="s">
        <v>75</v>
      </c>
      <c r="Z342" s="430" t="str">
        <f t="shared" si="2"/>
        <v>COMPLETED</v>
      </c>
      <c r="AA342" s="430"/>
      <c r="AB342" s="437">
        <v>46098</v>
      </c>
      <c r="AC342" s="438">
        <f>IF(PV_DATA[[#This Row],[Pick- Up Date]]&lt;&gt;"",_xlfn.ISOWEEKNUM(PV_DATA[[#This Row],[Pick- Up Date]]),"")</f>
        <v>12</v>
      </c>
      <c r="AD342" s="439" t="s">
        <v>1703</v>
      </c>
      <c r="AE342" s="430"/>
      <c r="AF342" s="430" t="s">
        <v>4414</v>
      </c>
      <c r="AG342" s="430" t="s">
        <v>123</v>
      </c>
      <c r="AH342" s="430" t="s">
        <v>105</v>
      </c>
      <c r="AI342" s="437">
        <v>46103</v>
      </c>
      <c r="AJ342" s="437">
        <v>46112</v>
      </c>
      <c r="AK342" s="441">
        <v>46112</v>
      </c>
      <c r="AL342" s="437">
        <v>46140</v>
      </c>
      <c r="AM342" s="437">
        <v>46154</v>
      </c>
      <c r="AN342" s="437">
        <v>46157</v>
      </c>
      <c r="AO342" s="430" t="s">
        <v>402</v>
      </c>
      <c r="AP342" s="430" t="s">
        <v>925</v>
      </c>
      <c r="AQ342" s="430" t="s">
        <v>80</v>
      </c>
      <c r="AR342" s="430" t="s">
        <v>1699</v>
      </c>
      <c r="AS342" s="430" t="s">
        <v>1700</v>
      </c>
      <c r="AT342" s="482" t="s">
        <v>1700</v>
      </c>
      <c r="AU3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7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7">
        <f>IF(ISERROR(PV_DATA[[#This Row],[New Ark PO status]]),"",_xlfn.XLOOKUP(PV_DATA[[#This Row],[SPTN-PVHK New Ark PO'#]],New_Ark_Data[Purchase order Number],New_Ark_Data[Estimated time of arrival],"",0))</f>
        <v>46171</v>
      </c>
      <c r="AZ34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7">
        <f>IFERROR(PV_DATA[[#This Row],[ODP ETA Port]]+PV_DATA[[#This Row],[Customs/Leg3 Assumption]],"n/a")</f>
        <v>46164</v>
      </c>
      <c r="BB342" s="433">
        <f>YEAR(PV_DATA[[#This Row],[ETA for New Ark update]])</f>
        <v>2026</v>
      </c>
      <c r="BC342" s="430">
        <f>MONTH(PV_DATA[[#This Row],[ETA for New Ark update]])</f>
        <v>5</v>
      </c>
      <c r="BD342" s="430">
        <f>IFERROR(_xlfn.ISOWEEKNUM(PV_DATA[[#This Row],[ETA for New Ark update]]),0)</f>
        <v>21</v>
      </c>
      <c r="BE342" s="431">
        <f>_xlfn.XLOOKUP(PV_DATA[[#This Row],[New Ark SKU]],Table9[New Ark SKU],Table9[Total PCS per Pallet],,0)</f>
        <v>36</v>
      </c>
      <c r="BF342" s="431">
        <f>_xlfn.XLOOKUP(PV_DATA[[#This Row],[New Ark SKU]],Table9[New Ark SKU],Table9[Total PCS per 40HQ Container],,0)</f>
        <v>864</v>
      </c>
      <c r="BG342" s="431" t="str">
        <f>_xlfn.XLOOKUP(PV_DATA[[#This Row],[New Ark SKU]],Table9[New Ark SKU],Table9[Back Glass],,0)</f>
        <v>White glazing</v>
      </c>
      <c r="BH342" s="431" t="str">
        <f>_xlfn.XLOOKUP(PV_DATA[[#This Row],[PORT DESTINATION]],Table12[PORT DESTINATION],Table12[Cosco Line],,0)</f>
        <v>AEU</v>
      </c>
      <c r="BJ342" s="430"/>
    </row>
    <row r="343" spans="1:62">
      <c r="A343" s="462" t="s">
        <v>1704</v>
      </c>
      <c r="B343" s="462" t="s">
        <v>111</v>
      </c>
      <c r="C343" s="462" t="str">
        <f>IFERROR(LEFT(PV_DATA[[#This Row],[TCL REFERENCE]],FIND(".",PV_DATA[[#This Row],[TCL REFERENCE]],1)-1),"Main Line")</f>
        <v>26Feb008</v>
      </c>
      <c r="D343" s="462" t="s">
        <v>63</v>
      </c>
      <c r="E343" s="462" t="s">
        <v>64</v>
      </c>
      <c r="F343" s="462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2" t="s">
        <v>402</v>
      </c>
      <c r="H343" s="462" t="s">
        <v>67</v>
      </c>
      <c r="I343" s="439" t="s">
        <v>689</v>
      </c>
      <c r="J343" s="430" t="s">
        <v>483</v>
      </c>
      <c r="K343" s="430"/>
      <c r="L343" s="430"/>
      <c r="M343" s="430" t="s">
        <v>68</v>
      </c>
      <c r="N343" s="432">
        <v>46083</v>
      </c>
      <c r="O343" s="430" t="s">
        <v>473</v>
      </c>
      <c r="P343" s="430" t="s">
        <v>474</v>
      </c>
      <c r="Q343" s="430" t="s">
        <v>1319</v>
      </c>
      <c r="R343" s="431" t="str">
        <f>_xlfn.XLOOKUP(PV_DATA[[#This Row],[New Ark SKU]],Table9[New Ark SKU],Table9[Connector],,0)</f>
        <v>EVO2A</v>
      </c>
      <c r="S343" s="442" t="str">
        <f>_xlfn.XLOOKUP(PV_DATA[[#This Row],[New Ark SKU]],Table9[New Ark SKU],Table9[Cable],,0)</f>
        <v>±1200mm</v>
      </c>
      <c r="T343" s="433">
        <v>460</v>
      </c>
      <c r="U343" s="1088">
        <f>864*4</f>
        <v>3456</v>
      </c>
      <c r="V343" s="434">
        <f>PV_DATA[[#This Row],[QUANTITY]]*PV_DATA[[#This Row],[WATT]]/1000000</f>
        <v>1.5897600000000001</v>
      </c>
      <c r="W343" s="435">
        <f>PV_DATA[[#This Row],[QUANTITY]]/PV_DATA[[#This Row],[Qty/Pallet]]</f>
        <v>96</v>
      </c>
      <c r="X343" s="1045">
        <f>PV_DATA[[#This Row],[QUANTITY]]/PV_DATA[[#This Row],[Qty/CT]]</f>
        <v>4</v>
      </c>
      <c r="Y343" s="430" t="s">
        <v>75</v>
      </c>
      <c r="Z343" s="430" t="str">
        <f t="shared" si="2"/>
        <v>COMPLETED</v>
      </c>
      <c r="AA343" s="430"/>
      <c r="AB343" s="437">
        <v>46098</v>
      </c>
      <c r="AC343" s="438">
        <f>IF(PV_DATA[[#This Row],[Pick- Up Date]]&lt;&gt;"",_xlfn.ISOWEEKNUM(PV_DATA[[#This Row],[Pick- Up Date]]),"")</f>
        <v>12</v>
      </c>
      <c r="AD343" s="439" t="s">
        <v>1705</v>
      </c>
      <c r="AE343" s="430"/>
      <c r="AF343" s="430" t="s">
        <v>4415</v>
      </c>
      <c r="AG343" s="430" t="s">
        <v>123</v>
      </c>
      <c r="AH343" s="430" t="s">
        <v>105</v>
      </c>
      <c r="AI343" s="437">
        <v>46103</v>
      </c>
      <c r="AJ343" s="437">
        <v>46112</v>
      </c>
      <c r="AK343" s="441">
        <v>46112</v>
      </c>
      <c r="AL343" s="437">
        <v>46140</v>
      </c>
      <c r="AM343" s="437">
        <v>46154</v>
      </c>
      <c r="AN343" s="437">
        <v>46157</v>
      </c>
      <c r="AO343" s="430" t="s">
        <v>402</v>
      </c>
      <c r="AP343" s="430" t="s">
        <v>925</v>
      </c>
      <c r="AQ343" s="430" t="s">
        <v>80</v>
      </c>
      <c r="AR343" s="430" t="s">
        <v>1699</v>
      </c>
      <c r="AS343" s="430" t="s">
        <v>1700</v>
      </c>
      <c r="AT343" s="482" t="s">
        <v>1700</v>
      </c>
      <c r="AU3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7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7">
        <f>IF(ISERROR(PV_DATA[[#This Row],[New Ark PO status]]),"",_xlfn.XLOOKUP(PV_DATA[[#This Row],[SPTN-PVHK New Ark PO'#]],New_Ark_Data[Purchase order Number],New_Ark_Data[Estimated time of arrival],"",0))</f>
        <v>46171</v>
      </c>
      <c r="AZ34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7">
        <f>IFERROR(PV_DATA[[#This Row],[ODP ETA Port]]+PV_DATA[[#This Row],[Customs/Leg3 Assumption]],"n/a")</f>
        <v>46164</v>
      </c>
      <c r="BB343" s="433">
        <f>YEAR(PV_DATA[[#This Row],[ETA for New Ark update]])</f>
        <v>2026</v>
      </c>
      <c r="BC343" s="430">
        <f>MONTH(PV_DATA[[#This Row],[ETA for New Ark update]])</f>
        <v>5</v>
      </c>
      <c r="BD343" s="430">
        <f>IFERROR(_xlfn.ISOWEEKNUM(PV_DATA[[#This Row],[ETA for New Ark update]]),0)</f>
        <v>21</v>
      </c>
      <c r="BE343" s="431">
        <f>_xlfn.XLOOKUP(PV_DATA[[#This Row],[New Ark SKU]],Table9[New Ark SKU],Table9[Total PCS per Pallet],,0)</f>
        <v>36</v>
      </c>
      <c r="BF343" s="431">
        <f>_xlfn.XLOOKUP(PV_DATA[[#This Row],[New Ark SKU]],Table9[New Ark SKU],Table9[Total PCS per 40HQ Container],,0)</f>
        <v>864</v>
      </c>
      <c r="BG343" s="431" t="str">
        <f>_xlfn.XLOOKUP(PV_DATA[[#This Row],[New Ark SKU]],Table9[New Ark SKU],Table9[Back Glass],,0)</f>
        <v>Black glazing</v>
      </c>
      <c r="BH343" s="431" t="str">
        <f>_xlfn.XLOOKUP(PV_DATA[[#This Row],[PORT DESTINATION]],Table12[PORT DESTINATION],Table12[Cosco Line],,0)</f>
        <v>AEU</v>
      </c>
      <c r="BJ343" s="430"/>
    </row>
    <row r="344" spans="1:62">
      <c r="A344" s="462" t="s">
        <v>1706</v>
      </c>
      <c r="B344" s="462" t="s">
        <v>111</v>
      </c>
      <c r="C344" s="462" t="str">
        <f>IFERROR(LEFT(PV_DATA[[#This Row],[TCL REFERENCE]],FIND(".",PV_DATA[[#This Row],[TCL REFERENCE]],1)-1),"Main Line")</f>
        <v>26Feb026</v>
      </c>
      <c r="D344" s="462" t="s">
        <v>63</v>
      </c>
      <c r="E344" s="462" t="s">
        <v>64</v>
      </c>
      <c r="F344" s="462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2" t="s">
        <v>402</v>
      </c>
      <c r="H344" s="462" t="s">
        <v>67</v>
      </c>
      <c r="I344" s="439" t="s">
        <v>689</v>
      </c>
      <c r="J344" s="430" t="s">
        <v>1707</v>
      </c>
      <c r="K344" s="430"/>
      <c r="L344" s="430"/>
      <c r="M344" s="430" t="s">
        <v>68</v>
      </c>
      <c r="N344" s="432">
        <v>46097</v>
      </c>
      <c r="O344" s="430" t="s">
        <v>70</v>
      </c>
      <c r="P344" s="430" t="s">
        <v>1002</v>
      </c>
      <c r="Q344" s="430" t="s">
        <v>330</v>
      </c>
      <c r="R344" s="431" t="str">
        <f>_xlfn.XLOOKUP(PV_DATA[[#This Row],[New Ark SKU]],Table9[New Ark SKU],Table9[Connector],,0)</f>
        <v>EVO2A</v>
      </c>
      <c r="S344" s="442" t="str">
        <f>_xlfn.XLOOKUP(PV_DATA[[#This Row],[New Ark SKU]],Table9[New Ark SKU],Table9[Cable],,0)</f>
        <v>±1400mm</v>
      </c>
      <c r="T344" s="433">
        <v>625</v>
      </c>
      <c r="U344" s="1088">
        <f>720*7</f>
        <v>5040</v>
      </c>
      <c r="V344" s="434">
        <f>PV_DATA[[#This Row],[QUANTITY]]*PV_DATA[[#This Row],[WATT]]/1000000</f>
        <v>3.15</v>
      </c>
      <c r="W344" s="435">
        <f>PV_DATA[[#This Row],[QUANTITY]]/PV_DATA[[#This Row],[Qty/Pallet]]</f>
        <v>140</v>
      </c>
      <c r="X344" s="1045">
        <f>PV_DATA[[#This Row],[QUANTITY]]/PV_DATA[[#This Row],[Qty/CT]]</f>
        <v>7</v>
      </c>
      <c r="Y344" s="430" t="s">
        <v>75</v>
      </c>
      <c r="Z344" s="430" t="str">
        <f t="shared" si="2"/>
        <v>COMPLETED</v>
      </c>
      <c r="AA344" s="430" t="s">
        <v>1504</v>
      </c>
      <c r="AB344" s="437">
        <v>46098</v>
      </c>
      <c r="AC344" s="438">
        <f>IF(PV_DATA[[#This Row],[Pick- Up Date]]&lt;&gt;"",_xlfn.ISOWEEKNUM(PV_DATA[[#This Row],[Pick- Up Date]]),"")</f>
        <v>12</v>
      </c>
      <c r="AD344" s="439" t="s">
        <v>1708</v>
      </c>
      <c r="AE344" s="430"/>
      <c r="AF344" s="430" t="s">
        <v>4414</v>
      </c>
      <c r="AG344" s="430" t="s">
        <v>123</v>
      </c>
      <c r="AH344" s="430" t="s">
        <v>105</v>
      </c>
      <c r="AI344" s="437">
        <v>46103</v>
      </c>
      <c r="AJ344" s="437">
        <v>46112</v>
      </c>
      <c r="AK344" s="441">
        <v>46112</v>
      </c>
      <c r="AL344" s="437">
        <v>46140</v>
      </c>
      <c r="AM344" s="437">
        <v>46154</v>
      </c>
      <c r="AN344" s="437">
        <v>46157</v>
      </c>
      <c r="AO344" s="430" t="s">
        <v>402</v>
      </c>
      <c r="AP344" s="430" t="s">
        <v>925</v>
      </c>
      <c r="AQ344" s="430" t="s">
        <v>80</v>
      </c>
      <c r="AR344" s="430" t="s">
        <v>1699</v>
      </c>
      <c r="AS344" s="430" t="s">
        <v>1700</v>
      </c>
      <c r="AT344" s="482" t="s">
        <v>1700</v>
      </c>
      <c r="AU3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7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7">
        <f>IF(ISERROR(PV_DATA[[#This Row],[New Ark PO status]]),"",_xlfn.XLOOKUP(PV_DATA[[#This Row],[SPTN-PVHK New Ark PO'#]],New_Ark_Data[Purchase order Number],New_Ark_Data[Estimated time of arrival],"",0))</f>
        <v>46169</v>
      </c>
      <c r="AZ34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7">
        <f>IFERROR(PV_DATA[[#This Row],[ODP ETA Port]]+PV_DATA[[#This Row],[Customs/Leg3 Assumption]],"n/a")</f>
        <v>46164</v>
      </c>
      <c r="BB344" s="433">
        <f>YEAR(PV_DATA[[#This Row],[ETA for New Ark update]])</f>
        <v>2026</v>
      </c>
      <c r="BC344" s="430">
        <f>MONTH(PV_DATA[[#This Row],[ETA for New Ark update]])</f>
        <v>5</v>
      </c>
      <c r="BD344" s="430">
        <f>IFERROR(_xlfn.ISOWEEKNUM(PV_DATA[[#This Row],[ETA for New Ark update]]),0)</f>
        <v>21</v>
      </c>
      <c r="BE344" s="431">
        <f>_xlfn.XLOOKUP(PV_DATA[[#This Row],[New Ark SKU]],Table9[New Ark SKU],Table9[Total PCS per Pallet],,0)</f>
        <v>36</v>
      </c>
      <c r="BF344" s="431">
        <f>_xlfn.XLOOKUP(PV_DATA[[#This Row],[New Ark SKU]],Table9[New Ark SKU],Table9[Total PCS per 40HQ Container],,0)</f>
        <v>720</v>
      </c>
      <c r="BG344" s="431" t="str">
        <f>_xlfn.XLOOKUP(PV_DATA[[#This Row],[New Ark SKU]],Table9[New Ark SKU],Table9[Back Glass],,0)</f>
        <v>Redirection Film</v>
      </c>
      <c r="BH344" s="431" t="str">
        <f>_xlfn.XLOOKUP(PV_DATA[[#This Row],[PORT DESTINATION]],Table12[PORT DESTINATION],Table12[Cosco Line],,0)</f>
        <v>AEU</v>
      </c>
      <c r="BJ344" s="430"/>
    </row>
    <row r="345" spans="1:62">
      <c r="A345" s="462" t="s">
        <v>1709</v>
      </c>
      <c r="B345" s="462" t="s">
        <v>111</v>
      </c>
      <c r="C345" s="462" t="str">
        <f>IFERROR(LEFT(PV_DATA[[#This Row],[TCL REFERENCE]],FIND(".",PV_DATA[[#This Row],[TCL REFERENCE]],1)-1),"Main Line")</f>
        <v>26Feb007</v>
      </c>
      <c r="D345" s="462" t="s">
        <v>63</v>
      </c>
      <c r="E345" s="462" t="s">
        <v>64</v>
      </c>
      <c r="F345" s="462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2" t="s">
        <v>402</v>
      </c>
      <c r="H345" s="462" t="s">
        <v>67</v>
      </c>
      <c r="I345" s="439" t="s">
        <v>689</v>
      </c>
      <c r="J345" s="430" t="s">
        <v>483</v>
      </c>
      <c r="K345" s="430"/>
      <c r="L345" s="430"/>
      <c r="M345" s="430" t="s">
        <v>68</v>
      </c>
      <c r="N345" s="432">
        <v>46083</v>
      </c>
      <c r="O345" s="430" t="s">
        <v>473</v>
      </c>
      <c r="P345" s="430" t="s">
        <v>529</v>
      </c>
      <c r="Q345" s="430" t="s">
        <v>1311</v>
      </c>
      <c r="R345" s="431" t="str">
        <f>_xlfn.XLOOKUP(PV_DATA[[#This Row],[New Ark SKU]],Table9[New Ark SKU],Table9[Connector],,0)</f>
        <v>EVO2A</v>
      </c>
      <c r="S345" s="442" t="str">
        <f>_xlfn.XLOOKUP(PV_DATA[[#This Row],[New Ark SKU]],Table9[New Ark SKU],Table9[Cable],,0)</f>
        <v>±1200mm</v>
      </c>
      <c r="T345" s="433">
        <v>455</v>
      </c>
      <c r="U345" s="1088">
        <f>864*2</f>
        <v>1728</v>
      </c>
      <c r="V345" s="434">
        <f>PV_DATA[[#This Row],[QUANTITY]]*PV_DATA[[#This Row],[WATT]]/1000000</f>
        <v>0.78624000000000005</v>
      </c>
      <c r="W345" s="435">
        <f>PV_DATA[[#This Row],[QUANTITY]]/PV_DATA[[#This Row],[Qty/Pallet]]</f>
        <v>48</v>
      </c>
      <c r="X345" s="1045">
        <f>PV_DATA[[#This Row],[QUANTITY]]/PV_DATA[[#This Row],[Qty/CT]]</f>
        <v>2</v>
      </c>
      <c r="Y345" s="430" t="s">
        <v>75</v>
      </c>
      <c r="Z345" s="430" t="str">
        <f t="shared" si="2"/>
        <v>COMPLETED</v>
      </c>
      <c r="AA345" s="430" t="s">
        <v>1548</v>
      </c>
      <c r="AB345" s="437">
        <v>46098</v>
      </c>
      <c r="AC345" s="438">
        <f>IF(PV_DATA[[#This Row],[Pick- Up Date]]&lt;&gt;"",_xlfn.ISOWEEKNUM(PV_DATA[[#This Row],[Pick- Up Date]]),"")</f>
        <v>12</v>
      </c>
      <c r="AD345" s="439" t="s">
        <v>1710</v>
      </c>
      <c r="AE345" s="430"/>
      <c r="AF345" s="430" t="s">
        <v>4416</v>
      </c>
      <c r="AG345" s="430" t="s">
        <v>123</v>
      </c>
      <c r="AH345" s="430" t="s">
        <v>105</v>
      </c>
      <c r="AI345" s="437">
        <v>46103</v>
      </c>
      <c r="AJ345" s="437">
        <v>46112</v>
      </c>
      <c r="AK345" s="441">
        <v>46112</v>
      </c>
      <c r="AL345" s="437">
        <v>46140</v>
      </c>
      <c r="AM345" s="437">
        <v>46154</v>
      </c>
      <c r="AN345" s="437">
        <v>46157</v>
      </c>
      <c r="AO345" s="430" t="s">
        <v>402</v>
      </c>
      <c r="AP345" s="430" t="s">
        <v>925</v>
      </c>
      <c r="AQ345" s="430" t="s">
        <v>80</v>
      </c>
      <c r="AR345" s="430" t="s">
        <v>1711</v>
      </c>
      <c r="AS345" s="430" t="s">
        <v>1712</v>
      </c>
      <c r="AT345" s="482" t="s">
        <v>1712</v>
      </c>
      <c r="AU3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7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7">
        <f>IF(ISERROR(PV_DATA[[#This Row],[New Ark PO status]]),"",_xlfn.XLOOKUP(PV_DATA[[#This Row],[SPTN-PVHK New Ark PO'#]],New_Ark_Data[Purchase order Number],New_Ark_Data[Estimated time of arrival],"",0))</f>
        <v>46171</v>
      </c>
      <c r="AZ34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7">
        <f>IFERROR(PV_DATA[[#This Row],[ODP ETA Port]]+PV_DATA[[#This Row],[Customs/Leg3 Assumption]],"n/a")</f>
        <v>46164</v>
      </c>
      <c r="BB345" s="433">
        <f>YEAR(PV_DATA[[#This Row],[ETA for New Ark update]])</f>
        <v>2026</v>
      </c>
      <c r="BC345" s="430">
        <f>MONTH(PV_DATA[[#This Row],[ETA for New Ark update]])</f>
        <v>5</v>
      </c>
      <c r="BD345" s="430">
        <f>IFERROR(_xlfn.ISOWEEKNUM(PV_DATA[[#This Row],[ETA for New Ark update]]),0)</f>
        <v>21</v>
      </c>
      <c r="BE345" s="431">
        <f>_xlfn.XLOOKUP(PV_DATA[[#This Row],[New Ark SKU]],Table9[New Ark SKU],Table9[Total PCS per Pallet],,0)</f>
        <v>36</v>
      </c>
      <c r="BF345" s="431">
        <f>_xlfn.XLOOKUP(PV_DATA[[#This Row],[New Ark SKU]],Table9[New Ark SKU],Table9[Total PCS per 40HQ Container],,0)</f>
        <v>864</v>
      </c>
      <c r="BG345" s="431" t="str">
        <f>_xlfn.XLOOKUP(PV_DATA[[#This Row],[New Ark SKU]],Table9[New Ark SKU],Table9[Back Glass],,0)</f>
        <v>Black glazing</v>
      </c>
      <c r="BH345" s="431" t="str">
        <f>_xlfn.XLOOKUP(PV_DATA[[#This Row],[PORT DESTINATION]],Table12[PORT DESTINATION],Table12[Cosco Line],,0)</f>
        <v>AEU</v>
      </c>
      <c r="BJ345" s="430"/>
    </row>
    <row r="346" spans="1:62">
      <c r="A346" s="462" t="s">
        <v>1713</v>
      </c>
      <c r="B346" s="462" t="s">
        <v>111</v>
      </c>
      <c r="C346" s="462" t="str">
        <f>IFERROR(LEFT(PV_DATA[[#This Row],[TCL REFERENCE]],FIND(".",PV_DATA[[#This Row],[TCL REFERENCE]],1)-1),"Main Line")</f>
        <v>26Feb008</v>
      </c>
      <c r="D346" s="462" t="s">
        <v>63</v>
      </c>
      <c r="E346" s="462" t="s">
        <v>64</v>
      </c>
      <c r="F346" s="462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2" t="s">
        <v>402</v>
      </c>
      <c r="H346" s="462" t="s">
        <v>67</v>
      </c>
      <c r="I346" s="439" t="s">
        <v>689</v>
      </c>
      <c r="J346" s="430" t="s">
        <v>483</v>
      </c>
      <c r="K346" s="430"/>
      <c r="L346" s="430"/>
      <c r="M346" s="430" t="s">
        <v>68</v>
      </c>
      <c r="N346" s="432">
        <v>46083</v>
      </c>
      <c r="O346" s="430" t="s">
        <v>473</v>
      </c>
      <c r="P346" s="430" t="s">
        <v>474</v>
      </c>
      <c r="Q346" s="430" t="s">
        <v>1319</v>
      </c>
      <c r="R346" s="431" t="str">
        <f>_xlfn.XLOOKUP(PV_DATA[[#This Row],[New Ark SKU]],Table9[New Ark SKU],Table9[Connector],,0)</f>
        <v>EVO2A</v>
      </c>
      <c r="S346" s="442" t="str">
        <f>_xlfn.XLOOKUP(PV_DATA[[#This Row],[New Ark SKU]],Table9[New Ark SKU],Table9[Cable],,0)</f>
        <v>±1200mm</v>
      </c>
      <c r="T346" s="433">
        <v>460</v>
      </c>
      <c r="U346" s="1088">
        <f>864*3</f>
        <v>2592</v>
      </c>
      <c r="V346" s="434">
        <f>PV_DATA[[#This Row],[QUANTITY]]*PV_DATA[[#This Row],[WATT]]/1000000</f>
        <v>1.19232</v>
      </c>
      <c r="W346" s="435">
        <f>PV_DATA[[#This Row],[QUANTITY]]/PV_DATA[[#This Row],[Qty/Pallet]]</f>
        <v>72</v>
      </c>
      <c r="X346" s="1045">
        <f>PV_DATA[[#This Row],[QUANTITY]]/PV_DATA[[#This Row],[Qty/CT]]</f>
        <v>3</v>
      </c>
      <c r="Y346" s="430" t="s">
        <v>75</v>
      </c>
      <c r="Z346" s="430" t="str">
        <f t="shared" si="2"/>
        <v>COMPLETED</v>
      </c>
      <c r="AA346" s="430"/>
      <c r="AB346" s="437">
        <v>46098</v>
      </c>
      <c r="AC346" s="438">
        <f>IF(PV_DATA[[#This Row],[Pick- Up Date]]&lt;&gt;"",_xlfn.ISOWEEKNUM(PV_DATA[[#This Row],[Pick- Up Date]]),"")</f>
        <v>12</v>
      </c>
      <c r="AD346" s="439" t="s">
        <v>1714</v>
      </c>
      <c r="AE346" s="430"/>
      <c r="AF346" s="430" t="s">
        <v>4416</v>
      </c>
      <c r="AG346" s="430" t="s">
        <v>123</v>
      </c>
      <c r="AH346" s="430" t="s">
        <v>105</v>
      </c>
      <c r="AI346" s="437">
        <v>46103</v>
      </c>
      <c r="AJ346" s="437">
        <v>46112</v>
      </c>
      <c r="AK346" s="441">
        <v>46112</v>
      </c>
      <c r="AL346" s="437">
        <v>46140</v>
      </c>
      <c r="AM346" s="437">
        <v>46154</v>
      </c>
      <c r="AN346" s="437">
        <v>46157</v>
      </c>
      <c r="AO346" s="430" t="s">
        <v>402</v>
      </c>
      <c r="AP346" s="430" t="s">
        <v>925</v>
      </c>
      <c r="AQ346" s="430" t="s">
        <v>80</v>
      </c>
      <c r="AR346" s="430" t="s">
        <v>1711</v>
      </c>
      <c r="AS346" s="430" t="s">
        <v>1712</v>
      </c>
      <c r="AT346" s="482" t="s">
        <v>1712</v>
      </c>
      <c r="AU3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7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7">
        <f>IF(ISERROR(PV_DATA[[#This Row],[New Ark PO status]]),"",_xlfn.XLOOKUP(PV_DATA[[#This Row],[SPTN-PVHK New Ark PO'#]],New_Ark_Data[Purchase order Number],New_Ark_Data[Estimated time of arrival],"",0))</f>
        <v>46171</v>
      </c>
      <c r="AZ34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7">
        <f>IFERROR(PV_DATA[[#This Row],[ODP ETA Port]]+PV_DATA[[#This Row],[Customs/Leg3 Assumption]],"n/a")</f>
        <v>46164</v>
      </c>
      <c r="BB346" s="433">
        <f>YEAR(PV_DATA[[#This Row],[ETA for New Ark update]])</f>
        <v>2026</v>
      </c>
      <c r="BC346" s="430">
        <f>MONTH(PV_DATA[[#This Row],[ETA for New Ark update]])</f>
        <v>5</v>
      </c>
      <c r="BD346" s="430">
        <f>IFERROR(_xlfn.ISOWEEKNUM(PV_DATA[[#This Row],[ETA for New Ark update]]),0)</f>
        <v>21</v>
      </c>
      <c r="BE346" s="431">
        <f>_xlfn.XLOOKUP(PV_DATA[[#This Row],[New Ark SKU]],Table9[New Ark SKU],Table9[Total PCS per Pallet],,0)</f>
        <v>36</v>
      </c>
      <c r="BF346" s="431">
        <f>_xlfn.XLOOKUP(PV_DATA[[#This Row],[New Ark SKU]],Table9[New Ark SKU],Table9[Total PCS per 40HQ Container],,0)</f>
        <v>864</v>
      </c>
      <c r="BG346" s="431" t="str">
        <f>_xlfn.XLOOKUP(PV_DATA[[#This Row],[New Ark SKU]],Table9[New Ark SKU],Table9[Back Glass],,0)</f>
        <v>Black glazing</v>
      </c>
      <c r="BH346" s="431" t="str">
        <f>_xlfn.XLOOKUP(PV_DATA[[#This Row],[PORT DESTINATION]],Table12[PORT DESTINATION],Table12[Cosco Line],,0)</f>
        <v>AEU</v>
      </c>
      <c r="BJ346" s="430"/>
    </row>
    <row r="347" spans="1:62">
      <c r="A347" s="462" t="s">
        <v>1715</v>
      </c>
      <c r="B347" s="462" t="s">
        <v>111</v>
      </c>
      <c r="C347" s="462" t="str">
        <f>IFERROR(LEFT(PV_DATA[[#This Row],[TCL REFERENCE]],FIND(".",PV_DATA[[#This Row],[TCL REFERENCE]],1)-1),"Main Line")</f>
        <v>26Feb007</v>
      </c>
      <c r="D347" s="462" t="s">
        <v>63</v>
      </c>
      <c r="E347" s="462" t="s">
        <v>64</v>
      </c>
      <c r="F347" s="462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2" t="s">
        <v>402</v>
      </c>
      <c r="H347" s="462" t="s">
        <v>67</v>
      </c>
      <c r="I347" s="439" t="s">
        <v>689</v>
      </c>
      <c r="J347" s="430" t="s">
        <v>483</v>
      </c>
      <c r="K347" s="430"/>
      <c r="L347" s="430"/>
      <c r="M347" s="430" t="s">
        <v>68</v>
      </c>
      <c r="N347" s="432">
        <v>46083</v>
      </c>
      <c r="O347" s="430" t="s">
        <v>473</v>
      </c>
      <c r="P347" s="430" t="s">
        <v>529</v>
      </c>
      <c r="Q347" s="430" t="s">
        <v>1311</v>
      </c>
      <c r="R347" s="431" t="str">
        <f>_xlfn.XLOOKUP(PV_DATA[[#This Row],[New Ark SKU]],Table9[New Ark SKU],Table9[Connector],,0)</f>
        <v>EVO2A</v>
      </c>
      <c r="S347" s="442" t="str">
        <f>_xlfn.XLOOKUP(PV_DATA[[#This Row],[New Ark SKU]],Table9[New Ark SKU],Table9[Cable],,0)</f>
        <v>±1200mm</v>
      </c>
      <c r="T347" s="433">
        <v>455</v>
      </c>
      <c r="U347" s="1088">
        <f>864*2</f>
        <v>1728</v>
      </c>
      <c r="V347" s="434">
        <f>PV_DATA[[#This Row],[QUANTITY]]*PV_DATA[[#This Row],[WATT]]/1000000</f>
        <v>0.78624000000000005</v>
      </c>
      <c r="W347" s="435">
        <f>PV_DATA[[#This Row],[QUANTITY]]/PV_DATA[[#This Row],[Qty/Pallet]]</f>
        <v>48</v>
      </c>
      <c r="X347" s="1045">
        <f>PV_DATA[[#This Row],[QUANTITY]]/PV_DATA[[#This Row],[Qty/CT]]</f>
        <v>2</v>
      </c>
      <c r="Y347" s="430" t="s">
        <v>75</v>
      </c>
      <c r="Z347" s="430" t="str">
        <f t="shared" si="2"/>
        <v>COMPLETED</v>
      </c>
      <c r="AA347" s="430"/>
      <c r="AB347" s="437">
        <v>46099</v>
      </c>
      <c r="AC347" s="438">
        <f>IF(PV_DATA[[#This Row],[Pick- Up Date]]&lt;&gt;"",_xlfn.ISOWEEKNUM(PV_DATA[[#This Row],[Pick- Up Date]]),"")</f>
        <v>12</v>
      </c>
      <c r="AD347" s="439" t="s">
        <v>1716</v>
      </c>
      <c r="AE347" s="430"/>
      <c r="AF347" s="430" t="s">
        <v>4416</v>
      </c>
      <c r="AG347" s="430" t="s">
        <v>123</v>
      </c>
      <c r="AH347" s="430" t="s">
        <v>105</v>
      </c>
      <c r="AI347" s="437">
        <v>46103</v>
      </c>
      <c r="AJ347" s="437">
        <v>46112</v>
      </c>
      <c r="AK347" s="441">
        <v>46112</v>
      </c>
      <c r="AL347" s="437">
        <v>46140</v>
      </c>
      <c r="AM347" s="437">
        <v>46154</v>
      </c>
      <c r="AN347" s="437">
        <v>46157</v>
      </c>
      <c r="AO347" s="430" t="s">
        <v>402</v>
      </c>
      <c r="AP347" s="430" t="s">
        <v>925</v>
      </c>
      <c r="AQ347" s="430" t="s">
        <v>80</v>
      </c>
      <c r="AR347" s="430" t="s">
        <v>1711</v>
      </c>
      <c r="AS347" s="430" t="s">
        <v>1712</v>
      </c>
      <c r="AT347" s="482" t="s">
        <v>1712</v>
      </c>
      <c r="AU3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7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7">
        <f>IF(ISERROR(PV_DATA[[#This Row],[New Ark PO status]]),"",_xlfn.XLOOKUP(PV_DATA[[#This Row],[SPTN-PVHK New Ark PO'#]],New_Ark_Data[Purchase order Number],New_Ark_Data[Estimated time of arrival],"",0))</f>
        <v>46171</v>
      </c>
      <c r="AZ34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7">
        <f>IFERROR(PV_DATA[[#This Row],[ODP ETA Port]]+PV_DATA[[#This Row],[Customs/Leg3 Assumption]],"n/a")</f>
        <v>46164</v>
      </c>
      <c r="BB347" s="433">
        <f>YEAR(PV_DATA[[#This Row],[ETA for New Ark update]])</f>
        <v>2026</v>
      </c>
      <c r="BC347" s="430">
        <f>MONTH(PV_DATA[[#This Row],[ETA for New Ark update]])</f>
        <v>5</v>
      </c>
      <c r="BD347" s="430">
        <f>IFERROR(_xlfn.ISOWEEKNUM(PV_DATA[[#This Row],[ETA for New Ark update]]),0)</f>
        <v>21</v>
      </c>
      <c r="BE347" s="431">
        <f>_xlfn.XLOOKUP(PV_DATA[[#This Row],[New Ark SKU]],Table9[New Ark SKU],Table9[Total PCS per Pallet],,0)</f>
        <v>36</v>
      </c>
      <c r="BF347" s="431">
        <f>_xlfn.XLOOKUP(PV_DATA[[#This Row],[New Ark SKU]],Table9[New Ark SKU],Table9[Total PCS per 40HQ Container],,0)</f>
        <v>864</v>
      </c>
      <c r="BG347" s="431" t="str">
        <f>_xlfn.XLOOKUP(PV_DATA[[#This Row],[New Ark SKU]],Table9[New Ark SKU],Table9[Back Glass],,0)</f>
        <v>Black glazing</v>
      </c>
      <c r="BH347" s="431" t="str">
        <f>_xlfn.XLOOKUP(PV_DATA[[#This Row],[PORT DESTINATION]],Table12[PORT DESTINATION],Table12[Cosco Line],,0)</f>
        <v>AEU</v>
      </c>
      <c r="BJ347" s="430"/>
    </row>
    <row r="348" spans="1:62">
      <c r="A348" s="462" t="s">
        <v>1717</v>
      </c>
      <c r="B348" s="462" t="s">
        <v>111</v>
      </c>
      <c r="C348" s="462" t="str">
        <f>IFERROR(LEFT(PV_DATA[[#This Row],[TCL REFERENCE]],FIND(".",PV_DATA[[#This Row],[TCL REFERENCE]],1)-1),"Main Line")</f>
        <v>26Feb009</v>
      </c>
      <c r="D348" s="462" t="s">
        <v>63</v>
      </c>
      <c r="E348" s="462" t="s">
        <v>64</v>
      </c>
      <c r="F348" s="462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2" t="s">
        <v>402</v>
      </c>
      <c r="H348" s="462" t="s">
        <v>67</v>
      </c>
      <c r="I348" s="439" t="s">
        <v>689</v>
      </c>
      <c r="J348" s="430" t="s">
        <v>101</v>
      </c>
      <c r="K348" s="430"/>
      <c r="L348" s="430"/>
      <c r="M348" s="430" t="s">
        <v>68</v>
      </c>
      <c r="N348" s="432">
        <v>46069</v>
      </c>
      <c r="O348" s="430" t="s">
        <v>132</v>
      </c>
      <c r="P348" s="430" t="s">
        <v>189</v>
      </c>
      <c r="Q348" s="430" t="s">
        <v>190</v>
      </c>
      <c r="R348" s="431" t="str">
        <f>_xlfn.XLOOKUP(PV_DATA[[#This Row],[New Ark SKU]],Table9[New Ark SKU],Table9[Connector],,0)</f>
        <v>EVO2A</v>
      </c>
      <c r="S348" s="442" t="str">
        <f>_xlfn.XLOOKUP(PV_DATA[[#This Row],[New Ark SKU]],Table9[New Ark SKU],Table9[Cable],,0)</f>
        <v>±1200mm</v>
      </c>
      <c r="T348" s="433">
        <v>465</v>
      </c>
      <c r="U348" s="1088">
        <f>864*3</f>
        <v>2592</v>
      </c>
      <c r="V348" s="434">
        <f>PV_DATA[[#This Row],[QUANTITY]]*PV_DATA[[#This Row],[WATT]]/1000000</f>
        <v>1.2052799999999999</v>
      </c>
      <c r="W348" s="435">
        <f>PV_DATA[[#This Row],[QUANTITY]]/PV_DATA[[#This Row],[Qty/Pallet]]</f>
        <v>72</v>
      </c>
      <c r="X348" s="1045">
        <f>PV_DATA[[#This Row],[QUANTITY]]/PV_DATA[[#This Row],[Qty/CT]]</f>
        <v>3</v>
      </c>
      <c r="Y348" s="430" t="s">
        <v>75</v>
      </c>
      <c r="Z348" s="430" t="str">
        <f t="shared" si="2"/>
        <v>COMPLETED</v>
      </c>
      <c r="AA348" s="430" t="s">
        <v>1548</v>
      </c>
      <c r="AB348" s="437">
        <v>46099</v>
      </c>
      <c r="AC348" s="438">
        <f>IF(PV_DATA[[#This Row],[Pick- Up Date]]&lt;&gt;"",_xlfn.ISOWEEKNUM(PV_DATA[[#This Row],[Pick- Up Date]]),"")</f>
        <v>12</v>
      </c>
      <c r="AD348" s="439" t="s">
        <v>1718</v>
      </c>
      <c r="AE348" s="430"/>
      <c r="AF348" s="430" t="s">
        <v>4416</v>
      </c>
      <c r="AG348" s="430" t="s">
        <v>123</v>
      </c>
      <c r="AH348" s="430" t="s">
        <v>105</v>
      </c>
      <c r="AI348" s="437">
        <v>46103</v>
      </c>
      <c r="AJ348" s="437">
        <v>46112</v>
      </c>
      <c r="AK348" s="441">
        <v>46112</v>
      </c>
      <c r="AL348" s="437">
        <v>46140</v>
      </c>
      <c r="AM348" s="437">
        <v>46154</v>
      </c>
      <c r="AN348" s="437">
        <v>46157</v>
      </c>
      <c r="AO348" s="430" t="s">
        <v>402</v>
      </c>
      <c r="AP348" s="430" t="s">
        <v>925</v>
      </c>
      <c r="AQ348" s="430" t="s">
        <v>80</v>
      </c>
      <c r="AR348" s="430" t="s">
        <v>1711</v>
      </c>
      <c r="AS348" s="430" t="s">
        <v>1712</v>
      </c>
      <c r="AT348" s="482" t="s">
        <v>1712</v>
      </c>
      <c r="AU3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7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7">
        <f>IF(ISERROR(PV_DATA[[#This Row],[New Ark PO status]]),"",_xlfn.XLOOKUP(PV_DATA[[#This Row],[SPTN-PVHK New Ark PO'#]],New_Ark_Data[Purchase order Number],New_Ark_Data[Estimated time of arrival],"",0))</f>
        <v>46171</v>
      </c>
      <c r="AZ34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7">
        <f>IFERROR(PV_DATA[[#This Row],[ODP ETA Port]]+PV_DATA[[#This Row],[Customs/Leg3 Assumption]],"n/a")</f>
        <v>46164</v>
      </c>
      <c r="BB348" s="433">
        <f>YEAR(PV_DATA[[#This Row],[ETA for New Ark update]])</f>
        <v>2026</v>
      </c>
      <c r="BC348" s="430">
        <f>MONTH(PV_DATA[[#This Row],[ETA for New Ark update]])</f>
        <v>5</v>
      </c>
      <c r="BD348" s="430">
        <f>IFERROR(_xlfn.ISOWEEKNUM(PV_DATA[[#This Row],[ETA for New Ark update]]),0)</f>
        <v>21</v>
      </c>
      <c r="BE348" s="431">
        <f>_xlfn.XLOOKUP(PV_DATA[[#This Row],[New Ark SKU]],Table9[New Ark SKU],Table9[Total PCS per Pallet],,0)</f>
        <v>36</v>
      </c>
      <c r="BF348" s="431">
        <f>_xlfn.XLOOKUP(PV_DATA[[#This Row],[New Ark SKU]],Table9[New Ark SKU],Table9[Total PCS per 40HQ Container],,0)</f>
        <v>864</v>
      </c>
      <c r="BG348" s="431" t="str">
        <f>_xlfn.XLOOKUP(PV_DATA[[#This Row],[New Ark SKU]],Table9[New Ark SKU],Table9[Back Glass],,0)</f>
        <v>White glazing</v>
      </c>
      <c r="BH348" s="431" t="str">
        <f>_xlfn.XLOOKUP(PV_DATA[[#This Row],[PORT DESTINATION]],Table12[PORT DESTINATION],Table12[Cosco Line],,0)</f>
        <v>AEU</v>
      </c>
      <c r="BJ348" s="430"/>
    </row>
    <row r="349" spans="1:62">
      <c r="A349" s="462" t="s">
        <v>1719</v>
      </c>
      <c r="B349" s="462" t="s">
        <v>111</v>
      </c>
      <c r="C349" s="462" t="str">
        <f>IFERROR(LEFT(PV_DATA[[#This Row],[TCL REFERENCE]],FIND(".",PV_DATA[[#This Row],[TCL REFERENCE]],1)-1),"Main Line")</f>
        <v>26Feb007</v>
      </c>
      <c r="D349" s="462" t="s">
        <v>63</v>
      </c>
      <c r="E349" s="462" t="s">
        <v>64</v>
      </c>
      <c r="F349" s="462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2" t="s">
        <v>402</v>
      </c>
      <c r="H349" s="462" t="s">
        <v>67</v>
      </c>
      <c r="I349" s="439" t="s">
        <v>689</v>
      </c>
      <c r="J349" s="430" t="s">
        <v>96</v>
      </c>
      <c r="K349" s="430"/>
      <c r="L349" s="430"/>
      <c r="M349" s="430" t="s">
        <v>68</v>
      </c>
      <c r="N349" s="432">
        <v>46083</v>
      </c>
      <c r="O349" s="430" t="s">
        <v>473</v>
      </c>
      <c r="P349" s="430" t="s">
        <v>529</v>
      </c>
      <c r="Q349" s="430" t="s">
        <v>1311</v>
      </c>
      <c r="R349" s="431" t="str">
        <f>_xlfn.XLOOKUP(PV_DATA[[#This Row],[New Ark SKU]],Table9[New Ark SKU],Table9[Connector],,0)</f>
        <v>EVO2A</v>
      </c>
      <c r="S349" s="442" t="str">
        <f>_xlfn.XLOOKUP(PV_DATA[[#This Row],[New Ark SKU]],Table9[New Ark SKU],Table9[Cable],,0)</f>
        <v>±1200mm</v>
      </c>
      <c r="T349" s="433">
        <v>455</v>
      </c>
      <c r="U349" s="1088">
        <f>864*5</f>
        <v>4320</v>
      </c>
      <c r="V349" s="434">
        <f>PV_DATA[[#This Row],[QUANTITY]]*PV_DATA[[#This Row],[WATT]]/1000000</f>
        <v>1.9656</v>
      </c>
      <c r="W349" s="435">
        <f>PV_DATA[[#This Row],[QUANTITY]]/PV_DATA[[#This Row],[Qty/Pallet]]</f>
        <v>120</v>
      </c>
      <c r="X349" s="1045">
        <f>PV_DATA[[#This Row],[QUANTITY]]/PV_DATA[[#This Row],[Qty/CT]]</f>
        <v>5</v>
      </c>
      <c r="Y349" s="430" t="s">
        <v>75</v>
      </c>
      <c r="Z349" s="430" t="str">
        <f t="shared" si="2"/>
        <v>COMPLETED</v>
      </c>
      <c r="AA349" s="430"/>
      <c r="AB349" s="437">
        <v>46099</v>
      </c>
      <c r="AC349" s="438">
        <f>IF(PV_DATA[[#This Row],[Pick- Up Date]]&lt;&gt;"",_xlfn.ISOWEEKNUM(PV_DATA[[#This Row],[Pick- Up Date]]),"")</f>
        <v>12</v>
      </c>
      <c r="AD349" s="439" t="s">
        <v>1716</v>
      </c>
      <c r="AE349" s="430"/>
      <c r="AF349" s="430" t="s">
        <v>4416</v>
      </c>
      <c r="AG349" s="430" t="s">
        <v>123</v>
      </c>
      <c r="AH349" s="430" t="s">
        <v>105</v>
      </c>
      <c r="AI349" s="437">
        <v>46103</v>
      </c>
      <c r="AJ349" s="437">
        <v>46110</v>
      </c>
      <c r="AK349" s="441">
        <v>46110</v>
      </c>
      <c r="AL349" s="437">
        <v>46140</v>
      </c>
      <c r="AM349" s="437">
        <v>46169</v>
      </c>
      <c r="AN349" s="437">
        <v>46170</v>
      </c>
      <c r="AO349" s="430" t="s">
        <v>402</v>
      </c>
      <c r="AP349" s="430" t="s">
        <v>1720</v>
      </c>
      <c r="AQ349" s="430" t="s">
        <v>80</v>
      </c>
      <c r="AR349" s="430" t="s">
        <v>1721</v>
      </c>
      <c r="AS349" s="430" t="s">
        <v>1722</v>
      </c>
      <c r="AT349" s="482" t="s">
        <v>1722</v>
      </c>
      <c r="AU3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7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7">
        <f>IF(ISERROR(PV_DATA[[#This Row],[New Ark PO status]]),"",_xlfn.XLOOKUP(PV_DATA[[#This Row],[SPTN-PVHK New Ark PO'#]],New_Ark_Data[Purchase order Number],New_Ark_Data[Estimated time of arrival],"",0))</f>
        <v>46171</v>
      </c>
      <c r="AZ34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7">
        <f>IFERROR(PV_DATA[[#This Row],[ODP ETA Port]]+PV_DATA[[#This Row],[Customs/Leg3 Assumption]],"n/a")</f>
        <v>46177</v>
      </c>
      <c r="BB349" s="433">
        <f>YEAR(PV_DATA[[#This Row],[ETA for New Ark update]])</f>
        <v>2026</v>
      </c>
      <c r="BC349" s="430">
        <f>MONTH(PV_DATA[[#This Row],[ETA for New Ark update]])</f>
        <v>6</v>
      </c>
      <c r="BD349" s="430">
        <f>IFERROR(_xlfn.ISOWEEKNUM(PV_DATA[[#This Row],[ETA for New Ark update]]),0)</f>
        <v>23</v>
      </c>
      <c r="BE349" s="431">
        <f>_xlfn.XLOOKUP(PV_DATA[[#This Row],[New Ark SKU]],Table9[New Ark SKU],Table9[Total PCS per Pallet],,0)</f>
        <v>36</v>
      </c>
      <c r="BF349" s="431">
        <f>_xlfn.XLOOKUP(PV_DATA[[#This Row],[New Ark SKU]],Table9[New Ark SKU],Table9[Total PCS per 40HQ Container],,0)</f>
        <v>864</v>
      </c>
      <c r="BG349" s="431" t="str">
        <f>_xlfn.XLOOKUP(PV_DATA[[#This Row],[New Ark SKU]],Table9[New Ark SKU],Table9[Back Glass],,0)</f>
        <v>Black glazing</v>
      </c>
      <c r="BH349" s="431" t="str">
        <f>_xlfn.XLOOKUP(PV_DATA[[#This Row],[PORT DESTINATION]],Table12[PORT DESTINATION],Table12[Cosco Line],,0)</f>
        <v>AEU</v>
      </c>
      <c r="BJ349" s="430"/>
    </row>
    <row r="350" spans="1:62">
      <c r="A350" s="462" t="s">
        <v>1723</v>
      </c>
      <c r="B350" s="462" t="s">
        <v>111</v>
      </c>
      <c r="C350" s="462" t="str">
        <f>IFERROR(LEFT(PV_DATA[[#This Row],[TCL REFERENCE]],FIND(".",PV_DATA[[#This Row],[TCL REFERENCE]],1)-1),"Main Line")</f>
        <v>26Feb008</v>
      </c>
      <c r="D350" s="462" t="s">
        <v>63</v>
      </c>
      <c r="E350" s="462" t="s">
        <v>64</v>
      </c>
      <c r="F350" s="462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2" t="s">
        <v>402</v>
      </c>
      <c r="H350" s="462" t="s">
        <v>311</v>
      </c>
      <c r="I350" s="439" t="s">
        <v>689</v>
      </c>
      <c r="J350" s="430" t="s">
        <v>1342</v>
      </c>
      <c r="K350" s="430"/>
      <c r="L350" s="430"/>
      <c r="M350" s="430" t="s">
        <v>68</v>
      </c>
      <c r="N350" s="432">
        <v>46083</v>
      </c>
      <c r="O350" s="430" t="s">
        <v>473</v>
      </c>
      <c r="P350" s="430" t="s">
        <v>474</v>
      </c>
      <c r="Q350" s="430" t="s">
        <v>1319</v>
      </c>
      <c r="R350" s="431" t="str">
        <f>_xlfn.XLOOKUP(PV_DATA[[#This Row],[New Ark SKU]],Table9[New Ark SKU],Table9[Connector],,0)</f>
        <v>EVO2A</v>
      </c>
      <c r="S350" s="442" t="str">
        <f>_xlfn.XLOOKUP(PV_DATA[[#This Row],[New Ark SKU]],Table9[New Ark SKU],Table9[Cable],,0)</f>
        <v>±1200mm</v>
      </c>
      <c r="T350" s="433">
        <v>460</v>
      </c>
      <c r="U350" s="1088">
        <f>864*3</f>
        <v>2592</v>
      </c>
      <c r="V350" s="434">
        <f>PV_DATA[[#This Row],[QUANTITY]]*PV_DATA[[#This Row],[WATT]]/1000000</f>
        <v>1.19232</v>
      </c>
      <c r="W350" s="435">
        <f>PV_DATA[[#This Row],[QUANTITY]]/PV_DATA[[#This Row],[Qty/Pallet]]</f>
        <v>72</v>
      </c>
      <c r="X350" s="1040">
        <f>PV_DATA[[#This Row],[QUANTITY]]/PV_DATA[[#This Row],[Qty/CT]]</f>
        <v>3</v>
      </c>
      <c r="Y350" s="430" t="s">
        <v>75</v>
      </c>
      <c r="Z350" s="430" t="str">
        <f t="shared" si="2"/>
        <v>COMPLETED</v>
      </c>
      <c r="AA350" s="430"/>
      <c r="AB350" s="437">
        <v>46104</v>
      </c>
      <c r="AC350" s="438">
        <f>IF(PV_DATA[[#This Row],[Pick- Up Date]]&lt;&gt;"",_xlfn.ISOWEEKNUM(PV_DATA[[#This Row],[Pick- Up Date]]),"")</f>
        <v>13</v>
      </c>
      <c r="AD350" s="439" t="s">
        <v>1724</v>
      </c>
      <c r="AE350" s="430"/>
      <c r="AF350" s="430" t="s">
        <v>4412</v>
      </c>
      <c r="AG350" s="430" t="s">
        <v>123</v>
      </c>
      <c r="AH350" s="430" t="s">
        <v>314</v>
      </c>
      <c r="AI350" s="437">
        <v>46111</v>
      </c>
      <c r="AJ350" s="437">
        <v>46114</v>
      </c>
      <c r="AK350" s="441">
        <v>46114</v>
      </c>
      <c r="AL350" s="437">
        <v>46155</v>
      </c>
      <c r="AM350" s="437">
        <v>46162</v>
      </c>
      <c r="AN350" s="437">
        <v>46162</v>
      </c>
      <c r="AO350" s="430" t="s">
        <v>402</v>
      </c>
      <c r="AP350" s="430" t="s">
        <v>1725</v>
      </c>
      <c r="AQ350" s="430" t="s">
        <v>80</v>
      </c>
      <c r="AR350" s="430" t="s">
        <v>1726</v>
      </c>
      <c r="AS350" s="430" t="s">
        <v>1727</v>
      </c>
      <c r="AT350" s="482" t="s">
        <v>1727</v>
      </c>
      <c r="AU3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7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7">
        <f>IF(ISERROR(PV_DATA[[#This Row],[New Ark PO status]]),"",_xlfn.XLOOKUP(PV_DATA[[#This Row],[SPTN-PVHK New Ark PO'#]],New_Ark_Data[Purchase order Number],New_Ark_Data[Estimated time of arrival],"",0))</f>
        <v>46176</v>
      </c>
      <c r="AZ35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0" s="437">
        <f>IFERROR(PV_DATA[[#This Row],[ODP ETA Port]]+PV_DATA[[#This Row],[Customs/Leg3 Assumption]],"n/a")</f>
        <v>46172</v>
      </c>
      <c r="BB350" s="433">
        <f>YEAR(PV_DATA[[#This Row],[ETA for New Ark update]])</f>
        <v>2026</v>
      </c>
      <c r="BC350" s="430">
        <f>MONTH(PV_DATA[[#This Row],[ETA for New Ark update]])</f>
        <v>5</v>
      </c>
      <c r="BD350" s="430">
        <f>IFERROR(_xlfn.ISOWEEKNUM(PV_DATA[[#This Row],[ETA for New Ark update]]),0)</f>
        <v>22</v>
      </c>
      <c r="BE350" s="431">
        <f>_xlfn.XLOOKUP(PV_DATA[[#This Row],[New Ark SKU]],Table9[New Ark SKU],Table9[Total PCS per Pallet],,0)</f>
        <v>36</v>
      </c>
      <c r="BF350" s="431">
        <f>_xlfn.XLOOKUP(PV_DATA[[#This Row],[New Ark SKU]],Table9[New Ark SKU],Table9[Total PCS per 40HQ Container],,0)</f>
        <v>864</v>
      </c>
      <c r="BG350" s="431" t="str">
        <f>_xlfn.XLOOKUP(PV_DATA[[#This Row],[New Ark SKU]],Table9[New Ark SKU],Table9[Back Glass],,0)</f>
        <v>Black glazing</v>
      </c>
      <c r="BH350" s="431" t="str">
        <f>_xlfn.XLOOKUP(PV_DATA[[#This Row],[PORT DESTINATION]],Table12[PORT DESTINATION],Table12[Cosco Line],,0)</f>
        <v>AEM</v>
      </c>
      <c r="BJ350" s="430"/>
    </row>
    <row r="351" spans="1:62">
      <c r="A351" s="462" t="s">
        <v>1728</v>
      </c>
      <c r="B351" s="462" t="s">
        <v>111</v>
      </c>
      <c r="C351" s="462" t="str">
        <f>IFERROR(LEFT(PV_DATA[[#This Row],[TCL REFERENCE]],FIND(".",PV_DATA[[#This Row],[TCL REFERENCE]],1)-1),"Main Line")</f>
        <v>26Feb005</v>
      </c>
      <c r="D351" s="462" t="s">
        <v>63</v>
      </c>
      <c r="E351" s="462" t="s">
        <v>64</v>
      </c>
      <c r="F351" s="462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2" t="s">
        <v>402</v>
      </c>
      <c r="H351" s="462" t="s">
        <v>311</v>
      </c>
      <c r="I351" s="439" t="s">
        <v>689</v>
      </c>
      <c r="J351" s="430" t="s">
        <v>1730</v>
      </c>
      <c r="K351" s="430"/>
      <c r="L351" s="430"/>
      <c r="M351" s="430" t="s">
        <v>68</v>
      </c>
      <c r="N351" s="432">
        <v>46111</v>
      </c>
      <c r="O351" s="430" t="s">
        <v>170</v>
      </c>
      <c r="P351" s="430" t="s">
        <v>171</v>
      </c>
      <c r="Q351" s="430" t="s">
        <v>1731</v>
      </c>
      <c r="R351" s="431" t="str">
        <f>_xlfn.XLOOKUP(PV_DATA[[#This Row],[New Ark SKU]],Table9[New Ark SKU],Table9[Connector],,0)</f>
        <v>EVO2A</v>
      </c>
      <c r="S351" s="442" t="str">
        <f>_xlfn.XLOOKUP(PV_DATA[[#This Row],[New Ark SKU]],Table9[New Ark SKU],Table9[Cable],,0)</f>
        <v>±1400mm</v>
      </c>
      <c r="T351" s="433">
        <v>555</v>
      </c>
      <c r="U351" s="1088">
        <f>660*2</f>
        <v>1320</v>
      </c>
      <c r="V351" s="434">
        <f>PV_DATA[[#This Row],[QUANTITY]]*PV_DATA[[#This Row],[WATT]]/1000000</f>
        <v>0.73260000000000003</v>
      </c>
      <c r="W351" s="435">
        <f>PV_DATA[[#This Row],[QUANTITY]]/PV_DATA[[#This Row],[Qty/Pallet]]</f>
        <v>40</v>
      </c>
      <c r="X351" s="1040">
        <f>PV_DATA[[#This Row],[QUANTITY]]/PV_DATA[[#This Row],[Qty/CT]]</f>
        <v>2</v>
      </c>
      <c r="Y351" s="430" t="s">
        <v>75</v>
      </c>
      <c r="Z351" s="430" t="str">
        <f t="shared" si="2"/>
        <v>COMPLETED</v>
      </c>
      <c r="AA351" s="430"/>
      <c r="AB351" s="437">
        <v>46107</v>
      </c>
      <c r="AC351" s="438">
        <f>IF(PV_DATA[[#This Row],[Pick- Up Date]]&lt;&gt;"",_xlfn.ISOWEEKNUM(PV_DATA[[#This Row],[Pick- Up Date]]),"")</f>
        <v>13</v>
      </c>
      <c r="AD351" s="439" t="s">
        <v>1732</v>
      </c>
      <c r="AE351" s="430"/>
      <c r="AF351" s="430" t="s">
        <v>4417</v>
      </c>
      <c r="AG351" s="430" t="s">
        <v>123</v>
      </c>
      <c r="AH351" s="430" t="s">
        <v>314</v>
      </c>
      <c r="AI351" s="437">
        <v>46111</v>
      </c>
      <c r="AJ351" s="437">
        <v>46114</v>
      </c>
      <c r="AK351" s="441">
        <v>46114</v>
      </c>
      <c r="AL351" s="437">
        <v>46155</v>
      </c>
      <c r="AM351" s="437">
        <v>46162</v>
      </c>
      <c r="AN351" s="437">
        <v>46162</v>
      </c>
      <c r="AP351" s="430" t="s">
        <v>1725</v>
      </c>
      <c r="AQ351" s="430" t="s">
        <v>80</v>
      </c>
      <c r="AR351" s="430" t="s">
        <v>1726</v>
      </c>
      <c r="AS351" s="430" t="s">
        <v>1727</v>
      </c>
      <c r="AT351" s="482" t="s">
        <v>1727</v>
      </c>
      <c r="AU3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7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7">
        <f>IF(ISERROR(PV_DATA[[#This Row],[New Ark PO status]]),"",_xlfn.XLOOKUP(PV_DATA[[#This Row],[SPTN-PVHK New Ark PO'#]],New_Ark_Data[Purchase order Number],New_Ark_Data[Estimated time of arrival],"",0))</f>
        <v>46176</v>
      </c>
      <c r="AZ35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1" s="437">
        <f>IFERROR(PV_DATA[[#This Row],[ODP ETA Port]]+PV_DATA[[#This Row],[Customs/Leg3 Assumption]],"n/a")</f>
        <v>46172</v>
      </c>
      <c r="BB351" s="433">
        <f>YEAR(PV_DATA[[#This Row],[ETA for New Ark update]])</f>
        <v>2026</v>
      </c>
      <c r="BC351" s="430">
        <f>MONTH(PV_DATA[[#This Row],[ETA for New Ark update]])</f>
        <v>5</v>
      </c>
      <c r="BD351" s="430">
        <f>IFERROR(_xlfn.ISOWEEKNUM(PV_DATA[[#This Row],[ETA for New Ark update]]),0)</f>
        <v>22</v>
      </c>
      <c r="BE351" s="431">
        <f>_xlfn.XLOOKUP(PV_DATA[[#This Row],[New Ark SKU]],Table9[New Ark SKU],Table9[Total PCS per Pallet],,0)</f>
        <v>33</v>
      </c>
      <c r="BF351" s="431">
        <f>_xlfn.XLOOKUP(PV_DATA[[#This Row],[New Ark SKU]],Table9[New Ark SKU],Table9[Total PCS per 40HQ Container],,0)</f>
        <v>660</v>
      </c>
      <c r="BG351" s="431" t="str">
        <f>_xlfn.XLOOKUP(PV_DATA[[#This Row],[New Ark SKU]],Table9[New Ark SKU],Table9[Back Glass],,0)</f>
        <v>White glazing</v>
      </c>
      <c r="BH351" s="431" t="str">
        <f>_xlfn.XLOOKUP(PV_DATA[[#This Row],[PORT DESTINATION]],Table12[PORT DESTINATION],Table12[Cosco Line],,0)</f>
        <v>AEM</v>
      </c>
      <c r="BJ351" s="430"/>
    </row>
    <row r="352" spans="1:62" ht="10.5">
      <c r="A352" s="462" t="s">
        <v>1733</v>
      </c>
      <c r="B352" s="462" t="s">
        <v>111</v>
      </c>
      <c r="C352" s="462" t="str">
        <f>IFERROR(LEFT(PV_DATA[[#This Row],[TCL REFERENCE]],FIND(".",PV_DATA[[#This Row],[TCL REFERENCE]],1)-1),"Main Line")</f>
        <v>26Feb036</v>
      </c>
      <c r="D352" s="462" t="s">
        <v>113</v>
      </c>
      <c r="E352" s="462" t="s">
        <v>64</v>
      </c>
      <c r="F352" s="462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2" t="s">
        <v>402</v>
      </c>
      <c r="H352" s="462" t="s">
        <v>67</v>
      </c>
      <c r="I352" s="439" t="s">
        <v>822</v>
      </c>
      <c r="J352" s="430" t="s">
        <v>1327</v>
      </c>
      <c r="K352" s="430"/>
      <c r="L352" s="430"/>
      <c r="M352" s="430" t="s">
        <v>68</v>
      </c>
      <c r="N352" s="432" t="s">
        <v>68</v>
      </c>
      <c r="O352" s="430" t="s">
        <v>70</v>
      </c>
      <c r="P352" s="430" t="s">
        <v>378</v>
      </c>
      <c r="Q352" s="459" t="s">
        <v>379</v>
      </c>
      <c r="R352" s="431" t="str">
        <f>_xlfn.XLOOKUP(PV_DATA[[#This Row],[New Ark SKU]],Table9[New Ark SKU],Table9[Connector],,0)</f>
        <v>EVO2A</v>
      </c>
      <c r="S352" s="442" t="str">
        <f>_xlfn.XLOOKUP(PV_DATA[[#This Row],[New Ark SKU]],Table9[New Ark SKU],Table9[Cable],,0)</f>
        <v>±1400mm</v>
      </c>
      <c r="T352" s="433">
        <v>620</v>
      </c>
      <c r="U352" s="1088">
        <f>720*2</f>
        <v>1440</v>
      </c>
      <c r="V352" s="434">
        <f>PV_DATA[[#This Row],[QUANTITY]]*PV_DATA[[#This Row],[WATT]]/1000000</f>
        <v>0.89280000000000004</v>
      </c>
      <c r="W352" s="435">
        <f>PV_DATA[[#This Row],[QUANTITY]]/PV_DATA[[#This Row],[Qty/Pallet]]</f>
        <v>40</v>
      </c>
      <c r="X352" s="1040">
        <f>PV_DATA[[#This Row],[QUANTITY]]/PV_DATA[[#This Row],[Qty/CT]]</f>
        <v>2</v>
      </c>
      <c r="Y352" s="430" t="s">
        <v>75</v>
      </c>
      <c r="Z352" s="430" t="str">
        <f t="shared" si="2"/>
        <v>COMPLETED</v>
      </c>
      <c r="AA352" s="430" t="s">
        <v>1735</v>
      </c>
      <c r="AB352" s="437">
        <v>46101</v>
      </c>
      <c r="AC352" s="438">
        <f>IF(PV_DATA[[#This Row],[Pick- Up Date]]&lt;&gt;"",_xlfn.ISOWEEKNUM(PV_DATA[[#This Row],[Pick- Up Date]]),"")</f>
        <v>12</v>
      </c>
      <c r="AD352" s="439" t="s">
        <v>1736</v>
      </c>
      <c r="AE352" s="430"/>
      <c r="AF352" s="430" t="s">
        <v>122</v>
      </c>
      <c r="AG352" s="430" t="s">
        <v>123</v>
      </c>
      <c r="AH352" s="430" t="s">
        <v>78</v>
      </c>
      <c r="AI352" s="437">
        <v>46105</v>
      </c>
      <c r="AJ352" s="437">
        <v>46105</v>
      </c>
      <c r="AK352" s="441">
        <v>46105</v>
      </c>
      <c r="AL352" s="437">
        <v>46154</v>
      </c>
      <c r="AM352" s="437">
        <v>46151</v>
      </c>
      <c r="AN352" s="437">
        <v>46151</v>
      </c>
      <c r="AO352" s="430" t="s">
        <v>402</v>
      </c>
      <c r="AP352" s="430" t="s">
        <v>930</v>
      </c>
      <c r="AQ352" s="430" t="s">
        <v>80</v>
      </c>
      <c r="AR352" s="430" t="s">
        <v>931</v>
      </c>
      <c r="AS352" s="430" t="s">
        <v>932</v>
      </c>
      <c r="AT352" s="482" t="s">
        <v>932</v>
      </c>
      <c r="AU3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7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7">
        <f>IF(ISERROR(PV_DATA[[#This Row],[New Ark PO status]]),"",_xlfn.XLOOKUP(PV_DATA[[#This Row],[SPTN-PVHK New Ark PO'#]],New_Ark_Data[Purchase order Number],New_Ark_Data[Estimated time of arrival],"",0))</f>
        <v>46161</v>
      </c>
      <c r="AZ35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7">
        <f>IFERROR(PV_DATA[[#This Row],[ODP ETA Port]]+PV_DATA[[#This Row],[Customs/Leg3 Assumption]],"n/a")</f>
        <v>46159</v>
      </c>
      <c r="BB352" s="433">
        <f>YEAR(PV_DATA[[#This Row],[ETA for New Ark update]])</f>
        <v>2026</v>
      </c>
      <c r="BC352" s="430">
        <f>MONTH(PV_DATA[[#This Row],[ETA for New Ark update]])</f>
        <v>5</v>
      </c>
      <c r="BD352" s="430">
        <f>IFERROR(_xlfn.ISOWEEKNUM(PV_DATA[[#This Row],[ETA for New Ark update]]),0)</f>
        <v>20</v>
      </c>
      <c r="BE352" s="431">
        <f>_xlfn.XLOOKUP(PV_DATA[[#This Row],[New Ark SKU]],Table9[New Ark SKU],Table9[Total PCS per Pallet],,0)</f>
        <v>36</v>
      </c>
      <c r="BF352" s="431">
        <f>_xlfn.XLOOKUP(PV_DATA[[#This Row],[New Ark SKU]],Table9[New Ark SKU],Table9[Total PCS per 40HQ Container],,0)</f>
        <v>720</v>
      </c>
      <c r="BG352" s="431" t="str">
        <f>_xlfn.XLOOKUP(PV_DATA[[#This Row],[New Ark SKU]],Table9[New Ark SKU],Table9[Back Glass],,0)</f>
        <v>Redirection Film</v>
      </c>
      <c r="BH352" s="431" t="str">
        <f>_xlfn.XLOOKUP(PV_DATA[[#This Row],[PORT DESTINATION]],Table12[PORT DESTINATION],Table12[Cosco Line],,0)</f>
        <v>AEM</v>
      </c>
      <c r="BJ352" s="430"/>
    </row>
    <row r="353" spans="1:62" ht="10.5">
      <c r="A353" s="462" t="s">
        <v>1737</v>
      </c>
      <c r="B353" s="462" t="s">
        <v>111</v>
      </c>
      <c r="C353" s="462" t="str">
        <f>IFERROR(LEFT(PV_DATA[[#This Row],[TCL REFERENCE]],FIND(".",PV_DATA[[#This Row],[TCL REFERENCE]],1)-1),"Main Line")</f>
        <v>26Feb036</v>
      </c>
      <c r="D353" s="462" t="s">
        <v>113</v>
      </c>
      <c r="E353" s="462" t="s">
        <v>64</v>
      </c>
      <c r="F353" s="462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2" t="s">
        <v>402</v>
      </c>
      <c r="H353" s="462" t="s">
        <v>67</v>
      </c>
      <c r="I353" s="439" t="s">
        <v>822</v>
      </c>
      <c r="J353" s="430" t="s">
        <v>1327</v>
      </c>
      <c r="K353" s="430"/>
      <c r="L353" s="430"/>
      <c r="M353" s="430" t="s">
        <v>68</v>
      </c>
      <c r="N353" s="432" t="s">
        <v>68</v>
      </c>
      <c r="O353" s="430" t="s">
        <v>70</v>
      </c>
      <c r="P353" s="430" t="s">
        <v>378</v>
      </c>
      <c r="Q353" s="459" t="s">
        <v>379</v>
      </c>
      <c r="R353" s="431" t="str">
        <f>_xlfn.XLOOKUP(PV_DATA[[#This Row],[New Ark SKU]],Table9[New Ark SKU],Table9[Connector],,0)</f>
        <v>EVO2A</v>
      </c>
      <c r="S353" s="442" t="str">
        <f>_xlfn.XLOOKUP(PV_DATA[[#This Row],[New Ark SKU]],Table9[New Ark SKU],Table9[Cable],,0)</f>
        <v>±1400mm</v>
      </c>
      <c r="T353" s="433">
        <v>620</v>
      </c>
      <c r="U353" s="1088">
        <v>612</v>
      </c>
      <c r="V353" s="434">
        <f>PV_DATA[[#This Row],[QUANTITY]]*PV_DATA[[#This Row],[WATT]]/1000000</f>
        <v>0.37944</v>
      </c>
      <c r="W353" s="435">
        <f>PV_DATA[[#This Row],[QUANTITY]]/PV_DATA[[#This Row],[Qty/Pallet]]</f>
        <v>17</v>
      </c>
      <c r="X353" s="1040">
        <f>PV_DATA[[#This Row],[QUANTITY]]/PV_DATA[[#This Row],[Qty/CT]]</f>
        <v>0.85</v>
      </c>
      <c r="Y353" s="430" t="s">
        <v>75</v>
      </c>
      <c r="Z353" s="430" t="str">
        <f t="shared" si="2"/>
        <v>COMPLETED</v>
      </c>
      <c r="AA353" s="430"/>
      <c r="AB353" s="437">
        <v>46100</v>
      </c>
      <c r="AC353" s="438">
        <f>IF(PV_DATA[[#This Row],[Pick- Up Date]]&lt;&gt;"",_xlfn.ISOWEEKNUM(PV_DATA[[#This Row],[Pick- Up Date]]),"")</f>
        <v>12</v>
      </c>
      <c r="AD353" s="439" t="s">
        <v>1738</v>
      </c>
      <c r="AE353" s="430"/>
      <c r="AF353" s="430" t="s">
        <v>122</v>
      </c>
      <c r="AG353" s="430" t="s">
        <v>123</v>
      </c>
      <c r="AH353" s="430" t="s">
        <v>78</v>
      </c>
      <c r="AI353" s="437">
        <v>46105</v>
      </c>
      <c r="AJ353" s="437">
        <v>46105</v>
      </c>
      <c r="AK353" s="441">
        <v>46105</v>
      </c>
      <c r="AL353" s="437">
        <v>46154</v>
      </c>
      <c r="AM353" s="437">
        <v>46151</v>
      </c>
      <c r="AN353" s="437">
        <v>46151</v>
      </c>
      <c r="AO353" s="430" t="s">
        <v>402</v>
      </c>
      <c r="AP353" s="430" t="s">
        <v>1739</v>
      </c>
      <c r="AQ353" s="430" t="s">
        <v>80</v>
      </c>
      <c r="AR353" s="430" t="s">
        <v>931</v>
      </c>
      <c r="AS353" s="430" t="s">
        <v>932</v>
      </c>
      <c r="AT353" s="482" t="s">
        <v>932</v>
      </c>
      <c r="AU3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7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7">
        <f>IF(ISERROR(PV_DATA[[#This Row],[New Ark PO status]]),"",_xlfn.XLOOKUP(PV_DATA[[#This Row],[SPTN-PVHK New Ark PO'#]],New_Ark_Data[Purchase order Number],New_Ark_Data[Estimated time of arrival],"",0))</f>
        <v>46161</v>
      </c>
      <c r="AZ35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7">
        <f>IFERROR(PV_DATA[[#This Row],[ODP ETA Port]]+PV_DATA[[#This Row],[Customs/Leg3 Assumption]],"n/a")</f>
        <v>46159</v>
      </c>
      <c r="BB353" s="433">
        <f>YEAR(PV_DATA[[#This Row],[ETA for New Ark update]])</f>
        <v>2026</v>
      </c>
      <c r="BC353" s="430">
        <f>MONTH(PV_DATA[[#This Row],[ETA for New Ark update]])</f>
        <v>5</v>
      </c>
      <c r="BD353" s="430">
        <f>IFERROR(_xlfn.ISOWEEKNUM(PV_DATA[[#This Row],[ETA for New Ark update]]),0)</f>
        <v>20</v>
      </c>
      <c r="BE353" s="431">
        <f>_xlfn.XLOOKUP(PV_DATA[[#This Row],[New Ark SKU]],Table9[New Ark SKU],Table9[Total PCS per Pallet],,0)</f>
        <v>36</v>
      </c>
      <c r="BF353" s="431">
        <f>_xlfn.XLOOKUP(PV_DATA[[#This Row],[New Ark SKU]],Table9[New Ark SKU],Table9[Total PCS per 40HQ Container],,0)</f>
        <v>720</v>
      </c>
      <c r="BG353" s="431" t="str">
        <f>_xlfn.XLOOKUP(PV_DATA[[#This Row],[New Ark SKU]],Table9[New Ark SKU],Table9[Back Glass],,0)</f>
        <v>Redirection Film</v>
      </c>
      <c r="BH353" s="431" t="str">
        <f>_xlfn.XLOOKUP(PV_DATA[[#This Row],[PORT DESTINATION]],Table12[PORT DESTINATION],Table12[Cosco Line],,0)</f>
        <v>AEM</v>
      </c>
      <c r="BJ353" s="430"/>
    </row>
    <row r="354" spans="1:62" ht="10.5">
      <c r="A354" s="462" t="s">
        <v>1740</v>
      </c>
      <c r="B354" s="462" t="s">
        <v>111</v>
      </c>
      <c r="C354" s="462" t="str">
        <f>IFERROR(LEFT(PV_DATA[[#This Row],[TCL REFERENCE]],FIND(".",PV_DATA[[#This Row],[TCL REFERENCE]],1)-1),"Main Line")</f>
        <v>26Feb037</v>
      </c>
      <c r="D354" s="462" t="s">
        <v>113</v>
      </c>
      <c r="E354" s="462" t="s">
        <v>64</v>
      </c>
      <c r="F354" s="462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2" t="s">
        <v>402</v>
      </c>
      <c r="H354" s="462" t="s">
        <v>67</v>
      </c>
      <c r="I354" s="439" t="s">
        <v>822</v>
      </c>
      <c r="J354" s="430" t="s">
        <v>1327</v>
      </c>
      <c r="K354" s="430"/>
      <c r="L354" s="430"/>
      <c r="M354" s="430" t="s">
        <v>68</v>
      </c>
      <c r="N354" s="432" t="s">
        <v>68</v>
      </c>
      <c r="O354" s="430" t="s">
        <v>70</v>
      </c>
      <c r="P354" s="430" t="s">
        <v>218</v>
      </c>
      <c r="Q354" s="459" t="s">
        <v>219</v>
      </c>
      <c r="R354" s="431" t="str">
        <f>_xlfn.XLOOKUP(PV_DATA[[#This Row],[New Ark SKU]],Table9[New Ark SKU],Table9[Connector],,0)</f>
        <v>EVO2A</v>
      </c>
      <c r="S354" s="442" t="str">
        <f>_xlfn.XLOOKUP(PV_DATA[[#This Row],[New Ark SKU]],Table9[New Ark SKU],Table9[Cable],,0)</f>
        <v>±1400mm</v>
      </c>
      <c r="T354" s="433">
        <v>625</v>
      </c>
      <c r="U354" s="1088">
        <v>1008</v>
      </c>
      <c r="V354" s="434">
        <f>PV_DATA[[#This Row],[QUANTITY]]*PV_DATA[[#This Row],[WATT]]/1000000</f>
        <v>0.63</v>
      </c>
      <c r="W354" s="435">
        <f>PV_DATA[[#This Row],[QUANTITY]]/PV_DATA[[#This Row],[Qty/Pallet]]</f>
        <v>28</v>
      </c>
      <c r="X354" s="1040">
        <f>PV_DATA[[#This Row],[QUANTITY]]/PV_DATA[[#This Row],[Qty/CT]]</f>
        <v>1.4</v>
      </c>
      <c r="Y354" s="430" t="s">
        <v>75</v>
      </c>
      <c r="Z354" s="430" t="str">
        <f t="shared" si="2"/>
        <v>COMPLETED</v>
      </c>
      <c r="AA354" s="430"/>
      <c r="AB354" s="437">
        <v>46100</v>
      </c>
      <c r="AC354" s="438">
        <f>IF(PV_DATA[[#This Row],[Pick- Up Date]]&lt;&gt;"",_xlfn.ISOWEEKNUM(PV_DATA[[#This Row],[Pick- Up Date]]),"")</f>
        <v>12</v>
      </c>
      <c r="AD354" s="439" t="s">
        <v>1741</v>
      </c>
      <c r="AE354" s="430"/>
      <c r="AF354" s="430" t="s">
        <v>122</v>
      </c>
      <c r="AG354" s="430" t="s">
        <v>123</v>
      </c>
      <c r="AH354" s="430" t="s">
        <v>78</v>
      </c>
      <c r="AI354" s="437">
        <v>46105</v>
      </c>
      <c r="AJ354" s="437">
        <v>46105</v>
      </c>
      <c r="AK354" s="441">
        <v>46105</v>
      </c>
      <c r="AL354" s="437">
        <v>46154</v>
      </c>
      <c r="AM354" s="437">
        <v>46151</v>
      </c>
      <c r="AN354" s="437">
        <v>46151</v>
      </c>
      <c r="AO354" s="430" t="s">
        <v>402</v>
      </c>
      <c r="AP354" s="430" t="s">
        <v>930</v>
      </c>
      <c r="AQ354" s="430" t="s">
        <v>80</v>
      </c>
      <c r="AR354" s="430" t="s">
        <v>931</v>
      </c>
      <c r="AS354" s="430" t="s">
        <v>932</v>
      </c>
      <c r="AT354" s="482" t="s">
        <v>932</v>
      </c>
      <c r="AU3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7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7">
        <f>IF(ISERROR(PV_DATA[[#This Row],[New Ark PO status]]),"",_xlfn.XLOOKUP(PV_DATA[[#This Row],[SPTN-PVHK New Ark PO'#]],New_Ark_Data[Purchase order Number],New_Ark_Data[Estimated time of arrival],"",0))</f>
        <v>46161</v>
      </c>
      <c r="AZ35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7">
        <f>IFERROR(PV_DATA[[#This Row],[ODP ETA Port]]+PV_DATA[[#This Row],[Customs/Leg3 Assumption]],"n/a")</f>
        <v>46159</v>
      </c>
      <c r="BB354" s="433">
        <f>YEAR(PV_DATA[[#This Row],[ETA for New Ark update]])</f>
        <v>2026</v>
      </c>
      <c r="BC354" s="430">
        <f>MONTH(PV_DATA[[#This Row],[ETA for New Ark update]])</f>
        <v>5</v>
      </c>
      <c r="BD354" s="430">
        <f>IFERROR(_xlfn.ISOWEEKNUM(PV_DATA[[#This Row],[ETA for New Ark update]]),0)</f>
        <v>20</v>
      </c>
      <c r="BE354" s="431">
        <f>_xlfn.XLOOKUP(PV_DATA[[#This Row],[New Ark SKU]],Table9[New Ark SKU],Table9[Total PCS per Pallet],,0)</f>
        <v>36</v>
      </c>
      <c r="BF354" s="431">
        <f>_xlfn.XLOOKUP(PV_DATA[[#This Row],[New Ark SKU]],Table9[New Ark SKU],Table9[Total PCS per 40HQ Container],,0)</f>
        <v>720</v>
      </c>
      <c r="BG354" s="431" t="str">
        <f>_xlfn.XLOOKUP(PV_DATA[[#This Row],[New Ark SKU]],Table9[New Ark SKU],Table9[Back Glass],,0)</f>
        <v>Redirection Film</v>
      </c>
      <c r="BH354" s="431" t="str">
        <f>_xlfn.XLOOKUP(PV_DATA[[#This Row],[PORT DESTINATION]],Table12[PORT DESTINATION],Table12[Cosco Line],,0)</f>
        <v>AEM</v>
      </c>
      <c r="BJ354" s="430"/>
    </row>
    <row r="355" spans="1:62" ht="10.5">
      <c r="A355" s="462" t="s">
        <v>1742</v>
      </c>
      <c r="B355" s="462" t="s">
        <v>111</v>
      </c>
      <c r="C355" s="462" t="str">
        <f>IFERROR(LEFT(PV_DATA[[#This Row],[TCL REFERENCE]],FIND(".",PV_DATA[[#This Row],[TCL REFERENCE]],1)-1),"Main Line")</f>
        <v>26Feb038</v>
      </c>
      <c r="D355" s="462" t="s">
        <v>113</v>
      </c>
      <c r="E355" s="462" t="s">
        <v>64</v>
      </c>
      <c r="F355" s="462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2" t="s">
        <v>402</v>
      </c>
      <c r="H355" s="462" t="s">
        <v>67</v>
      </c>
      <c r="I355" s="439" t="s">
        <v>822</v>
      </c>
      <c r="J355" s="430" t="s">
        <v>1327</v>
      </c>
      <c r="K355" s="430"/>
      <c r="L355" s="430"/>
      <c r="M355" s="430" t="s">
        <v>68</v>
      </c>
      <c r="N355" s="432" t="s">
        <v>68</v>
      </c>
      <c r="O355" s="430" t="s">
        <v>70</v>
      </c>
      <c r="P355" s="430" t="s">
        <v>1334</v>
      </c>
      <c r="Q355" s="459" t="s">
        <v>1335</v>
      </c>
      <c r="R355" s="431" t="str">
        <f>_xlfn.XLOOKUP(PV_DATA[[#This Row],[New Ark SKU]],Table9[New Ark SKU],Table9[Connector],,0)</f>
        <v>EVO2A</v>
      </c>
      <c r="S355" s="442" t="str">
        <f>_xlfn.XLOOKUP(PV_DATA[[#This Row],[New Ark SKU]],Table9[New Ark SKU],Table9[Cable],,0)</f>
        <v>±1400mm</v>
      </c>
      <c r="T355" s="433">
        <v>630</v>
      </c>
      <c r="U355" s="1088">
        <v>540</v>
      </c>
      <c r="V355" s="434">
        <f>PV_DATA[[#This Row],[QUANTITY]]*PV_DATA[[#This Row],[WATT]]/1000000</f>
        <v>0.3402</v>
      </c>
      <c r="W355" s="435">
        <f>PV_DATA[[#This Row],[QUANTITY]]/PV_DATA[[#This Row],[Qty/Pallet]]</f>
        <v>15</v>
      </c>
      <c r="X355" s="1040">
        <f>PV_DATA[[#This Row],[QUANTITY]]/PV_DATA[[#This Row],[Qty/CT]]</f>
        <v>0.75</v>
      </c>
      <c r="Y355" s="430" t="s">
        <v>75</v>
      </c>
      <c r="Z355" s="430" t="str">
        <f t="shared" si="2"/>
        <v>COMPLETED</v>
      </c>
      <c r="AA355" s="430"/>
      <c r="AB355" s="437">
        <v>46100</v>
      </c>
      <c r="AC355" s="438">
        <f>IF(PV_DATA[[#This Row],[Pick- Up Date]]&lt;&gt;"",_xlfn.ISOWEEKNUM(PV_DATA[[#This Row],[Pick- Up Date]]),"")</f>
        <v>12</v>
      </c>
      <c r="AD355" s="439" t="s">
        <v>1743</v>
      </c>
      <c r="AE355" s="430"/>
      <c r="AF355" s="430" t="s">
        <v>122</v>
      </c>
      <c r="AG355" s="430" t="s">
        <v>123</v>
      </c>
      <c r="AH355" s="430" t="s">
        <v>78</v>
      </c>
      <c r="AI355" s="437">
        <v>46105</v>
      </c>
      <c r="AJ355" s="437">
        <v>46105</v>
      </c>
      <c r="AK355" s="441">
        <v>46105</v>
      </c>
      <c r="AL355" s="437">
        <v>46154</v>
      </c>
      <c r="AM355" s="437">
        <v>46151</v>
      </c>
      <c r="AN355" s="437">
        <v>46151</v>
      </c>
      <c r="AO355" s="430" t="s">
        <v>402</v>
      </c>
      <c r="AP355" s="430" t="s">
        <v>930</v>
      </c>
      <c r="AQ355" s="430" t="s">
        <v>80</v>
      </c>
      <c r="AR355" s="430" t="s">
        <v>931</v>
      </c>
      <c r="AS355" s="430" t="s">
        <v>932</v>
      </c>
      <c r="AT355" s="482" t="s">
        <v>932</v>
      </c>
      <c r="AU3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7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7">
        <f>IF(ISERROR(PV_DATA[[#This Row],[New Ark PO status]]),"",_xlfn.XLOOKUP(PV_DATA[[#This Row],[SPTN-PVHK New Ark PO'#]],New_Ark_Data[Purchase order Number],New_Ark_Data[Estimated time of arrival],"",0))</f>
        <v>46161</v>
      </c>
      <c r="AZ35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7">
        <f>IFERROR(PV_DATA[[#This Row],[ODP ETA Port]]+PV_DATA[[#This Row],[Customs/Leg3 Assumption]],"n/a")</f>
        <v>46159</v>
      </c>
      <c r="BB355" s="433">
        <f>YEAR(PV_DATA[[#This Row],[ETA for New Ark update]])</f>
        <v>2026</v>
      </c>
      <c r="BC355" s="430">
        <f>MONTH(PV_DATA[[#This Row],[ETA for New Ark update]])</f>
        <v>5</v>
      </c>
      <c r="BD355" s="430">
        <f>IFERROR(_xlfn.ISOWEEKNUM(PV_DATA[[#This Row],[ETA for New Ark update]]),0)</f>
        <v>20</v>
      </c>
      <c r="BE355" s="431">
        <f>_xlfn.XLOOKUP(PV_DATA[[#This Row],[New Ark SKU]],Table9[New Ark SKU],Table9[Total PCS per Pallet],,0)</f>
        <v>36</v>
      </c>
      <c r="BF355" s="431">
        <f>_xlfn.XLOOKUP(PV_DATA[[#This Row],[New Ark SKU]],Table9[New Ark SKU],Table9[Total PCS per 40HQ Container],,0)</f>
        <v>720</v>
      </c>
      <c r="BG355" s="431" t="str">
        <f>_xlfn.XLOOKUP(PV_DATA[[#This Row],[New Ark SKU]],Table9[New Ark SKU],Table9[Back Glass],,0)</f>
        <v>Transparent</v>
      </c>
      <c r="BH355" s="431" t="str">
        <f>_xlfn.XLOOKUP(PV_DATA[[#This Row],[PORT DESTINATION]],Table12[PORT DESTINATION],Table12[Cosco Line],,0)</f>
        <v>AEM</v>
      </c>
      <c r="BJ355" s="430"/>
    </row>
    <row r="356" spans="1:62" ht="10.5">
      <c r="A356" s="462" t="s">
        <v>1744</v>
      </c>
      <c r="B356" s="462" t="s">
        <v>111</v>
      </c>
      <c r="C356" s="462" t="str">
        <f>IFERROR(LEFT(PV_DATA[[#This Row],[TCL REFERENCE]],FIND(".",PV_DATA[[#This Row],[TCL REFERENCE]],1)-1),"Main Line")</f>
        <v>26Feb036</v>
      </c>
      <c r="D356" s="462" t="s">
        <v>113</v>
      </c>
      <c r="E356" s="462" t="s">
        <v>64</v>
      </c>
      <c r="F356" s="462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2" t="s">
        <v>402</v>
      </c>
      <c r="H356" s="462" t="s">
        <v>67</v>
      </c>
      <c r="I356" s="439" t="s">
        <v>822</v>
      </c>
      <c r="J356" s="430" t="s">
        <v>1745</v>
      </c>
      <c r="K356" s="430"/>
      <c r="L356" s="430"/>
      <c r="M356" s="430" t="s">
        <v>68</v>
      </c>
      <c r="N356" s="432" t="s">
        <v>68</v>
      </c>
      <c r="O356" s="430" t="s">
        <v>70</v>
      </c>
      <c r="P356" s="430" t="s">
        <v>378</v>
      </c>
      <c r="Q356" s="459" t="s">
        <v>379</v>
      </c>
      <c r="R356" s="431" t="str">
        <f>_xlfn.XLOOKUP(PV_DATA[[#This Row],[New Ark SKU]],Table9[New Ark SKU],Table9[Connector],,0)</f>
        <v>EVO2A</v>
      </c>
      <c r="S356" s="442" t="str">
        <f>_xlfn.XLOOKUP(PV_DATA[[#This Row],[New Ark SKU]],Table9[New Ark SKU],Table9[Cable],,0)</f>
        <v>±1400mm</v>
      </c>
      <c r="T356" s="433">
        <v>620</v>
      </c>
      <c r="U356" s="1088">
        <v>288</v>
      </c>
      <c r="V356" s="434">
        <f>PV_DATA[[#This Row],[QUANTITY]]*PV_DATA[[#This Row],[WATT]]/1000000</f>
        <v>0.17856</v>
      </c>
      <c r="W356" s="435">
        <f>PV_DATA[[#This Row],[QUANTITY]]/PV_DATA[[#This Row],[Qty/Pallet]]</f>
        <v>8</v>
      </c>
      <c r="X356" s="1040">
        <f>PV_DATA[[#This Row],[QUANTITY]]/PV_DATA[[#This Row],[Qty/CT]]</f>
        <v>0.4</v>
      </c>
      <c r="Y356" s="430" t="s">
        <v>75</v>
      </c>
      <c r="Z356" s="430" t="str">
        <f t="shared" si="2"/>
        <v>COMPLETED</v>
      </c>
      <c r="AA356" s="430"/>
      <c r="AB356" s="437">
        <v>46100</v>
      </c>
      <c r="AC356" s="438">
        <f>IF(PV_DATA[[#This Row],[Pick- Up Date]]&lt;&gt;"",_xlfn.ISOWEEKNUM(PV_DATA[[#This Row],[Pick- Up Date]]),"")</f>
        <v>12</v>
      </c>
      <c r="AD356" s="439" t="s">
        <v>1746</v>
      </c>
      <c r="AE356" s="430"/>
      <c r="AF356" s="430" t="s">
        <v>122</v>
      </c>
      <c r="AG356" s="430" t="s">
        <v>123</v>
      </c>
      <c r="AH356" s="430" t="s">
        <v>78</v>
      </c>
      <c r="AI356" s="437">
        <v>46105</v>
      </c>
      <c r="AJ356" s="437">
        <v>46105</v>
      </c>
      <c r="AK356" s="441">
        <v>46105</v>
      </c>
      <c r="AL356" s="437">
        <v>46154</v>
      </c>
      <c r="AM356" s="437">
        <v>46151</v>
      </c>
      <c r="AN356" s="437">
        <v>46151</v>
      </c>
      <c r="AO356" s="430" t="s">
        <v>402</v>
      </c>
      <c r="AP356" s="430" t="s">
        <v>930</v>
      </c>
      <c r="AQ356" s="430" t="s">
        <v>80</v>
      </c>
      <c r="AR356" s="430" t="s">
        <v>931</v>
      </c>
      <c r="AS356" s="430" t="s">
        <v>932</v>
      </c>
      <c r="AT356" s="482" t="s">
        <v>932</v>
      </c>
      <c r="AU3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7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7">
        <f>IF(ISERROR(PV_DATA[[#This Row],[New Ark PO status]]),"",_xlfn.XLOOKUP(PV_DATA[[#This Row],[SPTN-PVHK New Ark PO'#]],New_Ark_Data[Purchase order Number],New_Ark_Data[Estimated time of arrival],"",0))</f>
        <v>46161</v>
      </c>
      <c r="AZ35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7">
        <f>IFERROR(PV_DATA[[#This Row],[ODP ETA Port]]+PV_DATA[[#This Row],[Customs/Leg3 Assumption]],"n/a")</f>
        <v>46159</v>
      </c>
      <c r="BB356" s="433">
        <f>YEAR(PV_DATA[[#This Row],[ETA for New Ark update]])</f>
        <v>2026</v>
      </c>
      <c r="BC356" s="430">
        <f>MONTH(PV_DATA[[#This Row],[ETA for New Ark update]])</f>
        <v>5</v>
      </c>
      <c r="BD356" s="430">
        <f>IFERROR(_xlfn.ISOWEEKNUM(PV_DATA[[#This Row],[ETA for New Ark update]]),0)</f>
        <v>20</v>
      </c>
      <c r="BE356" s="431">
        <f>_xlfn.XLOOKUP(PV_DATA[[#This Row],[New Ark SKU]],Table9[New Ark SKU],Table9[Total PCS per Pallet],,0)</f>
        <v>36</v>
      </c>
      <c r="BF356" s="431">
        <f>_xlfn.XLOOKUP(PV_DATA[[#This Row],[New Ark SKU]],Table9[New Ark SKU],Table9[Total PCS per 40HQ Container],,0)</f>
        <v>720</v>
      </c>
      <c r="BG356" s="431" t="str">
        <f>_xlfn.XLOOKUP(PV_DATA[[#This Row],[New Ark SKU]],Table9[New Ark SKU],Table9[Back Glass],,0)</f>
        <v>Redirection Film</v>
      </c>
      <c r="BH356" s="431" t="str">
        <f>_xlfn.XLOOKUP(PV_DATA[[#This Row],[PORT DESTINATION]],Table12[PORT DESTINATION],Table12[Cosco Line],,0)</f>
        <v>AEM</v>
      </c>
      <c r="BJ356" s="430"/>
    </row>
    <row r="357" spans="1:62" ht="10.5">
      <c r="A357" s="462" t="s">
        <v>1445</v>
      </c>
      <c r="B357" s="462" t="s">
        <v>111</v>
      </c>
      <c r="C357" s="462" t="str">
        <f>IFERROR(LEFT(PV_DATA[[#This Row],[TCL REFERENCE]],FIND(".",PV_DATA[[#This Row],[TCL REFERENCE]],1)-1),"Main Line")</f>
        <v>Main Line</v>
      </c>
      <c r="D357" s="462" t="s">
        <v>113</v>
      </c>
      <c r="E357" s="462" t="s">
        <v>64</v>
      </c>
      <c r="F357" s="462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2" t="s">
        <v>402</v>
      </c>
      <c r="H357" s="462" t="s">
        <v>67</v>
      </c>
      <c r="I357" s="439" t="s">
        <v>689</v>
      </c>
      <c r="J357" s="430" t="s">
        <v>1747</v>
      </c>
      <c r="K357" s="430"/>
      <c r="L357" s="430"/>
      <c r="M357" s="430" t="s">
        <v>68</v>
      </c>
      <c r="N357" s="432">
        <v>46045</v>
      </c>
      <c r="O357" s="430" t="s">
        <v>713</v>
      </c>
      <c r="P357" s="430" t="s">
        <v>1429</v>
      </c>
      <c r="Q357" s="459" t="s">
        <v>1430</v>
      </c>
      <c r="R357" s="431" t="str">
        <f>_xlfn.XLOOKUP(PV_DATA[[#This Row],[New Ark SKU]],Table9[New Ark SKU],Table9[Connector],,0)</f>
        <v>EVO2A</v>
      </c>
      <c r="S357" s="442" t="str">
        <f>_xlfn.XLOOKUP(PV_DATA[[#This Row],[New Ark SKU]],Table9[New Ark SKU],Table9[Cable],,0)</f>
        <v>±1500mm</v>
      </c>
      <c r="T357" s="433">
        <v>620</v>
      </c>
      <c r="U357" s="1088" cm="1">
        <f t="array" ref="U357">3420-fx_qty</f>
        <v>72</v>
      </c>
      <c r="V357" s="434">
        <f>PV_DATA[[#This Row],[QUANTITY]]*PV_DATA[[#This Row],[WATT]]/1000000</f>
        <v>4.4639999999999999E-2</v>
      </c>
      <c r="W357" s="435">
        <f>PV_DATA[[#This Row],[QUANTITY]]/PV_DATA[[#This Row],[Qty/Pallet]]</f>
        <v>2</v>
      </c>
      <c r="X357" s="1040">
        <f>PV_DATA[[#This Row],[QUANTITY]]/PV_DATA[[#This Row],[Qty/CT]]</f>
        <v>0.1</v>
      </c>
      <c r="Y357" s="430" t="s">
        <v>75</v>
      </c>
      <c r="Z357" s="430" t="str">
        <f t="shared" si="2"/>
        <v>COMPLETED</v>
      </c>
      <c r="AA357" s="430"/>
      <c r="AB357" s="437">
        <v>46100</v>
      </c>
      <c r="AC357" s="438">
        <f>IF(PV_DATA[[#This Row],[Pick- Up Date]]&lt;&gt;"",_xlfn.ISOWEEKNUM(PV_DATA[[#This Row],[Pick- Up Date]]),"")</f>
        <v>12</v>
      </c>
      <c r="AD357" s="439" t="s">
        <v>1748</v>
      </c>
      <c r="AE357" s="430"/>
      <c r="AF357" s="430" t="s">
        <v>122</v>
      </c>
      <c r="AG357" s="430" t="s">
        <v>123</v>
      </c>
      <c r="AH357" s="430" t="s">
        <v>78</v>
      </c>
      <c r="AI357" s="437">
        <v>46105</v>
      </c>
      <c r="AJ357" s="437">
        <v>46105</v>
      </c>
      <c r="AK357" s="441">
        <v>46105</v>
      </c>
      <c r="AL357" s="437">
        <v>46154</v>
      </c>
      <c r="AM357" s="437">
        <v>46151</v>
      </c>
      <c r="AN357" s="437">
        <v>46151</v>
      </c>
      <c r="AO357" s="430" t="s">
        <v>402</v>
      </c>
      <c r="AP357" s="430" t="s">
        <v>930</v>
      </c>
      <c r="AQ357" s="430" t="s">
        <v>80</v>
      </c>
      <c r="AR357" s="430" t="s">
        <v>931</v>
      </c>
      <c r="AS357" s="430" t="s">
        <v>932</v>
      </c>
      <c r="AT357" s="482" t="s">
        <v>932</v>
      </c>
      <c r="AU3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7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7">
        <f>IF(ISERROR(PV_DATA[[#This Row],[New Ark PO status]]),"",_xlfn.XLOOKUP(PV_DATA[[#This Row],[SPTN-PVHK New Ark PO'#]],New_Ark_Data[Purchase order Number],New_Ark_Data[Estimated time of arrival],"",0))</f>
        <v>46161</v>
      </c>
      <c r="AZ35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7">
        <f>IFERROR(PV_DATA[[#This Row],[ODP ETA Port]]+PV_DATA[[#This Row],[Customs/Leg3 Assumption]],"n/a")</f>
        <v>46159</v>
      </c>
      <c r="BB357" s="433">
        <f>YEAR(PV_DATA[[#This Row],[ETA for New Ark update]])</f>
        <v>2026</v>
      </c>
      <c r="BC357" s="430">
        <f>MONTH(PV_DATA[[#This Row],[ETA for New Ark update]])</f>
        <v>5</v>
      </c>
      <c r="BD357" s="430">
        <f>IFERROR(_xlfn.ISOWEEKNUM(PV_DATA[[#This Row],[ETA for New Ark update]]),0)</f>
        <v>20</v>
      </c>
      <c r="BE357" s="431">
        <f>_xlfn.XLOOKUP(PV_DATA[[#This Row],[New Ark SKU]],Table9[New Ark SKU],Table9[Total PCS per Pallet],,0)</f>
        <v>36</v>
      </c>
      <c r="BF357" s="431">
        <f>_xlfn.XLOOKUP(PV_DATA[[#This Row],[New Ark SKU]],Table9[New Ark SKU],Table9[Total PCS per 40HQ Container],,0)</f>
        <v>720</v>
      </c>
      <c r="BG357" s="431" t="str">
        <f>_xlfn.XLOOKUP(PV_DATA[[#This Row],[New Ark SKU]],Table9[New Ark SKU],Table9[Back Glass],,0)</f>
        <v>White glazing</v>
      </c>
      <c r="BH357" s="431" t="str">
        <f>_xlfn.XLOOKUP(PV_DATA[[#This Row],[PORT DESTINATION]],Table12[PORT DESTINATION],Table12[Cosco Line],,0)</f>
        <v>AEM</v>
      </c>
      <c r="BJ357" s="430"/>
    </row>
    <row r="358" spans="1:62" ht="10.5">
      <c r="A358" s="462" t="s">
        <v>1749</v>
      </c>
      <c r="B358" s="462" t="s">
        <v>111</v>
      </c>
      <c r="C358" s="462" t="str">
        <f>IFERROR(LEFT(PV_DATA[[#This Row],[TCL REFERENCE]],FIND(".",PV_DATA[[#This Row],[TCL REFERENCE]],1)-1),"Main Line")</f>
        <v>26Feb015</v>
      </c>
      <c r="D358" s="462" t="s">
        <v>63</v>
      </c>
      <c r="E358" s="462" t="s">
        <v>144</v>
      </c>
      <c r="F358" s="462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2" t="s">
        <v>402</v>
      </c>
      <c r="H358" s="462" t="s">
        <v>593</v>
      </c>
      <c r="I358" s="439" t="s">
        <v>869</v>
      </c>
      <c r="J358" s="430" t="s">
        <v>594</v>
      </c>
      <c r="K358" s="430" t="s">
        <v>1750</v>
      </c>
      <c r="L358" s="430"/>
      <c r="M358" s="430" t="s">
        <v>840</v>
      </c>
      <c r="N358" s="432">
        <v>46048</v>
      </c>
      <c r="O358" s="430" t="s">
        <v>132</v>
      </c>
      <c r="P358" s="430" t="s">
        <v>133</v>
      </c>
      <c r="Q358" s="430" t="s">
        <v>134</v>
      </c>
      <c r="R358" s="431" t="str">
        <f>_xlfn.XLOOKUP(PV_DATA[[#This Row],[New Ark SKU]],Table9[New Ark SKU],Table9[Connector],,0)</f>
        <v>EVO2A</v>
      </c>
      <c r="S358" s="442" t="str">
        <f>_xlfn.XLOOKUP(PV_DATA[[#This Row],[New Ark SKU]],Table9[New Ark SKU],Table9[Cable],,0)</f>
        <v>±1400mm</v>
      </c>
      <c r="T358" s="433">
        <v>720</v>
      </c>
      <c r="U358" s="1088">
        <f>594*5</f>
        <v>2970</v>
      </c>
      <c r="V358" s="434">
        <f>PV_DATA[[#This Row],[QUANTITY]]*PV_DATA[[#This Row],[WATT]]/1000000</f>
        <v>2.1383999999999999</v>
      </c>
      <c r="W358" s="435">
        <f>PV_DATA[[#This Row],[QUANTITY]]/PV_DATA[[#This Row],[Qty/Pallet]]</f>
        <v>90</v>
      </c>
      <c r="X358" s="1040">
        <f>PV_DATA[[#This Row],[QUANTITY]]/PV_DATA[[#This Row],[Qty/CT]]</f>
        <v>5</v>
      </c>
      <c r="Y358" s="430" t="s">
        <v>75</v>
      </c>
      <c r="Z358" s="430" t="str">
        <f t="shared" si="2"/>
        <v>COMPLETED</v>
      </c>
      <c r="AA358" s="430"/>
      <c r="AB358" s="437">
        <v>46100</v>
      </c>
      <c r="AC358" s="438">
        <f>IF(PV_DATA[[#This Row],[Pick- Up Date]]&lt;&gt;"",_xlfn.ISOWEEKNUM(PV_DATA[[#This Row],[Pick- Up Date]]),"")</f>
        <v>12</v>
      </c>
      <c r="AD358" s="439" t="s">
        <v>1751</v>
      </c>
      <c r="AE358" s="430" t="s">
        <v>1752</v>
      </c>
      <c r="AF358" s="430" t="s">
        <v>122</v>
      </c>
      <c r="AG358" s="430" t="s">
        <v>123</v>
      </c>
      <c r="AH358" s="430" t="s">
        <v>124</v>
      </c>
      <c r="AI358" s="437">
        <v>46106</v>
      </c>
      <c r="AJ358" s="437">
        <v>46108</v>
      </c>
      <c r="AK358" s="441">
        <v>46108</v>
      </c>
      <c r="AL358" s="437">
        <v>46149</v>
      </c>
      <c r="AM358" s="437">
        <v>46149</v>
      </c>
      <c r="AN358" s="437">
        <v>46149</v>
      </c>
      <c r="AO358" s="430" t="s">
        <v>402</v>
      </c>
      <c r="AP358" s="430" t="s">
        <v>1753</v>
      </c>
      <c r="AQ358" s="430" t="s">
        <v>80</v>
      </c>
      <c r="AR358" s="430" t="s">
        <v>1754</v>
      </c>
      <c r="AS358" s="430" t="s">
        <v>1755</v>
      </c>
      <c r="AT358" s="482" t="s">
        <v>1755</v>
      </c>
      <c r="AU3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7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7">
        <f>IF(ISERROR(PV_DATA[[#This Row],[New Ark PO status]]),"",_xlfn.XLOOKUP(PV_DATA[[#This Row],[SPTN-PVHK New Ark PO'#]],New_Ark_Data[Purchase order Number],New_Ark_Data[Estimated time of arrival],"",0))</f>
        <v>46163</v>
      </c>
      <c r="AZ35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7">
        <f>IFERROR(PV_DATA[[#This Row],[ODP ETA Port]]+PV_DATA[[#This Row],[Customs/Leg3 Assumption]],"n/a")</f>
        <v>46149</v>
      </c>
      <c r="BB358" s="433">
        <f>YEAR(PV_DATA[[#This Row],[ETA for New Ark update]])</f>
        <v>2026</v>
      </c>
      <c r="BC358" s="430">
        <f>MONTH(PV_DATA[[#This Row],[ETA for New Ark update]])</f>
        <v>5</v>
      </c>
      <c r="BD358" s="430">
        <f>IFERROR(_xlfn.ISOWEEKNUM(PV_DATA[[#This Row],[ETA for New Ark update]]),0)</f>
        <v>19</v>
      </c>
      <c r="BE358" s="431">
        <f>_xlfn.XLOOKUP(PV_DATA[[#This Row],[New Ark SKU]],Table9[New Ark SKU],Table9[Total PCS per Pallet],,0)</f>
        <v>33</v>
      </c>
      <c r="BF358" s="431">
        <f>_xlfn.XLOOKUP(PV_DATA[[#This Row],[New Ark SKU]],Table9[New Ark SKU],Table9[Total PCS per 40HQ Container],,0)</f>
        <v>594</v>
      </c>
      <c r="BG358" s="431" t="str">
        <f>_xlfn.XLOOKUP(PV_DATA[[#This Row],[New Ark SKU]],Table9[New Ark SKU],Table9[Back Glass],,0)</f>
        <v>White glazing</v>
      </c>
      <c r="BH358" s="431" t="str">
        <f>_xlfn.XLOOKUP(PV_DATA[[#This Row],[PORT DESTINATION]],Table12[PORT DESTINATION],Table12[Cosco Line],,0)</f>
        <v>AEM</v>
      </c>
      <c r="BJ358" s="430"/>
    </row>
    <row r="359" spans="1:62" ht="10.5">
      <c r="A359" s="462" t="s">
        <v>1756</v>
      </c>
      <c r="B359" s="462" t="s">
        <v>1757</v>
      </c>
      <c r="C359" s="462" t="str">
        <f>IFERROR(LEFT(PV_DATA[[#This Row],[TCL REFERENCE]],FIND(".",PV_DATA[[#This Row],[TCL REFERENCE]],1)-1),"Main Line")</f>
        <v>26Feb019</v>
      </c>
      <c r="D359" s="462" t="s">
        <v>63</v>
      </c>
      <c r="E359" s="462" t="s">
        <v>144</v>
      </c>
      <c r="F359" s="462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2" t="s">
        <v>402</v>
      </c>
      <c r="H359" s="462" t="s">
        <v>881</v>
      </c>
      <c r="I359" s="439" t="s">
        <v>689</v>
      </c>
      <c r="J359" s="430" t="s">
        <v>1758</v>
      </c>
      <c r="K359" s="430" t="s">
        <v>1759</v>
      </c>
      <c r="L359" s="430"/>
      <c r="M359" s="430" t="s">
        <v>840</v>
      </c>
      <c r="N359" s="432">
        <v>46090</v>
      </c>
      <c r="O359" s="430" t="s">
        <v>70</v>
      </c>
      <c r="P359" s="430" t="s">
        <v>71</v>
      </c>
      <c r="Q359" s="430" t="s">
        <v>72</v>
      </c>
      <c r="R359" s="431" t="str">
        <f>_xlfn.XLOOKUP(PV_DATA[[#This Row],[New Ark SKU]],Table9[New Ark SKU],Table9[Connector],,0)</f>
        <v>EVO2A</v>
      </c>
      <c r="S359" s="442" t="str">
        <f>_xlfn.XLOOKUP(PV_DATA[[#This Row],[New Ark SKU]],Table9[New Ark SKU],Table9[Cable],,0)</f>
        <v>±1200mm</v>
      </c>
      <c r="T359" s="433">
        <v>500</v>
      </c>
      <c r="U359" s="1088">
        <f>864*3</f>
        <v>2592</v>
      </c>
      <c r="V359" s="434">
        <f>PV_DATA[[#This Row],[QUANTITY]]*PV_DATA[[#This Row],[WATT]]/1000000</f>
        <v>1.296</v>
      </c>
      <c r="W359" s="435">
        <f>PV_DATA[[#This Row],[QUANTITY]]/PV_DATA[[#This Row],[Qty/Pallet]]</f>
        <v>72</v>
      </c>
      <c r="X359" s="1045">
        <f>PV_DATA[[#This Row],[QUANTITY]]/PV_DATA[[#This Row],[Qty/CT]]</f>
        <v>3</v>
      </c>
      <c r="Y359" s="430" t="s">
        <v>75</v>
      </c>
      <c r="Z359" s="430" t="str">
        <f t="shared" si="2"/>
        <v>COMPLETED</v>
      </c>
      <c r="AA359" s="430" t="s">
        <v>1760</v>
      </c>
      <c r="AB359" s="437">
        <v>46109</v>
      </c>
      <c r="AC359" s="438">
        <f>IF(PV_DATA[[#This Row],[Pick- Up Date]]&lt;&gt;"",_xlfn.ISOWEEKNUM(PV_DATA[[#This Row],[Pick- Up Date]]),"")</f>
        <v>13</v>
      </c>
      <c r="AD359" s="439" t="s">
        <v>1761</v>
      </c>
      <c r="AE359" s="430"/>
      <c r="AF359" s="430" t="s">
        <v>1762</v>
      </c>
      <c r="AG359" s="430" t="s">
        <v>123</v>
      </c>
      <c r="AH359" s="430" t="s">
        <v>888</v>
      </c>
      <c r="AI359" s="437">
        <v>46112</v>
      </c>
      <c r="AJ359" s="437">
        <v>46112</v>
      </c>
      <c r="AK359" s="441">
        <v>46113</v>
      </c>
      <c r="AL359" s="437">
        <v>46162</v>
      </c>
      <c r="AM359" s="437">
        <v>46162</v>
      </c>
      <c r="AN359" s="437">
        <v>46162</v>
      </c>
      <c r="AO359" s="430" t="s">
        <v>402</v>
      </c>
      <c r="AP359" s="430" t="s">
        <v>1763</v>
      </c>
      <c r="AQ359" s="430" t="s">
        <v>80</v>
      </c>
      <c r="AR359" s="430" t="s">
        <v>1764</v>
      </c>
      <c r="AS359" s="430" t="s">
        <v>1765</v>
      </c>
      <c r="AT359" s="482" t="s">
        <v>1765</v>
      </c>
      <c r="AU3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7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7">
        <f>IF(ISERROR(PV_DATA[[#This Row],[New Ark PO status]]),"",_xlfn.XLOOKUP(PV_DATA[[#This Row],[SPTN-PVHK New Ark PO'#]],New_Ark_Data[Purchase order Number],New_Ark_Data[Estimated time of arrival],"",0))</f>
        <v>46176</v>
      </c>
      <c r="AZ35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7">
        <f>IFERROR(PV_DATA[[#This Row],[ODP ETA Port]]+PV_DATA[[#This Row],[Customs/Leg3 Assumption]],"n/a")</f>
        <v>46162</v>
      </c>
      <c r="BB359" s="433">
        <f>YEAR(PV_DATA[[#This Row],[ETA for New Ark update]])</f>
        <v>2026</v>
      </c>
      <c r="BC359" s="430">
        <f>MONTH(PV_DATA[[#This Row],[ETA for New Ark update]])</f>
        <v>5</v>
      </c>
      <c r="BD359" s="430">
        <f>IFERROR(_xlfn.ISOWEEKNUM(PV_DATA[[#This Row],[ETA for New Ark update]]),0)</f>
        <v>21</v>
      </c>
      <c r="BE359" s="431">
        <f>_xlfn.XLOOKUP(PV_DATA[[#This Row],[New Ark SKU]],Table9[New Ark SKU],Table9[Total PCS per Pallet],,0)</f>
        <v>36</v>
      </c>
      <c r="BF359" s="431">
        <f>_xlfn.XLOOKUP(PV_DATA[[#This Row],[New Ark SKU]],Table9[New Ark SKU],Table9[Total PCS per 40HQ Container],,0)</f>
        <v>864</v>
      </c>
      <c r="BG359" s="431" t="str">
        <f>_xlfn.XLOOKUP(PV_DATA[[#This Row],[New Ark SKU]],Table9[New Ark SKU],Table9[Back Glass],,0)</f>
        <v>Black glazing</v>
      </c>
      <c r="BH359" s="431" t="str">
        <f>_xlfn.XLOOKUP(PV_DATA[[#This Row],[PORT DESTINATION]],Table12[PORT DESTINATION],Table12[Cosco Line],,0)</f>
        <v>AEU</v>
      </c>
      <c r="BJ359" s="430"/>
    </row>
    <row r="360" spans="1:62" ht="10.5">
      <c r="A360" s="462" t="s">
        <v>1766</v>
      </c>
      <c r="B360" s="462" t="s">
        <v>1757</v>
      </c>
      <c r="C360" s="462" t="str">
        <f>IFERROR(LEFT(PV_DATA[[#This Row],[TCL REFERENCE]],FIND(".",PV_DATA[[#This Row],[TCL REFERENCE]],1)-1),"Main Line")</f>
        <v>26Feb019</v>
      </c>
      <c r="D360" s="462" t="s">
        <v>63</v>
      </c>
      <c r="E360" s="462" t="s">
        <v>64</v>
      </c>
      <c r="F360" s="462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2" t="s">
        <v>402</v>
      </c>
      <c r="H360" s="462" t="s">
        <v>67</v>
      </c>
      <c r="I360" s="439" t="s">
        <v>689</v>
      </c>
      <c r="J360" s="430" t="s">
        <v>1767</v>
      </c>
      <c r="K360" s="430"/>
      <c r="L360" s="430"/>
      <c r="M360" s="430" t="s">
        <v>68</v>
      </c>
      <c r="N360" s="432">
        <v>46104</v>
      </c>
      <c r="O360" s="430" t="s">
        <v>70</v>
      </c>
      <c r="P360" s="430" t="s">
        <v>71</v>
      </c>
      <c r="Q360" s="430" t="s">
        <v>72</v>
      </c>
      <c r="R360" s="431" t="str">
        <f>_xlfn.XLOOKUP(PV_DATA[[#This Row],[New Ark SKU]],Table9[New Ark SKU],Table9[Connector],,0)</f>
        <v>EVO2A</v>
      </c>
      <c r="S360" s="442" t="str">
        <f>_xlfn.XLOOKUP(PV_DATA[[#This Row],[New Ark SKU]],Table9[New Ark SKU],Table9[Cable],,0)</f>
        <v>±1200mm</v>
      </c>
      <c r="T360" s="433">
        <v>500</v>
      </c>
      <c r="U360" s="1088">
        <f>864*3</f>
        <v>2592</v>
      </c>
      <c r="V360" s="434">
        <f>PV_DATA[[#This Row],[QUANTITY]]*PV_DATA[[#This Row],[WATT]]/1000000</f>
        <v>1.296</v>
      </c>
      <c r="W360" s="435">
        <f>PV_DATA[[#This Row],[QUANTITY]]/PV_DATA[[#This Row],[Qty/Pallet]]</f>
        <v>72</v>
      </c>
      <c r="X360" s="1045">
        <f>PV_DATA[[#This Row],[QUANTITY]]/PV_DATA[[#This Row],[Qty/CT]]</f>
        <v>3</v>
      </c>
      <c r="Y360" s="430" t="s">
        <v>75</v>
      </c>
      <c r="Z360" s="430" t="str">
        <f t="shared" si="2"/>
        <v>COMPLETED</v>
      </c>
      <c r="AA360" s="430" t="s">
        <v>1768</v>
      </c>
      <c r="AB360" s="437">
        <v>46097</v>
      </c>
      <c r="AC360" s="438">
        <f>IF(PV_DATA[[#This Row],[Pick- Up Date]]&lt;&gt;"",_xlfn.ISOWEEKNUM(PV_DATA[[#This Row],[Pick- Up Date]]),"")</f>
        <v>12</v>
      </c>
      <c r="AD360" s="439" t="s">
        <v>1769</v>
      </c>
      <c r="AE360" s="430"/>
      <c r="AF360" s="430" t="s">
        <v>122</v>
      </c>
      <c r="AG360" s="430" t="s">
        <v>123</v>
      </c>
      <c r="AH360" s="430" t="s">
        <v>105</v>
      </c>
      <c r="AI360" s="437">
        <v>46103</v>
      </c>
      <c r="AJ360" s="437">
        <v>46103</v>
      </c>
      <c r="AK360" s="441">
        <v>46103</v>
      </c>
      <c r="AL360" s="437">
        <v>46144</v>
      </c>
      <c r="AM360" s="437">
        <v>46151</v>
      </c>
      <c r="AN360" s="437">
        <v>46153</v>
      </c>
      <c r="AO360" s="430" t="s">
        <v>402</v>
      </c>
      <c r="AP360" s="430" t="s">
        <v>1720</v>
      </c>
      <c r="AQ360" s="430" t="s">
        <v>80</v>
      </c>
      <c r="AR360" s="430" t="s">
        <v>1770</v>
      </c>
      <c r="AS360" s="430" t="s">
        <v>1771</v>
      </c>
      <c r="AT360" s="482" t="s">
        <v>1771</v>
      </c>
      <c r="AU3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7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7">
        <f>IF(ISERROR(PV_DATA[[#This Row],[New Ark PO status]]),"",_xlfn.XLOOKUP(PV_DATA[[#This Row],[SPTN-PVHK New Ark PO'#]],New_Ark_Data[Purchase order Number],New_Ark_Data[Estimated time of arrival],"",0))</f>
        <v>46160</v>
      </c>
      <c r="AZ3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7">
        <f>IFERROR(PV_DATA[[#This Row],[ODP ETA Port]]+PV_DATA[[#This Row],[Customs/Leg3 Assumption]],"n/a")</f>
        <v>46160</v>
      </c>
      <c r="BB360" s="433">
        <f>YEAR(PV_DATA[[#This Row],[ETA for New Ark update]])</f>
        <v>2026</v>
      </c>
      <c r="BC360" s="430">
        <f>MONTH(PV_DATA[[#This Row],[ETA for New Ark update]])</f>
        <v>5</v>
      </c>
      <c r="BD360" s="430">
        <f>IFERROR(_xlfn.ISOWEEKNUM(PV_DATA[[#This Row],[ETA for New Ark update]]),0)</f>
        <v>21</v>
      </c>
      <c r="BE360" s="431">
        <f>_xlfn.XLOOKUP(PV_DATA[[#This Row],[New Ark SKU]],Table9[New Ark SKU],Table9[Total PCS per Pallet],,0)</f>
        <v>36</v>
      </c>
      <c r="BF360" s="431">
        <f>_xlfn.XLOOKUP(PV_DATA[[#This Row],[New Ark SKU]],Table9[New Ark SKU],Table9[Total PCS per 40HQ Container],,0)</f>
        <v>864</v>
      </c>
      <c r="BG360" s="431" t="str">
        <f>_xlfn.XLOOKUP(PV_DATA[[#This Row],[New Ark SKU]],Table9[New Ark SKU],Table9[Back Glass],,0)</f>
        <v>Black glazing</v>
      </c>
      <c r="BH360" s="431" t="str">
        <f>_xlfn.XLOOKUP(PV_DATA[[#This Row],[PORT DESTINATION]],Table12[PORT DESTINATION],Table12[Cosco Line],,0)</f>
        <v>AEU</v>
      </c>
      <c r="BJ360" s="430"/>
    </row>
    <row r="361" spans="1:62" ht="10.5">
      <c r="A361" s="462" t="s">
        <v>1772</v>
      </c>
      <c r="B361" s="462" t="s">
        <v>1757</v>
      </c>
      <c r="C361" s="462" t="str">
        <f>IFERROR(LEFT(PV_DATA[[#This Row],[TCL REFERENCE]],FIND(".",PV_DATA[[#This Row],[TCL REFERENCE]],1)-1),"Main Line")</f>
        <v>26Feb020</v>
      </c>
      <c r="D361" s="462" t="s">
        <v>63</v>
      </c>
      <c r="E361" s="462" t="s">
        <v>64</v>
      </c>
      <c r="F361" s="462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2" t="s">
        <v>402</v>
      </c>
      <c r="H361" s="462" t="s">
        <v>67</v>
      </c>
      <c r="I361" s="439" t="s">
        <v>689</v>
      </c>
      <c r="J361" s="430" t="s">
        <v>101</v>
      </c>
      <c r="K361" s="430"/>
      <c r="L361" s="430"/>
      <c r="M361" s="430" t="s">
        <v>68</v>
      </c>
      <c r="N361" s="432">
        <v>46104</v>
      </c>
      <c r="O361" s="430" t="s">
        <v>70</v>
      </c>
      <c r="P361" s="430" t="s">
        <v>1151</v>
      </c>
      <c r="Q361" s="430" t="s">
        <v>421</v>
      </c>
      <c r="R361" s="431" t="str">
        <f>_xlfn.XLOOKUP(PV_DATA[[#This Row],[New Ark SKU]],Table9[New Ark SKU],Table9[Connector],,0)</f>
        <v>EVO2A</v>
      </c>
      <c r="S361" s="442" t="str">
        <f>_xlfn.XLOOKUP(PV_DATA[[#This Row],[New Ark SKU]],Table9[New Ark SKU],Table9[Cable],,0)</f>
        <v>±1200mm</v>
      </c>
      <c r="T361" s="433">
        <v>505</v>
      </c>
      <c r="U361" s="1088">
        <f>864*5</f>
        <v>4320</v>
      </c>
      <c r="V361" s="434">
        <f>PV_DATA[[#This Row],[QUANTITY]]*PV_DATA[[#This Row],[WATT]]/1000000</f>
        <v>2.1816</v>
      </c>
      <c r="W361" s="435">
        <f>PV_DATA[[#This Row],[QUANTITY]]/PV_DATA[[#This Row],[Qty/Pallet]]</f>
        <v>120</v>
      </c>
      <c r="X361" s="1045">
        <f>PV_DATA[[#This Row],[QUANTITY]]/PV_DATA[[#This Row],[Qty/CT]]</f>
        <v>5</v>
      </c>
      <c r="Y361" s="430" t="s">
        <v>75</v>
      </c>
      <c r="Z361" s="430" t="str">
        <f t="shared" si="2"/>
        <v>COMPLETED</v>
      </c>
      <c r="AA361" s="430" t="s">
        <v>1773</v>
      </c>
      <c r="AB361" s="437">
        <v>46097</v>
      </c>
      <c r="AC361" s="438">
        <f>IF(PV_DATA[[#This Row],[Pick- Up Date]]&lt;&gt;"",_xlfn.ISOWEEKNUM(PV_DATA[[#This Row],[Pick- Up Date]]),"")</f>
        <v>12</v>
      </c>
      <c r="AD361" s="439" t="s">
        <v>1774</v>
      </c>
      <c r="AE361" s="430"/>
      <c r="AF361" s="430" t="s">
        <v>122</v>
      </c>
      <c r="AG361" s="430" t="s">
        <v>123</v>
      </c>
      <c r="AH361" s="430" t="s">
        <v>105</v>
      </c>
      <c r="AI361" s="437">
        <v>46103</v>
      </c>
      <c r="AJ361" s="437">
        <v>46103</v>
      </c>
      <c r="AK361" s="441">
        <v>46103</v>
      </c>
      <c r="AL361" s="437">
        <v>46144</v>
      </c>
      <c r="AM361" s="437">
        <v>46151</v>
      </c>
      <c r="AN361" s="437">
        <v>46153</v>
      </c>
      <c r="AO361" s="430" t="s">
        <v>402</v>
      </c>
      <c r="AP361" s="430" t="s">
        <v>1720</v>
      </c>
      <c r="AQ361" s="430" t="s">
        <v>80</v>
      </c>
      <c r="AR361" s="430" t="s">
        <v>1770</v>
      </c>
      <c r="AS361" s="430" t="s">
        <v>1771</v>
      </c>
      <c r="AT361" s="482" t="s">
        <v>1771</v>
      </c>
      <c r="AU3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7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7">
        <f>IF(ISERROR(PV_DATA[[#This Row],[New Ark PO status]]),"",_xlfn.XLOOKUP(PV_DATA[[#This Row],[SPTN-PVHK New Ark PO'#]],New_Ark_Data[Purchase order Number],New_Ark_Data[Estimated time of arrival],"",0))</f>
        <v>46160</v>
      </c>
      <c r="AZ3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7">
        <f>IFERROR(PV_DATA[[#This Row],[ODP ETA Port]]+PV_DATA[[#This Row],[Customs/Leg3 Assumption]],"n/a")</f>
        <v>46160</v>
      </c>
      <c r="BB361" s="433">
        <f>YEAR(PV_DATA[[#This Row],[ETA for New Ark update]])</f>
        <v>2026</v>
      </c>
      <c r="BC361" s="430">
        <f>MONTH(PV_DATA[[#This Row],[ETA for New Ark update]])</f>
        <v>5</v>
      </c>
      <c r="BD361" s="430">
        <f>IFERROR(_xlfn.ISOWEEKNUM(PV_DATA[[#This Row],[ETA for New Ark update]]),0)</f>
        <v>21</v>
      </c>
      <c r="BE361" s="431">
        <f>_xlfn.XLOOKUP(PV_DATA[[#This Row],[New Ark SKU]],Table9[New Ark SKU],Table9[Total PCS per Pallet],,0)</f>
        <v>36</v>
      </c>
      <c r="BF361" s="431">
        <f>_xlfn.XLOOKUP(PV_DATA[[#This Row],[New Ark SKU]],Table9[New Ark SKU],Table9[Total PCS per 40HQ Container],,0)</f>
        <v>864</v>
      </c>
      <c r="BG361" s="431" t="str">
        <f>_xlfn.XLOOKUP(PV_DATA[[#This Row],[New Ark SKU]],Table9[New Ark SKU],Table9[Back Glass],,0)</f>
        <v>Black glazing</v>
      </c>
      <c r="BH361" s="431" t="str">
        <f>_xlfn.XLOOKUP(PV_DATA[[#This Row],[PORT DESTINATION]],Table12[PORT DESTINATION],Table12[Cosco Line],,0)</f>
        <v>AEU</v>
      </c>
      <c r="BJ361" s="430"/>
    </row>
    <row r="362" spans="1:62">
      <c r="A362" s="462" t="s">
        <v>1775</v>
      </c>
      <c r="B362" s="462" t="s">
        <v>1519</v>
      </c>
      <c r="C362" s="462" t="str">
        <f>IFERROR(LEFT(PV_DATA[[#This Row],[TCL REFERENCE]],FIND(".",PV_DATA[[#This Row],[TCL REFERENCE]],1)-1),"Main Line")</f>
        <v>26Feb027</v>
      </c>
      <c r="D362" s="462" t="s">
        <v>63</v>
      </c>
      <c r="E362" s="462" t="s">
        <v>64</v>
      </c>
      <c r="F362" s="462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2" t="s">
        <v>402</v>
      </c>
      <c r="H362" s="462" t="s">
        <v>311</v>
      </c>
      <c r="I362" s="439" t="s">
        <v>689</v>
      </c>
      <c r="J362" s="430" t="s">
        <v>1342</v>
      </c>
      <c r="K362" s="430"/>
      <c r="L362" s="430"/>
      <c r="M362" s="430" t="s">
        <v>68</v>
      </c>
      <c r="N362" s="432">
        <v>46090</v>
      </c>
      <c r="O362" s="430" t="s">
        <v>284</v>
      </c>
      <c r="P362" s="430" t="s">
        <v>1521</v>
      </c>
      <c r="Q362" s="430" t="s">
        <v>1522</v>
      </c>
      <c r="R362" s="431" t="str">
        <f>_xlfn.XLOOKUP(PV_DATA[[#This Row],[New Ark SKU]],Table9[New Ark SKU],Table9[Connector],,0)</f>
        <v>EVO2A</v>
      </c>
      <c r="S362" s="442" t="str">
        <f>_xlfn.XLOOKUP(PV_DATA[[#This Row],[New Ark SKU]],Table9[New Ark SKU],Table9[Cable],,0)</f>
        <v>±1200mm</v>
      </c>
      <c r="T362" s="433">
        <v>490</v>
      </c>
      <c r="U362" s="1088">
        <f>864*7</f>
        <v>6048</v>
      </c>
      <c r="V362" s="434">
        <f>PV_DATA[[#This Row],[QUANTITY]]*PV_DATA[[#This Row],[WATT]]/1000000</f>
        <v>2.9635199999999999</v>
      </c>
      <c r="W362" s="435">
        <f>PV_DATA[[#This Row],[QUANTITY]]/PV_DATA[[#This Row],[Qty/Pallet]]</f>
        <v>168</v>
      </c>
      <c r="X362" s="1040">
        <f>PV_DATA[[#This Row],[QUANTITY]]/PV_DATA[[#This Row],[Qty/CT]]</f>
        <v>7</v>
      </c>
      <c r="Y362" s="430" t="s">
        <v>75</v>
      </c>
      <c r="Z362" s="430" t="str">
        <f t="shared" si="2"/>
        <v>COMPLETED</v>
      </c>
      <c r="AA362" s="430" t="s">
        <v>1544</v>
      </c>
      <c r="AB362" s="437">
        <v>46108</v>
      </c>
      <c r="AC362" s="438">
        <f>IF(PV_DATA[[#This Row],[Pick- Up Date]]&lt;&gt;"",_xlfn.ISOWEEKNUM(PV_DATA[[#This Row],[Pick- Up Date]]),"")</f>
        <v>13</v>
      </c>
      <c r="AD362" s="439" t="s">
        <v>1776</v>
      </c>
      <c r="AE362" s="430"/>
      <c r="AF362" s="430" t="s">
        <v>4418</v>
      </c>
      <c r="AG362" s="430" t="s">
        <v>123</v>
      </c>
      <c r="AH362" s="430" t="s">
        <v>314</v>
      </c>
      <c r="AI362" s="437">
        <v>46111</v>
      </c>
      <c r="AJ362" s="437">
        <v>46114</v>
      </c>
      <c r="AK362" s="441">
        <v>46114</v>
      </c>
      <c r="AL362" s="437">
        <v>46155</v>
      </c>
      <c r="AM362" s="437">
        <v>46159</v>
      </c>
      <c r="AN362" s="437">
        <v>46162</v>
      </c>
      <c r="AO362" s="430" t="s">
        <v>402</v>
      </c>
      <c r="AP362" s="430" t="s">
        <v>1725</v>
      </c>
      <c r="AQ362" s="430" t="s">
        <v>80</v>
      </c>
      <c r="AR362" s="430" t="s">
        <v>1777</v>
      </c>
      <c r="AS362" s="430" t="s">
        <v>1778</v>
      </c>
      <c r="AT362" s="482" t="s">
        <v>1778</v>
      </c>
      <c r="AU3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7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7">
        <f>IF(ISERROR(PV_DATA[[#This Row],[New Ark PO status]]),"",_xlfn.XLOOKUP(PV_DATA[[#This Row],[SPTN-PVHK New Ark PO'#]],New_Ark_Data[Purchase order Number],New_Ark_Data[Estimated time of arrival],"",0))</f>
        <v>46176</v>
      </c>
      <c r="AZ36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62" s="437">
        <f>IFERROR(PV_DATA[[#This Row],[ODP ETA Port]]+PV_DATA[[#This Row],[Customs/Leg3 Assumption]],"n/a")</f>
        <v>46172</v>
      </c>
      <c r="BB362" s="433">
        <f>YEAR(PV_DATA[[#This Row],[ETA for New Ark update]])</f>
        <v>2026</v>
      </c>
      <c r="BC362" s="430">
        <f>MONTH(PV_DATA[[#This Row],[ETA for New Ark update]])</f>
        <v>5</v>
      </c>
      <c r="BD362" s="430">
        <f>IFERROR(_xlfn.ISOWEEKNUM(PV_DATA[[#This Row],[ETA for New Ark update]]),0)</f>
        <v>22</v>
      </c>
      <c r="BE362" s="431">
        <f>_xlfn.XLOOKUP(PV_DATA[[#This Row],[New Ark SKU]],Table9[New Ark SKU],Table9[Total PCS per Pallet],,0)</f>
        <v>36</v>
      </c>
      <c r="BF362" s="431">
        <f>_xlfn.XLOOKUP(PV_DATA[[#This Row],[New Ark SKU]],Table9[New Ark SKU],Table9[Total PCS per 40HQ Container],,0)</f>
        <v>864</v>
      </c>
      <c r="BG362" s="431" t="str">
        <f>_xlfn.XLOOKUP(PV_DATA[[#This Row],[New Ark SKU]],Table9[New Ark SKU],Table9[Back Glass],,0)</f>
        <v>Black glazing</v>
      </c>
      <c r="BH362" s="431" t="str">
        <f>_xlfn.XLOOKUP(PV_DATA[[#This Row],[PORT DESTINATION]],Table12[PORT DESTINATION],Table12[Cosco Line],,0)</f>
        <v>AEM</v>
      </c>
      <c r="BJ362" s="430"/>
    </row>
    <row r="363" spans="1:62" ht="10.5">
      <c r="A363" s="462" t="s">
        <v>1779</v>
      </c>
      <c r="B363" s="462" t="s">
        <v>1566</v>
      </c>
      <c r="C363" s="462" t="str">
        <f>IFERROR(LEFT(PV_DATA[[#This Row],[TCL REFERENCE]],FIND(".",PV_DATA[[#This Row],[TCL REFERENCE]],1)-1),"Main Line")</f>
        <v>26Feb029</v>
      </c>
      <c r="D363" s="462" t="s">
        <v>63</v>
      </c>
      <c r="E363" s="462" t="s">
        <v>64</v>
      </c>
      <c r="F363" s="462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2" t="s">
        <v>402</v>
      </c>
      <c r="H363" s="462" t="s">
        <v>67</v>
      </c>
      <c r="I363" s="439" t="s">
        <v>689</v>
      </c>
      <c r="J363" s="430" t="s">
        <v>1568</v>
      </c>
      <c r="K363" s="430"/>
      <c r="L363" s="430"/>
      <c r="M363" s="430" t="s">
        <v>68</v>
      </c>
      <c r="N363" s="432">
        <v>46097</v>
      </c>
      <c r="O363" s="430" t="s">
        <v>284</v>
      </c>
      <c r="P363" s="430" t="s">
        <v>1584</v>
      </c>
      <c r="Q363" s="430" t="s">
        <v>1585</v>
      </c>
      <c r="R363" s="431" t="str">
        <f>_xlfn.XLOOKUP(PV_DATA[[#This Row],[New Ark SKU]],Table9[New Ark SKU],Table9[Connector],,0)</f>
        <v>EVO2A</v>
      </c>
      <c r="S363" s="442" t="str">
        <f>_xlfn.XLOOKUP(PV_DATA[[#This Row],[New Ark SKU]],Table9[New Ark SKU],Table9[Cable],,0)</f>
        <v>±1400mm</v>
      </c>
      <c r="T363" s="433">
        <v>645</v>
      </c>
      <c r="U363" s="1088">
        <v>4320</v>
      </c>
      <c r="V363" s="434">
        <f>PV_DATA[[#This Row],[QUANTITY]]*PV_DATA[[#This Row],[WATT]]/1000000</f>
        <v>2.7864</v>
      </c>
      <c r="W363" s="435">
        <f>PV_DATA[[#This Row],[QUANTITY]]/PV_DATA[[#This Row],[Qty/Pallet]]</f>
        <v>120</v>
      </c>
      <c r="X363" s="1040">
        <f>PV_DATA[[#This Row],[QUANTITY]]/PV_DATA[[#This Row],[Qty/CT]]</f>
        <v>6</v>
      </c>
      <c r="Y363" s="430" t="s">
        <v>75</v>
      </c>
      <c r="Z363" s="430" t="str">
        <f t="shared" si="2"/>
        <v>COMPLETED</v>
      </c>
      <c r="AA363" s="430" t="s">
        <v>1780</v>
      </c>
      <c r="AB363" s="437">
        <v>46097</v>
      </c>
      <c r="AC363" s="438">
        <f>IF(PV_DATA[[#This Row],[Pick- Up Date]]&lt;&gt;"",_xlfn.ISOWEEKNUM(PV_DATA[[#This Row],[Pick- Up Date]]),"")</f>
        <v>12</v>
      </c>
      <c r="AD363" s="439" t="s">
        <v>1781</v>
      </c>
      <c r="AE363" s="430"/>
      <c r="AF363" s="430" t="s">
        <v>1525</v>
      </c>
      <c r="AG363" s="430" t="s">
        <v>123</v>
      </c>
      <c r="AH363" s="430" t="s">
        <v>105</v>
      </c>
      <c r="AI363" s="437">
        <v>46103</v>
      </c>
      <c r="AJ363" s="437">
        <v>46107</v>
      </c>
      <c r="AK363" s="441">
        <v>46107</v>
      </c>
      <c r="AL363" s="437">
        <v>46150</v>
      </c>
      <c r="AM363" s="437">
        <v>46148</v>
      </c>
      <c r="AN363" s="437">
        <v>46148</v>
      </c>
      <c r="AO363" s="430" t="s">
        <v>402</v>
      </c>
      <c r="AP363" s="430" t="s">
        <v>1782</v>
      </c>
      <c r="AQ363" s="430" t="s">
        <v>161</v>
      </c>
      <c r="AR363" s="430" t="s">
        <v>1783</v>
      </c>
      <c r="AS363" s="430" t="s">
        <v>1784</v>
      </c>
      <c r="AT363" s="482" t="s">
        <v>1784</v>
      </c>
      <c r="AU3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7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7">
        <f>IF(ISERROR(PV_DATA[[#This Row],[New Ark PO status]]),"",_xlfn.XLOOKUP(PV_DATA[[#This Row],[SPTN-PVHK New Ark PO'#]],New_Ark_Data[Purchase order Number],New_Ark_Data[Estimated time of arrival],"",0))</f>
        <v>46164</v>
      </c>
      <c r="AZ36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7">
        <f>IFERROR(PV_DATA[[#This Row],[ODP ETA Port]]+PV_DATA[[#This Row],[Customs/Leg3 Assumption]],"n/a")</f>
        <v>46155</v>
      </c>
      <c r="BB363" s="433">
        <f>YEAR(PV_DATA[[#This Row],[ETA for New Ark update]])</f>
        <v>2026</v>
      </c>
      <c r="BC363" s="430">
        <f>MONTH(PV_DATA[[#This Row],[ETA for New Ark update]])</f>
        <v>5</v>
      </c>
      <c r="BD363" s="430">
        <f>IFERROR(_xlfn.ISOWEEKNUM(PV_DATA[[#This Row],[ETA for New Ark update]]),0)</f>
        <v>20</v>
      </c>
      <c r="BE363" s="431">
        <f>_xlfn.XLOOKUP(PV_DATA[[#This Row],[New Ark SKU]],Table9[New Ark SKU],Table9[Total PCS per Pallet],,0)</f>
        <v>36</v>
      </c>
      <c r="BF363" s="431">
        <f>_xlfn.XLOOKUP(PV_DATA[[#This Row],[New Ark SKU]],Table9[New Ark SKU],Table9[Total PCS per 40HQ Container],,0)</f>
        <v>720</v>
      </c>
      <c r="BG363" s="431" t="str">
        <f>_xlfn.XLOOKUP(PV_DATA[[#This Row],[New Ark SKU]],Table9[New Ark SKU],Table9[Back Glass],,0)</f>
        <v>White glazing</v>
      </c>
      <c r="BH363" s="431" t="str">
        <f>_xlfn.XLOOKUP(PV_DATA[[#This Row],[PORT DESTINATION]],Table12[PORT DESTINATION],Table12[Cosco Line],,0)</f>
        <v>AEU</v>
      </c>
      <c r="BJ363" s="430"/>
    </row>
    <row r="364" spans="1:62" ht="10.5">
      <c r="A364" s="462" t="s">
        <v>1785</v>
      </c>
      <c r="B364" s="462" t="s">
        <v>1566</v>
      </c>
      <c r="C364" s="462" t="str">
        <f>IFERROR(LEFT(PV_DATA[[#This Row],[TCL REFERENCE]],FIND(".",PV_DATA[[#This Row],[TCL REFERENCE]],1)-1),"Main Line")</f>
        <v>26Feb030</v>
      </c>
      <c r="D364" s="462" t="s">
        <v>63</v>
      </c>
      <c r="E364" s="462" t="s">
        <v>64</v>
      </c>
      <c r="F364" s="462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2" t="s">
        <v>402</v>
      </c>
      <c r="H364" s="462" t="s">
        <v>67</v>
      </c>
      <c r="I364" s="439" t="s">
        <v>689</v>
      </c>
      <c r="J364" s="430" t="s">
        <v>1568</v>
      </c>
      <c r="K364" s="430"/>
      <c r="L364" s="430"/>
      <c r="M364" s="430" t="s">
        <v>68</v>
      </c>
      <c r="N364" s="432">
        <v>46097</v>
      </c>
      <c r="O364" s="430" t="s">
        <v>284</v>
      </c>
      <c r="P364" s="430" t="s">
        <v>1569</v>
      </c>
      <c r="Q364" s="430" t="s">
        <v>1570</v>
      </c>
      <c r="R364" s="431" t="str">
        <f>_xlfn.XLOOKUP(PV_DATA[[#This Row],[New Ark SKU]],Table9[New Ark SKU],Table9[Connector],,0)</f>
        <v>EVO2A</v>
      </c>
      <c r="S364" s="442" t="str">
        <f>_xlfn.XLOOKUP(PV_DATA[[#This Row],[New Ark SKU]],Table9[New Ark SKU],Table9[Cable],,0)</f>
        <v>±1400mm</v>
      </c>
      <c r="T364" s="433">
        <v>650</v>
      </c>
      <c r="U364" s="1088">
        <v>2880</v>
      </c>
      <c r="V364" s="434">
        <f>PV_DATA[[#This Row],[QUANTITY]]*PV_DATA[[#This Row],[WATT]]/1000000</f>
        <v>1.8720000000000001</v>
      </c>
      <c r="W364" s="435">
        <f>PV_DATA[[#This Row],[QUANTITY]]/PV_DATA[[#This Row],[Qty/Pallet]]</f>
        <v>80</v>
      </c>
      <c r="X364" s="1040">
        <f>PV_DATA[[#This Row],[QUANTITY]]/PV_DATA[[#This Row],[Qty/CT]]</f>
        <v>4</v>
      </c>
      <c r="Y364" s="430" t="s">
        <v>75</v>
      </c>
      <c r="Z364" s="430" t="str">
        <f t="shared" si="2"/>
        <v>COMPLETED</v>
      </c>
      <c r="AA364" s="430"/>
      <c r="AB364" s="437">
        <v>46097</v>
      </c>
      <c r="AC364" s="438">
        <f>IF(PV_DATA[[#This Row],[Pick- Up Date]]&lt;&gt;"",_xlfn.ISOWEEKNUM(PV_DATA[[#This Row],[Pick- Up Date]]),"")</f>
        <v>12</v>
      </c>
      <c r="AD364" s="439" t="s">
        <v>1786</v>
      </c>
      <c r="AE364" s="430"/>
      <c r="AF364" s="430" t="s">
        <v>1525</v>
      </c>
      <c r="AG364" s="430" t="s">
        <v>123</v>
      </c>
      <c r="AH364" s="430" t="s">
        <v>105</v>
      </c>
      <c r="AI364" s="437">
        <v>46103</v>
      </c>
      <c r="AJ364" s="437">
        <v>46107</v>
      </c>
      <c r="AK364" s="441">
        <v>46107</v>
      </c>
      <c r="AL364" s="437">
        <v>46150</v>
      </c>
      <c r="AM364" s="437">
        <v>46148</v>
      </c>
      <c r="AN364" s="437">
        <v>46148</v>
      </c>
      <c r="AO364" s="430" t="s">
        <v>402</v>
      </c>
      <c r="AP364" s="430" t="s">
        <v>1782</v>
      </c>
      <c r="AQ364" s="430" t="s">
        <v>161</v>
      </c>
      <c r="AR364" s="430" t="s">
        <v>1783</v>
      </c>
      <c r="AS364" s="430" t="s">
        <v>1784</v>
      </c>
      <c r="AT364" s="482" t="s">
        <v>1784</v>
      </c>
      <c r="AU3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7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7">
        <f>IF(ISERROR(PV_DATA[[#This Row],[New Ark PO status]]),"",_xlfn.XLOOKUP(PV_DATA[[#This Row],[SPTN-PVHK New Ark PO'#]],New_Ark_Data[Purchase order Number],New_Ark_Data[Estimated time of arrival],"",0))</f>
        <v>46164</v>
      </c>
      <c r="AZ3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7">
        <f>IFERROR(PV_DATA[[#This Row],[ODP ETA Port]]+PV_DATA[[#This Row],[Customs/Leg3 Assumption]],"n/a")</f>
        <v>46155</v>
      </c>
      <c r="BB364" s="433">
        <f>YEAR(PV_DATA[[#This Row],[ETA for New Ark update]])</f>
        <v>2026</v>
      </c>
      <c r="BC364" s="430">
        <f>MONTH(PV_DATA[[#This Row],[ETA for New Ark update]])</f>
        <v>5</v>
      </c>
      <c r="BD364" s="430">
        <f>IFERROR(_xlfn.ISOWEEKNUM(PV_DATA[[#This Row],[ETA for New Ark update]]),0)</f>
        <v>20</v>
      </c>
      <c r="BE364" s="431">
        <f>_xlfn.XLOOKUP(PV_DATA[[#This Row],[New Ark SKU]],Table9[New Ark SKU],Table9[Total PCS per Pallet],,0)</f>
        <v>36</v>
      </c>
      <c r="BF364" s="431">
        <f>_xlfn.XLOOKUP(PV_DATA[[#This Row],[New Ark SKU]],Table9[New Ark SKU],Table9[Total PCS per 40HQ Container],,0)</f>
        <v>720</v>
      </c>
      <c r="BG364" s="431" t="str">
        <f>_xlfn.XLOOKUP(PV_DATA[[#This Row],[New Ark SKU]],Table9[New Ark SKU],Table9[Back Glass],,0)</f>
        <v>White glazing</v>
      </c>
      <c r="BH364" s="431" t="str">
        <f>_xlfn.XLOOKUP(PV_DATA[[#This Row],[PORT DESTINATION]],Table12[PORT DESTINATION],Table12[Cosco Line],,0)</f>
        <v>AEU</v>
      </c>
      <c r="BJ364" s="430"/>
    </row>
    <row r="365" spans="1:62" ht="10.5">
      <c r="A365" s="462" t="s">
        <v>1787</v>
      </c>
      <c r="B365" s="462" t="s">
        <v>1566</v>
      </c>
      <c r="C365" s="462" t="str">
        <f>IFERROR(LEFT(PV_DATA[[#This Row],[TCL REFERENCE]],FIND(".",PV_DATA[[#This Row],[TCL REFERENCE]],1)-1),"Main Line")</f>
        <v>26Feb029</v>
      </c>
      <c r="D365" s="462" t="s">
        <v>63</v>
      </c>
      <c r="E365" s="462" t="s">
        <v>64</v>
      </c>
      <c r="F365" s="462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2" t="s">
        <v>402</v>
      </c>
      <c r="H365" s="462" t="s">
        <v>67</v>
      </c>
      <c r="I365" s="439" t="s">
        <v>689</v>
      </c>
      <c r="J365" s="430" t="s">
        <v>1568</v>
      </c>
      <c r="K365" s="430"/>
      <c r="L365" s="430"/>
      <c r="M365" s="430" t="s">
        <v>68</v>
      </c>
      <c r="N365" s="432">
        <v>46097</v>
      </c>
      <c r="O365" s="430" t="s">
        <v>284</v>
      </c>
      <c r="P365" s="430" t="s">
        <v>1584</v>
      </c>
      <c r="Q365" s="430" t="s">
        <v>1585</v>
      </c>
      <c r="R365" s="431" t="str">
        <f>_xlfn.XLOOKUP(PV_DATA[[#This Row],[New Ark SKU]],Table9[New Ark SKU],Table9[Connector],,0)</f>
        <v>EVO2A</v>
      </c>
      <c r="S365" s="442" t="str">
        <f>_xlfn.XLOOKUP(PV_DATA[[#This Row],[New Ark SKU]],Table9[New Ark SKU],Table9[Cable],,0)</f>
        <v>±1400mm</v>
      </c>
      <c r="T365" s="433">
        <v>645</v>
      </c>
      <c r="U365" s="1088">
        <f>720*9</f>
        <v>6480</v>
      </c>
      <c r="V365" s="434">
        <f>PV_DATA[[#This Row],[QUANTITY]]*PV_DATA[[#This Row],[WATT]]/1000000</f>
        <v>4.1795999999999998</v>
      </c>
      <c r="W365" s="435">
        <f>PV_DATA[[#This Row],[QUANTITY]]/PV_DATA[[#This Row],[Qty/Pallet]]</f>
        <v>180</v>
      </c>
      <c r="X365" s="1040">
        <f>PV_DATA[[#This Row],[QUANTITY]]/PV_DATA[[#This Row],[Qty/CT]]</f>
        <v>9</v>
      </c>
      <c r="Y365" s="430" t="s">
        <v>75</v>
      </c>
      <c r="Z365" s="430" t="str">
        <f t="shared" si="2"/>
        <v>COMPLETED</v>
      </c>
      <c r="AA365" s="430" t="s">
        <v>1788</v>
      </c>
      <c r="AB365" s="437">
        <v>46098</v>
      </c>
      <c r="AC365" s="438">
        <f>IF(PV_DATA[[#This Row],[Pick- Up Date]]&lt;&gt;"",_xlfn.ISOWEEKNUM(PV_DATA[[#This Row],[Pick- Up Date]]),"")</f>
        <v>12</v>
      </c>
      <c r="AD365" s="439" t="s">
        <v>1789</v>
      </c>
      <c r="AE365" s="430"/>
      <c r="AF365" s="430" t="s">
        <v>1525</v>
      </c>
      <c r="AG365" s="430" t="s">
        <v>123</v>
      </c>
      <c r="AH365" s="430" t="s">
        <v>105</v>
      </c>
      <c r="AI365" s="437">
        <v>46103</v>
      </c>
      <c r="AJ365" s="437">
        <v>46107</v>
      </c>
      <c r="AK365" s="441">
        <v>46107</v>
      </c>
      <c r="AL365" s="437">
        <v>46150</v>
      </c>
      <c r="AM365" s="437">
        <v>46148</v>
      </c>
      <c r="AN365" s="437">
        <v>46148</v>
      </c>
      <c r="AO365" s="430" t="s">
        <v>402</v>
      </c>
      <c r="AP365" s="430" t="s">
        <v>1782</v>
      </c>
      <c r="AQ365" s="430" t="s">
        <v>161</v>
      </c>
      <c r="AR365" s="430" t="s">
        <v>1790</v>
      </c>
      <c r="AS365" s="430" t="s">
        <v>1791</v>
      </c>
      <c r="AT365" s="482" t="s">
        <v>1792</v>
      </c>
      <c r="AU3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7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7">
        <f>IF(ISERROR(PV_DATA[[#This Row],[New Ark PO status]]),"",_xlfn.XLOOKUP(PV_DATA[[#This Row],[SPTN-PVHK New Ark PO'#]],New_Ark_Data[Purchase order Number],New_Ark_Data[Estimated time of arrival],"",0))</f>
        <v>46156</v>
      </c>
      <c r="AZ36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7">
        <f>IFERROR(PV_DATA[[#This Row],[ODP ETA Port]]+PV_DATA[[#This Row],[Customs/Leg3 Assumption]],"n/a")</f>
        <v>46155</v>
      </c>
      <c r="BB365" s="433">
        <f>YEAR(PV_DATA[[#This Row],[ETA for New Ark update]])</f>
        <v>2026</v>
      </c>
      <c r="BC365" s="430">
        <f>MONTH(PV_DATA[[#This Row],[ETA for New Ark update]])</f>
        <v>5</v>
      </c>
      <c r="BD365" s="430">
        <f>IFERROR(_xlfn.ISOWEEKNUM(PV_DATA[[#This Row],[ETA for New Ark update]]),0)</f>
        <v>20</v>
      </c>
      <c r="BE365" s="431">
        <f>_xlfn.XLOOKUP(PV_DATA[[#This Row],[New Ark SKU]],Table9[New Ark SKU],Table9[Total PCS per Pallet],,0)</f>
        <v>36</v>
      </c>
      <c r="BF365" s="431">
        <f>_xlfn.XLOOKUP(PV_DATA[[#This Row],[New Ark SKU]],Table9[New Ark SKU],Table9[Total PCS per 40HQ Container],,0)</f>
        <v>720</v>
      </c>
      <c r="BG365" s="431" t="str">
        <f>_xlfn.XLOOKUP(PV_DATA[[#This Row],[New Ark SKU]],Table9[New Ark SKU],Table9[Back Glass],,0)</f>
        <v>White glazing</v>
      </c>
      <c r="BH365" s="431" t="str">
        <f>_xlfn.XLOOKUP(PV_DATA[[#This Row],[PORT DESTINATION]],Table12[PORT DESTINATION],Table12[Cosco Line],,0)</f>
        <v>AEU</v>
      </c>
      <c r="BJ365" s="430"/>
    </row>
    <row r="366" spans="1:62" ht="10.5">
      <c r="A366" s="462" t="s">
        <v>1793</v>
      </c>
      <c r="B366" s="462" t="s">
        <v>1566</v>
      </c>
      <c r="C366" s="462" t="str">
        <f>IFERROR(LEFT(PV_DATA[[#This Row],[TCL REFERENCE]],FIND(".",PV_DATA[[#This Row],[TCL REFERENCE]],1)-1),"Main Line")</f>
        <v>26Feb030</v>
      </c>
      <c r="D366" s="462" t="s">
        <v>63</v>
      </c>
      <c r="E366" s="462" t="s">
        <v>64</v>
      </c>
      <c r="F366" s="462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2" t="s">
        <v>402</v>
      </c>
      <c r="H366" s="462" t="s">
        <v>67</v>
      </c>
      <c r="I366" s="439" t="s">
        <v>689</v>
      </c>
      <c r="J366" s="430" t="s">
        <v>1568</v>
      </c>
      <c r="K366" s="430"/>
      <c r="L366" s="430"/>
      <c r="M366" s="430" t="s">
        <v>68</v>
      </c>
      <c r="N366" s="432">
        <v>46097</v>
      </c>
      <c r="O366" s="430" t="s">
        <v>284</v>
      </c>
      <c r="P366" s="430" t="s">
        <v>1569</v>
      </c>
      <c r="Q366" s="430" t="s">
        <v>1570</v>
      </c>
      <c r="R366" s="431" t="str">
        <f>_xlfn.XLOOKUP(PV_DATA[[#This Row],[New Ark SKU]],Table9[New Ark SKU],Table9[Connector],,0)</f>
        <v>EVO2A</v>
      </c>
      <c r="S366" s="442" t="str">
        <f>_xlfn.XLOOKUP(PV_DATA[[#This Row],[New Ark SKU]],Table9[New Ark SKU],Table9[Cable],,0)</f>
        <v>±1400mm</v>
      </c>
      <c r="T366" s="433">
        <v>650</v>
      </c>
      <c r="U366" s="1088">
        <v>2880</v>
      </c>
      <c r="V366" s="434">
        <f>PV_DATA[[#This Row],[QUANTITY]]*PV_DATA[[#This Row],[WATT]]/1000000</f>
        <v>1.8720000000000001</v>
      </c>
      <c r="W366" s="435">
        <f>PV_DATA[[#This Row],[QUANTITY]]/PV_DATA[[#This Row],[Qty/Pallet]]</f>
        <v>80</v>
      </c>
      <c r="X366" s="1040">
        <f>PV_DATA[[#This Row],[QUANTITY]]/PV_DATA[[#This Row],[Qty/CT]]</f>
        <v>4</v>
      </c>
      <c r="Y366" s="430" t="s">
        <v>75</v>
      </c>
      <c r="Z366" s="430" t="str">
        <f t="shared" si="2"/>
        <v>COMPLETED</v>
      </c>
      <c r="AA366" s="430" t="s">
        <v>1794</v>
      </c>
      <c r="AB366" s="437">
        <v>46099</v>
      </c>
      <c r="AC366" s="438">
        <f>IF(PV_DATA[[#This Row],[Pick- Up Date]]&lt;&gt;"",_xlfn.ISOWEEKNUM(PV_DATA[[#This Row],[Pick- Up Date]]),"")</f>
        <v>12</v>
      </c>
      <c r="AD366" s="439" t="s">
        <v>1795</v>
      </c>
      <c r="AE366" s="430"/>
      <c r="AF366" s="430" t="s">
        <v>1525</v>
      </c>
      <c r="AG366" s="430" t="s">
        <v>123</v>
      </c>
      <c r="AH366" s="430" t="s">
        <v>105</v>
      </c>
      <c r="AI366" s="437">
        <v>46103</v>
      </c>
      <c r="AJ366" s="437">
        <v>46107</v>
      </c>
      <c r="AK366" s="441">
        <v>46107</v>
      </c>
      <c r="AL366" s="437">
        <v>46150</v>
      </c>
      <c r="AM366" s="437">
        <v>46148</v>
      </c>
      <c r="AN366" s="437">
        <v>46148</v>
      </c>
      <c r="AO366" s="430" t="s">
        <v>402</v>
      </c>
      <c r="AP366" s="430" t="s">
        <v>1782</v>
      </c>
      <c r="AQ366" s="430" t="s">
        <v>161</v>
      </c>
      <c r="AR366" s="430" t="s">
        <v>1796</v>
      </c>
      <c r="AS366" s="430" t="s">
        <v>1797</v>
      </c>
      <c r="AT366" s="482" t="s">
        <v>1798</v>
      </c>
      <c r="AU3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7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7">
        <f>IF(ISERROR(PV_DATA[[#This Row],[New Ark PO status]]),"",_xlfn.XLOOKUP(PV_DATA[[#This Row],[SPTN-PVHK New Ark PO'#]],New_Ark_Data[Purchase order Number],New_Ark_Data[Estimated time of arrival],"",0))</f>
        <v>46164</v>
      </c>
      <c r="AZ3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7">
        <f>IFERROR(PV_DATA[[#This Row],[ODP ETA Port]]+PV_DATA[[#This Row],[Customs/Leg3 Assumption]],"n/a")</f>
        <v>46155</v>
      </c>
      <c r="BB366" s="433">
        <f>YEAR(PV_DATA[[#This Row],[ETA for New Ark update]])</f>
        <v>2026</v>
      </c>
      <c r="BC366" s="430">
        <f>MONTH(PV_DATA[[#This Row],[ETA for New Ark update]])</f>
        <v>5</v>
      </c>
      <c r="BD366" s="430">
        <f>IFERROR(_xlfn.ISOWEEKNUM(PV_DATA[[#This Row],[ETA for New Ark update]]),0)</f>
        <v>20</v>
      </c>
      <c r="BE366" s="431">
        <f>_xlfn.XLOOKUP(PV_DATA[[#This Row],[New Ark SKU]],Table9[New Ark SKU],Table9[Total PCS per Pallet],,0)</f>
        <v>36</v>
      </c>
      <c r="BF366" s="431">
        <f>_xlfn.XLOOKUP(PV_DATA[[#This Row],[New Ark SKU]],Table9[New Ark SKU],Table9[Total PCS per 40HQ Container],,0)</f>
        <v>720</v>
      </c>
      <c r="BG366" s="431" t="str">
        <f>_xlfn.XLOOKUP(PV_DATA[[#This Row],[New Ark SKU]],Table9[New Ark SKU],Table9[Back Glass],,0)</f>
        <v>White glazing</v>
      </c>
      <c r="BH366" s="431" t="str">
        <f>_xlfn.XLOOKUP(PV_DATA[[#This Row],[PORT DESTINATION]],Table12[PORT DESTINATION],Table12[Cosco Line],,0)</f>
        <v>AEU</v>
      </c>
      <c r="BJ366" s="430"/>
    </row>
    <row r="367" spans="1:62" ht="10.5">
      <c r="A367" s="462" t="s">
        <v>1799</v>
      </c>
      <c r="B367" s="462" t="s">
        <v>1566</v>
      </c>
      <c r="C367" s="462" t="str">
        <f>IFERROR(LEFT(PV_DATA[[#This Row],[TCL REFERENCE]],FIND(".",PV_DATA[[#This Row],[TCL REFERENCE]],1)-1),"Main Line")</f>
        <v>26Feb029</v>
      </c>
      <c r="D367" s="462" t="s">
        <v>63</v>
      </c>
      <c r="E367" s="462" t="s">
        <v>64</v>
      </c>
      <c r="F367" s="462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2" t="s">
        <v>402</v>
      </c>
      <c r="H367" s="462" t="s">
        <v>67</v>
      </c>
      <c r="I367" s="439" t="s">
        <v>689</v>
      </c>
      <c r="J367" s="430" t="s">
        <v>1568</v>
      </c>
      <c r="K367" s="430"/>
      <c r="L367" s="430"/>
      <c r="M367" s="430" t="s">
        <v>68</v>
      </c>
      <c r="N367" s="432" t="s">
        <v>68</v>
      </c>
      <c r="O367" s="430" t="s">
        <v>284</v>
      </c>
      <c r="P367" s="430" t="s">
        <v>1584</v>
      </c>
      <c r="Q367" s="430" t="s">
        <v>1585</v>
      </c>
      <c r="R367" s="431" t="str">
        <f>_xlfn.XLOOKUP(PV_DATA[[#This Row],[New Ark SKU]],Table9[New Ark SKU],Table9[Connector],,0)</f>
        <v>EVO2A</v>
      </c>
      <c r="S367" s="442" t="str">
        <f>_xlfn.XLOOKUP(PV_DATA[[#This Row],[New Ark SKU]],Table9[New Ark SKU],Table9[Cable],,0)</f>
        <v>±1400mm</v>
      </c>
      <c r="T367" s="433">
        <v>645</v>
      </c>
      <c r="U367" s="1088">
        <v>3600</v>
      </c>
      <c r="V367" s="434">
        <f>PV_DATA[[#This Row],[QUANTITY]]*PV_DATA[[#This Row],[WATT]]/1000000</f>
        <v>2.3220000000000001</v>
      </c>
      <c r="W367" s="435">
        <f>PV_DATA[[#This Row],[QUANTITY]]/PV_DATA[[#This Row],[Qty/Pallet]]</f>
        <v>100</v>
      </c>
      <c r="X367" s="1040">
        <f>PV_DATA[[#This Row],[QUANTITY]]/PV_DATA[[#This Row],[Qty/CT]]</f>
        <v>5</v>
      </c>
      <c r="Y367" s="430" t="s">
        <v>75</v>
      </c>
      <c r="Z367" s="430" t="str">
        <f t="shared" si="2"/>
        <v>COMPLETED</v>
      </c>
      <c r="AA367" s="430"/>
      <c r="AB367" s="437">
        <v>46099</v>
      </c>
      <c r="AC367" s="438">
        <f>IF(PV_DATA[[#This Row],[Pick- Up Date]]&lt;&gt;"",_xlfn.ISOWEEKNUM(PV_DATA[[#This Row],[Pick- Up Date]]),"")</f>
        <v>12</v>
      </c>
      <c r="AD367" s="439" t="s">
        <v>1800</v>
      </c>
      <c r="AE367" s="430"/>
      <c r="AF367" s="430" t="s">
        <v>1525</v>
      </c>
      <c r="AG367" s="430" t="s">
        <v>123</v>
      </c>
      <c r="AH367" s="430" t="s">
        <v>105</v>
      </c>
      <c r="AI367" s="437">
        <v>46103</v>
      </c>
      <c r="AJ367" s="437">
        <v>46107</v>
      </c>
      <c r="AK367" s="441">
        <v>46107</v>
      </c>
      <c r="AL367" s="437">
        <v>46150</v>
      </c>
      <c r="AM367" s="437">
        <v>46148</v>
      </c>
      <c r="AN367" s="437">
        <v>46148</v>
      </c>
      <c r="AO367" s="430" t="s">
        <v>402</v>
      </c>
      <c r="AP367" s="430" t="s">
        <v>1782</v>
      </c>
      <c r="AQ367" s="430" t="s">
        <v>161</v>
      </c>
      <c r="AR367" s="430" t="s">
        <v>1796</v>
      </c>
      <c r="AS367" s="430" t="s">
        <v>1797</v>
      </c>
      <c r="AT367" s="482" t="s">
        <v>1798</v>
      </c>
      <c r="AU3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7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7">
        <f>IF(ISERROR(PV_DATA[[#This Row],[New Ark PO status]]),"",_xlfn.XLOOKUP(PV_DATA[[#This Row],[SPTN-PVHK New Ark PO'#]],New_Ark_Data[Purchase order Number],New_Ark_Data[Estimated time of arrival],"",0))</f>
        <v>46156</v>
      </c>
      <c r="AZ3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7">
        <f>IFERROR(PV_DATA[[#This Row],[ODP ETA Port]]+PV_DATA[[#This Row],[Customs/Leg3 Assumption]],"n/a")</f>
        <v>46155</v>
      </c>
      <c r="BB367" s="433">
        <f>YEAR(PV_DATA[[#This Row],[ETA for New Ark update]])</f>
        <v>2026</v>
      </c>
      <c r="BC367" s="430">
        <f>MONTH(PV_DATA[[#This Row],[ETA for New Ark update]])</f>
        <v>5</v>
      </c>
      <c r="BD367" s="430">
        <f>IFERROR(_xlfn.ISOWEEKNUM(PV_DATA[[#This Row],[ETA for New Ark update]]),0)</f>
        <v>20</v>
      </c>
      <c r="BE367" s="431">
        <f>_xlfn.XLOOKUP(PV_DATA[[#This Row],[New Ark SKU]],Table9[New Ark SKU],Table9[Total PCS per Pallet],,0)</f>
        <v>36</v>
      </c>
      <c r="BF367" s="431">
        <f>_xlfn.XLOOKUP(PV_DATA[[#This Row],[New Ark SKU]],Table9[New Ark SKU],Table9[Total PCS per 40HQ Container],,0)</f>
        <v>720</v>
      </c>
      <c r="BG367" s="431" t="str">
        <f>_xlfn.XLOOKUP(PV_DATA[[#This Row],[New Ark SKU]],Table9[New Ark SKU],Table9[Back Glass],,0)</f>
        <v>White glazing</v>
      </c>
      <c r="BH367" s="431" t="str">
        <f>_xlfn.XLOOKUP(PV_DATA[[#This Row],[PORT DESTINATION]],Table12[PORT DESTINATION],Table12[Cosco Line],,0)</f>
        <v>AEU</v>
      </c>
      <c r="BJ367" s="430"/>
    </row>
    <row r="368" spans="1:62" ht="10.5">
      <c r="A368" s="462" t="s">
        <v>1801</v>
      </c>
      <c r="B368" s="462" t="s">
        <v>1802</v>
      </c>
      <c r="C368" s="462" t="str">
        <f>IFERROR(LEFT(PV_DATA[[#This Row],[TCL REFERENCE]],FIND(".",PV_DATA[[#This Row],[TCL REFERENCE]],1)-1),"Main Line")</f>
        <v>26Feb034</v>
      </c>
      <c r="D368" s="462" t="s">
        <v>113</v>
      </c>
      <c r="E368" s="462" t="s">
        <v>144</v>
      </c>
      <c r="F368" s="462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2" t="s">
        <v>402</v>
      </c>
      <c r="H368" s="462" t="s">
        <v>1449</v>
      </c>
      <c r="I368" s="439" t="s">
        <v>822</v>
      </c>
      <c r="J368" s="430" t="s">
        <v>1804</v>
      </c>
      <c r="K368" s="430" t="s">
        <v>1805</v>
      </c>
      <c r="L368" s="430"/>
      <c r="M368" s="430" t="s">
        <v>840</v>
      </c>
      <c r="N368" s="432">
        <v>46097</v>
      </c>
      <c r="O368" s="430" t="s">
        <v>70</v>
      </c>
      <c r="P368" s="430" t="s">
        <v>1806</v>
      </c>
      <c r="Q368" s="430" t="s">
        <v>1807</v>
      </c>
      <c r="R368" s="431" t="str">
        <f>_xlfn.XLOOKUP(PV_DATA[[#This Row],[New Ark SKU]],Table9[New Ark SKU],Table9[Connector],,0)</f>
        <v>H4(Com)</v>
      </c>
      <c r="S368" s="442" t="str">
        <f>_xlfn.XLOOKUP(PV_DATA[[#This Row],[New Ark SKU]],Table9[New Ark SKU],Table9[Cable],,0)</f>
        <v>+400mm/-200mm</v>
      </c>
      <c r="T368" s="433">
        <v>720</v>
      </c>
      <c r="U368" s="1088">
        <f>594*6</f>
        <v>3564</v>
      </c>
      <c r="V368" s="434">
        <f>PV_DATA[[#This Row],[QUANTITY]]*PV_DATA[[#This Row],[WATT]]/1000000</f>
        <v>2.5660799999999999</v>
      </c>
      <c r="W368" s="435">
        <f>PV_DATA[[#This Row],[QUANTITY]]/PV_DATA[[#This Row],[Qty/Pallet]]</f>
        <v>108</v>
      </c>
      <c r="X368" s="1040">
        <f>PV_DATA[[#This Row],[QUANTITY]]/PV_DATA[[#This Row],[Qty/CT]]</f>
        <v>6</v>
      </c>
      <c r="Y368" s="430" t="s">
        <v>75</v>
      </c>
      <c r="Z368" s="430" t="str">
        <f t="shared" si="2"/>
        <v>COMPLETED</v>
      </c>
      <c r="AA368" s="430" t="s">
        <v>1809</v>
      </c>
      <c r="AB368" s="437">
        <v>46097</v>
      </c>
      <c r="AC368" s="438">
        <f>IF(PV_DATA[[#This Row],[Pick- Up Date]]&lt;&gt;"",_xlfn.ISOWEEKNUM(PV_DATA[[#This Row],[Pick- Up Date]]),"")</f>
        <v>12</v>
      </c>
      <c r="AD368" s="439" t="s">
        <v>1810</v>
      </c>
      <c r="AE368" s="430"/>
      <c r="AF368" s="430" t="s">
        <v>1525</v>
      </c>
      <c r="AG368" s="430" t="s">
        <v>123</v>
      </c>
      <c r="AH368" s="430" t="s">
        <v>105</v>
      </c>
      <c r="AI368" s="437">
        <v>46101</v>
      </c>
      <c r="AJ368" s="437">
        <v>46101</v>
      </c>
      <c r="AK368" s="441">
        <v>46101</v>
      </c>
      <c r="AL368" s="437">
        <v>46139</v>
      </c>
      <c r="AM368" s="437">
        <v>46143</v>
      </c>
      <c r="AN368" s="437">
        <v>46143</v>
      </c>
      <c r="AO368" s="430" t="s">
        <v>402</v>
      </c>
      <c r="AP368" s="430" t="s">
        <v>1811</v>
      </c>
      <c r="AQ368" s="430" t="s">
        <v>161</v>
      </c>
      <c r="AR368" s="430" t="s">
        <v>1812</v>
      </c>
      <c r="AS368" s="430">
        <v>285716532</v>
      </c>
      <c r="AT368" s="431">
        <v>285716532</v>
      </c>
      <c r="AU3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7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7">
        <f>IF(ISERROR(PV_DATA[[#This Row],[New Ark PO status]]),"",_xlfn.XLOOKUP(PV_DATA[[#This Row],[SPTN-PVHK New Ark PO'#]],New_Ark_Data[Purchase order Number],New_Ark_Data[Estimated time of arrival],"",0))</f>
        <v>46153</v>
      </c>
      <c r="AZ36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7">
        <f>IFERROR(PV_DATA[[#This Row],[ODP ETA Port]]+PV_DATA[[#This Row],[Customs/Leg3 Assumption]],"n/a")</f>
        <v>46143</v>
      </c>
      <c r="BB368" s="433">
        <f>YEAR(PV_DATA[[#This Row],[ETA for New Ark update]])</f>
        <v>2026</v>
      </c>
      <c r="BC368" s="430">
        <f>MONTH(PV_DATA[[#This Row],[ETA for New Ark update]])</f>
        <v>5</v>
      </c>
      <c r="BD368" s="430">
        <f>IFERROR(_xlfn.ISOWEEKNUM(PV_DATA[[#This Row],[ETA for New Ark update]]),0)</f>
        <v>18</v>
      </c>
      <c r="BE368" s="431">
        <f>_xlfn.XLOOKUP(PV_DATA[[#This Row],[New Ark SKU]],Table9[New Ark SKU],Table9[Total PCS per Pallet],,0)</f>
        <v>33</v>
      </c>
      <c r="BF368" s="431">
        <f>_xlfn.XLOOKUP(PV_DATA[[#This Row],[New Ark SKU]],Table9[New Ark SKU],Table9[Total PCS per 40HQ Container],,0)</f>
        <v>594</v>
      </c>
      <c r="BG368" s="431" t="str">
        <f>_xlfn.XLOOKUP(PV_DATA[[#This Row],[New Ark SKU]],Table9[New Ark SKU],Table9[Back Glass],,0)</f>
        <v>Transparent</v>
      </c>
      <c r="BH368" s="431" t="str">
        <f>_xlfn.XLOOKUP(PV_DATA[[#This Row],[PORT DESTINATION]],Table12[PORT DESTINATION],Table12[Cosco Line],,0)</f>
        <v>AEU</v>
      </c>
      <c r="BJ368" s="430"/>
    </row>
    <row r="369" spans="1:62" ht="10.5">
      <c r="A369" s="462" t="s">
        <v>1813</v>
      </c>
      <c r="B369" s="462" t="s">
        <v>1802</v>
      </c>
      <c r="C369" s="462" t="str">
        <f>IFERROR(LEFT(PV_DATA[[#This Row],[TCL REFERENCE]],FIND(".",PV_DATA[[#This Row],[TCL REFERENCE]],1)-1),"Main Line")</f>
        <v>26Feb034</v>
      </c>
      <c r="D369" s="462" t="s">
        <v>113</v>
      </c>
      <c r="E369" s="462" t="s">
        <v>144</v>
      </c>
      <c r="F369" s="462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2" t="s">
        <v>402</v>
      </c>
      <c r="H369" s="462" t="s">
        <v>1449</v>
      </c>
      <c r="I369" s="439" t="s">
        <v>822</v>
      </c>
      <c r="J369" s="430" t="s">
        <v>1814</v>
      </c>
      <c r="K369" s="430" t="s">
        <v>1805</v>
      </c>
      <c r="L369" s="430"/>
      <c r="M369" s="430" t="s">
        <v>840</v>
      </c>
      <c r="N369" s="432">
        <v>46097</v>
      </c>
      <c r="O369" s="430" t="s">
        <v>70</v>
      </c>
      <c r="P369" s="430" t="s">
        <v>1806</v>
      </c>
      <c r="Q369" s="430" t="s">
        <v>1807</v>
      </c>
      <c r="R369" s="431" t="str">
        <f>_xlfn.XLOOKUP(PV_DATA[[#This Row],[New Ark SKU]],Table9[New Ark SKU],Table9[Connector],,0)</f>
        <v>H4(Com)</v>
      </c>
      <c r="S369" s="442" t="str">
        <f>_xlfn.XLOOKUP(PV_DATA[[#This Row],[New Ark SKU]],Table9[New Ark SKU],Table9[Cable],,0)</f>
        <v>+400mm/-200mm</v>
      </c>
      <c r="T369" s="433">
        <v>720</v>
      </c>
      <c r="U369" s="1088">
        <f>594*7</f>
        <v>4158</v>
      </c>
      <c r="V369" s="434">
        <f>PV_DATA[[#This Row],[QUANTITY]]*PV_DATA[[#This Row],[WATT]]/1000000</f>
        <v>2.99376</v>
      </c>
      <c r="W369" s="435">
        <f>PV_DATA[[#This Row],[QUANTITY]]/PV_DATA[[#This Row],[Qty/Pallet]]</f>
        <v>126</v>
      </c>
      <c r="X369" s="1040">
        <f>PV_DATA[[#This Row],[QUANTITY]]/PV_DATA[[#This Row],[Qty/CT]]</f>
        <v>7</v>
      </c>
      <c r="Y369" s="430" t="s">
        <v>75</v>
      </c>
      <c r="Z369" s="430" t="str">
        <f t="shared" si="2"/>
        <v>COMPLETED</v>
      </c>
      <c r="AA369" s="430" t="s">
        <v>1809</v>
      </c>
      <c r="AB369" s="437">
        <v>46096</v>
      </c>
      <c r="AC369" s="438">
        <f>IF(PV_DATA[[#This Row],[Pick- Up Date]]&lt;&gt;"",_xlfn.ISOWEEKNUM(PV_DATA[[#This Row],[Pick- Up Date]]),"")</f>
        <v>11</v>
      </c>
      <c r="AD369" s="439" t="s">
        <v>1815</v>
      </c>
      <c r="AE369" s="430"/>
      <c r="AF369" s="430" t="s">
        <v>1525</v>
      </c>
      <c r="AG369" s="430" t="s">
        <v>123</v>
      </c>
      <c r="AH369" s="430" t="s">
        <v>105</v>
      </c>
      <c r="AI369" s="437">
        <v>46101</v>
      </c>
      <c r="AJ369" s="437">
        <v>46101</v>
      </c>
      <c r="AK369" s="441">
        <v>46101</v>
      </c>
      <c r="AL369" s="437">
        <v>46139</v>
      </c>
      <c r="AM369" s="437">
        <v>46143</v>
      </c>
      <c r="AN369" s="437">
        <v>46143</v>
      </c>
      <c r="AO369" s="430" t="s">
        <v>402</v>
      </c>
      <c r="AP369" s="430" t="s">
        <v>1811</v>
      </c>
      <c r="AQ369" s="430" t="s">
        <v>161</v>
      </c>
      <c r="AR369" s="430" t="s">
        <v>1812</v>
      </c>
      <c r="AS369" s="430">
        <v>285716532</v>
      </c>
      <c r="AT369" s="431">
        <v>285716532</v>
      </c>
      <c r="AU3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7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7">
        <f>IF(ISERROR(PV_DATA[[#This Row],[New Ark PO status]]),"",_xlfn.XLOOKUP(PV_DATA[[#This Row],[SPTN-PVHK New Ark PO'#]],New_Ark_Data[Purchase order Number],New_Ark_Data[Estimated time of arrival],"",0))</f>
        <v>46153</v>
      </c>
      <c r="AZ36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7">
        <f>IFERROR(PV_DATA[[#This Row],[ODP ETA Port]]+PV_DATA[[#This Row],[Customs/Leg3 Assumption]],"n/a")</f>
        <v>46143</v>
      </c>
      <c r="BB369" s="433">
        <f>YEAR(PV_DATA[[#This Row],[ETA for New Ark update]])</f>
        <v>2026</v>
      </c>
      <c r="BC369" s="430">
        <f>MONTH(PV_DATA[[#This Row],[ETA for New Ark update]])</f>
        <v>5</v>
      </c>
      <c r="BD369" s="430">
        <f>IFERROR(_xlfn.ISOWEEKNUM(PV_DATA[[#This Row],[ETA for New Ark update]]),0)</f>
        <v>18</v>
      </c>
      <c r="BE369" s="431">
        <f>_xlfn.XLOOKUP(PV_DATA[[#This Row],[New Ark SKU]],Table9[New Ark SKU],Table9[Total PCS per Pallet],,0)</f>
        <v>33</v>
      </c>
      <c r="BF369" s="431">
        <f>_xlfn.XLOOKUP(PV_DATA[[#This Row],[New Ark SKU]],Table9[New Ark SKU],Table9[Total PCS per 40HQ Container],,0)</f>
        <v>594</v>
      </c>
      <c r="BG369" s="431" t="str">
        <f>_xlfn.XLOOKUP(PV_DATA[[#This Row],[New Ark SKU]],Table9[New Ark SKU],Table9[Back Glass],,0)</f>
        <v>Transparent</v>
      </c>
      <c r="BH369" s="431" t="str">
        <f>_xlfn.XLOOKUP(PV_DATA[[#This Row],[PORT DESTINATION]],Table12[PORT DESTINATION],Table12[Cosco Line],,0)</f>
        <v>AEU</v>
      </c>
      <c r="BJ369" s="430"/>
    </row>
    <row r="370" spans="1:62" ht="10.5">
      <c r="A370" s="462" t="s">
        <v>1816</v>
      </c>
      <c r="B370" s="462" t="s">
        <v>1802</v>
      </c>
      <c r="C370" s="462" t="str">
        <f>IFERROR(LEFT(PV_DATA[[#This Row],[TCL REFERENCE]],FIND(".",PV_DATA[[#This Row],[TCL REFERENCE]],1)-1),"Main Line")</f>
        <v>26Feb034</v>
      </c>
      <c r="D370" s="462" t="s">
        <v>113</v>
      </c>
      <c r="E370" s="462" t="s">
        <v>144</v>
      </c>
      <c r="F370" s="462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2" t="s">
        <v>402</v>
      </c>
      <c r="H370" s="462" t="s">
        <v>1449</v>
      </c>
      <c r="I370" s="439" t="s">
        <v>822</v>
      </c>
      <c r="J370" s="430" t="s">
        <v>1817</v>
      </c>
      <c r="K370" s="430" t="s">
        <v>1805</v>
      </c>
      <c r="L370" s="430"/>
      <c r="M370" s="430" t="s">
        <v>840</v>
      </c>
      <c r="N370" s="432">
        <v>46097</v>
      </c>
      <c r="O370" s="430" t="s">
        <v>70</v>
      </c>
      <c r="P370" s="430" t="s">
        <v>1806</v>
      </c>
      <c r="Q370" s="430" t="s">
        <v>1807</v>
      </c>
      <c r="R370" s="431" t="str">
        <f>_xlfn.XLOOKUP(PV_DATA[[#This Row],[New Ark SKU]],Table9[New Ark SKU],Table9[Connector],,0)</f>
        <v>H4(Com)</v>
      </c>
      <c r="S370" s="442" t="str">
        <f>_xlfn.XLOOKUP(PV_DATA[[#This Row],[New Ark SKU]],Table9[New Ark SKU],Table9[Cable],,0)</f>
        <v>+400mm/-200mm</v>
      </c>
      <c r="T370" s="433">
        <v>720</v>
      </c>
      <c r="U370" s="1088">
        <f>594*10</f>
        <v>5940</v>
      </c>
      <c r="V370" s="434">
        <f>PV_DATA[[#This Row],[QUANTITY]]*PV_DATA[[#This Row],[WATT]]/1000000</f>
        <v>4.2767999999999997</v>
      </c>
      <c r="W370" s="435">
        <f>PV_DATA[[#This Row],[QUANTITY]]/PV_DATA[[#This Row],[Qty/Pallet]]</f>
        <v>180</v>
      </c>
      <c r="X370" s="1040">
        <f>PV_DATA[[#This Row],[QUANTITY]]/PV_DATA[[#This Row],[Qty/CT]]</f>
        <v>10</v>
      </c>
      <c r="Y370" s="430" t="s">
        <v>75</v>
      </c>
      <c r="Z370" s="430" t="str">
        <f t="shared" si="2"/>
        <v>COMPLETED</v>
      </c>
      <c r="AA370" s="430" t="s">
        <v>1809</v>
      </c>
      <c r="AB370" s="437">
        <v>46101</v>
      </c>
      <c r="AC370" s="438">
        <f>IF(PV_DATA[[#This Row],[Pick- Up Date]]&lt;&gt;"",_xlfn.ISOWEEKNUM(PV_DATA[[#This Row],[Pick- Up Date]]),"")</f>
        <v>12</v>
      </c>
      <c r="AD370" s="439" t="s">
        <v>1818</v>
      </c>
      <c r="AE370" s="430"/>
      <c r="AF370" s="430" t="s">
        <v>122</v>
      </c>
      <c r="AG370" s="430" t="s">
        <v>123</v>
      </c>
      <c r="AH370" s="430" t="s">
        <v>105</v>
      </c>
      <c r="AI370" s="437">
        <v>46105</v>
      </c>
      <c r="AJ370" s="437">
        <v>46115</v>
      </c>
      <c r="AK370" s="441">
        <v>46111</v>
      </c>
      <c r="AL370" s="437">
        <v>46147</v>
      </c>
      <c r="AM370" s="437">
        <v>46166</v>
      </c>
      <c r="AN370" s="437">
        <v>46167</v>
      </c>
      <c r="AO370" s="430" t="s">
        <v>402</v>
      </c>
      <c r="AP370" s="430" t="s">
        <v>1819</v>
      </c>
      <c r="AQ370" s="430" t="s">
        <v>161</v>
      </c>
      <c r="AR370" s="430" t="s">
        <v>1820</v>
      </c>
      <c r="AS370" s="430" t="s">
        <v>1821</v>
      </c>
      <c r="AT370" s="482" t="s">
        <v>1821</v>
      </c>
      <c r="AU3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7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7">
        <f>IF(ISERROR(PV_DATA[[#This Row],[New Ark PO status]]),"",_xlfn.XLOOKUP(PV_DATA[[#This Row],[SPTN-PVHK New Ark PO'#]],New_Ark_Data[Purchase order Number],New_Ark_Data[Estimated time of arrival],"",0))</f>
        <v>46161</v>
      </c>
      <c r="AZ37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7">
        <f>IFERROR(PV_DATA[[#This Row],[ODP ETA Port]]+PV_DATA[[#This Row],[Customs/Leg3 Assumption]],"n/a")</f>
        <v>46167</v>
      </c>
      <c r="BB370" s="433">
        <f>YEAR(PV_DATA[[#This Row],[ETA for New Ark update]])</f>
        <v>2026</v>
      </c>
      <c r="BC370" s="430">
        <f>MONTH(PV_DATA[[#This Row],[ETA for New Ark update]])</f>
        <v>5</v>
      </c>
      <c r="BD370" s="430">
        <f>IFERROR(_xlfn.ISOWEEKNUM(PV_DATA[[#This Row],[ETA for New Ark update]]),0)</f>
        <v>22</v>
      </c>
      <c r="BE370" s="431">
        <f>_xlfn.XLOOKUP(PV_DATA[[#This Row],[New Ark SKU]],Table9[New Ark SKU],Table9[Total PCS per Pallet],,0)</f>
        <v>33</v>
      </c>
      <c r="BF370" s="431">
        <f>_xlfn.XLOOKUP(PV_DATA[[#This Row],[New Ark SKU]],Table9[New Ark SKU],Table9[Total PCS per 40HQ Container],,0)</f>
        <v>594</v>
      </c>
      <c r="BG370" s="431" t="str">
        <f>_xlfn.XLOOKUP(PV_DATA[[#This Row],[New Ark SKU]],Table9[New Ark SKU],Table9[Back Glass],,0)</f>
        <v>Transparent</v>
      </c>
      <c r="BH370" s="431" t="str">
        <f>_xlfn.XLOOKUP(PV_DATA[[#This Row],[PORT DESTINATION]],Table12[PORT DESTINATION],Table12[Cosco Line],,0)</f>
        <v>AEU</v>
      </c>
      <c r="BJ370" s="430"/>
    </row>
    <row r="371" spans="1:62" ht="10.5">
      <c r="A371" s="462" t="s">
        <v>1822</v>
      </c>
      <c r="B371" s="462" t="s">
        <v>1802</v>
      </c>
      <c r="C371" s="462" t="str">
        <f>IFERROR(LEFT(PV_DATA[[#This Row],[TCL REFERENCE]],FIND(".",PV_DATA[[#This Row],[TCL REFERENCE]],1)-1),"Main Line")</f>
        <v>26Feb034</v>
      </c>
      <c r="D371" s="462" t="s">
        <v>113</v>
      </c>
      <c r="E371" s="462" t="s">
        <v>144</v>
      </c>
      <c r="F371" s="462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2" t="s">
        <v>402</v>
      </c>
      <c r="H371" s="462" t="s">
        <v>1449</v>
      </c>
      <c r="I371" s="439" t="s">
        <v>822</v>
      </c>
      <c r="J371" s="430" t="s">
        <v>1823</v>
      </c>
      <c r="K371" s="430" t="s">
        <v>1805</v>
      </c>
      <c r="L371" s="430"/>
      <c r="M371" s="430" t="s">
        <v>840</v>
      </c>
      <c r="N371" s="432">
        <v>46097</v>
      </c>
      <c r="O371" s="430" t="s">
        <v>70</v>
      </c>
      <c r="P371" s="430" t="s">
        <v>1806</v>
      </c>
      <c r="Q371" s="430" t="s">
        <v>1807</v>
      </c>
      <c r="R371" s="431" t="str">
        <f>_xlfn.XLOOKUP(PV_DATA[[#This Row],[New Ark SKU]],Table9[New Ark SKU],Table9[Connector],,0)</f>
        <v>H4(Com)</v>
      </c>
      <c r="S371" s="442" t="str">
        <f>_xlfn.XLOOKUP(PV_DATA[[#This Row],[New Ark SKU]],Table9[New Ark SKU],Table9[Cable],,0)</f>
        <v>+400mm/-200mm</v>
      </c>
      <c r="T371" s="433">
        <v>720</v>
      </c>
      <c r="U371" s="1088">
        <f>594*9</f>
        <v>5346</v>
      </c>
      <c r="V371" s="434">
        <f>PV_DATA[[#This Row],[QUANTITY]]*PV_DATA[[#This Row],[WATT]]/1000000</f>
        <v>3.8491200000000001</v>
      </c>
      <c r="W371" s="435">
        <f>PV_DATA[[#This Row],[QUANTITY]]/PV_DATA[[#This Row],[Qty/Pallet]]</f>
        <v>162</v>
      </c>
      <c r="X371" s="1040">
        <f>PV_DATA[[#This Row],[QUANTITY]]/PV_DATA[[#This Row],[Qty/CT]]</f>
        <v>9</v>
      </c>
      <c r="Y371" s="430" t="s">
        <v>75</v>
      </c>
      <c r="Z371" s="430" t="str">
        <f t="shared" si="2"/>
        <v>COMPLETED</v>
      </c>
      <c r="AA371" s="430" t="s">
        <v>1809</v>
      </c>
      <c r="AB371" s="437">
        <v>46100</v>
      </c>
      <c r="AC371" s="438">
        <f>IF(PV_DATA[[#This Row],[Pick- Up Date]]&lt;&gt;"",_xlfn.ISOWEEKNUM(PV_DATA[[#This Row],[Pick- Up Date]]),"")</f>
        <v>12</v>
      </c>
      <c r="AD371" s="439" t="s">
        <v>1824</v>
      </c>
      <c r="AE371" s="430"/>
      <c r="AF371" s="430" t="s">
        <v>122</v>
      </c>
      <c r="AG371" s="430" t="s">
        <v>123</v>
      </c>
      <c r="AH371" s="430" t="s">
        <v>105</v>
      </c>
      <c r="AI371" s="437">
        <v>46105</v>
      </c>
      <c r="AJ371" s="437">
        <v>46115</v>
      </c>
      <c r="AK371" s="441">
        <v>46111</v>
      </c>
      <c r="AL371" s="437">
        <v>46147</v>
      </c>
      <c r="AM371" s="437">
        <v>46166</v>
      </c>
      <c r="AN371" s="437">
        <v>46167</v>
      </c>
      <c r="AO371" s="430" t="s">
        <v>402</v>
      </c>
      <c r="AP371" s="430" t="s">
        <v>1819</v>
      </c>
      <c r="AQ371" s="430" t="s">
        <v>161</v>
      </c>
      <c r="AR371" s="430" t="s">
        <v>1820</v>
      </c>
      <c r="AS371" s="430" t="s">
        <v>1821</v>
      </c>
      <c r="AT371" s="482" t="s">
        <v>1821</v>
      </c>
      <c r="AU3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7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7">
        <f>IF(ISERROR(PV_DATA[[#This Row],[New Ark PO status]]),"",_xlfn.XLOOKUP(PV_DATA[[#This Row],[SPTN-PVHK New Ark PO'#]],New_Ark_Data[Purchase order Number],New_Ark_Data[Estimated time of arrival],"",0))</f>
        <v>46161</v>
      </c>
      <c r="AZ37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7">
        <f>IFERROR(PV_DATA[[#This Row],[ODP ETA Port]]+PV_DATA[[#This Row],[Customs/Leg3 Assumption]],"n/a")</f>
        <v>46167</v>
      </c>
      <c r="BB371" s="433">
        <f>YEAR(PV_DATA[[#This Row],[ETA for New Ark update]])</f>
        <v>2026</v>
      </c>
      <c r="BC371" s="430">
        <f>MONTH(PV_DATA[[#This Row],[ETA for New Ark update]])</f>
        <v>5</v>
      </c>
      <c r="BD371" s="430">
        <f>IFERROR(_xlfn.ISOWEEKNUM(PV_DATA[[#This Row],[ETA for New Ark update]]),0)</f>
        <v>22</v>
      </c>
      <c r="BE371" s="431">
        <f>_xlfn.XLOOKUP(PV_DATA[[#This Row],[New Ark SKU]],Table9[New Ark SKU],Table9[Total PCS per Pallet],,0)</f>
        <v>33</v>
      </c>
      <c r="BF371" s="431">
        <f>_xlfn.XLOOKUP(PV_DATA[[#This Row],[New Ark SKU]],Table9[New Ark SKU],Table9[Total PCS per 40HQ Container],,0)</f>
        <v>594</v>
      </c>
      <c r="BG371" s="431" t="str">
        <f>_xlfn.XLOOKUP(PV_DATA[[#This Row],[New Ark SKU]],Table9[New Ark SKU],Table9[Back Glass],,0)</f>
        <v>Transparent</v>
      </c>
      <c r="BH371" s="431" t="str">
        <f>_xlfn.XLOOKUP(PV_DATA[[#This Row],[PORT DESTINATION]],Table12[PORT DESTINATION],Table12[Cosco Line],,0)</f>
        <v>AEU</v>
      </c>
      <c r="BJ371" s="430"/>
    </row>
    <row r="372" spans="1:62" ht="10.5">
      <c r="A372" s="462" t="s">
        <v>1825</v>
      </c>
      <c r="B372" s="462" t="s">
        <v>1802</v>
      </c>
      <c r="C372" s="462" t="str">
        <f>IFERROR(LEFT(PV_DATA[[#This Row],[TCL REFERENCE]],FIND(".",PV_DATA[[#This Row],[TCL REFERENCE]],1)-1),"Main Line")</f>
        <v>26Feb034</v>
      </c>
      <c r="D372" s="462" t="s">
        <v>113</v>
      </c>
      <c r="E372" s="462" t="s">
        <v>144</v>
      </c>
      <c r="F372" s="462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2" t="s">
        <v>402</v>
      </c>
      <c r="H372" s="462" t="s">
        <v>1449</v>
      </c>
      <c r="I372" s="439" t="s">
        <v>822</v>
      </c>
      <c r="J372" s="430" t="s">
        <v>1826</v>
      </c>
      <c r="K372" s="430" t="s">
        <v>1805</v>
      </c>
      <c r="L372" s="430"/>
      <c r="M372" s="430" t="s">
        <v>840</v>
      </c>
      <c r="N372" s="432">
        <v>46097</v>
      </c>
      <c r="O372" s="430" t="s">
        <v>70</v>
      </c>
      <c r="P372" s="430" t="s">
        <v>1806</v>
      </c>
      <c r="Q372" s="430" t="s">
        <v>1807</v>
      </c>
      <c r="R372" s="431" t="str">
        <f>_xlfn.XLOOKUP(PV_DATA[[#This Row],[New Ark SKU]],Table9[New Ark SKU],Table9[Connector],,0)</f>
        <v>H4(Com)</v>
      </c>
      <c r="S372" s="442" t="str">
        <f>_xlfn.XLOOKUP(PV_DATA[[#This Row],[New Ark SKU]],Table9[New Ark SKU],Table9[Cable],,0)</f>
        <v>+400mm/-200mm</v>
      </c>
      <c r="T372" s="433">
        <v>720</v>
      </c>
      <c r="U372" s="1088">
        <f>594*8</f>
        <v>4752</v>
      </c>
      <c r="V372" s="434">
        <f>PV_DATA[[#This Row],[QUANTITY]]*PV_DATA[[#This Row],[WATT]]/1000000</f>
        <v>3.42144</v>
      </c>
      <c r="W372" s="435">
        <f>PV_DATA[[#This Row],[QUANTITY]]/PV_DATA[[#This Row],[Qty/Pallet]]</f>
        <v>144</v>
      </c>
      <c r="X372" s="1040">
        <f>PV_DATA[[#This Row],[QUANTITY]]/PV_DATA[[#This Row],[Qty/CT]]</f>
        <v>8</v>
      </c>
      <c r="Y372" s="430" t="s">
        <v>75</v>
      </c>
      <c r="Z372" s="430" t="str">
        <f t="shared" si="2"/>
        <v>COMPLETED</v>
      </c>
      <c r="AA372" s="430" t="s">
        <v>1809</v>
      </c>
      <c r="AB372" s="437">
        <v>46099</v>
      </c>
      <c r="AC372" s="438">
        <f>IF(PV_DATA[[#This Row],[Pick- Up Date]]&lt;&gt;"",_xlfn.ISOWEEKNUM(PV_DATA[[#This Row],[Pick- Up Date]]),"")</f>
        <v>12</v>
      </c>
      <c r="AD372" s="439" t="s">
        <v>1827</v>
      </c>
      <c r="AE372" s="430"/>
      <c r="AF372" s="430" t="s">
        <v>1525</v>
      </c>
      <c r="AG372" s="430" t="s">
        <v>123</v>
      </c>
      <c r="AH372" s="430" t="s">
        <v>105</v>
      </c>
      <c r="AI372" s="437">
        <v>46105</v>
      </c>
      <c r="AJ372" s="437">
        <v>46107</v>
      </c>
      <c r="AK372" s="441">
        <v>46107</v>
      </c>
      <c r="AL372" s="437">
        <v>46150</v>
      </c>
      <c r="AM372" s="437">
        <v>46148</v>
      </c>
      <c r="AN372" s="437">
        <v>46148</v>
      </c>
      <c r="AO372" s="430" t="s">
        <v>402</v>
      </c>
      <c r="AP372" s="430" t="s">
        <v>1782</v>
      </c>
      <c r="AQ372" s="430" t="s">
        <v>161</v>
      </c>
      <c r="AR372" s="430" t="s">
        <v>1828</v>
      </c>
      <c r="AS372" s="430" t="s">
        <v>1829</v>
      </c>
      <c r="AT372" s="482" t="s">
        <v>1830</v>
      </c>
      <c r="AU3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7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7">
        <f>IF(ISERROR(PV_DATA[[#This Row],[New Ark PO status]]),"",_xlfn.XLOOKUP(PV_DATA[[#This Row],[SPTN-PVHK New Ark PO'#]],New_Ark_Data[Purchase order Number],New_Ark_Data[Estimated time of arrival],"",0))</f>
        <v>46164</v>
      </c>
      <c r="AZ37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7">
        <f>IFERROR(PV_DATA[[#This Row],[ODP ETA Port]]+PV_DATA[[#This Row],[Customs/Leg3 Assumption]],"n/a")</f>
        <v>46148</v>
      </c>
      <c r="BB372" s="433">
        <f>YEAR(PV_DATA[[#This Row],[ETA for New Ark update]])</f>
        <v>2026</v>
      </c>
      <c r="BC372" s="430">
        <f>MONTH(PV_DATA[[#This Row],[ETA for New Ark update]])</f>
        <v>5</v>
      </c>
      <c r="BD372" s="430">
        <f>IFERROR(_xlfn.ISOWEEKNUM(PV_DATA[[#This Row],[ETA for New Ark update]]),0)</f>
        <v>19</v>
      </c>
      <c r="BE372" s="431">
        <f>_xlfn.XLOOKUP(PV_DATA[[#This Row],[New Ark SKU]],Table9[New Ark SKU],Table9[Total PCS per Pallet],,0)</f>
        <v>33</v>
      </c>
      <c r="BF372" s="431">
        <f>_xlfn.XLOOKUP(PV_DATA[[#This Row],[New Ark SKU]],Table9[New Ark SKU],Table9[Total PCS per 40HQ Container],,0)</f>
        <v>594</v>
      </c>
      <c r="BG372" s="431" t="str">
        <f>_xlfn.XLOOKUP(PV_DATA[[#This Row],[New Ark SKU]],Table9[New Ark SKU],Table9[Back Glass],,0)</f>
        <v>Transparent</v>
      </c>
      <c r="BH372" s="431" t="str">
        <f>_xlfn.XLOOKUP(PV_DATA[[#This Row],[PORT DESTINATION]],Table12[PORT DESTINATION],Table12[Cosco Line],,0)</f>
        <v>AEU</v>
      </c>
      <c r="BJ372" s="430"/>
    </row>
    <row r="373" spans="1:62" ht="10.5">
      <c r="A373" s="462" t="s">
        <v>1831</v>
      </c>
      <c r="B373" s="462" t="s">
        <v>61</v>
      </c>
      <c r="C373" s="462" t="str">
        <f>IFERROR(LEFT(PV_DATA[[#This Row],[TCL REFERENCE]],FIND(".",PV_DATA[[#This Row],[TCL REFERENCE]],1)-1),"Main Line")</f>
        <v>26Feb020</v>
      </c>
      <c r="D373" s="462" t="s">
        <v>63</v>
      </c>
      <c r="E373" s="462" t="s">
        <v>64</v>
      </c>
      <c r="F373" s="462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2" t="s">
        <v>402</v>
      </c>
      <c r="H373" s="462" t="s">
        <v>451</v>
      </c>
      <c r="I373" s="439" t="s">
        <v>689</v>
      </c>
      <c r="J373" s="430" t="s">
        <v>1832</v>
      </c>
      <c r="K373" s="430"/>
      <c r="L373" s="430"/>
      <c r="M373" s="430" t="s">
        <v>68</v>
      </c>
      <c r="N373" s="432">
        <v>46097</v>
      </c>
      <c r="O373" s="430" t="s">
        <v>70</v>
      </c>
      <c r="P373" s="430" t="s">
        <v>1151</v>
      </c>
      <c r="Q373" s="430" t="s">
        <v>421</v>
      </c>
      <c r="R373" s="431" t="str">
        <f>_xlfn.XLOOKUP(PV_DATA[[#This Row],[New Ark SKU]],Table9[New Ark SKU],Table9[Connector],,0)</f>
        <v>EVO2A</v>
      </c>
      <c r="S373" s="442" t="str">
        <f>_xlfn.XLOOKUP(PV_DATA[[#This Row],[New Ark SKU]],Table9[New Ark SKU],Table9[Cable],,0)</f>
        <v>±1200mm</v>
      </c>
      <c r="T373" s="433">
        <v>505</v>
      </c>
      <c r="U373" s="1088">
        <f>864*2</f>
        <v>1728</v>
      </c>
      <c r="V373" s="434">
        <f>PV_DATA[[#This Row],[QUANTITY]]*PV_DATA[[#This Row],[WATT]]/1000000</f>
        <v>0.87263999999999997</v>
      </c>
      <c r="W373" s="435">
        <f>PV_DATA[[#This Row],[QUANTITY]]/PV_DATA[[#This Row],[Qty/Pallet]]</f>
        <v>48</v>
      </c>
      <c r="X373" s="1040">
        <f>PV_DATA[[#This Row],[QUANTITY]]/PV_DATA[[#This Row],[Qty/CT]]</f>
        <v>2</v>
      </c>
      <c r="Y373" s="430" t="s">
        <v>75</v>
      </c>
      <c r="Z373" s="430" t="str">
        <f t="shared" si="2"/>
        <v>COMPLETED</v>
      </c>
      <c r="AA373" s="430" t="s">
        <v>1456</v>
      </c>
      <c r="AB373" s="437">
        <v>46096</v>
      </c>
      <c r="AC373" s="438">
        <f>IF(PV_DATA[[#This Row],[Pick- Up Date]]&lt;&gt;"",_xlfn.ISOWEEKNUM(PV_DATA[[#This Row],[Pick- Up Date]]),"")</f>
        <v>11</v>
      </c>
      <c r="AD373" s="439" t="s">
        <v>1833</v>
      </c>
      <c r="AE373" s="430"/>
      <c r="AF373" s="430" t="s">
        <v>77</v>
      </c>
      <c r="AG373" s="430" t="s">
        <v>61</v>
      </c>
      <c r="AH373" s="430" t="s">
        <v>456</v>
      </c>
      <c r="AI373" s="437">
        <v>46102</v>
      </c>
      <c r="AJ373" s="437">
        <v>46101</v>
      </c>
      <c r="AK373" s="441">
        <v>46101</v>
      </c>
      <c r="AL373" s="437">
        <v>46152</v>
      </c>
      <c r="AM373" s="437">
        <v>46154</v>
      </c>
      <c r="AN373" s="437">
        <v>46155</v>
      </c>
      <c r="AO373" s="430" t="s">
        <v>402</v>
      </c>
      <c r="AP373" s="430" t="s">
        <v>1834</v>
      </c>
      <c r="AQ373" s="430" t="s">
        <v>161</v>
      </c>
      <c r="AR373" s="430" t="s">
        <v>1835</v>
      </c>
      <c r="AS373" s="430" t="s">
        <v>1836</v>
      </c>
      <c r="AT373" s="482" t="s">
        <v>1836</v>
      </c>
      <c r="AU3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7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7">
        <f>IF(ISERROR(PV_DATA[[#This Row],[New Ark PO status]]),"",_xlfn.XLOOKUP(PV_DATA[[#This Row],[SPTN-PVHK New Ark PO'#]],New_Ark_Data[Purchase order Number],New_Ark_Data[Estimated time of arrival],"",0))</f>
        <v>46167</v>
      </c>
      <c r="AZ3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7">
        <f>IFERROR(PV_DATA[[#This Row],[ODP ETA Port]]+PV_DATA[[#This Row],[Customs/Leg3 Assumption]],"n/a")</f>
        <v>46162</v>
      </c>
      <c r="BB373" s="433">
        <f>YEAR(PV_DATA[[#This Row],[ETA for New Ark update]])</f>
        <v>2026</v>
      </c>
      <c r="BC373" s="430">
        <f>MONTH(PV_DATA[[#This Row],[ETA for New Ark update]])</f>
        <v>5</v>
      </c>
      <c r="BD373" s="430">
        <f>IFERROR(_xlfn.ISOWEEKNUM(PV_DATA[[#This Row],[ETA for New Ark update]]),0)</f>
        <v>21</v>
      </c>
      <c r="BE373" s="431">
        <f>_xlfn.XLOOKUP(PV_DATA[[#This Row],[New Ark SKU]],Table9[New Ark SKU],Table9[Total PCS per Pallet],,0)</f>
        <v>36</v>
      </c>
      <c r="BF373" s="431">
        <f>_xlfn.XLOOKUP(PV_DATA[[#This Row],[New Ark SKU]],Table9[New Ark SKU],Table9[Total PCS per 40HQ Container],,0)</f>
        <v>864</v>
      </c>
      <c r="BG373" s="431" t="str">
        <f>_xlfn.XLOOKUP(PV_DATA[[#This Row],[New Ark SKU]],Table9[New Ark SKU],Table9[Back Glass],,0)</f>
        <v>Black glazing</v>
      </c>
      <c r="BH373" s="431" t="str">
        <f>_xlfn.XLOOKUP(PV_DATA[[#This Row],[PORT DESTINATION]],Table12[PORT DESTINATION],Table12[Cosco Line],,0)</f>
        <v>AEU</v>
      </c>
      <c r="BJ373" s="430"/>
    </row>
    <row r="374" spans="1:62" ht="10.5">
      <c r="A374" s="462" t="s">
        <v>1837</v>
      </c>
      <c r="B374" s="462" t="s">
        <v>61</v>
      </c>
      <c r="C374" s="462" t="str">
        <f>IFERROR(LEFT(PV_DATA[[#This Row],[TCL REFERENCE]],FIND(".",PV_DATA[[#This Row],[TCL REFERENCE]],1)-1),"Main Line")</f>
        <v>26Feb022</v>
      </c>
      <c r="D374" s="462" t="s">
        <v>63</v>
      </c>
      <c r="E374" s="462" t="s">
        <v>64</v>
      </c>
      <c r="F374" s="462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2" t="s">
        <v>402</v>
      </c>
      <c r="H374" s="462" t="s">
        <v>67</v>
      </c>
      <c r="I374" s="439" t="s">
        <v>869</v>
      </c>
      <c r="J374" s="430" t="s">
        <v>690</v>
      </c>
      <c r="K374" s="430"/>
      <c r="L374" s="430"/>
      <c r="M374" s="430" t="s">
        <v>68</v>
      </c>
      <c r="N374" s="432">
        <v>46104</v>
      </c>
      <c r="O374" s="430" t="s">
        <v>70</v>
      </c>
      <c r="P374" s="430" t="s">
        <v>204</v>
      </c>
      <c r="Q374" s="430" t="s">
        <v>205</v>
      </c>
      <c r="R374" s="431" t="str">
        <f>_xlfn.XLOOKUP(PV_DATA[[#This Row],[New Ark SKU]],Table9[New Ark SKU],Table9[Connector],,0)</f>
        <v>EVO2A</v>
      </c>
      <c r="S374" s="442" t="str">
        <f>_xlfn.XLOOKUP(PV_DATA[[#This Row],[New Ark SKU]],Table9[New Ark SKU],Table9[Cable],,0)</f>
        <v>±1200mm</v>
      </c>
      <c r="T374" s="433">
        <v>455</v>
      </c>
      <c r="U374" s="1088">
        <v>936</v>
      </c>
      <c r="V374" s="434">
        <f>PV_DATA[[#This Row],[QUANTITY]]*PV_DATA[[#This Row],[WATT]]/1000000</f>
        <v>0.42587999999999998</v>
      </c>
      <c r="W374" s="435">
        <f>PV_DATA[[#This Row],[QUANTITY]]/PV_DATA[[#This Row],[Qty/Pallet]]</f>
        <v>26</v>
      </c>
      <c r="X374" s="1040">
        <f>PV_DATA[[#This Row],[QUANTITY]]/PV_DATA[[#This Row],[Qty/CT]]</f>
        <v>1</v>
      </c>
      <c r="Y374" s="430" t="s">
        <v>75</v>
      </c>
      <c r="Z374" s="430" t="str">
        <f t="shared" ref="Z374:Z434" si="3">IF(AN374&lt;&gt;"","COMPLETED",IF(AK374&lt;&gt;"","IN-TRANSIT",""))</f>
        <v>COMPLETED</v>
      </c>
      <c r="AA374" s="430" t="s">
        <v>1839</v>
      </c>
      <c r="AB374" s="437">
        <v>46098</v>
      </c>
      <c r="AC374" s="438">
        <f>IF(PV_DATA[[#This Row],[Pick- Up Date]]&lt;&gt;"",_xlfn.ISOWEEKNUM(PV_DATA[[#This Row],[Pick- Up Date]]),"")</f>
        <v>12</v>
      </c>
      <c r="AD374" s="439" t="s">
        <v>1840</v>
      </c>
      <c r="AE374" s="430"/>
      <c r="AF374" s="430" t="s">
        <v>77</v>
      </c>
      <c r="AG374" s="430" t="s">
        <v>61</v>
      </c>
      <c r="AH374" s="430" t="s">
        <v>356</v>
      </c>
      <c r="AI374" s="437">
        <v>46103</v>
      </c>
      <c r="AJ374" s="437">
        <v>46103</v>
      </c>
      <c r="AK374" s="441">
        <v>46103</v>
      </c>
      <c r="AL374" s="437">
        <v>46154</v>
      </c>
      <c r="AM374" s="437">
        <v>46161</v>
      </c>
      <c r="AN374" s="437">
        <v>46162</v>
      </c>
      <c r="AO374" s="430" t="s">
        <v>402</v>
      </c>
      <c r="AP374" s="430" t="s">
        <v>937</v>
      </c>
      <c r="AQ374" s="430" t="s">
        <v>80</v>
      </c>
      <c r="AR374" s="430" t="s">
        <v>1841</v>
      </c>
      <c r="AS374" s="430" t="s">
        <v>1842</v>
      </c>
      <c r="AT374" s="482" t="s">
        <v>1842</v>
      </c>
      <c r="AU3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7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7">
        <f>IF(ISERROR(PV_DATA[[#This Row],[New Ark PO status]]),"",_xlfn.XLOOKUP(PV_DATA[[#This Row],[SPTN-PVHK New Ark PO'#]],New_Ark_Data[Purchase order Number],New_Ark_Data[Estimated time of arrival],"",0))</f>
        <v>46176</v>
      </c>
      <c r="AZ37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74" s="437">
        <f>IFERROR(PV_DATA[[#This Row],[ODP ETA Port]]+PV_DATA[[#This Row],[Customs/Leg3 Assumption]],"n/a")</f>
        <v>46172</v>
      </c>
      <c r="BB374" s="433">
        <f>YEAR(PV_DATA[[#This Row],[ETA for New Ark update]])</f>
        <v>2026</v>
      </c>
      <c r="BC374" s="430">
        <f>MONTH(PV_DATA[[#This Row],[ETA for New Ark update]])</f>
        <v>5</v>
      </c>
      <c r="BD374" s="430">
        <f>IFERROR(_xlfn.ISOWEEKNUM(PV_DATA[[#This Row],[ETA for New Ark update]]),0)</f>
        <v>22</v>
      </c>
      <c r="BE374" s="431">
        <f>_xlfn.XLOOKUP(PV_DATA[[#This Row],[New Ark SKU]],Table9[New Ark SKU],Table9[Total PCS per Pallet],,0)</f>
        <v>36</v>
      </c>
      <c r="BF374" s="431">
        <f>_xlfn.XLOOKUP(PV_DATA[[#This Row],[New Ark SKU]],Table9[New Ark SKU],Table9[Total PCS per 40HQ Container],,0)</f>
        <v>936</v>
      </c>
      <c r="BG374" s="431" t="str">
        <f>_xlfn.XLOOKUP(PV_DATA[[#This Row],[New Ark SKU]],Table9[New Ark SKU],Table9[Back Glass],,0)</f>
        <v>Transparent</v>
      </c>
      <c r="BH374" s="431" t="str">
        <f>_xlfn.XLOOKUP(PV_DATA[[#This Row],[PORT DESTINATION]],Table12[PORT DESTINATION],Table12[Cosco Line],,0)</f>
        <v>AEU</v>
      </c>
      <c r="BJ374" s="430"/>
    </row>
    <row r="375" spans="1:62" ht="10.5">
      <c r="A375" s="462" t="s">
        <v>1843</v>
      </c>
      <c r="B375" s="462" t="s">
        <v>61</v>
      </c>
      <c r="C375" s="462" t="str">
        <f>IFERROR(LEFT(PV_DATA[[#This Row],[TCL REFERENCE]],FIND(".",PV_DATA[[#This Row],[TCL REFERENCE]],1)-1),"Main Line")</f>
        <v>26Feb022</v>
      </c>
      <c r="D375" s="462" t="s">
        <v>63</v>
      </c>
      <c r="E375" s="462" t="s">
        <v>64</v>
      </c>
      <c r="F375" s="462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2" t="s">
        <v>402</v>
      </c>
      <c r="H375" s="462" t="s">
        <v>67</v>
      </c>
      <c r="I375" s="439" t="s">
        <v>869</v>
      </c>
      <c r="J375" s="430" t="s">
        <v>96</v>
      </c>
      <c r="K375" s="430"/>
      <c r="L375" s="430"/>
      <c r="M375" s="430" t="s">
        <v>68</v>
      </c>
      <c r="N375" s="432">
        <v>46104</v>
      </c>
      <c r="O375" s="430" t="s">
        <v>70</v>
      </c>
      <c r="P375" s="430" t="s">
        <v>204</v>
      </c>
      <c r="Q375" s="430" t="s">
        <v>205</v>
      </c>
      <c r="R375" s="431" t="str">
        <f>_xlfn.XLOOKUP(PV_DATA[[#This Row],[New Ark SKU]],Table9[New Ark SKU],Table9[Connector],,0)</f>
        <v>EVO2A</v>
      </c>
      <c r="S375" s="442" t="str">
        <f>_xlfn.XLOOKUP(PV_DATA[[#This Row],[New Ark SKU]],Table9[New Ark SKU],Table9[Cable],,0)</f>
        <v>±1200mm</v>
      </c>
      <c r="T375" s="433">
        <v>455</v>
      </c>
      <c r="U375" s="1088">
        <f>936*2</f>
        <v>1872</v>
      </c>
      <c r="V375" s="434">
        <f>PV_DATA[[#This Row],[QUANTITY]]*PV_DATA[[#This Row],[WATT]]/1000000</f>
        <v>0.85175999999999996</v>
      </c>
      <c r="W375" s="435">
        <f>PV_DATA[[#This Row],[QUANTITY]]/PV_DATA[[#This Row],[Qty/Pallet]]</f>
        <v>52</v>
      </c>
      <c r="X375" s="1040">
        <f>PV_DATA[[#This Row],[QUANTITY]]/PV_DATA[[#This Row],[Qty/CT]]</f>
        <v>2</v>
      </c>
      <c r="Y375" s="430" t="s">
        <v>951</v>
      </c>
      <c r="Z375" s="430" t="str">
        <f t="shared" si="3"/>
        <v>COMPLETED</v>
      </c>
      <c r="AA375" s="430" t="s">
        <v>1839</v>
      </c>
      <c r="AB375" s="437">
        <v>46098</v>
      </c>
      <c r="AC375" s="438">
        <f>IF(PV_DATA[[#This Row],[Pick- Up Date]]&lt;&gt;"",_xlfn.ISOWEEKNUM(PV_DATA[[#This Row],[Pick- Up Date]]),"")</f>
        <v>12</v>
      </c>
      <c r="AD375" s="439" t="s">
        <v>1844</v>
      </c>
      <c r="AE375" s="430"/>
      <c r="AF375" s="430" t="s">
        <v>77</v>
      </c>
      <c r="AG375" s="430" t="s">
        <v>61</v>
      </c>
      <c r="AH375" s="430" t="s">
        <v>78</v>
      </c>
      <c r="AI375" s="437">
        <v>46103</v>
      </c>
      <c r="AJ375" s="437">
        <v>46103</v>
      </c>
      <c r="AK375" s="441">
        <v>46103</v>
      </c>
      <c r="AL375" s="437">
        <v>46161</v>
      </c>
      <c r="AM375" s="437">
        <v>46182</v>
      </c>
      <c r="AN375" s="437">
        <v>46183</v>
      </c>
      <c r="AO375" s="430" t="s">
        <v>402</v>
      </c>
      <c r="AP375" s="430" t="s">
        <v>937</v>
      </c>
      <c r="AQ375" s="430" t="s">
        <v>80</v>
      </c>
      <c r="AR375" s="430" t="s">
        <v>1845</v>
      </c>
      <c r="AS375" s="430" t="s">
        <v>1846</v>
      </c>
      <c r="AT375" s="482" t="s">
        <v>1846</v>
      </c>
      <c r="AU3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7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7">
        <f>IF(ISERROR(PV_DATA[[#This Row],[New Ark PO status]]),"",_xlfn.XLOOKUP(PV_DATA[[#This Row],[SPTN-PVHK New Ark PO'#]],New_Ark_Data[Purchase order Number],New_Ark_Data[Estimated time of arrival],"",0))</f>
        <v>46195</v>
      </c>
      <c r="AZ37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7">
        <f>IFERROR(PV_DATA[[#This Row],[ODP ETA Port]]+PV_DATA[[#This Row],[Customs/Leg3 Assumption]],"n/a")</f>
        <v>46191</v>
      </c>
      <c r="BB375" s="433">
        <f>YEAR(PV_DATA[[#This Row],[ETA for New Ark update]])</f>
        <v>2026</v>
      </c>
      <c r="BC375" s="430">
        <f>MONTH(PV_DATA[[#This Row],[ETA for New Ark update]])</f>
        <v>6</v>
      </c>
      <c r="BD375" s="430">
        <f>IFERROR(_xlfn.ISOWEEKNUM(PV_DATA[[#This Row],[ETA for New Ark update]]),0)</f>
        <v>25</v>
      </c>
      <c r="BE375" s="431">
        <f>_xlfn.XLOOKUP(PV_DATA[[#This Row],[New Ark SKU]],Table9[New Ark SKU],Table9[Total PCS per Pallet],,0)</f>
        <v>36</v>
      </c>
      <c r="BF375" s="431">
        <f>_xlfn.XLOOKUP(PV_DATA[[#This Row],[New Ark SKU]],Table9[New Ark SKU],Table9[Total PCS per 40HQ Container],,0)</f>
        <v>936</v>
      </c>
      <c r="BG375" s="431" t="str">
        <f>_xlfn.XLOOKUP(PV_DATA[[#This Row],[New Ark SKU]],Table9[New Ark SKU],Table9[Back Glass],,0)</f>
        <v>Transparent</v>
      </c>
      <c r="BH375" s="431" t="str">
        <f>_xlfn.XLOOKUP(PV_DATA[[#This Row],[PORT DESTINATION]],Table12[PORT DESTINATION],Table12[Cosco Line],,0)</f>
        <v>AEM</v>
      </c>
      <c r="BJ375" s="430"/>
    </row>
    <row r="376" spans="1:62" ht="10.5">
      <c r="A376" s="462" t="s">
        <v>1847</v>
      </c>
      <c r="B376" s="462" t="s">
        <v>61</v>
      </c>
      <c r="C376" s="462" t="str">
        <f>IFERROR(LEFT(PV_DATA[[#This Row],[TCL REFERENCE]],FIND(".",PV_DATA[[#This Row],[TCL REFERENCE]],1)-1),"Main Line")</f>
        <v>26Feb022</v>
      </c>
      <c r="D376" s="462" t="s">
        <v>63</v>
      </c>
      <c r="E376" s="462" t="s">
        <v>64</v>
      </c>
      <c r="F376" s="462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2" t="s">
        <v>402</v>
      </c>
      <c r="H376" s="462" t="s">
        <v>67</v>
      </c>
      <c r="I376" s="439" t="s">
        <v>869</v>
      </c>
      <c r="J376" s="430" t="s">
        <v>96</v>
      </c>
      <c r="K376" s="430"/>
      <c r="L376" s="430"/>
      <c r="M376" s="430" t="s">
        <v>68</v>
      </c>
      <c r="N376" s="432">
        <v>46104</v>
      </c>
      <c r="O376" s="430" t="s">
        <v>70</v>
      </c>
      <c r="P376" s="430" t="s">
        <v>204</v>
      </c>
      <c r="Q376" s="430" t="s">
        <v>205</v>
      </c>
      <c r="R376" s="431" t="str">
        <f>_xlfn.XLOOKUP(PV_DATA[[#This Row],[New Ark SKU]],Table9[New Ark SKU],Table9[Connector],,0)</f>
        <v>EVO2A</v>
      </c>
      <c r="S376" s="442" t="str">
        <f>_xlfn.XLOOKUP(PV_DATA[[#This Row],[New Ark SKU]],Table9[New Ark SKU],Table9[Cable],,0)</f>
        <v>±1200mm</v>
      </c>
      <c r="T376" s="433">
        <v>455</v>
      </c>
      <c r="U376" s="1088">
        <f>3744-936*2</f>
        <v>1872</v>
      </c>
      <c r="V376" s="434">
        <f>PV_DATA[[#This Row],[QUANTITY]]*PV_DATA[[#This Row],[WATT]]/1000000</f>
        <v>0.85175999999999996</v>
      </c>
      <c r="W376" s="435">
        <f>PV_DATA[[#This Row],[QUANTITY]]/PV_DATA[[#This Row],[Qty/Pallet]]</f>
        <v>52</v>
      </c>
      <c r="X376" s="1040">
        <f>PV_DATA[[#This Row],[QUANTITY]]/PV_DATA[[#This Row],[Qty/CT]]</f>
        <v>2</v>
      </c>
      <c r="Y376" s="430" t="s">
        <v>951</v>
      </c>
      <c r="Z376" s="430" t="str">
        <f t="shared" si="3"/>
        <v>COMPLETED</v>
      </c>
      <c r="AA376" s="430" t="s">
        <v>1839</v>
      </c>
      <c r="AB376" s="437">
        <v>46098</v>
      </c>
      <c r="AC376" s="438">
        <f>IF(PV_DATA[[#This Row],[Pick- Up Date]]&lt;&gt;"",_xlfn.ISOWEEKNUM(PV_DATA[[#This Row],[Pick- Up Date]]),"")</f>
        <v>12</v>
      </c>
      <c r="AD376" s="439" t="s">
        <v>1848</v>
      </c>
      <c r="AE376" s="430"/>
      <c r="AF376" s="430" t="s">
        <v>77</v>
      </c>
      <c r="AG376" s="430" t="s">
        <v>61</v>
      </c>
      <c r="AH376" s="430" t="s">
        <v>78</v>
      </c>
      <c r="AI376" s="437">
        <v>46103</v>
      </c>
      <c r="AJ376" s="437">
        <v>46103</v>
      </c>
      <c r="AK376" s="441">
        <v>46103</v>
      </c>
      <c r="AL376" s="437">
        <v>46161</v>
      </c>
      <c r="AM376" s="437">
        <v>46182</v>
      </c>
      <c r="AN376" s="437">
        <v>46183</v>
      </c>
      <c r="AO376" s="430" t="s">
        <v>402</v>
      </c>
      <c r="AP376" s="430" t="s">
        <v>937</v>
      </c>
      <c r="AQ376" s="430" t="s">
        <v>80</v>
      </c>
      <c r="AR376" s="430" t="s">
        <v>1845</v>
      </c>
      <c r="AS376" s="430" t="s">
        <v>1846</v>
      </c>
      <c r="AT376" s="482" t="s">
        <v>1846</v>
      </c>
      <c r="AU3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7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7">
        <f>IF(ISERROR(PV_DATA[[#This Row],[New Ark PO status]]),"",_xlfn.XLOOKUP(PV_DATA[[#This Row],[SPTN-PVHK New Ark PO'#]],New_Ark_Data[Purchase order Number],New_Ark_Data[Estimated time of arrival],"",0))</f>
        <v>46196</v>
      </c>
      <c r="AZ37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7">
        <f>IFERROR(PV_DATA[[#This Row],[ODP ETA Port]]+PV_DATA[[#This Row],[Customs/Leg3 Assumption]],"n/a")</f>
        <v>46191</v>
      </c>
      <c r="BB376" s="433">
        <f>YEAR(PV_DATA[[#This Row],[ETA for New Ark update]])</f>
        <v>2026</v>
      </c>
      <c r="BC376" s="430">
        <f>MONTH(PV_DATA[[#This Row],[ETA for New Ark update]])</f>
        <v>6</v>
      </c>
      <c r="BD376" s="430">
        <f>IFERROR(_xlfn.ISOWEEKNUM(PV_DATA[[#This Row],[ETA for New Ark update]]),0)</f>
        <v>25</v>
      </c>
      <c r="BE376" s="431">
        <f>_xlfn.XLOOKUP(PV_DATA[[#This Row],[New Ark SKU]],Table9[New Ark SKU],Table9[Total PCS per Pallet],,0)</f>
        <v>36</v>
      </c>
      <c r="BF376" s="431">
        <f>_xlfn.XLOOKUP(PV_DATA[[#This Row],[New Ark SKU]],Table9[New Ark SKU],Table9[Total PCS per 40HQ Container],,0)</f>
        <v>936</v>
      </c>
      <c r="BG376" s="431" t="str">
        <f>_xlfn.XLOOKUP(PV_DATA[[#This Row],[New Ark SKU]],Table9[New Ark SKU],Table9[Back Glass],,0)</f>
        <v>Transparent</v>
      </c>
      <c r="BH376" s="431" t="str">
        <f>_xlfn.XLOOKUP(PV_DATA[[#This Row],[PORT DESTINATION]],Table12[PORT DESTINATION],Table12[Cosco Line],,0)</f>
        <v>AEM</v>
      </c>
      <c r="BJ376" s="430"/>
    </row>
    <row r="377" spans="1:62" ht="10.5">
      <c r="A377" s="462" t="s">
        <v>1849</v>
      </c>
      <c r="B377" s="462" t="s">
        <v>61</v>
      </c>
      <c r="C377" s="462" t="str">
        <f>IFERROR(LEFT(PV_DATA[[#This Row],[TCL REFERENCE]],FIND(".",PV_DATA[[#This Row],[TCL REFERENCE]],1)-1),"Main Line")</f>
        <v>26Feb022</v>
      </c>
      <c r="D377" s="462" t="s">
        <v>63</v>
      </c>
      <c r="E377" s="462" t="s">
        <v>64</v>
      </c>
      <c r="F377" s="462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2" t="s">
        <v>402</v>
      </c>
      <c r="H377" s="462" t="s">
        <v>67</v>
      </c>
      <c r="I377" s="439" t="s">
        <v>869</v>
      </c>
      <c r="J377" s="430" t="s">
        <v>690</v>
      </c>
      <c r="K377" s="430"/>
      <c r="L377" s="430"/>
      <c r="M377" s="430" t="s">
        <v>68</v>
      </c>
      <c r="N377" s="432">
        <v>46104</v>
      </c>
      <c r="O377" s="430" t="s">
        <v>70</v>
      </c>
      <c r="P377" s="430" t="s">
        <v>204</v>
      </c>
      <c r="Q377" s="430" t="s">
        <v>205</v>
      </c>
      <c r="R377" s="431" t="str">
        <f>_xlfn.XLOOKUP(PV_DATA[[#This Row],[New Ark SKU]],Table9[New Ark SKU],Table9[Connector],,0)</f>
        <v>EVO2A</v>
      </c>
      <c r="S377" s="442" t="str">
        <f>_xlfn.XLOOKUP(PV_DATA[[#This Row],[New Ark SKU]],Table9[New Ark SKU],Table9[Cable],,0)</f>
        <v>±1200mm</v>
      </c>
      <c r="T377" s="433">
        <v>455</v>
      </c>
      <c r="U377" s="1088">
        <v>1872</v>
      </c>
      <c r="V377" s="434">
        <f>PV_DATA[[#This Row],[QUANTITY]]*PV_DATA[[#This Row],[WATT]]/1000000</f>
        <v>0.85175999999999996</v>
      </c>
      <c r="W377" s="435">
        <f>PV_DATA[[#This Row],[QUANTITY]]/PV_DATA[[#This Row],[Qty/Pallet]]</f>
        <v>52</v>
      </c>
      <c r="X377" s="1040">
        <f>PV_DATA[[#This Row],[QUANTITY]]/PV_DATA[[#This Row],[Qty/CT]]</f>
        <v>2</v>
      </c>
      <c r="Y377" s="430" t="s">
        <v>75</v>
      </c>
      <c r="Z377" s="430" t="str">
        <f t="shared" si="3"/>
        <v>COMPLETED</v>
      </c>
      <c r="AA377" s="430"/>
      <c r="AB377" s="437">
        <v>46098</v>
      </c>
      <c r="AC377" s="438">
        <f>IF(PV_DATA[[#This Row],[Pick- Up Date]]&lt;&gt;"",_xlfn.ISOWEEKNUM(PV_DATA[[#This Row],[Pick- Up Date]]),"")</f>
        <v>12</v>
      </c>
      <c r="AD377" s="439" t="s">
        <v>1850</v>
      </c>
      <c r="AE377" s="430"/>
      <c r="AF377" s="430" t="s">
        <v>77</v>
      </c>
      <c r="AG377" s="430" t="s">
        <v>61</v>
      </c>
      <c r="AH377" s="430" t="s">
        <v>78</v>
      </c>
      <c r="AI377" s="437">
        <v>46103</v>
      </c>
      <c r="AJ377" s="437">
        <v>46103</v>
      </c>
      <c r="AK377" s="441">
        <v>46103</v>
      </c>
      <c r="AL377" s="437">
        <v>46161</v>
      </c>
      <c r="AM377" s="437">
        <v>46166</v>
      </c>
      <c r="AN377" s="437">
        <v>46164</v>
      </c>
      <c r="AO377" s="430" t="s">
        <v>402</v>
      </c>
      <c r="AP377" s="430" t="s">
        <v>937</v>
      </c>
      <c r="AQ377" s="430" t="s">
        <v>80</v>
      </c>
      <c r="AR377" s="430" t="s">
        <v>1851</v>
      </c>
      <c r="AS377" s="430" t="s">
        <v>1852</v>
      </c>
      <c r="AT377" s="482" t="s">
        <v>1852</v>
      </c>
      <c r="AU3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7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7">
        <f>IF(ISERROR(PV_DATA[[#This Row],[New Ark PO status]]),"",_xlfn.XLOOKUP(PV_DATA[[#This Row],[SPTN-PVHK New Ark PO'#]],New_Ark_Data[Purchase order Number],New_Ark_Data[Estimated time of arrival],"",0))</f>
        <v>46178</v>
      </c>
      <c r="AZ37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7">
        <f>IFERROR(PV_DATA[[#This Row],[ODP ETA Port]]+PV_DATA[[#This Row],[Customs/Leg3 Assumption]],"n/a")</f>
        <v>46172</v>
      </c>
      <c r="BB377" s="433">
        <f>YEAR(PV_DATA[[#This Row],[ETA for New Ark update]])</f>
        <v>2026</v>
      </c>
      <c r="BC377" s="430">
        <f>MONTH(PV_DATA[[#This Row],[ETA for New Ark update]])</f>
        <v>5</v>
      </c>
      <c r="BD377" s="430">
        <f>IFERROR(_xlfn.ISOWEEKNUM(PV_DATA[[#This Row],[ETA for New Ark update]]),0)</f>
        <v>22</v>
      </c>
      <c r="BE377" s="431">
        <f>_xlfn.XLOOKUP(PV_DATA[[#This Row],[New Ark SKU]],Table9[New Ark SKU],Table9[Total PCS per Pallet],,0)</f>
        <v>36</v>
      </c>
      <c r="BF377" s="431">
        <f>_xlfn.XLOOKUP(PV_DATA[[#This Row],[New Ark SKU]],Table9[New Ark SKU],Table9[Total PCS per 40HQ Container],,0)</f>
        <v>936</v>
      </c>
      <c r="BG377" s="431" t="str">
        <f>_xlfn.XLOOKUP(PV_DATA[[#This Row],[New Ark SKU]],Table9[New Ark SKU],Table9[Back Glass],,0)</f>
        <v>Transparent</v>
      </c>
      <c r="BH377" s="431" t="str">
        <f>_xlfn.XLOOKUP(PV_DATA[[#This Row],[PORT DESTINATION]],Table12[PORT DESTINATION],Table12[Cosco Line],,0)</f>
        <v>AEM</v>
      </c>
      <c r="BJ377" s="430"/>
    </row>
    <row r="378" spans="1:62">
      <c r="A378" s="462" t="s">
        <v>1853</v>
      </c>
      <c r="B378" s="462" t="s">
        <v>1802</v>
      </c>
      <c r="C378" s="462" t="str">
        <f>IFERROR(LEFT(PV_DATA[[#This Row],[TCL REFERENCE]],FIND(".",PV_DATA[[#This Row],[TCL REFERENCE]],1)-1),"Main Line")</f>
        <v>26Feb034</v>
      </c>
      <c r="D378" s="462" t="s">
        <v>113</v>
      </c>
      <c r="E378" s="462" t="s">
        <v>144</v>
      </c>
      <c r="F378" s="462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2" t="s">
        <v>402</v>
      </c>
      <c r="H378" s="462" t="s">
        <v>1449</v>
      </c>
      <c r="I378" s="439" t="s">
        <v>822</v>
      </c>
      <c r="J378" s="430" t="s">
        <v>1854</v>
      </c>
      <c r="K378" s="430" t="s">
        <v>1805</v>
      </c>
      <c r="L378" s="430"/>
      <c r="M378" s="430" t="s">
        <v>840</v>
      </c>
      <c r="N378" s="432">
        <v>46097</v>
      </c>
      <c r="O378" s="430" t="s">
        <v>70</v>
      </c>
      <c r="P378" s="430" t="s">
        <v>1806</v>
      </c>
      <c r="Q378" s="430" t="s">
        <v>1807</v>
      </c>
      <c r="R378" s="431" t="str">
        <f>_xlfn.XLOOKUP(PV_DATA[[#This Row],[New Ark SKU]],Table9[New Ark SKU],Table9[Connector],,0)</f>
        <v>H4(Com)</v>
      </c>
      <c r="S378" s="442" t="str">
        <f>_xlfn.XLOOKUP(PV_DATA[[#This Row],[New Ark SKU]],Table9[New Ark SKU],Table9[Cable],,0)</f>
        <v>+400mm/-200mm</v>
      </c>
      <c r="T378" s="433">
        <v>720</v>
      </c>
      <c r="U378" s="1088">
        <f>594*3</f>
        <v>1782</v>
      </c>
      <c r="V378" s="434">
        <f>PV_DATA[[#This Row],[QUANTITY]]*PV_DATA[[#This Row],[WATT]]/1000000</f>
        <v>1.28304</v>
      </c>
      <c r="W378" s="435">
        <f>PV_DATA[[#This Row],[QUANTITY]]/PV_DATA[[#This Row],[Qty/Pallet]]</f>
        <v>54</v>
      </c>
      <c r="X378" s="1040">
        <f>PV_DATA[[#This Row],[QUANTITY]]/PV_DATA[[#This Row],[Qty/CT]]</f>
        <v>3</v>
      </c>
      <c r="Y378" s="430" t="s">
        <v>75</v>
      </c>
      <c r="Z378" s="430" t="str">
        <f t="shared" si="3"/>
        <v>COMPLETED</v>
      </c>
      <c r="AA378" s="430" t="s">
        <v>1809</v>
      </c>
      <c r="AB378" s="437">
        <v>46106</v>
      </c>
      <c r="AC378" s="438">
        <f>IF(PV_DATA[[#This Row],[Pick- Up Date]]&lt;&gt;"",_xlfn.ISOWEEKNUM(PV_DATA[[#This Row],[Pick- Up Date]]),"")</f>
        <v>13</v>
      </c>
      <c r="AD378" s="439" t="s">
        <v>1855</v>
      </c>
      <c r="AE378" s="430"/>
      <c r="AF378" s="460" t="s">
        <v>4419</v>
      </c>
      <c r="AG378" s="460" t="s">
        <v>123</v>
      </c>
      <c r="AH378" s="430" t="s">
        <v>105</v>
      </c>
      <c r="AI378" s="437">
        <v>46110</v>
      </c>
      <c r="AJ378" s="437">
        <v>46110</v>
      </c>
      <c r="AK378" s="441">
        <v>46110</v>
      </c>
      <c r="AL378" s="437">
        <v>46150</v>
      </c>
      <c r="AM378" s="437">
        <v>46169</v>
      </c>
      <c r="AN378" s="437">
        <v>46170</v>
      </c>
      <c r="AO378" s="430" t="s">
        <v>402</v>
      </c>
      <c r="AP378" s="430" t="s">
        <v>1720</v>
      </c>
      <c r="AQ378" s="430" t="s">
        <v>80</v>
      </c>
      <c r="AR378" s="430" t="s">
        <v>1856</v>
      </c>
      <c r="AS378" s="430" t="s">
        <v>1857</v>
      </c>
      <c r="AT378" s="482" t="s">
        <v>1857</v>
      </c>
      <c r="AU3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7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7">
        <f>IF(ISERROR(PV_DATA[[#This Row],[New Ark PO status]]),"",_xlfn.XLOOKUP(PV_DATA[[#This Row],[SPTN-PVHK New Ark PO'#]],New_Ark_Data[Purchase order Number],New_Ark_Data[Estimated time of arrival],"",0))</f>
        <v>46164</v>
      </c>
      <c r="AZ37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7">
        <f>IFERROR(PV_DATA[[#This Row],[ODP ETA Port]]+PV_DATA[[#This Row],[Customs/Leg3 Assumption]],"n/a")</f>
        <v>46170</v>
      </c>
      <c r="BB378" s="433">
        <f>YEAR(PV_DATA[[#This Row],[ETA for New Ark update]])</f>
        <v>2026</v>
      </c>
      <c r="BC378" s="430">
        <f>MONTH(PV_DATA[[#This Row],[ETA for New Ark update]])</f>
        <v>5</v>
      </c>
      <c r="BD378" s="430">
        <f>IFERROR(_xlfn.ISOWEEKNUM(PV_DATA[[#This Row],[ETA for New Ark update]]),0)</f>
        <v>22</v>
      </c>
      <c r="BE378" s="431">
        <f>_xlfn.XLOOKUP(PV_DATA[[#This Row],[New Ark SKU]],Table9[New Ark SKU],Table9[Total PCS per Pallet],,0)</f>
        <v>33</v>
      </c>
      <c r="BF378" s="431">
        <f>_xlfn.XLOOKUP(PV_DATA[[#This Row],[New Ark SKU]],Table9[New Ark SKU],Table9[Total PCS per 40HQ Container],,0)</f>
        <v>594</v>
      </c>
      <c r="BG378" s="431" t="str">
        <f>_xlfn.XLOOKUP(PV_DATA[[#This Row],[New Ark SKU]],Table9[New Ark SKU],Table9[Back Glass],,0)</f>
        <v>Transparent</v>
      </c>
      <c r="BH378" s="431" t="str">
        <f>_xlfn.XLOOKUP(PV_DATA[[#This Row],[PORT DESTINATION]],Table12[PORT DESTINATION],Table12[Cosco Line],,0)</f>
        <v>AEU</v>
      </c>
      <c r="BJ378" s="430"/>
    </row>
    <row r="379" spans="1:62" s="439" customFormat="1" ht="12.75" customHeight="1">
      <c r="A379" s="462" t="s">
        <v>1858</v>
      </c>
      <c r="B379" s="462" t="s">
        <v>1802</v>
      </c>
      <c r="C379" s="462" t="str">
        <f>IFERROR(LEFT(PV_DATA[[#This Row],[TCL REFERENCE]],FIND(".",PV_DATA[[#This Row],[TCL REFERENCE]],1)-1),"Main Line")</f>
        <v>26Feb034</v>
      </c>
      <c r="D379" s="462" t="s">
        <v>113</v>
      </c>
      <c r="E379" s="462" t="s">
        <v>144</v>
      </c>
      <c r="F379" s="462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2" t="s">
        <v>402</v>
      </c>
      <c r="H379" s="462" t="s">
        <v>1449</v>
      </c>
      <c r="I379" s="439" t="s">
        <v>822</v>
      </c>
      <c r="J379" s="430" t="s">
        <v>1854</v>
      </c>
      <c r="K379" s="430" t="s">
        <v>1805</v>
      </c>
      <c r="L379" s="430"/>
      <c r="M379" s="430" t="s">
        <v>840</v>
      </c>
      <c r="N379" s="432">
        <v>46097</v>
      </c>
      <c r="O379" s="430" t="s">
        <v>70</v>
      </c>
      <c r="P379" s="430" t="s">
        <v>1806</v>
      </c>
      <c r="Q379" s="430" t="s">
        <v>1807</v>
      </c>
      <c r="R379" s="431" t="str">
        <f>_xlfn.XLOOKUP(PV_DATA[[#This Row],[New Ark SKU]],Table9[New Ark SKU],Table9[Connector],,0)</f>
        <v>H4(Com)</v>
      </c>
      <c r="S379" s="442" t="str">
        <f>_xlfn.XLOOKUP(PV_DATA[[#This Row],[New Ark SKU]],Table9[New Ark SKU],Table9[Cable],,0)</f>
        <v>+400mm/-200mm</v>
      </c>
      <c r="T379" s="433">
        <v>720</v>
      </c>
      <c r="U379" s="1088">
        <f>594*2</f>
        <v>1188</v>
      </c>
      <c r="V379" s="434">
        <f>PV_DATA[[#This Row],[QUANTITY]]*PV_DATA[[#This Row],[WATT]]/1000000</f>
        <v>0.85536000000000001</v>
      </c>
      <c r="W379" s="435">
        <f>PV_DATA[[#This Row],[QUANTITY]]/PV_DATA[[#This Row],[Qty/Pallet]]</f>
        <v>36</v>
      </c>
      <c r="X379" s="1040">
        <f>PV_DATA[[#This Row],[QUANTITY]]/PV_DATA[[#This Row],[Qty/CT]]</f>
        <v>2</v>
      </c>
      <c r="Y379" s="430" t="s">
        <v>75</v>
      </c>
      <c r="Z379" s="430" t="str">
        <f t="shared" si="3"/>
        <v>COMPLETED</v>
      </c>
      <c r="AA379" s="430" t="s">
        <v>1809</v>
      </c>
      <c r="AB379" s="437">
        <v>46107</v>
      </c>
      <c r="AC379" s="438">
        <f>IF(PV_DATA[[#This Row],[Pick- Up Date]]&lt;&gt;"",_xlfn.ISOWEEKNUM(PV_DATA[[#This Row],[Pick- Up Date]]),"")</f>
        <v>13</v>
      </c>
      <c r="AD379" s="439" t="s">
        <v>1859</v>
      </c>
      <c r="AE379" s="430"/>
      <c r="AF379" s="460" t="s">
        <v>4419</v>
      </c>
      <c r="AG379" s="460" t="s">
        <v>123</v>
      </c>
      <c r="AH379" s="430" t="s">
        <v>105</v>
      </c>
      <c r="AI379" s="437">
        <v>46110</v>
      </c>
      <c r="AJ379" s="437">
        <v>46112</v>
      </c>
      <c r="AK379" s="441">
        <v>46112</v>
      </c>
      <c r="AL379" s="437">
        <v>46147</v>
      </c>
      <c r="AM379" s="437">
        <v>46154</v>
      </c>
      <c r="AN379" s="437">
        <v>46157</v>
      </c>
      <c r="AO379" s="430" t="s">
        <v>402</v>
      </c>
      <c r="AP379" s="430" t="s">
        <v>937</v>
      </c>
      <c r="AQ379" s="430" t="s">
        <v>80</v>
      </c>
      <c r="AR379" s="430" t="s">
        <v>1860</v>
      </c>
      <c r="AS379" s="430" t="s">
        <v>1861</v>
      </c>
      <c r="AT379" s="482" t="s">
        <v>1861</v>
      </c>
      <c r="AU3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0"/>
      <c r="AW379" s="437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7">
        <f>IF(ISERROR(PV_DATA[[#This Row],[New Ark PO status]]),"",_xlfn.XLOOKUP(PV_DATA[[#This Row],[SPTN-PVHK New Ark PO'#]],New_Ark_Data[Purchase order Number],New_Ark_Data[Estimated time of arrival],"",0))</f>
        <v>46161</v>
      </c>
      <c r="AZ37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7">
        <f>IFERROR(PV_DATA[[#This Row],[ODP ETA Port]]+PV_DATA[[#This Row],[Customs/Leg3 Assumption]],"n/a")</f>
        <v>46157</v>
      </c>
      <c r="BB379" s="433">
        <f>YEAR(PV_DATA[[#This Row],[ETA for New Ark update]])</f>
        <v>2026</v>
      </c>
      <c r="BC379" s="430">
        <f>MONTH(PV_DATA[[#This Row],[ETA for New Ark update]])</f>
        <v>5</v>
      </c>
      <c r="BD379" s="430">
        <f>IFERROR(_xlfn.ISOWEEKNUM(PV_DATA[[#This Row],[ETA for New Ark update]]),0)</f>
        <v>20</v>
      </c>
      <c r="BE379" s="431">
        <f>_xlfn.XLOOKUP(PV_DATA[[#This Row],[New Ark SKU]],Table9[New Ark SKU],Table9[Total PCS per Pallet],,0)</f>
        <v>33</v>
      </c>
      <c r="BF379" s="431">
        <f>_xlfn.XLOOKUP(PV_DATA[[#This Row],[New Ark SKU]],Table9[New Ark SKU],Table9[Total PCS per 40HQ Container],,0)</f>
        <v>594</v>
      </c>
      <c r="BG379" s="431" t="str">
        <f>_xlfn.XLOOKUP(PV_DATA[[#This Row],[New Ark SKU]],Table9[New Ark SKU],Table9[Back Glass],,0)</f>
        <v>Transparent</v>
      </c>
      <c r="BH379" s="431" t="str">
        <f>_xlfn.XLOOKUP(PV_DATA[[#This Row],[PORT DESTINATION]],Table12[PORT DESTINATION],Table12[Cosco Line],,0)</f>
        <v>AEU</v>
      </c>
    </row>
    <row r="380" spans="1:62" s="431" customFormat="1" ht="12.75" customHeight="1">
      <c r="A380" s="462" t="s">
        <v>1862</v>
      </c>
      <c r="B380" s="462" t="s">
        <v>111</v>
      </c>
      <c r="C380" s="462" t="str">
        <f>IFERROR(LEFT(PV_DATA[[#This Row],[TCL REFERENCE]],FIND(".",PV_DATA[[#This Row],[TCL REFERENCE]],1)-1),"Main Line")</f>
        <v>26Feb009</v>
      </c>
      <c r="D380" s="462" t="s">
        <v>63</v>
      </c>
      <c r="E380" s="462" t="s">
        <v>64</v>
      </c>
      <c r="F380" s="462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2" t="s">
        <v>402</v>
      </c>
      <c r="H380" s="462" t="s">
        <v>67</v>
      </c>
      <c r="I380" s="439" t="s">
        <v>689</v>
      </c>
      <c r="J380" s="430" t="s">
        <v>293</v>
      </c>
      <c r="K380" s="430"/>
      <c r="L380" s="430"/>
      <c r="M380" s="430" t="s">
        <v>68</v>
      </c>
      <c r="N380" s="432" t="s">
        <v>68</v>
      </c>
      <c r="O380" s="430" t="s">
        <v>132</v>
      </c>
      <c r="P380" s="430" t="s">
        <v>189</v>
      </c>
      <c r="Q380" s="430" t="s">
        <v>190</v>
      </c>
      <c r="R380" s="431" t="str">
        <f>_xlfn.XLOOKUP(PV_DATA[[#This Row],[New Ark SKU]],Table9[New Ark SKU],Table9[Connector],,0)</f>
        <v>EVO2A</v>
      </c>
      <c r="S380" s="442" t="str">
        <f>_xlfn.XLOOKUP(PV_DATA[[#This Row],[New Ark SKU]],Table9[New Ark SKU],Table9[Cable],,0)</f>
        <v>±1200mm</v>
      </c>
      <c r="T380" s="433">
        <v>465</v>
      </c>
      <c r="U380" s="1088">
        <v>864</v>
      </c>
      <c r="V380" s="434">
        <f>PV_DATA[[#This Row],[QUANTITY]]*PV_DATA[[#This Row],[WATT]]/1000000</f>
        <v>0.40176000000000001</v>
      </c>
      <c r="W380" s="435">
        <f>PV_DATA[[#This Row],[QUANTITY]]/PV_DATA[[#This Row],[Qty/Pallet]]</f>
        <v>24</v>
      </c>
      <c r="X380" s="1040">
        <f>PV_DATA[[#This Row],[QUANTITY]]/PV_DATA[[#This Row],[Qty/CT]]</f>
        <v>1</v>
      </c>
      <c r="Y380" s="430" t="s">
        <v>75</v>
      </c>
      <c r="Z380" s="430" t="str">
        <f t="shared" si="3"/>
        <v>COMPLETED</v>
      </c>
      <c r="AA380" s="430"/>
      <c r="AB380" s="437">
        <v>46103</v>
      </c>
      <c r="AC380" s="438">
        <f>IF(PV_DATA[[#This Row],[Pick- Up Date]]&lt;&gt;"",_xlfn.ISOWEEKNUM(PV_DATA[[#This Row],[Pick- Up Date]]),"")</f>
        <v>12</v>
      </c>
      <c r="AD380" s="439" t="s">
        <v>1863</v>
      </c>
      <c r="AE380" s="430"/>
      <c r="AF380" s="430" t="s">
        <v>1643</v>
      </c>
      <c r="AG380" s="430" t="s">
        <v>123</v>
      </c>
      <c r="AH380" s="430" t="s">
        <v>105</v>
      </c>
      <c r="AI380" s="437">
        <v>46110</v>
      </c>
      <c r="AJ380" s="437">
        <v>46112</v>
      </c>
      <c r="AK380" s="441">
        <v>46112</v>
      </c>
      <c r="AL380" s="437">
        <v>46147</v>
      </c>
      <c r="AM380" s="437">
        <v>46154</v>
      </c>
      <c r="AN380" s="437">
        <v>46157</v>
      </c>
      <c r="AO380" s="430" t="s">
        <v>402</v>
      </c>
      <c r="AP380" s="430" t="s">
        <v>937</v>
      </c>
      <c r="AQ380" s="430" t="s">
        <v>80</v>
      </c>
      <c r="AR380" s="430" t="s">
        <v>1864</v>
      </c>
      <c r="AS380" s="430" t="s">
        <v>1865</v>
      </c>
      <c r="AT380" s="482" t="s">
        <v>1866</v>
      </c>
      <c r="AU3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0"/>
      <c r="AW380" s="437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7">
        <f>IF(ISERROR(PV_DATA[[#This Row],[New Ark PO status]]),"",_xlfn.XLOOKUP(PV_DATA[[#This Row],[SPTN-PVHK New Ark PO'#]],New_Ark_Data[Purchase order Number],New_Ark_Data[Estimated time of arrival],"",0))</f>
        <v>46167</v>
      </c>
      <c r="AZ38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7">
        <f>IFERROR(PV_DATA[[#This Row],[ODP ETA Port]]+PV_DATA[[#This Row],[Customs/Leg3 Assumption]],"n/a")</f>
        <v>46164</v>
      </c>
      <c r="BB380" s="433">
        <f>YEAR(PV_DATA[[#This Row],[ETA for New Ark update]])</f>
        <v>2026</v>
      </c>
      <c r="BC380" s="430">
        <f>MONTH(PV_DATA[[#This Row],[ETA for New Ark update]])</f>
        <v>5</v>
      </c>
      <c r="BD380" s="430">
        <f>IFERROR(_xlfn.ISOWEEKNUM(PV_DATA[[#This Row],[ETA for New Ark update]]),0)</f>
        <v>21</v>
      </c>
      <c r="BE380" s="431">
        <f>_xlfn.XLOOKUP(PV_DATA[[#This Row],[New Ark SKU]],Table9[New Ark SKU],Table9[Total PCS per Pallet],,0)</f>
        <v>36</v>
      </c>
      <c r="BF380" s="431">
        <f>_xlfn.XLOOKUP(PV_DATA[[#This Row],[New Ark SKU]],Table9[New Ark SKU],Table9[Total PCS per 40HQ Container],,0)</f>
        <v>864</v>
      </c>
      <c r="BG380" s="431" t="str">
        <f>_xlfn.XLOOKUP(PV_DATA[[#This Row],[New Ark SKU]],Table9[New Ark SKU],Table9[Back Glass],,0)</f>
        <v>White glazing</v>
      </c>
      <c r="BH380" s="431" t="str">
        <f>_xlfn.XLOOKUP(PV_DATA[[#This Row],[PORT DESTINATION]],Table12[PORT DESTINATION],Table12[Cosco Line],,0)</f>
        <v>AEU</v>
      </c>
    </row>
    <row r="381" spans="1:62" ht="10.5">
      <c r="A381" s="462" t="s">
        <v>1867</v>
      </c>
      <c r="B381" s="462" t="s">
        <v>111</v>
      </c>
      <c r="C381" s="462" t="str">
        <f>IFERROR(LEFT(PV_DATA[[#This Row],[TCL REFERENCE]],FIND(".",PV_DATA[[#This Row],[TCL REFERENCE]],1)-1),"Main Line")</f>
        <v>26Feb009</v>
      </c>
      <c r="D381" s="712" t="s">
        <v>63</v>
      </c>
      <c r="E381" s="439" t="s">
        <v>144</v>
      </c>
      <c r="F381" s="462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39" t="s">
        <v>402</v>
      </c>
      <c r="H381" s="714" t="s">
        <v>1449</v>
      </c>
      <c r="I381" s="462" t="s">
        <v>689</v>
      </c>
      <c r="J381" s="430" t="s">
        <v>1450</v>
      </c>
      <c r="K381" s="437" t="s">
        <v>1451</v>
      </c>
      <c r="L381" s="450">
        <v>5</v>
      </c>
      <c r="M381" s="430" t="s">
        <v>840</v>
      </c>
      <c r="N381" s="437">
        <v>46069</v>
      </c>
      <c r="O381" s="430" t="s">
        <v>132</v>
      </c>
      <c r="P381" s="430" t="s">
        <v>189</v>
      </c>
      <c r="Q381" s="437" t="s">
        <v>190</v>
      </c>
      <c r="R381" s="431" t="str">
        <f>_xlfn.XLOOKUP(PV_DATA[[#This Row],[New Ark SKU]],Table9[New Ark SKU],Table9[Connector],,0)</f>
        <v>EVO2A</v>
      </c>
      <c r="S381" s="442" t="str">
        <f>_xlfn.XLOOKUP(PV_DATA[[#This Row],[New Ark SKU]],Table9[New Ark SKU],Table9[Cable],,0)</f>
        <v>±1200mm</v>
      </c>
      <c r="T381" s="433">
        <v>465</v>
      </c>
      <c r="U381" s="1090">
        <f>864*4</f>
        <v>3456</v>
      </c>
      <c r="V381" s="458">
        <f>PV_DATA[[#This Row],[QUANTITY]]*PV_DATA[[#This Row],[WATT]]/1000000</f>
        <v>1.60704</v>
      </c>
      <c r="W381" s="430">
        <f>PV_DATA[[#This Row],[QUANTITY]]/PV_DATA[[#This Row],[Qty/Pallet]]</f>
        <v>96</v>
      </c>
      <c r="X381" s="1084">
        <f>PV_DATA[[#This Row],[QUANTITY]]/PV_DATA[[#This Row],[Qty/CT]]</f>
        <v>4</v>
      </c>
      <c r="Y381" s="430" t="s">
        <v>75</v>
      </c>
      <c r="Z381" s="430" t="str">
        <f t="shared" si="3"/>
        <v>COMPLETED</v>
      </c>
      <c r="AA381" s="430" t="s">
        <v>1868</v>
      </c>
      <c r="AB381" s="437">
        <v>46103</v>
      </c>
      <c r="AC381" s="430">
        <f>IF(PV_DATA[[#This Row],[Pick- Up Date]]&lt;&gt;"",_xlfn.ISOWEEKNUM(PV_DATA[[#This Row],[Pick- Up Date]]),"")</f>
        <v>12</v>
      </c>
      <c r="AD381" s="430" t="s">
        <v>1869</v>
      </c>
      <c r="AE381" s="430"/>
      <c r="AF381" s="430" t="s">
        <v>1643</v>
      </c>
      <c r="AG381" s="430" t="s">
        <v>123</v>
      </c>
      <c r="AH381" s="430" t="s">
        <v>105</v>
      </c>
      <c r="AI381" s="437">
        <v>46110</v>
      </c>
      <c r="AJ381" s="437">
        <v>46112</v>
      </c>
      <c r="AK381" s="437">
        <v>46112</v>
      </c>
      <c r="AL381" s="437">
        <v>46147</v>
      </c>
      <c r="AM381" s="437">
        <v>46154</v>
      </c>
      <c r="AN381" s="437">
        <v>46157</v>
      </c>
      <c r="AO381" s="430" t="s">
        <v>402</v>
      </c>
      <c r="AP381" s="430" t="s">
        <v>937</v>
      </c>
      <c r="AQ381" s="430" t="s">
        <v>80</v>
      </c>
      <c r="AR381" s="431" t="s">
        <v>1870</v>
      </c>
      <c r="AS381" s="431" t="s">
        <v>1866</v>
      </c>
      <c r="AT381" s="482" t="s">
        <v>1866</v>
      </c>
      <c r="AU3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1"/>
      <c r="AW381" s="437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7">
        <f>IF(ISERROR(PV_DATA[[#This Row],[New Ark PO status]]),"",_xlfn.XLOOKUP(PV_DATA[[#This Row],[SPTN-PVHK New Ark PO'#]],New_Ark_Data[Purchase order Number],New_Ark_Data[Estimated time of arrival],"",0))</f>
        <v>46139</v>
      </c>
      <c r="AZ38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7">
        <f>IFERROR(PV_DATA[[#This Row],[ODP ETA Port]]+PV_DATA[[#This Row],[Customs/Leg3 Assumption]],"n/a")</f>
        <v>46157</v>
      </c>
      <c r="BB381" s="433">
        <f>YEAR(PV_DATA[[#This Row],[ETA for New Ark update]])</f>
        <v>2026</v>
      </c>
      <c r="BC381" s="430">
        <f>MONTH(PV_DATA[[#This Row],[ETA for New Ark update]])</f>
        <v>5</v>
      </c>
      <c r="BD381" s="430">
        <f>IFERROR(_xlfn.ISOWEEKNUM(PV_DATA[[#This Row],[ETA for New Ark update]]),0)</f>
        <v>20</v>
      </c>
      <c r="BE381" s="431">
        <f>_xlfn.XLOOKUP(PV_DATA[[#This Row],[New Ark SKU]],Table9[New Ark SKU],Table9[Total PCS per Pallet],,0)</f>
        <v>36</v>
      </c>
      <c r="BF381" s="431">
        <f>_xlfn.XLOOKUP(PV_DATA[[#This Row],[New Ark SKU]],Table9[New Ark SKU],Table9[Total PCS per 40HQ Container],,0)</f>
        <v>864</v>
      </c>
      <c r="BG381" s="431" t="str">
        <f>_xlfn.XLOOKUP(PV_DATA[[#This Row],[New Ark SKU]],Table9[New Ark SKU],Table9[Back Glass],,0)</f>
        <v>White glazing</v>
      </c>
      <c r="BH381" s="431" t="str">
        <f>_xlfn.XLOOKUP(PV_DATA[[#This Row],[PORT DESTINATION]],Table12[PORT DESTINATION],Table12[Cosco Line],,0)</f>
        <v>AEU</v>
      </c>
      <c r="BJ381" s="430"/>
    </row>
    <row r="382" spans="1:62" ht="10.5">
      <c r="A382" s="439" t="s">
        <v>1871</v>
      </c>
      <c r="B382" s="446" t="s">
        <v>111</v>
      </c>
      <c r="C382" s="446" t="str">
        <f>IFERROR(LEFT(PV_DATA[[#This Row],[TCL REFERENCE]],FIND(".",PV_DATA[[#This Row],[TCL REFERENCE]],1)-1),"Main Line")</f>
        <v>26Feb009</v>
      </c>
      <c r="D382" s="446" t="s">
        <v>63</v>
      </c>
      <c r="E382" s="439" t="s">
        <v>144</v>
      </c>
      <c r="F382" s="462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39" t="s">
        <v>402</v>
      </c>
      <c r="H382" s="715" t="s">
        <v>1449</v>
      </c>
      <c r="I382" s="439" t="s">
        <v>689</v>
      </c>
      <c r="J382" s="431" t="s">
        <v>1450</v>
      </c>
      <c r="K382" s="437" t="s">
        <v>1451</v>
      </c>
      <c r="L382" s="450">
        <v>10</v>
      </c>
      <c r="M382" s="430" t="s">
        <v>840</v>
      </c>
      <c r="N382" s="437">
        <v>46069</v>
      </c>
      <c r="O382" s="430" t="s">
        <v>132</v>
      </c>
      <c r="P382" s="431" t="s">
        <v>189</v>
      </c>
      <c r="Q382" s="431" t="s">
        <v>190</v>
      </c>
      <c r="R382" s="431" t="str">
        <f>_xlfn.XLOOKUP(PV_DATA[[#This Row],[New Ark SKU]],Table9[New Ark SKU],Table9[Connector],,0)</f>
        <v>EVO2A</v>
      </c>
      <c r="S382" s="442" t="str">
        <f>_xlfn.XLOOKUP(PV_DATA[[#This Row],[New Ark SKU]],Table9[New Ark SKU],Table9[Cable],,0)</f>
        <v>±1200mm</v>
      </c>
      <c r="T382" s="433">
        <v>465</v>
      </c>
      <c r="U382" s="1090">
        <f>864*1</f>
        <v>864</v>
      </c>
      <c r="V382" s="458">
        <f>PV_DATA[[#This Row],[QUANTITY]]*PV_DATA[[#This Row],[WATT]]/1000000</f>
        <v>0.40176000000000001</v>
      </c>
      <c r="W382" s="430">
        <f>PV_DATA[[#This Row],[QUANTITY]]/PV_DATA[[#This Row],[Qty/Pallet]]</f>
        <v>24</v>
      </c>
      <c r="X382" s="1048">
        <f>PV_DATA[[#This Row],[QUANTITY]]/PV_DATA[[#This Row],[Qty/CT]]</f>
        <v>1</v>
      </c>
      <c r="Y382" s="430" t="s">
        <v>75</v>
      </c>
      <c r="Z382" s="430" t="str">
        <f t="shared" si="3"/>
        <v>COMPLETED</v>
      </c>
      <c r="AA382" s="441"/>
      <c r="AB382" s="441">
        <v>46103</v>
      </c>
      <c r="AC382" s="431">
        <f>IF(PV_DATA[[#This Row],[Pick- Up Date]]&lt;&gt;"",_xlfn.ISOWEEKNUM(PV_DATA[[#This Row],[Pick- Up Date]]),"")</f>
        <v>12</v>
      </c>
      <c r="AD382" s="441" t="s">
        <v>1872</v>
      </c>
      <c r="AE382" s="441"/>
      <c r="AF382" s="441" t="s">
        <v>1643</v>
      </c>
      <c r="AG382" s="441" t="s">
        <v>123</v>
      </c>
      <c r="AH382" s="430" t="s">
        <v>105</v>
      </c>
      <c r="AI382" s="437">
        <v>46110</v>
      </c>
      <c r="AJ382" s="441">
        <v>46112</v>
      </c>
      <c r="AK382" s="441">
        <v>46112</v>
      </c>
      <c r="AL382" s="437">
        <v>46147</v>
      </c>
      <c r="AM382" s="437">
        <v>46154</v>
      </c>
      <c r="AN382" s="437">
        <v>46157</v>
      </c>
      <c r="AO382" s="431" t="s">
        <v>402</v>
      </c>
      <c r="AP382" s="431" t="s">
        <v>937</v>
      </c>
      <c r="AQ382" s="441" t="s">
        <v>80</v>
      </c>
      <c r="AR382" s="441" t="s">
        <v>1870</v>
      </c>
      <c r="AS382" s="431" t="s">
        <v>1866</v>
      </c>
      <c r="AT382" s="482" t="s">
        <v>1866</v>
      </c>
      <c r="AU3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1"/>
      <c r="AW382" s="441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1">
        <f>IF(ISERROR(PV_DATA[[#This Row],[New Ark PO status]]),"",_xlfn.XLOOKUP(PV_DATA[[#This Row],[SPTN-PVHK New Ark PO'#]],New_Ark_Data[Purchase order Number],New_Ark_Data[Estimated time of arrival],"",0))</f>
        <v>46167</v>
      </c>
      <c r="AZ3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7">
        <f>IFERROR(PV_DATA[[#This Row],[ODP ETA Port]]+PV_DATA[[#This Row],[Customs/Leg3 Assumption]],"n/a")</f>
        <v>46157</v>
      </c>
      <c r="BB382" s="442">
        <f>YEAR(PV_DATA[[#This Row],[ETA for New Ark update]])</f>
        <v>2026</v>
      </c>
      <c r="BC382" s="431">
        <f>MONTH(PV_DATA[[#This Row],[ETA for New Ark update]])</f>
        <v>5</v>
      </c>
      <c r="BD382" s="431">
        <f>IFERROR(_xlfn.ISOWEEKNUM(PV_DATA[[#This Row],[ETA for New Ark update]]),0)</f>
        <v>20</v>
      </c>
      <c r="BE382" s="431">
        <f>_xlfn.XLOOKUP(PV_DATA[[#This Row],[New Ark SKU]],Table9[New Ark SKU],Table9[Total PCS per Pallet],,0)</f>
        <v>36</v>
      </c>
      <c r="BF382" s="431">
        <f>_xlfn.XLOOKUP(PV_DATA[[#This Row],[New Ark SKU]],Table9[New Ark SKU],Table9[Total PCS per 40HQ Container],,0)</f>
        <v>864</v>
      </c>
      <c r="BG382" s="431" t="str">
        <f>_xlfn.XLOOKUP(PV_DATA[[#This Row],[New Ark SKU]],Table9[New Ark SKU],Table9[Back Glass],,0)</f>
        <v>White glazing</v>
      </c>
      <c r="BH382" s="431" t="str">
        <f>_xlfn.XLOOKUP(PV_DATA[[#This Row],[PORT DESTINATION]],Table12[PORT DESTINATION],Table12[Cosco Line],,0)</f>
        <v>AEU</v>
      </c>
      <c r="BJ382" s="430"/>
    </row>
    <row r="383" spans="1:62" ht="10.5">
      <c r="A383" s="462" t="s">
        <v>1873</v>
      </c>
      <c r="B383" s="462" t="s">
        <v>111</v>
      </c>
      <c r="C383" s="462" t="str">
        <f>IFERROR(LEFT(PV_DATA[[#This Row],[TCL REFERENCE]],FIND(".",PV_DATA[[#This Row],[TCL REFERENCE]],1)-1),"Main Line")</f>
        <v>26Feb009</v>
      </c>
      <c r="D383" s="462" t="s">
        <v>63</v>
      </c>
      <c r="E383" s="462" t="s">
        <v>64</v>
      </c>
      <c r="F383" s="462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2" t="s">
        <v>402</v>
      </c>
      <c r="H383" s="462" t="s">
        <v>67</v>
      </c>
      <c r="I383" s="439" t="s">
        <v>689</v>
      </c>
      <c r="J383" s="430" t="s">
        <v>101</v>
      </c>
      <c r="K383" s="430"/>
      <c r="L383" s="430"/>
      <c r="M383" s="430" t="s">
        <v>68</v>
      </c>
      <c r="N383" s="432">
        <v>46069</v>
      </c>
      <c r="O383" s="430" t="s">
        <v>132</v>
      </c>
      <c r="P383" s="430" t="s">
        <v>189</v>
      </c>
      <c r="Q383" s="430" t="s">
        <v>190</v>
      </c>
      <c r="R383" s="431" t="str">
        <f>_xlfn.XLOOKUP(PV_DATA[[#This Row],[New Ark SKU]],Table9[New Ark SKU],Table9[Connector],,0)</f>
        <v>EVO2A</v>
      </c>
      <c r="S383" s="442" t="str">
        <f>_xlfn.XLOOKUP(PV_DATA[[#This Row],[New Ark SKU]],Table9[New Ark SKU],Table9[Cable],,0)</f>
        <v>±1200mm</v>
      </c>
      <c r="T383" s="433">
        <v>465</v>
      </c>
      <c r="U383" s="1088">
        <f>864*3</f>
        <v>2592</v>
      </c>
      <c r="V383" s="434">
        <f>PV_DATA[[#This Row],[QUANTITY]]*PV_DATA[[#This Row],[WATT]]/1000000</f>
        <v>1.2052799999999999</v>
      </c>
      <c r="W383" s="435">
        <f>PV_DATA[[#This Row],[QUANTITY]]/PV_DATA[[#This Row],[Qty/Pallet]]</f>
        <v>72</v>
      </c>
      <c r="X383" s="1040">
        <f>PV_DATA[[#This Row],[QUANTITY]]/PV_DATA[[#This Row],[Qty/CT]]</f>
        <v>3</v>
      </c>
      <c r="Y383" s="430" t="s">
        <v>75</v>
      </c>
      <c r="Z383" s="430" t="str">
        <f t="shared" si="3"/>
        <v>COMPLETED</v>
      </c>
      <c r="AA383" s="430"/>
      <c r="AB383" s="437">
        <v>46103</v>
      </c>
      <c r="AC383" s="438">
        <f>IF(PV_DATA[[#This Row],[Pick- Up Date]]&lt;&gt;"",_xlfn.ISOWEEKNUM(PV_DATA[[#This Row],[Pick- Up Date]]),"")</f>
        <v>12</v>
      </c>
      <c r="AD383" s="462" t="s">
        <v>1874</v>
      </c>
      <c r="AE383" s="430"/>
      <c r="AF383" s="430" t="s">
        <v>1643</v>
      </c>
      <c r="AG383" s="430" t="s">
        <v>123</v>
      </c>
      <c r="AH383" s="430" t="s">
        <v>105</v>
      </c>
      <c r="AI383" s="437">
        <v>46110</v>
      </c>
      <c r="AJ383" s="437">
        <v>46112</v>
      </c>
      <c r="AK383" s="441">
        <v>46112</v>
      </c>
      <c r="AL383" s="437">
        <v>46147</v>
      </c>
      <c r="AM383" s="437">
        <v>46154</v>
      </c>
      <c r="AN383" s="437">
        <v>46157</v>
      </c>
      <c r="AO383" s="430" t="s">
        <v>402</v>
      </c>
      <c r="AP383" s="430" t="s">
        <v>937</v>
      </c>
      <c r="AQ383" s="430" t="s">
        <v>80</v>
      </c>
      <c r="AR383" s="430" t="s">
        <v>1864</v>
      </c>
      <c r="AS383" s="430" t="s">
        <v>1865</v>
      </c>
      <c r="AT383" s="482" t="s">
        <v>1866</v>
      </c>
      <c r="AU3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7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7">
        <f>IF(ISERROR(PV_DATA[[#This Row],[New Ark PO status]]),"",_xlfn.XLOOKUP(PV_DATA[[#This Row],[SPTN-PVHK New Ark PO'#]],New_Ark_Data[Purchase order Number],New_Ark_Data[Estimated time of arrival],"",0))</f>
        <v>46173</v>
      </c>
      <c r="AZ38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7">
        <f>IFERROR(PV_DATA[[#This Row],[ODP ETA Port]]+PV_DATA[[#This Row],[Customs/Leg3 Assumption]],"n/a")</f>
        <v>46164</v>
      </c>
      <c r="BB383" s="433">
        <f>YEAR(PV_DATA[[#This Row],[ETA for New Ark update]])</f>
        <v>2026</v>
      </c>
      <c r="BC383" s="430">
        <f>MONTH(PV_DATA[[#This Row],[ETA for New Ark update]])</f>
        <v>5</v>
      </c>
      <c r="BD383" s="430">
        <f>IFERROR(_xlfn.ISOWEEKNUM(PV_DATA[[#This Row],[ETA for New Ark update]]),0)</f>
        <v>21</v>
      </c>
      <c r="BE383" s="431">
        <f>_xlfn.XLOOKUP(PV_DATA[[#This Row],[New Ark SKU]],Table9[New Ark SKU],Table9[Total PCS per Pallet],,0)</f>
        <v>36</v>
      </c>
      <c r="BF383" s="431">
        <f>_xlfn.XLOOKUP(PV_DATA[[#This Row],[New Ark SKU]],Table9[New Ark SKU],Table9[Total PCS per 40HQ Container],,0)</f>
        <v>864</v>
      </c>
      <c r="BG383" s="431" t="str">
        <f>_xlfn.XLOOKUP(PV_DATA[[#This Row],[New Ark SKU]],Table9[New Ark SKU],Table9[Back Glass],,0)</f>
        <v>White glazing</v>
      </c>
      <c r="BH383" s="431" t="str">
        <f>_xlfn.XLOOKUP(PV_DATA[[#This Row],[PORT DESTINATION]],Table12[PORT DESTINATION],Table12[Cosco Line],,0)</f>
        <v>AEU</v>
      </c>
      <c r="BJ383" s="430"/>
    </row>
    <row r="384" spans="1:62" ht="10.5">
      <c r="A384" s="462" t="s">
        <v>1875</v>
      </c>
      <c r="B384" s="462" t="s">
        <v>111</v>
      </c>
      <c r="C384" s="462" t="s">
        <v>1876</v>
      </c>
      <c r="D384" s="462" t="s">
        <v>63</v>
      </c>
      <c r="E384" s="462" t="s">
        <v>64</v>
      </c>
      <c r="F384" s="462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2" t="s">
        <v>402</v>
      </c>
      <c r="H384" s="462" t="s">
        <v>67</v>
      </c>
      <c r="I384" s="439" t="s">
        <v>689</v>
      </c>
      <c r="J384" s="430" t="s">
        <v>483</v>
      </c>
      <c r="K384" s="430"/>
      <c r="L384" s="430"/>
      <c r="M384" s="430" t="s">
        <v>68</v>
      </c>
      <c r="N384" s="432">
        <v>46083</v>
      </c>
      <c r="O384" s="430" t="s">
        <v>473</v>
      </c>
      <c r="P384" s="430" t="s">
        <v>529</v>
      </c>
      <c r="Q384" s="430" t="s">
        <v>1311</v>
      </c>
      <c r="R384" s="431" t="str">
        <f>_xlfn.XLOOKUP(PV_DATA[[#This Row],[New Ark SKU]],Table9[New Ark SKU],Table9[Connector],,0)</f>
        <v>EVO2A</v>
      </c>
      <c r="S384" s="442" t="str">
        <f>_xlfn.XLOOKUP(PV_DATA[[#This Row],[New Ark SKU]],Table9[New Ark SKU],Table9[Cable],,0)</f>
        <v>±1200mm</v>
      </c>
      <c r="T384" s="433">
        <v>455</v>
      </c>
      <c r="U384" s="1088">
        <f>864*5</f>
        <v>4320</v>
      </c>
      <c r="V384" s="434">
        <f>PV_DATA[[#This Row],[QUANTITY]]*PV_DATA[[#This Row],[WATT]]/1000000</f>
        <v>1.9656</v>
      </c>
      <c r="W384" s="435">
        <f>PV_DATA[[#This Row],[QUANTITY]]/PV_DATA[[#This Row],[Qty/Pallet]]</f>
        <v>120</v>
      </c>
      <c r="X384" s="1040">
        <f>PV_DATA[[#This Row],[QUANTITY]]/PV_DATA[[#This Row],[Qty/CT]]</f>
        <v>5</v>
      </c>
      <c r="Y384" s="430" t="s">
        <v>75</v>
      </c>
      <c r="Z384" s="430" t="str">
        <f t="shared" si="3"/>
        <v>COMPLETED</v>
      </c>
      <c r="AA384" s="430" t="s">
        <v>1548</v>
      </c>
      <c r="AB384" s="437">
        <v>46102</v>
      </c>
      <c r="AC384" s="438">
        <f>IF(PV_DATA[[#This Row],[Pick- Up Date]]&lt;&gt;"",_xlfn.ISOWEEKNUM(PV_DATA[[#This Row],[Pick- Up Date]]),"")</f>
        <v>12</v>
      </c>
      <c r="AD384" s="439" t="s">
        <v>1877</v>
      </c>
      <c r="AE384" s="430"/>
      <c r="AF384" s="430" t="s">
        <v>1643</v>
      </c>
      <c r="AG384" s="430" t="s">
        <v>123</v>
      </c>
      <c r="AH384" s="430" t="s">
        <v>105</v>
      </c>
      <c r="AI384" s="437">
        <v>46111</v>
      </c>
      <c r="AJ384" s="437">
        <v>46111</v>
      </c>
      <c r="AK384" s="441">
        <v>46111</v>
      </c>
      <c r="AL384" s="437">
        <v>46148</v>
      </c>
      <c r="AM384" s="437">
        <v>46157</v>
      </c>
      <c r="AN384" s="437">
        <v>46156</v>
      </c>
      <c r="AO384" s="430" t="s">
        <v>402</v>
      </c>
      <c r="AP384" s="430" t="s">
        <v>1878</v>
      </c>
      <c r="AQ384" s="430" t="s">
        <v>80</v>
      </c>
      <c r="AR384" s="430" t="s">
        <v>1879</v>
      </c>
      <c r="AS384" s="430" t="s">
        <v>1880</v>
      </c>
      <c r="AT384" s="482" t="s">
        <v>1880</v>
      </c>
      <c r="AU3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7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7">
        <f>IF(ISERROR(PV_DATA[[#This Row],[New Ark PO status]]),"",_xlfn.XLOOKUP(PV_DATA[[#This Row],[SPTN-PVHK New Ark PO'#]],New_Ark_Data[Purchase order Number],New_Ark_Data[Estimated time of arrival],"",0))</f>
        <v>46170</v>
      </c>
      <c r="AZ38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7">
        <f>IFERROR(PV_DATA[[#This Row],[ODP ETA Port]]+PV_DATA[[#This Row],[Customs/Leg3 Assumption]],"n/a")</f>
        <v>46163</v>
      </c>
      <c r="BB384" s="433">
        <f>YEAR(PV_DATA[[#This Row],[ETA for New Ark update]])</f>
        <v>2026</v>
      </c>
      <c r="BC384" s="430">
        <f>MONTH(PV_DATA[[#This Row],[ETA for New Ark update]])</f>
        <v>5</v>
      </c>
      <c r="BD384" s="430">
        <f>IFERROR(_xlfn.ISOWEEKNUM(PV_DATA[[#This Row],[ETA for New Ark update]]),0)</f>
        <v>21</v>
      </c>
      <c r="BE384" s="431">
        <f>_xlfn.XLOOKUP(PV_DATA[[#This Row],[New Ark SKU]],Table9[New Ark SKU],Table9[Total PCS per Pallet],,0)</f>
        <v>36</v>
      </c>
      <c r="BF384" s="431">
        <f>_xlfn.XLOOKUP(PV_DATA[[#This Row],[New Ark SKU]],Table9[New Ark SKU],Table9[Total PCS per 40HQ Container],,0)</f>
        <v>864</v>
      </c>
      <c r="BG384" s="431" t="str">
        <f>_xlfn.XLOOKUP(PV_DATA[[#This Row],[New Ark SKU]],Table9[New Ark SKU],Table9[Back Glass],,0)</f>
        <v>Black glazing</v>
      </c>
      <c r="BH384" s="431" t="str">
        <f>_xlfn.XLOOKUP(PV_DATA[[#This Row],[PORT DESTINATION]],Table12[PORT DESTINATION],Table12[Cosco Line],,0)</f>
        <v>AEU</v>
      </c>
      <c r="BJ384" s="430"/>
    </row>
    <row r="385" spans="1:62" ht="10.5">
      <c r="A385" s="462" t="s">
        <v>1881</v>
      </c>
      <c r="B385" s="462" t="s">
        <v>1757</v>
      </c>
      <c r="C385" s="462" t="str">
        <f>IFERROR(LEFT(PV_DATA[[#This Row],[TCL REFERENCE]],FIND(".",PV_DATA[[#This Row],[TCL REFERENCE]],1)-1),"Main Line")</f>
        <v>26Feb020</v>
      </c>
      <c r="D385" s="462" t="s">
        <v>63</v>
      </c>
      <c r="E385" s="462" t="s">
        <v>144</v>
      </c>
      <c r="F385" s="462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2" t="s">
        <v>146</v>
      </c>
      <c r="H385" s="462" t="s">
        <v>157</v>
      </c>
      <c r="I385" s="439" t="s">
        <v>689</v>
      </c>
      <c r="J385" s="430" t="s">
        <v>157</v>
      </c>
      <c r="K385" s="430" t="s">
        <v>1882</v>
      </c>
      <c r="L385" s="430"/>
      <c r="M385" s="430" t="s">
        <v>840</v>
      </c>
      <c r="N385" s="432">
        <v>46104</v>
      </c>
      <c r="O385" s="430" t="s">
        <v>70</v>
      </c>
      <c r="P385" s="430" t="s">
        <v>1151</v>
      </c>
      <c r="Q385" s="430" t="s">
        <v>421</v>
      </c>
      <c r="R385" s="431" t="str">
        <f>_xlfn.XLOOKUP(PV_DATA[[#This Row],[New Ark SKU]],Table9[New Ark SKU],Table9[Connector],,0)</f>
        <v>EVO2A</v>
      </c>
      <c r="S385" s="442" t="str">
        <f>_xlfn.XLOOKUP(PV_DATA[[#This Row],[New Ark SKU]],Table9[New Ark SKU],Table9[Cable],,0)</f>
        <v>±1200mm</v>
      </c>
      <c r="T385" s="433">
        <v>505</v>
      </c>
      <c r="U385" s="1088">
        <f>864*2</f>
        <v>1728</v>
      </c>
      <c r="V385" s="434">
        <f>PV_DATA[[#This Row],[QUANTITY]]*PV_DATA[[#This Row],[WATT]]/1000000</f>
        <v>0.87263999999999997</v>
      </c>
      <c r="W385" s="435">
        <f>PV_DATA[[#This Row],[QUANTITY]]/PV_DATA[[#This Row],[Qty/Pallet]]</f>
        <v>48</v>
      </c>
      <c r="X385" s="1040">
        <f>PV_DATA[[#This Row],[QUANTITY]]/PV_DATA[[#This Row],[Qty/CT]]</f>
        <v>2</v>
      </c>
      <c r="Y385" s="430" t="s">
        <v>75</v>
      </c>
      <c r="Z385" s="430" t="str">
        <f t="shared" si="3"/>
        <v>COMPLETED</v>
      </c>
      <c r="AA385" s="430" t="s">
        <v>1883</v>
      </c>
      <c r="AB385" s="437">
        <v>46109</v>
      </c>
      <c r="AC385" s="438">
        <f>IF(PV_DATA[[#This Row],[Pick- Up Date]]&lt;&gt;"",_xlfn.ISOWEEKNUM(PV_DATA[[#This Row],[Pick- Up Date]]),"")</f>
        <v>13</v>
      </c>
      <c r="AD385" s="439" t="s">
        <v>1884</v>
      </c>
      <c r="AE385" s="430"/>
      <c r="AF385" s="430" t="s">
        <v>1762</v>
      </c>
      <c r="AG385" s="430" t="s">
        <v>123</v>
      </c>
      <c r="AH385" s="430" t="s">
        <v>159</v>
      </c>
      <c r="AI385" s="437">
        <v>46113</v>
      </c>
      <c r="AJ385" s="437">
        <v>46113</v>
      </c>
      <c r="AK385" s="441">
        <v>46113</v>
      </c>
      <c r="AL385" s="437">
        <v>46172</v>
      </c>
      <c r="AM385" s="437">
        <v>46172</v>
      </c>
      <c r="AN385" s="437">
        <v>46172</v>
      </c>
      <c r="AO385" s="430" t="s">
        <v>402</v>
      </c>
      <c r="AP385" s="430" t="s">
        <v>1885</v>
      </c>
      <c r="AQ385" s="430" t="s">
        <v>161</v>
      </c>
      <c r="AR385" s="430" t="s">
        <v>1886</v>
      </c>
      <c r="AS385" s="430">
        <v>267445298</v>
      </c>
      <c r="AT385" s="431">
        <v>267445298</v>
      </c>
      <c r="AU3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7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7">
        <f>IF(ISERROR(PV_DATA[[#This Row],[New Ark PO status]]),"",_xlfn.XLOOKUP(PV_DATA[[#This Row],[SPTN-PVHK New Ark PO'#]],New_Ark_Data[Purchase order Number],New_Ark_Data[Estimated time of arrival],"",0))</f>
        <v>46185</v>
      </c>
      <c r="AZ38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7">
        <f>IFERROR(PV_DATA[[#This Row],[ODP ETA Port]]+PV_DATA[[#This Row],[Customs/Leg3 Assumption]],"n/a")</f>
        <v>46172</v>
      </c>
      <c r="BB385" s="433">
        <f>YEAR(PV_DATA[[#This Row],[ETA for New Ark update]])</f>
        <v>2026</v>
      </c>
      <c r="BC385" s="430">
        <f>MONTH(PV_DATA[[#This Row],[ETA for New Ark update]])</f>
        <v>5</v>
      </c>
      <c r="BD385" s="430">
        <f>IFERROR(_xlfn.ISOWEEKNUM(PV_DATA[[#This Row],[ETA for New Ark update]]),0)</f>
        <v>22</v>
      </c>
      <c r="BE385" s="431">
        <f>_xlfn.XLOOKUP(PV_DATA[[#This Row],[New Ark SKU]],Table9[New Ark SKU],Table9[Total PCS per Pallet],,0)</f>
        <v>36</v>
      </c>
      <c r="BF385" s="431">
        <f>_xlfn.XLOOKUP(PV_DATA[[#This Row],[New Ark SKU]],Table9[New Ark SKU],Table9[Total PCS per 40HQ Container],,0)</f>
        <v>864</v>
      </c>
      <c r="BG385" s="431" t="str">
        <f>_xlfn.XLOOKUP(PV_DATA[[#This Row],[New Ark SKU]],Table9[New Ark SKU],Table9[Back Glass],,0)</f>
        <v>Black glazing</v>
      </c>
      <c r="BH385" s="431" t="str">
        <f>_xlfn.XLOOKUP(PV_DATA[[#This Row],[PORT DESTINATION]],Table12[PORT DESTINATION],Table12[Cosco Line],,0)</f>
        <v>AEU</v>
      </c>
      <c r="BJ385" s="430"/>
    </row>
    <row r="386" spans="1:62">
      <c r="A386" s="462" t="s">
        <v>1887</v>
      </c>
      <c r="B386" s="462" t="s">
        <v>1888</v>
      </c>
      <c r="C386" s="462" t="str">
        <f>IFERROR(LEFT(PV_DATA[[#This Row],[TCL REFERENCE]],FIND(".",PV_DATA[[#This Row],[TCL REFERENCE]],1)-1),"Main Line")</f>
        <v>26Feb017</v>
      </c>
      <c r="D386" s="462" t="s">
        <v>63</v>
      </c>
      <c r="E386" s="462" t="s">
        <v>144</v>
      </c>
      <c r="F386" s="462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2" t="s">
        <v>402</v>
      </c>
      <c r="H386" s="462" t="s">
        <v>157</v>
      </c>
      <c r="I386" s="439" t="s">
        <v>689</v>
      </c>
      <c r="J386" s="430" t="s">
        <v>157</v>
      </c>
      <c r="K386" s="430" t="s">
        <v>1882</v>
      </c>
      <c r="L386" s="430"/>
      <c r="M386" s="430" t="s">
        <v>840</v>
      </c>
      <c r="N386" s="432">
        <v>46069</v>
      </c>
      <c r="O386" s="430" t="s">
        <v>70</v>
      </c>
      <c r="P386" s="430" t="s">
        <v>195</v>
      </c>
      <c r="Q386" s="430" t="s">
        <v>196</v>
      </c>
      <c r="R386" s="431" t="str">
        <f>_xlfn.XLOOKUP(PV_DATA[[#This Row],[New Ark SKU]],Table9[New Ark SKU],Table9[Connector],,0)</f>
        <v>EVO2A</v>
      </c>
      <c r="S386" s="442" t="str">
        <f>_xlfn.XLOOKUP(PV_DATA[[#This Row],[New Ark SKU]],Table9[New Ark SKU],Table9[Cable],,0)</f>
        <v>±1200mm</v>
      </c>
      <c r="T386" s="433">
        <v>450</v>
      </c>
      <c r="U386" s="1088">
        <f>936*2</f>
        <v>1872</v>
      </c>
      <c r="V386" s="434">
        <f>PV_DATA[[#This Row],[QUANTITY]]*PV_DATA[[#This Row],[WATT]]/1000000</f>
        <v>0.84240000000000004</v>
      </c>
      <c r="W386" s="435">
        <f>PV_DATA[[#This Row],[QUANTITY]]/PV_DATA[[#This Row],[Qty/Pallet]]</f>
        <v>52</v>
      </c>
      <c r="X386" s="1040">
        <f>PV_DATA[[#This Row],[QUANTITY]]/PV_DATA[[#This Row],[Qty/CT]]</f>
        <v>2</v>
      </c>
      <c r="Y386" s="430" t="s">
        <v>75</v>
      </c>
      <c r="Z386" s="430" t="str">
        <f t="shared" si="3"/>
        <v>COMPLETED</v>
      </c>
      <c r="AA386" s="430" t="s">
        <v>1889</v>
      </c>
      <c r="AB386" s="437">
        <v>46108</v>
      </c>
      <c r="AC386" s="438">
        <f>IF(PV_DATA[[#This Row],[Pick- Up Date]]&lt;&gt;"",_xlfn.ISOWEEKNUM(PV_DATA[[#This Row],[Pick- Up Date]]),"")</f>
        <v>13</v>
      </c>
      <c r="AD386" s="439" t="s">
        <v>1890</v>
      </c>
      <c r="AE386" s="430"/>
      <c r="AF386" s="430" t="s">
        <v>4420</v>
      </c>
      <c r="AG386" s="430" t="s">
        <v>123</v>
      </c>
      <c r="AH386" s="430" t="s">
        <v>159</v>
      </c>
      <c r="AI386" s="437">
        <v>46113</v>
      </c>
      <c r="AJ386" s="437">
        <v>46113</v>
      </c>
      <c r="AK386" s="441">
        <v>46113</v>
      </c>
      <c r="AL386" s="437">
        <v>46172</v>
      </c>
      <c r="AM386" s="437">
        <v>46172</v>
      </c>
      <c r="AN386" s="437">
        <v>46172</v>
      </c>
      <c r="AO386" s="430" t="s">
        <v>402</v>
      </c>
      <c r="AP386" s="430" t="s">
        <v>1885</v>
      </c>
      <c r="AQ386" s="430" t="s">
        <v>161</v>
      </c>
      <c r="AR386" s="430" t="s">
        <v>1886</v>
      </c>
      <c r="AS386" s="430">
        <v>267445298</v>
      </c>
      <c r="AT386" s="431">
        <v>267721245</v>
      </c>
      <c r="AU3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7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7">
        <f>IF(ISERROR(PV_DATA[[#This Row],[New Ark PO status]]),"",_xlfn.XLOOKUP(PV_DATA[[#This Row],[SPTN-PVHK New Ark PO'#]],New_Ark_Data[Purchase order Number],New_Ark_Data[Estimated time of arrival],"",0))</f>
        <v>46185</v>
      </c>
      <c r="AZ38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7">
        <f>IFERROR(PV_DATA[[#This Row],[ODP ETA Port]]+PV_DATA[[#This Row],[Customs/Leg3 Assumption]],"n/a")</f>
        <v>46172</v>
      </c>
      <c r="BB386" s="433">
        <f>YEAR(PV_DATA[[#This Row],[ETA for New Ark update]])</f>
        <v>2026</v>
      </c>
      <c r="BC386" s="430">
        <f>MONTH(PV_DATA[[#This Row],[ETA for New Ark update]])</f>
        <v>5</v>
      </c>
      <c r="BD386" s="430">
        <f>IFERROR(_xlfn.ISOWEEKNUM(PV_DATA[[#This Row],[ETA for New Ark update]]),0)</f>
        <v>22</v>
      </c>
      <c r="BE386" s="431">
        <f>_xlfn.XLOOKUP(PV_DATA[[#This Row],[New Ark SKU]],Table9[New Ark SKU],Table9[Total PCS per Pallet],,0)</f>
        <v>36</v>
      </c>
      <c r="BF386" s="431">
        <f>_xlfn.XLOOKUP(PV_DATA[[#This Row],[New Ark SKU]],Table9[New Ark SKU],Table9[Total PCS per 40HQ Container],,0)</f>
        <v>936</v>
      </c>
      <c r="BG386" s="431" t="str">
        <f>_xlfn.XLOOKUP(PV_DATA[[#This Row],[New Ark SKU]],Table9[New Ark SKU],Table9[Back Glass],,0)</f>
        <v>Black glazing</v>
      </c>
      <c r="BH386" s="431" t="str">
        <f>_xlfn.XLOOKUP(PV_DATA[[#This Row],[PORT DESTINATION]],Table12[PORT DESTINATION],Table12[Cosco Line],,0)</f>
        <v>AEU</v>
      </c>
      <c r="BJ386" s="430"/>
    </row>
    <row r="387" spans="1:62">
      <c r="A387" s="462" t="s">
        <v>1892</v>
      </c>
      <c r="B387" s="462" t="s">
        <v>111</v>
      </c>
      <c r="C387" s="462" t="str">
        <f>IFERROR(LEFT(PV_DATA[[#This Row],[TCL REFERENCE]],FIND(".",PV_DATA[[#This Row],[TCL REFERENCE]],1)-1),"Main Line")</f>
        <v>26Feb014</v>
      </c>
      <c r="D387" s="462" t="s">
        <v>63</v>
      </c>
      <c r="E387" s="462" t="s">
        <v>144</v>
      </c>
      <c r="F387" s="462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2" t="s">
        <v>402</v>
      </c>
      <c r="H387" s="462" t="s">
        <v>593</v>
      </c>
      <c r="I387" s="439" t="s">
        <v>869</v>
      </c>
      <c r="J387" s="430" t="s">
        <v>594</v>
      </c>
      <c r="K387" s="430" t="s">
        <v>1124</v>
      </c>
      <c r="L387" s="430"/>
      <c r="M387" s="430" t="s">
        <v>840</v>
      </c>
      <c r="N387" s="432">
        <v>46111</v>
      </c>
      <c r="O387" s="430" t="s">
        <v>132</v>
      </c>
      <c r="P387" s="430" t="s">
        <v>1894</v>
      </c>
      <c r="Q387" s="430" t="s">
        <v>1895</v>
      </c>
      <c r="R387" s="431" t="str">
        <f>_xlfn.XLOOKUP(PV_DATA[[#This Row],[New Ark SKU]],Table9[New Ark SKU],Table9[Connector],,0)</f>
        <v>EVO2A</v>
      </c>
      <c r="S387" s="442" t="str">
        <f>_xlfn.XLOOKUP(PV_DATA[[#This Row],[New Ark SKU]],Table9[New Ark SKU],Table9[Cable],,0)</f>
        <v>±1400mm</v>
      </c>
      <c r="T387" s="433">
        <v>560</v>
      </c>
      <c r="U387" s="1088">
        <v>3300</v>
      </c>
      <c r="V387" s="434">
        <f>PV_DATA[[#This Row],[QUANTITY]]*PV_DATA[[#This Row],[WATT]]/1000000</f>
        <v>1.8480000000000001</v>
      </c>
      <c r="W387" s="435">
        <f>PV_DATA[[#This Row],[QUANTITY]]/PV_DATA[[#This Row],[Qty/Pallet]]</f>
        <v>100</v>
      </c>
      <c r="X387" s="1040">
        <f>PV_DATA[[#This Row],[QUANTITY]]/PV_DATA[[#This Row],[Qty/CT]]</f>
        <v>5</v>
      </c>
      <c r="Y387" s="430" t="s">
        <v>75</v>
      </c>
      <c r="Z387" s="430" t="str">
        <f t="shared" si="3"/>
        <v>COMPLETED</v>
      </c>
      <c r="AA387" s="430" t="s">
        <v>1896</v>
      </c>
      <c r="AB387" s="437">
        <v>46108</v>
      </c>
      <c r="AC387" s="438">
        <f>IF(PV_DATA[[#This Row],[Pick- Up Date]]&lt;&gt;"",_xlfn.ISOWEEKNUM(PV_DATA[[#This Row],[Pick- Up Date]]),"")</f>
        <v>13</v>
      </c>
      <c r="AD387" s="439" t="s">
        <v>1897</v>
      </c>
      <c r="AE387" s="430"/>
      <c r="AF387" s="430" t="s">
        <v>4417</v>
      </c>
      <c r="AG387" s="430" t="s">
        <v>123</v>
      </c>
      <c r="AH387" s="430" t="s">
        <v>124</v>
      </c>
      <c r="AI387" s="437">
        <v>46114</v>
      </c>
      <c r="AJ387" s="437">
        <v>46115</v>
      </c>
      <c r="AK387" s="441">
        <v>46117</v>
      </c>
      <c r="AL387" s="437">
        <v>46156</v>
      </c>
      <c r="AM387" s="437">
        <v>46156</v>
      </c>
      <c r="AN387" s="437">
        <v>46158</v>
      </c>
      <c r="AO387" s="430" t="s">
        <v>402</v>
      </c>
      <c r="AP387" s="430" t="s">
        <v>1898</v>
      </c>
      <c r="AQ387" s="430" t="s">
        <v>80</v>
      </c>
      <c r="AR387" s="430" t="s">
        <v>1899</v>
      </c>
      <c r="AS387" s="430" t="s">
        <v>1900</v>
      </c>
      <c r="AT387" s="482" t="s">
        <v>1900</v>
      </c>
      <c r="AU3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7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7">
        <f>IF(ISERROR(PV_DATA[[#This Row],[New Ark PO status]]),"",_xlfn.XLOOKUP(PV_DATA[[#This Row],[SPTN-PVHK New Ark PO'#]],New_Ark_Data[Purchase order Number],New_Ark_Data[Estimated time of arrival],"",0))</f>
        <v>46170</v>
      </c>
      <c r="AZ38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7">
        <f>IFERROR(PV_DATA[[#This Row],[ODP ETA Port]]+PV_DATA[[#This Row],[Customs/Leg3 Assumption]],"n/a")</f>
        <v>46158</v>
      </c>
      <c r="BB387" s="433">
        <f>YEAR(PV_DATA[[#This Row],[ETA for New Ark update]])</f>
        <v>2026</v>
      </c>
      <c r="BC387" s="430">
        <f>MONTH(PV_DATA[[#This Row],[ETA for New Ark update]])</f>
        <v>5</v>
      </c>
      <c r="BD387" s="430">
        <f>IFERROR(_xlfn.ISOWEEKNUM(PV_DATA[[#This Row],[ETA for New Ark update]]),0)</f>
        <v>20</v>
      </c>
      <c r="BE387" s="431">
        <f>_xlfn.XLOOKUP(PV_DATA[[#This Row],[New Ark SKU]],Table9[New Ark SKU],Table9[Total PCS per Pallet],,0)</f>
        <v>33</v>
      </c>
      <c r="BF387" s="431">
        <f>_xlfn.XLOOKUP(PV_DATA[[#This Row],[New Ark SKU]],Table9[New Ark SKU],Table9[Total PCS per 40HQ Container],,0)</f>
        <v>660</v>
      </c>
      <c r="BG387" s="431" t="str">
        <f>_xlfn.XLOOKUP(PV_DATA[[#This Row],[New Ark SKU]],Table9[New Ark SKU],Table9[Back Glass],,0)</f>
        <v>White glazing</v>
      </c>
      <c r="BH387" s="431" t="str">
        <f>_xlfn.XLOOKUP(PV_DATA[[#This Row],[PORT DESTINATION]],Table12[PORT DESTINATION],Table12[Cosco Line],,0)</f>
        <v>AEM</v>
      </c>
      <c r="BJ387" s="430"/>
    </row>
    <row r="388" spans="1:62">
      <c r="A388" s="462" t="s">
        <v>1901</v>
      </c>
      <c r="B388" s="462" t="s">
        <v>111</v>
      </c>
      <c r="C388" s="462" t="str">
        <f>IFERROR(LEFT(PV_DATA[[#This Row],[TCL REFERENCE]],FIND(".",PV_DATA[[#This Row],[TCL REFERENCE]],1)-1),"Main Line")</f>
        <v>26Feb013</v>
      </c>
      <c r="D388" s="462" t="s">
        <v>63</v>
      </c>
      <c r="E388" s="462" t="s">
        <v>144</v>
      </c>
      <c r="F388" s="462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2" t="s">
        <v>402</v>
      </c>
      <c r="H388" s="462" t="s">
        <v>1903</v>
      </c>
      <c r="I388" s="439" t="s">
        <v>869</v>
      </c>
      <c r="J388" s="430" t="s">
        <v>1903</v>
      </c>
      <c r="K388" s="430" t="s">
        <v>1904</v>
      </c>
      <c r="L388" s="430"/>
      <c r="M388" s="430" t="s">
        <v>840</v>
      </c>
      <c r="N388" s="432">
        <v>46111</v>
      </c>
      <c r="O388" s="430" t="s">
        <v>132</v>
      </c>
      <c r="P388" s="430" t="s">
        <v>1905</v>
      </c>
      <c r="Q388" s="430" t="s">
        <v>1906</v>
      </c>
      <c r="R388" s="431" t="str">
        <f>_xlfn.XLOOKUP(PV_DATA[[#This Row],[New Ark SKU]],Table9[New Ark SKU],Table9[Connector],,0)</f>
        <v>EVO2A</v>
      </c>
      <c r="S388" s="442" t="str">
        <f>_xlfn.XLOOKUP(PV_DATA[[#This Row],[New Ark SKU]],Table9[New Ark SKU],Table9[Cable],,0)</f>
        <v>±1400mm</v>
      </c>
      <c r="T388" s="433">
        <v>555</v>
      </c>
      <c r="U388" s="1088">
        <f>4*660</f>
        <v>2640</v>
      </c>
      <c r="V388" s="434">
        <f>PV_DATA[[#This Row],[QUANTITY]]*PV_DATA[[#This Row],[WATT]]/1000000</f>
        <v>1.4652000000000001</v>
      </c>
      <c r="W388" s="435">
        <f>PV_DATA[[#This Row],[QUANTITY]]/PV_DATA[[#This Row],[Qty/Pallet]]</f>
        <v>80</v>
      </c>
      <c r="X388" s="1040">
        <f>PV_DATA[[#This Row],[QUANTITY]]/PV_DATA[[#This Row],[Qty/CT]]</f>
        <v>4</v>
      </c>
      <c r="Y388" s="430" t="s">
        <v>75</v>
      </c>
      <c r="Z388" s="430" t="str">
        <f t="shared" si="3"/>
        <v>COMPLETED</v>
      </c>
      <c r="AA388" s="430" t="s">
        <v>1907</v>
      </c>
      <c r="AB388" s="437">
        <v>46106</v>
      </c>
      <c r="AC388" s="438">
        <f>IF(PV_DATA[[#This Row],[Pick- Up Date]]&lt;&gt;"",_xlfn.ISOWEEKNUM(PV_DATA[[#This Row],[Pick- Up Date]]),"")</f>
        <v>13</v>
      </c>
      <c r="AD388" s="439" t="s">
        <v>1908</v>
      </c>
      <c r="AE388" s="430"/>
      <c r="AF388" s="430" t="s">
        <v>4417</v>
      </c>
      <c r="AG388" s="430" t="s">
        <v>123</v>
      </c>
      <c r="AH388" s="430" t="s">
        <v>124</v>
      </c>
      <c r="AI388" s="437">
        <v>46111</v>
      </c>
      <c r="AJ388" s="437">
        <v>46114</v>
      </c>
      <c r="AK388" s="441">
        <v>46114</v>
      </c>
      <c r="AL388" s="437">
        <v>46163</v>
      </c>
      <c r="AM388" s="437">
        <v>46170</v>
      </c>
      <c r="AN388" s="437">
        <v>46171</v>
      </c>
      <c r="AO388" s="430" t="s">
        <v>402</v>
      </c>
      <c r="AP388" s="430" t="s">
        <v>1725</v>
      </c>
      <c r="AQ388" s="430" t="s">
        <v>80</v>
      </c>
      <c r="AR388" s="430" t="s">
        <v>1909</v>
      </c>
      <c r="AS388" s="430" t="s">
        <v>1910</v>
      </c>
      <c r="AT388" s="482" t="s">
        <v>1910</v>
      </c>
      <c r="AU3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7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7">
        <f>IF(ISERROR(PV_DATA[[#This Row],[New Ark PO status]]),"",_xlfn.XLOOKUP(PV_DATA[[#This Row],[SPTN-PVHK New Ark PO'#]],New_Ark_Data[Purchase order Number],New_Ark_Data[Estimated time of arrival],"",0))</f>
        <v>46177</v>
      </c>
      <c r="AZ38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7">
        <f>IFERROR(PV_DATA[[#This Row],[ODP ETA Port]]+PV_DATA[[#This Row],[Customs/Leg3 Assumption]],"n/a")</f>
        <v>46171</v>
      </c>
      <c r="BB388" s="433">
        <f>YEAR(PV_DATA[[#This Row],[ETA for New Ark update]])</f>
        <v>2026</v>
      </c>
      <c r="BC388" s="430">
        <f>MONTH(PV_DATA[[#This Row],[ETA for New Ark update]])</f>
        <v>5</v>
      </c>
      <c r="BD388" s="430">
        <f>IFERROR(_xlfn.ISOWEEKNUM(PV_DATA[[#This Row],[ETA for New Ark update]]),0)</f>
        <v>22</v>
      </c>
      <c r="BE388" s="431">
        <f>_xlfn.XLOOKUP(PV_DATA[[#This Row],[New Ark SKU]],Table9[New Ark SKU],Table9[Total PCS per Pallet],,0)</f>
        <v>33</v>
      </c>
      <c r="BF388" s="431">
        <f>_xlfn.XLOOKUP(PV_DATA[[#This Row],[New Ark SKU]],Table9[New Ark SKU],Table9[Total PCS per 40HQ Container],,0)</f>
        <v>660</v>
      </c>
      <c r="BG388" s="431" t="str">
        <f>_xlfn.XLOOKUP(PV_DATA[[#This Row],[New Ark SKU]],Table9[New Ark SKU],Table9[Back Glass],,0)</f>
        <v>White glazing</v>
      </c>
      <c r="BH388" s="431" t="str">
        <f>_xlfn.XLOOKUP(PV_DATA[[#This Row],[PORT DESTINATION]],Table12[PORT DESTINATION],Table12[Cosco Line],,0)</f>
        <v>AEM</v>
      </c>
      <c r="BJ388" s="430"/>
    </row>
    <row r="389" spans="1:62">
      <c r="A389" s="462" t="s">
        <v>1911</v>
      </c>
      <c r="B389" s="462" t="s">
        <v>111</v>
      </c>
      <c r="C389" s="462" t="str">
        <f>IFERROR(LEFT(PV_DATA[[#This Row],[TCL REFERENCE]],FIND(".",PV_DATA[[#This Row],[TCL REFERENCE]],1)-1),"Main Line")</f>
        <v>26Feb013</v>
      </c>
      <c r="D389" s="462" t="s">
        <v>63</v>
      </c>
      <c r="E389" s="462" t="s">
        <v>144</v>
      </c>
      <c r="F389" s="462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2" t="s">
        <v>402</v>
      </c>
      <c r="H389" s="462" t="s">
        <v>1912</v>
      </c>
      <c r="I389" s="439" t="s">
        <v>869</v>
      </c>
      <c r="J389" s="430" t="s">
        <v>1913</v>
      </c>
      <c r="K389" s="430" t="s">
        <v>1914</v>
      </c>
      <c r="L389" s="430"/>
      <c r="M389" s="430" t="s">
        <v>840</v>
      </c>
      <c r="N389" s="432">
        <v>46111</v>
      </c>
      <c r="O389" s="430" t="s">
        <v>132</v>
      </c>
      <c r="P389" s="430" t="s">
        <v>1905</v>
      </c>
      <c r="Q389" s="430" t="s">
        <v>1906</v>
      </c>
      <c r="R389" s="431" t="str">
        <f>_xlfn.XLOOKUP(PV_DATA[[#This Row],[New Ark SKU]],Table9[New Ark SKU],Table9[Connector],,0)</f>
        <v>EVO2A</v>
      </c>
      <c r="S389" s="442" t="str">
        <f>_xlfn.XLOOKUP(PV_DATA[[#This Row],[New Ark SKU]],Table9[New Ark SKU],Table9[Cable],,0)</f>
        <v>±1400mm</v>
      </c>
      <c r="T389" s="433">
        <v>555</v>
      </c>
      <c r="U389" s="1088">
        <f>2*660</f>
        <v>1320</v>
      </c>
      <c r="V389" s="434">
        <f>PV_DATA[[#This Row],[QUANTITY]]*PV_DATA[[#This Row],[WATT]]/1000000</f>
        <v>0.73260000000000003</v>
      </c>
      <c r="W389" s="435">
        <f>PV_DATA[[#This Row],[QUANTITY]]/PV_DATA[[#This Row],[Qty/Pallet]]</f>
        <v>40</v>
      </c>
      <c r="X389" s="1040">
        <f>PV_DATA[[#This Row],[QUANTITY]]/PV_DATA[[#This Row],[Qty/CT]]</f>
        <v>2</v>
      </c>
      <c r="Y389" s="430" t="s">
        <v>75</v>
      </c>
      <c r="Z389" s="430" t="str">
        <f t="shared" si="3"/>
        <v>COMPLETED</v>
      </c>
      <c r="AA389" s="430" t="s">
        <v>1907</v>
      </c>
      <c r="AB389" s="437">
        <v>46106</v>
      </c>
      <c r="AC389" s="438">
        <f>IF(PV_DATA[[#This Row],[Pick- Up Date]]&lt;&gt;"",_xlfn.ISOWEEKNUM(PV_DATA[[#This Row],[Pick- Up Date]]),"")</f>
        <v>13</v>
      </c>
      <c r="AD389" s="439" t="s">
        <v>1915</v>
      </c>
      <c r="AE389" s="430"/>
      <c r="AF389" s="430" t="s">
        <v>4417</v>
      </c>
      <c r="AG389" s="430" t="s">
        <v>123</v>
      </c>
      <c r="AH389" s="430" t="s">
        <v>124</v>
      </c>
      <c r="AI389" s="437">
        <v>46111</v>
      </c>
      <c r="AJ389" s="437">
        <v>46114</v>
      </c>
      <c r="AK389" s="441">
        <v>46114</v>
      </c>
      <c r="AL389" s="437">
        <v>46163</v>
      </c>
      <c r="AM389" s="437">
        <v>46170</v>
      </c>
      <c r="AN389" s="437">
        <v>46171</v>
      </c>
      <c r="AO389" s="430" t="s">
        <v>402</v>
      </c>
      <c r="AP389" s="430" t="s">
        <v>1725</v>
      </c>
      <c r="AQ389" s="430" t="s">
        <v>80</v>
      </c>
      <c r="AR389" s="430" t="s">
        <v>1916</v>
      </c>
      <c r="AS389" s="430" t="s">
        <v>1917</v>
      </c>
      <c r="AT389" s="482" t="s">
        <v>1917</v>
      </c>
      <c r="AU3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7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7">
        <f>IF(ISERROR(PV_DATA[[#This Row],[New Ark PO status]]),"",_xlfn.XLOOKUP(PV_DATA[[#This Row],[SPTN-PVHK New Ark PO'#]],New_Ark_Data[Purchase order Number],New_Ark_Data[Estimated time of arrival],"",0))</f>
        <v>46177</v>
      </c>
      <c r="AZ38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7">
        <f>IFERROR(PV_DATA[[#This Row],[ODP ETA Port]]+PV_DATA[[#This Row],[Customs/Leg3 Assumption]],"n/a")</f>
        <v>46171</v>
      </c>
      <c r="BB389" s="433">
        <f>YEAR(PV_DATA[[#This Row],[ETA for New Ark update]])</f>
        <v>2026</v>
      </c>
      <c r="BC389" s="430">
        <f>MONTH(PV_DATA[[#This Row],[ETA for New Ark update]])</f>
        <v>5</v>
      </c>
      <c r="BD389" s="430">
        <f>IFERROR(_xlfn.ISOWEEKNUM(PV_DATA[[#This Row],[ETA for New Ark update]]),0)</f>
        <v>22</v>
      </c>
      <c r="BE389" s="431">
        <f>_xlfn.XLOOKUP(PV_DATA[[#This Row],[New Ark SKU]],Table9[New Ark SKU],Table9[Total PCS per Pallet],,0)</f>
        <v>33</v>
      </c>
      <c r="BF389" s="431">
        <f>_xlfn.XLOOKUP(PV_DATA[[#This Row],[New Ark SKU]],Table9[New Ark SKU],Table9[Total PCS per 40HQ Container],,0)</f>
        <v>660</v>
      </c>
      <c r="BG389" s="431" t="str">
        <f>_xlfn.XLOOKUP(PV_DATA[[#This Row],[New Ark SKU]],Table9[New Ark SKU],Table9[Back Glass],,0)</f>
        <v>White glazing</v>
      </c>
      <c r="BH389" s="431" t="str">
        <f>_xlfn.XLOOKUP(PV_DATA[[#This Row],[PORT DESTINATION]],Table12[PORT DESTINATION],Table12[Cosco Line],,0)</f>
        <v>AEM</v>
      </c>
      <c r="BJ389" s="430"/>
    </row>
    <row r="390" spans="1:62">
      <c r="A390" s="462" t="s">
        <v>1918</v>
      </c>
      <c r="B390" s="462" t="s">
        <v>111</v>
      </c>
      <c r="C390" s="462" t="str">
        <f>IFERROR(LEFT(PV_DATA[[#This Row],[TCL REFERENCE]],FIND(".",PV_DATA[[#This Row],[TCL REFERENCE]],1)-1),"Main Line")</f>
        <v>26Feb013</v>
      </c>
      <c r="D390" s="462" t="s">
        <v>63</v>
      </c>
      <c r="E390" s="462" t="s">
        <v>144</v>
      </c>
      <c r="F390" s="462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2" t="s">
        <v>402</v>
      </c>
      <c r="H390" s="462" t="s">
        <v>1912</v>
      </c>
      <c r="I390" s="439" t="s">
        <v>869</v>
      </c>
      <c r="J390" s="430" t="s">
        <v>1913</v>
      </c>
      <c r="K390" s="430" t="s">
        <v>1914</v>
      </c>
      <c r="L390" s="430"/>
      <c r="M390" s="430" t="s">
        <v>840</v>
      </c>
      <c r="N390" s="432">
        <v>46111</v>
      </c>
      <c r="O390" s="430" t="s">
        <v>132</v>
      </c>
      <c r="P390" s="430" t="s">
        <v>1905</v>
      </c>
      <c r="Q390" s="430" t="s">
        <v>1906</v>
      </c>
      <c r="R390" s="431" t="str">
        <f>_xlfn.XLOOKUP(PV_DATA[[#This Row],[New Ark SKU]],Table9[New Ark SKU],Table9[Connector],,0)</f>
        <v>EVO2A</v>
      </c>
      <c r="S390" s="442" t="str">
        <f>_xlfn.XLOOKUP(PV_DATA[[#This Row],[New Ark SKU]],Table9[New Ark SKU],Table9[Cable],,0)</f>
        <v>±1400mm</v>
      </c>
      <c r="T390" s="433">
        <v>555</v>
      </c>
      <c r="U390" s="1088">
        <f>2*660</f>
        <v>1320</v>
      </c>
      <c r="V390" s="434">
        <f>PV_DATA[[#This Row],[QUANTITY]]*PV_DATA[[#This Row],[WATT]]/1000000</f>
        <v>0.73260000000000003</v>
      </c>
      <c r="W390" s="435">
        <f>PV_DATA[[#This Row],[QUANTITY]]/PV_DATA[[#This Row],[Qty/Pallet]]</f>
        <v>40</v>
      </c>
      <c r="X390" s="1040">
        <f>PV_DATA[[#This Row],[QUANTITY]]/PV_DATA[[#This Row],[Qty/CT]]</f>
        <v>2</v>
      </c>
      <c r="Y390" s="430" t="s">
        <v>75</v>
      </c>
      <c r="Z390" s="430" t="str">
        <f t="shared" si="3"/>
        <v>COMPLETED</v>
      </c>
      <c r="AA390" s="430" t="s">
        <v>1907</v>
      </c>
      <c r="AB390" s="437">
        <v>46108</v>
      </c>
      <c r="AC390" s="438">
        <f>IF(PV_DATA[[#This Row],[Pick- Up Date]]&lt;&gt;"",_xlfn.ISOWEEKNUM(PV_DATA[[#This Row],[Pick- Up Date]]),"")</f>
        <v>13</v>
      </c>
      <c r="AD390" s="439" t="s">
        <v>1919</v>
      </c>
      <c r="AE390" s="430"/>
      <c r="AF390" s="430" t="s">
        <v>4417</v>
      </c>
      <c r="AG390" s="430" t="s">
        <v>123</v>
      </c>
      <c r="AH390" s="430" t="s">
        <v>124</v>
      </c>
      <c r="AI390" s="437">
        <v>46114</v>
      </c>
      <c r="AJ390" s="437">
        <v>46116</v>
      </c>
      <c r="AK390" s="441">
        <v>46116</v>
      </c>
      <c r="AL390" s="437">
        <v>46156</v>
      </c>
      <c r="AM390" s="437">
        <v>46164</v>
      </c>
      <c r="AN390" s="437">
        <v>46165</v>
      </c>
      <c r="AO390" s="430" t="s">
        <v>402</v>
      </c>
      <c r="AP390" s="430" t="s">
        <v>1920</v>
      </c>
      <c r="AQ390" s="430" t="s">
        <v>80</v>
      </c>
      <c r="AR390" s="430" t="s">
        <v>1921</v>
      </c>
      <c r="AS390" s="430" t="s">
        <v>1922</v>
      </c>
      <c r="AT390" s="482" t="s">
        <v>1922</v>
      </c>
      <c r="AU3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7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7">
        <f>IF(ISERROR(PV_DATA[[#This Row],[New Ark PO status]]),"",_xlfn.XLOOKUP(PV_DATA[[#This Row],[SPTN-PVHK New Ark PO'#]],New_Ark_Data[Purchase order Number],New_Ark_Data[Estimated time of arrival],"",0))</f>
        <v>46170</v>
      </c>
      <c r="AZ39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7">
        <f>IFERROR(PV_DATA[[#This Row],[ODP ETA Port]]+PV_DATA[[#This Row],[Customs/Leg3 Assumption]],"n/a")</f>
        <v>46165</v>
      </c>
      <c r="BB390" s="433">
        <f>YEAR(PV_DATA[[#This Row],[ETA for New Ark update]])</f>
        <v>2026</v>
      </c>
      <c r="BC390" s="430">
        <f>MONTH(PV_DATA[[#This Row],[ETA for New Ark update]])</f>
        <v>5</v>
      </c>
      <c r="BD390" s="430">
        <f>IFERROR(_xlfn.ISOWEEKNUM(PV_DATA[[#This Row],[ETA for New Ark update]]),0)</f>
        <v>21</v>
      </c>
      <c r="BE390" s="431">
        <f>_xlfn.XLOOKUP(PV_DATA[[#This Row],[New Ark SKU]],Table9[New Ark SKU],Table9[Total PCS per Pallet],,0)</f>
        <v>33</v>
      </c>
      <c r="BF390" s="431">
        <f>_xlfn.XLOOKUP(PV_DATA[[#This Row],[New Ark SKU]],Table9[New Ark SKU],Table9[Total PCS per 40HQ Container],,0)</f>
        <v>660</v>
      </c>
      <c r="BG390" s="431" t="str">
        <f>_xlfn.XLOOKUP(PV_DATA[[#This Row],[New Ark SKU]],Table9[New Ark SKU],Table9[Back Glass],,0)</f>
        <v>White glazing</v>
      </c>
      <c r="BH390" s="431" t="str">
        <f>_xlfn.XLOOKUP(PV_DATA[[#This Row],[PORT DESTINATION]],Table12[PORT DESTINATION],Table12[Cosco Line],,0)</f>
        <v>AEM</v>
      </c>
      <c r="BJ390" s="430"/>
    </row>
    <row r="391" spans="1:62" ht="10.5">
      <c r="A391" s="462" t="s">
        <v>1923</v>
      </c>
      <c r="B391" s="462" t="s">
        <v>1757</v>
      </c>
      <c r="C391" s="462" t="str">
        <f>IFERROR(LEFT(PV_DATA[[#This Row],[TCL REFERENCE]],FIND(".",PV_DATA[[#This Row],[TCL REFERENCE]],1)-1),"Main Line")</f>
        <v>26Feb019</v>
      </c>
      <c r="D391" s="462" t="s">
        <v>63</v>
      </c>
      <c r="E391" s="462" t="s">
        <v>144</v>
      </c>
      <c r="F391" s="462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2" t="s">
        <v>402</v>
      </c>
      <c r="H391" s="462" t="s">
        <v>1029</v>
      </c>
      <c r="I391" s="439" t="s">
        <v>689</v>
      </c>
      <c r="J391" s="430" t="s">
        <v>1924</v>
      </c>
      <c r="K391" s="430" t="s">
        <v>1925</v>
      </c>
      <c r="L391" s="430"/>
      <c r="M391" s="430" t="s">
        <v>840</v>
      </c>
      <c r="N391" s="432">
        <v>46104</v>
      </c>
      <c r="O391" s="430" t="s">
        <v>70</v>
      </c>
      <c r="P391" s="430" t="s">
        <v>71</v>
      </c>
      <c r="Q391" s="430" t="s">
        <v>72</v>
      </c>
      <c r="R391" s="431" t="str">
        <f>_xlfn.XLOOKUP(PV_DATA[[#This Row],[New Ark SKU]],Table9[New Ark SKU],Table9[Connector],,0)</f>
        <v>EVO2A</v>
      </c>
      <c r="S391" s="442" t="str">
        <f>_xlfn.XLOOKUP(PV_DATA[[#This Row],[New Ark SKU]],Table9[New Ark SKU],Table9[Cable],,0)</f>
        <v>±1200mm</v>
      </c>
      <c r="T391" s="433">
        <v>500</v>
      </c>
      <c r="U391" s="1088">
        <f>864*3</f>
        <v>2592</v>
      </c>
      <c r="V391" s="434">
        <f>PV_DATA[[#This Row],[QUANTITY]]*PV_DATA[[#This Row],[WATT]]/1000000</f>
        <v>1.296</v>
      </c>
      <c r="W391" s="435">
        <f>PV_DATA[[#This Row],[QUANTITY]]/PV_DATA[[#This Row],[Qty/Pallet]]</f>
        <v>72</v>
      </c>
      <c r="X391" s="1040">
        <f>PV_DATA[[#This Row],[QUANTITY]]/PV_DATA[[#This Row],[Qty/CT]]</f>
        <v>3</v>
      </c>
      <c r="Y391" s="430" t="s">
        <v>75</v>
      </c>
      <c r="Z391" s="430" t="str">
        <f t="shared" si="3"/>
        <v>COMPLETED</v>
      </c>
      <c r="AA391" s="430" t="s">
        <v>1926</v>
      </c>
      <c r="AB391" s="437">
        <v>46105</v>
      </c>
      <c r="AC391" s="438">
        <f>IF(PV_DATA[[#This Row],[Pick- Up Date]]&lt;&gt;"",_xlfn.ISOWEEKNUM(PV_DATA[[#This Row],[Pick- Up Date]]),"")</f>
        <v>13</v>
      </c>
      <c r="AD391" s="439" t="s">
        <v>1927</v>
      </c>
      <c r="AE391" s="430"/>
      <c r="AF391" s="430" t="s">
        <v>1762</v>
      </c>
      <c r="AG391" s="430" t="s">
        <v>123</v>
      </c>
      <c r="AH391" s="430" t="s">
        <v>888</v>
      </c>
      <c r="AI391" s="437">
        <v>46108</v>
      </c>
      <c r="AJ391" s="437">
        <v>46109</v>
      </c>
      <c r="AK391" s="441">
        <v>46109</v>
      </c>
      <c r="AL391" s="437">
        <v>46172</v>
      </c>
      <c r="AM391" s="437">
        <v>46172</v>
      </c>
      <c r="AN391" s="437">
        <v>46174</v>
      </c>
      <c r="AO391" s="430" t="s">
        <v>402</v>
      </c>
      <c r="AP391" s="430" t="s">
        <v>1928</v>
      </c>
      <c r="AQ391" s="430" t="s">
        <v>161</v>
      </c>
      <c r="AR391" s="430" t="s">
        <v>1929</v>
      </c>
      <c r="AS391" s="430" t="s">
        <v>1930</v>
      </c>
      <c r="AT391" s="431">
        <v>267777421</v>
      </c>
      <c r="AU3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7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7">
        <f>IF(ISERROR(PV_DATA[[#This Row],[New Ark PO status]]),"",_xlfn.XLOOKUP(PV_DATA[[#This Row],[SPTN-PVHK New Ark PO'#]],New_Ark_Data[Purchase order Number],New_Ark_Data[Estimated time of arrival],"",0))</f>
        <v>46185</v>
      </c>
      <c r="AZ39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7">
        <f>IFERROR(PV_DATA[[#This Row],[ODP ETA Port]]+PV_DATA[[#This Row],[Customs/Leg3 Assumption]],"n/a")</f>
        <v>46174</v>
      </c>
      <c r="BB391" s="433">
        <f>YEAR(PV_DATA[[#This Row],[ETA for New Ark update]])</f>
        <v>2026</v>
      </c>
      <c r="BC391" s="430">
        <f>MONTH(PV_DATA[[#This Row],[ETA for New Ark update]])</f>
        <v>6</v>
      </c>
      <c r="BD391" s="430">
        <f>IFERROR(_xlfn.ISOWEEKNUM(PV_DATA[[#This Row],[ETA for New Ark update]]),0)</f>
        <v>23</v>
      </c>
      <c r="BE391" s="431">
        <f>_xlfn.XLOOKUP(PV_DATA[[#This Row],[New Ark SKU]],Table9[New Ark SKU],Table9[Total PCS per Pallet],,0)</f>
        <v>36</v>
      </c>
      <c r="BF391" s="431">
        <f>_xlfn.XLOOKUP(PV_DATA[[#This Row],[New Ark SKU]],Table9[New Ark SKU],Table9[Total PCS per 40HQ Container],,0)</f>
        <v>864</v>
      </c>
      <c r="BG391" s="431" t="str">
        <f>_xlfn.XLOOKUP(PV_DATA[[#This Row],[New Ark SKU]],Table9[New Ark SKU],Table9[Back Glass],,0)</f>
        <v>Black glazing</v>
      </c>
      <c r="BH391" s="431" t="str">
        <f>_xlfn.XLOOKUP(PV_DATA[[#This Row],[PORT DESTINATION]],Table12[PORT DESTINATION],Table12[Cosco Line],,0)</f>
        <v>AEU</v>
      </c>
      <c r="BJ391" s="430"/>
    </row>
    <row r="392" spans="1:62" ht="10.5">
      <c r="A392" s="462" t="s">
        <v>1931</v>
      </c>
      <c r="B392" s="462" t="s">
        <v>1757</v>
      </c>
      <c r="C392" s="462" t="str">
        <f>IFERROR(LEFT(PV_DATA[[#This Row],[TCL REFERENCE]],FIND(".",PV_DATA[[#This Row],[TCL REFERENCE]],1)-1),"Main Line")</f>
        <v>26Feb019</v>
      </c>
      <c r="D392" s="462" t="s">
        <v>63</v>
      </c>
      <c r="E392" s="462" t="s">
        <v>144</v>
      </c>
      <c r="F392" s="462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2" t="s">
        <v>402</v>
      </c>
      <c r="H392" s="462" t="s">
        <v>1029</v>
      </c>
      <c r="I392" s="439" t="s">
        <v>689</v>
      </c>
      <c r="J392" s="430" t="s">
        <v>1924</v>
      </c>
      <c r="K392" s="430" t="s">
        <v>1925</v>
      </c>
      <c r="L392" s="430"/>
      <c r="M392" s="430" t="s">
        <v>840</v>
      </c>
      <c r="N392" s="432">
        <v>46104</v>
      </c>
      <c r="O392" s="430" t="s">
        <v>70</v>
      </c>
      <c r="P392" s="430" t="s">
        <v>71</v>
      </c>
      <c r="Q392" s="430" t="s">
        <v>72</v>
      </c>
      <c r="R392" s="431" t="str">
        <f>_xlfn.XLOOKUP(PV_DATA[[#This Row],[New Ark SKU]],Table9[New Ark SKU],Table9[Connector],,0)</f>
        <v>EVO2A</v>
      </c>
      <c r="S392" s="442" t="str">
        <f>_xlfn.XLOOKUP(PV_DATA[[#This Row],[New Ark SKU]],Table9[New Ark SKU],Table9[Cable],,0)</f>
        <v>±1200mm</v>
      </c>
      <c r="T392" s="433">
        <v>500</v>
      </c>
      <c r="U392" s="1088">
        <f>864*2</f>
        <v>1728</v>
      </c>
      <c r="V392" s="434">
        <f>PV_DATA[[#This Row],[QUANTITY]]*PV_DATA[[#This Row],[WATT]]/1000000</f>
        <v>0.86399999999999999</v>
      </c>
      <c r="W392" s="435">
        <f>PV_DATA[[#This Row],[QUANTITY]]/PV_DATA[[#This Row],[Qty/Pallet]]</f>
        <v>48</v>
      </c>
      <c r="X392" s="1040">
        <f>PV_DATA[[#This Row],[QUANTITY]]/PV_DATA[[#This Row],[Qty/CT]]</f>
        <v>2</v>
      </c>
      <c r="Y392" s="430" t="s">
        <v>75</v>
      </c>
      <c r="Z392" s="430" t="str">
        <f t="shared" si="3"/>
        <v>COMPLETED</v>
      </c>
      <c r="AA392" s="430" t="s">
        <v>1926</v>
      </c>
      <c r="AB392" s="437">
        <v>46105</v>
      </c>
      <c r="AC392" s="438">
        <f>IF(PV_DATA[[#This Row],[Pick- Up Date]]&lt;&gt;"",_xlfn.ISOWEEKNUM(PV_DATA[[#This Row],[Pick- Up Date]]),"")</f>
        <v>13</v>
      </c>
      <c r="AD392" s="439" t="s">
        <v>1932</v>
      </c>
      <c r="AE392" s="430"/>
      <c r="AF392" s="430" t="s">
        <v>1762</v>
      </c>
      <c r="AG392" s="430" t="s">
        <v>123</v>
      </c>
      <c r="AH392" s="430" t="s">
        <v>888</v>
      </c>
      <c r="AI392" s="437">
        <v>46108</v>
      </c>
      <c r="AJ392" s="437">
        <v>46109</v>
      </c>
      <c r="AK392" s="441">
        <v>46109</v>
      </c>
      <c r="AL392" s="437">
        <v>46172</v>
      </c>
      <c r="AM392" s="437">
        <v>46172</v>
      </c>
      <c r="AN392" s="437">
        <v>46174</v>
      </c>
      <c r="AO392" s="430" t="s">
        <v>402</v>
      </c>
      <c r="AP392" s="430" t="s">
        <v>1928</v>
      </c>
      <c r="AQ392" s="430" t="s">
        <v>161</v>
      </c>
      <c r="AR392" s="430" t="s">
        <v>1929</v>
      </c>
      <c r="AS392" s="430" t="s">
        <v>1930</v>
      </c>
      <c r="AT392" s="431">
        <v>267777421</v>
      </c>
      <c r="AU3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7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7">
        <f>IF(ISERROR(PV_DATA[[#This Row],[New Ark PO status]]),"",_xlfn.XLOOKUP(PV_DATA[[#This Row],[SPTN-PVHK New Ark PO'#]],New_Ark_Data[Purchase order Number],New_Ark_Data[Estimated time of arrival],"",0))</f>
        <v>46185</v>
      </c>
      <c r="AZ39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7">
        <f>IFERROR(PV_DATA[[#This Row],[ODP ETA Port]]+PV_DATA[[#This Row],[Customs/Leg3 Assumption]],"n/a")</f>
        <v>46174</v>
      </c>
      <c r="BB392" s="433">
        <f>YEAR(PV_DATA[[#This Row],[ETA for New Ark update]])</f>
        <v>2026</v>
      </c>
      <c r="BC392" s="430">
        <f>MONTH(PV_DATA[[#This Row],[ETA for New Ark update]])</f>
        <v>6</v>
      </c>
      <c r="BD392" s="430">
        <f>IFERROR(_xlfn.ISOWEEKNUM(PV_DATA[[#This Row],[ETA for New Ark update]]),0)</f>
        <v>23</v>
      </c>
      <c r="BE392" s="431">
        <f>_xlfn.XLOOKUP(PV_DATA[[#This Row],[New Ark SKU]],Table9[New Ark SKU],Table9[Total PCS per Pallet],,0)</f>
        <v>36</v>
      </c>
      <c r="BF392" s="431">
        <f>_xlfn.XLOOKUP(PV_DATA[[#This Row],[New Ark SKU]],Table9[New Ark SKU],Table9[Total PCS per 40HQ Container],,0)</f>
        <v>864</v>
      </c>
      <c r="BG392" s="431" t="str">
        <f>_xlfn.XLOOKUP(PV_DATA[[#This Row],[New Ark SKU]],Table9[New Ark SKU],Table9[Back Glass],,0)</f>
        <v>Black glazing</v>
      </c>
      <c r="BH392" s="431" t="str">
        <f>_xlfn.XLOOKUP(PV_DATA[[#This Row],[PORT DESTINATION]],Table12[PORT DESTINATION],Table12[Cosco Line],,0)</f>
        <v>AEU</v>
      </c>
      <c r="BJ392" s="430"/>
    </row>
    <row r="393" spans="1:62">
      <c r="A393" s="462" t="s">
        <v>1933</v>
      </c>
      <c r="B393" s="462" t="s">
        <v>61</v>
      </c>
      <c r="C393" s="462" t="str">
        <f>IFERROR(LEFT(PV_DATA[[#This Row],[TCL REFERENCE]],FIND(".",PV_DATA[[#This Row],[TCL REFERENCE]],1)-1),"Main Line")</f>
        <v>26Feb022</v>
      </c>
      <c r="D393" s="462" t="s">
        <v>63</v>
      </c>
      <c r="E393" s="462" t="s">
        <v>64</v>
      </c>
      <c r="F393" s="462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2" t="s">
        <v>402</v>
      </c>
      <c r="H393" s="462" t="s">
        <v>67</v>
      </c>
      <c r="I393" s="439" t="s">
        <v>869</v>
      </c>
      <c r="J393" s="430" t="s">
        <v>96</v>
      </c>
      <c r="K393" s="430"/>
      <c r="L393" s="430"/>
      <c r="M393" s="430" t="s">
        <v>68</v>
      </c>
      <c r="N393" s="432">
        <v>46104</v>
      </c>
      <c r="O393" s="430" t="s">
        <v>70</v>
      </c>
      <c r="P393" s="430" t="s">
        <v>204</v>
      </c>
      <c r="Q393" s="430" t="s">
        <v>205</v>
      </c>
      <c r="R393" s="431" t="str">
        <f>_xlfn.XLOOKUP(PV_DATA[[#This Row],[New Ark SKU]],Table9[New Ark SKU],Table9[Connector],,0)</f>
        <v>EVO2A</v>
      </c>
      <c r="S393" s="442" t="str">
        <f>_xlfn.XLOOKUP(PV_DATA[[#This Row],[New Ark SKU]],Table9[New Ark SKU],Table9[Cable],,0)</f>
        <v>±1200mm</v>
      </c>
      <c r="T393" s="433">
        <v>455</v>
      </c>
      <c r="U393" s="1088">
        <v>936</v>
      </c>
      <c r="V393" s="434">
        <f>PV_DATA[[#This Row],[QUANTITY]]*PV_DATA[[#This Row],[WATT]]/1000000</f>
        <v>0.42587999999999998</v>
      </c>
      <c r="W393" s="435">
        <f>PV_DATA[[#This Row],[QUANTITY]]/PV_DATA[[#This Row],[Qty/Pallet]]</f>
        <v>26</v>
      </c>
      <c r="X393" s="1040">
        <f>PV_DATA[[#This Row],[QUANTITY]]/PV_DATA[[#This Row],[Qty/CT]]</f>
        <v>1</v>
      </c>
      <c r="Y393" s="430" t="s">
        <v>951</v>
      </c>
      <c r="Z393" s="430" t="str">
        <f t="shared" si="3"/>
        <v>COMPLETED</v>
      </c>
      <c r="AA393" s="430"/>
      <c r="AB393" s="437">
        <v>46106</v>
      </c>
      <c r="AC393" s="438">
        <f>IF(PV_DATA[[#This Row],[Pick- Up Date]]&lt;&gt;"",_xlfn.ISOWEEKNUM(PV_DATA[[#This Row],[Pick- Up Date]]),"")</f>
        <v>13</v>
      </c>
      <c r="AD393" s="439" t="s">
        <v>1934</v>
      </c>
      <c r="AE393" s="430"/>
      <c r="AF393" s="430" t="s">
        <v>4421</v>
      </c>
      <c r="AG393" s="430" t="s">
        <v>61</v>
      </c>
      <c r="AH393" s="430" t="s">
        <v>78</v>
      </c>
      <c r="AI393" s="437">
        <v>46110</v>
      </c>
      <c r="AJ393" s="437">
        <v>46110</v>
      </c>
      <c r="AK393" s="441">
        <v>46110</v>
      </c>
      <c r="AL393" s="437">
        <v>46168</v>
      </c>
      <c r="AM393" s="437">
        <v>46190</v>
      </c>
      <c r="AN393" s="437">
        <v>46191</v>
      </c>
      <c r="AO393" s="430" t="s">
        <v>402</v>
      </c>
      <c r="AP393" s="430" t="s">
        <v>1936</v>
      </c>
      <c r="AQ393" s="430" t="s">
        <v>80</v>
      </c>
      <c r="AR393" s="430" t="s">
        <v>1937</v>
      </c>
      <c r="AS393" s="430" t="s">
        <v>1938</v>
      </c>
      <c r="AT393" s="482" t="s">
        <v>1938</v>
      </c>
      <c r="AU3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7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7">
        <f>IF(ISERROR(PV_DATA[[#This Row],[New Ark PO status]]),"",_xlfn.XLOOKUP(PV_DATA[[#This Row],[SPTN-PVHK New Ark PO'#]],New_Ark_Data[Purchase order Number],New_Ark_Data[Estimated time of arrival],"",0))</f>
        <v>46205</v>
      </c>
      <c r="AZ39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7">
        <f>IFERROR(PV_DATA[[#This Row],[ODP ETA Port]]+PV_DATA[[#This Row],[Customs/Leg3 Assumption]],"n/a")</f>
        <v>46199</v>
      </c>
      <c r="BB393" s="433">
        <f>YEAR(PV_DATA[[#This Row],[ETA for New Ark update]])</f>
        <v>2026</v>
      </c>
      <c r="BC393" s="430">
        <f>MONTH(PV_DATA[[#This Row],[ETA for New Ark update]])</f>
        <v>6</v>
      </c>
      <c r="BD393" s="430">
        <f>IFERROR(_xlfn.ISOWEEKNUM(PV_DATA[[#This Row],[ETA for New Ark update]]),0)</f>
        <v>26</v>
      </c>
      <c r="BE393" s="431">
        <f>_xlfn.XLOOKUP(PV_DATA[[#This Row],[New Ark SKU]],Table9[New Ark SKU],Table9[Total PCS per Pallet],,0)</f>
        <v>36</v>
      </c>
      <c r="BF393" s="431">
        <f>_xlfn.XLOOKUP(PV_DATA[[#This Row],[New Ark SKU]],Table9[New Ark SKU],Table9[Total PCS per 40HQ Container],,0)</f>
        <v>936</v>
      </c>
      <c r="BG393" s="431" t="str">
        <f>_xlfn.XLOOKUP(PV_DATA[[#This Row],[New Ark SKU]],Table9[New Ark SKU],Table9[Back Glass],,0)</f>
        <v>Transparent</v>
      </c>
      <c r="BH393" s="431" t="str">
        <f>_xlfn.XLOOKUP(PV_DATA[[#This Row],[PORT DESTINATION]],Table12[PORT DESTINATION],Table12[Cosco Line],,0)</f>
        <v>AEM</v>
      </c>
      <c r="BJ393" s="430"/>
    </row>
    <row r="394" spans="1:62">
      <c r="A394" s="462" t="s">
        <v>1939</v>
      </c>
      <c r="B394" s="462" t="s">
        <v>61</v>
      </c>
      <c r="C394" s="462" t="str">
        <f>IFERROR(LEFT(PV_DATA[[#This Row],[TCL REFERENCE]],FIND(".",PV_DATA[[#This Row],[TCL REFERENCE]],1)-1),"Main Line")</f>
        <v>26Feb021</v>
      </c>
      <c r="D394" s="462" t="s">
        <v>63</v>
      </c>
      <c r="E394" s="462" t="s">
        <v>64</v>
      </c>
      <c r="F394" s="462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2" t="s">
        <v>402</v>
      </c>
      <c r="H394" s="462" t="s">
        <v>67</v>
      </c>
      <c r="I394" s="439" t="s">
        <v>869</v>
      </c>
      <c r="J394" s="430" t="s">
        <v>96</v>
      </c>
      <c r="K394" s="430"/>
      <c r="L394" s="430"/>
      <c r="M394" s="430" t="s">
        <v>68</v>
      </c>
      <c r="N394" s="432">
        <v>46104</v>
      </c>
      <c r="O394" s="430" t="s">
        <v>70</v>
      </c>
      <c r="P394" s="430" t="s">
        <v>91</v>
      </c>
      <c r="Q394" s="430" t="s">
        <v>92</v>
      </c>
      <c r="R394" s="431" t="str">
        <f>_xlfn.XLOOKUP(PV_DATA[[#This Row],[New Ark SKU]],Table9[New Ark SKU],Table9[Connector],,0)</f>
        <v>EVO2A</v>
      </c>
      <c r="S394" s="442" t="str">
        <f>_xlfn.XLOOKUP(PV_DATA[[#This Row],[New Ark SKU]],Table9[New Ark SKU],Table9[Cable],,0)</f>
        <v>±1200mm</v>
      </c>
      <c r="T394" s="433">
        <v>450</v>
      </c>
      <c r="U394" s="1088">
        <v>936</v>
      </c>
      <c r="V394" s="434">
        <f>PV_DATA[[#This Row],[QUANTITY]]*PV_DATA[[#This Row],[WATT]]/1000000</f>
        <v>0.42120000000000002</v>
      </c>
      <c r="W394" s="435">
        <f>PV_DATA[[#This Row],[QUANTITY]]/PV_DATA[[#This Row],[Qty/Pallet]]</f>
        <v>26</v>
      </c>
      <c r="X394" s="1040">
        <f>PV_DATA[[#This Row],[QUANTITY]]/PV_DATA[[#This Row],[Qty/CT]]</f>
        <v>1</v>
      </c>
      <c r="Y394" s="430" t="s">
        <v>951</v>
      </c>
      <c r="Z394" s="430" t="str">
        <f t="shared" si="3"/>
        <v>COMPLETED</v>
      </c>
      <c r="AA394" s="430" t="s">
        <v>1907</v>
      </c>
      <c r="AB394" s="437">
        <v>46106</v>
      </c>
      <c r="AC394" s="438">
        <f>IF(PV_DATA[[#This Row],[Pick- Up Date]]&lt;&gt;"",_xlfn.ISOWEEKNUM(PV_DATA[[#This Row],[Pick- Up Date]]),"")</f>
        <v>13</v>
      </c>
      <c r="AD394" s="439" t="s">
        <v>1941</v>
      </c>
      <c r="AE394" s="430"/>
      <c r="AF394" s="430" t="s">
        <v>4421</v>
      </c>
      <c r="AG394" s="430" t="s">
        <v>61</v>
      </c>
      <c r="AH394" s="430" t="s">
        <v>78</v>
      </c>
      <c r="AI394" s="437">
        <v>46110</v>
      </c>
      <c r="AJ394" s="437">
        <v>46110</v>
      </c>
      <c r="AK394" s="441">
        <v>46110</v>
      </c>
      <c r="AL394" s="437">
        <v>46168</v>
      </c>
      <c r="AM394" s="437">
        <v>46190</v>
      </c>
      <c r="AN394" s="437">
        <v>46191</v>
      </c>
      <c r="AO394" s="430" t="s">
        <v>402</v>
      </c>
      <c r="AP394" s="430" t="s">
        <v>1936</v>
      </c>
      <c r="AQ394" s="430" t="s">
        <v>80</v>
      </c>
      <c r="AR394" s="430" t="s">
        <v>1937</v>
      </c>
      <c r="AS394" s="430" t="s">
        <v>1938</v>
      </c>
      <c r="AT394" s="482" t="s">
        <v>1938</v>
      </c>
      <c r="AU3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7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7">
        <f>IF(ISERROR(PV_DATA[[#This Row],[New Ark PO status]]),"",_xlfn.XLOOKUP(PV_DATA[[#This Row],[SPTN-PVHK New Ark PO'#]],New_Ark_Data[Purchase order Number],New_Ark_Data[Estimated time of arrival],"",0))</f>
        <v>46205</v>
      </c>
      <c r="AZ39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7">
        <f>IFERROR(PV_DATA[[#This Row],[ODP ETA Port]]+PV_DATA[[#This Row],[Customs/Leg3 Assumption]],"n/a")</f>
        <v>46199</v>
      </c>
      <c r="BB394" s="433">
        <f>YEAR(PV_DATA[[#This Row],[ETA for New Ark update]])</f>
        <v>2026</v>
      </c>
      <c r="BC394" s="430">
        <f>MONTH(PV_DATA[[#This Row],[ETA for New Ark update]])</f>
        <v>6</v>
      </c>
      <c r="BD394" s="430">
        <f>IFERROR(_xlfn.ISOWEEKNUM(PV_DATA[[#This Row],[ETA for New Ark update]]),0)</f>
        <v>26</v>
      </c>
      <c r="BE394" s="431">
        <f>_xlfn.XLOOKUP(PV_DATA[[#This Row],[New Ark SKU]],Table9[New Ark SKU],Table9[Total PCS per Pallet],,0)</f>
        <v>36</v>
      </c>
      <c r="BF394" s="431">
        <f>_xlfn.XLOOKUP(PV_DATA[[#This Row],[New Ark SKU]],Table9[New Ark SKU],Table9[Total PCS per 40HQ Container],,0)</f>
        <v>936</v>
      </c>
      <c r="BG394" s="431" t="str">
        <f>_xlfn.XLOOKUP(PV_DATA[[#This Row],[New Ark SKU]],Table9[New Ark SKU],Table9[Back Glass],,0)</f>
        <v>Transparent</v>
      </c>
      <c r="BH394" s="431" t="str">
        <f>_xlfn.XLOOKUP(PV_DATA[[#This Row],[PORT DESTINATION]],Table12[PORT DESTINATION],Table12[Cosco Line],,0)</f>
        <v>AEM</v>
      </c>
      <c r="BJ394" s="430"/>
    </row>
    <row r="395" spans="1:62" ht="10.5">
      <c r="A395" s="462" t="s">
        <v>1942</v>
      </c>
      <c r="B395" s="462" t="s">
        <v>1757</v>
      </c>
      <c r="C395" s="462" t="str">
        <f>IFERROR(LEFT(PV_DATA[[#This Row],[TCL REFERENCE]],FIND(".",PV_DATA[[#This Row],[TCL REFERENCE]],1)-1),"Main Line")</f>
        <v>26Feb019</v>
      </c>
      <c r="D395" s="462" t="s">
        <v>63</v>
      </c>
      <c r="E395" s="462" t="s">
        <v>144</v>
      </c>
      <c r="F395" s="462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2" t="s">
        <v>402</v>
      </c>
      <c r="H395" s="462" t="s">
        <v>881</v>
      </c>
      <c r="I395" s="439" t="s">
        <v>689</v>
      </c>
      <c r="J395" s="430" t="s">
        <v>1758</v>
      </c>
      <c r="K395" s="430" t="s">
        <v>1759</v>
      </c>
      <c r="L395" s="430"/>
      <c r="M395" s="430" t="s">
        <v>840</v>
      </c>
      <c r="N395" s="432">
        <v>46090</v>
      </c>
      <c r="O395" s="430" t="s">
        <v>70</v>
      </c>
      <c r="P395" s="730" t="s">
        <v>71</v>
      </c>
      <c r="Q395" s="430" t="s">
        <v>72</v>
      </c>
      <c r="R395" s="431" t="str">
        <f>_xlfn.XLOOKUP(PV_DATA[[#This Row],[New Ark SKU]],Table9[New Ark SKU],Table9[Connector],,0)</f>
        <v>EVO2A</v>
      </c>
      <c r="S395" s="442" t="str">
        <f>_xlfn.XLOOKUP(PV_DATA[[#This Row],[New Ark SKU]],Table9[New Ark SKU],Table9[Cable],,0)</f>
        <v>±1200mm</v>
      </c>
      <c r="T395" s="433">
        <v>500</v>
      </c>
      <c r="U395" s="1088">
        <f>864*3</f>
        <v>2592</v>
      </c>
      <c r="V395" s="434">
        <f>PV_DATA[[#This Row],[QUANTITY]]*PV_DATA[[#This Row],[WATT]]/1000000</f>
        <v>1.296</v>
      </c>
      <c r="W395" s="435">
        <f>PV_DATA[[#This Row],[QUANTITY]]/PV_DATA[[#This Row],[Qty/Pallet]]</f>
        <v>72</v>
      </c>
      <c r="X395" s="1040">
        <f>PV_DATA[[#This Row],[QUANTITY]]/PV_DATA[[#This Row],[Qty/CT]]</f>
        <v>3</v>
      </c>
      <c r="Y395" s="430" t="s">
        <v>75</v>
      </c>
      <c r="Z395" s="430" t="str">
        <f t="shared" si="3"/>
        <v>COMPLETED</v>
      </c>
      <c r="AA395" s="430" t="s">
        <v>1760</v>
      </c>
      <c r="AB395" s="437">
        <v>46117</v>
      </c>
      <c r="AC395" s="438">
        <f>IF(PV_DATA[[#This Row],[Pick- Up Date]]&lt;&gt;"",_xlfn.ISOWEEKNUM(PV_DATA[[#This Row],[Pick- Up Date]]),"")</f>
        <v>14</v>
      </c>
      <c r="AD395" s="439" t="s">
        <v>1943</v>
      </c>
      <c r="AE395" s="430"/>
      <c r="AF395" s="430" t="s">
        <v>1762</v>
      </c>
      <c r="AG395" s="430" t="s">
        <v>123</v>
      </c>
      <c r="AH395" s="430" t="s">
        <v>888</v>
      </c>
      <c r="AI395" s="437">
        <v>46120</v>
      </c>
      <c r="AJ395" s="437">
        <v>46120</v>
      </c>
      <c r="AK395" s="441">
        <v>46120</v>
      </c>
      <c r="AL395" s="437">
        <v>46169</v>
      </c>
      <c r="AM395" s="437">
        <v>46169</v>
      </c>
      <c r="AN395" s="437">
        <v>46169</v>
      </c>
      <c r="AO395" s="430" t="s">
        <v>402</v>
      </c>
      <c r="AP395" s="430" t="s">
        <v>1944</v>
      </c>
      <c r="AQ395" s="430" t="s">
        <v>80</v>
      </c>
      <c r="AR395" s="430" t="s">
        <v>1945</v>
      </c>
      <c r="AS395" s="430" t="s">
        <v>1946</v>
      </c>
      <c r="AT395" s="482" t="s">
        <v>1946</v>
      </c>
      <c r="AU3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7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7">
        <f>IF(ISERROR(PV_DATA[[#This Row],[New Ark PO status]]),"",_xlfn.XLOOKUP(PV_DATA[[#This Row],[SPTN-PVHK New Ark PO'#]],New_Ark_Data[Purchase order Number],New_Ark_Data[Estimated time of arrival],"",0))</f>
        <v>46183</v>
      </c>
      <c r="AZ39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7">
        <f>IFERROR(PV_DATA[[#This Row],[ODP ETA Port]]+PV_DATA[[#This Row],[Customs/Leg3 Assumption]],"n/a")</f>
        <v>46169</v>
      </c>
      <c r="BB395" s="433">
        <f>YEAR(PV_DATA[[#This Row],[ETA for New Ark update]])</f>
        <v>2026</v>
      </c>
      <c r="BC395" s="430">
        <f>MONTH(PV_DATA[[#This Row],[ETA for New Ark update]])</f>
        <v>5</v>
      </c>
      <c r="BD395" s="430">
        <f>IFERROR(_xlfn.ISOWEEKNUM(PV_DATA[[#This Row],[ETA for New Ark update]]),0)</f>
        <v>22</v>
      </c>
      <c r="BE395" s="431">
        <f>_xlfn.XLOOKUP(PV_DATA[[#This Row],[New Ark SKU]],Table9[New Ark SKU],Table9[Total PCS per Pallet],,0)</f>
        <v>36</v>
      </c>
      <c r="BF395" s="431">
        <f>_xlfn.XLOOKUP(PV_DATA[[#This Row],[New Ark SKU]],Table9[New Ark SKU],Table9[Total PCS per 40HQ Container],,0)</f>
        <v>864</v>
      </c>
      <c r="BG395" s="431" t="str">
        <f>_xlfn.XLOOKUP(PV_DATA[[#This Row],[New Ark SKU]],Table9[New Ark SKU],Table9[Back Glass],,0)</f>
        <v>Black glazing</v>
      </c>
      <c r="BH395" s="431" t="str">
        <f>_xlfn.XLOOKUP(PV_DATA[[#This Row],[PORT DESTINATION]],Table12[PORT DESTINATION],Table12[Cosco Line],,0)</f>
        <v>AEU</v>
      </c>
      <c r="BJ395" s="430"/>
    </row>
    <row r="396" spans="1:62" ht="10.5">
      <c r="A396" s="462" t="s">
        <v>1947</v>
      </c>
      <c r="B396" s="462" t="s">
        <v>1757</v>
      </c>
      <c r="C396" s="462" t="str">
        <f>IFERROR(LEFT(PV_DATA[[#This Row],[TCL REFERENCE]],FIND(".",PV_DATA[[#This Row],[TCL REFERENCE]],1)-1),"Main Line")</f>
        <v>26Feb020</v>
      </c>
      <c r="D396" s="462" t="s">
        <v>63</v>
      </c>
      <c r="E396" s="462" t="s">
        <v>64</v>
      </c>
      <c r="F396" s="462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2" t="s">
        <v>402</v>
      </c>
      <c r="H396" s="462" t="s">
        <v>451</v>
      </c>
      <c r="I396" s="439" t="s">
        <v>689</v>
      </c>
      <c r="J396" s="430" t="s">
        <v>1832</v>
      </c>
      <c r="K396" s="430"/>
      <c r="L396" s="430"/>
      <c r="M396" s="430" t="s">
        <v>68</v>
      </c>
      <c r="N396" s="432">
        <v>46104</v>
      </c>
      <c r="O396" s="430" t="s">
        <v>70</v>
      </c>
      <c r="P396" s="430" t="s">
        <v>1151</v>
      </c>
      <c r="Q396" s="430" t="s">
        <v>421</v>
      </c>
      <c r="R396" s="431" t="str">
        <f>_xlfn.XLOOKUP(PV_DATA[[#This Row],[New Ark SKU]],Table9[New Ark SKU],Table9[Connector],,0)</f>
        <v>EVO2A</v>
      </c>
      <c r="S396" s="442" t="str">
        <f>_xlfn.XLOOKUP(PV_DATA[[#This Row],[New Ark SKU]],Table9[New Ark SKU],Table9[Cable],,0)</f>
        <v>±1200mm</v>
      </c>
      <c r="T396" s="433">
        <v>505</v>
      </c>
      <c r="U396" s="1088">
        <f>864*2</f>
        <v>1728</v>
      </c>
      <c r="V396" s="434">
        <f>PV_DATA[[#This Row],[QUANTITY]]*PV_DATA[[#This Row],[WATT]]/1000000</f>
        <v>0.87263999999999997</v>
      </c>
      <c r="W396" s="435">
        <f>PV_DATA[[#This Row],[QUANTITY]]/PV_DATA[[#This Row],[Qty/Pallet]]</f>
        <v>48</v>
      </c>
      <c r="X396" s="1040">
        <f>PV_DATA[[#This Row],[QUANTITY]]/PV_DATA[[#This Row],[Qty/CT]]</f>
        <v>2</v>
      </c>
      <c r="Y396" s="430" t="s">
        <v>75</v>
      </c>
      <c r="Z396" s="430" t="str">
        <f t="shared" si="3"/>
        <v>COMPLETED</v>
      </c>
      <c r="AA396" s="430" t="s">
        <v>1883</v>
      </c>
      <c r="AB396" s="437">
        <v>46115</v>
      </c>
      <c r="AC396" s="438">
        <f>IF(PV_DATA[[#This Row],[Pick- Up Date]]&lt;&gt;"",_xlfn.ISOWEEKNUM(PV_DATA[[#This Row],[Pick- Up Date]]),"")</f>
        <v>14</v>
      </c>
      <c r="AD396" s="439" t="s">
        <v>1948</v>
      </c>
      <c r="AE396" s="430"/>
      <c r="AF396" s="430" t="s">
        <v>1762</v>
      </c>
      <c r="AG396" s="430" t="s">
        <v>123</v>
      </c>
      <c r="AH396" s="430" t="s">
        <v>456</v>
      </c>
      <c r="AI396" s="437">
        <v>46118</v>
      </c>
      <c r="AJ396" s="437">
        <v>46118</v>
      </c>
      <c r="AK396" s="441">
        <v>46119</v>
      </c>
      <c r="AL396" s="437">
        <v>46155</v>
      </c>
      <c r="AM396" s="437">
        <v>46166</v>
      </c>
      <c r="AN396" s="437">
        <v>46167</v>
      </c>
      <c r="AO396" s="430" t="s">
        <v>402</v>
      </c>
      <c r="AP396" s="430" t="s">
        <v>1949</v>
      </c>
      <c r="AQ396" s="430" t="s">
        <v>80</v>
      </c>
      <c r="AR396" s="430" t="s">
        <v>1950</v>
      </c>
      <c r="AS396" s="430" t="s">
        <v>1951</v>
      </c>
      <c r="AT396" s="482" t="s">
        <v>1951</v>
      </c>
      <c r="AU3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7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7">
        <f>IF(ISERROR(PV_DATA[[#This Row],[New Ark PO status]]),"",_xlfn.XLOOKUP(PV_DATA[[#This Row],[SPTN-PVHK New Ark PO'#]],New_Ark_Data[Purchase order Number],New_Ark_Data[Estimated time of arrival],"",0))</f>
        <v>46181</v>
      </c>
      <c r="AZ3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7">
        <f>IFERROR(PV_DATA[[#This Row],[ODP ETA Port]]+PV_DATA[[#This Row],[Customs/Leg3 Assumption]],"n/a")</f>
        <v>46174</v>
      </c>
      <c r="BB396" s="433">
        <f>YEAR(PV_DATA[[#This Row],[ETA for New Ark update]])</f>
        <v>2026</v>
      </c>
      <c r="BC396" s="430">
        <f>MONTH(PV_DATA[[#This Row],[ETA for New Ark update]])</f>
        <v>6</v>
      </c>
      <c r="BD396" s="430">
        <f>IFERROR(_xlfn.ISOWEEKNUM(PV_DATA[[#This Row],[ETA for New Ark update]]),0)</f>
        <v>23</v>
      </c>
      <c r="BE396" s="431">
        <f>_xlfn.XLOOKUP(PV_DATA[[#This Row],[New Ark SKU]],Table9[New Ark SKU],Table9[Total PCS per Pallet],,0)</f>
        <v>36</v>
      </c>
      <c r="BF396" s="431">
        <f>_xlfn.XLOOKUP(PV_DATA[[#This Row],[New Ark SKU]],Table9[New Ark SKU],Table9[Total PCS per 40HQ Container],,0)</f>
        <v>864</v>
      </c>
      <c r="BG396" s="431" t="str">
        <f>_xlfn.XLOOKUP(PV_DATA[[#This Row],[New Ark SKU]],Table9[New Ark SKU],Table9[Back Glass],,0)</f>
        <v>Black glazing</v>
      </c>
      <c r="BH396" s="431" t="str">
        <f>_xlfn.XLOOKUP(PV_DATA[[#This Row],[PORT DESTINATION]],Table12[PORT DESTINATION],Table12[Cosco Line],,0)</f>
        <v>AEU</v>
      </c>
      <c r="BJ396" s="430"/>
    </row>
    <row r="397" spans="1:62">
      <c r="A397" s="462" t="s">
        <v>1952</v>
      </c>
      <c r="B397" s="462" t="s">
        <v>1802</v>
      </c>
      <c r="C397" s="462" t="str">
        <f>IFERROR(LEFT(PV_DATA[[#This Row],[TCL REFERENCE]],FIND(".",PV_DATA[[#This Row],[TCL REFERENCE]],1)-1),"Main Line")</f>
        <v>26Feb034</v>
      </c>
      <c r="D397" s="462" t="s">
        <v>113</v>
      </c>
      <c r="E397" s="462" t="s">
        <v>144</v>
      </c>
      <c r="F397" s="462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2" t="s">
        <v>402</v>
      </c>
      <c r="H397" s="462" t="s">
        <v>1449</v>
      </c>
      <c r="I397" s="439" t="s">
        <v>822</v>
      </c>
      <c r="J397" s="430" t="s">
        <v>1854</v>
      </c>
      <c r="K397" s="430" t="s">
        <v>1805</v>
      </c>
      <c r="L397" s="430"/>
      <c r="M397" s="430" t="s">
        <v>840</v>
      </c>
      <c r="N397" s="432">
        <v>46097</v>
      </c>
      <c r="O397" s="430" t="s">
        <v>70</v>
      </c>
      <c r="P397" s="430" t="s">
        <v>1806</v>
      </c>
      <c r="Q397" s="430" t="s">
        <v>1807</v>
      </c>
      <c r="R397" s="431" t="str">
        <f>_xlfn.XLOOKUP(PV_DATA[[#This Row],[New Ark SKU]],Table9[New Ark SKU],Table9[Connector],,0)</f>
        <v>H4(Com)</v>
      </c>
      <c r="S397" s="442" t="str">
        <f>_xlfn.XLOOKUP(PV_DATA[[#This Row],[New Ark SKU]],Table9[New Ark SKU],Table9[Cable],,0)</f>
        <v>+400mm/-200mm</v>
      </c>
      <c r="T397" s="433">
        <v>720</v>
      </c>
      <c r="U397" s="1088">
        <f>594*3</f>
        <v>1782</v>
      </c>
      <c r="V397" s="434">
        <f>PV_DATA[[#This Row],[QUANTITY]]*PV_DATA[[#This Row],[WATT]]/1000000</f>
        <v>1.28304</v>
      </c>
      <c r="W397" s="435">
        <f>PV_DATA[[#This Row],[QUANTITY]]/PV_DATA[[#This Row],[Qty/Pallet]]</f>
        <v>54</v>
      </c>
      <c r="X397" s="1040">
        <f>PV_DATA[[#This Row],[QUANTITY]]/PV_DATA[[#This Row],[Qty/CT]]</f>
        <v>3</v>
      </c>
      <c r="Y397" s="430" t="s">
        <v>75</v>
      </c>
      <c r="Z397" s="430" t="str">
        <f t="shared" si="3"/>
        <v>COMPLETED</v>
      </c>
      <c r="AA397" s="430" t="s">
        <v>1809</v>
      </c>
      <c r="AB397" s="437">
        <v>46115</v>
      </c>
      <c r="AC397" s="438">
        <f>IF(PV_DATA[[#This Row],[Pick- Up Date]]&lt;&gt;"",_xlfn.ISOWEEKNUM(PV_DATA[[#This Row],[Pick- Up Date]]),"")</f>
        <v>14</v>
      </c>
      <c r="AD397" s="439" t="s">
        <v>1953</v>
      </c>
      <c r="AE397" s="430"/>
      <c r="AF397" s="430" t="s">
        <v>4422</v>
      </c>
      <c r="AG397" s="430" t="s">
        <v>123</v>
      </c>
      <c r="AH397" s="430" t="s">
        <v>105</v>
      </c>
      <c r="AI397" s="437">
        <v>46118</v>
      </c>
      <c r="AJ397" s="437">
        <v>46119</v>
      </c>
      <c r="AK397" s="441">
        <v>46119</v>
      </c>
      <c r="AL397" s="437">
        <v>46155</v>
      </c>
      <c r="AM397" s="437">
        <v>46163</v>
      </c>
      <c r="AN397" s="437">
        <v>46163</v>
      </c>
      <c r="AO397" s="430" t="s">
        <v>402</v>
      </c>
      <c r="AP397" s="430" t="s">
        <v>1949</v>
      </c>
      <c r="AQ397" s="430" t="s">
        <v>80</v>
      </c>
      <c r="AR397" s="430" t="s">
        <v>1954</v>
      </c>
      <c r="AS397" s="430" t="s">
        <v>1955</v>
      </c>
      <c r="AT397" s="482" t="s">
        <v>1955</v>
      </c>
      <c r="AU3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7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7">
        <f>IF(ISERROR(PV_DATA[[#This Row],[New Ark PO status]]),"",_xlfn.XLOOKUP(PV_DATA[[#This Row],[SPTN-PVHK New Ark PO'#]],New_Ark_Data[Purchase order Number],New_Ark_Data[Estimated time of arrival],"",0))</f>
        <v>46155</v>
      </c>
      <c r="AZ3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7">
        <f>IFERROR(PV_DATA[[#This Row],[ODP ETA Port]]+PV_DATA[[#This Row],[Customs/Leg3 Assumption]],"n/a")</f>
        <v>46163</v>
      </c>
      <c r="BB397" s="433">
        <f>YEAR(PV_DATA[[#This Row],[ETA for New Ark update]])</f>
        <v>2026</v>
      </c>
      <c r="BC397" s="430">
        <f>MONTH(PV_DATA[[#This Row],[ETA for New Ark update]])</f>
        <v>5</v>
      </c>
      <c r="BD397" s="430">
        <f>IFERROR(_xlfn.ISOWEEKNUM(PV_DATA[[#This Row],[ETA for New Ark update]]),0)</f>
        <v>21</v>
      </c>
      <c r="BE397" s="431">
        <f>_xlfn.XLOOKUP(PV_DATA[[#This Row],[New Ark SKU]],Table9[New Ark SKU],Table9[Total PCS per Pallet],,0)</f>
        <v>33</v>
      </c>
      <c r="BF397" s="431">
        <f>_xlfn.XLOOKUP(PV_DATA[[#This Row],[New Ark SKU]],Table9[New Ark SKU],Table9[Total PCS per 40HQ Container],,0)</f>
        <v>594</v>
      </c>
      <c r="BG397" s="431" t="str">
        <f>_xlfn.XLOOKUP(PV_DATA[[#This Row],[New Ark SKU]],Table9[New Ark SKU],Table9[Back Glass],,0)</f>
        <v>Transparent</v>
      </c>
      <c r="BH397" s="431" t="str">
        <f>_xlfn.XLOOKUP(PV_DATA[[#This Row],[PORT DESTINATION]],Table12[PORT DESTINATION],Table12[Cosco Line],,0)</f>
        <v>AEU</v>
      </c>
      <c r="BJ397" s="430"/>
    </row>
    <row r="398" spans="1:62">
      <c r="A398" s="462" t="s">
        <v>1956</v>
      </c>
      <c r="B398" s="462" t="s">
        <v>1802</v>
      </c>
      <c r="C398" s="462" t="str">
        <f>IFERROR(LEFT(PV_DATA[[#This Row],[TCL REFERENCE]],FIND(".",PV_DATA[[#This Row],[TCL REFERENCE]],1)-1),"Main Line")</f>
        <v>26Feb034</v>
      </c>
      <c r="D398" s="462" t="s">
        <v>113</v>
      </c>
      <c r="E398" s="462" t="s">
        <v>144</v>
      </c>
      <c r="F398" s="462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2" t="s">
        <v>402</v>
      </c>
      <c r="H398" s="462" t="s">
        <v>1449</v>
      </c>
      <c r="I398" s="439" t="s">
        <v>822</v>
      </c>
      <c r="J398" s="430" t="s">
        <v>1957</v>
      </c>
      <c r="K398" s="430" t="s">
        <v>1805</v>
      </c>
      <c r="L398" s="430"/>
      <c r="M398" s="430" t="s">
        <v>840</v>
      </c>
      <c r="N398" s="432">
        <v>46104</v>
      </c>
      <c r="O398" s="430" t="s">
        <v>70</v>
      </c>
      <c r="P398" s="430" t="s">
        <v>1806</v>
      </c>
      <c r="Q398" s="430" t="s">
        <v>1807</v>
      </c>
      <c r="R398" s="431" t="str">
        <f>_xlfn.XLOOKUP(PV_DATA[[#This Row],[New Ark SKU]],Table9[New Ark SKU],Table9[Connector],,0)</f>
        <v>H4(Com)</v>
      </c>
      <c r="S398" s="442" t="str">
        <f>_xlfn.XLOOKUP(PV_DATA[[#This Row],[New Ark SKU]],Table9[New Ark SKU],Table9[Cable],,0)</f>
        <v>+400mm/-200mm</v>
      </c>
      <c r="T398" s="433">
        <v>720</v>
      </c>
      <c r="U398" s="1088">
        <f>594*6</f>
        <v>3564</v>
      </c>
      <c r="V398" s="434">
        <f>PV_DATA[[#This Row],[QUANTITY]]*PV_DATA[[#This Row],[WATT]]/1000000</f>
        <v>2.5660799999999999</v>
      </c>
      <c r="W398" s="435">
        <f>PV_DATA[[#This Row],[QUANTITY]]/PV_DATA[[#This Row],[Qty/Pallet]]</f>
        <v>108</v>
      </c>
      <c r="X398" s="1040">
        <f>PV_DATA[[#This Row],[QUANTITY]]/PV_DATA[[#This Row],[Qty/CT]]</f>
        <v>6</v>
      </c>
      <c r="Y398" s="430" t="s">
        <v>75</v>
      </c>
      <c r="Z398" s="430" t="str">
        <f t="shared" si="3"/>
        <v>COMPLETED</v>
      </c>
      <c r="AA398" s="430" t="s">
        <v>1958</v>
      </c>
      <c r="AB398" s="437">
        <v>46114</v>
      </c>
      <c r="AC398" s="438">
        <f>IF(PV_DATA[[#This Row],[Pick- Up Date]]&lt;&gt;"",_xlfn.ISOWEEKNUM(PV_DATA[[#This Row],[Pick- Up Date]]),"")</f>
        <v>14</v>
      </c>
      <c r="AD398" s="439" t="s">
        <v>1959</v>
      </c>
      <c r="AE398" s="430"/>
      <c r="AF398" s="430" t="s">
        <v>4418</v>
      </c>
      <c r="AG398" s="430" t="s">
        <v>123</v>
      </c>
      <c r="AH398" s="430" t="s">
        <v>105</v>
      </c>
      <c r="AI398" s="437">
        <v>46117</v>
      </c>
      <c r="AJ398" s="437">
        <v>46118</v>
      </c>
      <c r="AK398" s="441">
        <v>46118</v>
      </c>
      <c r="AL398" s="437">
        <v>46154</v>
      </c>
      <c r="AM398" s="437">
        <v>46164</v>
      </c>
      <c r="AN398" s="437">
        <v>46164</v>
      </c>
      <c r="AO398" s="430" t="s">
        <v>402</v>
      </c>
      <c r="AP398" s="430" t="s">
        <v>1960</v>
      </c>
      <c r="AQ398" s="430" t="s">
        <v>80</v>
      </c>
      <c r="AR398" s="430" t="s">
        <v>1961</v>
      </c>
      <c r="AS398" s="430" t="s">
        <v>1962</v>
      </c>
      <c r="AT398" s="482" t="s">
        <v>1962</v>
      </c>
      <c r="AU3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7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7">
        <f>IF(ISERROR(PV_DATA[[#This Row],[New Ark PO status]]),"",_xlfn.XLOOKUP(PV_DATA[[#This Row],[SPTN-PVHK New Ark PO'#]],New_Ark_Data[Purchase order Number],New_Ark_Data[Estimated time of arrival],"",0))</f>
        <v>46154</v>
      </c>
      <c r="AZ3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7">
        <f>IFERROR(PV_DATA[[#This Row],[ODP ETA Port]]+PV_DATA[[#This Row],[Customs/Leg3 Assumption]],"n/a")</f>
        <v>46164</v>
      </c>
      <c r="BB398" s="433">
        <f>YEAR(PV_DATA[[#This Row],[ETA for New Ark update]])</f>
        <v>2026</v>
      </c>
      <c r="BC398" s="430">
        <f>MONTH(PV_DATA[[#This Row],[ETA for New Ark update]])</f>
        <v>5</v>
      </c>
      <c r="BD398" s="430">
        <f>IFERROR(_xlfn.ISOWEEKNUM(PV_DATA[[#This Row],[ETA for New Ark update]]),0)</f>
        <v>21</v>
      </c>
      <c r="BE398" s="431">
        <f>_xlfn.XLOOKUP(PV_DATA[[#This Row],[New Ark SKU]],Table9[New Ark SKU],Table9[Total PCS per Pallet],,0)</f>
        <v>33</v>
      </c>
      <c r="BF398" s="431">
        <f>_xlfn.XLOOKUP(PV_DATA[[#This Row],[New Ark SKU]],Table9[New Ark SKU],Table9[Total PCS per 40HQ Container],,0)</f>
        <v>594</v>
      </c>
      <c r="BG398" s="431" t="str">
        <f>_xlfn.XLOOKUP(PV_DATA[[#This Row],[New Ark SKU]],Table9[New Ark SKU],Table9[Back Glass],,0)</f>
        <v>Transparent</v>
      </c>
      <c r="BH398" s="431" t="str">
        <f>_xlfn.XLOOKUP(PV_DATA[[#This Row],[PORT DESTINATION]],Table12[PORT DESTINATION],Table12[Cosco Line],,0)</f>
        <v>AEU</v>
      </c>
      <c r="BJ398" s="430"/>
    </row>
    <row r="399" spans="1:62">
      <c r="A399" s="462" t="s">
        <v>1963</v>
      </c>
      <c r="B399" s="462" t="s">
        <v>1802</v>
      </c>
      <c r="C399" s="462" t="str">
        <f>IFERROR(LEFT(PV_DATA[[#This Row],[TCL REFERENCE]],FIND(".",PV_DATA[[#This Row],[TCL REFERENCE]],1)-1),"Main Line")</f>
        <v>26Feb034</v>
      </c>
      <c r="D399" s="462" t="s">
        <v>113</v>
      </c>
      <c r="E399" s="462" t="s">
        <v>144</v>
      </c>
      <c r="F399" s="462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2" t="s">
        <v>402</v>
      </c>
      <c r="H399" s="462" t="s">
        <v>1449</v>
      </c>
      <c r="I399" s="439" t="s">
        <v>822</v>
      </c>
      <c r="J399" s="430" t="s">
        <v>1964</v>
      </c>
      <c r="K399" s="430" t="s">
        <v>1805</v>
      </c>
      <c r="L399" s="430"/>
      <c r="M399" s="430" t="s">
        <v>840</v>
      </c>
      <c r="N399" s="432">
        <v>46104</v>
      </c>
      <c r="O399" s="430" t="s">
        <v>70</v>
      </c>
      <c r="P399" s="430" t="s">
        <v>1806</v>
      </c>
      <c r="Q399" s="430" t="s">
        <v>1807</v>
      </c>
      <c r="R399" s="431" t="str">
        <f>_xlfn.XLOOKUP(PV_DATA[[#This Row],[New Ark SKU]],Table9[New Ark SKU],Table9[Connector],,0)</f>
        <v>H4(Com)</v>
      </c>
      <c r="S399" s="442" t="str">
        <f>_xlfn.XLOOKUP(PV_DATA[[#This Row],[New Ark SKU]],Table9[New Ark SKU],Table9[Cable],,0)</f>
        <v>+400mm/-200mm</v>
      </c>
      <c r="T399" s="433">
        <v>720</v>
      </c>
      <c r="U399" s="1088">
        <f>594*2</f>
        <v>1188</v>
      </c>
      <c r="V399" s="434">
        <f>PV_DATA[[#This Row],[QUANTITY]]*PV_DATA[[#This Row],[WATT]]/1000000</f>
        <v>0.85536000000000001</v>
      </c>
      <c r="W399" s="435">
        <f>PV_DATA[[#This Row],[QUANTITY]]/PV_DATA[[#This Row],[Qty/Pallet]]</f>
        <v>36</v>
      </c>
      <c r="X399" s="1040">
        <f>PV_DATA[[#This Row],[QUANTITY]]/PV_DATA[[#This Row],[Qty/CT]]</f>
        <v>2</v>
      </c>
      <c r="Y399" s="430" t="s">
        <v>75</v>
      </c>
      <c r="Z399" s="430" t="str">
        <f t="shared" si="3"/>
        <v>COMPLETED</v>
      </c>
      <c r="AA399" s="430" t="s">
        <v>1958</v>
      </c>
      <c r="AB399" s="437">
        <v>46114</v>
      </c>
      <c r="AC399" s="438">
        <f>IF(PV_DATA[[#This Row],[Pick- Up Date]]&lt;&gt;"",_xlfn.ISOWEEKNUM(PV_DATA[[#This Row],[Pick- Up Date]]),"")</f>
        <v>14</v>
      </c>
      <c r="AD399" s="439" t="s">
        <v>1965</v>
      </c>
      <c r="AE399" s="430"/>
      <c r="AF399" s="430" t="s">
        <v>4418</v>
      </c>
      <c r="AG399" s="430" t="s">
        <v>123</v>
      </c>
      <c r="AH399" s="430" t="s">
        <v>105</v>
      </c>
      <c r="AI399" s="437">
        <v>46117</v>
      </c>
      <c r="AJ399" s="437">
        <v>46118</v>
      </c>
      <c r="AK399" s="441">
        <v>46118</v>
      </c>
      <c r="AL399" s="437">
        <v>46154</v>
      </c>
      <c r="AM399" s="437">
        <v>46164</v>
      </c>
      <c r="AN399" s="437">
        <v>46164</v>
      </c>
      <c r="AO399" s="430" t="s">
        <v>402</v>
      </c>
      <c r="AP399" s="430" t="s">
        <v>1960</v>
      </c>
      <c r="AQ399" s="430" t="s">
        <v>80</v>
      </c>
      <c r="AR399" s="430" t="s">
        <v>1966</v>
      </c>
      <c r="AS399" s="430" t="s">
        <v>1967</v>
      </c>
      <c r="AT399" s="482" t="s">
        <v>1967</v>
      </c>
      <c r="AU3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7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7">
        <f>IF(ISERROR(PV_DATA[[#This Row],[New Ark PO status]]),"",_xlfn.XLOOKUP(PV_DATA[[#This Row],[SPTN-PVHK New Ark PO'#]],New_Ark_Data[Purchase order Number],New_Ark_Data[Estimated time of arrival],"",0))</f>
        <v>46154</v>
      </c>
      <c r="AZ39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7">
        <f>IFERROR(PV_DATA[[#This Row],[ODP ETA Port]]+PV_DATA[[#This Row],[Customs/Leg3 Assumption]],"n/a")</f>
        <v>46164</v>
      </c>
      <c r="BB399" s="433">
        <f>YEAR(PV_DATA[[#This Row],[ETA for New Ark update]])</f>
        <v>2026</v>
      </c>
      <c r="BC399" s="430">
        <f>MONTH(PV_DATA[[#This Row],[ETA for New Ark update]])</f>
        <v>5</v>
      </c>
      <c r="BD399" s="430">
        <f>IFERROR(_xlfn.ISOWEEKNUM(PV_DATA[[#This Row],[ETA for New Ark update]]),0)</f>
        <v>21</v>
      </c>
      <c r="BE399" s="431">
        <f>_xlfn.XLOOKUP(PV_DATA[[#This Row],[New Ark SKU]],Table9[New Ark SKU],Table9[Total PCS per Pallet],,0)</f>
        <v>33</v>
      </c>
      <c r="BF399" s="431">
        <f>_xlfn.XLOOKUP(PV_DATA[[#This Row],[New Ark SKU]],Table9[New Ark SKU],Table9[Total PCS per 40HQ Container],,0)</f>
        <v>594</v>
      </c>
      <c r="BG399" s="431" t="str">
        <f>_xlfn.XLOOKUP(PV_DATA[[#This Row],[New Ark SKU]],Table9[New Ark SKU],Table9[Back Glass],,0)</f>
        <v>Transparent</v>
      </c>
      <c r="BH399" s="431" t="str">
        <f>_xlfn.XLOOKUP(PV_DATA[[#This Row],[PORT DESTINATION]],Table12[PORT DESTINATION],Table12[Cosco Line],,0)</f>
        <v>AEU</v>
      </c>
      <c r="BJ399" s="430"/>
    </row>
    <row r="400" spans="1:62">
      <c r="A400" s="462" t="s">
        <v>1968</v>
      </c>
      <c r="B400" s="462" t="s">
        <v>1802</v>
      </c>
      <c r="C400" s="462" t="str">
        <f>IFERROR(LEFT(PV_DATA[[#This Row],[TCL REFERENCE]],FIND(".",PV_DATA[[#This Row],[TCL REFERENCE]],1)-1),"Main Line")</f>
        <v>26Feb034</v>
      </c>
      <c r="D400" s="462" t="s">
        <v>113</v>
      </c>
      <c r="E400" s="462" t="s">
        <v>144</v>
      </c>
      <c r="F400" s="462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2" t="s">
        <v>402</v>
      </c>
      <c r="H400" s="462" t="s">
        <v>1449</v>
      </c>
      <c r="I400" s="439" t="s">
        <v>822</v>
      </c>
      <c r="J400" s="430" t="s">
        <v>1957</v>
      </c>
      <c r="K400" s="430" t="s">
        <v>1805</v>
      </c>
      <c r="L400" s="430"/>
      <c r="M400" s="430" t="s">
        <v>840</v>
      </c>
      <c r="N400" s="432">
        <v>46104</v>
      </c>
      <c r="O400" s="430" t="s">
        <v>70</v>
      </c>
      <c r="P400" s="430" t="s">
        <v>1806</v>
      </c>
      <c r="Q400" s="430" t="s">
        <v>1807</v>
      </c>
      <c r="R400" s="431" t="str">
        <f>_xlfn.XLOOKUP(PV_DATA[[#This Row],[New Ark SKU]],Table9[New Ark SKU],Table9[Connector],,0)</f>
        <v>H4(Com)</v>
      </c>
      <c r="S400" s="442" t="str">
        <f>_xlfn.XLOOKUP(PV_DATA[[#This Row],[New Ark SKU]],Table9[New Ark SKU],Table9[Cable],,0)</f>
        <v>+400mm/-200mm</v>
      </c>
      <c r="T400" s="433">
        <v>720</v>
      </c>
      <c r="U400" s="1088">
        <f>594*3</f>
        <v>1782</v>
      </c>
      <c r="V400" s="434">
        <f>PV_DATA[[#This Row],[QUANTITY]]*PV_DATA[[#This Row],[WATT]]/1000000</f>
        <v>1.28304</v>
      </c>
      <c r="W400" s="435">
        <f>PV_DATA[[#This Row],[QUANTITY]]/PV_DATA[[#This Row],[Qty/Pallet]]</f>
        <v>54</v>
      </c>
      <c r="X400" s="1040">
        <f>PV_DATA[[#This Row],[QUANTITY]]/PV_DATA[[#This Row],[Qty/CT]]</f>
        <v>3</v>
      </c>
      <c r="Y400" s="430" t="s">
        <v>75</v>
      </c>
      <c r="Z400" s="430" t="str">
        <f t="shared" si="3"/>
        <v>COMPLETED</v>
      </c>
      <c r="AA400" s="430" t="s">
        <v>1958</v>
      </c>
      <c r="AB400" s="437">
        <v>46114</v>
      </c>
      <c r="AC400" s="438">
        <f>IF(PV_DATA[[#This Row],[Pick- Up Date]]&lt;&gt;"",_xlfn.ISOWEEKNUM(PV_DATA[[#This Row],[Pick- Up Date]]),"")</f>
        <v>14</v>
      </c>
      <c r="AD400" s="439" t="s">
        <v>1969</v>
      </c>
      <c r="AE400" s="430"/>
      <c r="AF400" s="430" t="s">
        <v>4418</v>
      </c>
      <c r="AG400" s="430" t="s">
        <v>123</v>
      </c>
      <c r="AH400" s="430" t="s">
        <v>105</v>
      </c>
      <c r="AI400" s="437">
        <v>46117</v>
      </c>
      <c r="AJ400" s="437">
        <v>46118</v>
      </c>
      <c r="AK400" s="441">
        <v>46118</v>
      </c>
      <c r="AL400" s="437">
        <v>46154</v>
      </c>
      <c r="AM400" s="437">
        <v>46164</v>
      </c>
      <c r="AN400" s="437">
        <v>46164</v>
      </c>
      <c r="AO400" s="430" t="s">
        <v>402</v>
      </c>
      <c r="AP400" s="430" t="s">
        <v>1960</v>
      </c>
      <c r="AQ400" s="430" t="s">
        <v>80</v>
      </c>
      <c r="AR400" s="430" t="s">
        <v>1966</v>
      </c>
      <c r="AS400" s="430" t="s">
        <v>1967</v>
      </c>
      <c r="AT400" s="482" t="s">
        <v>1967</v>
      </c>
      <c r="AU4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7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7">
        <f>IF(ISERROR(PV_DATA[[#This Row],[New Ark PO status]]),"",_xlfn.XLOOKUP(PV_DATA[[#This Row],[SPTN-PVHK New Ark PO'#]],New_Ark_Data[Purchase order Number],New_Ark_Data[Estimated time of arrival],"",0))</f>
        <v>46168</v>
      </c>
      <c r="AZ4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7">
        <f>IFERROR(PV_DATA[[#This Row],[ODP ETA Port]]+PV_DATA[[#This Row],[Customs/Leg3 Assumption]],"n/a")</f>
        <v>46164</v>
      </c>
      <c r="BB400" s="433">
        <f>YEAR(PV_DATA[[#This Row],[ETA for New Ark update]])</f>
        <v>2026</v>
      </c>
      <c r="BC400" s="430">
        <f>MONTH(PV_DATA[[#This Row],[ETA for New Ark update]])</f>
        <v>5</v>
      </c>
      <c r="BD400" s="430">
        <f>IFERROR(_xlfn.ISOWEEKNUM(PV_DATA[[#This Row],[ETA for New Ark update]]),0)</f>
        <v>21</v>
      </c>
      <c r="BE400" s="431">
        <f>_xlfn.XLOOKUP(PV_DATA[[#This Row],[New Ark SKU]],Table9[New Ark SKU],Table9[Total PCS per Pallet],,0)</f>
        <v>33</v>
      </c>
      <c r="BF400" s="431">
        <f>_xlfn.XLOOKUP(PV_DATA[[#This Row],[New Ark SKU]],Table9[New Ark SKU],Table9[Total PCS per 40HQ Container],,0)</f>
        <v>594</v>
      </c>
      <c r="BG400" s="431" t="str">
        <f>_xlfn.XLOOKUP(PV_DATA[[#This Row],[New Ark SKU]],Table9[New Ark SKU],Table9[Back Glass],,0)</f>
        <v>Transparent</v>
      </c>
      <c r="BH400" s="431" t="str">
        <f>_xlfn.XLOOKUP(PV_DATA[[#This Row],[PORT DESTINATION]],Table12[PORT DESTINATION],Table12[Cosco Line],,0)</f>
        <v>AEU</v>
      </c>
      <c r="BJ400" s="430"/>
    </row>
    <row r="401" spans="1:62">
      <c r="A401" s="462" t="s">
        <v>1970</v>
      </c>
      <c r="B401" s="462" t="s">
        <v>1802</v>
      </c>
      <c r="C401" s="462" t="str">
        <f>IFERROR(LEFT(PV_DATA[[#This Row],[TCL REFERENCE]],FIND(".",PV_DATA[[#This Row],[TCL REFERENCE]],1)-1),"Main Line")</f>
        <v>26Feb034</v>
      </c>
      <c r="D401" s="462" t="s">
        <v>113</v>
      </c>
      <c r="E401" s="462" t="s">
        <v>144</v>
      </c>
      <c r="F401" s="462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2" t="s">
        <v>402</v>
      </c>
      <c r="H401" s="462" t="s">
        <v>1449</v>
      </c>
      <c r="I401" s="439" t="s">
        <v>822</v>
      </c>
      <c r="J401" s="430" t="s">
        <v>1964</v>
      </c>
      <c r="K401" s="430" t="s">
        <v>1805</v>
      </c>
      <c r="L401" s="430"/>
      <c r="M401" s="430" t="s">
        <v>840</v>
      </c>
      <c r="N401" s="432">
        <v>46104</v>
      </c>
      <c r="O401" s="430" t="s">
        <v>70</v>
      </c>
      <c r="P401" s="430" t="s">
        <v>1806</v>
      </c>
      <c r="Q401" s="430" t="s">
        <v>1807</v>
      </c>
      <c r="R401" s="431" t="str">
        <f>_xlfn.XLOOKUP(PV_DATA[[#This Row],[New Ark SKU]],Table9[New Ark SKU],Table9[Connector],,0)</f>
        <v>H4(Com)</v>
      </c>
      <c r="S401" s="442" t="str">
        <f>_xlfn.XLOOKUP(PV_DATA[[#This Row],[New Ark SKU]],Table9[New Ark SKU],Table9[Cable],,0)</f>
        <v>+400mm/-200mm</v>
      </c>
      <c r="T401" s="433">
        <v>720</v>
      </c>
      <c r="U401" s="1088">
        <f>594*1</f>
        <v>594</v>
      </c>
      <c r="V401" s="434">
        <f>PV_DATA[[#This Row],[QUANTITY]]*PV_DATA[[#This Row],[WATT]]/1000000</f>
        <v>0.42768</v>
      </c>
      <c r="W401" s="435">
        <f>PV_DATA[[#This Row],[QUANTITY]]/PV_DATA[[#This Row],[Qty/Pallet]]</f>
        <v>18</v>
      </c>
      <c r="X401" s="1040">
        <f>PV_DATA[[#This Row],[QUANTITY]]/PV_DATA[[#This Row],[Qty/CT]]</f>
        <v>1</v>
      </c>
      <c r="Y401" s="430" t="s">
        <v>75</v>
      </c>
      <c r="Z401" s="430" t="str">
        <f t="shared" si="3"/>
        <v>COMPLETED</v>
      </c>
      <c r="AA401" s="430" t="s">
        <v>1958</v>
      </c>
      <c r="AB401" s="437">
        <v>46113</v>
      </c>
      <c r="AC401" s="438">
        <f>IF(PV_DATA[[#This Row],[Pick- Up Date]]&lt;&gt;"",_xlfn.ISOWEEKNUM(PV_DATA[[#This Row],[Pick- Up Date]]),"")</f>
        <v>14</v>
      </c>
      <c r="AD401" s="439" t="s">
        <v>1971</v>
      </c>
      <c r="AE401" s="430"/>
      <c r="AF401" s="430" t="s">
        <v>4418</v>
      </c>
      <c r="AG401" s="430" t="s">
        <v>123</v>
      </c>
      <c r="AH401" s="430" t="s">
        <v>105</v>
      </c>
      <c r="AI401" s="437">
        <v>46116</v>
      </c>
      <c r="AJ401" s="437">
        <v>46117</v>
      </c>
      <c r="AK401" s="441">
        <v>46117</v>
      </c>
      <c r="AL401" s="437">
        <v>46158</v>
      </c>
      <c r="AM401" s="437">
        <v>46159</v>
      </c>
      <c r="AN401" s="437">
        <v>46159</v>
      </c>
      <c r="AO401" s="430" t="s">
        <v>402</v>
      </c>
      <c r="AP401" s="430" t="s">
        <v>1972</v>
      </c>
      <c r="AQ401" s="430" t="s">
        <v>80</v>
      </c>
      <c r="AR401" s="430" t="s">
        <v>1973</v>
      </c>
      <c r="AS401" s="430" t="s">
        <v>1974</v>
      </c>
      <c r="AT401" s="482" t="s">
        <v>1974</v>
      </c>
      <c r="AU4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7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7">
        <f>IF(ISERROR(PV_DATA[[#This Row],[New Ark PO status]]),"",_xlfn.XLOOKUP(PV_DATA[[#This Row],[SPTN-PVHK New Ark PO'#]],New_Ark_Data[Purchase order Number],New_Ark_Data[Estimated time of arrival],"",0))</f>
        <v>46157</v>
      </c>
      <c r="AZ40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7">
        <f>IFERROR(PV_DATA[[#This Row],[ODP ETA Port]]+PV_DATA[[#This Row],[Customs/Leg3 Assumption]],"n/a")</f>
        <v>46159</v>
      </c>
      <c r="BB401" s="433">
        <f>YEAR(PV_DATA[[#This Row],[ETA for New Ark update]])</f>
        <v>2026</v>
      </c>
      <c r="BC401" s="430">
        <f>MONTH(PV_DATA[[#This Row],[ETA for New Ark update]])</f>
        <v>5</v>
      </c>
      <c r="BD401" s="430">
        <f>IFERROR(_xlfn.ISOWEEKNUM(PV_DATA[[#This Row],[ETA for New Ark update]]),0)</f>
        <v>20</v>
      </c>
      <c r="BE401" s="431">
        <f>_xlfn.XLOOKUP(PV_DATA[[#This Row],[New Ark SKU]],Table9[New Ark SKU],Table9[Total PCS per Pallet],,0)</f>
        <v>33</v>
      </c>
      <c r="BF401" s="431">
        <f>_xlfn.XLOOKUP(PV_DATA[[#This Row],[New Ark SKU]],Table9[New Ark SKU],Table9[Total PCS per 40HQ Container],,0)</f>
        <v>594</v>
      </c>
      <c r="BG401" s="431" t="str">
        <f>_xlfn.XLOOKUP(PV_DATA[[#This Row],[New Ark SKU]],Table9[New Ark SKU],Table9[Back Glass],,0)</f>
        <v>Transparent</v>
      </c>
      <c r="BH401" s="431" t="str">
        <f>_xlfn.XLOOKUP(PV_DATA[[#This Row],[PORT DESTINATION]],Table12[PORT DESTINATION],Table12[Cosco Line],,0)</f>
        <v>AEU</v>
      </c>
      <c r="BJ401" s="430"/>
    </row>
    <row r="402" spans="1:62">
      <c r="A402" s="462" t="s">
        <v>1975</v>
      </c>
      <c r="B402" s="462" t="s">
        <v>111</v>
      </c>
      <c r="C402" s="462" t="str">
        <f>IFERROR(LEFT(PV_DATA[[#This Row],[TCL REFERENCE]],FIND(".",PV_DATA[[#This Row],[TCL REFERENCE]],1)-1),"Main Line")</f>
        <v>26Feb006</v>
      </c>
      <c r="D402" s="462" t="s">
        <v>63</v>
      </c>
      <c r="E402" s="462" t="s">
        <v>64</v>
      </c>
      <c r="F402" s="462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2" t="s">
        <v>402</v>
      </c>
      <c r="H402" s="462" t="s">
        <v>311</v>
      </c>
      <c r="I402" s="439" t="s">
        <v>882</v>
      </c>
      <c r="J402" s="430" t="s">
        <v>96</v>
      </c>
      <c r="K402" s="430"/>
      <c r="L402" s="430"/>
      <c r="M402" s="430" t="s">
        <v>68</v>
      </c>
      <c r="N402" s="432">
        <v>46111</v>
      </c>
      <c r="O402" s="430" t="s">
        <v>170</v>
      </c>
      <c r="P402" s="430" t="s">
        <v>1977</v>
      </c>
      <c r="Q402" s="430" t="s">
        <v>1978</v>
      </c>
      <c r="R402" s="431" t="str">
        <f>_xlfn.XLOOKUP(PV_DATA[[#This Row],[New Ark SKU]],Table9[New Ark SKU],Table9[Connector],,0)</f>
        <v>EVO2A</v>
      </c>
      <c r="S402" s="442" t="str">
        <f>_xlfn.XLOOKUP(PV_DATA[[#This Row],[New Ark SKU]],Table9[New Ark SKU],Table9[Cable],,0)</f>
        <v>±1400mm</v>
      </c>
      <c r="T402" s="433">
        <v>560</v>
      </c>
      <c r="U402" s="1088">
        <v>3300</v>
      </c>
      <c r="V402" s="434">
        <f>PV_DATA[[#This Row],[QUANTITY]]*PV_DATA[[#This Row],[WATT]]/1000000</f>
        <v>1.8480000000000001</v>
      </c>
      <c r="W402" s="435">
        <f>PV_DATA[[#This Row],[QUANTITY]]/PV_DATA[[#This Row],[Qty/Pallet]]</f>
        <v>100</v>
      </c>
      <c r="X402" s="1040">
        <f>PV_DATA[[#This Row],[QUANTITY]]/PV_DATA[[#This Row],[Qty/CT]]</f>
        <v>5</v>
      </c>
      <c r="Y402" s="430" t="s">
        <v>75</v>
      </c>
      <c r="Z402" s="430" t="str">
        <f t="shared" si="3"/>
        <v>COMPLETED</v>
      </c>
      <c r="AA402" s="430"/>
      <c r="AB402" s="437">
        <v>46113</v>
      </c>
      <c r="AC402" s="438">
        <f>IF(PV_DATA[[#This Row],[Pick- Up Date]]&lt;&gt;"",_xlfn.ISOWEEKNUM(PV_DATA[[#This Row],[Pick- Up Date]]),"")</f>
        <v>14</v>
      </c>
      <c r="AD402" s="439" t="s">
        <v>1979</v>
      </c>
      <c r="AE402" s="430"/>
      <c r="AF402" s="430" t="s">
        <v>4418</v>
      </c>
      <c r="AG402" s="430" t="s">
        <v>123</v>
      </c>
      <c r="AH402" s="430" t="s">
        <v>314</v>
      </c>
      <c r="AI402" s="437">
        <v>46115</v>
      </c>
      <c r="AJ402" s="437">
        <v>46119</v>
      </c>
      <c r="AK402" s="441">
        <v>46119</v>
      </c>
      <c r="AL402" s="437">
        <v>46162</v>
      </c>
      <c r="AM402" s="437">
        <v>46169</v>
      </c>
      <c r="AN402" s="437">
        <v>46169</v>
      </c>
      <c r="AO402" s="430" t="s">
        <v>402</v>
      </c>
      <c r="AP402" s="430" t="s">
        <v>1980</v>
      </c>
      <c r="AQ402" s="430" t="s">
        <v>80</v>
      </c>
      <c r="AR402" s="430" t="s">
        <v>1981</v>
      </c>
      <c r="AS402" s="430" t="s">
        <v>1982</v>
      </c>
      <c r="AT402" s="482" t="s">
        <v>1982</v>
      </c>
      <c r="AU4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7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7">
        <f>IF(ISERROR(PV_DATA[[#This Row],[New Ark PO status]]),"",_xlfn.XLOOKUP(PV_DATA[[#This Row],[SPTN-PVHK New Ark PO'#]],New_Ark_Data[Purchase order Number],New_Ark_Data[Estimated time of arrival],"",0))</f>
        <v>46183</v>
      </c>
      <c r="AZ40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2" s="437">
        <f>IFERROR(PV_DATA[[#This Row],[ODP ETA Port]]+PV_DATA[[#This Row],[Customs/Leg3 Assumption]],"n/a")</f>
        <v>46179</v>
      </c>
      <c r="BB402" s="433">
        <f>YEAR(PV_DATA[[#This Row],[ETA for New Ark update]])</f>
        <v>2026</v>
      </c>
      <c r="BC402" s="430">
        <f>MONTH(PV_DATA[[#This Row],[ETA for New Ark update]])</f>
        <v>6</v>
      </c>
      <c r="BD402" s="430">
        <f>IFERROR(_xlfn.ISOWEEKNUM(PV_DATA[[#This Row],[ETA for New Ark update]]),0)</f>
        <v>23</v>
      </c>
      <c r="BE402" s="431">
        <f>_xlfn.XLOOKUP(PV_DATA[[#This Row],[New Ark SKU]],Table9[New Ark SKU],Table9[Total PCS per Pallet],,0)</f>
        <v>33</v>
      </c>
      <c r="BF402" s="431">
        <f>_xlfn.XLOOKUP(PV_DATA[[#This Row],[New Ark SKU]],Table9[New Ark SKU],Table9[Total PCS per 40HQ Container],,0)</f>
        <v>660</v>
      </c>
      <c r="BG402" s="431" t="str">
        <f>_xlfn.XLOOKUP(PV_DATA[[#This Row],[New Ark SKU]],Table9[New Ark SKU],Table9[Back Glass],,0)</f>
        <v>White glazing</v>
      </c>
      <c r="BH402" s="431" t="str">
        <f>_xlfn.XLOOKUP(PV_DATA[[#This Row],[PORT DESTINATION]],Table12[PORT DESTINATION],Table12[Cosco Line],,0)</f>
        <v>AEM</v>
      </c>
      <c r="BJ402" s="430"/>
    </row>
    <row r="403" spans="1:62">
      <c r="A403" s="462" t="s">
        <v>1983</v>
      </c>
      <c r="B403" s="462" t="s">
        <v>111</v>
      </c>
      <c r="C403" s="462" t="str">
        <f>IFERROR(LEFT(PV_DATA[[#This Row],[TCL REFERENCE]],FIND(".",PV_DATA[[#This Row],[TCL REFERENCE]],1)-1),"Main Line")</f>
        <v>26Feb005</v>
      </c>
      <c r="D403" s="462" t="s">
        <v>63</v>
      </c>
      <c r="E403" s="462" t="s">
        <v>64</v>
      </c>
      <c r="F403" s="462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2" t="s">
        <v>402</v>
      </c>
      <c r="H403" s="462" t="s">
        <v>311</v>
      </c>
      <c r="I403" s="439" t="s">
        <v>1395</v>
      </c>
      <c r="J403" s="430" t="s">
        <v>96</v>
      </c>
      <c r="K403" s="430"/>
      <c r="L403" s="430"/>
      <c r="M403" s="430" t="s">
        <v>68</v>
      </c>
      <c r="N403" s="432">
        <v>46111</v>
      </c>
      <c r="O403" s="430" t="s">
        <v>170</v>
      </c>
      <c r="P403" s="430" t="s">
        <v>171</v>
      </c>
      <c r="Q403" s="430" t="s">
        <v>1731</v>
      </c>
      <c r="R403" s="431" t="str">
        <f>_xlfn.XLOOKUP(PV_DATA[[#This Row],[New Ark SKU]],Table9[New Ark SKU],Table9[Connector],,0)</f>
        <v>EVO2A</v>
      </c>
      <c r="S403" s="442" t="str">
        <f>_xlfn.XLOOKUP(PV_DATA[[#This Row],[New Ark SKU]],Table9[New Ark SKU],Table9[Cable],,0)</f>
        <v>±1400mm</v>
      </c>
      <c r="T403" s="433">
        <v>555</v>
      </c>
      <c r="U403" s="1088">
        <v>1980</v>
      </c>
      <c r="V403" s="434">
        <f>PV_DATA[[#This Row],[QUANTITY]]*PV_DATA[[#This Row],[WATT]]/1000000</f>
        <v>1.0989</v>
      </c>
      <c r="W403" s="435">
        <f>PV_DATA[[#This Row],[QUANTITY]]/PV_DATA[[#This Row],[Qty/Pallet]]</f>
        <v>60</v>
      </c>
      <c r="X403" s="1040">
        <f>PV_DATA[[#This Row],[QUANTITY]]/PV_DATA[[#This Row],[Qty/CT]]</f>
        <v>3</v>
      </c>
      <c r="Y403" s="430" t="s">
        <v>75</v>
      </c>
      <c r="Z403" s="430" t="str">
        <f t="shared" si="3"/>
        <v>COMPLETED</v>
      </c>
      <c r="AA403" s="430"/>
      <c r="AB403" s="437">
        <v>46113</v>
      </c>
      <c r="AC403" s="438">
        <f>IF(PV_DATA[[#This Row],[Pick- Up Date]]&lt;&gt;"",_xlfn.ISOWEEKNUM(PV_DATA[[#This Row],[Pick- Up Date]]),"")</f>
        <v>14</v>
      </c>
      <c r="AD403" s="439" t="s">
        <v>1984</v>
      </c>
      <c r="AE403" s="430"/>
      <c r="AF403" s="430" t="s">
        <v>4418</v>
      </c>
      <c r="AG403" s="430" t="s">
        <v>123</v>
      </c>
      <c r="AH403" s="430" t="s">
        <v>314</v>
      </c>
      <c r="AI403" s="437">
        <v>46115</v>
      </c>
      <c r="AJ403" s="437">
        <v>46119</v>
      </c>
      <c r="AK403" s="441">
        <v>46119</v>
      </c>
      <c r="AL403" s="437">
        <v>46162</v>
      </c>
      <c r="AM403" s="437">
        <v>46169</v>
      </c>
      <c r="AN403" s="437">
        <v>46169</v>
      </c>
      <c r="AO403" s="430" t="s">
        <v>402</v>
      </c>
      <c r="AP403" s="430" t="s">
        <v>1980</v>
      </c>
      <c r="AQ403" s="430" t="s">
        <v>80</v>
      </c>
      <c r="AR403" s="430" t="s">
        <v>1981</v>
      </c>
      <c r="AS403" s="430" t="s">
        <v>1982</v>
      </c>
      <c r="AT403" s="482" t="s">
        <v>1982</v>
      </c>
      <c r="AU4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7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7">
        <f>IF(ISERROR(PV_DATA[[#This Row],[New Ark PO status]]),"",_xlfn.XLOOKUP(PV_DATA[[#This Row],[SPTN-PVHK New Ark PO'#]],New_Ark_Data[Purchase order Number],New_Ark_Data[Estimated time of arrival],"",0))</f>
        <v>46183</v>
      </c>
      <c r="AZ40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3" s="437">
        <f>IFERROR(PV_DATA[[#This Row],[ODP ETA Port]]+PV_DATA[[#This Row],[Customs/Leg3 Assumption]],"n/a")</f>
        <v>46179</v>
      </c>
      <c r="BB403" s="433">
        <f>YEAR(PV_DATA[[#This Row],[ETA for New Ark update]])</f>
        <v>2026</v>
      </c>
      <c r="BC403" s="430">
        <f>MONTH(PV_DATA[[#This Row],[ETA for New Ark update]])</f>
        <v>6</v>
      </c>
      <c r="BD403" s="430">
        <f>IFERROR(_xlfn.ISOWEEKNUM(PV_DATA[[#This Row],[ETA for New Ark update]]),0)</f>
        <v>23</v>
      </c>
      <c r="BE403" s="431">
        <f>_xlfn.XLOOKUP(PV_DATA[[#This Row],[New Ark SKU]],Table9[New Ark SKU],Table9[Total PCS per Pallet],,0)</f>
        <v>33</v>
      </c>
      <c r="BF403" s="431">
        <f>_xlfn.XLOOKUP(PV_DATA[[#This Row],[New Ark SKU]],Table9[New Ark SKU],Table9[Total PCS per 40HQ Container],,0)</f>
        <v>660</v>
      </c>
      <c r="BG403" s="431" t="str">
        <f>_xlfn.XLOOKUP(PV_DATA[[#This Row],[New Ark SKU]],Table9[New Ark SKU],Table9[Back Glass],,0)</f>
        <v>White glazing</v>
      </c>
      <c r="BH403" s="431" t="str">
        <f>_xlfn.XLOOKUP(PV_DATA[[#This Row],[PORT DESTINATION]],Table12[PORT DESTINATION],Table12[Cosco Line],,0)</f>
        <v>AEM</v>
      </c>
      <c r="BJ403" s="430"/>
    </row>
    <row r="404" spans="1:62">
      <c r="A404" s="462" t="s">
        <v>1985</v>
      </c>
      <c r="B404" s="462" t="s">
        <v>111</v>
      </c>
      <c r="C404" s="462" t="str">
        <f>IFERROR(LEFT(PV_DATA[[#This Row],[TCL REFERENCE]],FIND(".",PV_DATA[[#This Row],[TCL REFERENCE]],1)-1),"Main Line")</f>
        <v>26Feb006</v>
      </c>
      <c r="D404" s="462" t="s">
        <v>63</v>
      </c>
      <c r="E404" s="462" t="s">
        <v>64</v>
      </c>
      <c r="F404" s="462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2" t="s">
        <v>402</v>
      </c>
      <c r="H404" s="462" t="s">
        <v>311</v>
      </c>
      <c r="I404" s="439" t="s">
        <v>882</v>
      </c>
      <c r="J404" s="430" t="s">
        <v>96</v>
      </c>
      <c r="K404" s="430"/>
      <c r="L404" s="430"/>
      <c r="M404" s="430" t="s">
        <v>68</v>
      </c>
      <c r="N404" s="432">
        <v>46111</v>
      </c>
      <c r="O404" s="430" t="s">
        <v>170</v>
      </c>
      <c r="P404" s="430" t="s">
        <v>1977</v>
      </c>
      <c r="Q404" s="430" t="s">
        <v>1978</v>
      </c>
      <c r="R404" s="431" t="str">
        <f>_xlfn.XLOOKUP(PV_DATA[[#This Row],[New Ark SKU]],Table9[New Ark SKU],Table9[Connector],,0)</f>
        <v>EVO2A</v>
      </c>
      <c r="S404" s="442" t="str">
        <f>_xlfn.XLOOKUP(PV_DATA[[#This Row],[New Ark SKU]],Table9[New Ark SKU],Table9[Cable],,0)</f>
        <v>±1400mm</v>
      </c>
      <c r="T404" s="433">
        <v>560</v>
      </c>
      <c r="U404" s="1088">
        <f>660*9</f>
        <v>5940</v>
      </c>
      <c r="V404" s="434">
        <f>PV_DATA[[#This Row],[QUANTITY]]*PV_DATA[[#This Row],[WATT]]/1000000</f>
        <v>3.3264</v>
      </c>
      <c r="W404" s="435">
        <f>PV_DATA[[#This Row],[QUANTITY]]/PV_DATA[[#This Row],[Qty/Pallet]]</f>
        <v>180</v>
      </c>
      <c r="X404" s="1040">
        <f>PV_DATA[[#This Row],[QUANTITY]]/PV_DATA[[#This Row],[Qty/CT]]</f>
        <v>9</v>
      </c>
      <c r="Y404" s="430" t="s">
        <v>75</v>
      </c>
      <c r="Z404" s="430" t="str">
        <f t="shared" si="3"/>
        <v>COMPLETED</v>
      </c>
      <c r="AA404" s="430" t="s">
        <v>1986</v>
      </c>
      <c r="AB404" s="437">
        <v>46113</v>
      </c>
      <c r="AC404" s="438">
        <f>IF(PV_DATA[[#This Row],[Pick- Up Date]]&lt;&gt;"",_xlfn.ISOWEEKNUM(PV_DATA[[#This Row],[Pick- Up Date]]),"")</f>
        <v>14</v>
      </c>
      <c r="AD404" s="439" t="s">
        <v>1987</v>
      </c>
      <c r="AE404" s="430"/>
      <c r="AF404" s="430" t="s">
        <v>4418</v>
      </c>
      <c r="AG404" s="430" t="s">
        <v>123</v>
      </c>
      <c r="AH404" s="430" t="s">
        <v>314</v>
      </c>
      <c r="AI404" s="437">
        <v>46116</v>
      </c>
      <c r="AJ404" s="437">
        <v>46119</v>
      </c>
      <c r="AK404" s="441">
        <v>46119</v>
      </c>
      <c r="AL404" s="437">
        <v>46162</v>
      </c>
      <c r="AM404" s="437">
        <v>46169</v>
      </c>
      <c r="AN404" s="437">
        <v>46169</v>
      </c>
      <c r="AO404" s="430" t="s">
        <v>402</v>
      </c>
      <c r="AP404" s="430" t="s">
        <v>1980</v>
      </c>
      <c r="AQ404" s="430" t="s">
        <v>80</v>
      </c>
      <c r="AR404" s="430" t="s">
        <v>1988</v>
      </c>
      <c r="AS404" s="430" t="s">
        <v>1989</v>
      </c>
      <c r="AT404" s="482" t="s">
        <v>1989</v>
      </c>
      <c r="AU4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7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7">
        <f>IF(ISERROR(PV_DATA[[#This Row],[New Ark PO status]]),"",_xlfn.XLOOKUP(PV_DATA[[#This Row],[SPTN-PVHK New Ark PO'#]],New_Ark_Data[Purchase order Number],New_Ark_Data[Estimated time of arrival],"",0))</f>
        <v>46183</v>
      </c>
      <c r="AZ40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4" s="437">
        <f>IFERROR(PV_DATA[[#This Row],[ODP ETA Port]]+PV_DATA[[#This Row],[Customs/Leg3 Assumption]],"n/a")</f>
        <v>46179</v>
      </c>
      <c r="BB404" s="433">
        <f>YEAR(PV_DATA[[#This Row],[ETA for New Ark update]])</f>
        <v>2026</v>
      </c>
      <c r="BC404" s="430">
        <f>MONTH(PV_DATA[[#This Row],[ETA for New Ark update]])</f>
        <v>6</v>
      </c>
      <c r="BD404" s="430">
        <f>IFERROR(_xlfn.ISOWEEKNUM(PV_DATA[[#This Row],[ETA for New Ark update]]),0)</f>
        <v>23</v>
      </c>
      <c r="BE404" s="431">
        <f>_xlfn.XLOOKUP(PV_DATA[[#This Row],[New Ark SKU]],Table9[New Ark SKU],Table9[Total PCS per Pallet],,0)</f>
        <v>33</v>
      </c>
      <c r="BF404" s="431">
        <f>_xlfn.XLOOKUP(PV_DATA[[#This Row],[New Ark SKU]],Table9[New Ark SKU],Table9[Total PCS per 40HQ Container],,0)</f>
        <v>660</v>
      </c>
      <c r="BG404" s="431" t="str">
        <f>_xlfn.XLOOKUP(PV_DATA[[#This Row],[New Ark SKU]],Table9[New Ark SKU],Table9[Back Glass],,0)</f>
        <v>White glazing</v>
      </c>
      <c r="BH404" s="431" t="str">
        <f>_xlfn.XLOOKUP(PV_DATA[[#This Row],[PORT DESTINATION]],Table12[PORT DESTINATION],Table12[Cosco Line],,0)</f>
        <v>AEM</v>
      </c>
      <c r="BJ404" s="430"/>
    </row>
    <row r="405" spans="1:62">
      <c r="A405" s="462" t="s">
        <v>1990</v>
      </c>
      <c r="B405" s="462" t="s">
        <v>111</v>
      </c>
      <c r="C405" s="462" t="str">
        <f>IFERROR(LEFT(PV_DATA[[#This Row],[TCL REFERENCE]],FIND(".",PV_DATA[[#This Row],[TCL REFERENCE]],1)-1),"Main Line")</f>
        <v>26Feb006</v>
      </c>
      <c r="D405" s="462" t="s">
        <v>63</v>
      </c>
      <c r="E405" s="462" t="s">
        <v>64</v>
      </c>
      <c r="F405" s="462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2" t="s">
        <v>402</v>
      </c>
      <c r="H405" s="462" t="s">
        <v>67</v>
      </c>
      <c r="I405" s="439" t="s">
        <v>882</v>
      </c>
      <c r="J405" s="430" t="s">
        <v>69</v>
      </c>
      <c r="K405" s="430"/>
      <c r="L405" s="430"/>
      <c r="M405" s="430" t="s">
        <v>68</v>
      </c>
      <c r="N405" s="432">
        <v>46111</v>
      </c>
      <c r="O405" s="430" t="s">
        <v>170</v>
      </c>
      <c r="P405" s="430" t="s">
        <v>1977</v>
      </c>
      <c r="Q405" s="430" t="s">
        <v>1978</v>
      </c>
      <c r="R405" s="431" t="str">
        <f>_xlfn.XLOOKUP(PV_DATA[[#This Row],[New Ark SKU]],Table9[New Ark SKU],Table9[Connector],,0)</f>
        <v>EVO2A</v>
      </c>
      <c r="S405" s="442" t="str">
        <f>_xlfn.XLOOKUP(PV_DATA[[#This Row],[New Ark SKU]],Table9[New Ark SKU],Table9[Cable],,0)</f>
        <v>±1400mm</v>
      </c>
      <c r="T405" s="433">
        <v>560</v>
      </c>
      <c r="U405" s="1088">
        <v>3267</v>
      </c>
      <c r="V405" s="434">
        <f>PV_DATA[[#This Row],[QUANTITY]]*PV_DATA[[#This Row],[WATT]]/1000000</f>
        <v>1.82952</v>
      </c>
      <c r="W405" s="435">
        <f>PV_DATA[[#This Row],[QUANTITY]]/PV_DATA[[#This Row],[Qty/Pallet]]</f>
        <v>99</v>
      </c>
      <c r="X405" s="1084">
        <f>PV_DATA[[#This Row],[QUANTITY]]/PV_DATA[[#This Row],[Qty/CT]]</f>
        <v>4.95</v>
      </c>
      <c r="Y405" s="430" t="s">
        <v>75</v>
      </c>
      <c r="Z405" s="430" t="str">
        <f t="shared" si="3"/>
        <v>COMPLETED</v>
      </c>
      <c r="AA405" s="430" t="s">
        <v>1991</v>
      </c>
      <c r="AB405" s="437">
        <v>46116</v>
      </c>
      <c r="AC405" s="438">
        <f>IF(PV_DATA[[#This Row],[Pick- Up Date]]&lt;&gt;"",_xlfn.ISOWEEKNUM(PV_DATA[[#This Row],[Pick- Up Date]]),"")</f>
        <v>14</v>
      </c>
      <c r="AD405" s="439" t="s">
        <v>1992</v>
      </c>
      <c r="AE405" s="430"/>
      <c r="AF405" s="430" t="s">
        <v>4418</v>
      </c>
      <c r="AG405" s="430" t="s">
        <v>123</v>
      </c>
      <c r="AH405" s="430" t="s">
        <v>78</v>
      </c>
      <c r="AI405" s="437">
        <v>46119</v>
      </c>
      <c r="AJ405" s="437">
        <v>46120</v>
      </c>
      <c r="AK405" s="441">
        <v>46120</v>
      </c>
      <c r="AL405" s="437">
        <v>46168</v>
      </c>
      <c r="AM405" s="437">
        <v>46166</v>
      </c>
      <c r="AN405" s="437">
        <v>46164</v>
      </c>
      <c r="AO405" s="430" t="s">
        <v>402</v>
      </c>
      <c r="AP405" s="430" t="s">
        <v>1993</v>
      </c>
      <c r="AQ405" s="430" t="s">
        <v>80</v>
      </c>
      <c r="AR405" s="430" t="s">
        <v>1994</v>
      </c>
      <c r="AS405" s="430" t="s">
        <v>1995</v>
      </c>
      <c r="AT405" s="482" t="s">
        <v>1995</v>
      </c>
      <c r="AU4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7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7">
        <f>IF(ISERROR(PV_DATA[[#This Row],[New Ark PO status]]),"",_xlfn.XLOOKUP(PV_DATA[[#This Row],[SPTN-PVHK New Ark PO'#]],New_Ark_Data[Purchase order Number],New_Ark_Data[Estimated time of arrival],"",0))</f>
        <v>46178</v>
      </c>
      <c r="AZ40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7">
        <f>IFERROR(PV_DATA[[#This Row],[ODP ETA Port]]+PV_DATA[[#This Row],[Customs/Leg3 Assumption]],"n/a")</f>
        <v>46172</v>
      </c>
      <c r="BB405" s="433">
        <f>YEAR(PV_DATA[[#This Row],[ETA for New Ark update]])</f>
        <v>2026</v>
      </c>
      <c r="BC405" s="430">
        <f>MONTH(PV_DATA[[#This Row],[ETA for New Ark update]])</f>
        <v>5</v>
      </c>
      <c r="BD405" s="430">
        <f>IFERROR(_xlfn.ISOWEEKNUM(PV_DATA[[#This Row],[ETA for New Ark update]]),0)</f>
        <v>22</v>
      </c>
      <c r="BE405" s="431">
        <f>_xlfn.XLOOKUP(PV_DATA[[#This Row],[New Ark SKU]],Table9[New Ark SKU],Table9[Total PCS per Pallet],,0)</f>
        <v>33</v>
      </c>
      <c r="BF405" s="431">
        <f>_xlfn.XLOOKUP(PV_DATA[[#This Row],[New Ark SKU]],Table9[New Ark SKU],Table9[Total PCS per 40HQ Container],,0)</f>
        <v>660</v>
      </c>
      <c r="BG405" s="431" t="str">
        <f>_xlfn.XLOOKUP(PV_DATA[[#This Row],[New Ark SKU]],Table9[New Ark SKU],Table9[Back Glass],,0)</f>
        <v>White glazing</v>
      </c>
      <c r="BH405" s="431" t="str">
        <f>_xlfn.XLOOKUP(PV_DATA[[#This Row],[PORT DESTINATION]],Table12[PORT DESTINATION],Table12[Cosco Line],,0)</f>
        <v>AEM</v>
      </c>
      <c r="BJ405" s="430"/>
    </row>
    <row r="406" spans="1:62">
      <c r="A406" s="462" t="s">
        <v>1996</v>
      </c>
      <c r="B406" s="462" t="s">
        <v>111</v>
      </c>
      <c r="C406" s="462" t="str">
        <f>IFERROR(LEFT(PV_DATA[[#This Row],[TCL REFERENCE]],FIND(".",PV_DATA[[#This Row],[TCL REFERENCE]],1)-1),"Main Line")</f>
        <v>26Feb005</v>
      </c>
      <c r="D406" s="462" t="s">
        <v>63</v>
      </c>
      <c r="E406" s="462" t="s">
        <v>64</v>
      </c>
      <c r="F406" s="462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2" t="s">
        <v>402</v>
      </c>
      <c r="H406" s="462" t="s">
        <v>311</v>
      </c>
      <c r="I406" s="439" t="s">
        <v>1395</v>
      </c>
      <c r="J406" s="430" t="s">
        <v>96</v>
      </c>
      <c r="K406" s="430"/>
      <c r="L406" s="430"/>
      <c r="M406" s="430" t="s">
        <v>68</v>
      </c>
      <c r="N406" s="432">
        <v>46111</v>
      </c>
      <c r="O406" s="430" t="s">
        <v>170</v>
      </c>
      <c r="P406" s="430" t="s">
        <v>171</v>
      </c>
      <c r="Q406" s="430" t="s">
        <v>1731</v>
      </c>
      <c r="R406" s="431" t="str">
        <f>_xlfn.XLOOKUP(PV_DATA[[#This Row],[New Ark SKU]],Table9[New Ark SKU],Table9[Connector],,0)</f>
        <v>EVO2A</v>
      </c>
      <c r="S406" s="442" t="str">
        <f>_xlfn.XLOOKUP(PV_DATA[[#This Row],[New Ark SKU]],Table9[New Ark SKU],Table9[Cable],,0)</f>
        <v>±1400mm</v>
      </c>
      <c r="T406" s="433">
        <v>555</v>
      </c>
      <c r="U406" s="1088">
        <f>660*5</f>
        <v>3300</v>
      </c>
      <c r="V406" s="434">
        <f>PV_DATA[[#This Row],[QUANTITY]]*PV_DATA[[#This Row],[WATT]]/1000000</f>
        <v>1.8314999999999999</v>
      </c>
      <c r="W406" s="435">
        <f>PV_DATA[[#This Row],[QUANTITY]]/PV_DATA[[#This Row],[Qty/Pallet]]</f>
        <v>100</v>
      </c>
      <c r="X406" s="1040">
        <f>PV_DATA[[#This Row],[QUANTITY]]/PV_DATA[[#This Row],[Qty/CT]]</f>
        <v>5</v>
      </c>
      <c r="Y406" s="430" t="s">
        <v>951</v>
      </c>
      <c r="Z406" s="430" t="str">
        <f t="shared" si="3"/>
        <v>COMPLETED</v>
      </c>
      <c r="AA406" s="430" t="s">
        <v>1997</v>
      </c>
      <c r="AB406" s="437">
        <v>46117</v>
      </c>
      <c r="AC406" s="438">
        <f>IF(PV_DATA[[#This Row],[Pick- Up Date]]&lt;&gt;"",_xlfn.ISOWEEKNUM(PV_DATA[[#This Row],[Pick- Up Date]]),"")</f>
        <v>14</v>
      </c>
      <c r="AD406" s="439" t="s">
        <v>1998</v>
      </c>
      <c r="AE406" s="430"/>
      <c r="AF406" s="430" t="s">
        <v>4423</v>
      </c>
      <c r="AG406" s="430" t="s">
        <v>123</v>
      </c>
      <c r="AH406" s="430" t="s">
        <v>1561</v>
      </c>
      <c r="AI406" s="437">
        <v>46124</v>
      </c>
      <c r="AJ406" s="437">
        <v>46125</v>
      </c>
      <c r="AK406" s="441">
        <v>46125</v>
      </c>
      <c r="AL406" s="437">
        <v>46167</v>
      </c>
      <c r="AM406" s="437">
        <v>46182</v>
      </c>
      <c r="AN406" s="437">
        <v>46182</v>
      </c>
      <c r="AO406" s="430" t="s">
        <v>402</v>
      </c>
      <c r="AP406" s="430" t="s">
        <v>2000</v>
      </c>
      <c r="AQ406" s="430" t="s">
        <v>80</v>
      </c>
      <c r="AR406" s="430" t="s">
        <v>2001</v>
      </c>
      <c r="AS406" s="430" t="s">
        <v>2002</v>
      </c>
      <c r="AT406" s="482" t="s">
        <v>2002</v>
      </c>
      <c r="AU4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7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7">
        <f>IF(ISERROR(PV_DATA[[#This Row],[New Ark PO status]]),"",_xlfn.XLOOKUP(PV_DATA[[#This Row],[SPTN-PVHK New Ark PO'#]],New_Ark_Data[Purchase order Number],New_Ark_Data[Estimated time of arrival],"",0))</f>
        <v>46202</v>
      </c>
      <c r="AZ40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6" s="437">
        <f>IFERROR(PV_DATA[[#This Row],[ODP ETA Port]]+PV_DATA[[#This Row],[Customs/Leg3 Assumption]],"n/a")</f>
        <v>46192</v>
      </c>
      <c r="BB406" s="433">
        <f>YEAR(PV_DATA[[#This Row],[ETA for New Ark update]])</f>
        <v>2026</v>
      </c>
      <c r="BC406" s="430">
        <f>MONTH(PV_DATA[[#This Row],[ETA for New Ark update]])</f>
        <v>6</v>
      </c>
      <c r="BD406" s="430">
        <f>IFERROR(_xlfn.ISOWEEKNUM(PV_DATA[[#This Row],[ETA for New Ark update]]),0)</f>
        <v>25</v>
      </c>
      <c r="BE406" s="431">
        <f>_xlfn.XLOOKUP(PV_DATA[[#This Row],[New Ark SKU]],Table9[New Ark SKU],Table9[Total PCS per Pallet],,0)</f>
        <v>33</v>
      </c>
      <c r="BF406" s="431">
        <f>_xlfn.XLOOKUP(PV_DATA[[#This Row],[New Ark SKU]],Table9[New Ark SKU],Table9[Total PCS per 40HQ Container],,0)</f>
        <v>660</v>
      </c>
      <c r="BG406" s="431" t="str">
        <f>_xlfn.XLOOKUP(PV_DATA[[#This Row],[New Ark SKU]],Table9[New Ark SKU],Table9[Back Glass],,0)</f>
        <v>White glazing</v>
      </c>
      <c r="BH406" s="431" t="str">
        <f>_xlfn.XLOOKUP(PV_DATA[[#This Row],[PORT DESTINATION]],Table12[PORT DESTINATION],Table12[Cosco Line],,0)</f>
        <v>AEM</v>
      </c>
      <c r="BJ406" s="430"/>
    </row>
    <row r="407" spans="1:62">
      <c r="A407" s="462" t="s">
        <v>2003</v>
      </c>
      <c r="B407" s="462" t="s">
        <v>61</v>
      </c>
      <c r="C407" s="462" t="str">
        <f>IFERROR(LEFT(PV_DATA[[#This Row],[TCL REFERENCE]],FIND(".",PV_DATA[[#This Row],[TCL REFERENCE]],1)-1),"Main Line")</f>
        <v>26Feb022</v>
      </c>
      <c r="D407" s="462" t="s">
        <v>63</v>
      </c>
      <c r="E407" s="462" t="s">
        <v>64</v>
      </c>
      <c r="F407" s="462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2" t="s">
        <v>402</v>
      </c>
      <c r="H407" s="462" t="s">
        <v>67</v>
      </c>
      <c r="I407" s="439" t="s">
        <v>2004</v>
      </c>
      <c r="J407" s="430" t="s">
        <v>96</v>
      </c>
      <c r="K407" s="430"/>
      <c r="L407" s="430"/>
      <c r="M407" s="430" t="s">
        <v>68</v>
      </c>
      <c r="N407" s="432">
        <v>46111</v>
      </c>
      <c r="O407" s="430" t="s">
        <v>70</v>
      </c>
      <c r="P407" s="430" t="s">
        <v>204</v>
      </c>
      <c r="Q407" s="430" t="s">
        <v>205</v>
      </c>
      <c r="R407" s="431" t="str">
        <f>_xlfn.XLOOKUP(PV_DATA[[#This Row],[New Ark SKU]],Table9[New Ark SKU],Table9[Connector],,0)</f>
        <v>EVO2A</v>
      </c>
      <c r="S407" s="442" t="str">
        <f>_xlfn.XLOOKUP(PV_DATA[[#This Row],[New Ark SKU]],Table9[New Ark SKU],Table9[Cable],,0)</f>
        <v>±1200mm</v>
      </c>
      <c r="T407" s="433">
        <v>455</v>
      </c>
      <c r="U407" s="1088">
        <f>936*2</f>
        <v>1872</v>
      </c>
      <c r="V407" s="434">
        <f>PV_DATA[[#This Row],[QUANTITY]]*PV_DATA[[#This Row],[WATT]]/1000000</f>
        <v>0.85175999999999996</v>
      </c>
      <c r="W407" s="435">
        <f>PV_DATA[[#This Row],[QUANTITY]]/PV_DATA[[#This Row],[Qty/Pallet]]</f>
        <v>52</v>
      </c>
      <c r="X407" s="1040">
        <f>PV_DATA[[#This Row],[QUANTITY]]/PV_DATA[[#This Row],[Qty/CT]]</f>
        <v>2</v>
      </c>
      <c r="Y407" s="430" t="s">
        <v>75</v>
      </c>
      <c r="Z407" s="430" t="str">
        <f t="shared" si="3"/>
        <v>COMPLETED</v>
      </c>
      <c r="AA407" s="430" t="s">
        <v>1896</v>
      </c>
      <c r="AB407" s="437">
        <v>46111</v>
      </c>
      <c r="AC407" s="438">
        <f>IF(PV_DATA[[#This Row],[Pick- Up Date]]&lt;&gt;"",_xlfn.ISOWEEKNUM(PV_DATA[[#This Row],[Pick- Up Date]]),"")</f>
        <v>14</v>
      </c>
      <c r="AD407" s="439" t="s">
        <v>2005</v>
      </c>
      <c r="AE407" s="430"/>
      <c r="AF407" s="430" t="s">
        <v>4421</v>
      </c>
      <c r="AG407" s="430" t="s">
        <v>61</v>
      </c>
      <c r="AH407" s="430" t="s">
        <v>78</v>
      </c>
      <c r="AI407" s="437">
        <v>46116</v>
      </c>
      <c r="AJ407" s="437">
        <v>46116</v>
      </c>
      <c r="AK407" s="441">
        <v>46117</v>
      </c>
      <c r="AL407" s="437">
        <v>46181</v>
      </c>
      <c r="AM407" s="437">
        <v>46171</v>
      </c>
      <c r="AN407" s="437">
        <v>46175</v>
      </c>
      <c r="AO407" s="430" t="s">
        <v>402</v>
      </c>
      <c r="AP407" s="430" t="s">
        <v>2006</v>
      </c>
      <c r="AQ407" s="430" t="s">
        <v>80</v>
      </c>
      <c r="AR407" s="430" t="s">
        <v>2007</v>
      </c>
      <c r="AS407" s="430" t="s">
        <v>2008</v>
      </c>
      <c r="AT407" s="482" t="s">
        <v>2008</v>
      </c>
      <c r="AU4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7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7">
        <f>IF(ISERROR(PV_DATA[[#This Row],[New Ark PO status]]),"",_xlfn.XLOOKUP(PV_DATA[[#This Row],[SPTN-PVHK New Ark PO'#]],New_Ark_Data[Purchase order Number],New_Ark_Data[Estimated time of arrival],"",0))</f>
        <v>46188</v>
      </c>
      <c r="AZ40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7">
        <f>IFERROR(PV_DATA[[#This Row],[ODP ETA Port]]+PV_DATA[[#This Row],[Customs/Leg3 Assumption]],"n/a")</f>
        <v>46183</v>
      </c>
      <c r="BB407" s="433">
        <f>YEAR(PV_DATA[[#This Row],[ETA for New Ark update]])</f>
        <v>2026</v>
      </c>
      <c r="BC407" s="430">
        <f>MONTH(PV_DATA[[#This Row],[ETA for New Ark update]])</f>
        <v>6</v>
      </c>
      <c r="BD407" s="430">
        <f>IFERROR(_xlfn.ISOWEEKNUM(PV_DATA[[#This Row],[ETA for New Ark update]]),0)</f>
        <v>24</v>
      </c>
      <c r="BE407" s="431">
        <f>_xlfn.XLOOKUP(PV_DATA[[#This Row],[New Ark SKU]],Table9[New Ark SKU],Table9[Total PCS per Pallet],,0)</f>
        <v>36</v>
      </c>
      <c r="BF407" s="431">
        <f>_xlfn.XLOOKUP(PV_DATA[[#This Row],[New Ark SKU]],Table9[New Ark SKU],Table9[Total PCS per 40HQ Container],,0)</f>
        <v>936</v>
      </c>
      <c r="BG407" s="431" t="str">
        <f>_xlfn.XLOOKUP(PV_DATA[[#This Row],[New Ark SKU]],Table9[New Ark SKU],Table9[Back Glass],,0)</f>
        <v>Transparent</v>
      </c>
      <c r="BH407" s="431" t="str">
        <f>_xlfn.XLOOKUP(PV_DATA[[#This Row],[PORT DESTINATION]],Table12[PORT DESTINATION],Table12[Cosco Line],,0)</f>
        <v>AEM</v>
      </c>
      <c r="BJ407" s="430"/>
    </row>
    <row r="408" spans="1:62">
      <c r="A408" s="462" t="s">
        <v>2009</v>
      </c>
      <c r="B408" s="462" t="s">
        <v>61</v>
      </c>
      <c r="C408" s="462" t="str">
        <f>IFERROR(LEFT(PV_DATA[[#This Row],[TCL REFERENCE]],FIND(".",PV_DATA[[#This Row],[TCL REFERENCE]],1)-1),"Main Line")</f>
        <v>26Feb022</v>
      </c>
      <c r="D408" s="462" t="s">
        <v>63</v>
      </c>
      <c r="E408" s="462" t="s">
        <v>64</v>
      </c>
      <c r="F408" s="462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2" t="s">
        <v>402</v>
      </c>
      <c r="H408" s="462" t="s">
        <v>67</v>
      </c>
      <c r="I408" s="439" t="s">
        <v>2004</v>
      </c>
      <c r="J408" s="430" t="s">
        <v>96</v>
      </c>
      <c r="K408" s="430"/>
      <c r="L408" s="430"/>
      <c r="M408" s="430" t="s">
        <v>68</v>
      </c>
      <c r="N408" s="432">
        <v>46111</v>
      </c>
      <c r="O408" s="430" t="s">
        <v>70</v>
      </c>
      <c r="P408" s="430" t="s">
        <v>204</v>
      </c>
      <c r="Q408" s="430" t="s">
        <v>205</v>
      </c>
      <c r="R408" s="431" t="str">
        <f>_xlfn.XLOOKUP(PV_DATA[[#This Row],[New Ark SKU]],Table9[New Ark SKU],Table9[Connector],,0)</f>
        <v>EVO2A</v>
      </c>
      <c r="S408" s="442" t="str">
        <f>_xlfn.XLOOKUP(PV_DATA[[#This Row],[New Ark SKU]],Table9[New Ark SKU],Table9[Cable],,0)</f>
        <v>±1200mm</v>
      </c>
      <c r="T408" s="433">
        <v>455</v>
      </c>
      <c r="U408" s="1088">
        <f>936*4</f>
        <v>3744</v>
      </c>
      <c r="V408" s="434">
        <f>PV_DATA[[#This Row],[QUANTITY]]*PV_DATA[[#This Row],[WATT]]/1000000</f>
        <v>1.7035199999999999</v>
      </c>
      <c r="W408" s="435">
        <f>PV_DATA[[#This Row],[QUANTITY]]/PV_DATA[[#This Row],[Qty/Pallet]]</f>
        <v>104</v>
      </c>
      <c r="X408" s="1040">
        <f>PV_DATA[[#This Row],[QUANTITY]]/PV_DATA[[#This Row],[Qty/CT]]</f>
        <v>4</v>
      </c>
      <c r="Y408" s="430" t="s">
        <v>75</v>
      </c>
      <c r="Z408" s="430" t="str">
        <f t="shared" si="3"/>
        <v>COMPLETED</v>
      </c>
      <c r="AA408" s="430" t="s">
        <v>1896</v>
      </c>
      <c r="AB408" s="437">
        <v>46111</v>
      </c>
      <c r="AC408" s="438">
        <f>IF(PV_DATA[[#This Row],[Pick- Up Date]]&lt;&gt;"",_xlfn.ISOWEEKNUM(PV_DATA[[#This Row],[Pick- Up Date]]),"")</f>
        <v>14</v>
      </c>
      <c r="AD408" s="439" t="s">
        <v>2010</v>
      </c>
      <c r="AE408" s="430"/>
      <c r="AF408" s="430" t="s">
        <v>4421</v>
      </c>
      <c r="AG408" s="430" t="s">
        <v>61</v>
      </c>
      <c r="AH408" s="430" t="s">
        <v>78</v>
      </c>
      <c r="AI408" s="437">
        <v>46116</v>
      </c>
      <c r="AJ408" s="437">
        <v>46116</v>
      </c>
      <c r="AK408" s="441">
        <v>46117</v>
      </c>
      <c r="AL408" s="437">
        <v>46181</v>
      </c>
      <c r="AM408" s="437">
        <v>46181</v>
      </c>
      <c r="AN408" s="437">
        <v>46179</v>
      </c>
      <c r="AO408" s="430" t="s">
        <v>402</v>
      </c>
      <c r="AP408" s="430" t="s">
        <v>2006</v>
      </c>
      <c r="AQ408" s="430" t="s">
        <v>80</v>
      </c>
      <c r="AR408" s="430" t="s">
        <v>2011</v>
      </c>
      <c r="AS408" s="430" t="s">
        <v>2012</v>
      </c>
      <c r="AT408" s="482" t="s">
        <v>2012</v>
      </c>
      <c r="AU4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7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7">
        <f>IF(ISERROR(PV_DATA[[#This Row],[New Ark PO status]]),"",_xlfn.XLOOKUP(PV_DATA[[#This Row],[SPTN-PVHK New Ark PO'#]],New_Ark_Data[Purchase order Number],New_Ark_Data[Estimated time of arrival],"",0))</f>
        <v>46192</v>
      </c>
      <c r="AZ40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7">
        <f>IFERROR(PV_DATA[[#This Row],[ODP ETA Port]]+PV_DATA[[#This Row],[Customs/Leg3 Assumption]],"n/a")</f>
        <v>46187</v>
      </c>
      <c r="BB408" s="433">
        <f>YEAR(PV_DATA[[#This Row],[ETA for New Ark update]])</f>
        <v>2026</v>
      </c>
      <c r="BC408" s="430">
        <f>MONTH(PV_DATA[[#This Row],[ETA for New Ark update]])</f>
        <v>6</v>
      </c>
      <c r="BD408" s="430">
        <f>IFERROR(_xlfn.ISOWEEKNUM(PV_DATA[[#This Row],[ETA for New Ark update]]),0)</f>
        <v>24</v>
      </c>
      <c r="BE408" s="431">
        <f>_xlfn.XLOOKUP(PV_DATA[[#This Row],[New Ark SKU]],Table9[New Ark SKU],Table9[Total PCS per Pallet],,0)</f>
        <v>36</v>
      </c>
      <c r="BF408" s="431">
        <f>_xlfn.XLOOKUP(PV_DATA[[#This Row],[New Ark SKU]],Table9[New Ark SKU],Table9[Total PCS per 40HQ Container],,0)</f>
        <v>936</v>
      </c>
      <c r="BG408" s="431" t="str">
        <f>_xlfn.XLOOKUP(PV_DATA[[#This Row],[New Ark SKU]],Table9[New Ark SKU],Table9[Back Glass],,0)</f>
        <v>Transparent</v>
      </c>
      <c r="BH408" s="431" t="str">
        <f>_xlfn.XLOOKUP(PV_DATA[[#This Row],[PORT DESTINATION]],Table12[PORT DESTINATION],Table12[Cosco Line],,0)</f>
        <v>AEM</v>
      </c>
      <c r="BJ408" s="430"/>
    </row>
    <row r="409" spans="1:62">
      <c r="A409" s="462" t="s">
        <v>2013</v>
      </c>
      <c r="B409" s="462" t="s">
        <v>61</v>
      </c>
      <c r="C409" s="462" t="str">
        <f>IFERROR(LEFT(PV_DATA[[#This Row],[TCL REFERENCE]],FIND(".",PV_DATA[[#This Row],[TCL REFERENCE]],1)-1),"Main Line")</f>
        <v>26Feb021</v>
      </c>
      <c r="D409" s="462" t="s">
        <v>63</v>
      </c>
      <c r="E409" s="462" t="s">
        <v>64</v>
      </c>
      <c r="F409" s="462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2" t="s">
        <v>402</v>
      </c>
      <c r="H409" s="462" t="s">
        <v>67</v>
      </c>
      <c r="I409" s="439" t="s">
        <v>882</v>
      </c>
      <c r="J409" s="430" t="s">
        <v>96</v>
      </c>
      <c r="K409" s="463"/>
      <c r="L409" s="463"/>
      <c r="M409" s="430" t="s">
        <v>68</v>
      </c>
      <c r="N409" s="432">
        <v>46111</v>
      </c>
      <c r="O409" s="430" t="s">
        <v>70</v>
      </c>
      <c r="P409" s="430" t="s">
        <v>91</v>
      </c>
      <c r="Q409" s="430" t="s">
        <v>92</v>
      </c>
      <c r="R409" s="431" t="str">
        <f>_xlfn.XLOOKUP(PV_DATA[[#This Row],[New Ark SKU]],Table9[New Ark SKU],Table9[Connector],,0)</f>
        <v>EVO2A</v>
      </c>
      <c r="S409" s="442" t="str">
        <f>_xlfn.XLOOKUP(PV_DATA[[#This Row],[New Ark SKU]],Table9[New Ark SKU],Table9[Cable],,0)</f>
        <v>±1200mm</v>
      </c>
      <c r="T409" s="433">
        <v>450</v>
      </c>
      <c r="U409" s="1088">
        <f>936*1</f>
        <v>936</v>
      </c>
      <c r="V409" s="457">
        <f>PV_DATA[[#This Row],[QUANTITY]]*PV_DATA[[#This Row],[WATT]]/1000000</f>
        <v>0.42120000000000002</v>
      </c>
      <c r="W409" s="435">
        <f>PV_DATA[[#This Row],[QUANTITY]]/PV_DATA[[#This Row],[Qty/Pallet]]</f>
        <v>26</v>
      </c>
      <c r="X409" s="1040">
        <f>PV_DATA[[#This Row],[QUANTITY]]/PV_DATA[[#This Row],[Qty/CT]]</f>
        <v>1</v>
      </c>
      <c r="Y409" s="430" t="s">
        <v>75</v>
      </c>
      <c r="Z409" s="430" t="str">
        <f t="shared" si="3"/>
        <v>COMPLETED</v>
      </c>
      <c r="AA409" s="430" t="s">
        <v>1991</v>
      </c>
      <c r="AB409" s="437">
        <v>46111</v>
      </c>
      <c r="AC409" s="438">
        <f>IF(PV_DATA[[#This Row],[Pick- Up Date]]&lt;&gt;"",_xlfn.ISOWEEKNUM(PV_DATA[[#This Row],[Pick- Up Date]]),"")</f>
        <v>14</v>
      </c>
      <c r="AD409" s="439" t="s">
        <v>2014</v>
      </c>
      <c r="AE409" s="430"/>
      <c r="AF409" s="430" t="s">
        <v>4421</v>
      </c>
      <c r="AG409" s="430" t="s">
        <v>61</v>
      </c>
      <c r="AH409" s="430" t="s">
        <v>356</v>
      </c>
      <c r="AI409" s="437">
        <v>46116</v>
      </c>
      <c r="AJ409" s="437">
        <v>46116</v>
      </c>
      <c r="AK409" s="441">
        <v>46117</v>
      </c>
      <c r="AL409" s="437">
        <v>46168</v>
      </c>
      <c r="AM409" s="437">
        <v>46170</v>
      </c>
      <c r="AN409" s="437">
        <v>46170</v>
      </c>
      <c r="AO409" s="430" t="s">
        <v>402</v>
      </c>
      <c r="AP409" s="430" t="s">
        <v>2006</v>
      </c>
      <c r="AQ409" s="430" t="s">
        <v>80</v>
      </c>
      <c r="AR409" s="430" t="s">
        <v>2015</v>
      </c>
      <c r="AS409" s="430" t="s">
        <v>2016</v>
      </c>
      <c r="AT409" s="482" t="s">
        <v>2016</v>
      </c>
      <c r="AU4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7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7">
        <f>IF(ISERROR(PV_DATA[[#This Row],[New Ark PO status]]),"",_xlfn.XLOOKUP(PV_DATA[[#This Row],[SPTN-PVHK New Ark PO'#]],New_Ark_Data[Purchase order Number],New_Ark_Data[Estimated time of arrival],"",0))</f>
        <v>46184</v>
      </c>
      <c r="AZ40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9" s="437">
        <f>IFERROR(PV_DATA[[#This Row],[ODP ETA Port]]+PV_DATA[[#This Row],[Customs/Leg3 Assumption]],"n/a")</f>
        <v>46180</v>
      </c>
      <c r="BB409" s="433">
        <f>YEAR(PV_DATA[[#This Row],[ETA for New Ark update]])</f>
        <v>2026</v>
      </c>
      <c r="BC409" s="430">
        <f>MONTH(PV_DATA[[#This Row],[ETA for New Ark update]])</f>
        <v>6</v>
      </c>
      <c r="BD409" s="430">
        <f>IFERROR(_xlfn.ISOWEEKNUM(PV_DATA[[#This Row],[ETA for New Ark update]]),0)</f>
        <v>23</v>
      </c>
      <c r="BE409" s="431">
        <f>_xlfn.XLOOKUP(PV_DATA[[#This Row],[New Ark SKU]],Table9[New Ark SKU],Table9[Total PCS per Pallet],,0)</f>
        <v>36</v>
      </c>
      <c r="BF409" s="431">
        <f>_xlfn.XLOOKUP(PV_DATA[[#This Row],[New Ark SKU]],Table9[New Ark SKU],Table9[Total PCS per 40HQ Container],,0)</f>
        <v>936</v>
      </c>
      <c r="BG409" s="431" t="str">
        <f>_xlfn.XLOOKUP(PV_DATA[[#This Row],[New Ark SKU]],Table9[New Ark SKU],Table9[Back Glass],,0)</f>
        <v>Transparent</v>
      </c>
      <c r="BH409" s="431" t="str">
        <f>_xlfn.XLOOKUP(PV_DATA[[#This Row],[PORT DESTINATION]],Table12[PORT DESTINATION],Table12[Cosco Line],,0)</f>
        <v>AEU</v>
      </c>
      <c r="BJ409" s="430"/>
    </row>
    <row r="410" spans="1:62" ht="10.5">
      <c r="A410" s="462" t="s">
        <v>2017</v>
      </c>
      <c r="B410" s="462" t="s">
        <v>1757</v>
      </c>
      <c r="C410" s="462" t="str">
        <f>IFERROR(LEFT(PV_DATA[[#This Row],[TCL REFERENCE]],FIND(".",PV_DATA[[#This Row],[TCL REFERENCE]],1)-1),"Main Line")</f>
        <v>26Feb019</v>
      </c>
      <c r="D410" s="462" t="s">
        <v>63</v>
      </c>
      <c r="E410" s="462" t="s">
        <v>144</v>
      </c>
      <c r="F410" s="462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2" t="s">
        <v>402</v>
      </c>
      <c r="H410" s="462" t="s">
        <v>881</v>
      </c>
      <c r="I410" s="439" t="s">
        <v>689</v>
      </c>
      <c r="J410" s="430" t="s">
        <v>1758</v>
      </c>
      <c r="K410" s="430" t="s">
        <v>1759</v>
      </c>
      <c r="L410" s="430"/>
      <c r="M410" s="430" t="s">
        <v>840</v>
      </c>
      <c r="N410" s="432">
        <v>46090</v>
      </c>
      <c r="O410" s="430" t="s">
        <v>70</v>
      </c>
      <c r="P410" s="430" t="s">
        <v>71</v>
      </c>
      <c r="Q410" s="430" t="s">
        <v>72</v>
      </c>
      <c r="R410" s="431" t="str">
        <f>_xlfn.XLOOKUP(PV_DATA[[#This Row],[New Ark SKU]],Table9[New Ark SKU],Table9[Connector],,0)</f>
        <v>EVO2A</v>
      </c>
      <c r="S410" s="442" t="str">
        <f>_xlfn.XLOOKUP(PV_DATA[[#This Row],[New Ark SKU]],Table9[New Ark SKU],Table9[Cable],,0)</f>
        <v>±1200mm</v>
      </c>
      <c r="T410" s="433">
        <v>500</v>
      </c>
      <c r="U410" s="1088">
        <f>864*4</f>
        <v>3456</v>
      </c>
      <c r="V410" s="434">
        <f>PV_DATA[[#This Row],[QUANTITY]]*PV_DATA[[#This Row],[WATT]]/1000000</f>
        <v>1.728</v>
      </c>
      <c r="W410" s="435">
        <f>PV_DATA[[#This Row],[QUANTITY]]/PV_DATA[[#This Row],[Qty/Pallet]]</f>
        <v>96</v>
      </c>
      <c r="X410" s="1040">
        <f>PV_DATA[[#This Row],[QUANTITY]]/PV_DATA[[#This Row],[Qty/CT]]</f>
        <v>4</v>
      </c>
      <c r="Y410" s="430" t="s">
        <v>75</v>
      </c>
      <c r="Z410" s="430" t="str">
        <f t="shared" si="3"/>
        <v>COMPLETED</v>
      </c>
      <c r="AA410" s="430" t="s">
        <v>1760</v>
      </c>
      <c r="AB410" s="437">
        <v>46118</v>
      </c>
      <c r="AC410" s="438">
        <f>IF(PV_DATA[[#This Row],[Pick- Up Date]]&lt;&gt;"",_xlfn.ISOWEEKNUM(PV_DATA[[#This Row],[Pick- Up Date]]),"")</f>
        <v>15</v>
      </c>
      <c r="AD410" s="439" t="s">
        <v>2018</v>
      </c>
      <c r="AE410" s="430"/>
      <c r="AF410" s="430" t="s">
        <v>1762</v>
      </c>
      <c r="AG410" s="430" t="s">
        <v>123</v>
      </c>
      <c r="AH410" s="430" t="s">
        <v>888</v>
      </c>
      <c r="AI410" s="437">
        <v>46123</v>
      </c>
      <c r="AJ410" s="437">
        <v>46123</v>
      </c>
      <c r="AK410" s="441">
        <v>46123</v>
      </c>
      <c r="AL410" s="437">
        <v>46177</v>
      </c>
      <c r="AM410" s="437">
        <v>46174</v>
      </c>
      <c r="AN410" s="437">
        <v>46176</v>
      </c>
      <c r="AO410" s="430" t="s">
        <v>402</v>
      </c>
      <c r="AP410" s="430" t="s">
        <v>2019</v>
      </c>
      <c r="AQ410" s="430" t="s">
        <v>161</v>
      </c>
      <c r="AR410" s="430" t="s">
        <v>2020</v>
      </c>
      <c r="AS410" s="430" t="s">
        <v>2021</v>
      </c>
      <c r="AT410" s="482" t="s">
        <v>2022</v>
      </c>
      <c r="AU4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7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7">
        <f>IF(ISERROR(PV_DATA[[#This Row],[New Ark PO status]]),"",_xlfn.XLOOKUP(PV_DATA[[#This Row],[SPTN-PVHK New Ark PO'#]],New_Ark_Data[Purchase order Number],New_Ark_Data[Estimated time of arrival],"",0))</f>
        <v>46195</v>
      </c>
      <c r="AZ4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7">
        <f>IFERROR(PV_DATA[[#This Row],[ODP ETA Port]]+PV_DATA[[#This Row],[Customs/Leg3 Assumption]],"n/a")</f>
        <v>46176</v>
      </c>
      <c r="BB410" s="433">
        <f>YEAR(PV_DATA[[#This Row],[ETA for New Ark update]])</f>
        <v>2026</v>
      </c>
      <c r="BC410" s="430">
        <f>MONTH(PV_DATA[[#This Row],[ETA for New Ark update]])</f>
        <v>6</v>
      </c>
      <c r="BD410" s="430">
        <f>IFERROR(_xlfn.ISOWEEKNUM(PV_DATA[[#This Row],[ETA for New Ark update]]),0)</f>
        <v>23</v>
      </c>
      <c r="BE410" s="431">
        <f>_xlfn.XLOOKUP(PV_DATA[[#This Row],[New Ark SKU]],Table9[New Ark SKU],Table9[Total PCS per Pallet],,0)</f>
        <v>36</v>
      </c>
      <c r="BF410" s="431">
        <f>_xlfn.XLOOKUP(PV_DATA[[#This Row],[New Ark SKU]],Table9[New Ark SKU],Table9[Total PCS per 40HQ Container],,0)</f>
        <v>864</v>
      </c>
      <c r="BG410" s="431" t="str">
        <f>_xlfn.XLOOKUP(PV_DATA[[#This Row],[New Ark SKU]],Table9[New Ark SKU],Table9[Back Glass],,0)</f>
        <v>Black glazing</v>
      </c>
      <c r="BH410" s="431" t="str">
        <f>_xlfn.XLOOKUP(PV_DATA[[#This Row],[PORT DESTINATION]],Table12[PORT DESTINATION],Table12[Cosco Line],,0)</f>
        <v>AEU</v>
      </c>
      <c r="BJ410" s="430"/>
    </row>
    <row r="411" spans="1:62" ht="10.5">
      <c r="A411" s="462" t="s">
        <v>2023</v>
      </c>
      <c r="B411" s="462" t="s">
        <v>1757</v>
      </c>
      <c r="C411" s="462" t="str">
        <f>IFERROR(LEFT(PV_DATA[[#This Row],[TCL REFERENCE]],FIND(".",PV_DATA[[#This Row],[TCL REFERENCE]],1)-1),"Main Line")</f>
        <v>26Feb019</v>
      </c>
      <c r="D411" s="462" t="s">
        <v>63</v>
      </c>
      <c r="E411" s="462" t="s">
        <v>144</v>
      </c>
      <c r="F411" s="462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2" t="s">
        <v>402</v>
      </c>
      <c r="H411" s="462" t="s">
        <v>881</v>
      </c>
      <c r="I411" s="439" t="s">
        <v>689</v>
      </c>
      <c r="J411" s="430" t="s">
        <v>1758</v>
      </c>
      <c r="K411" s="430" t="s">
        <v>2024</v>
      </c>
      <c r="L411" s="430"/>
      <c r="M411" s="430" t="s">
        <v>840</v>
      </c>
      <c r="N411" s="432">
        <v>46090</v>
      </c>
      <c r="O411" s="430" t="s">
        <v>70</v>
      </c>
      <c r="P411" s="430" t="s">
        <v>71</v>
      </c>
      <c r="Q411" s="430" t="s">
        <v>72</v>
      </c>
      <c r="R411" s="431" t="str">
        <f>_xlfn.XLOOKUP(PV_DATA[[#This Row],[New Ark SKU]],Table9[New Ark SKU],Table9[Connector],,0)</f>
        <v>EVO2A</v>
      </c>
      <c r="S411" s="442" t="str">
        <f>_xlfn.XLOOKUP(PV_DATA[[#This Row],[New Ark SKU]],Table9[New Ark SKU],Table9[Cable],,0)</f>
        <v>±1200mm</v>
      </c>
      <c r="T411" s="433">
        <v>500</v>
      </c>
      <c r="U411" s="1088">
        <f>864*5</f>
        <v>4320</v>
      </c>
      <c r="V411" s="434">
        <f>PV_DATA[[#This Row],[QUANTITY]]*PV_DATA[[#This Row],[WATT]]/1000000</f>
        <v>2.16</v>
      </c>
      <c r="W411" s="435">
        <f>PV_DATA[[#This Row],[QUANTITY]]/PV_DATA[[#This Row],[Qty/Pallet]]</f>
        <v>120</v>
      </c>
      <c r="X411" s="1040">
        <f>PV_DATA[[#This Row],[QUANTITY]]/PV_DATA[[#This Row],[Qty/CT]]</f>
        <v>5</v>
      </c>
      <c r="Y411" s="430" t="s">
        <v>75</v>
      </c>
      <c r="Z411" s="430" t="str">
        <f t="shared" si="3"/>
        <v>COMPLETED</v>
      </c>
      <c r="AA411" s="430" t="s">
        <v>1760</v>
      </c>
      <c r="AB411" s="437">
        <v>46118</v>
      </c>
      <c r="AC411" s="438">
        <f>IF(PV_DATA[[#This Row],[Pick- Up Date]]&lt;&gt;"",_xlfn.ISOWEEKNUM(PV_DATA[[#This Row],[Pick- Up Date]]),"")</f>
        <v>15</v>
      </c>
      <c r="AD411" s="439" t="s">
        <v>2025</v>
      </c>
      <c r="AE411" s="430"/>
      <c r="AF411" s="430" t="s">
        <v>1762</v>
      </c>
      <c r="AG411" s="430" t="s">
        <v>123</v>
      </c>
      <c r="AH411" s="430" t="s">
        <v>888</v>
      </c>
      <c r="AI411" s="437">
        <v>46123</v>
      </c>
      <c r="AJ411" s="437">
        <v>46123</v>
      </c>
      <c r="AK411" s="441">
        <v>46123</v>
      </c>
      <c r="AL411" s="437">
        <v>46177</v>
      </c>
      <c r="AM411" s="437">
        <v>46174</v>
      </c>
      <c r="AN411" s="437">
        <v>46176</v>
      </c>
      <c r="AO411" s="430" t="s">
        <v>402</v>
      </c>
      <c r="AP411" s="430" t="s">
        <v>2019</v>
      </c>
      <c r="AQ411" s="430" t="s">
        <v>161</v>
      </c>
      <c r="AR411" s="430" t="s">
        <v>2020</v>
      </c>
      <c r="AS411" s="430" t="s">
        <v>2026</v>
      </c>
      <c r="AT411" s="482" t="s">
        <v>2022</v>
      </c>
      <c r="AU4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7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7">
        <f>IF(ISERROR(PV_DATA[[#This Row],[New Ark PO status]]),"",_xlfn.XLOOKUP(PV_DATA[[#This Row],[SPTN-PVHK New Ark PO'#]],New_Ark_Data[Purchase order Number],New_Ark_Data[Estimated time of arrival],"",0))</f>
        <v>46195</v>
      </c>
      <c r="AZ41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7">
        <f>IFERROR(PV_DATA[[#This Row],[ODP ETA Port]]+PV_DATA[[#This Row],[Customs/Leg3 Assumption]],"n/a")</f>
        <v>46176</v>
      </c>
      <c r="BB411" s="433">
        <f>YEAR(PV_DATA[[#This Row],[ETA for New Ark update]])</f>
        <v>2026</v>
      </c>
      <c r="BC411" s="430">
        <f>MONTH(PV_DATA[[#This Row],[ETA for New Ark update]])</f>
        <v>6</v>
      </c>
      <c r="BD411" s="430">
        <f>IFERROR(_xlfn.ISOWEEKNUM(PV_DATA[[#This Row],[ETA for New Ark update]]),0)</f>
        <v>23</v>
      </c>
      <c r="BE411" s="431">
        <f>_xlfn.XLOOKUP(PV_DATA[[#This Row],[New Ark SKU]],Table9[New Ark SKU],Table9[Total PCS per Pallet],,0)</f>
        <v>36</v>
      </c>
      <c r="BF411" s="431">
        <f>_xlfn.XLOOKUP(PV_DATA[[#This Row],[New Ark SKU]],Table9[New Ark SKU],Table9[Total PCS per 40HQ Container],,0)</f>
        <v>864</v>
      </c>
      <c r="BG411" s="431" t="str">
        <f>_xlfn.XLOOKUP(PV_DATA[[#This Row],[New Ark SKU]],Table9[New Ark SKU],Table9[Back Glass],,0)</f>
        <v>Black glazing</v>
      </c>
      <c r="BH411" s="431" t="str">
        <f>_xlfn.XLOOKUP(PV_DATA[[#This Row],[PORT DESTINATION]],Table12[PORT DESTINATION],Table12[Cosco Line],,0)</f>
        <v>AEU</v>
      </c>
      <c r="BJ411" s="430"/>
    </row>
    <row r="412" spans="1:62" ht="10.5">
      <c r="A412" s="462" t="s">
        <v>2027</v>
      </c>
      <c r="B412" s="462" t="s">
        <v>1757</v>
      </c>
      <c r="C412" s="462" t="str">
        <f>IFERROR(LEFT(PV_DATA[[#This Row],[TCL REFERENCE]],FIND(".",PV_DATA[[#This Row],[TCL REFERENCE]],1)-1),"Main Line")</f>
        <v>26Feb019</v>
      </c>
      <c r="D412" s="462" t="s">
        <v>63</v>
      </c>
      <c r="E412" s="462" t="s">
        <v>144</v>
      </c>
      <c r="F412" s="462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2" t="s">
        <v>402</v>
      </c>
      <c r="H412" s="462" t="s">
        <v>881</v>
      </c>
      <c r="I412" s="439" t="s">
        <v>689</v>
      </c>
      <c r="J412" s="430" t="s">
        <v>1758</v>
      </c>
      <c r="K412" s="430" t="s">
        <v>2028</v>
      </c>
      <c r="L412" s="430"/>
      <c r="M412" s="430" t="s">
        <v>840</v>
      </c>
      <c r="N412" s="432">
        <v>46090</v>
      </c>
      <c r="O412" s="430" t="s">
        <v>70</v>
      </c>
      <c r="P412" s="430" t="s">
        <v>71</v>
      </c>
      <c r="Q412" s="430" t="s">
        <v>72</v>
      </c>
      <c r="R412" s="431" t="str">
        <f>_xlfn.XLOOKUP(PV_DATA[[#This Row],[New Ark SKU]],Table9[New Ark SKU],Table9[Connector],,0)</f>
        <v>EVO2A</v>
      </c>
      <c r="S412" s="442" t="str">
        <f>_xlfn.XLOOKUP(PV_DATA[[#This Row],[New Ark SKU]],Table9[New Ark SKU],Table9[Cable],,0)</f>
        <v>±1200mm</v>
      </c>
      <c r="T412" s="433">
        <v>500</v>
      </c>
      <c r="U412" s="1088">
        <f>864*5</f>
        <v>4320</v>
      </c>
      <c r="V412" s="434">
        <f>PV_DATA[[#This Row],[QUANTITY]]*PV_DATA[[#This Row],[WATT]]/1000000</f>
        <v>2.16</v>
      </c>
      <c r="W412" s="435">
        <f>PV_DATA[[#This Row],[QUANTITY]]/PV_DATA[[#This Row],[Qty/Pallet]]</f>
        <v>120</v>
      </c>
      <c r="X412" s="1040">
        <f>PV_DATA[[#This Row],[QUANTITY]]/PV_DATA[[#This Row],[Qty/CT]]</f>
        <v>5</v>
      </c>
      <c r="Y412" s="430" t="s">
        <v>75</v>
      </c>
      <c r="Z412" s="430" t="str">
        <f t="shared" si="3"/>
        <v>COMPLETED</v>
      </c>
      <c r="AA412" s="430" t="s">
        <v>2029</v>
      </c>
      <c r="AB412" s="437">
        <v>46118</v>
      </c>
      <c r="AC412" s="438">
        <f>IF(PV_DATA[[#This Row],[Pick- Up Date]]&lt;&gt;"",_xlfn.ISOWEEKNUM(PV_DATA[[#This Row],[Pick- Up Date]]),"")</f>
        <v>15</v>
      </c>
      <c r="AD412" s="439" t="s">
        <v>2030</v>
      </c>
      <c r="AE412" s="430"/>
      <c r="AF412" s="430" t="s">
        <v>1762</v>
      </c>
      <c r="AG412" s="430" t="s">
        <v>123</v>
      </c>
      <c r="AH412" s="430" t="s">
        <v>888</v>
      </c>
      <c r="AI412" s="437">
        <v>46123</v>
      </c>
      <c r="AJ412" s="437">
        <v>46123</v>
      </c>
      <c r="AK412" s="441">
        <v>46123</v>
      </c>
      <c r="AL412" s="437">
        <v>46177</v>
      </c>
      <c r="AM412" s="437">
        <v>46174</v>
      </c>
      <c r="AN412" s="437">
        <v>46176</v>
      </c>
      <c r="AO412" s="430" t="s">
        <v>402</v>
      </c>
      <c r="AP412" s="430" t="s">
        <v>2019</v>
      </c>
      <c r="AQ412" s="430" t="s">
        <v>161</v>
      </c>
      <c r="AR412" s="430" t="s">
        <v>2020</v>
      </c>
      <c r="AS412" s="430" t="s">
        <v>2026</v>
      </c>
      <c r="AT412" s="482" t="s">
        <v>2022</v>
      </c>
      <c r="AU4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7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7">
        <f>IF(ISERROR(PV_DATA[[#This Row],[New Ark PO status]]),"",_xlfn.XLOOKUP(PV_DATA[[#This Row],[SPTN-PVHK New Ark PO'#]],New_Ark_Data[Purchase order Number],New_Ark_Data[Estimated time of arrival],"",0))</f>
        <v>46195</v>
      </c>
      <c r="AZ41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7">
        <f>IFERROR(PV_DATA[[#This Row],[ODP ETA Port]]+PV_DATA[[#This Row],[Customs/Leg3 Assumption]],"n/a")</f>
        <v>46176</v>
      </c>
      <c r="BB412" s="433">
        <f>YEAR(PV_DATA[[#This Row],[ETA for New Ark update]])</f>
        <v>2026</v>
      </c>
      <c r="BC412" s="430">
        <f>MONTH(PV_DATA[[#This Row],[ETA for New Ark update]])</f>
        <v>6</v>
      </c>
      <c r="BD412" s="430">
        <f>IFERROR(_xlfn.ISOWEEKNUM(PV_DATA[[#This Row],[ETA for New Ark update]]),0)</f>
        <v>23</v>
      </c>
      <c r="BE412" s="431">
        <f>_xlfn.XLOOKUP(PV_DATA[[#This Row],[New Ark SKU]],Table9[New Ark SKU],Table9[Total PCS per Pallet],,0)</f>
        <v>36</v>
      </c>
      <c r="BF412" s="431">
        <f>_xlfn.XLOOKUP(PV_DATA[[#This Row],[New Ark SKU]],Table9[New Ark SKU],Table9[Total PCS per 40HQ Container],,0)</f>
        <v>864</v>
      </c>
      <c r="BG412" s="431" t="str">
        <f>_xlfn.XLOOKUP(PV_DATA[[#This Row],[New Ark SKU]],Table9[New Ark SKU],Table9[Back Glass],,0)</f>
        <v>Black glazing</v>
      </c>
      <c r="BH412" s="431" t="str">
        <f>_xlfn.XLOOKUP(PV_DATA[[#This Row],[PORT DESTINATION]],Table12[PORT DESTINATION],Table12[Cosco Line],,0)</f>
        <v>AEU</v>
      </c>
      <c r="BJ412" s="430"/>
    </row>
    <row r="413" spans="1:62" ht="10.5">
      <c r="A413" s="462" t="s">
        <v>2031</v>
      </c>
      <c r="B413" s="462" t="s">
        <v>1757</v>
      </c>
      <c r="C413" s="462" t="str">
        <f>IFERROR(LEFT(PV_DATA[[#This Row],[TCL REFERENCE]],FIND(".",PV_DATA[[#This Row],[TCL REFERENCE]],1)-1),"Main Line")</f>
        <v>26Feb020</v>
      </c>
      <c r="D413" s="462" t="s">
        <v>63</v>
      </c>
      <c r="E413" s="462" t="s">
        <v>64</v>
      </c>
      <c r="F413" s="462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2" t="s">
        <v>402</v>
      </c>
      <c r="H413" s="462" t="s">
        <v>451</v>
      </c>
      <c r="I413" s="439" t="s">
        <v>689</v>
      </c>
      <c r="J413" s="430" t="s">
        <v>1832</v>
      </c>
      <c r="K413" s="430"/>
      <c r="L413" s="430"/>
      <c r="M413" s="430" t="s">
        <v>68</v>
      </c>
      <c r="N413" s="432">
        <v>46104</v>
      </c>
      <c r="O413" s="430" t="s">
        <v>70</v>
      </c>
      <c r="P413" s="430" t="s">
        <v>1151</v>
      </c>
      <c r="Q413" s="430" t="s">
        <v>421</v>
      </c>
      <c r="R413" s="431" t="str">
        <f>_xlfn.XLOOKUP(PV_DATA[[#This Row],[New Ark SKU]],Table9[New Ark SKU],Table9[Connector],,0)</f>
        <v>EVO2A</v>
      </c>
      <c r="S413" s="442" t="str">
        <f>_xlfn.XLOOKUP(PV_DATA[[#This Row],[New Ark SKU]],Table9[New Ark SKU],Table9[Cable],,0)</f>
        <v>±1200mm</v>
      </c>
      <c r="T413" s="433">
        <v>505</v>
      </c>
      <c r="U413" s="1088">
        <f>864*4</f>
        <v>3456</v>
      </c>
      <c r="V413" s="434">
        <f>PV_DATA[[#This Row],[QUANTITY]]*PV_DATA[[#This Row],[WATT]]/1000000</f>
        <v>1.7452799999999999</v>
      </c>
      <c r="W413" s="435">
        <f>PV_DATA[[#This Row],[QUANTITY]]/PV_DATA[[#This Row],[Qty/Pallet]]</f>
        <v>96</v>
      </c>
      <c r="X413" s="1040">
        <f>PV_DATA[[#This Row],[QUANTITY]]/PV_DATA[[#This Row],[Qty/CT]]</f>
        <v>4</v>
      </c>
      <c r="Y413" s="430" t="s">
        <v>75</v>
      </c>
      <c r="Z413" s="430" t="str">
        <f t="shared" si="3"/>
        <v>COMPLETED</v>
      </c>
      <c r="AA413" s="430" t="s">
        <v>1883</v>
      </c>
      <c r="AB413" s="437">
        <v>46123</v>
      </c>
      <c r="AC413" s="438">
        <f>IF(PV_DATA[[#This Row],[Pick- Up Date]]&lt;&gt;"",_xlfn.ISOWEEKNUM(PV_DATA[[#This Row],[Pick- Up Date]]),"")</f>
        <v>15</v>
      </c>
      <c r="AD413" s="439" t="s">
        <v>2032</v>
      </c>
      <c r="AE413" s="430"/>
      <c r="AF413" s="430" t="s">
        <v>1762</v>
      </c>
      <c r="AG413" s="430" t="s">
        <v>123</v>
      </c>
      <c r="AH413" s="430" t="s">
        <v>456</v>
      </c>
      <c r="AI413" s="437">
        <v>46125</v>
      </c>
      <c r="AJ413" s="437">
        <v>46125</v>
      </c>
      <c r="AK413" s="441">
        <v>46126</v>
      </c>
      <c r="AL413" s="437">
        <v>46171</v>
      </c>
      <c r="AM413" s="437">
        <v>46176</v>
      </c>
      <c r="AN413" s="437">
        <v>46178</v>
      </c>
      <c r="AO413" s="430" t="s">
        <v>402</v>
      </c>
      <c r="AP413" s="430" t="s">
        <v>2033</v>
      </c>
      <c r="AQ413" s="430" t="s">
        <v>161</v>
      </c>
      <c r="AR413" s="430" t="s">
        <v>2034</v>
      </c>
      <c r="AS413" s="430" t="s">
        <v>2035</v>
      </c>
      <c r="AT413" s="482" t="s">
        <v>2036</v>
      </c>
      <c r="AU4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7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7">
        <f>IF(ISERROR(PV_DATA[[#This Row],[New Ark PO status]]),"",_xlfn.XLOOKUP(PV_DATA[[#This Row],[SPTN-PVHK New Ark PO'#]],New_Ark_Data[Purchase order Number],New_Ark_Data[Estimated time of arrival],"",0))</f>
        <v>46192</v>
      </c>
      <c r="AZ4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7">
        <f>IFERROR(PV_DATA[[#This Row],[ODP ETA Port]]+PV_DATA[[#This Row],[Customs/Leg3 Assumption]],"n/a")</f>
        <v>46185</v>
      </c>
      <c r="BB413" s="433">
        <f>YEAR(PV_DATA[[#This Row],[ETA for New Ark update]])</f>
        <v>2026</v>
      </c>
      <c r="BC413" s="430">
        <f>MONTH(PV_DATA[[#This Row],[ETA for New Ark update]])</f>
        <v>6</v>
      </c>
      <c r="BD413" s="430">
        <f>IFERROR(_xlfn.ISOWEEKNUM(PV_DATA[[#This Row],[ETA for New Ark update]]),0)</f>
        <v>24</v>
      </c>
      <c r="BE413" s="431">
        <f>_xlfn.XLOOKUP(PV_DATA[[#This Row],[New Ark SKU]],Table9[New Ark SKU],Table9[Total PCS per Pallet],,0)</f>
        <v>36</v>
      </c>
      <c r="BF413" s="431">
        <f>_xlfn.XLOOKUP(PV_DATA[[#This Row],[New Ark SKU]],Table9[New Ark SKU],Table9[Total PCS per 40HQ Container],,0)</f>
        <v>864</v>
      </c>
      <c r="BG413" s="431" t="str">
        <f>_xlfn.XLOOKUP(PV_DATA[[#This Row],[New Ark SKU]],Table9[New Ark SKU],Table9[Back Glass],,0)</f>
        <v>Black glazing</v>
      </c>
      <c r="BH413" s="431" t="str">
        <f>_xlfn.XLOOKUP(PV_DATA[[#This Row],[PORT DESTINATION]],Table12[PORT DESTINATION],Table12[Cosco Line],,0)</f>
        <v>AEU</v>
      </c>
      <c r="BJ413" s="430"/>
    </row>
    <row r="414" spans="1:62">
      <c r="A414" s="462" t="s">
        <v>2037</v>
      </c>
      <c r="B414" s="462" t="s">
        <v>1888</v>
      </c>
      <c r="C414" s="462" t="str">
        <f>IFERROR(LEFT(PV_DATA[[#This Row],[TCL REFERENCE]],FIND(".",PV_DATA[[#This Row],[TCL REFERENCE]],1)-1),"Main Line")</f>
        <v>26Feb017</v>
      </c>
      <c r="D414" s="462" t="s">
        <v>63</v>
      </c>
      <c r="E414" s="462" t="s">
        <v>64</v>
      </c>
      <c r="F414" s="462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2" t="s">
        <v>402</v>
      </c>
      <c r="H414" s="462" t="s">
        <v>451</v>
      </c>
      <c r="I414" s="439" t="s">
        <v>689</v>
      </c>
      <c r="J414" s="430" t="s">
        <v>96</v>
      </c>
      <c r="K414" s="430"/>
      <c r="L414" s="430"/>
      <c r="M414" s="430" t="s">
        <v>68</v>
      </c>
      <c r="N414" s="432">
        <v>46111</v>
      </c>
      <c r="O414" s="430" t="s">
        <v>70</v>
      </c>
      <c r="P414" s="430" t="s">
        <v>195</v>
      </c>
      <c r="Q414" s="430" t="s">
        <v>196</v>
      </c>
      <c r="R414" s="431" t="str">
        <f>_xlfn.XLOOKUP(PV_DATA[[#This Row],[New Ark SKU]],Table9[New Ark SKU],Table9[Connector],,0)</f>
        <v>EVO2A</v>
      </c>
      <c r="S414" s="442" t="str">
        <f>_xlfn.XLOOKUP(PV_DATA[[#This Row],[New Ark SKU]],Table9[New Ark SKU],Table9[Cable],,0)</f>
        <v>±1200mm</v>
      </c>
      <c r="T414" s="433">
        <v>450</v>
      </c>
      <c r="U414" s="1088">
        <f>936*2</f>
        <v>1872</v>
      </c>
      <c r="V414" s="434">
        <f>PV_DATA[[#This Row],[QUANTITY]]*PV_DATA[[#This Row],[WATT]]/1000000</f>
        <v>0.84240000000000004</v>
      </c>
      <c r="W414" s="435">
        <f>PV_DATA[[#This Row],[QUANTITY]]/PV_DATA[[#This Row],[Qty/Pallet]]</f>
        <v>52</v>
      </c>
      <c r="X414" s="1040">
        <f>PV_DATA[[#This Row],[QUANTITY]]/PV_DATA[[#This Row],[Qty/CT]]</f>
        <v>2</v>
      </c>
      <c r="Y414" s="430" t="s">
        <v>75</v>
      </c>
      <c r="Z414" s="430" t="str">
        <f t="shared" si="3"/>
        <v>COMPLETED</v>
      </c>
      <c r="AA414" s="430" t="s">
        <v>2038</v>
      </c>
      <c r="AB414" s="437">
        <v>46123</v>
      </c>
      <c r="AC414" s="438">
        <f>IF(PV_DATA[[#This Row],[Pick- Up Date]]&lt;&gt;"",_xlfn.ISOWEEKNUM(PV_DATA[[#This Row],[Pick- Up Date]]),"")</f>
        <v>15</v>
      </c>
      <c r="AD414" s="439" t="s">
        <v>2039</v>
      </c>
      <c r="AE414" s="430"/>
      <c r="AF414" s="430" t="s">
        <v>4420</v>
      </c>
      <c r="AG414" s="430" t="s">
        <v>123</v>
      </c>
      <c r="AH414" s="430" t="s">
        <v>456</v>
      </c>
      <c r="AI414" s="437">
        <v>46125</v>
      </c>
      <c r="AJ414" s="437">
        <v>46125</v>
      </c>
      <c r="AK414" s="441">
        <v>46126</v>
      </c>
      <c r="AL414" s="437">
        <v>46171</v>
      </c>
      <c r="AM414" s="437">
        <v>46176</v>
      </c>
      <c r="AN414" s="437">
        <v>46178</v>
      </c>
      <c r="AO414" s="430" t="s">
        <v>402</v>
      </c>
      <c r="AP414" s="430" t="s">
        <v>2033</v>
      </c>
      <c r="AQ414" s="430" t="s">
        <v>161</v>
      </c>
      <c r="AR414" s="430" t="s">
        <v>2040</v>
      </c>
      <c r="AS414" s="430" t="s">
        <v>2041</v>
      </c>
      <c r="AT414" s="482" t="s">
        <v>2042</v>
      </c>
      <c r="AU4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7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7">
        <f>IF(ISERROR(PV_DATA[[#This Row],[New Ark PO status]]),"",_xlfn.XLOOKUP(PV_DATA[[#This Row],[SPTN-PVHK New Ark PO'#]],New_Ark_Data[Purchase order Number],New_Ark_Data[Estimated time of arrival],"",0))</f>
        <v>46192</v>
      </c>
      <c r="AZ4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7">
        <f>IFERROR(PV_DATA[[#This Row],[ODP ETA Port]]+PV_DATA[[#This Row],[Customs/Leg3 Assumption]],"n/a")</f>
        <v>46185</v>
      </c>
      <c r="BB414" s="433">
        <f>YEAR(PV_DATA[[#This Row],[ETA for New Ark update]])</f>
        <v>2026</v>
      </c>
      <c r="BC414" s="430">
        <f>MONTH(PV_DATA[[#This Row],[ETA for New Ark update]])</f>
        <v>6</v>
      </c>
      <c r="BD414" s="430">
        <f>IFERROR(_xlfn.ISOWEEKNUM(PV_DATA[[#This Row],[ETA for New Ark update]]),0)</f>
        <v>24</v>
      </c>
      <c r="BE414" s="431">
        <f>_xlfn.XLOOKUP(PV_DATA[[#This Row],[New Ark SKU]],Table9[New Ark SKU],Table9[Total PCS per Pallet],,0)</f>
        <v>36</v>
      </c>
      <c r="BF414" s="431">
        <f>_xlfn.XLOOKUP(PV_DATA[[#This Row],[New Ark SKU]],Table9[New Ark SKU],Table9[Total PCS per 40HQ Container],,0)</f>
        <v>936</v>
      </c>
      <c r="BG414" s="431" t="str">
        <f>_xlfn.XLOOKUP(PV_DATA[[#This Row],[New Ark SKU]],Table9[New Ark SKU],Table9[Back Glass],,0)</f>
        <v>Black glazing</v>
      </c>
      <c r="BH414" s="431" t="str">
        <f>_xlfn.XLOOKUP(PV_DATA[[#This Row],[PORT DESTINATION]],Table12[PORT DESTINATION],Table12[Cosco Line],,0)</f>
        <v>AEU</v>
      </c>
      <c r="BJ414" s="430"/>
    </row>
    <row r="415" spans="1:62" s="450" customFormat="1" ht="10.5">
      <c r="A415" s="462" t="s">
        <v>2043</v>
      </c>
      <c r="B415" s="462" t="s">
        <v>1757</v>
      </c>
      <c r="C415" s="462" t="str">
        <f>IFERROR(LEFT(PV_DATA[[#This Row],[TCL REFERENCE]],FIND(".",PV_DATA[[#This Row],[TCL REFERENCE]],1)-1),"Main Line")</f>
        <v>26Feb020</v>
      </c>
      <c r="D415" s="462" t="s">
        <v>63</v>
      </c>
      <c r="E415" s="462" t="s">
        <v>64</v>
      </c>
      <c r="F415" s="462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2" t="s">
        <v>402</v>
      </c>
      <c r="H415" s="462" t="s">
        <v>451</v>
      </c>
      <c r="I415" s="439" t="s">
        <v>689</v>
      </c>
      <c r="J415" s="430" t="s">
        <v>1832</v>
      </c>
      <c r="K415" s="430"/>
      <c r="L415" s="430"/>
      <c r="M415" s="430" t="s">
        <v>68</v>
      </c>
      <c r="N415" s="432">
        <v>46104</v>
      </c>
      <c r="O415" s="430" t="s">
        <v>70</v>
      </c>
      <c r="P415" s="430" t="s">
        <v>1151</v>
      </c>
      <c r="Q415" s="430" t="s">
        <v>421</v>
      </c>
      <c r="R415" s="431" t="str">
        <f>_xlfn.XLOOKUP(PV_DATA[[#This Row],[New Ark SKU]],Table9[New Ark SKU],Table9[Connector],,0)</f>
        <v>EVO2A</v>
      </c>
      <c r="S415" s="442" t="str">
        <f>_xlfn.XLOOKUP(PV_DATA[[#This Row],[New Ark SKU]],Table9[New Ark SKU],Table9[Cable],,0)</f>
        <v>±1200mm</v>
      </c>
      <c r="T415" s="433">
        <v>505</v>
      </c>
      <c r="U415" s="1088">
        <f>864*5</f>
        <v>4320</v>
      </c>
      <c r="V415" s="434">
        <f>PV_DATA[[#This Row],[QUANTITY]]*PV_DATA[[#This Row],[WATT]]/1000000</f>
        <v>2.1816</v>
      </c>
      <c r="W415" s="435">
        <f>PV_DATA[[#This Row],[QUANTITY]]/PV_DATA[[#This Row],[Qty/Pallet]]</f>
        <v>120</v>
      </c>
      <c r="X415" s="1040">
        <f>PV_DATA[[#This Row],[QUANTITY]]/PV_DATA[[#This Row],[Qty/CT]]</f>
        <v>5</v>
      </c>
      <c r="Y415" s="430" t="s">
        <v>75</v>
      </c>
      <c r="Z415" s="430" t="str">
        <f t="shared" si="3"/>
        <v>COMPLETED</v>
      </c>
      <c r="AA415" s="430" t="s">
        <v>1883</v>
      </c>
      <c r="AB415" s="437">
        <v>46121</v>
      </c>
      <c r="AC415" s="438">
        <f>IF(PV_DATA[[#This Row],[Pick- Up Date]]&lt;&gt;"",_xlfn.ISOWEEKNUM(PV_DATA[[#This Row],[Pick- Up Date]]),"")</f>
        <v>15</v>
      </c>
      <c r="AD415" s="439" t="s">
        <v>2044</v>
      </c>
      <c r="AE415" s="430"/>
      <c r="AF415" s="430" t="s">
        <v>1762</v>
      </c>
      <c r="AG415" s="430" t="s">
        <v>123</v>
      </c>
      <c r="AH415" s="430" t="s">
        <v>456</v>
      </c>
      <c r="AI415" s="437">
        <v>46124</v>
      </c>
      <c r="AJ415" s="437">
        <v>46125</v>
      </c>
      <c r="AK415" s="441">
        <v>46125</v>
      </c>
      <c r="AL415" s="437">
        <v>46165</v>
      </c>
      <c r="AM415" s="437">
        <v>46165</v>
      </c>
      <c r="AN415" s="437">
        <v>46168</v>
      </c>
      <c r="AO415" s="430" t="s">
        <v>402</v>
      </c>
      <c r="AP415" s="430" t="s">
        <v>2045</v>
      </c>
      <c r="AQ415" s="430" t="s">
        <v>80</v>
      </c>
      <c r="AR415" s="430" t="s">
        <v>2046</v>
      </c>
      <c r="AS415" s="430" t="s">
        <v>2047</v>
      </c>
      <c r="AT415" s="482" t="s">
        <v>2047</v>
      </c>
      <c r="AU4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0"/>
      <c r="AW415" s="437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7">
        <f>IF(ISERROR(PV_DATA[[#This Row],[New Ark PO status]]),"",_xlfn.XLOOKUP(PV_DATA[[#This Row],[SPTN-PVHK New Ark PO'#]],New_Ark_Data[Purchase order Number],New_Ark_Data[Estimated time of arrival],"",0))</f>
        <v>46181</v>
      </c>
      <c r="AZ4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7">
        <f>IFERROR(PV_DATA[[#This Row],[ODP ETA Port]]+PV_DATA[[#This Row],[Customs/Leg3 Assumption]],"n/a")</f>
        <v>46175</v>
      </c>
      <c r="BB415" s="433">
        <f>YEAR(PV_DATA[[#This Row],[ETA for New Ark update]])</f>
        <v>2026</v>
      </c>
      <c r="BC415" s="430">
        <f>MONTH(PV_DATA[[#This Row],[ETA for New Ark update]])</f>
        <v>6</v>
      </c>
      <c r="BD415" s="430">
        <f>IFERROR(_xlfn.ISOWEEKNUM(PV_DATA[[#This Row],[ETA for New Ark update]]),0)</f>
        <v>23</v>
      </c>
      <c r="BE415" s="431">
        <f>_xlfn.XLOOKUP(PV_DATA[[#This Row],[New Ark SKU]],Table9[New Ark SKU],Table9[Total PCS per Pallet],,0)</f>
        <v>36</v>
      </c>
      <c r="BF415" s="431">
        <f>_xlfn.XLOOKUP(PV_DATA[[#This Row],[New Ark SKU]],Table9[New Ark SKU],Table9[Total PCS per 40HQ Container],,0)</f>
        <v>864</v>
      </c>
      <c r="BG415" s="431" t="str">
        <f>_xlfn.XLOOKUP(PV_DATA[[#This Row],[New Ark SKU]],Table9[New Ark SKU],Table9[Back Glass],,0)</f>
        <v>Black glazing</v>
      </c>
      <c r="BH415" s="431" t="str">
        <f>_xlfn.XLOOKUP(PV_DATA[[#This Row],[PORT DESTINATION]],Table12[PORT DESTINATION],Table12[Cosco Line],,0)</f>
        <v>AEU</v>
      </c>
    </row>
    <row r="416" spans="1:62" s="431" customFormat="1">
      <c r="A416" s="462" t="s">
        <v>2048</v>
      </c>
      <c r="B416" s="462" t="s">
        <v>1802</v>
      </c>
      <c r="C416" s="462" t="str">
        <f>IFERROR(LEFT(PV_DATA[[#This Row],[TCL REFERENCE]],FIND(".",PV_DATA[[#This Row],[TCL REFERENCE]],1)-1),"Main Line")</f>
        <v>26Feb034</v>
      </c>
      <c r="D416" s="462" t="s">
        <v>113</v>
      </c>
      <c r="E416" s="462" t="s">
        <v>144</v>
      </c>
      <c r="F416" s="462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2" t="s">
        <v>402</v>
      </c>
      <c r="H416" s="462" t="s">
        <v>1449</v>
      </c>
      <c r="I416" s="439" t="s">
        <v>822</v>
      </c>
      <c r="J416" s="430" t="s">
        <v>1964</v>
      </c>
      <c r="K416" s="430" t="s">
        <v>1805</v>
      </c>
      <c r="L416" s="430"/>
      <c r="M416" s="430" t="s">
        <v>840</v>
      </c>
      <c r="N416" s="432">
        <v>46104</v>
      </c>
      <c r="O416" s="430" t="s">
        <v>70</v>
      </c>
      <c r="P416" s="430" t="s">
        <v>1806</v>
      </c>
      <c r="Q416" s="430" t="s">
        <v>1807</v>
      </c>
      <c r="R416" s="431" t="str">
        <f>_xlfn.XLOOKUP(PV_DATA[[#This Row],[New Ark SKU]],Table9[New Ark SKU],Table9[Connector],,0)</f>
        <v>H4(Com)</v>
      </c>
      <c r="S416" s="442" t="str">
        <f>_xlfn.XLOOKUP(PV_DATA[[#This Row],[New Ark SKU]],Table9[New Ark SKU],Table9[Cable],,0)</f>
        <v>+400mm/-200mm</v>
      </c>
      <c r="T416" s="433">
        <v>720</v>
      </c>
      <c r="U416" s="1088">
        <f>594*5</f>
        <v>2970</v>
      </c>
      <c r="V416" s="434">
        <f>PV_DATA[[#This Row],[QUANTITY]]*PV_DATA[[#This Row],[WATT]]/1000000</f>
        <v>2.1383999999999999</v>
      </c>
      <c r="W416" s="435">
        <f>PV_DATA[[#This Row],[QUANTITY]]/PV_DATA[[#This Row],[Qty/Pallet]]</f>
        <v>90</v>
      </c>
      <c r="X416" s="1040">
        <f>PV_DATA[[#This Row],[QUANTITY]]/PV_DATA[[#This Row],[Qty/CT]]</f>
        <v>5</v>
      </c>
      <c r="Y416" s="430" t="s">
        <v>75</v>
      </c>
      <c r="Z416" s="430" t="str">
        <f t="shared" si="3"/>
        <v>COMPLETED</v>
      </c>
      <c r="AA416" s="430" t="s">
        <v>1958</v>
      </c>
      <c r="AB416" s="437">
        <v>46121</v>
      </c>
      <c r="AC416" s="438">
        <f>IF(PV_DATA[[#This Row],[Pick- Up Date]]&lt;&gt;"",_xlfn.ISOWEEKNUM(PV_DATA[[#This Row],[Pick- Up Date]]),"")</f>
        <v>15</v>
      </c>
      <c r="AD416" s="439" t="s">
        <v>2049</v>
      </c>
      <c r="AE416" s="430"/>
      <c r="AF416" s="430" t="s">
        <v>4418</v>
      </c>
      <c r="AG416" s="430" t="s">
        <v>123</v>
      </c>
      <c r="AH416" s="430" t="s">
        <v>105</v>
      </c>
      <c r="AI416" s="437">
        <v>46124</v>
      </c>
      <c r="AJ416" s="437">
        <v>46125</v>
      </c>
      <c r="AK416" s="441">
        <v>46125</v>
      </c>
      <c r="AL416" s="437">
        <v>46169</v>
      </c>
      <c r="AM416" s="437">
        <v>46172</v>
      </c>
      <c r="AN416" s="437">
        <v>46170</v>
      </c>
      <c r="AO416" s="430" t="s">
        <v>402</v>
      </c>
      <c r="AP416" s="430" t="s">
        <v>2045</v>
      </c>
      <c r="AQ416" s="430" t="s">
        <v>80</v>
      </c>
      <c r="AR416" s="430" t="s">
        <v>2050</v>
      </c>
      <c r="AS416" s="430" t="s">
        <v>2051</v>
      </c>
      <c r="AT416" s="482" t="s">
        <v>2051</v>
      </c>
      <c r="AU4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0"/>
      <c r="AW416" s="437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7">
        <f>IF(ISERROR(PV_DATA[[#This Row],[New Ark PO status]]),"",_xlfn.XLOOKUP(PV_DATA[[#This Row],[SPTN-PVHK New Ark PO'#]],New_Ark_Data[Purchase order Number],New_Ark_Data[Estimated time of arrival],"",0))</f>
        <v>46177</v>
      </c>
      <c r="AZ41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7">
        <f>IFERROR(PV_DATA[[#This Row],[ODP ETA Port]]+PV_DATA[[#This Row],[Customs/Leg3 Assumption]],"n/a")</f>
        <v>46170</v>
      </c>
      <c r="BB416" s="433">
        <f>YEAR(PV_DATA[[#This Row],[ETA for New Ark update]])</f>
        <v>2026</v>
      </c>
      <c r="BC416" s="430">
        <f>MONTH(PV_DATA[[#This Row],[ETA for New Ark update]])</f>
        <v>5</v>
      </c>
      <c r="BD416" s="430">
        <f>IFERROR(_xlfn.ISOWEEKNUM(PV_DATA[[#This Row],[ETA for New Ark update]]),0)</f>
        <v>22</v>
      </c>
      <c r="BE416" s="431">
        <f>_xlfn.XLOOKUP(PV_DATA[[#This Row],[New Ark SKU]],Table9[New Ark SKU],Table9[Total PCS per Pallet],,0)</f>
        <v>33</v>
      </c>
      <c r="BF416" s="431">
        <f>_xlfn.XLOOKUP(PV_DATA[[#This Row],[New Ark SKU]],Table9[New Ark SKU],Table9[Total PCS per 40HQ Container],,0)</f>
        <v>594</v>
      </c>
      <c r="BG416" s="431" t="str">
        <f>_xlfn.XLOOKUP(PV_DATA[[#This Row],[New Ark SKU]],Table9[New Ark SKU],Table9[Back Glass],,0)</f>
        <v>Transparent</v>
      </c>
      <c r="BH416" s="431" t="str">
        <f>_xlfn.XLOOKUP(PV_DATA[[#This Row],[PORT DESTINATION]],Table12[PORT DESTINATION],Table12[Cosco Line],,0)</f>
        <v>AEU</v>
      </c>
    </row>
    <row r="417" spans="1:62">
      <c r="A417" s="446" t="s">
        <v>2052</v>
      </c>
      <c r="B417" s="716" t="s">
        <v>1888</v>
      </c>
      <c r="C417" s="446" t="str">
        <f>IFERROR(LEFT(PV_DATA[[#This Row],[TCL REFERENCE]],FIND(".",PV_DATA[[#This Row],[TCL REFERENCE]],1)-1),"Main Line")</f>
        <v>26Feb017</v>
      </c>
      <c r="D417" s="717" t="s">
        <v>63</v>
      </c>
      <c r="E417" s="718" t="s">
        <v>144</v>
      </c>
      <c r="F417" s="462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6" t="s">
        <v>402</v>
      </c>
      <c r="H417" s="446" t="s">
        <v>1449</v>
      </c>
      <c r="I417" s="718" t="s">
        <v>689</v>
      </c>
      <c r="J417" s="450" t="s">
        <v>2053</v>
      </c>
      <c r="K417" s="455" t="s">
        <v>1451</v>
      </c>
      <c r="L417" s="450">
        <v>3</v>
      </c>
      <c r="M417" s="450" t="s">
        <v>840</v>
      </c>
      <c r="N417" s="455">
        <v>46104</v>
      </c>
      <c r="O417" s="455" t="s">
        <v>70</v>
      </c>
      <c r="P417" s="450" t="s">
        <v>195</v>
      </c>
      <c r="Q417" s="450" t="s">
        <v>196</v>
      </c>
      <c r="R417" s="431" t="str">
        <f>_xlfn.XLOOKUP(PV_DATA[[#This Row],[New Ark SKU]],Table9[New Ark SKU],Table9[Connector],,0)</f>
        <v>EVO2A</v>
      </c>
      <c r="S417" s="442" t="str">
        <f>_xlfn.XLOOKUP(PV_DATA[[#This Row],[New Ark SKU]],Table9[New Ark SKU],Table9[Cable],,0)</f>
        <v>±1200mm</v>
      </c>
      <c r="T417" s="450">
        <v>450</v>
      </c>
      <c r="U417" s="1091">
        <f>936*11</f>
        <v>10296</v>
      </c>
      <c r="V417" s="464">
        <f>PV_DATA[[#This Row],[QUANTITY]]*PV_DATA[[#This Row],[WATT]]/1000000</f>
        <v>4.6332000000000004</v>
      </c>
      <c r="W417" s="450">
        <f>PV_DATA[[#This Row],[QUANTITY]]/PV_DATA[[#This Row],[Qty/Pallet]]</f>
        <v>286</v>
      </c>
      <c r="X417" s="1085">
        <f>PV_DATA[[#This Row],[QUANTITY]]/PV_DATA[[#This Row],[Qty/CT]]</f>
        <v>11</v>
      </c>
      <c r="Y417" s="450" t="s">
        <v>75</v>
      </c>
      <c r="Z417" s="430" t="str">
        <f t="shared" si="3"/>
        <v>COMPLETED</v>
      </c>
      <c r="AA417" s="450" t="s">
        <v>2054</v>
      </c>
      <c r="AB417" s="455">
        <v>46120</v>
      </c>
      <c r="AC417" s="438">
        <f>IF(PV_DATA[[#This Row],[Pick- Up Date]]&lt;&gt;"",_xlfn.ISOWEEKNUM(PV_DATA[[#This Row],[Pick- Up Date]]),"")</f>
        <v>15</v>
      </c>
      <c r="AD417" s="450" t="s">
        <v>2055</v>
      </c>
      <c r="AE417" s="437"/>
      <c r="AF417" s="455" t="s">
        <v>4420</v>
      </c>
      <c r="AG417" s="455" t="s">
        <v>123</v>
      </c>
      <c r="AH417" s="450" t="s">
        <v>105</v>
      </c>
      <c r="AI417" s="455">
        <v>46124</v>
      </c>
      <c r="AJ417" s="455">
        <v>46127</v>
      </c>
      <c r="AK417" s="455">
        <v>46127</v>
      </c>
      <c r="AL417" s="455">
        <v>46161</v>
      </c>
      <c r="AM417" s="455">
        <v>46172</v>
      </c>
      <c r="AN417" s="455">
        <v>46174</v>
      </c>
      <c r="AO417" s="450" t="s">
        <v>402</v>
      </c>
      <c r="AP417" s="450" t="s">
        <v>2006</v>
      </c>
      <c r="AQ417" s="450" t="s">
        <v>80</v>
      </c>
      <c r="AR417" s="450" t="s">
        <v>2056</v>
      </c>
      <c r="AS417" s="450" t="s">
        <v>2057</v>
      </c>
      <c r="AT417" s="482" t="s">
        <v>2058</v>
      </c>
      <c r="AU4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0"/>
      <c r="AW417" s="455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5">
        <f>IF(ISERROR(PV_DATA[[#This Row],[New Ark PO status]]),"",_xlfn.XLOOKUP(PV_DATA[[#This Row],[SPTN-PVHK New Ark PO'#]],New_Ark_Data[Purchase order Number],New_Ark_Data[Estimated time of arrival],"",0))</f>
        <v>46168</v>
      </c>
      <c r="AZ41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7">
        <f>IFERROR(PV_DATA[[#This Row],[ODP ETA Port]]+PV_DATA[[#This Row],[Customs/Leg3 Assumption]],"n/a")</f>
        <v>46174</v>
      </c>
      <c r="BB417" s="452">
        <f>YEAR(PV_DATA[[#This Row],[ETA for New Ark update]])</f>
        <v>2026</v>
      </c>
      <c r="BC417" s="450">
        <f>MONTH(PV_DATA[[#This Row],[ETA for New Ark update]])</f>
        <v>6</v>
      </c>
      <c r="BD417" s="450">
        <f>IFERROR(_xlfn.ISOWEEKNUM(PV_DATA[[#This Row],[ETA for New Ark update]]),0)</f>
        <v>23</v>
      </c>
      <c r="BE417" s="431">
        <f>_xlfn.XLOOKUP(PV_DATA[[#This Row],[New Ark SKU]],Table9[New Ark SKU],Table9[Total PCS per Pallet],,0)</f>
        <v>36</v>
      </c>
      <c r="BF417" s="431">
        <f>_xlfn.XLOOKUP(PV_DATA[[#This Row],[New Ark SKU]],Table9[New Ark SKU],Table9[Total PCS per 40HQ Container],,0)</f>
        <v>936</v>
      </c>
      <c r="BG417" s="431" t="str">
        <f>_xlfn.XLOOKUP(PV_DATA[[#This Row],[New Ark SKU]],Table9[New Ark SKU],Table9[Back Glass],,0)</f>
        <v>Black glazing</v>
      </c>
      <c r="BH417" s="431" t="str">
        <f>_xlfn.XLOOKUP(PV_DATA[[#This Row],[PORT DESTINATION]],Table12[PORT DESTINATION],Table12[Cosco Line],,0)</f>
        <v>AEU</v>
      </c>
      <c r="BJ417" s="430"/>
    </row>
    <row r="418" spans="1:62">
      <c r="A418" s="439" t="s">
        <v>2059</v>
      </c>
      <c r="B418" s="719" t="s">
        <v>1888</v>
      </c>
      <c r="C418" s="439" t="str">
        <f>IFERROR(LEFT(PV_DATA[[#This Row],[TCL REFERENCE]],FIND(".",PV_DATA[[#This Row],[TCL REFERENCE]],1)-1),"Main Line")</f>
        <v>26Feb017</v>
      </c>
      <c r="D418" s="439" t="s">
        <v>63</v>
      </c>
      <c r="E418" s="719" t="s">
        <v>144</v>
      </c>
      <c r="F418" s="462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19" t="s">
        <v>402</v>
      </c>
      <c r="H418" s="719" t="s">
        <v>1449</v>
      </c>
      <c r="I418" s="439" t="s">
        <v>689</v>
      </c>
      <c r="J418" s="431" t="s">
        <v>2053</v>
      </c>
      <c r="K418" s="431" t="s">
        <v>1451</v>
      </c>
      <c r="L418" s="450">
        <v>4</v>
      </c>
      <c r="M418" s="431" t="s">
        <v>840</v>
      </c>
      <c r="N418" s="441">
        <v>46104</v>
      </c>
      <c r="O418" s="431" t="s">
        <v>70</v>
      </c>
      <c r="P418" s="431" t="s">
        <v>195</v>
      </c>
      <c r="Q418" s="431" t="s">
        <v>196</v>
      </c>
      <c r="R418" s="431" t="str">
        <f>_xlfn.XLOOKUP(PV_DATA[[#This Row],[New Ark SKU]],Table9[New Ark SKU],Table9[Connector],,0)</f>
        <v>EVO2A</v>
      </c>
      <c r="S418" s="442" t="str">
        <f>_xlfn.XLOOKUP(PV_DATA[[#This Row],[New Ark SKU]],Table9[New Ark SKU],Table9[Cable],,0)</f>
        <v>±1200mm</v>
      </c>
      <c r="T418" s="431">
        <v>450</v>
      </c>
      <c r="U418" s="1088">
        <f>936*3</f>
        <v>2808</v>
      </c>
      <c r="V418" s="434">
        <f>PV_DATA[[#This Row],[QUANTITY]]*PV_DATA[[#This Row],[WATT]]/1000000</f>
        <v>1.2636000000000001</v>
      </c>
      <c r="W418" s="435">
        <f>PV_DATA[[#This Row],[QUANTITY]]/PV_DATA[[#This Row],[Qty/Pallet]]</f>
        <v>78</v>
      </c>
      <c r="X418" s="1040">
        <f>PV_DATA[[#This Row],[QUANTITY]]/PV_DATA[[#This Row],[Qty/CT]]</f>
        <v>3</v>
      </c>
      <c r="Y418" s="430" t="s">
        <v>75</v>
      </c>
      <c r="Z418" s="430" t="str">
        <f t="shared" si="3"/>
        <v>COMPLETED</v>
      </c>
      <c r="AA418" s="431" t="s">
        <v>2054</v>
      </c>
      <c r="AB418" s="441">
        <v>46121</v>
      </c>
      <c r="AC418" s="438">
        <f>IF(PV_DATA[[#This Row],[Pick- Up Date]]&lt;&gt;"",_xlfn.ISOWEEKNUM(PV_DATA[[#This Row],[Pick- Up Date]]),"")</f>
        <v>15</v>
      </c>
      <c r="AD418" s="431" t="s">
        <v>2060</v>
      </c>
      <c r="AE418" s="431"/>
      <c r="AF418" s="431" t="s">
        <v>4420</v>
      </c>
      <c r="AG418" s="431" t="s">
        <v>123</v>
      </c>
      <c r="AH418" s="431" t="s">
        <v>105</v>
      </c>
      <c r="AI418" s="441">
        <v>46124</v>
      </c>
      <c r="AJ418" s="441">
        <v>46125</v>
      </c>
      <c r="AK418" s="441">
        <v>46125</v>
      </c>
      <c r="AL418" s="441">
        <v>46169</v>
      </c>
      <c r="AM418" s="441">
        <v>46172</v>
      </c>
      <c r="AN418" s="441">
        <v>46170</v>
      </c>
      <c r="AO418" s="431" t="s">
        <v>402</v>
      </c>
      <c r="AP418" s="431" t="s">
        <v>2045</v>
      </c>
      <c r="AQ418" s="431" t="s">
        <v>80</v>
      </c>
      <c r="AR418" s="431" t="s">
        <v>2061</v>
      </c>
      <c r="AS418" s="431" t="s">
        <v>2062</v>
      </c>
      <c r="AT418" s="482" t="s">
        <v>2062</v>
      </c>
      <c r="AU4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1"/>
      <c r="AW418" s="441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1">
        <f>IF(ISERROR(PV_DATA[[#This Row],[New Ark PO status]]),"",_xlfn.XLOOKUP(PV_DATA[[#This Row],[SPTN-PVHK New Ark PO'#]],New_Ark_Data[Purchase order Number],New_Ark_Data[Estimated time of arrival],"",0))</f>
        <v>46184</v>
      </c>
      <c r="AZ41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7">
        <f>IFERROR(PV_DATA[[#This Row],[ODP ETA Port]]+PV_DATA[[#This Row],[Customs/Leg3 Assumption]],"n/a")</f>
        <v>46170</v>
      </c>
      <c r="BB418" s="442">
        <f>YEAR(PV_DATA[[#This Row],[ETA for New Ark update]])</f>
        <v>2026</v>
      </c>
      <c r="BC418" s="431">
        <f>MONTH(PV_DATA[[#This Row],[ETA for New Ark update]])</f>
        <v>5</v>
      </c>
      <c r="BD418" s="431">
        <f>IFERROR(_xlfn.ISOWEEKNUM(PV_DATA[[#This Row],[ETA for New Ark update]]),0)</f>
        <v>22</v>
      </c>
      <c r="BE418" s="431">
        <f>_xlfn.XLOOKUP(PV_DATA[[#This Row],[New Ark SKU]],Table9[New Ark SKU],Table9[Total PCS per Pallet],,0)</f>
        <v>36</v>
      </c>
      <c r="BF418" s="431">
        <f>_xlfn.XLOOKUP(PV_DATA[[#This Row],[New Ark SKU]],Table9[New Ark SKU],Table9[Total PCS per 40HQ Container],,0)</f>
        <v>936</v>
      </c>
      <c r="BG418" s="431" t="str">
        <f>_xlfn.XLOOKUP(PV_DATA[[#This Row],[New Ark SKU]],Table9[New Ark SKU],Table9[Back Glass],,0)</f>
        <v>Black glazing</v>
      </c>
      <c r="BH418" s="431" t="str">
        <f>_xlfn.XLOOKUP(PV_DATA[[#This Row],[PORT DESTINATION]],Table12[PORT DESTINATION],Table12[Cosco Line],,0)</f>
        <v>AEU</v>
      </c>
      <c r="BJ418" s="430"/>
    </row>
    <row r="419" spans="1:62">
      <c r="A419" s="462" t="s">
        <v>2063</v>
      </c>
      <c r="B419" s="462" t="s">
        <v>1888</v>
      </c>
      <c r="C419" s="462" t="str">
        <f>IFERROR(LEFT(PV_DATA[[#This Row],[TCL REFERENCE]],FIND(".",PV_DATA[[#This Row],[TCL REFERENCE]],1)-1),"Main Line")</f>
        <v>26Feb017</v>
      </c>
      <c r="D419" s="462" t="s">
        <v>63</v>
      </c>
      <c r="E419" s="462" t="s">
        <v>64</v>
      </c>
      <c r="F419" s="462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2" t="s">
        <v>402</v>
      </c>
      <c r="H419" s="462" t="s">
        <v>67</v>
      </c>
      <c r="I419" s="439" t="s">
        <v>689</v>
      </c>
      <c r="J419" s="430" t="s">
        <v>483</v>
      </c>
      <c r="K419" s="430"/>
      <c r="L419" s="430"/>
      <c r="M419" s="431" t="s">
        <v>68</v>
      </c>
      <c r="N419" s="432">
        <v>46104</v>
      </c>
      <c r="O419" s="430" t="s">
        <v>70</v>
      </c>
      <c r="P419" s="430" t="s">
        <v>195</v>
      </c>
      <c r="Q419" s="430" t="s">
        <v>196</v>
      </c>
      <c r="R419" s="431" t="str">
        <f>_xlfn.XLOOKUP(PV_DATA[[#This Row],[New Ark SKU]],Table9[New Ark SKU],Table9[Connector],,0)</f>
        <v>EVO2A</v>
      </c>
      <c r="S419" s="442" t="str">
        <f>_xlfn.XLOOKUP(PV_DATA[[#This Row],[New Ark SKU]],Table9[New Ark SKU],Table9[Cable],,0)</f>
        <v>±1200mm</v>
      </c>
      <c r="T419" s="433">
        <v>450</v>
      </c>
      <c r="U419" s="1088">
        <f>936*1</f>
        <v>936</v>
      </c>
      <c r="V419" s="434">
        <f>PV_DATA[[#This Row],[QUANTITY]]*PV_DATA[[#This Row],[WATT]]/1000000</f>
        <v>0.42120000000000002</v>
      </c>
      <c r="W419" s="435">
        <f>PV_DATA[[#This Row],[QUANTITY]]/PV_DATA[[#This Row],[Qty/Pallet]]</f>
        <v>26</v>
      </c>
      <c r="X419" s="1040">
        <f>PV_DATA[[#This Row],[QUANTITY]]/PV_DATA[[#This Row],[Qty/CT]]</f>
        <v>1</v>
      </c>
      <c r="Y419" s="430" t="s">
        <v>75</v>
      </c>
      <c r="Z419" s="430" t="str">
        <f t="shared" si="3"/>
        <v>COMPLETED</v>
      </c>
      <c r="AA419" s="430" t="s">
        <v>2054</v>
      </c>
      <c r="AB419" s="437">
        <v>46120</v>
      </c>
      <c r="AC419" s="438">
        <f>IF(PV_DATA[[#This Row],[Pick- Up Date]]&lt;&gt;"",_xlfn.ISOWEEKNUM(PV_DATA[[#This Row],[Pick- Up Date]]),"")</f>
        <v>15</v>
      </c>
      <c r="AD419" s="439" t="s">
        <v>2064</v>
      </c>
      <c r="AE419" s="430"/>
      <c r="AF419" s="430" t="s">
        <v>4420</v>
      </c>
      <c r="AG419" s="430" t="s">
        <v>123</v>
      </c>
      <c r="AH419" s="430" t="s">
        <v>105</v>
      </c>
      <c r="AI419" s="437">
        <v>46124</v>
      </c>
      <c r="AJ419" s="437">
        <v>46125</v>
      </c>
      <c r="AK419" s="441">
        <v>46125</v>
      </c>
      <c r="AL419" s="437">
        <v>46165</v>
      </c>
      <c r="AM419" s="437">
        <v>46165</v>
      </c>
      <c r="AN419" s="437">
        <v>46166</v>
      </c>
      <c r="AO419" s="430" t="s">
        <v>402</v>
      </c>
      <c r="AP419" s="430" t="s">
        <v>2065</v>
      </c>
      <c r="AQ419" s="430" t="s">
        <v>80</v>
      </c>
      <c r="AR419" s="430" t="s">
        <v>2066</v>
      </c>
      <c r="AS419" s="430" t="s">
        <v>2067</v>
      </c>
      <c r="AT419" s="482" t="s">
        <v>2067</v>
      </c>
      <c r="AU4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7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7">
        <f>IF(ISERROR(PV_DATA[[#This Row],[New Ark PO status]]),"",_xlfn.XLOOKUP(PV_DATA[[#This Row],[SPTN-PVHK New Ark PO'#]],New_Ark_Data[Purchase order Number],New_Ark_Data[Estimated time of arrival],"",0))</f>
        <v>46181</v>
      </c>
      <c r="AZ41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7">
        <f>IFERROR(PV_DATA[[#This Row],[ODP ETA Port]]+PV_DATA[[#This Row],[Customs/Leg3 Assumption]],"n/a")</f>
        <v>46173</v>
      </c>
      <c r="BB419" s="433">
        <f>YEAR(PV_DATA[[#This Row],[ETA for New Ark update]])</f>
        <v>2026</v>
      </c>
      <c r="BC419" s="430">
        <f>MONTH(PV_DATA[[#This Row],[ETA for New Ark update]])</f>
        <v>5</v>
      </c>
      <c r="BD419" s="430">
        <f>IFERROR(_xlfn.ISOWEEKNUM(PV_DATA[[#This Row],[ETA for New Ark update]]),0)</f>
        <v>22</v>
      </c>
      <c r="BE419" s="431">
        <f>_xlfn.XLOOKUP(PV_DATA[[#This Row],[New Ark SKU]],Table9[New Ark SKU],Table9[Total PCS per Pallet],,0)</f>
        <v>36</v>
      </c>
      <c r="BF419" s="431">
        <f>_xlfn.XLOOKUP(PV_DATA[[#This Row],[New Ark SKU]],Table9[New Ark SKU],Table9[Total PCS per 40HQ Container],,0)</f>
        <v>936</v>
      </c>
      <c r="BG419" s="431" t="str">
        <f>_xlfn.XLOOKUP(PV_DATA[[#This Row],[New Ark SKU]],Table9[New Ark SKU],Table9[Back Glass],,0)</f>
        <v>Black glazing</v>
      </c>
      <c r="BH419" s="431" t="str">
        <f>_xlfn.XLOOKUP(PV_DATA[[#This Row],[PORT DESTINATION]],Table12[PORT DESTINATION],Table12[Cosco Line],,0)</f>
        <v>AEU</v>
      </c>
      <c r="BJ419" s="430"/>
    </row>
    <row r="420" spans="1:62">
      <c r="A420" s="462" t="s">
        <v>2068</v>
      </c>
      <c r="B420" s="462" t="s">
        <v>1888</v>
      </c>
      <c r="C420" s="462" t="str">
        <f>IFERROR(LEFT(PV_DATA[[#This Row],[TCL REFERENCE]],FIND(".",PV_DATA[[#This Row],[TCL REFERENCE]],1)-1),"Main Line")</f>
        <v>26Feb017</v>
      </c>
      <c r="D420" s="462" t="s">
        <v>63</v>
      </c>
      <c r="E420" s="462" t="s">
        <v>64</v>
      </c>
      <c r="F420" s="462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2" t="s">
        <v>402</v>
      </c>
      <c r="H420" s="462" t="s">
        <v>67</v>
      </c>
      <c r="I420" s="439" t="s">
        <v>689</v>
      </c>
      <c r="J420" s="430" t="s">
        <v>483</v>
      </c>
      <c r="K420" s="430"/>
      <c r="L420" s="430"/>
      <c r="M420" s="431" t="s">
        <v>68</v>
      </c>
      <c r="N420" s="432">
        <v>46111</v>
      </c>
      <c r="O420" s="430" t="s">
        <v>70</v>
      </c>
      <c r="P420" s="430" t="s">
        <v>195</v>
      </c>
      <c r="Q420" s="430" t="s">
        <v>196</v>
      </c>
      <c r="R420" s="431" t="str">
        <f>_xlfn.XLOOKUP(PV_DATA[[#This Row],[New Ark SKU]],Table9[New Ark SKU],Table9[Connector],,0)</f>
        <v>EVO2A</v>
      </c>
      <c r="S420" s="442" t="str">
        <f>_xlfn.XLOOKUP(PV_DATA[[#This Row],[New Ark SKU]],Table9[New Ark SKU],Table9[Cable],,0)</f>
        <v>±1200mm</v>
      </c>
      <c r="T420" s="433">
        <v>450</v>
      </c>
      <c r="U420" s="1088">
        <v>936</v>
      </c>
      <c r="V420" s="434">
        <f>PV_DATA[[#This Row],[QUANTITY]]*PV_DATA[[#This Row],[WATT]]/1000000</f>
        <v>0.42120000000000002</v>
      </c>
      <c r="W420" s="435">
        <f>PV_DATA[[#This Row],[QUANTITY]]/PV_DATA[[#This Row],[Qty/Pallet]]</f>
        <v>26</v>
      </c>
      <c r="X420" s="1040">
        <f>PV_DATA[[#This Row],[QUANTITY]]/PV_DATA[[#This Row],[Qty/CT]]</f>
        <v>1</v>
      </c>
      <c r="Y420" s="430" t="s">
        <v>75</v>
      </c>
      <c r="Z420" s="430" t="str">
        <f t="shared" si="3"/>
        <v>COMPLETED</v>
      </c>
      <c r="AA420" s="430"/>
      <c r="AB420" s="437">
        <v>46120</v>
      </c>
      <c r="AC420" s="438">
        <f>IF(PV_DATA[[#This Row],[Pick- Up Date]]&lt;&gt;"",_xlfn.ISOWEEKNUM(PV_DATA[[#This Row],[Pick- Up Date]]),"")</f>
        <v>15</v>
      </c>
      <c r="AD420" s="439" t="s">
        <v>2069</v>
      </c>
      <c r="AE420" s="430"/>
      <c r="AF420" s="430" t="s">
        <v>4420</v>
      </c>
      <c r="AG420" s="430" t="s">
        <v>123</v>
      </c>
      <c r="AH420" s="430" t="s">
        <v>105</v>
      </c>
      <c r="AI420" s="437">
        <v>46124</v>
      </c>
      <c r="AJ420" s="437">
        <v>46125</v>
      </c>
      <c r="AK420" s="441">
        <v>46125</v>
      </c>
      <c r="AL420" s="437">
        <v>46165</v>
      </c>
      <c r="AM420" s="437">
        <v>46165</v>
      </c>
      <c r="AN420" s="437">
        <v>46166</v>
      </c>
      <c r="AO420" s="430" t="s">
        <v>402</v>
      </c>
      <c r="AP420" s="430" t="s">
        <v>2065</v>
      </c>
      <c r="AQ420" s="430" t="s">
        <v>80</v>
      </c>
      <c r="AR420" s="430" t="s">
        <v>2066</v>
      </c>
      <c r="AS420" s="430" t="s">
        <v>2067</v>
      </c>
      <c r="AT420" s="482" t="s">
        <v>2067</v>
      </c>
      <c r="AU4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7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7">
        <f>IF(ISERROR(PV_DATA[[#This Row],[New Ark PO status]]),"",_xlfn.XLOOKUP(PV_DATA[[#This Row],[SPTN-PVHK New Ark PO'#]],New_Ark_Data[Purchase order Number],New_Ark_Data[Estimated time of arrival],"",0))</f>
        <v>46181</v>
      </c>
      <c r="AZ42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7">
        <f>IFERROR(PV_DATA[[#This Row],[ODP ETA Port]]+PV_DATA[[#This Row],[Customs/Leg3 Assumption]],"n/a")</f>
        <v>46173</v>
      </c>
      <c r="BB420" s="433">
        <f>YEAR(PV_DATA[[#This Row],[ETA for New Ark update]])</f>
        <v>2026</v>
      </c>
      <c r="BC420" s="430">
        <f>MONTH(PV_DATA[[#This Row],[ETA for New Ark update]])</f>
        <v>5</v>
      </c>
      <c r="BD420" s="430">
        <f>IFERROR(_xlfn.ISOWEEKNUM(PV_DATA[[#This Row],[ETA for New Ark update]]),0)</f>
        <v>22</v>
      </c>
      <c r="BE420" s="431">
        <f>_xlfn.XLOOKUP(PV_DATA[[#This Row],[New Ark SKU]],Table9[New Ark SKU],Table9[Total PCS per Pallet],,0)</f>
        <v>36</v>
      </c>
      <c r="BF420" s="431">
        <f>_xlfn.XLOOKUP(PV_DATA[[#This Row],[New Ark SKU]],Table9[New Ark SKU],Table9[Total PCS per 40HQ Container],,0)</f>
        <v>936</v>
      </c>
      <c r="BG420" s="431" t="str">
        <f>_xlfn.XLOOKUP(PV_DATA[[#This Row],[New Ark SKU]],Table9[New Ark SKU],Table9[Back Glass],,0)</f>
        <v>Black glazing</v>
      </c>
      <c r="BH420" s="431" t="str">
        <f>_xlfn.XLOOKUP(PV_DATA[[#This Row],[PORT DESTINATION]],Table12[PORT DESTINATION],Table12[Cosco Line],,0)</f>
        <v>AEU</v>
      </c>
      <c r="BJ420" s="430"/>
    </row>
    <row r="421" spans="1:62">
      <c r="A421" s="462" t="s">
        <v>1893</v>
      </c>
      <c r="B421" s="462" t="s">
        <v>111</v>
      </c>
      <c r="C421" s="462" t="str">
        <f>IFERROR(LEFT(PV_DATA[[#This Row],[TCL REFERENCE]],FIND(".",PV_DATA[[#This Row],[TCL REFERENCE]],1)-1),"Main Line")</f>
        <v>Main Line</v>
      </c>
      <c r="D421" s="462" t="s">
        <v>63</v>
      </c>
      <c r="E421" s="462" t="s">
        <v>144</v>
      </c>
      <c r="F421" s="462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2" t="s">
        <v>402</v>
      </c>
      <c r="H421" s="462" t="s">
        <v>593</v>
      </c>
      <c r="I421" s="439" t="s">
        <v>689</v>
      </c>
      <c r="J421" s="430" t="s">
        <v>2070</v>
      </c>
      <c r="K421" s="430" t="s">
        <v>2071</v>
      </c>
      <c r="L421" s="430"/>
      <c r="M421" s="430" t="s">
        <v>840</v>
      </c>
      <c r="N421" s="432">
        <v>46111</v>
      </c>
      <c r="O421" s="430" t="s">
        <v>132</v>
      </c>
      <c r="P421" s="430" t="s">
        <v>1894</v>
      </c>
      <c r="Q421" s="430" t="s">
        <v>1895</v>
      </c>
      <c r="R421" s="431" t="str">
        <f>_xlfn.XLOOKUP(PV_DATA[[#This Row],[New Ark SKU]],Table9[New Ark SKU],Table9[Connector],,0)</f>
        <v>EVO2A</v>
      </c>
      <c r="S421" s="442" t="str">
        <f>_xlfn.XLOOKUP(PV_DATA[[#This Row],[New Ark SKU]],Table9[New Ark SKU],Table9[Cable],,0)</f>
        <v>±1400mm</v>
      </c>
      <c r="T421" s="433">
        <v>560</v>
      </c>
      <c r="U421" s="1088" cm="1">
        <f t="array" ref="U421">5940-fx_qty</f>
        <v>2640</v>
      </c>
      <c r="V421" s="434">
        <f>PV_DATA[[#This Row],[QUANTITY]]*PV_DATA[[#This Row],[WATT]]/1000000</f>
        <v>1.4783999999999999</v>
      </c>
      <c r="W421" s="435">
        <f>PV_DATA[[#This Row],[QUANTITY]]/PV_DATA[[#This Row],[Qty/Pallet]]</f>
        <v>80</v>
      </c>
      <c r="X421" s="1040">
        <f>PV_DATA[[#This Row],[QUANTITY]]/PV_DATA[[#This Row],[Qty/CT]]</f>
        <v>4</v>
      </c>
      <c r="Y421" s="430" t="s">
        <v>951</v>
      </c>
      <c r="Z421" s="430" t="str">
        <f t="shared" si="3"/>
        <v>COMPLETED</v>
      </c>
      <c r="AA421" s="430" t="s">
        <v>1896</v>
      </c>
      <c r="AB421" s="437">
        <v>46119</v>
      </c>
      <c r="AC421" s="438">
        <f>IF(PV_DATA[[#This Row],[Pick- Up Date]]&lt;&gt;"",_xlfn.ISOWEEKNUM(PV_DATA[[#This Row],[Pick- Up Date]]),"")</f>
        <v>15</v>
      </c>
      <c r="AD421" s="439" t="s">
        <v>2072</v>
      </c>
      <c r="AE421" s="430"/>
      <c r="AF421" s="430" t="s">
        <v>4418</v>
      </c>
      <c r="AG421" s="430" t="s">
        <v>123</v>
      </c>
      <c r="AH421" s="430" t="s">
        <v>124</v>
      </c>
      <c r="AI421" s="437">
        <v>46122</v>
      </c>
      <c r="AJ421" s="437">
        <v>46122</v>
      </c>
      <c r="AK421" s="441">
        <v>46124</v>
      </c>
      <c r="AL421" s="437">
        <v>46177</v>
      </c>
      <c r="AM421" s="437">
        <v>46207</v>
      </c>
      <c r="AN421" s="437">
        <v>46207</v>
      </c>
      <c r="AO421" s="430" t="s">
        <v>402</v>
      </c>
      <c r="AP421" s="430" t="s">
        <v>2073</v>
      </c>
      <c r="AQ421" s="430" t="s">
        <v>80</v>
      </c>
      <c r="AR421" s="430" t="s">
        <v>2074</v>
      </c>
      <c r="AS421" s="430" t="s">
        <v>2075</v>
      </c>
      <c r="AT421" s="482" t="s">
        <v>2075</v>
      </c>
      <c r="AU4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7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7">
        <f>IF(ISERROR(PV_DATA[[#This Row],[New Ark PO status]]),"",_xlfn.XLOOKUP(PV_DATA[[#This Row],[SPTN-PVHK New Ark PO'#]],New_Ark_Data[Purchase order Number],New_Ark_Data[Estimated time of arrival],"",0))</f>
        <v>46191</v>
      </c>
      <c r="AZ42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7">
        <f>IFERROR(PV_DATA[[#This Row],[ODP ETA Port]]+PV_DATA[[#This Row],[Customs/Leg3 Assumption]],"n/a")</f>
        <v>46207</v>
      </c>
      <c r="BB421" s="433">
        <f>YEAR(PV_DATA[[#This Row],[ETA for New Ark update]])</f>
        <v>2026</v>
      </c>
      <c r="BC421" s="430">
        <f>MONTH(PV_DATA[[#This Row],[ETA for New Ark update]])</f>
        <v>7</v>
      </c>
      <c r="BD421" s="430">
        <f>IFERROR(_xlfn.ISOWEEKNUM(PV_DATA[[#This Row],[ETA for New Ark update]]),0)</f>
        <v>27</v>
      </c>
      <c r="BE421" s="431">
        <f>_xlfn.XLOOKUP(PV_DATA[[#This Row],[New Ark SKU]],Table9[New Ark SKU],Table9[Total PCS per Pallet],,0)</f>
        <v>33</v>
      </c>
      <c r="BF421" s="431">
        <f>_xlfn.XLOOKUP(PV_DATA[[#This Row],[New Ark SKU]],Table9[New Ark SKU],Table9[Total PCS per 40HQ Container],,0)</f>
        <v>660</v>
      </c>
      <c r="BG421" s="431" t="str">
        <f>_xlfn.XLOOKUP(PV_DATA[[#This Row],[New Ark SKU]],Table9[New Ark SKU],Table9[Back Glass],,0)</f>
        <v>White glazing</v>
      </c>
      <c r="BH421" s="431" t="str">
        <f>_xlfn.XLOOKUP(PV_DATA[[#This Row],[PORT DESTINATION]],Table12[PORT DESTINATION],Table12[Cosco Line],,0)</f>
        <v>AEM</v>
      </c>
      <c r="BJ421" s="430"/>
    </row>
    <row r="422" spans="1:62">
      <c r="A422" s="462" t="s">
        <v>2076</v>
      </c>
      <c r="B422" s="462" t="s">
        <v>111</v>
      </c>
      <c r="C422" s="462" t="str">
        <f>IFERROR(LEFT(PV_DATA[[#This Row],[TCL REFERENCE]],FIND(".",PV_DATA[[#This Row],[TCL REFERENCE]],1)-1),"Main Line")</f>
        <v>26Feb005</v>
      </c>
      <c r="D422" s="462" t="s">
        <v>63</v>
      </c>
      <c r="E422" s="462" t="s">
        <v>64</v>
      </c>
      <c r="F422" s="462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2" t="s">
        <v>402</v>
      </c>
      <c r="H422" s="462" t="s">
        <v>311</v>
      </c>
      <c r="I422" s="439" t="s">
        <v>1395</v>
      </c>
      <c r="J422" s="430" t="s">
        <v>96</v>
      </c>
      <c r="K422" s="430"/>
      <c r="L422" s="430"/>
      <c r="M422" s="430" t="s">
        <v>68</v>
      </c>
      <c r="N422" s="432">
        <v>46111</v>
      </c>
      <c r="O422" s="430" t="s">
        <v>170</v>
      </c>
      <c r="P422" s="430" t="s">
        <v>171</v>
      </c>
      <c r="Q422" s="430" t="s">
        <v>1731</v>
      </c>
      <c r="R422" s="431" t="str">
        <f>_xlfn.XLOOKUP(PV_DATA[[#This Row],[New Ark SKU]],Table9[New Ark SKU],Table9[Connector],,0)</f>
        <v>EVO2A</v>
      </c>
      <c r="S422" s="442" t="str">
        <f>_xlfn.XLOOKUP(PV_DATA[[#This Row],[New Ark SKU]],Table9[New Ark SKU],Table9[Cable],,0)</f>
        <v>±1400mm</v>
      </c>
      <c r="T422" s="433">
        <v>555</v>
      </c>
      <c r="U422" s="1088">
        <v>2640</v>
      </c>
      <c r="V422" s="434">
        <f>PV_DATA[[#This Row],[QUANTITY]]*PV_DATA[[#This Row],[WATT]]/1000000</f>
        <v>1.4652000000000001</v>
      </c>
      <c r="W422" s="435">
        <f>PV_DATA[[#This Row],[QUANTITY]]/PV_DATA[[#This Row],[Qty/Pallet]]</f>
        <v>80</v>
      </c>
      <c r="X422" s="1040">
        <f>PV_DATA[[#This Row],[QUANTITY]]/PV_DATA[[#This Row],[Qty/CT]]</f>
        <v>4</v>
      </c>
      <c r="Y422" s="430" t="s">
        <v>75</v>
      </c>
      <c r="Z422" s="430" t="str">
        <f t="shared" si="3"/>
        <v>COMPLETED</v>
      </c>
      <c r="AA422" s="430" t="s">
        <v>2077</v>
      </c>
      <c r="AB422" s="437">
        <v>46117</v>
      </c>
      <c r="AC422" s="438">
        <f>IF(PV_DATA[[#This Row],[Pick- Up Date]]&lt;&gt;"",_xlfn.ISOWEEKNUM(PV_DATA[[#This Row],[Pick- Up Date]]),"")</f>
        <v>14</v>
      </c>
      <c r="AD422" s="439" t="s">
        <v>2078</v>
      </c>
      <c r="AE422" s="430"/>
      <c r="AF422" s="430" t="s">
        <v>4423</v>
      </c>
      <c r="AG422" s="430" t="s">
        <v>123</v>
      </c>
      <c r="AH422" s="430" t="s">
        <v>314</v>
      </c>
      <c r="AI422" s="437">
        <v>46122</v>
      </c>
      <c r="AJ422" s="437">
        <v>46122</v>
      </c>
      <c r="AK422" s="441">
        <v>46124</v>
      </c>
      <c r="AL422" s="437">
        <v>46169</v>
      </c>
      <c r="AM422" s="437">
        <v>46169</v>
      </c>
      <c r="AN422" s="437">
        <v>46175</v>
      </c>
      <c r="AO422" s="430" t="s">
        <v>402</v>
      </c>
      <c r="AP422" s="430" t="s">
        <v>2073</v>
      </c>
      <c r="AQ422" s="430" t="s">
        <v>80</v>
      </c>
      <c r="AR422" s="430" t="s">
        <v>2079</v>
      </c>
      <c r="AS422" s="430" t="s">
        <v>2080</v>
      </c>
      <c r="AT422" s="482" t="s">
        <v>2080</v>
      </c>
      <c r="AU4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7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7">
        <f>IF(ISERROR(PV_DATA[[#This Row],[New Ark PO status]]),"",_xlfn.XLOOKUP(PV_DATA[[#This Row],[SPTN-PVHK New Ark PO'#]],New_Ark_Data[Purchase order Number],New_Ark_Data[Estimated time of arrival],"",0))</f>
        <v>46190</v>
      </c>
      <c r="AZ42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2" s="437">
        <f>IFERROR(PV_DATA[[#This Row],[ODP ETA Port]]+PV_DATA[[#This Row],[Customs/Leg3 Assumption]],"n/a")</f>
        <v>46185</v>
      </c>
      <c r="BB422" s="433">
        <f>YEAR(PV_DATA[[#This Row],[ETA for New Ark update]])</f>
        <v>2026</v>
      </c>
      <c r="BC422" s="430">
        <f>MONTH(PV_DATA[[#This Row],[ETA for New Ark update]])</f>
        <v>6</v>
      </c>
      <c r="BD422" s="430">
        <f>IFERROR(_xlfn.ISOWEEKNUM(PV_DATA[[#This Row],[ETA for New Ark update]]),0)</f>
        <v>24</v>
      </c>
      <c r="BE422" s="431">
        <f>_xlfn.XLOOKUP(PV_DATA[[#This Row],[New Ark SKU]],Table9[New Ark SKU],Table9[Total PCS per Pallet],,0)</f>
        <v>33</v>
      </c>
      <c r="BF422" s="431">
        <f>_xlfn.XLOOKUP(PV_DATA[[#This Row],[New Ark SKU]],Table9[New Ark SKU],Table9[Total PCS per 40HQ Container],,0)</f>
        <v>660</v>
      </c>
      <c r="BG422" s="431" t="str">
        <f>_xlfn.XLOOKUP(PV_DATA[[#This Row],[New Ark SKU]],Table9[New Ark SKU],Table9[Back Glass],,0)</f>
        <v>White glazing</v>
      </c>
      <c r="BH422" s="431" t="str">
        <f>_xlfn.XLOOKUP(PV_DATA[[#This Row],[PORT DESTINATION]],Table12[PORT DESTINATION],Table12[Cosco Line],,0)</f>
        <v>AEM</v>
      </c>
      <c r="BJ422" s="430"/>
    </row>
    <row r="423" spans="1:62">
      <c r="A423" s="462" t="s">
        <v>2081</v>
      </c>
      <c r="B423" s="462" t="s">
        <v>111</v>
      </c>
      <c r="C423" s="462" t="str">
        <f>IFERROR(LEFT(PV_DATA[[#This Row],[TCL REFERENCE]],FIND(".",PV_DATA[[#This Row],[TCL REFERENCE]],1)-1),"Main Line")</f>
        <v>26Feb005</v>
      </c>
      <c r="D423" s="462" t="s">
        <v>63</v>
      </c>
      <c r="E423" s="462" t="s">
        <v>64</v>
      </c>
      <c r="F423" s="462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2" t="s">
        <v>402</v>
      </c>
      <c r="H423" s="462" t="s">
        <v>311</v>
      </c>
      <c r="I423" s="439" t="s">
        <v>1395</v>
      </c>
      <c r="J423" s="430" t="s">
        <v>96</v>
      </c>
      <c r="K423" s="430"/>
      <c r="L423" s="430"/>
      <c r="M423" s="430" t="s">
        <v>68</v>
      </c>
      <c r="N423" s="432">
        <v>46111</v>
      </c>
      <c r="O423" s="430" t="s">
        <v>170</v>
      </c>
      <c r="P423" s="430" t="s">
        <v>171</v>
      </c>
      <c r="Q423" s="430" t="s">
        <v>1731</v>
      </c>
      <c r="R423" s="431" t="str">
        <f>_xlfn.XLOOKUP(PV_DATA[[#This Row],[New Ark SKU]],Table9[New Ark SKU],Table9[Connector],,0)</f>
        <v>EVO2A</v>
      </c>
      <c r="S423" s="442" t="str">
        <f>_xlfn.XLOOKUP(PV_DATA[[#This Row],[New Ark SKU]],Table9[New Ark SKU],Table9[Cable],,0)</f>
        <v>±1400mm</v>
      </c>
      <c r="T423" s="433">
        <v>555</v>
      </c>
      <c r="U423" s="1088">
        <f>660*1</f>
        <v>660</v>
      </c>
      <c r="V423" s="434">
        <f>PV_DATA[[#This Row],[QUANTITY]]*PV_DATA[[#This Row],[WATT]]/1000000</f>
        <v>0.36630000000000001</v>
      </c>
      <c r="W423" s="435">
        <f>PV_DATA[[#This Row],[QUANTITY]]/PV_DATA[[#This Row],[Qty/Pallet]]</f>
        <v>20</v>
      </c>
      <c r="X423" s="1040">
        <f>PV_DATA[[#This Row],[QUANTITY]]/PV_DATA[[#This Row],[Qty/CT]]</f>
        <v>1</v>
      </c>
      <c r="Y423" s="430" t="s">
        <v>75</v>
      </c>
      <c r="Z423" s="430" t="str">
        <f t="shared" si="3"/>
        <v>COMPLETED</v>
      </c>
      <c r="AA423" s="430" t="s">
        <v>2082</v>
      </c>
      <c r="AB423" s="437">
        <v>46117</v>
      </c>
      <c r="AC423" s="438">
        <f>IF(PV_DATA[[#This Row],[Pick- Up Date]]&lt;&gt;"",_xlfn.ISOWEEKNUM(PV_DATA[[#This Row],[Pick- Up Date]]),"")</f>
        <v>14</v>
      </c>
      <c r="AD423" s="439" t="s">
        <v>2083</v>
      </c>
      <c r="AE423" s="430"/>
      <c r="AF423" s="430" t="s">
        <v>4423</v>
      </c>
      <c r="AG423" s="430" t="s">
        <v>123</v>
      </c>
      <c r="AH423" s="430" t="s">
        <v>1561</v>
      </c>
      <c r="AI423" s="437">
        <v>46122</v>
      </c>
      <c r="AJ423" s="437">
        <v>46122</v>
      </c>
      <c r="AK423" s="441">
        <v>46124</v>
      </c>
      <c r="AL423" s="437">
        <v>46166</v>
      </c>
      <c r="AM423" s="437">
        <v>46174</v>
      </c>
      <c r="AN423" s="437">
        <v>46174</v>
      </c>
      <c r="AO423" s="430" t="s">
        <v>402</v>
      </c>
      <c r="AP423" s="430" t="s">
        <v>2073</v>
      </c>
      <c r="AQ423" s="430" t="s">
        <v>80</v>
      </c>
      <c r="AR423" s="430" t="s">
        <v>2084</v>
      </c>
      <c r="AS423" s="430" t="s">
        <v>2085</v>
      </c>
      <c r="AT423" s="482" t="s">
        <v>2085</v>
      </c>
      <c r="AU4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7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7">
        <f>IF(ISERROR(PV_DATA[[#This Row],[New Ark PO status]]),"",_xlfn.XLOOKUP(PV_DATA[[#This Row],[SPTN-PVHK New Ark PO'#]],New_Ark_Data[Purchase order Number],New_Ark_Data[Estimated time of arrival],"",0))</f>
        <v>46189</v>
      </c>
      <c r="AZ42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3" s="437">
        <f>IFERROR(PV_DATA[[#This Row],[ODP ETA Port]]+PV_DATA[[#This Row],[Customs/Leg3 Assumption]],"n/a")</f>
        <v>46184</v>
      </c>
      <c r="BB423" s="433">
        <f>YEAR(PV_DATA[[#This Row],[ETA for New Ark update]])</f>
        <v>2026</v>
      </c>
      <c r="BC423" s="430">
        <f>MONTH(PV_DATA[[#This Row],[ETA for New Ark update]])</f>
        <v>6</v>
      </c>
      <c r="BD423" s="430">
        <f>IFERROR(_xlfn.ISOWEEKNUM(PV_DATA[[#This Row],[ETA for New Ark update]]),0)</f>
        <v>24</v>
      </c>
      <c r="BE423" s="431">
        <f>_xlfn.XLOOKUP(PV_DATA[[#This Row],[New Ark SKU]],Table9[New Ark SKU],Table9[Total PCS per Pallet],,0)</f>
        <v>33</v>
      </c>
      <c r="BF423" s="431">
        <f>_xlfn.XLOOKUP(PV_DATA[[#This Row],[New Ark SKU]],Table9[New Ark SKU],Table9[Total PCS per 40HQ Container],,0)</f>
        <v>660</v>
      </c>
      <c r="BG423" s="431" t="str">
        <f>_xlfn.XLOOKUP(PV_DATA[[#This Row],[New Ark SKU]],Table9[New Ark SKU],Table9[Back Glass],,0)</f>
        <v>White glazing</v>
      </c>
      <c r="BH423" s="431" t="str">
        <f>_xlfn.XLOOKUP(PV_DATA[[#This Row],[PORT DESTINATION]],Table12[PORT DESTINATION],Table12[Cosco Line],,0)</f>
        <v>AEM</v>
      </c>
      <c r="BJ423" s="430"/>
    </row>
    <row r="424" spans="1:62">
      <c r="A424" s="462" t="s">
        <v>2086</v>
      </c>
      <c r="B424" s="462" t="s">
        <v>61</v>
      </c>
      <c r="C424" s="462" t="str">
        <f>IFERROR(LEFT(PV_DATA[[#This Row],[TCL REFERENCE]],FIND(".",PV_DATA[[#This Row],[TCL REFERENCE]],1)-1),"Main Line")</f>
        <v>26Feb023</v>
      </c>
      <c r="D424" s="462" t="s">
        <v>63</v>
      </c>
      <c r="E424" s="462" t="s">
        <v>64</v>
      </c>
      <c r="F424" s="462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2" t="s">
        <v>402</v>
      </c>
      <c r="H424" s="462" t="s">
        <v>67</v>
      </c>
      <c r="I424" s="439" t="s">
        <v>869</v>
      </c>
      <c r="J424" s="430" t="s">
        <v>96</v>
      </c>
      <c r="K424" s="430"/>
      <c r="L424" s="430"/>
      <c r="M424" s="430" t="s">
        <v>68</v>
      </c>
      <c r="N424" s="432">
        <v>46111</v>
      </c>
      <c r="O424" s="430" t="s">
        <v>70</v>
      </c>
      <c r="P424" s="430" t="s">
        <v>706</v>
      </c>
      <c r="Q424" s="430" t="s">
        <v>707</v>
      </c>
      <c r="R424" s="431" t="str">
        <f>_xlfn.XLOOKUP(PV_DATA[[#This Row],[New Ark SKU]],Table9[New Ark SKU],Table9[Connector],,0)</f>
        <v>EVO2A</v>
      </c>
      <c r="S424" s="442" t="str">
        <f>_xlfn.XLOOKUP(PV_DATA[[#This Row],[New Ark SKU]],Table9[New Ark SKU],Table9[Cable],,0)</f>
        <v>±1200mm</v>
      </c>
      <c r="T424" s="433">
        <v>500</v>
      </c>
      <c r="U424" s="1088">
        <f>864*4</f>
        <v>3456</v>
      </c>
      <c r="V424" s="434">
        <f>PV_DATA[[#This Row],[QUANTITY]]*PV_DATA[[#This Row],[WATT]]/1000000</f>
        <v>1.728</v>
      </c>
      <c r="W424" s="435">
        <f>PV_DATA[[#This Row],[QUANTITY]]/PV_DATA[[#This Row],[Qty/Pallet]]</f>
        <v>96</v>
      </c>
      <c r="X424" s="1040">
        <f>PV_DATA[[#This Row],[QUANTITY]]/PV_DATA[[#This Row],[Qty/CT]]</f>
        <v>4</v>
      </c>
      <c r="Y424" s="430" t="s">
        <v>951</v>
      </c>
      <c r="Z424" s="430" t="str">
        <f t="shared" si="3"/>
        <v>COMPLETED</v>
      </c>
      <c r="AA424" s="430" t="s">
        <v>2088</v>
      </c>
      <c r="AB424" s="437">
        <v>46119</v>
      </c>
      <c r="AC424" s="438">
        <f>IF(PV_DATA[[#This Row],[Pick- Up Date]]&lt;&gt;"",_xlfn.ISOWEEKNUM(PV_DATA[[#This Row],[Pick- Up Date]]),"")</f>
        <v>15</v>
      </c>
      <c r="AD424" s="439" t="s">
        <v>2089</v>
      </c>
      <c r="AE424" s="430"/>
      <c r="AF424" s="430" t="s">
        <v>4421</v>
      </c>
      <c r="AG424" s="430" t="s">
        <v>61</v>
      </c>
      <c r="AH424" s="430" t="s">
        <v>78</v>
      </c>
      <c r="AI424" s="437">
        <v>46123</v>
      </c>
      <c r="AJ424" s="437">
        <v>46123</v>
      </c>
      <c r="AK424" s="441">
        <v>46122</v>
      </c>
      <c r="AL424" s="437">
        <v>46188</v>
      </c>
      <c r="AM424" s="437">
        <v>46193</v>
      </c>
      <c r="AN424" s="437">
        <v>46195</v>
      </c>
      <c r="AO424" s="430" t="s">
        <v>402</v>
      </c>
      <c r="AP424" s="430" t="s">
        <v>2090</v>
      </c>
      <c r="AQ424" s="430" t="s">
        <v>80</v>
      </c>
      <c r="AR424" s="430" t="s">
        <v>2091</v>
      </c>
      <c r="AS424" s="430" t="s">
        <v>2092</v>
      </c>
      <c r="AT424" s="482" t="s">
        <v>2092</v>
      </c>
      <c r="AU4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7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7">
        <f>IF(ISERROR(PV_DATA[[#This Row],[New Ark PO status]]),"",_xlfn.XLOOKUP(PV_DATA[[#This Row],[SPTN-PVHK New Ark PO'#]],New_Ark_Data[Purchase order Number],New_Ark_Data[Estimated time of arrival],"",0))</f>
        <v>46206</v>
      </c>
      <c r="AZ42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7">
        <f>IFERROR(PV_DATA[[#This Row],[ODP ETA Port]]+PV_DATA[[#This Row],[Customs/Leg3 Assumption]],"n/a")</f>
        <v>46203</v>
      </c>
      <c r="BB424" s="433">
        <f>YEAR(PV_DATA[[#This Row],[ETA for New Ark update]])</f>
        <v>2026</v>
      </c>
      <c r="BC424" s="430">
        <f>MONTH(PV_DATA[[#This Row],[ETA for New Ark update]])</f>
        <v>6</v>
      </c>
      <c r="BD424" s="430">
        <f>IFERROR(_xlfn.ISOWEEKNUM(PV_DATA[[#This Row],[ETA for New Ark update]]),0)</f>
        <v>27</v>
      </c>
      <c r="BE424" s="431">
        <f>_xlfn.XLOOKUP(PV_DATA[[#This Row],[New Ark SKU]],Table9[New Ark SKU],Table9[Total PCS per Pallet],,0)</f>
        <v>36</v>
      </c>
      <c r="BF424" s="431">
        <f>_xlfn.XLOOKUP(PV_DATA[[#This Row],[New Ark SKU]],Table9[New Ark SKU],Table9[Total PCS per 40HQ Container],,0)</f>
        <v>864</v>
      </c>
      <c r="BG424" s="431" t="str">
        <f>_xlfn.XLOOKUP(PV_DATA[[#This Row],[New Ark SKU]],Table9[New Ark SKU],Table9[Back Glass],,0)</f>
        <v>Black glazing</v>
      </c>
      <c r="BH424" s="431" t="str">
        <f>_xlfn.XLOOKUP(PV_DATA[[#This Row],[PORT DESTINATION]],Table12[PORT DESTINATION],Table12[Cosco Line],,0)</f>
        <v>AEM</v>
      </c>
      <c r="BJ424" s="430"/>
    </row>
    <row r="425" spans="1:62">
      <c r="A425" s="462" t="s">
        <v>2093</v>
      </c>
      <c r="B425" s="462" t="s">
        <v>61</v>
      </c>
      <c r="C425" s="462" t="str">
        <f>IFERROR(LEFT(PV_DATA[[#This Row],[TCL REFERENCE]],FIND(".",PV_DATA[[#This Row],[TCL REFERENCE]],1)-1),"Main Line")</f>
        <v>26Feb021</v>
      </c>
      <c r="D425" s="462" t="s">
        <v>63</v>
      </c>
      <c r="E425" s="462" t="s">
        <v>64</v>
      </c>
      <c r="F425" s="462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2" t="s">
        <v>402</v>
      </c>
      <c r="H425" s="462" t="s">
        <v>67</v>
      </c>
      <c r="I425" s="439" t="s">
        <v>882</v>
      </c>
      <c r="J425" s="430" t="s">
        <v>96</v>
      </c>
      <c r="K425" s="430"/>
      <c r="L425" s="430"/>
      <c r="M425" s="430" t="s">
        <v>68</v>
      </c>
      <c r="N425" s="432">
        <v>46111</v>
      </c>
      <c r="O425" s="430" t="s">
        <v>70</v>
      </c>
      <c r="P425" s="430" t="s">
        <v>91</v>
      </c>
      <c r="Q425" s="430" t="s">
        <v>92</v>
      </c>
      <c r="R425" s="431" t="str">
        <f>_xlfn.XLOOKUP(PV_DATA[[#This Row],[New Ark SKU]],Table9[New Ark SKU],Table9[Connector],,0)</f>
        <v>EVO2A</v>
      </c>
      <c r="S425" s="442" t="str">
        <f>_xlfn.XLOOKUP(PV_DATA[[#This Row],[New Ark SKU]],Table9[New Ark SKU],Table9[Cable],,0)</f>
        <v>±1200mm</v>
      </c>
      <c r="T425" s="433">
        <v>450</v>
      </c>
      <c r="U425" s="1088">
        <f>936*1</f>
        <v>936</v>
      </c>
      <c r="V425" s="434">
        <f>PV_DATA[[#This Row],[QUANTITY]]*PV_DATA[[#This Row],[WATT]]/1000000</f>
        <v>0.42120000000000002</v>
      </c>
      <c r="W425" s="435">
        <f>PV_DATA[[#This Row],[QUANTITY]]/PV_DATA[[#This Row],[Qty/Pallet]]</f>
        <v>26</v>
      </c>
      <c r="X425" s="1040">
        <f>PV_DATA[[#This Row],[QUANTITY]]/PV_DATA[[#This Row],[Qty/CT]]</f>
        <v>1</v>
      </c>
      <c r="Y425" s="430" t="s">
        <v>75</v>
      </c>
      <c r="Z425" s="430" t="str">
        <f t="shared" si="3"/>
        <v>COMPLETED</v>
      </c>
      <c r="AA425" s="430" t="s">
        <v>1991</v>
      </c>
      <c r="AB425" s="437">
        <v>46119</v>
      </c>
      <c r="AC425" s="438">
        <f>IF(PV_DATA[[#This Row],[Pick- Up Date]]&lt;&gt;"",_xlfn.ISOWEEKNUM(PV_DATA[[#This Row],[Pick- Up Date]]),"")</f>
        <v>15</v>
      </c>
      <c r="AD425" s="439" t="s">
        <v>2094</v>
      </c>
      <c r="AE425" s="430"/>
      <c r="AF425" s="430" t="s">
        <v>4421</v>
      </c>
      <c r="AG425" s="430" t="s">
        <v>61</v>
      </c>
      <c r="AH425" s="430" t="s">
        <v>356</v>
      </c>
      <c r="AI425" s="437">
        <v>46123</v>
      </c>
      <c r="AJ425" s="437">
        <v>46123</v>
      </c>
      <c r="AK425" s="441">
        <v>46122</v>
      </c>
      <c r="AL425" s="437">
        <v>46175</v>
      </c>
      <c r="AM425" s="437">
        <v>46174</v>
      </c>
      <c r="AN425" s="437">
        <v>46175</v>
      </c>
      <c r="AO425" s="430" t="s">
        <v>402</v>
      </c>
      <c r="AP425" s="430" t="s">
        <v>2090</v>
      </c>
      <c r="AQ425" s="430" t="s">
        <v>80</v>
      </c>
      <c r="AR425" s="430" t="s">
        <v>2095</v>
      </c>
      <c r="AS425" s="430" t="s">
        <v>2096</v>
      </c>
      <c r="AT425" s="482" t="s">
        <v>2096</v>
      </c>
      <c r="AU4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7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7">
        <f>IF(ISERROR(PV_DATA[[#This Row],[New Ark PO status]]),"",_xlfn.XLOOKUP(PV_DATA[[#This Row],[SPTN-PVHK New Ark PO'#]],New_Ark_Data[Purchase order Number],New_Ark_Data[Estimated time of arrival],"",0))</f>
        <v>46189</v>
      </c>
      <c r="AZ42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5" s="437">
        <f>IFERROR(PV_DATA[[#This Row],[ODP ETA Port]]+PV_DATA[[#This Row],[Customs/Leg3 Assumption]],"n/a")</f>
        <v>46185</v>
      </c>
      <c r="BB425" s="433">
        <f>YEAR(PV_DATA[[#This Row],[ETA for New Ark update]])</f>
        <v>2026</v>
      </c>
      <c r="BC425" s="430">
        <f>MONTH(PV_DATA[[#This Row],[ETA for New Ark update]])</f>
        <v>6</v>
      </c>
      <c r="BD425" s="430">
        <f>IFERROR(_xlfn.ISOWEEKNUM(PV_DATA[[#This Row],[ETA for New Ark update]]),0)</f>
        <v>24</v>
      </c>
      <c r="BE425" s="431">
        <f>_xlfn.XLOOKUP(PV_DATA[[#This Row],[New Ark SKU]],Table9[New Ark SKU],Table9[Total PCS per Pallet],,0)</f>
        <v>36</v>
      </c>
      <c r="BF425" s="431">
        <f>_xlfn.XLOOKUP(PV_DATA[[#This Row],[New Ark SKU]],Table9[New Ark SKU],Table9[Total PCS per 40HQ Container],,0)</f>
        <v>936</v>
      </c>
      <c r="BG425" s="431" t="str">
        <f>_xlfn.XLOOKUP(PV_DATA[[#This Row],[New Ark SKU]],Table9[New Ark SKU],Table9[Back Glass],,0)</f>
        <v>Transparent</v>
      </c>
      <c r="BH425" s="431" t="str">
        <f>_xlfn.XLOOKUP(PV_DATA[[#This Row],[PORT DESTINATION]],Table12[PORT DESTINATION],Table12[Cosco Line],,0)</f>
        <v>AEU</v>
      </c>
      <c r="BJ425" s="430"/>
    </row>
    <row r="426" spans="1:62">
      <c r="A426" s="462" t="s">
        <v>2097</v>
      </c>
      <c r="B426" s="462" t="s">
        <v>61</v>
      </c>
      <c r="C426" s="462" t="str">
        <f>IFERROR(LEFT(PV_DATA[[#This Row],[TCL REFERENCE]],FIND(".",PV_DATA[[#This Row],[TCL REFERENCE]],1)-1),"Main Line")</f>
        <v>26Feb023</v>
      </c>
      <c r="D426" s="462" t="s">
        <v>63</v>
      </c>
      <c r="E426" s="462" t="s">
        <v>64</v>
      </c>
      <c r="F426" s="462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2" t="s">
        <v>402</v>
      </c>
      <c r="H426" s="462" t="s">
        <v>67</v>
      </c>
      <c r="I426" s="439" t="s">
        <v>869</v>
      </c>
      <c r="J426" s="430" t="s">
        <v>96</v>
      </c>
      <c r="K426" s="430"/>
      <c r="L426" s="430"/>
      <c r="M426" s="430" t="s">
        <v>68</v>
      </c>
      <c r="N426" s="432">
        <v>46111</v>
      </c>
      <c r="O426" s="430" t="s">
        <v>70</v>
      </c>
      <c r="P426" s="430" t="s">
        <v>706</v>
      </c>
      <c r="Q426" s="430" t="s">
        <v>707</v>
      </c>
      <c r="R426" s="431" t="str">
        <f>_xlfn.XLOOKUP(PV_DATA[[#This Row],[New Ark SKU]],Table9[New Ark SKU],Table9[Connector],,0)</f>
        <v>EVO2A</v>
      </c>
      <c r="S426" s="442" t="str">
        <f>_xlfn.XLOOKUP(PV_DATA[[#This Row],[New Ark SKU]],Table9[New Ark SKU],Table9[Cable],,0)</f>
        <v>±1200mm</v>
      </c>
      <c r="T426" s="433">
        <v>500</v>
      </c>
      <c r="U426" s="1088">
        <f>864*1</f>
        <v>864</v>
      </c>
      <c r="V426" s="434">
        <f>PV_DATA[[#This Row],[QUANTITY]]*PV_DATA[[#This Row],[WATT]]/1000000</f>
        <v>0.432</v>
      </c>
      <c r="W426" s="435">
        <f>PV_DATA[[#This Row],[QUANTITY]]/PV_DATA[[#This Row],[Qty/Pallet]]</f>
        <v>24</v>
      </c>
      <c r="X426" s="1040">
        <f>PV_DATA[[#This Row],[QUANTITY]]/PV_DATA[[#This Row],[Qty/CT]]</f>
        <v>1</v>
      </c>
      <c r="Y426" s="430" t="s">
        <v>951</v>
      </c>
      <c r="Z426" s="430" t="str">
        <f t="shared" si="3"/>
        <v>COMPLETED</v>
      </c>
      <c r="AA426" s="430" t="s">
        <v>2088</v>
      </c>
      <c r="AB426" s="437">
        <v>46121</v>
      </c>
      <c r="AC426" s="438">
        <f>IF(PV_DATA[[#This Row],[Pick- Up Date]]&lt;&gt;"",_xlfn.ISOWEEKNUM(PV_DATA[[#This Row],[Pick- Up Date]]),"")</f>
        <v>15</v>
      </c>
      <c r="AD426" s="439" t="s">
        <v>2098</v>
      </c>
      <c r="AE426" s="430"/>
      <c r="AF426" s="430" t="s">
        <v>4421</v>
      </c>
      <c r="AG426" s="430" t="s">
        <v>61</v>
      </c>
      <c r="AH426" s="430" t="s">
        <v>356</v>
      </c>
      <c r="AI426" s="437">
        <v>46128</v>
      </c>
      <c r="AJ426" s="437">
        <v>46136</v>
      </c>
      <c r="AK426" s="441">
        <v>46136</v>
      </c>
      <c r="AL426" s="437">
        <v>46182</v>
      </c>
      <c r="AM426" s="437">
        <v>46196</v>
      </c>
      <c r="AN426" s="437">
        <v>46203</v>
      </c>
      <c r="AO426" s="430" t="s">
        <v>402</v>
      </c>
      <c r="AP426" s="430" t="s">
        <v>2099</v>
      </c>
      <c r="AQ426" s="430" t="s">
        <v>161</v>
      </c>
      <c r="AR426" s="430" t="s">
        <v>2100</v>
      </c>
      <c r="AS426" s="430" t="s">
        <v>2101</v>
      </c>
      <c r="AT426" s="482" t="s">
        <v>2101</v>
      </c>
      <c r="AU4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7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7">
        <f>IF(ISERROR(PV_DATA[[#This Row],[New Ark PO status]]),"",_xlfn.XLOOKUP(PV_DATA[[#This Row],[SPTN-PVHK New Ark PO'#]],New_Ark_Data[Purchase order Number],New_Ark_Data[Estimated time of arrival],"",0))</f>
        <v>46210</v>
      </c>
      <c r="AZ42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6" s="437">
        <f>IFERROR(PV_DATA[[#This Row],[ODP ETA Port]]+PV_DATA[[#This Row],[Customs/Leg3 Assumption]],"n/a")</f>
        <v>46213</v>
      </c>
      <c r="BB426" s="433">
        <f>YEAR(PV_DATA[[#This Row],[ETA for New Ark update]])</f>
        <v>2026</v>
      </c>
      <c r="BC426" s="430">
        <f>MONTH(PV_DATA[[#This Row],[ETA for New Ark update]])</f>
        <v>7</v>
      </c>
      <c r="BD426" s="430">
        <f>IFERROR(_xlfn.ISOWEEKNUM(PV_DATA[[#This Row],[ETA for New Ark update]]),0)</f>
        <v>28</v>
      </c>
      <c r="BE426" s="431">
        <f>_xlfn.XLOOKUP(PV_DATA[[#This Row],[New Ark SKU]],Table9[New Ark SKU],Table9[Total PCS per Pallet],,0)</f>
        <v>36</v>
      </c>
      <c r="BF426" s="431">
        <f>_xlfn.XLOOKUP(PV_DATA[[#This Row],[New Ark SKU]],Table9[New Ark SKU],Table9[Total PCS per 40HQ Container],,0)</f>
        <v>864</v>
      </c>
      <c r="BG426" s="431" t="str">
        <f>_xlfn.XLOOKUP(PV_DATA[[#This Row],[New Ark SKU]],Table9[New Ark SKU],Table9[Back Glass],,0)</f>
        <v>Black glazing</v>
      </c>
      <c r="BH426" s="431" t="str">
        <f>_xlfn.XLOOKUP(PV_DATA[[#This Row],[PORT DESTINATION]],Table12[PORT DESTINATION],Table12[Cosco Line],,0)</f>
        <v>AEU</v>
      </c>
      <c r="BJ426" s="430"/>
    </row>
    <row r="427" spans="1:62" s="431" customFormat="1">
      <c r="A427" s="462" t="s">
        <v>2102</v>
      </c>
      <c r="B427" s="462" t="s">
        <v>61</v>
      </c>
      <c r="C427" s="462" t="str">
        <f>IFERROR(LEFT(PV_DATA[[#This Row],[TCL REFERENCE]],FIND(".",PV_DATA[[#This Row],[TCL REFERENCE]],1)-1),"Main Line")</f>
        <v>26Feb021</v>
      </c>
      <c r="D427" s="462" t="s">
        <v>63</v>
      </c>
      <c r="E427" s="462" t="s">
        <v>64</v>
      </c>
      <c r="F427" s="462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2" t="s">
        <v>402</v>
      </c>
      <c r="H427" s="462" t="s">
        <v>67</v>
      </c>
      <c r="I427" s="439" t="s">
        <v>1395</v>
      </c>
      <c r="J427" s="430" t="s">
        <v>96</v>
      </c>
      <c r="K427" s="463"/>
      <c r="L427" s="463"/>
      <c r="M427" s="430" t="s">
        <v>68</v>
      </c>
      <c r="N427" s="432">
        <v>46104</v>
      </c>
      <c r="O427" s="430" t="s">
        <v>70</v>
      </c>
      <c r="P427" s="430" t="s">
        <v>91</v>
      </c>
      <c r="Q427" s="430" t="s">
        <v>92</v>
      </c>
      <c r="R427" s="431" t="str">
        <f>_xlfn.XLOOKUP(PV_DATA[[#This Row],[New Ark SKU]],Table9[New Ark SKU],Table9[Connector],,0)</f>
        <v>EVO2A</v>
      </c>
      <c r="S427" s="442" t="str">
        <f>_xlfn.XLOOKUP(PV_DATA[[#This Row],[New Ark SKU]],Table9[New Ark SKU],Table9[Cable],,0)</f>
        <v>±1200mm</v>
      </c>
      <c r="T427" s="433">
        <v>450</v>
      </c>
      <c r="U427" s="1092">
        <f>936*0</f>
        <v>0</v>
      </c>
      <c r="V427" s="434">
        <f>PV_DATA[[#This Row],[QUANTITY]]*PV_DATA[[#This Row],[WATT]]/1000000</f>
        <v>0</v>
      </c>
      <c r="W427" s="435">
        <f>PV_DATA[[#This Row],[QUANTITY]]/PV_DATA[[#This Row],[Qty/Pallet]]</f>
        <v>0</v>
      </c>
      <c r="X427" s="1040">
        <f>PV_DATA[[#This Row],[QUANTITY]]/PV_DATA[[#This Row],[Qty/CT]]</f>
        <v>0</v>
      </c>
      <c r="Y427" s="430" t="s">
        <v>951</v>
      </c>
      <c r="Z427" s="430" t="str">
        <f t="shared" si="3"/>
        <v>COMPLETED</v>
      </c>
      <c r="AA427" s="430" t="s">
        <v>1907</v>
      </c>
      <c r="AB427" s="437">
        <v>46121</v>
      </c>
      <c r="AC427" s="438">
        <f>IF(PV_DATA[[#This Row],[Pick- Up Date]]&lt;&gt;"",_xlfn.ISOWEEKNUM(PV_DATA[[#This Row],[Pick- Up Date]]),"")</f>
        <v>15</v>
      </c>
      <c r="AD427" s="439" t="s">
        <v>2103</v>
      </c>
      <c r="AE427" s="430"/>
      <c r="AF427" s="430" t="s">
        <v>4421</v>
      </c>
      <c r="AG427" s="430" t="s">
        <v>61</v>
      </c>
      <c r="AH427" s="430" t="s">
        <v>356</v>
      </c>
      <c r="AI427" s="437">
        <v>46128</v>
      </c>
      <c r="AJ427" s="437">
        <v>46136</v>
      </c>
      <c r="AK427" s="441">
        <v>46136</v>
      </c>
      <c r="AL427" s="437">
        <v>46182</v>
      </c>
      <c r="AM427" s="437">
        <v>46196</v>
      </c>
      <c r="AN427" s="437">
        <v>46203</v>
      </c>
      <c r="AO427" s="430" t="s">
        <v>402</v>
      </c>
      <c r="AP427" s="430" t="s">
        <v>2099</v>
      </c>
      <c r="AQ427" s="430" t="s">
        <v>161</v>
      </c>
      <c r="AR427" s="430" t="s">
        <v>2100</v>
      </c>
      <c r="AS427" s="430" t="s">
        <v>2101</v>
      </c>
      <c r="AT427" s="482" t="s">
        <v>2101</v>
      </c>
      <c r="AU4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0"/>
      <c r="AW427" s="437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7">
        <f>IF(ISERROR(PV_DATA[[#This Row],[New Ark PO status]]),"",_xlfn.XLOOKUP(PV_DATA[[#This Row],[SPTN-PVHK New Ark PO'#]],New_Ark_Data[Purchase order Number],New_Ark_Data[Estimated time of arrival],"",0))</f>
        <v>46209</v>
      </c>
      <c r="AZ42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7" s="437">
        <f>IFERROR(PV_DATA[[#This Row],[ODP ETA Port]]+PV_DATA[[#This Row],[Customs/Leg3 Assumption]],"n/a")</f>
        <v>46213</v>
      </c>
      <c r="BB427" s="433">
        <f>YEAR(PV_DATA[[#This Row],[ETA for New Ark update]])</f>
        <v>2026</v>
      </c>
      <c r="BC427" s="430">
        <f>MONTH(PV_DATA[[#This Row],[ETA for New Ark update]])</f>
        <v>7</v>
      </c>
      <c r="BD427" s="430">
        <f>IFERROR(_xlfn.ISOWEEKNUM(PV_DATA[[#This Row],[ETA for New Ark update]]),0)</f>
        <v>28</v>
      </c>
      <c r="BE427" s="431">
        <f>_xlfn.XLOOKUP(PV_DATA[[#This Row],[New Ark SKU]],Table9[New Ark SKU],Table9[Total PCS per Pallet],,0)</f>
        <v>36</v>
      </c>
      <c r="BF427" s="431">
        <f>_xlfn.XLOOKUP(PV_DATA[[#This Row],[New Ark SKU]],Table9[New Ark SKU],Table9[Total PCS per 40HQ Container],,0)</f>
        <v>936</v>
      </c>
      <c r="BG427" s="431" t="str">
        <f>_xlfn.XLOOKUP(PV_DATA[[#This Row],[New Ark SKU]],Table9[New Ark SKU],Table9[Back Glass],,0)</f>
        <v>Transparent</v>
      </c>
      <c r="BH427" s="431" t="str">
        <f>_xlfn.XLOOKUP(PV_DATA[[#This Row],[PORT DESTINATION]],Table12[PORT DESTINATION],Table12[Cosco Line],,0)</f>
        <v>AEU</v>
      </c>
    </row>
    <row r="428" spans="1:62" s="431" customFormat="1" ht="11.25" customHeight="1">
      <c r="A428" s="439" t="s">
        <v>2104</v>
      </c>
      <c r="B428" s="439" t="s">
        <v>61</v>
      </c>
      <c r="C428" s="439" t="str">
        <f>IFERROR(LEFT(PV_DATA[[#This Row],[TCL REFERENCE]],FIND(".",PV_DATA[[#This Row],[TCL REFERENCE]],1)-1),"Main Line")</f>
        <v>26Feb022</v>
      </c>
      <c r="D428" s="439" t="s">
        <v>63</v>
      </c>
      <c r="E428" s="439" t="s">
        <v>64</v>
      </c>
      <c r="F428" s="462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39" t="s">
        <v>402</v>
      </c>
      <c r="H428" s="439" t="s">
        <v>67</v>
      </c>
      <c r="I428" s="439" t="s">
        <v>2004</v>
      </c>
      <c r="J428" s="430" t="s">
        <v>96</v>
      </c>
      <c r="M428" s="431" t="s">
        <v>68</v>
      </c>
      <c r="N428" s="461">
        <v>46111</v>
      </c>
      <c r="O428" s="431" t="s">
        <v>70</v>
      </c>
      <c r="P428" s="431" t="s">
        <v>204</v>
      </c>
      <c r="Q428" s="431" t="s">
        <v>205</v>
      </c>
      <c r="R428" s="431" t="str">
        <f>_xlfn.XLOOKUP(PV_DATA[[#This Row],[New Ark SKU]],Table9[New Ark SKU],Table9[Connector],,0)</f>
        <v>EVO2A</v>
      </c>
      <c r="S428" s="442" t="str">
        <f>_xlfn.XLOOKUP(PV_DATA[[#This Row],[New Ark SKU]],Table9[New Ark SKU],Table9[Cable],,0)</f>
        <v>±1200mm</v>
      </c>
      <c r="T428" s="442">
        <v>455</v>
      </c>
      <c r="U428" s="1093">
        <f>936*4</f>
        <v>3744</v>
      </c>
      <c r="V428" s="448">
        <f>PV_DATA[[#This Row],[QUANTITY]]*PV_DATA[[#This Row],[WATT]]/1000000</f>
        <v>1.7035199999999999</v>
      </c>
      <c r="W428" s="466">
        <f>PV_DATA[[#This Row],[QUANTITY]]/PV_DATA[[#This Row],[Qty/Pallet]]</f>
        <v>104</v>
      </c>
      <c r="X428" s="1044">
        <f>PV_DATA[[#This Row],[QUANTITY]]/PV_DATA[[#This Row],[Qty/CT]]</f>
        <v>4</v>
      </c>
      <c r="Y428" s="431" t="s">
        <v>951</v>
      </c>
      <c r="Z428" s="430" t="str">
        <f t="shared" si="3"/>
        <v>COMPLETED</v>
      </c>
      <c r="AA428" s="431" t="s">
        <v>1896</v>
      </c>
      <c r="AB428" s="441">
        <v>46126</v>
      </c>
      <c r="AC428" s="467">
        <f>IF(PV_DATA[[#This Row],[Pick- Up Date]]&lt;&gt;"",_xlfn.ISOWEEKNUM(PV_DATA[[#This Row],[Pick- Up Date]]),"")</f>
        <v>16</v>
      </c>
      <c r="AD428" s="431" t="s">
        <v>2105</v>
      </c>
      <c r="AF428" s="431" t="s">
        <v>4421</v>
      </c>
      <c r="AG428" s="431" t="s">
        <v>61</v>
      </c>
      <c r="AH428" s="431" t="s">
        <v>356</v>
      </c>
      <c r="AI428" s="441">
        <v>46131</v>
      </c>
      <c r="AJ428" s="441">
        <v>46131</v>
      </c>
      <c r="AK428" s="441">
        <v>46131</v>
      </c>
      <c r="AL428" s="441">
        <v>46182</v>
      </c>
      <c r="AM428" s="441">
        <v>46196</v>
      </c>
      <c r="AN428" s="441">
        <v>46190</v>
      </c>
      <c r="AO428" s="441" t="s">
        <v>402</v>
      </c>
      <c r="AP428" s="441" t="s">
        <v>2106</v>
      </c>
      <c r="AQ428" s="441" t="s">
        <v>161</v>
      </c>
      <c r="AR428" s="441" t="s">
        <v>2107</v>
      </c>
      <c r="AS428" s="431" t="s">
        <v>2108</v>
      </c>
      <c r="AT428" s="431">
        <v>273285267</v>
      </c>
      <c r="AU4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1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1">
        <f>IF(ISERROR(PV_DATA[[#This Row],[New Ark PO status]]),"",_xlfn.XLOOKUP(PV_DATA[[#This Row],[SPTN-PVHK New Ark PO'#]],New_Ark_Data[Purchase order Number],New_Ark_Data[Estimated time of arrival],"",0))</f>
        <v>46203</v>
      </c>
      <c r="AZ42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8" s="437">
        <f>IFERROR(PV_DATA[[#This Row],[ODP ETA Port]]+PV_DATA[[#This Row],[Customs/Leg3 Assumption]],"n/a")</f>
        <v>46200</v>
      </c>
      <c r="BB428" s="442">
        <f>YEAR(PV_DATA[[#This Row],[ETA for New Ark update]])</f>
        <v>2026</v>
      </c>
      <c r="BC428" s="431">
        <f>MONTH(PV_DATA[[#This Row],[ETA for New Ark update]])</f>
        <v>6</v>
      </c>
      <c r="BD428" s="431">
        <f>IFERROR(_xlfn.ISOWEEKNUM(PV_DATA[[#This Row],[ETA for New Ark update]]),0)</f>
        <v>26</v>
      </c>
      <c r="BE428" s="431">
        <f>_xlfn.XLOOKUP(PV_DATA[[#This Row],[New Ark SKU]],Table9[New Ark SKU],Table9[Total PCS per Pallet],,0)</f>
        <v>36</v>
      </c>
      <c r="BF428" s="431">
        <f>_xlfn.XLOOKUP(PV_DATA[[#This Row],[New Ark SKU]],Table9[New Ark SKU],Table9[Total PCS per 40HQ Container],,0)</f>
        <v>936</v>
      </c>
      <c r="BG428" s="431" t="str">
        <f>_xlfn.XLOOKUP(PV_DATA[[#This Row],[New Ark SKU]],Table9[New Ark SKU],Table9[Back Glass],,0)</f>
        <v>Transparent</v>
      </c>
      <c r="BH428" s="431" t="str">
        <f>_xlfn.XLOOKUP(PV_DATA[[#This Row],[PORT DESTINATION]],Table12[PORT DESTINATION],Table12[Cosco Line],,0)</f>
        <v>AEU</v>
      </c>
    </row>
    <row r="429" spans="1:62" s="431" customFormat="1" ht="11.25" customHeight="1">
      <c r="A429" s="439" t="s">
        <v>2109</v>
      </c>
      <c r="B429" s="439" t="s">
        <v>61</v>
      </c>
      <c r="C429" s="439" t="str">
        <f>IFERROR(LEFT(PV_DATA[[#This Row],[TCL REFERENCE]],FIND(".",PV_DATA[[#This Row],[TCL REFERENCE]],1)-1),"Main Line")</f>
        <v>26Feb022</v>
      </c>
      <c r="D429" s="439" t="s">
        <v>63</v>
      </c>
      <c r="E429" s="439" t="s">
        <v>64</v>
      </c>
      <c r="F429" s="462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39" t="s">
        <v>402</v>
      </c>
      <c r="H429" s="439" t="s">
        <v>67</v>
      </c>
      <c r="I429" s="439" t="s">
        <v>1395</v>
      </c>
      <c r="J429" s="430" t="s">
        <v>96</v>
      </c>
      <c r="M429" s="431" t="s">
        <v>68</v>
      </c>
      <c r="N429" s="461">
        <v>46111</v>
      </c>
      <c r="O429" s="431" t="s">
        <v>70</v>
      </c>
      <c r="P429" s="431" t="s">
        <v>204</v>
      </c>
      <c r="Q429" s="431" t="s">
        <v>205</v>
      </c>
      <c r="R429" s="431" t="str">
        <f>_xlfn.XLOOKUP(PV_DATA[[#This Row],[New Ark SKU]],Table9[New Ark SKU],Table9[Connector],,0)</f>
        <v>EVO2A</v>
      </c>
      <c r="S429" s="442" t="str">
        <f>_xlfn.XLOOKUP(PV_DATA[[#This Row],[New Ark SKU]],Table9[New Ark SKU],Table9[Cable],,0)</f>
        <v>±1200mm</v>
      </c>
      <c r="T429" s="442">
        <v>455</v>
      </c>
      <c r="U429" s="1093">
        <f>936*6</f>
        <v>5616</v>
      </c>
      <c r="V429" s="448">
        <f>PV_DATA[[#This Row],[QUANTITY]]*PV_DATA[[#This Row],[WATT]]/1000000</f>
        <v>2.5552800000000002</v>
      </c>
      <c r="W429" s="466">
        <f>PV_DATA[[#This Row],[QUANTITY]]/PV_DATA[[#This Row],[Qty/Pallet]]</f>
        <v>156</v>
      </c>
      <c r="X429" s="1044">
        <f>PV_DATA[[#This Row],[QUANTITY]]/PV_DATA[[#This Row],[Qty/CT]]</f>
        <v>6</v>
      </c>
      <c r="Y429" s="431" t="s">
        <v>951</v>
      </c>
      <c r="Z429" s="430" t="str">
        <f t="shared" si="3"/>
        <v>COMPLETED</v>
      </c>
      <c r="AA429" s="431" t="s">
        <v>1896</v>
      </c>
      <c r="AB429" s="441">
        <v>46126</v>
      </c>
      <c r="AC429" s="467">
        <f>IF(PV_DATA[[#This Row],[Pick- Up Date]]&lt;&gt;"",_xlfn.ISOWEEKNUM(PV_DATA[[#This Row],[Pick- Up Date]]),"")</f>
        <v>16</v>
      </c>
      <c r="AD429" s="431" t="s">
        <v>2110</v>
      </c>
      <c r="AF429" s="431" t="s">
        <v>4421</v>
      </c>
      <c r="AG429" s="431" t="s">
        <v>61</v>
      </c>
      <c r="AH429" s="431" t="s">
        <v>356</v>
      </c>
      <c r="AI429" s="441">
        <v>46131</v>
      </c>
      <c r="AJ429" s="441">
        <v>46131</v>
      </c>
      <c r="AK429" s="441">
        <v>46131</v>
      </c>
      <c r="AL429" s="441">
        <v>46182</v>
      </c>
      <c r="AM429" s="441">
        <v>46196</v>
      </c>
      <c r="AN429" s="441">
        <v>46190</v>
      </c>
      <c r="AO429" s="441" t="s">
        <v>402</v>
      </c>
      <c r="AP429" s="441" t="s">
        <v>2106</v>
      </c>
      <c r="AQ429" s="441" t="s">
        <v>161</v>
      </c>
      <c r="AR429" s="441" t="s">
        <v>2107</v>
      </c>
      <c r="AS429" s="431" t="s">
        <v>2108</v>
      </c>
      <c r="AT429" s="431">
        <v>273285267</v>
      </c>
      <c r="AU4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1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1">
        <f>IF(ISERROR(PV_DATA[[#This Row],[New Ark PO status]]),"",_xlfn.XLOOKUP(PV_DATA[[#This Row],[SPTN-PVHK New Ark PO'#]],New_Ark_Data[Purchase order Number],New_Ark_Data[Estimated time of arrival],"",0))</f>
        <v>46203</v>
      </c>
      <c r="AZ42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9" s="437">
        <f>IFERROR(PV_DATA[[#This Row],[ODP ETA Port]]+PV_DATA[[#This Row],[Customs/Leg3 Assumption]],"n/a")</f>
        <v>46200</v>
      </c>
      <c r="BB429" s="442">
        <f>YEAR(PV_DATA[[#This Row],[ETA for New Ark update]])</f>
        <v>2026</v>
      </c>
      <c r="BC429" s="431">
        <f>MONTH(PV_DATA[[#This Row],[ETA for New Ark update]])</f>
        <v>6</v>
      </c>
      <c r="BD429" s="431">
        <f>IFERROR(_xlfn.ISOWEEKNUM(PV_DATA[[#This Row],[ETA for New Ark update]]),0)</f>
        <v>26</v>
      </c>
      <c r="BE429" s="431">
        <f>_xlfn.XLOOKUP(PV_DATA[[#This Row],[New Ark SKU]],Table9[New Ark SKU],Table9[Total PCS per Pallet],,0)</f>
        <v>36</v>
      </c>
      <c r="BF429" s="431">
        <f>_xlfn.XLOOKUP(PV_DATA[[#This Row],[New Ark SKU]],Table9[New Ark SKU],Table9[Total PCS per 40HQ Container],,0)</f>
        <v>936</v>
      </c>
      <c r="BG429" s="431" t="str">
        <f>_xlfn.XLOOKUP(PV_DATA[[#This Row],[New Ark SKU]],Table9[New Ark SKU],Table9[Back Glass],,0)</f>
        <v>Transparent</v>
      </c>
      <c r="BH429" s="431" t="str">
        <f>_xlfn.XLOOKUP(PV_DATA[[#This Row],[PORT DESTINATION]],Table12[PORT DESTINATION],Table12[Cosco Line],,0)</f>
        <v>AEU</v>
      </c>
    </row>
    <row r="430" spans="1:62" s="431" customFormat="1">
      <c r="A430" s="439" t="s">
        <v>2111</v>
      </c>
      <c r="B430" s="439" t="s">
        <v>1888</v>
      </c>
      <c r="C430" s="439" t="str">
        <f>IFERROR(LEFT(PV_DATA[[#This Row],[TCL REFERENCE]],FIND(".",PV_DATA[[#This Row],[TCL REFERENCE]],1)-1),"Main Line")</f>
        <v>26Feb017</v>
      </c>
      <c r="D430" s="439" t="s">
        <v>63</v>
      </c>
      <c r="E430" s="439" t="s">
        <v>144</v>
      </c>
      <c r="F430" s="462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39" t="s">
        <v>402</v>
      </c>
      <c r="H430" s="439" t="s">
        <v>538</v>
      </c>
      <c r="I430" s="439" t="s">
        <v>689</v>
      </c>
      <c r="J430" s="431" t="s">
        <v>1615</v>
      </c>
      <c r="K430" s="431" t="s">
        <v>1538</v>
      </c>
      <c r="M430" s="468" t="s">
        <v>840</v>
      </c>
      <c r="N430" s="461">
        <v>46076</v>
      </c>
      <c r="O430" s="431" t="s">
        <v>70</v>
      </c>
      <c r="P430" s="431" t="s">
        <v>195</v>
      </c>
      <c r="Q430" s="431" t="s">
        <v>196</v>
      </c>
      <c r="R430" s="431" t="str">
        <f>_xlfn.XLOOKUP(PV_DATA[[#This Row],[New Ark SKU]],Table9[New Ark SKU],Table9[Connector],,0)</f>
        <v>EVO2A</v>
      </c>
      <c r="S430" s="442" t="str">
        <f>_xlfn.XLOOKUP(PV_DATA[[#This Row],[New Ark SKU]],Table9[New Ark SKU],Table9[Cable],,0)</f>
        <v>±1200mm</v>
      </c>
      <c r="T430" s="442">
        <v>450</v>
      </c>
      <c r="U430" s="1093">
        <v>936</v>
      </c>
      <c r="V430" s="448">
        <f>PV_DATA[[#This Row],[QUANTITY]]*PV_DATA[[#This Row],[WATT]]/1000000</f>
        <v>0.42120000000000002</v>
      </c>
      <c r="W430" s="466">
        <f>PV_DATA[[#This Row],[QUANTITY]]/PV_DATA[[#This Row],[Qty/Pallet]]</f>
        <v>26</v>
      </c>
      <c r="X430" s="1044">
        <f>PV_DATA[[#This Row],[QUANTITY]]/PV_DATA[[#This Row],[Qty/CT]]</f>
        <v>1</v>
      </c>
      <c r="Y430" s="431" t="s">
        <v>951</v>
      </c>
      <c r="Z430" s="430" t="str">
        <f t="shared" si="3"/>
        <v>COMPLETED</v>
      </c>
      <c r="AA430" s="431" t="s">
        <v>1889</v>
      </c>
      <c r="AB430" s="441">
        <v>46128</v>
      </c>
      <c r="AC430" s="467">
        <f>IF(PV_DATA[[#This Row],[Pick- Up Date]]&lt;&gt;"",_xlfn.ISOWEEKNUM(PV_DATA[[#This Row],[Pick- Up Date]]),"")</f>
        <v>16</v>
      </c>
      <c r="AD430" s="431" t="s">
        <v>2112</v>
      </c>
      <c r="AF430" s="431" t="s">
        <v>4420</v>
      </c>
      <c r="AG430" s="431" t="s">
        <v>123</v>
      </c>
      <c r="AH430" s="431" t="s">
        <v>541</v>
      </c>
      <c r="AI430" s="441">
        <v>46131</v>
      </c>
      <c r="AJ430" s="441">
        <v>46141</v>
      </c>
      <c r="AK430" s="441">
        <v>46141</v>
      </c>
      <c r="AL430" s="441">
        <v>46192</v>
      </c>
      <c r="AM430" s="441">
        <v>46188</v>
      </c>
      <c r="AN430" s="441">
        <v>46190</v>
      </c>
      <c r="AO430" s="431" t="s">
        <v>402</v>
      </c>
      <c r="AP430" s="431" t="s">
        <v>2113</v>
      </c>
      <c r="AQ430" s="431" t="s">
        <v>80</v>
      </c>
      <c r="AR430" s="431" t="s">
        <v>2114</v>
      </c>
      <c r="AS430" s="431" t="s">
        <v>2115</v>
      </c>
      <c r="AT430" s="482" t="s">
        <v>2115</v>
      </c>
      <c r="AU4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1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1">
        <f>IF(ISERROR(PV_DATA[[#This Row],[New Ark PO status]]),"",_xlfn.XLOOKUP(PV_DATA[[#This Row],[SPTN-PVHK New Ark PO'#]],New_Ark_Data[Purchase order Number],New_Ark_Data[Estimated time of arrival],"",0))</f>
        <v>46192</v>
      </c>
      <c r="AZ43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7">
        <f>IFERROR(PV_DATA[[#This Row],[ODP ETA Port]]+PV_DATA[[#This Row],[Customs/Leg3 Assumption]],"n/a")</f>
        <v>46190</v>
      </c>
      <c r="BB430" s="442">
        <f>YEAR(PV_DATA[[#This Row],[ETA for New Ark update]])</f>
        <v>2026</v>
      </c>
      <c r="BC430" s="431">
        <f>MONTH(PV_DATA[[#This Row],[ETA for New Ark update]])</f>
        <v>6</v>
      </c>
      <c r="BD430" s="431">
        <f>IFERROR(_xlfn.ISOWEEKNUM(PV_DATA[[#This Row],[ETA for New Ark update]]),0)</f>
        <v>25</v>
      </c>
      <c r="BE430" s="431">
        <f>_xlfn.XLOOKUP(PV_DATA[[#This Row],[New Ark SKU]],Table9[New Ark SKU],Table9[Total PCS per Pallet],,0)</f>
        <v>36</v>
      </c>
      <c r="BF430" s="431">
        <f>_xlfn.XLOOKUP(PV_DATA[[#This Row],[New Ark SKU]],Table9[New Ark SKU],Table9[Total PCS per 40HQ Container],,0)</f>
        <v>936</v>
      </c>
      <c r="BG430" s="431" t="str">
        <f>_xlfn.XLOOKUP(PV_DATA[[#This Row],[New Ark SKU]],Table9[New Ark SKU],Table9[Back Glass],,0)</f>
        <v>Black glazing</v>
      </c>
      <c r="BH430" s="431" t="str">
        <f>_xlfn.XLOOKUP(PV_DATA[[#This Row],[PORT DESTINATION]],Table12[PORT DESTINATION],Table12[Cosco Line],,0)</f>
        <v>AEU</v>
      </c>
    </row>
    <row r="431" spans="1:62" s="431" customFormat="1">
      <c r="A431" s="439" t="s">
        <v>2116</v>
      </c>
      <c r="B431" s="439" t="s">
        <v>1888</v>
      </c>
      <c r="C431" s="439" t="str">
        <f>IFERROR(LEFT(PV_DATA[[#This Row],[TCL REFERENCE]],FIND(".",PV_DATA[[#This Row],[TCL REFERENCE]],1)-1),"Main Line")</f>
        <v>26Feb017</v>
      </c>
      <c r="D431" s="439" t="s">
        <v>63</v>
      </c>
      <c r="E431" s="439" t="s">
        <v>144</v>
      </c>
      <c r="F431" s="462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39" t="s">
        <v>402</v>
      </c>
      <c r="H431" s="439" t="s">
        <v>538</v>
      </c>
      <c r="I431" s="439" t="s">
        <v>689</v>
      </c>
      <c r="J431" s="431" t="s">
        <v>1615</v>
      </c>
      <c r="K431" s="431" t="s">
        <v>1538</v>
      </c>
      <c r="M431" s="468" t="s">
        <v>840</v>
      </c>
      <c r="N431" s="461">
        <v>46069</v>
      </c>
      <c r="O431" s="431" t="s">
        <v>70</v>
      </c>
      <c r="P431" s="431" t="s">
        <v>195</v>
      </c>
      <c r="Q431" s="431" t="s">
        <v>196</v>
      </c>
      <c r="R431" s="431" t="str">
        <f>_xlfn.XLOOKUP(PV_DATA[[#This Row],[New Ark SKU]],Table9[New Ark SKU],Table9[Connector],,0)</f>
        <v>EVO2A</v>
      </c>
      <c r="S431" s="442" t="str">
        <f>_xlfn.XLOOKUP(PV_DATA[[#This Row],[New Ark SKU]],Table9[New Ark SKU],Table9[Cable],,0)</f>
        <v>±1200mm</v>
      </c>
      <c r="T431" s="442">
        <v>450</v>
      </c>
      <c r="U431" s="1093">
        <f>936*5</f>
        <v>4680</v>
      </c>
      <c r="V431" s="448">
        <f>PV_DATA[[#This Row],[QUANTITY]]*PV_DATA[[#This Row],[WATT]]/1000000</f>
        <v>2.1059999999999999</v>
      </c>
      <c r="W431" s="466">
        <f>PV_DATA[[#This Row],[QUANTITY]]/PV_DATA[[#This Row],[Qty/Pallet]]</f>
        <v>130</v>
      </c>
      <c r="X431" s="1044">
        <f>PV_DATA[[#This Row],[QUANTITY]]/PV_DATA[[#This Row],[Qty/CT]]</f>
        <v>5</v>
      </c>
      <c r="Y431" s="431" t="s">
        <v>951</v>
      </c>
      <c r="Z431" s="430" t="str">
        <f t="shared" si="3"/>
        <v>COMPLETED</v>
      </c>
      <c r="AA431" s="431" t="s">
        <v>1889</v>
      </c>
      <c r="AB431" s="441">
        <v>46128</v>
      </c>
      <c r="AC431" s="467">
        <f>IF(PV_DATA[[#This Row],[Pick- Up Date]]&lt;&gt;"",_xlfn.ISOWEEKNUM(PV_DATA[[#This Row],[Pick- Up Date]]),"")</f>
        <v>16</v>
      </c>
      <c r="AD431" s="431" t="s">
        <v>2117</v>
      </c>
      <c r="AF431" s="431" t="s">
        <v>4420</v>
      </c>
      <c r="AG431" s="431" t="s">
        <v>123</v>
      </c>
      <c r="AH431" s="431" t="s">
        <v>541</v>
      </c>
      <c r="AI431" s="441">
        <v>46131</v>
      </c>
      <c r="AJ431" s="441">
        <v>46141</v>
      </c>
      <c r="AK431" s="441">
        <v>46141</v>
      </c>
      <c r="AL431" s="441">
        <v>46192</v>
      </c>
      <c r="AM431" s="441">
        <v>46188</v>
      </c>
      <c r="AN431" s="441">
        <v>46190</v>
      </c>
      <c r="AO431" s="431" t="s">
        <v>402</v>
      </c>
      <c r="AP431" s="431" t="s">
        <v>2113</v>
      </c>
      <c r="AQ431" s="431" t="s">
        <v>80</v>
      </c>
      <c r="AR431" s="431" t="s">
        <v>2114</v>
      </c>
      <c r="AS431" s="431" t="s">
        <v>2115</v>
      </c>
      <c r="AT431" s="482" t="s">
        <v>2115</v>
      </c>
      <c r="AU4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1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1">
        <f>IF(ISERROR(PV_DATA[[#This Row],[New Ark PO status]]),"",_xlfn.XLOOKUP(PV_DATA[[#This Row],[SPTN-PVHK New Ark PO'#]],New_Ark_Data[Purchase order Number],New_Ark_Data[Estimated time of arrival],"",0))</f>
        <v>46192</v>
      </c>
      <c r="AZ43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7">
        <f>IFERROR(PV_DATA[[#This Row],[ODP ETA Port]]+PV_DATA[[#This Row],[Customs/Leg3 Assumption]],"n/a")</f>
        <v>46190</v>
      </c>
      <c r="BB431" s="442">
        <f>YEAR(PV_DATA[[#This Row],[ETA for New Ark update]])</f>
        <v>2026</v>
      </c>
      <c r="BC431" s="431">
        <f>MONTH(PV_DATA[[#This Row],[ETA for New Ark update]])</f>
        <v>6</v>
      </c>
      <c r="BD431" s="431">
        <f>IFERROR(_xlfn.ISOWEEKNUM(PV_DATA[[#This Row],[ETA for New Ark update]]),0)</f>
        <v>25</v>
      </c>
      <c r="BE431" s="431">
        <f>_xlfn.XLOOKUP(PV_DATA[[#This Row],[New Ark SKU]],Table9[New Ark SKU],Table9[Total PCS per Pallet],,0)</f>
        <v>36</v>
      </c>
      <c r="BF431" s="431">
        <f>_xlfn.XLOOKUP(PV_DATA[[#This Row],[New Ark SKU]],Table9[New Ark SKU],Table9[Total PCS per 40HQ Container],,0)</f>
        <v>936</v>
      </c>
      <c r="BG431" s="431" t="str">
        <f>_xlfn.XLOOKUP(PV_DATA[[#This Row],[New Ark SKU]],Table9[New Ark SKU],Table9[Back Glass],,0)</f>
        <v>Black glazing</v>
      </c>
      <c r="BH431" s="431" t="str">
        <f>_xlfn.XLOOKUP(PV_DATA[[#This Row],[PORT DESTINATION]],Table12[PORT DESTINATION],Table12[Cosco Line],,0)</f>
        <v>AEU</v>
      </c>
    </row>
    <row r="432" spans="1:62" s="431" customFormat="1">
      <c r="A432" s="439" t="s">
        <v>2118</v>
      </c>
      <c r="B432" s="439" t="s">
        <v>1888</v>
      </c>
      <c r="C432" s="439" t="str">
        <f>IFERROR(LEFT(PV_DATA[[#This Row],[TCL REFERENCE]],FIND(".",PV_DATA[[#This Row],[TCL REFERENCE]],1)-1),"Main Line")</f>
        <v>26Feb017</v>
      </c>
      <c r="D432" s="439" t="s">
        <v>63</v>
      </c>
      <c r="E432" s="446" t="s">
        <v>64</v>
      </c>
      <c r="F432" s="462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39" t="s">
        <v>402</v>
      </c>
      <c r="H432" s="439" t="s">
        <v>67</v>
      </c>
      <c r="I432" s="439" t="s">
        <v>689</v>
      </c>
      <c r="J432" s="430" t="s">
        <v>96</v>
      </c>
      <c r="M432" s="430" t="s">
        <v>840</v>
      </c>
      <c r="N432" s="461">
        <v>46111</v>
      </c>
      <c r="O432" s="431" t="s">
        <v>70</v>
      </c>
      <c r="P432" s="431" t="s">
        <v>195</v>
      </c>
      <c r="Q432" s="431" t="s">
        <v>196</v>
      </c>
      <c r="R432" s="431" t="str">
        <f>_xlfn.XLOOKUP(PV_DATA[[#This Row],[New Ark SKU]],Table9[New Ark SKU],Table9[Connector],,0)</f>
        <v>EVO2A</v>
      </c>
      <c r="S432" s="442" t="str">
        <f>_xlfn.XLOOKUP(PV_DATA[[#This Row],[New Ark SKU]],Table9[New Ark SKU],Table9[Cable],,0)</f>
        <v>±1200mm</v>
      </c>
      <c r="T432" s="442">
        <v>450</v>
      </c>
      <c r="U432" s="1093">
        <f>936*2</f>
        <v>1872</v>
      </c>
      <c r="V432" s="448">
        <f>PV_DATA[[#This Row],[QUANTITY]]*PV_DATA[[#This Row],[WATT]]/1000000</f>
        <v>0.84240000000000004</v>
      </c>
      <c r="W432" s="466">
        <f>PV_DATA[[#This Row],[QUANTITY]]/PV_DATA[[#This Row],[Qty/Pallet]]</f>
        <v>52</v>
      </c>
      <c r="X432" s="1044">
        <f>PV_DATA[[#This Row],[QUANTITY]]/PV_DATA[[#This Row],[Qty/CT]]</f>
        <v>2</v>
      </c>
      <c r="Y432" s="430" t="s">
        <v>75</v>
      </c>
      <c r="Z432" s="430" t="str">
        <f t="shared" si="3"/>
        <v>COMPLETED</v>
      </c>
      <c r="AA432" s="431" t="s">
        <v>2038</v>
      </c>
      <c r="AB432" s="441">
        <v>46125</v>
      </c>
      <c r="AC432" s="467">
        <f>IF(PV_DATA[[#This Row],[Pick- Up Date]]&lt;&gt;"",_xlfn.ISOWEEKNUM(PV_DATA[[#This Row],[Pick- Up Date]]),"")</f>
        <v>16</v>
      </c>
      <c r="AD432" s="431" t="s">
        <v>2119</v>
      </c>
      <c r="AF432" s="431" t="s">
        <v>4420</v>
      </c>
      <c r="AG432" s="431" t="s">
        <v>123</v>
      </c>
      <c r="AH432" s="431" t="s">
        <v>105</v>
      </c>
      <c r="AI432" s="441">
        <v>46129</v>
      </c>
      <c r="AJ432" s="441">
        <v>46130</v>
      </c>
      <c r="AK432" s="441">
        <v>46129</v>
      </c>
      <c r="AL432" s="441">
        <v>46172</v>
      </c>
      <c r="AM432" s="441">
        <v>46179</v>
      </c>
      <c r="AN432" s="441">
        <v>46180</v>
      </c>
      <c r="AO432" s="441" t="s">
        <v>402</v>
      </c>
      <c r="AP432" s="441" t="s">
        <v>2120</v>
      </c>
      <c r="AQ432" s="441" t="s">
        <v>161</v>
      </c>
      <c r="AR432" s="441" t="s">
        <v>2121</v>
      </c>
      <c r="AS432" s="431" t="s">
        <v>2122</v>
      </c>
      <c r="AT432" s="482" t="s">
        <v>2123</v>
      </c>
      <c r="AU4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1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1">
        <f>IF(ISERROR(PV_DATA[[#This Row],[New Ark PO status]]),"",_xlfn.XLOOKUP(PV_DATA[[#This Row],[SPTN-PVHK New Ark PO'#]],New_Ark_Data[Purchase order Number],New_Ark_Data[Estimated time of arrival],"",0))</f>
        <v>46195</v>
      </c>
      <c r="AZ4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7">
        <f>IFERROR(PV_DATA[[#This Row],[ODP ETA Port]]+PV_DATA[[#This Row],[Customs/Leg3 Assumption]],"n/a")</f>
        <v>46187</v>
      </c>
      <c r="BB432" s="442">
        <f>YEAR(PV_DATA[[#This Row],[ETA for New Ark update]])</f>
        <v>2026</v>
      </c>
      <c r="BC432" s="431">
        <f>MONTH(PV_DATA[[#This Row],[ETA for New Ark update]])</f>
        <v>6</v>
      </c>
      <c r="BD432" s="431">
        <f>IFERROR(_xlfn.ISOWEEKNUM(PV_DATA[[#This Row],[ETA for New Ark update]]),0)</f>
        <v>24</v>
      </c>
      <c r="BE432" s="431">
        <f>_xlfn.XLOOKUP(PV_DATA[[#This Row],[New Ark SKU]],Table9[New Ark SKU],Table9[Total PCS per Pallet],,0)</f>
        <v>36</v>
      </c>
      <c r="BF432" s="431">
        <f>_xlfn.XLOOKUP(PV_DATA[[#This Row],[New Ark SKU]],Table9[New Ark SKU],Table9[Total PCS per 40HQ Container],,0)</f>
        <v>936</v>
      </c>
      <c r="BG432" s="431" t="str">
        <f>_xlfn.XLOOKUP(PV_DATA[[#This Row],[New Ark SKU]],Table9[New Ark SKU],Table9[Back Glass],,0)</f>
        <v>Black glazing</v>
      </c>
      <c r="BH432" s="431" t="str">
        <f>_xlfn.XLOOKUP(PV_DATA[[#This Row],[PORT DESTINATION]],Table12[PORT DESTINATION],Table12[Cosco Line],,0)</f>
        <v>AEU</v>
      </c>
    </row>
    <row r="433" spans="1:60" s="431" customFormat="1">
      <c r="A433" s="439" t="s">
        <v>2124</v>
      </c>
      <c r="B433" s="439" t="s">
        <v>1888</v>
      </c>
      <c r="C433" s="439" t="str">
        <f>IFERROR(LEFT(PV_DATA[[#This Row],[TCL REFERENCE]],FIND(".",PV_DATA[[#This Row],[TCL REFERENCE]],1)-1),"Main Line")</f>
        <v>26Feb017</v>
      </c>
      <c r="D433" s="439" t="s">
        <v>63</v>
      </c>
      <c r="E433" s="439" t="s">
        <v>144</v>
      </c>
      <c r="F433" s="462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39" t="s">
        <v>402</v>
      </c>
      <c r="H433" s="719" t="s">
        <v>1449</v>
      </c>
      <c r="I433" s="439" t="s">
        <v>689</v>
      </c>
      <c r="J433" s="431" t="s">
        <v>2125</v>
      </c>
      <c r="K433" s="431" t="s">
        <v>1451</v>
      </c>
      <c r="L433" s="450">
        <v>1</v>
      </c>
      <c r="M433" s="431" t="s">
        <v>840</v>
      </c>
      <c r="N433" s="461">
        <v>46111</v>
      </c>
      <c r="O433" s="431" t="s">
        <v>70</v>
      </c>
      <c r="P433" s="431" t="s">
        <v>195</v>
      </c>
      <c r="Q433" s="431" t="s">
        <v>196</v>
      </c>
      <c r="R433" s="431" t="str">
        <f>_xlfn.XLOOKUP(PV_DATA[[#This Row],[New Ark SKU]],Table9[New Ark SKU],Table9[Connector],,0)</f>
        <v>EVO2A</v>
      </c>
      <c r="S433" s="442" t="str">
        <f>_xlfn.XLOOKUP(PV_DATA[[#This Row],[New Ark SKU]],Table9[New Ark SKU],Table9[Cable],,0)</f>
        <v>±1200mm</v>
      </c>
      <c r="T433" s="442">
        <v>450</v>
      </c>
      <c r="U433" s="1093">
        <f>936*5</f>
        <v>4680</v>
      </c>
      <c r="V433" s="448">
        <f>PV_DATA[[#This Row],[QUANTITY]]*PV_DATA[[#This Row],[WATT]]/1000000</f>
        <v>2.1059999999999999</v>
      </c>
      <c r="W433" s="466">
        <f>PV_DATA[[#This Row],[QUANTITY]]/PV_DATA[[#This Row],[Qty/Pallet]]</f>
        <v>130</v>
      </c>
      <c r="X433" s="1044">
        <f>PV_DATA[[#This Row],[QUANTITY]]/PV_DATA[[#This Row],[Qty/CT]]</f>
        <v>5</v>
      </c>
      <c r="Y433" s="430" t="s">
        <v>75</v>
      </c>
      <c r="Z433" s="430" t="str">
        <f t="shared" si="3"/>
        <v>COMPLETED</v>
      </c>
      <c r="AA433" s="431" t="s">
        <v>2038</v>
      </c>
      <c r="AB433" s="441">
        <v>46125</v>
      </c>
      <c r="AC433" s="467">
        <f>IF(PV_DATA[[#This Row],[Pick- Up Date]]&lt;&gt;"",_xlfn.ISOWEEKNUM(PV_DATA[[#This Row],[Pick- Up Date]]),"")</f>
        <v>16</v>
      </c>
      <c r="AD433" s="431" t="s">
        <v>2126</v>
      </c>
      <c r="AF433" s="431" t="s">
        <v>4420</v>
      </c>
      <c r="AG433" s="431" t="s">
        <v>123</v>
      </c>
      <c r="AH433" s="431" t="s">
        <v>105</v>
      </c>
      <c r="AI433" s="441">
        <v>46129</v>
      </c>
      <c r="AJ433" s="441">
        <v>46130</v>
      </c>
      <c r="AK433" s="441">
        <v>46129</v>
      </c>
      <c r="AL433" s="441">
        <v>46172</v>
      </c>
      <c r="AM433" s="441">
        <v>46179</v>
      </c>
      <c r="AN433" s="441">
        <v>46180</v>
      </c>
      <c r="AO433" s="441" t="s">
        <v>402</v>
      </c>
      <c r="AP433" s="441" t="s">
        <v>2120</v>
      </c>
      <c r="AQ433" s="441" t="s">
        <v>161</v>
      </c>
      <c r="AR433" s="441" t="s">
        <v>2127</v>
      </c>
      <c r="AS433" s="431" t="s">
        <v>2128</v>
      </c>
      <c r="AT433" s="482" t="s">
        <v>2123</v>
      </c>
      <c r="AU4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1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1">
        <f>IF(ISERROR(PV_DATA[[#This Row],[New Ark PO status]]),"",_xlfn.XLOOKUP(PV_DATA[[#This Row],[SPTN-PVHK New Ark PO'#]],New_Ark_Data[Purchase order Number],New_Ark_Data[Estimated time of arrival],"",0))</f>
        <v>46178</v>
      </c>
      <c r="AZ43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7">
        <f>IFERROR(PV_DATA[[#This Row],[ODP ETA Port]]+PV_DATA[[#This Row],[Customs/Leg3 Assumption]],"n/a")</f>
        <v>46180</v>
      </c>
      <c r="BB433" s="442">
        <f>YEAR(PV_DATA[[#This Row],[ETA for New Ark update]])</f>
        <v>2026</v>
      </c>
      <c r="BC433" s="431">
        <f>MONTH(PV_DATA[[#This Row],[ETA for New Ark update]])</f>
        <v>6</v>
      </c>
      <c r="BD433" s="431">
        <f>IFERROR(_xlfn.ISOWEEKNUM(PV_DATA[[#This Row],[ETA for New Ark update]]),0)</f>
        <v>23</v>
      </c>
      <c r="BE433" s="431">
        <f>_xlfn.XLOOKUP(PV_DATA[[#This Row],[New Ark SKU]],Table9[New Ark SKU],Table9[Total PCS per Pallet],,0)</f>
        <v>36</v>
      </c>
      <c r="BF433" s="431">
        <f>_xlfn.XLOOKUP(PV_DATA[[#This Row],[New Ark SKU]],Table9[New Ark SKU],Table9[Total PCS per 40HQ Container],,0)</f>
        <v>936</v>
      </c>
      <c r="BG433" s="431" t="str">
        <f>_xlfn.XLOOKUP(PV_DATA[[#This Row],[New Ark SKU]],Table9[New Ark SKU],Table9[Back Glass],,0)</f>
        <v>Black glazing</v>
      </c>
      <c r="BH433" s="431" t="str">
        <f>_xlfn.XLOOKUP(PV_DATA[[#This Row],[PORT DESTINATION]],Table12[PORT DESTINATION],Table12[Cosco Line],,0)</f>
        <v>AEU</v>
      </c>
    </row>
    <row r="434" spans="1:60" s="431" customFormat="1">
      <c r="A434" s="439" t="s">
        <v>2129</v>
      </c>
      <c r="B434" s="439" t="s">
        <v>1888</v>
      </c>
      <c r="C434" s="439" t="str">
        <f>IFERROR(LEFT(PV_DATA[[#This Row],[TCL REFERENCE]],FIND(".",PV_DATA[[#This Row],[TCL REFERENCE]],1)-1),"Main Line")</f>
        <v>26Feb017</v>
      </c>
      <c r="D434" s="439" t="s">
        <v>63</v>
      </c>
      <c r="E434" s="439" t="s">
        <v>144</v>
      </c>
      <c r="F434" s="462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39" t="s">
        <v>402</v>
      </c>
      <c r="H434" s="719" t="s">
        <v>1449</v>
      </c>
      <c r="I434" s="439" t="s">
        <v>689</v>
      </c>
      <c r="J434" s="431" t="s">
        <v>2125</v>
      </c>
      <c r="K434" s="431" t="s">
        <v>1451</v>
      </c>
      <c r="L434" s="450">
        <v>2</v>
      </c>
      <c r="M434" s="431" t="s">
        <v>840</v>
      </c>
      <c r="N434" s="461">
        <v>46111</v>
      </c>
      <c r="O434" s="431" t="s">
        <v>70</v>
      </c>
      <c r="P434" s="431" t="s">
        <v>195</v>
      </c>
      <c r="Q434" s="431" t="s">
        <v>196</v>
      </c>
      <c r="R434" s="431" t="str">
        <f>_xlfn.XLOOKUP(PV_DATA[[#This Row],[New Ark SKU]],Table9[New Ark SKU],Table9[Connector],,0)</f>
        <v>EVO2A</v>
      </c>
      <c r="S434" s="442" t="str">
        <f>_xlfn.XLOOKUP(PV_DATA[[#This Row],[New Ark SKU]],Table9[New Ark SKU],Table9[Cable],,0)</f>
        <v>±1200mm</v>
      </c>
      <c r="T434" s="442">
        <v>450</v>
      </c>
      <c r="U434" s="1093">
        <v>4680</v>
      </c>
      <c r="V434" s="448">
        <f>PV_DATA[[#This Row],[QUANTITY]]*PV_DATA[[#This Row],[WATT]]/1000000</f>
        <v>2.1059999999999999</v>
      </c>
      <c r="W434" s="466">
        <f>PV_DATA[[#This Row],[QUANTITY]]/PV_DATA[[#This Row],[Qty/Pallet]]</f>
        <v>130</v>
      </c>
      <c r="X434" s="1044">
        <f>PV_DATA[[#This Row],[QUANTITY]]/PV_DATA[[#This Row],[Qty/CT]]</f>
        <v>5</v>
      </c>
      <c r="Y434" s="430" t="s">
        <v>75</v>
      </c>
      <c r="Z434" s="430" t="str">
        <f t="shared" si="3"/>
        <v>COMPLETED</v>
      </c>
      <c r="AA434" s="431" t="s">
        <v>2038</v>
      </c>
      <c r="AB434" s="441">
        <v>46125</v>
      </c>
      <c r="AC434" s="467">
        <f>IF(PV_DATA[[#This Row],[Pick- Up Date]]&lt;&gt;"",_xlfn.ISOWEEKNUM(PV_DATA[[#This Row],[Pick- Up Date]]),"")</f>
        <v>16</v>
      </c>
      <c r="AD434" s="431" t="s">
        <v>2130</v>
      </c>
      <c r="AF434" s="431" t="s">
        <v>4420</v>
      </c>
      <c r="AG434" s="431" t="s">
        <v>123</v>
      </c>
      <c r="AH434" s="431" t="s">
        <v>105</v>
      </c>
      <c r="AI434" s="441">
        <v>46129</v>
      </c>
      <c r="AJ434" s="441">
        <v>46130</v>
      </c>
      <c r="AK434" s="441">
        <v>46129</v>
      </c>
      <c r="AL434" s="441">
        <v>46172</v>
      </c>
      <c r="AM434" s="441">
        <v>46179</v>
      </c>
      <c r="AN434" s="441">
        <v>46180</v>
      </c>
      <c r="AO434" s="441" t="s">
        <v>402</v>
      </c>
      <c r="AP434" s="441" t="s">
        <v>2120</v>
      </c>
      <c r="AQ434" s="441" t="s">
        <v>161</v>
      </c>
      <c r="AR434" s="441" t="s">
        <v>2127</v>
      </c>
      <c r="AS434" s="431" t="s">
        <v>2128</v>
      </c>
      <c r="AT434" s="482" t="s">
        <v>2123</v>
      </c>
      <c r="AU4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1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1">
        <f>IF(ISERROR(PV_DATA[[#This Row],[New Ark PO status]]),"",_xlfn.XLOOKUP(PV_DATA[[#This Row],[SPTN-PVHK New Ark PO'#]],New_Ark_Data[Purchase order Number],New_Ark_Data[Estimated time of arrival],"",0))</f>
        <v>46178</v>
      </c>
      <c r="AZ43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7">
        <f>IFERROR(PV_DATA[[#This Row],[ODP ETA Port]]+PV_DATA[[#This Row],[Customs/Leg3 Assumption]],"n/a")</f>
        <v>46180</v>
      </c>
      <c r="BB434" s="442">
        <f>YEAR(PV_DATA[[#This Row],[ETA for New Ark update]])</f>
        <v>2026</v>
      </c>
      <c r="BC434" s="431">
        <f>MONTH(PV_DATA[[#This Row],[ETA for New Ark update]])</f>
        <v>6</v>
      </c>
      <c r="BD434" s="431">
        <f>IFERROR(_xlfn.ISOWEEKNUM(PV_DATA[[#This Row],[ETA for New Ark update]]),0)</f>
        <v>23</v>
      </c>
      <c r="BE434" s="431">
        <f>_xlfn.XLOOKUP(PV_DATA[[#This Row],[New Ark SKU]],Table9[New Ark SKU],Table9[Total PCS per Pallet],,0)</f>
        <v>36</v>
      </c>
      <c r="BF434" s="431">
        <f>_xlfn.XLOOKUP(PV_DATA[[#This Row],[New Ark SKU]],Table9[New Ark SKU],Table9[Total PCS per 40HQ Container],,0)</f>
        <v>936</v>
      </c>
      <c r="BG434" s="431" t="str">
        <f>_xlfn.XLOOKUP(PV_DATA[[#This Row],[New Ark SKU]],Table9[New Ark SKU],Table9[Back Glass],,0)</f>
        <v>Black glazing</v>
      </c>
      <c r="BH434" s="431" t="str">
        <f>_xlfn.XLOOKUP(PV_DATA[[#This Row],[PORT DESTINATION]],Table12[PORT DESTINATION],Table12[Cosco Line],,0)</f>
        <v>AEU</v>
      </c>
    </row>
    <row r="435" spans="1:60" s="431" customFormat="1" ht="10.5">
      <c r="A435" s="439" t="s">
        <v>2131</v>
      </c>
      <c r="B435" s="439" t="s">
        <v>2132</v>
      </c>
      <c r="C435" s="439" t="str">
        <f>IFERROR(LEFT(PV_DATA[[#This Row],[TCL REFERENCE]],FIND(".",PV_DATA[[#This Row],[TCL REFERENCE]],1)-1),"Main Line")</f>
        <v>26Apr006</v>
      </c>
      <c r="D435" s="439" t="s">
        <v>63</v>
      </c>
      <c r="E435" s="439" t="s">
        <v>64</v>
      </c>
      <c r="F435" s="462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39" t="s">
        <v>402</v>
      </c>
      <c r="H435" s="439" t="s">
        <v>67</v>
      </c>
      <c r="I435" s="439"/>
      <c r="J435" s="430" t="s">
        <v>96</v>
      </c>
      <c r="M435" s="431" t="s">
        <v>68</v>
      </c>
      <c r="N435" s="432" t="s">
        <v>68</v>
      </c>
      <c r="O435" s="431" t="s">
        <v>550</v>
      </c>
      <c r="P435" s="431" t="s">
        <v>2134</v>
      </c>
      <c r="Q435" s="431" t="s">
        <v>2135</v>
      </c>
      <c r="R435" s="431" t="str">
        <f>_xlfn.XLOOKUP(PV_DATA[[#This Row],[New Ark SKU]],Table9[New Ark SKU],Table9[Connector],,0)</f>
        <v>EVO2A</v>
      </c>
      <c r="S435" s="442" t="str">
        <f>_xlfn.XLOOKUP(PV_DATA[[#This Row],[New Ark SKU]],Table9[New Ark SKU],Table9[Cable],,0)</f>
        <v>±1350mm</v>
      </c>
      <c r="T435" s="442">
        <v>515</v>
      </c>
      <c r="U435" s="1093">
        <v>792</v>
      </c>
      <c r="V435" s="448">
        <f>PV_DATA[[#This Row],[QUANTITY]]*PV_DATA[[#This Row],[WATT]]/1000000</f>
        <v>0.40788000000000002</v>
      </c>
      <c r="W435" s="466">
        <f>PV_DATA[[#This Row],[QUANTITY]]/PV_DATA[[#This Row],[Qty/Pallet]]</f>
        <v>22</v>
      </c>
      <c r="X435" s="1044">
        <f>PV_DATA[[#This Row],[QUANTITY]]/PV_DATA[[#This Row],[Qty/CT]]</f>
        <v>1</v>
      </c>
      <c r="Y435" s="430" t="s">
        <v>75</v>
      </c>
      <c r="Z435" s="430" t="str">
        <f t="shared" ref="Z435:Z498" si="4">IF(AN435&lt;&gt;"","COMPLETED",IF(AK435&lt;&gt;"","IN-TRANSIT",""))</f>
        <v>COMPLETED</v>
      </c>
      <c r="AB435" s="441">
        <v>46126</v>
      </c>
      <c r="AC435" s="467">
        <f>IF(PV_DATA[[#This Row],[Pick- Up Date]]&lt;&gt;"",_xlfn.ISOWEEKNUM(PV_DATA[[#This Row],[Pick- Up Date]]),"")</f>
        <v>16</v>
      </c>
      <c r="AD435" s="431" t="s">
        <v>2137</v>
      </c>
      <c r="AF435" s="431" t="s">
        <v>123</v>
      </c>
      <c r="AG435" s="431" t="s">
        <v>123</v>
      </c>
      <c r="AH435" s="431" t="s">
        <v>105</v>
      </c>
      <c r="AI435" s="441">
        <v>46131</v>
      </c>
      <c r="AJ435" s="441">
        <v>46130</v>
      </c>
      <c r="AK435" s="441">
        <v>46130</v>
      </c>
      <c r="AL435" s="441">
        <v>46172</v>
      </c>
      <c r="AM435" s="455">
        <v>46175</v>
      </c>
      <c r="AN435" s="441">
        <v>46175</v>
      </c>
      <c r="AO435" s="441" t="s">
        <v>402</v>
      </c>
      <c r="AP435" s="431" t="s">
        <v>2138</v>
      </c>
      <c r="AQ435" s="431" t="s">
        <v>80</v>
      </c>
      <c r="AR435" s="431" t="s">
        <v>2139</v>
      </c>
      <c r="AS435" s="431" t="s">
        <v>2140</v>
      </c>
      <c r="AT435" s="482" t="s">
        <v>2140</v>
      </c>
      <c r="AU4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1"/>
      <c r="AW435" s="441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1">
        <f>IF(ISERROR(PV_DATA[[#This Row],[New Ark PO status]]),"",_xlfn.XLOOKUP(PV_DATA[[#This Row],[SPTN-PVHK New Ark PO'#]],New_Ark_Data[Purchase order Number],New_Ark_Data[Estimated time of arrival],"",0))</f>
        <v>46189</v>
      </c>
      <c r="AZ4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7">
        <f>IFERROR(PV_DATA[[#This Row],[ODP ETA Port]]+PV_DATA[[#This Row],[Customs/Leg3 Assumption]],"n/a")</f>
        <v>46182</v>
      </c>
      <c r="BB435" s="442">
        <f>YEAR(PV_DATA[[#This Row],[ETA for New Ark update]])</f>
        <v>2026</v>
      </c>
      <c r="BC435" s="431">
        <f>MONTH(PV_DATA[[#This Row],[ETA for New Ark update]])</f>
        <v>6</v>
      </c>
      <c r="BD435" s="431">
        <f>IFERROR(_xlfn.ISOWEEKNUM(PV_DATA[[#This Row],[ETA for New Ark update]]),0)</f>
        <v>24</v>
      </c>
      <c r="BE435" s="431">
        <f>_xlfn.XLOOKUP(PV_DATA[[#This Row],[New Ark SKU]],Table9[New Ark SKU],Table9[Total PCS per Pallet],,0)</f>
        <v>36</v>
      </c>
      <c r="BF435" s="431">
        <f>_xlfn.XLOOKUP(PV_DATA[[#This Row],[New Ark SKU]],Table9[New Ark SKU],Table9[Total PCS per 40HQ Container],,0)</f>
        <v>792</v>
      </c>
      <c r="BG435" s="431" t="str">
        <f>_xlfn.XLOOKUP(PV_DATA[[#This Row],[New Ark SKU]],Table9[New Ark SKU],Table9[Back Glass],,0)</f>
        <v>Black glazing</v>
      </c>
      <c r="BH435" s="431" t="str">
        <f>_xlfn.XLOOKUP(PV_DATA[[#This Row],[PORT DESTINATION]],Table12[PORT DESTINATION],Table12[Cosco Line],,0)</f>
        <v>AEU</v>
      </c>
    </row>
    <row r="436" spans="1:60" s="431" customFormat="1">
      <c r="A436" s="439" t="s">
        <v>2141</v>
      </c>
      <c r="B436" s="439" t="s">
        <v>111</v>
      </c>
      <c r="C436" s="439" t="str">
        <f>IFERROR(LEFT(PV_DATA[[#This Row],[TCL REFERENCE]],FIND(".",PV_DATA[[#This Row],[TCL REFERENCE]],1)-1),"Main Line")</f>
        <v>26Feb005</v>
      </c>
      <c r="D436" s="439" t="s">
        <v>63</v>
      </c>
      <c r="E436" s="439" t="s">
        <v>64</v>
      </c>
      <c r="F436" s="462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39" t="s">
        <v>402</v>
      </c>
      <c r="H436" s="439" t="s">
        <v>311</v>
      </c>
      <c r="I436" s="439" t="s">
        <v>882</v>
      </c>
      <c r="J436" s="430" t="s">
        <v>96</v>
      </c>
      <c r="M436" s="431" t="s">
        <v>68</v>
      </c>
      <c r="N436" s="461">
        <v>46111</v>
      </c>
      <c r="O436" s="431" t="s">
        <v>170</v>
      </c>
      <c r="P436" s="431" t="s">
        <v>171</v>
      </c>
      <c r="Q436" s="431" t="s">
        <v>1731</v>
      </c>
      <c r="R436" s="431" t="str">
        <f>_xlfn.XLOOKUP(PV_DATA[[#This Row],[New Ark SKU]],Table9[New Ark SKU],Table9[Connector],,0)</f>
        <v>EVO2A</v>
      </c>
      <c r="S436" s="442" t="str">
        <f>_xlfn.XLOOKUP(PV_DATA[[#This Row],[New Ark SKU]],Table9[New Ark SKU],Table9[Cable],,0)</f>
        <v>±1400mm</v>
      </c>
      <c r="T436" s="442">
        <v>555</v>
      </c>
      <c r="U436" s="1093">
        <f>660*6</f>
        <v>3960</v>
      </c>
      <c r="V436" s="448">
        <f>PV_DATA[[#This Row],[QUANTITY]]*PV_DATA[[#This Row],[WATT]]/1000000</f>
        <v>2.1978</v>
      </c>
      <c r="W436" s="466">
        <f>PV_DATA[[#This Row],[QUANTITY]]/PV_DATA[[#This Row],[Qty/Pallet]]</f>
        <v>120</v>
      </c>
      <c r="X436" s="1044">
        <f>PV_DATA[[#This Row],[QUANTITY]]/PV_DATA[[#This Row],[Qty/CT]]</f>
        <v>6</v>
      </c>
      <c r="Y436" s="431" t="s">
        <v>951</v>
      </c>
      <c r="Z436" s="430" t="str">
        <f t="shared" si="4"/>
        <v>COMPLETED</v>
      </c>
      <c r="AA436" s="431" t="s">
        <v>2082</v>
      </c>
      <c r="AB436" s="441">
        <v>46122</v>
      </c>
      <c r="AC436" s="445">
        <f>IF(PV_DATA[[#This Row],[Pick- Up Date]]&lt;&gt;"",_xlfn.ISOWEEKNUM(PV_DATA[[#This Row],[Pick- Up Date]]),"")</f>
        <v>15</v>
      </c>
      <c r="AD436" s="431" t="s">
        <v>2142</v>
      </c>
      <c r="AF436" s="431" t="s">
        <v>4423</v>
      </c>
      <c r="AG436" s="431" t="s">
        <v>123</v>
      </c>
      <c r="AH436" s="431" t="s">
        <v>314</v>
      </c>
      <c r="AI436" s="441">
        <v>46129</v>
      </c>
      <c r="AJ436" s="441">
        <v>46129</v>
      </c>
      <c r="AK436" s="441">
        <v>46131</v>
      </c>
      <c r="AL436" s="441">
        <v>46176</v>
      </c>
      <c r="AM436" s="441">
        <v>46182</v>
      </c>
      <c r="AN436" s="441">
        <v>46182</v>
      </c>
      <c r="AO436" s="441" t="s">
        <v>402</v>
      </c>
      <c r="AP436" s="431" t="s">
        <v>2143</v>
      </c>
      <c r="AQ436" s="431" t="s">
        <v>80</v>
      </c>
      <c r="AR436" s="431" t="s">
        <v>2144</v>
      </c>
      <c r="AS436" s="431" t="s">
        <v>2145</v>
      </c>
      <c r="AT436" s="482" t="s">
        <v>2145</v>
      </c>
      <c r="AU4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1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1">
        <f>IF(ISERROR(PV_DATA[[#This Row],[New Ark PO status]]),"",_xlfn.XLOOKUP(PV_DATA[[#This Row],[SPTN-PVHK New Ark PO'#]],New_Ark_Data[Purchase order Number],New_Ark_Data[Estimated time of arrival],"",0))</f>
        <v>46196</v>
      </c>
      <c r="AZ43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6" s="437">
        <f>IFERROR(PV_DATA[[#This Row],[ODP ETA Port]]+PV_DATA[[#This Row],[Customs/Leg3 Assumption]],"n/a")</f>
        <v>46192</v>
      </c>
      <c r="BB436" s="442">
        <f>YEAR(PV_DATA[[#This Row],[ETA for New Ark update]])</f>
        <v>2026</v>
      </c>
      <c r="BC436" s="431">
        <f>MONTH(PV_DATA[[#This Row],[ETA for New Ark update]])</f>
        <v>6</v>
      </c>
      <c r="BD436" s="431">
        <f>IFERROR(_xlfn.ISOWEEKNUM(PV_DATA[[#This Row],[ETA for New Ark update]]),0)</f>
        <v>25</v>
      </c>
      <c r="BE436" s="431">
        <f>_xlfn.XLOOKUP(PV_DATA[[#This Row],[New Ark SKU]],Table9[New Ark SKU],Table9[Total PCS per Pallet],,0)</f>
        <v>33</v>
      </c>
      <c r="BF436" s="431">
        <f>_xlfn.XLOOKUP(PV_DATA[[#This Row],[New Ark SKU]],Table9[New Ark SKU],Table9[Total PCS per 40HQ Container],,0)</f>
        <v>660</v>
      </c>
      <c r="BG436" s="431" t="str">
        <f>_xlfn.XLOOKUP(PV_DATA[[#This Row],[New Ark SKU]],Table9[New Ark SKU],Table9[Back Glass],,0)</f>
        <v>White glazing</v>
      </c>
      <c r="BH436" s="431" t="str">
        <f>_xlfn.XLOOKUP(PV_DATA[[#This Row],[PORT DESTINATION]],Table12[PORT DESTINATION],Table12[Cosco Line],,0)</f>
        <v>AEM</v>
      </c>
    </row>
    <row r="437" spans="1:60" s="431" customFormat="1">
      <c r="A437" s="439" t="s">
        <v>2146</v>
      </c>
      <c r="B437" s="439" t="s">
        <v>111</v>
      </c>
      <c r="C437" s="439" t="str">
        <f>IFERROR(LEFT(PV_DATA[[#This Row],[TCL REFERENCE]],FIND(".",PV_DATA[[#This Row],[TCL REFERENCE]],1)-1),"Main Line")</f>
        <v>26Feb006</v>
      </c>
      <c r="D437" s="439" t="s">
        <v>63</v>
      </c>
      <c r="E437" s="439" t="s">
        <v>64</v>
      </c>
      <c r="F437" s="462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39" t="s">
        <v>402</v>
      </c>
      <c r="H437" s="439" t="s">
        <v>311</v>
      </c>
      <c r="I437" s="439" t="s">
        <v>882</v>
      </c>
      <c r="J437" s="430" t="s">
        <v>96</v>
      </c>
      <c r="M437" s="431" t="s">
        <v>68</v>
      </c>
      <c r="N437" s="461">
        <v>46111</v>
      </c>
      <c r="O437" s="431" t="s">
        <v>170</v>
      </c>
      <c r="P437" s="431" t="s">
        <v>1977</v>
      </c>
      <c r="Q437" s="431" t="s">
        <v>1978</v>
      </c>
      <c r="R437" s="431" t="str">
        <f>_xlfn.XLOOKUP(PV_DATA[[#This Row],[New Ark SKU]],Table9[New Ark SKU],Table9[Connector],,0)</f>
        <v>EVO2A</v>
      </c>
      <c r="S437" s="442" t="str">
        <f>_xlfn.XLOOKUP(PV_DATA[[#This Row],[New Ark SKU]],Table9[New Ark SKU],Table9[Cable],,0)</f>
        <v>±1400mm</v>
      </c>
      <c r="T437" s="442">
        <v>560</v>
      </c>
      <c r="U437" s="1093">
        <v>1320</v>
      </c>
      <c r="V437" s="448">
        <f>PV_DATA[[#This Row],[QUANTITY]]*PV_DATA[[#This Row],[WATT]]/1000000</f>
        <v>0.73919999999999997</v>
      </c>
      <c r="W437" s="466">
        <f>PV_DATA[[#This Row],[QUANTITY]]/PV_DATA[[#This Row],[Qty/Pallet]]</f>
        <v>40</v>
      </c>
      <c r="X437" s="1044">
        <f>PV_DATA[[#This Row],[QUANTITY]]/PV_DATA[[#This Row],[Qty/CT]]</f>
        <v>2</v>
      </c>
      <c r="Y437" s="431" t="s">
        <v>951</v>
      </c>
      <c r="Z437" s="430" t="str">
        <f t="shared" si="4"/>
        <v>COMPLETED</v>
      </c>
      <c r="AA437" s="431" t="s">
        <v>2147</v>
      </c>
      <c r="AB437" s="441">
        <v>46122</v>
      </c>
      <c r="AC437" s="445">
        <f>IF(PV_DATA[[#This Row],[Pick- Up Date]]&lt;&gt;"",_xlfn.ISOWEEKNUM(PV_DATA[[#This Row],[Pick- Up Date]]),"")</f>
        <v>15</v>
      </c>
      <c r="AD437" s="431" t="s">
        <v>2148</v>
      </c>
      <c r="AF437" s="431" t="s">
        <v>4423</v>
      </c>
      <c r="AG437" s="431" t="s">
        <v>123</v>
      </c>
      <c r="AH437" s="431" t="s">
        <v>314</v>
      </c>
      <c r="AI437" s="441">
        <v>46129</v>
      </c>
      <c r="AJ437" s="441">
        <v>46129</v>
      </c>
      <c r="AK437" s="441">
        <v>46131</v>
      </c>
      <c r="AL437" s="441">
        <v>46176</v>
      </c>
      <c r="AM437" s="441">
        <v>46182</v>
      </c>
      <c r="AN437" s="441">
        <v>46182</v>
      </c>
      <c r="AO437" s="441" t="s">
        <v>402</v>
      </c>
      <c r="AP437" s="431" t="s">
        <v>2143</v>
      </c>
      <c r="AQ437" s="431" t="s">
        <v>80</v>
      </c>
      <c r="AR437" s="431" t="s">
        <v>2144</v>
      </c>
      <c r="AS437" s="431" t="s">
        <v>2145</v>
      </c>
      <c r="AT437" s="482" t="s">
        <v>2145</v>
      </c>
      <c r="AU4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1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1">
        <f>IF(ISERROR(PV_DATA[[#This Row],[New Ark PO status]]),"",_xlfn.XLOOKUP(PV_DATA[[#This Row],[SPTN-PVHK New Ark PO'#]],New_Ark_Data[Purchase order Number],New_Ark_Data[Estimated time of arrival],"",0))</f>
        <v>46196</v>
      </c>
      <c r="AZ43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7" s="437">
        <f>IFERROR(PV_DATA[[#This Row],[ODP ETA Port]]+PV_DATA[[#This Row],[Customs/Leg3 Assumption]],"n/a")</f>
        <v>46192</v>
      </c>
      <c r="BB437" s="442">
        <f>YEAR(PV_DATA[[#This Row],[ETA for New Ark update]])</f>
        <v>2026</v>
      </c>
      <c r="BC437" s="431">
        <f>MONTH(PV_DATA[[#This Row],[ETA for New Ark update]])</f>
        <v>6</v>
      </c>
      <c r="BD437" s="431">
        <f>IFERROR(_xlfn.ISOWEEKNUM(PV_DATA[[#This Row],[ETA for New Ark update]]),0)</f>
        <v>25</v>
      </c>
      <c r="BE437" s="431">
        <f>_xlfn.XLOOKUP(PV_DATA[[#This Row],[New Ark SKU]],Table9[New Ark SKU],Table9[Total PCS per Pallet],,0)</f>
        <v>33</v>
      </c>
      <c r="BF437" s="431">
        <f>_xlfn.XLOOKUP(PV_DATA[[#This Row],[New Ark SKU]],Table9[New Ark SKU],Table9[Total PCS per 40HQ Container],,0)</f>
        <v>660</v>
      </c>
      <c r="BG437" s="431" t="str">
        <f>_xlfn.XLOOKUP(PV_DATA[[#This Row],[New Ark SKU]],Table9[New Ark SKU],Table9[Back Glass],,0)</f>
        <v>White glazing</v>
      </c>
      <c r="BH437" s="431" t="str">
        <f>_xlfn.XLOOKUP(PV_DATA[[#This Row],[PORT DESTINATION]],Table12[PORT DESTINATION],Table12[Cosco Line],,0)</f>
        <v>AEM</v>
      </c>
    </row>
    <row r="438" spans="1:60" s="431" customFormat="1" ht="10.5">
      <c r="A438" s="439" t="s">
        <v>2149</v>
      </c>
      <c r="B438" s="439" t="s">
        <v>2132</v>
      </c>
      <c r="C438" s="439" t="str">
        <f>IFERROR(LEFT(PV_DATA[[#This Row],[TCL REFERENCE]],FIND(".",PV_DATA[[#This Row],[TCL REFERENCE]],1)-1),"Main Line")</f>
        <v>26Apr005</v>
      </c>
      <c r="D438" s="439" t="s">
        <v>63</v>
      </c>
      <c r="E438" s="439" t="s">
        <v>64</v>
      </c>
      <c r="F438" s="462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39" t="s">
        <v>402</v>
      </c>
      <c r="H438" s="439" t="s">
        <v>67</v>
      </c>
      <c r="I438" s="439"/>
      <c r="J438" s="430" t="s">
        <v>96</v>
      </c>
      <c r="M438" s="431" t="s">
        <v>68</v>
      </c>
      <c r="N438" s="432" t="s">
        <v>68</v>
      </c>
      <c r="O438" s="431" t="s">
        <v>550</v>
      </c>
      <c r="P438" s="431" t="s">
        <v>551</v>
      </c>
      <c r="Q438" s="431" t="s">
        <v>2151</v>
      </c>
      <c r="R438" s="431" t="str">
        <f>_xlfn.XLOOKUP(PV_DATA[[#This Row],[New Ark SKU]],Table9[New Ark SKU],Table9[Connector],,0)</f>
        <v>EVO2A</v>
      </c>
      <c r="S438" s="442" t="str">
        <f>_xlfn.XLOOKUP(PV_DATA[[#This Row],[New Ark SKU]],Table9[New Ark SKU],Table9[Cable],,0)</f>
        <v>±1350mm</v>
      </c>
      <c r="T438" s="442">
        <v>510</v>
      </c>
      <c r="U438" s="1093">
        <v>792</v>
      </c>
      <c r="V438" s="448">
        <f>PV_DATA[[#This Row],[QUANTITY]]*PV_DATA[[#This Row],[WATT]]/1000000</f>
        <v>0.40392</v>
      </c>
      <c r="W438" s="466">
        <f>PV_DATA[[#This Row],[QUANTITY]]/PV_DATA[[#This Row],[Qty/Pallet]]</f>
        <v>22</v>
      </c>
      <c r="X438" s="1044">
        <f>PV_DATA[[#This Row],[QUANTITY]]/PV_DATA[[#This Row],[Qty/CT]]</f>
        <v>1</v>
      </c>
      <c r="Y438" s="431" t="s">
        <v>951</v>
      </c>
      <c r="Z438" s="430" t="str">
        <f t="shared" si="4"/>
        <v>COMPLETED</v>
      </c>
      <c r="AA438" s="431" t="s">
        <v>2152</v>
      </c>
      <c r="AB438" s="441">
        <v>46129</v>
      </c>
      <c r="AC438" s="467">
        <f>IF(PV_DATA[[#This Row],[Pick- Up Date]]&lt;&gt;"",_xlfn.ISOWEEKNUM(PV_DATA[[#This Row],[Pick- Up Date]]),"")</f>
        <v>16</v>
      </c>
      <c r="AD438" s="431" t="s">
        <v>2153</v>
      </c>
      <c r="AF438" s="431" t="s">
        <v>123</v>
      </c>
      <c r="AG438" s="431" t="s">
        <v>123</v>
      </c>
      <c r="AH438" s="431" t="s">
        <v>78</v>
      </c>
      <c r="AI438" s="441">
        <v>46134</v>
      </c>
      <c r="AJ438" s="441">
        <v>46136</v>
      </c>
      <c r="AK438" s="441">
        <v>46138</v>
      </c>
      <c r="AL438" s="441">
        <v>46175</v>
      </c>
      <c r="AM438" s="455">
        <v>46188</v>
      </c>
      <c r="AN438" s="441">
        <v>46191</v>
      </c>
      <c r="AO438" s="441" t="s">
        <v>402</v>
      </c>
      <c r="AP438" s="431" t="s">
        <v>2154</v>
      </c>
      <c r="AQ438" s="431" t="s">
        <v>80</v>
      </c>
      <c r="AR438" s="431" t="s">
        <v>2155</v>
      </c>
      <c r="AS438" s="431" t="s">
        <v>2156</v>
      </c>
      <c r="AT438" s="482" t="s">
        <v>2156</v>
      </c>
      <c r="AU4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1"/>
      <c r="AW438" s="441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1">
        <f>IF(ISERROR(PV_DATA[[#This Row],[New Ark PO status]]),"",_xlfn.XLOOKUP(PV_DATA[[#This Row],[SPTN-PVHK New Ark PO'#]],New_Ark_Data[Purchase order Number],New_Ark_Data[Estimated time of arrival],"",0))</f>
        <v>46205</v>
      </c>
      <c r="AZ43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7">
        <f>IFERROR(PV_DATA[[#This Row],[ODP ETA Port]]+PV_DATA[[#This Row],[Customs/Leg3 Assumption]],"n/a")</f>
        <v>46199</v>
      </c>
      <c r="BB438" s="442">
        <f>YEAR(PV_DATA[[#This Row],[ETA for New Ark update]])</f>
        <v>2026</v>
      </c>
      <c r="BC438" s="431">
        <f>MONTH(PV_DATA[[#This Row],[ETA for New Ark update]])</f>
        <v>6</v>
      </c>
      <c r="BD438" s="431">
        <f>IFERROR(_xlfn.ISOWEEKNUM(PV_DATA[[#This Row],[ETA for New Ark update]]),0)</f>
        <v>26</v>
      </c>
      <c r="BE438" s="431">
        <f>_xlfn.XLOOKUP(PV_DATA[[#This Row],[New Ark SKU]],Table9[New Ark SKU],Table9[Total PCS per Pallet],,0)</f>
        <v>36</v>
      </c>
      <c r="BF438" s="431">
        <f>_xlfn.XLOOKUP(PV_DATA[[#This Row],[New Ark SKU]],Table9[New Ark SKU],Table9[Total PCS per 40HQ Container],,0)</f>
        <v>792</v>
      </c>
      <c r="BG438" s="431" t="str">
        <f>_xlfn.XLOOKUP(PV_DATA[[#This Row],[New Ark SKU]],Table9[New Ark SKU],Table9[Back Glass],,0)</f>
        <v>Black glazing</v>
      </c>
      <c r="BH438" s="431" t="str">
        <f>_xlfn.XLOOKUP(PV_DATA[[#This Row],[PORT DESTINATION]],Table12[PORT DESTINATION],Table12[Cosco Line],,0)</f>
        <v>AEM</v>
      </c>
    </row>
    <row r="439" spans="1:60" s="431" customFormat="1" ht="10.5">
      <c r="A439" s="439" t="s">
        <v>2157</v>
      </c>
      <c r="B439" s="439" t="s">
        <v>2132</v>
      </c>
      <c r="C439" s="439" t="str">
        <f>IFERROR(LEFT(PV_DATA[[#This Row],[TCL REFERENCE]],FIND(".",PV_DATA[[#This Row],[TCL REFERENCE]],1)-1),"Main Line")</f>
        <v>26Apr006</v>
      </c>
      <c r="D439" s="439" t="s">
        <v>63</v>
      </c>
      <c r="E439" s="439" t="s">
        <v>64</v>
      </c>
      <c r="F439" s="462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39" t="s">
        <v>402</v>
      </c>
      <c r="H439" s="439" t="s">
        <v>67</v>
      </c>
      <c r="I439" s="439"/>
      <c r="J439" s="430" t="s">
        <v>96</v>
      </c>
      <c r="M439" s="431" t="s">
        <v>68</v>
      </c>
      <c r="N439" s="432" t="s">
        <v>68</v>
      </c>
      <c r="O439" s="431" t="s">
        <v>550</v>
      </c>
      <c r="P439" s="431" t="s">
        <v>2134</v>
      </c>
      <c r="Q439" s="431" t="s">
        <v>2135</v>
      </c>
      <c r="R439" s="431" t="str">
        <f>_xlfn.XLOOKUP(PV_DATA[[#This Row],[New Ark SKU]],Table9[New Ark SKU],Table9[Connector],,0)</f>
        <v>EVO2A</v>
      </c>
      <c r="S439" s="442" t="str">
        <f>_xlfn.XLOOKUP(PV_DATA[[#This Row],[New Ark SKU]],Table9[New Ark SKU],Table9[Cable],,0)</f>
        <v>±1350mm</v>
      </c>
      <c r="T439" s="442">
        <v>515</v>
      </c>
      <c r="U439" s="1093">
        <v>792</v>
      </c>
      <c r="V439" s="448">
        <f>PV_DATA[[#This Row],[QUANTITY]]*PV_DATA[[#This Row],[WATT]]/1000000</f>
        <v>0.40788000000000002</v>
      </c>
      <c r="W439" s="466">
        <f>PV_DATA[[#This Row],[QUANTITY]]/PV_DATA[[#This Row],[Qty/Pallet]]</f>
        <v>22</v>
      </c>
      <c r="X439" s="1044">
        <f>PV_DATA[[#This Row],[QUANTITY]]/PV_DATA[[#This Row],[Qty/CT]]</f>
        <v>1</v>
      </c>
      <c r="Y439" s="431" t="s">
        <v>951</v>
      </c>
      <c r="Z439" s="430" t="str">
        <f t="shared" si="4"/>
        <v>COMPLETED</v>
      </c>
      <c r="AA439" s="431" t="s">
        <v>2152</v>
      </c>
      <c r="AB439" s="441">
        <v>46128</v>
      </c>
      <c r="AC439" s="467">
        <f>IF(PV_DATA[[#This Row],[Pick- Up Date]]&lt;&gt;"",_xlfn.ISOWEEKNUM(PV_DATA[[#This Row],[Pick- Up Date]]),"")</f>
        <v>16</v>
      </c>
      <c r="AD439" s="431" t="s">
        <v>2158</v>
      </c>
      <c r="AE439" s="431" t="s">
        <v>2159</v>
      </c>
      <c r="AF439" s="431" t="s">
        <v>123</v>
      </c>
      <c r="AG439" s="431" t="s">
        <v>123</v>
      </c>
      <c r="AH439" s="431" t="s">
        <v>78</v>
      </c>
      <c r="AI439" s="441">
        <v>46134</v>
      </c>
      <c r="AJ439" s="441">
        <v>46136</v>
      </c>
      <c r="AK439" s="441">
        <v>46138</v>
      </c>
      <c r="AL439" s="441">
        <v>46175</v>
      </c>
      <c r="AM439" s="455">
        <v>46188</v>
      </c>
      <c r="AN439" s="441">
        <v>46191</v>
      </c>
      <c r="AO439" s="441" t="s">
        <v>402</v>
      </c>
      <c r="AP439" s="431" t="s">
        <v>2154</v>
      </c>
      <c r="AQ439" s="431" t="s">
        <v>80</v>
      </c>
      <c r="AR439" s="431" t="s">
        <v>2155</v>
      </c>
      <c r="AS439" s="431" t="s">
        <v>2156</v>
      </c>
      <c r="AT439" s="482" t="s">
        <v>2156</v>
      </c>
      <c r="AU4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1"/>
      <c r="AW439" s="441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1">
        <f>IF(ISERROR(PV_DATA[[#This Row],[New Ark PO status]]),"",_xlfn.XLOOKUP(PV_DATA[[#This Row],[SPTN-PVHK New Ark PO'#]],New_Ark_Data[Purchase order Number],New_Ark_Data[Estimated time of arrival],"",0))</f>
        <v>46205</v>
      </c>
      <c r="AZ43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7">
        <f>IFERROR(PV_DATA[[#This Row],[ODP ETA Port]]+PV_DATA[[#This Row],[Customs/Leg3 Assumption]],"n/a")</f>
        <v>46199</v>
      </c>
      <c r="BB439" s="442">
        <f>YEAR(PV_DATA[[#This Row],[ETA for New Ark update]])</f>
        <v>2026</v>
      </c>
      <c r="BC439" s="431">
        <f>MONTH(PV_DATA[[#This Row],[ETA for New Ark update]])</f>
        <v>6</v>
      </c>
      <c r="BD439" s="431">
        <f>IFERROR(_xlfn.ISOWEEKNUM(PV_DATA[[#This Row],[ETA for New Ark update]]),0)</f>
        <v>26</v>
      </c>
      <c r="BE439" s="431">
        <f>_xlfn.XLOOKUP(PV_DATA[[#This Row],[New Ark SKU]],Table9[New Ark SKU],Table9[Total PCS per Pallet],,0)</f>
        <v>36</v>
      </c>
      <c r="BF439" s="431">
        <f>_xlfn.XLOOKUP(PV_DATA[[#This Row],[New Ark SKU]],Table9[New Ark SKU],Table9[Total PCS per 40HQ Container],,0)</f>
        <v>792</v>
      </c>
      <c r="BG439" s="431" t="str">
        <f>_xlfn.XLOOKUP(PV_DATA[[#This Row],[New Ark SKU]],Table9[New Ark SKU],Table9[Back Glass],,0)</f>
        <v>Black glazing</v>
      </c>
      <c r="BH439" s="431" t="str">
        <f>_xlfn.XLOOKUP(PV_DATA[[#This Row],[PORT DESTINATION]],Table12[PORT DESTINATION],Table12[Cosco Line],,0)</f>
        <v>AEM</v>
      </c>
    </row>
    <row r="440" spans="1:60" s="431" customFormat="1">
      <c r="A440" s="439" t="s">
        <v>2160</v>
      </c>
      <c r="B440" s="439" t="s">
        <v>61</v>
      </c>
      <c r="C440" s="439" t="str">
        <f>IFERROR(LEFT(PV_DATA[[#This Row],[TCL REFERENCE]],FIND(".",PV_DATA[[#This Row],[TCL REFERENCE]],1)-1),"Main Line")</f>
        <v>26Feb021</v>
      </c>
      <c r="D440" s="439" t="s">
        <v>63</v>
      </c>
      <c r="E440" s="439" t="s">
        <v>64</v>
      </c>
      <c r="F440" s="462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39" t="s">
        <v>402</v>
      </c>
      <c r="H440" s="439" t="s">
        <v>67</v>
      </c>
      <c r="I440" s="439" t="s">
        <v>1395</v>
      </c>
      <c r="J440" s="430" t="s">
        <v>96</v>
      </c>
      <c r="M440" s="430" t="s">
        <v>68</v>
      </c>
      <c r="N440" s="461">
        <v>46111</v>
      </c>
      <c r="O440" s="431" t="s">
        <v>70</v>
      </c>
      <c r="P440" s="431" t="s">
        <v>91</v>
      </c>
      <c r="Q440" s="431" t="s">
        <v>92</v>
      </c>
      <c r="R440" s="431" t="str">
        <f>_xlfn.XLOOKUP(PV_DATA[[#This Row],[New Ark SKU]],Table9[New Ark SKU],Table9[Connector],,0)</f>
        <v>EVO2A</v>
      </c>
      <c r="S440" s="442" t="str">
        <f>_xlfn.XLOOKUP(PV_DATA[[#This Row],[New Ark SKU]],Table9[New Ark SKU],Table9[Cable],,0)</f>
        <v>±1200mm</v>
      </c>
      <c r="T440" s="442">
        <v>450</v>
      </c>
      <c r="U440" s="1093">
        <f>936*8</f>
        <v>7488</v>
      </c>
      <c r="V440" s="448">
        <f>PV_DATA[[#This Row],[QUANTITY]]*PV_DATA[[#This Row],[WATT]]/1000000</f>
        <v>3.3696000000000002</v>
      </c>
      <c r="W440" s="466">
        <f>PV_DATA[[#This Row],[QUANTITY]]/PV_DATA[[#This Row],[Qty/Pallet]]</f>
        <v>208</v>
      </c>
      <c r="X440" s="1044">
        <f>PV_DATA[[#This Row],[QUANTITY]]/PV_DATA[[#This Row],[Qty/CT]]</f>
        <v>8</v>
      </c>
      <c r="Y440" s="431" t="s">
        <v>951</v>
      </c>
      <c r="Z440" s="430" t="str">
        <f t="shared" si="4"/>
        <v>COMPLETED</v>
      </c>
      <c r="AA440" s="431" t="s">
        <v>1991</v>
      </c>
      <c r="AB440" s="441">
        <v>46127</v>
      </c>
      <c r="AC440" s="467">
        <f>IF(PV_DATA[[#This Row],[Pick- Up Date]]&lt;&gt;"",_xlfn.ISOWEEKNUM(PV_DATA[[#This Row],[Pick- Up Date]]),"")</f>
        <v>16</v>
      </c>
      <c r="AD440" s="431" t="s">
        <v>2161</v>
      </c>
      <c r="AF440" s="489" t="s">
        <v>4421</v>
      </c>
      <c r="AG440" s="489" t="s">
        <v>61</v>
      </c>
      <c r="AH440" s="489" t="s">
        <v>356</v>
      </c>
      <c r="AI440" s="585">
        <v>46131</v>
      </c>
      <c r="AJ440" s="441">
        <v>46131</v>
      </c>
      <c r="AK440" s="441">
        <v>46131</v>
      </c>
      <c r="AL440" s="441">
        <v>46182</v>
      </c>
      <c r="AM440" s="441">
        <v>46196</v>
      </c>
      <c r="AN440" s="441">
        <v>46190</v>
      </c>
      <c r="AO440" s="441" t="s">
        <v>402</v>
      </c>
      <c r="AP440" s="441" t="s">
        <v>2106</v>
      </c>
      <c r="AQ440" s="441" t="s">
        <v>161</v>
      </c>
      <c r="AR440" s="441" t="s">
        <v>2162</v>
      </c>
      <c r="AS440" s="431" t="s">
        <v>2163</v>
      </c>
      <c r="AT440" s="431">
        <v>273285266</v>
      </c>
      <c r="AU4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1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1">
        <f>IF(ISERROR(PV_DATA[[#This Row],[New Ark PO status]]),"",_xlfn.XLOOKUP(PV_DATA[[#This Row],[SPTN-PVHK New Ark PO'#]],New_Ark_Data[Purchase order Number],New_Ark_Data[Estimated time of arrival],"",0))</f>
        <v>46204</v>
      </c>
      <c r="AZ44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0" s="437">
        <f>IFERROR(PV_DATA[[#This Row],[ODP ETA Port]]+PV_DATA[[#This Row],[Customs/Leg3 Assumption]],"n/a")</f>
        <v>46200</v>
      </c>
      <c r="BB440" s="442">
        <f>YEAR(PV_DATA[[#This Row],[ETA for New Ark update]])</f>
        <v>2026</v>
      </c>
      <c r="BC440" s="431">
        <f>MONTH(PV_DATA[[#This Row],[ETA for New Ark update]])</f>
        <v>6</v>
      </c>
      <c r="BD440" s="431">
        <f>IFERROR(_xlfn.ISOWEEKNUM(PV_DATA[[#This Row],[ETA for New Ark update]]),0)</f>
        <v>26</v>
      </c>
      <c r="BE440" s="431">
        <f>_xlfn.XLOOKUP(PV_DATA[[#This Row],[New Ark SKU]],Table9[New Ark SKU],Table9[Total PCS per Pallet],,0)</f>
        <v>36</v>
      </c>
      <c r="BF440" s="431">
        <f>_xlfn.XLOOKUP(PV_DATA[[#This Row],[New Ark SKU]],Table9[New Ark SKU],Table9[Total PCS per 40HQ Container],,0)</f>
        <v>936</v>
      </c>
      <c r="BG440" s="431" t="str">
        <f>_xlfn.XLOOKUP(PV_DATA[[#This Row],[New Ark SKU]],Table9[New Ark SKU],Table9[Back Glass],,0)</f>
        <v>Transparent</v>
      </c>
      <c r="BH440" s="431" t="str">
        <f>_xlfn.XLOOKUP(PV_DATA[[#This Row],[PORT DESTINATION]],Table12[PORT DESTINATION],Table12[Cosco Line],,0)</f>
        <v>AEU</v>
      </c>
    </row>
    <row r="441" spans="1:60" s="431" customFormat="1">
      <c r="A441" s="439" t="s">
        <v>2164</v>
      </c>
      <c r="B441" s="439" t="s">
        <v>61</v>
      </c>
      <c r="C441" s="439" t="str">
        <f>IFERROR(LEFT(PV_DATA[[#This Row],[TCL REFERENCE]],FIND(".",PV_DATA[[#This Row],[TCL REFERENCE]],1)-1),"Main Line")</f>
        <v>26Feb021</v>
      </c>
      <c r="D441" s="439" t="s">
        <v>63</v>
      </c>
      <c r="E441" s="462" t="s">
        <v>64</v>
      </c>
      <c r="F441" s="462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39" t="s">
        <v>402</v>
      </c>
      <c r="H441" s="439" t="s">
        <v>67</v>
      </c>
      <c r="I441" s="439" t="s">
        <v>882</v>
      </c>
      <c r="J441" s="430" t="s">
        <v>96</v>
      </c>
      <c r="K441" s="443"/>
      <c r="L441" s="443"/>
      <c r="M441" s="430" t="s">
        <v>68</v>
      </c>
      <c r="N441" s="461">
        <v>46111</v>
      </c>
      <c r="O441" s="431" t="s">
        <v>70</v>
      </c>
      <c r="P441" s="431" t="s">
        <v>91</v>
      </c>
      <c r="Q441" s="431" t="s">
        <v>92</v>
      </c>
      <c r="R441" s="431" t="str">
        <f>_xlfn.XLOOKUP(PV_DATA[[#This Row],[New Ark SKU]],Table9[New Ark SKU],Table9[Connector],,0)</f>
        <v>EVO2A</v>
      </c>
      <c r="S441" s="442" t="str">
        <f>_xlfn.XLOOKUP(PV_DATA[[#This Row],[New Ark SKU]],Table9[New Ark SKU],Table9[Cable],,0)</f>
        <v>±1200mm</v>
      </c>
      <c r="T441" s="442">
        <v>450</v>
      </c>
      <c r="U441" s="1093">
        <f>936*2</f>
        <v>1872</v>
      </c>
      <c r="V441" s="444">
        <f>PV_DATA[[#This Row],[QUANTITY]]*PV_DATA[[#This Row],[WATT]]/1000000</f>
        <v>0.84240000000000004</v>
      </c>
      <c r="W441" s="466">
        <f>PV_DATA[[#This Row],[QUANTITY]]/PV_DATA[[#This Row],[Qty/Pallet]]</f>
        <v>52</v>
      </c>
      <c r="X441" s="1044">
        <f>PV_DATA[[#This Row],[QUANTITY]]/PV_DATA[[#This Row],[Qty/CT]]</f>
        <v>2</v>
      </c>
      <c r="Y441" s="431" t="s">
        <v>951</v>
      </c>
      <c r="Z441" s="430" t="str">
        <f t="shared" si="4"/>
        <v>COMPLETED</v>
      </c>
      <c r="AA441" s="431" t="s">
        <v>1991</v>
      </c>
      <c r="AB441" s="441">
        <v>46127</v>
      </c>
      <c r="AC441" s="467">
        <f>IF(PV_DATA[[#This Row],[Pick- Up Date]]&lt;&gt;"",_xlfn.ISOWEEKNUM(PV_DATA[[#This Row],[Pick- Up Date]]),"")</f>
        <v>16</v>
      </c>
      <c r="AD441" s="431" t="s">
        <v>2165</v>
      </c>
      <c r="AF441" s="489" t="s">
        <v>4421</v>
      </c>
      <c r="AG441" s="489" t="s">
        <v>61</v>
      </c>
      <c r="AH441" s="489" t="s">
        <v>356</v>
      </c>
      <c r="AI441" s="585">
        <v>46131</v>
      </c>
      <c r="AJ441" s="441">
        <v>46131</v>
      </c>
      <c r="AK441" s="441">
        <v>46131</v>
      </c>
      <c r="AL441" s="441">
        <v>46182</v>
      </c>
      <c r="AM441" s="441">
        <v>46196</v>
      </c>
      <c r="AN441" s="441">
        <v>46190</v>
      </c>
      <c r="AO441" s="441" t="s">
        <v>402</v>
      </c>
      <c r="AP441" s="441" t="s">
        <v>2106</v>
      </c>
      <c r="AQ441" s="441" t="s">
        <v>161</v>
      </c>
      <c r="AR441" s="441" t="s">
        <v>2162</v>
      </c>
      <c r="AS441" s="431" t="s">
        <v>2163</v>
      </c>
      <c r="AT441" s="431">
        <v>273285266</v>
      </c>
      <c r="AU4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1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1">
        <f>IF(ISERROR(PV_DATA[[#This Row],[New Ark PO status]]),"",_xlfn.XLOOKUP(PV_DATA[[#This Row],[SPTN-PVHK New Ark PO'#]],New_Ark_Data[Purchase order Number],New_Ark_Data[Estimated time of arrival],"",0))</f>
        <v>46204</v>
      </c>
      <c r="AZ44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1" s="437">
        <f>IFERROR(PV_DATA[[#This Row],[ODP ETA Port]]+PV_DATA[[#This Row],[Customs/Leg3 Assumption]],"n/a")</f>
        <v>46200</v>
      </c>
      <c r="BB441" s="442">
        <f>YEAR(PV_DATA[[#This Row],[ETA for New Ark update]])</f>
        <v>2026</v>
      </c>
      <c r="BC441" s="431">
        <f>MONTH(PV_DATA[[#This Row],[ETA for New Ark update]])</f>
        <v>6</v>
      </c>
      <c r="BD441" s="431">
        <f>IFERROR(_xlfn.ISOWEEKNUM(PV_DATA[[#This Row],[ETA for New Ark update]]),0)</f>
        <v>26</v>
      </c>
      <c r="BE441" s="431">
        <f>_xlfn.XLOOKUP(PV_DATA[[#This Row],[New Ark SKU]],Table9[New Ark SKU],Table9[Total PCS per Pallet],,0)</f>
        <v>36</v>
      </c>
      <c r="BF441" s="431">
        <f>_xlfn.XLOOKUP(PV_DATA[[#This Row],[New Ark SKU]],Table9[New Ark SKU],Table9[Total PCS per 40HQ Container],,0)</f>
        <v>936</v>
      </c>
      <c r="BG441" s="431" t="str">
        <f>_xlfn.XLOOKUP(PV_DATA[[#This Row],[New Ark SKU]],Table9[New Ark SKU],Table9[Back Glass],,0)</f>
        <v>Transparent</v>
      </c>
      <c r="BH441" s="431" t="str">
        <f>_xlfn.XLOOKUP(PV_DATA[[#This Row],[PORT DESTINATION]],Table12[PORT DESTINATION],Table12[Cosco Line],,0)</f>
        <v>AEU</v>
      </c>
    </row>
    <row r="442" spans="1:60" s="431" customFormat="1">
      <c r="A442" s="439" t="s">
        <v>2166</v>
      </c>
      <c r="B442" s="439" t="s">
        <v>61</v>
      </c>
      <c r="C442" s="439" t="str">
        <f>IFERROR(LEFT(PV_DATA[[#This Row],[TCL REFERENCE]],FIND(".",PV_DATA[[#This Row],[TCL REFERENCE]],1)-1),"Main Line")</f>
        <v>26Feb023</v>
      </c>
      <c r="D442" s="439" t="s">
        <v>63</v>
      </c>
      <c r="E442" s="439" t="s">
        <v>64</v>
      </c>
      <c r="F442" s="462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39" t="s">
        <v>402</v>
      </c>
      <c r="H442" s="439" t="s">
        <v>67</v>
      </c>
      <c r="I442" s="439" t="s">
        <v>869</v>
      </c>
      <c r="J442" s="430" t="s">
        <v>96</v>
      </c>
      <c r="M442" s="431" t="s">
        <v>68</v>
      </c>
      <c r="N442" s="461">
        <v>46111</v>
      </c>
      <c r="O442" s="431" t="s">
        <v>70</v>
      </c>
      <c r="P442" s="431" t="s">
        <v>706</v>
      </c>
      <c r="Q442" s="431" t="s">
        <v>707</v>
      </c>
      <c r="R442" s="431" t="str">
        <f>_xlfn.XLOOKUP(PV_DATA[[#This Row],[New Ark SKU]],Table9[New Ark SKU],Table9[Connector],,0)</f>
        <v>EVO2A</v>
      </c>
      <c r="S442" s="442" t="str">
        <f>_xlfn.XLOOKUP(PV_DATA[[#This Row],[New Ark SKU]],Table9[New Ark SKU],Table9[Cable],,0)</f>
        <v>±1200mm</v>
      </c>
      <c r="T442" s="442">
        <v>500</v>
      </c>
      <c r="U442" s="1093">
        <f>864*1</f>
        <v>864</v>
      </c>
      <c r="V442" s="448">
        <f>PV_DATA[[#This Row],[QUANTITY]]*PV_DATA[[#This Row],[WATT]]/1000000</f>
        <v>0.432</v>
      </c>
      <c r="W442" s="466">
        <f>PV_DATA[[#This Row],[QUANTITY]]/PV_DATA[[#This Row],[Qty/Pallet]]</f>
        <v>24</v>
      </c>
      <c r="X442" s="1044">
        <f>PV_DATA[[#This Row],[QUANTITY]]/PV_DATA[[#This Row],[Qty/CT]]</f>
        <v>1</v>
      </c>
      <c r="Y442" s="431" t="s">
        <v>951</v>
      </c>
      <c r="Z442" s="430" t="str">
        <f t="shared" si="4"/>
        <v>COMPLETED</v>
      </c>
      <c r="AA442" s="431" t="s">
        <v>2088</v>
      </c>
      <c r="AB442" s="441">
        <v>46125</v>
      </c>
      <c r="AC442" s="467">
        <f>IF(PV_DATA[[#This Row],[Pick- Up Date]]&lt;&gt;"",_xlfn.ISOWEEKNUM(PV_DATA[[#This Row],[Pick- Up Date]]),"")</f>
        <v>16</v>
      </c>
      <c r="AD442" s="431" t="s">
        <v>2167</v>
      </c>
      <c r="AF442" s="489" t="s">
        <v>4421</v>
      </c>
      <c r="AG442" s="489" t="s">
        <v>61</v>
      </c>
      <c r="AH442" s="489" t="s">
        <v>356</v>
      </c>
      <c r="AI442" s="585">
        <v>46129</v>
      </c>
      <c r="AJ442" s="441">
        <v>46129</v>
      </c>
      <c r="AK442" s="441">
        <v>46128</v>
      </c>
      <c r="AL442" s="441">
        <v>46182</v>
      </c>
      <c r="AM442" s="441">
        <v>46183</v>
      </c>
      <c r="AN442" s="441">
        <v>46182</v>
      </c>
      <c r="AO442" s="441" t="s">
        <v>402</v>
      </c>
      <c r="AP442" s="441" t="s">
        <v>2168</v>
      </c>
      <c r="AQ442" s="441" t="s">
        <v>80</v>
      </c>
      <c r="AR442" s="441" t="s">
        <v>2169</v>
      </c>
      <c r="AS442" s="441" t="s">
        <v>2170</v>
      </c>
      <c r="AT442" s="482" t="s">
        <v>2170</v>
      </c>
      <c r="AU4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1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1">
        <f>IF(ISERROR(PV_DATA[[#This Row],[New Ark PO status]]),"",_xlfn.XLOOKUP(PV_DATA[[#This Row],[SPTN-PVHK New Ark PO'#]],New_Ark_Data[Purchase order Number],New_Ark_Data[Estimated time of arrival],"",0))</f>
        <v>46198</v>
      </c>
      <c r="AZ44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2" s="437">
        <f>IFERROR(PV_DATA[[#This Row],[ODP ETA Port]]+PV_DATA[[#This Row],[Customs/Leg3 Assumption]],"n/a")</f>
        <v>46192</v>
      </c>
      <c r="BB442" s="442">
        <f>YEAR(PV_DATA[[#This Row],[ETA for New Ark update]])</f>
        <v>2026</v>
      </c>
      <c r="BC442" s="431">
        <f>MONTH(PV_DATA[[#This Row],[ETA for New Ark update]])</f>
        <v>6</v>
      </c>
      <c r="BD442" s="431">
        <f>IFERROR(_xlfn.ISOWEEKNUM(PV_DATA[[#This Row],[ETA for New Ark update]]),0)</f>
        <v>25</v>
      </c>
      <c r="BE442" s="431">
        <f>_xlfn.XLOOKUP(PV_DATA[[#This Row],[New Ark SKU]],Table9[New Ark SKU],Table9[Total PCS per Pallet],,0)</f>
        <v>36</v>
      </c>
      <c r="BF442" s="431">
        <f>_xlfn.XLOOKUP(PV_DATA[[#This Row],[New Ark SKU]],Table9[New Ark SKU],Table9[Total PCS per 40HQ Container],,0)</f>
        <v>864</v>
      </c>
      <c r="BG442" s="431" t="str">
        <f>_xlfn.XLOOKUP(PV_DATA[[#This Row],[New Ark SKU]],Table9[New Ark SKU],Table9[Back Glass],,0)</f>
        <v>Black glazing</v>
      </c>
      <c r="BH442" s="431" t="str">
        <f>_xlfn.XLOOKUP(PV_DATA[[#This Row],[PORT DESTINATION]],Table12[PORT DESTINATION],Table12[Cosco Line],,0)</f>
        <v>AEU</v>
      </c>
    </row>
    <row r="443" spans="1:60" s="431" customFormat="1">
      <c r="A443" s="439" t="s">
        <v>2171</v>
      </c>
      <c r="B443" s="439" t="s">
        <v>61</v>
      </c>
      <c r="C443" s="439" t="str">
        <f>IFERROR(LEFT(PV_DATA[[#This Row],[TCL REFERENCE]],FIND(".",PV_DATA[[#This Row],[TCL REFERENCE]],1)-1),"Main Line")</f>
        <v>26Feb024</v>
      </c>
      <c r="D443" s="439" t="s">
        <v>63</v>
      </c>
      <c r="E443" s="439" t="s">
        <v>64</v>
      </c>
      <c r="F443" s="462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39" t="s">
        <v>402</v>
      </c>
      <c r="H443" s="439" t="s">
        <v>67</v>
      </c>
      <c r="I443" s="439" t="s">
        <v>882</v>
      </c>
      <c r="J443" s="430" t="s">
        <v>96</v>
      </c>
      <c r="M443" s="431" t="s">
        <v>68</v>
      </c>
      <c r="N443" s="461">
        <v>46111</v>
      </c>
      <c r="O443" s="431" t="s">
        <v>70</v>
      </c>
      <c r="P443" s="431" t="s">
        <v>691</v>
      </c>
      <c r="Q443" s="431" t="s">
        <v>692</v>
      </c>
      <c r="R443" s="431" t="str">
        <f>_xlfn.XLOOKUP(PV_DATA[[#This Row],[New Ark SKU]],Table9[New Ark SKU],Table9[Connector],,0)</f>
        <v>EVO2A</v>
      </c>
      <c r="S443" s="442" t="str">
        <f>_xlfn.XLOOKUP(PV_DATA[[#This Row],[New Ark SKU]],Table9[New Ark SKU],Table9[Cable],,0)</f>
        <v>±1200mm</v>
      </c>
      <c r="T443" s="442">
        <v>505</v>
      </c>
      <c r="U443" s="1093">
        <v>3456</v>
      </c>
      <c r="V443" s="448">
        <f>PV_DATA[[#This Row],[QUANTITY]]*PV_DATA[[#This Row],[WATT]]/1000000</f>
        <v>1.7452799999999999</v>
      </c>
      <c r="W443" s="466">
        <f>PV_DATA[[#This Row],[QUANTITY]]/PV_DATA[[#This Row],[Qty/Pallet]]</f>
        <v>96</v>
      </c>
      <c r="X443" s="1044">
        <f>PV_DATA[[#This Row],[QUANTITY]]/PV_DATA[[#This Row],[Qty/CT]]</f>
        <v>4</v>
      </c>
      <c r="Y443" s="431" t="s">
        <v>951</v>
      </c>
      <c r="Z443" s="430" t="str">
        <f t="shared" si="4"/>
        <v>COMPLETED</v>
      </c>
      <c r="AA443" s="431" t="s">
        <v>2088</v>
      </c>
      <c r="AB443" s="441">
        <v>46128</v>
      </c>
      <c r="AC443" s="467">
        <f>IF(PV_DATA[[#This Row],[Pick- Up Date]]&lt;&gt;"",_xlfn.ISOWEEKNUM(PV_DATA[[#This Row],[Pick- Up Date]]),"")</f>
        <v>16</v>
      </c>
      <c r="AD443" s="431" t="s">
        <v>2173</v>
      </c>
      <c r="AF443" s="489" t="s">
        <v>4421</v>
      </c>
      <c r="AG443" s="489" t="s">
        <v>61</v>
      </c>
      <c r="AH443" s="489" t="s">
        <v>78</v>
      </c>
      <c r="AI443" s="585">
        <v>46133</v>
      </c>
      <c r="AJ443" s="441">
        <v>46134</v>
      </c>
      <c r="AK443" s="441">
        <v>46133</v>
      </c>
      <c r="AL443" s="441">
        <v>46195</v>
      </c>
      <c r="AM443" s="441">
        <v>46200</v>
      </c>
      <c r="AN443" s="441">
        <v>46203</v>
      </c>
      <c r="AO443" s="441" t="s">
        <v>402</v>
      </c>
      <c r="AP443" s="441" t="s">
        <v>2174</v>
      </c>
      <c r="AQ443" s="441" t="s">
        <v>80</v>
      </c>
      <c r="AR443" s="441" t="s">
        <v>2175</v>
      </c>
      <c r="AS443" s="441" t="s">
        <v>2176</v>
      </c>
      <c r="AT443" s="482" t="s">
        <v>2176</v>
      </c>
      <c r="AU4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1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1">
        <f>IF(ISERROR(PV_DATA[[#This Row],[New Ark PO status]]),"",_xlfn.XLOOKUP(PV_DATA[[#This Row],[SPTN-PVHK New Ark PO'#]],New_Ark_Data[Purchase order Number],New_Ark_Data[Estimated time of arrival],"",0))</f>
        <v>46216</v>
      </c>
      <c r="AZ44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7">
        <f>IFERROR(PV_DATA[[#This Row],[ODP ETA Port]]+PV_DATA[[#This Row],[Customs/Leg3 Assumption]],"n/a")</f>
        <v>46211</v>
      </c>
      <c r="BB443" s="442">
        <f>YEAR(PV_DATA[[#This Row],[ETA for New Ark update]])</f>
        <v>2026</v>
      </c>
      <c r="BC443" s="431">
        <f>MONTH(PV_DATA[[#This Row],[ETA for New Ark update]])</f>
        <v>7</v>
      </c>
      <c r="BD443" s="431">
        <f>IFERROR(_xlfn.ISOWEEKNUM(PV_DATA[[#This Row],[ETA for New Ark update]]),0)</f>
        <v>28</v>
      </c>
      <c r="BE443" s="431">
        <f>_xlfn.XLOOKUP(PV_DATA[[#This Row],[New Ark SKU]],Table9[New Ark SKU],Table9[Total PCS per Pallet],,0)</f>
        <v>36</v>
      </c>
      <c r="BF443" s="431">
        <f>_xlfn.XLOOKUP(PV_DATA[[#This Row],[New Ark SKU]],Table9[New Ark SKU],Table9[Total PCS per 40HQ Container],,0)</f>
        <v>864</v>
      </c>
      <c r="BG443" s="431" t="str">
        <f>_xlfn.XLOOKUP(PV_DATA[[#This Row],[New Ark SKU]],Table9[New Ark SKU],Table9[Back Glass],,0)</f>
        <v>Black glazing</v>
      </c>
      <c r="BH443" s="431" t="str">
        <f>_xlfn.XLOOKUP(PV_DATA[[#This Row],[PORT DESTINATION]],Table12[PORT DESTINATION],Table12[Cosco Line],,0)</f>
        <v>AEM</v>
      </c>
    </row>
    <row r="444" spans="1:60" s="431" customFormat="1" ht="15.75" customHeight="1">
      <c r="A444" s="439" t="s">
        <v>2177</v>
      </c>
      <c r="B444" s="439" t="s">
        <v>61</v>
      </c>
      <c r="C444" s="439" t="str">
        <f>IFERROR(LEFT(PV_DATA[[#This Row],[TCL REFERENCE]],FIND(".",PV_DATA[[#This Row],[TCL REFERENCE]],1)-1),"Main Line")</f>
        <v>26Feb024</v>
      </c>
      <c r="D444" s="439" t="s">
        <v>63</v>
      </c>
      <c r="E444" s="439" t="s">
        <v>64</v>
      </c>
      <c r="F444" s="462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39" t="s">
        <v>402</v>
      </c>
      <c r="H444" s="439" t="s">
        <v>67</v>
      </c>
      <c r="I444" s="439" t="s">
        <v>882</v>
      </c>
      <c r="J444" s="430" t="s">
        <v>96</v>
      </c>
      <c r="M444" s="431" t="s">
        <v>68</v>
      </c>
      <c r="N444" s="461">
        <v>46111</v>
      </c>
      <c r="O444" s="431" t="s">
        <v>70</v>
      </c>
      <c r="P444" s="431" t="s">
        <v>691</v>
      </c>
      <c r="Q444" s="431" t="s">
        <v>692</v>
      </c>
      <c r="R444" s="431" t="str">
        <f>_xlfn.XLOOKUP(PV_DATA[[#This Row],[New Ark SKU]],Table9[New Ark SKU],Table9[Connector],,0)</f>
        <v>EVO2A</v>
      </c>
      <c r="S444" s="442" t="str">
        <f>_xlfn.XLOOKUP(PV_DATA[[#This Row],[New Ark SKU]],Table9[New Ark SKU],Table9[Cable],,0)</f>
        <v>±1200mm</v>
      </c>
      <c r="T444" s="442">
        <v>505</v>
      </c>
      <c r="U444" s="1093">
        <v>1728</v>
      </c>
      <c r="V444" s="448">
        <f>PV_DATA[[#This Row],[QUANTITY]]*PV_DATA[[#This Row],[WATT]]/1000000</f>
        <v>0.87263999999999997</v>
      </c>
      <c r="W444" s="466">
        <f>PV_DATA[[#This Row],[QUANTITY]]/PV_DATA[[#This Row],[Qty/Pallet]]</f>
        <v>48</v>
      </c>
      <c r="X444" s="1044">
        <f>PV_DATA[[#This Row],[QUANTITY]]/PV_DATA[[#This Row],[Qty/CT]]</f>
        <v>2</v>
      </c>
      <c r="Y444" s="431" t="s">
        <v>951</v>
      </c>
      <c r="Z444" s="430" t="str">
        <f t="shared" si="4"/>
        <v>COMPLETED</v>
      </c>
      <c r="AA444" s="431" t="s">
        <v>2088</v>
      </c>
      <c r="AB444" s="441">
        <v>46125</v>
      </c>
      <c r="AC444" s="467">
        <f>IF(PV_DATA[[#This Row],[Pick- Up Date]]&lt;&gt;"",_xlfn.ISOWEEKNUM(PV_DATA[[#This Row],[Pick- Up Date]]),"")</f>
        <v>16</v>
      </c>
      <c r="AD444" s="431" t="s">
        <v>2178</v>
      </c>
      <c r="AF444" s="489" t="s">
        <v>4421</v>
      </c>
      <c r="AG444" s="489" t="s">
        <v>61</v>
      </c>
      <c r="AH444" s="489" t="s">
        <v>78</v>
      </c>
      <c r="AI444" s="585">
        <v>46129</v>
      </c>
      <c r="AJ444" s="441">
        <v>46129</v>
      </c>
      <c r="AK444" s="441">
        <v>46128</v>
      </c>
      <c r="AL444" s="441">
        <v>46189</v>
      </c>
      <c r="AM444" s="441">
        <v>46184</v>
      </c>
      <c r="AN444" s="441">
        <v>46184</v>
      </c>
      <c r="AO444" s="441" t="s">
        <v>402</v>
      </c>
      <c r="AP444" s="441" t="s">
        <v>2179</v>
      </c>
      <c r="AQ444" s="441" t="s">
        <v>80</v>
      </c>
      <c r="AR444" s="441" t="s">
        <v>2180</v>
      </c>
      <c r="AS444" s="431" t="s">
        <v>2181</v>
      </c>
      <c r="AT444" s="482" t="s">
        <v>2181</v>
      </c>
      <c r="AU4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1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1">
        <f>IF(ISERROR(PV_DATA[[#This Row],[New Ark PO status]]),"",_xlfn.XLOOKUP(PV_DATA[[#This Row],[SPTN-PVHK New Ark PO'#]],New_Ark_Data[Purchase order Number],New_Ark_Data[Estimated time of arrival],"",0))</f>
        <v>46197</v>
      </c>
      <c r="AZ44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7">
        <f>IFERROR(PV_DATA[[#This Row],[ODP ETA Port]]+PV_DATA[[#This Row],[Customs/Leg3 Assumption]],"n/a")</f>
        <v>46192</v>
      </c>
      <c r="BB444" s="442">
        <f>YEAR(PV_DATA[[#This Row],[ETA for New Ark update]])</f>
        <v>2026</v>
      </c>
      <c r="BC444" s="431">
        <f>MONTH(PV_DATA[[#This Row],[ETA for New Ark update]])</f>
        <v>6</v>
      </c>
      <c r="BD444" s="431">
        <f>IFERROR(_xlfn.ISOWEEKNUM(PV_DATA[[#This Row],[ETA for New Ark update]]),0)</f>
        <v>25</v>
      </c>
      <c r="BE444" s="431">
        <f>_xlfn.XLOOKUP(PV_DATA[[#This Row],[New Ark SKU]],Table9[New Ark SKU],Table9[Total PCS per Pallet],,0)</f>
        <v>36</v>
      </c>
      <c r="BF444" s="431">
        <f>_xlfn.XLOOKUP(PV_DATA[[#This Row],[New Ark SKU]],Table9[New Ark SKU],Table9[Total PCS per 40HQ Container],,0)</f>
        <v>864</v>
      </c>
      <c r="BG444" s="431" t="str">
        <f>_xlfn.XLOOKUP(PV_DATA[[#This Row],[New Ark SKU]],Table9[New Ark SKU],Table9[Back Glass],,0)</f>
        <v>Black glazing</v>
      </c>
      <c r="BH444" s="431" t="str">
        <f>_xlfn.XLOOKUP(PV_DATA[[#This Row],[PORT DESTINATION]],Table12[PORT DESTINATION],Table12[Cosco Line],,0)</f>
        <v>AEM</v>
      </c>
    </row>
    <row r="445" spans="1:60" s="431" customFormat="1" ht="10.5">
      <c r="A445" s="439" t="s">
        <v>2182</v>
      </c>
      <c r="B445" s="439" t="s">
        <v>2132</v>
      </c>
      <c r="C445" s="439" t="str">
        <f>IFERROR(LEFT(PV_DATA[[#This Row],[TCL REFERENCE]],FIND(".",PV_DATA[[#This Row],[TCL REFERENCE]],1)-1),"Main Line")</f>
        <v>26Apr005</v>
      </c>
      <c r="D445" s="439" t="s">
        <v>63</v>
      </c>
      <c r="E445" s="439" t="s">
        <v>64</v>
      </c>
      <c r="F445" s="462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39" t="s">
        <v>402</v>
      </c>
      <c r="H445" s="439" t="s">
        <v>67</v>
      </c>
      <c r="I445" s="439" t="s">
        <v>1395</v>
      </c>
      <c r="J445" s="430" t="s">
        <v>96</v>
      </c>
      <c r="M445" s="431" t="s">
        <v>68</v>
      </c>
      <c r="N445" s="432" t="s">
        <v>68</v>
      </c>
      <c r="O445" s="431" t="s">
        <v>550</v>
      </c>
      <c r="P445" s="431" t="s">
        <v>551</v>
      </c>
      <c r="Q445" s="431" t="s">
        <v>2151</v>
      </c>
      <c r="R445" s="431" t="str">
        <f>_xlfn.XLOOKUP(PV_DATA[[#This Row],[New Ark SKU]],Table9[New Ark SKU],Table9[Connector],,0)</f>
        <v>EVO2A</v>
      </c>
      <c r="S445" s="442" t="str">
        <f>_xlfn.XLOOKUP(PV_DATA[[#This Row],[New Ark SKU]],Table9[New Ark SKU],Table9[Cable],,0)</f>
        <v>±1350mm</v>
      </c>
      <c r="T445" s="442">
        <v>510</v>
      </c>
      <c r="U445" s="1093">
        <v>1584</v>
      </c>
      <c r="V445" s="448">
        <f>PV_DATA[[#This Row],[QUANTITY]]*PV_DATA[[#This Row],[WATT]]/1000000</f>
        <v>0.80784</v>
      </c>
      <c r="W445" s="466">
        <f>PV_DATA[[#This Row],[QUANTITY]]/PV_DATA[[#This Row],[Qty/Pallet]]</f>
        <v>44</v>
      </c>
      <c r="X445" s="1044">
        <f>PV_DATA[[#This Row],[QUANTITY]]/PV_DATA[[#This Row],[Qty/CT]]</f>
        <v>2</v>
      </c>
      <c r="Y445" s="430" t="s">
        <v>75</v>
      </c>
      <c r="Z445" s="430" t="str">
        <f t="shared" si="4"/>
        <v>COMPLETED</v>
      </c>
      <c r="AA445" s="447" t="s">
        <v>2183</v>
      </c>
      <c r="AB445" s="441">
        <v>46135</v>
      </c>
      <c r="AC445" s="445">
        <f>IF(PV_DATA[[#This Row],[Pick- Up Date]]&lt;&gt;"",_xlfn.ISOWEEKNUM(PV_DATA[[#This Row],[Pick- Up Date]]),"")</f>
        <v>17</v>
      </c>
      <c r="AD445" s="439" t="s">
        <v>2184</v>
      </c>
      <c r="AF445" s="431" t="s">
        <v>123</v>
      </c>
      <c r="AG445" s="431" t="s">
        <v>123</v>
      </c>
      <c r="AH445" s="431" t="s">
        <v>105</v>
      </c>
      <c r="AI445" s="441">
        <v>46139</v>
      </c>
      <c r="AJ445" s="441">
        <v>46141</v>
      </c>
      <c r="AK445" s="441">
        <v>46141</v>
      </c>
      <c r="AL445" s="441">
        <v>46175</v>
      </c>
      <c r="AM445" s="441">
        <v>46179</v>
      </c>
      <c r="AN445" s="441">
        <v>46180</v>
      </c>
      <c r="AO445" s="431" t="s">
        <v>402</v>
      </c>
      <c r="AP445" s="431" t="s">
        <v>2174</v>
      </c>
      <c r="AQ445" s="431" t="s">
        <v>80</v>
      </c>
      <c r="AR445" s="431" t="s">
        <v>2185</v>
      </c>
      <c r="AS445" s="431" t="s">
        <v>2186</v>
      </c>
      <c r="AT445" s="482" t="s">
        <v>2186</v>
      </c>
      <c r="AU4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1"/>
      <c r="AW445" s="441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1">
        <f>IF(ISERROR(PV_DATA[[#This Row],[New Ark PO status]]),"",_xlfn.XLOOKUP(PV_DATA[[#This Row],[SPTN-PVHK New Ark PO'#]],New_Ark_Data[Purchase order Number],New_Ark_Data[Estimated time of arrival],"",0))</f>
        <v>46192</v>
      </c>
      <c r="AZ44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7">
        <f>IFERROR(PV_DATA[[#This Row],[ODP ETA Port]]+PV_DATA[[#This Row],[Customs/Leg3 Assumption]],"n/a")</f>
        <v>46187</v>
      </c>
      <c r="BB445" s="442">
        <f>YEAR(PV_DATA[[#This Row],[ETA for New Ark update]])</f>
        <v>2026</v>
      </c>
      <c r="BC445" s="431">
        <f>MONTH(PV_DATA[[#This Row],[ETA for New Ark update]])</f>
        <v>6</v>
      </c>
      <c r="BD445" s="431">
        <f>IFERROR(_xlfn.ISOWEEKNUM(PV_DATA[[#This Row],[ETA for New Ark update]]),0)</f>
        <v>24</v>
      </c>
      <c r="BE445" s="431">
        <f>_xlfn.XLOOKUP(PV_DATA[[#This Row],[New Ark SKU]],Table9[New Ark SKU],Table9[Total PCS per Pallet],,0)</f>
        <v>36</v>
      </c>
      <c r="BF445" s="431">
        <f>_xlfn.XLOOKUP(PV_DATA[[#This Row],[New Ark SKU]],Table9[New Ark SKU],Table9[Total PCS per 40HQ Container],,0)</f>
        <v>792</v>
      </c>
      <c r="BG445" s="431" t="str">
        <f>_xlfn.XLOOKUP(PV_DATA[[#This Row],[New Ark SKU]],Table9[New Ark SKU],Table9[Back Glass],,0)</f>
        <v>Black glazing</v>
      </c>
      <c r="BH445" s="431" t="str">
        <f>_xlfn.XLOOKUP(PV_DATA[[#This Row],[PORT DESTINATION]],Table12[PORT DESTINATION],Table12[Cosco Line],,0)</f>
        <v>AEU</v>
      </c>
    </row>
    <row r="446" spans="1:60" s="431" customFormat="1" ht="10.5">
      <c r="A446" s="439" t="s">
        <v>2187</v>
      </c>
      <c r="B446" s="439" t="s">
        <v>2132</v>
      </c>
      <c r="C446" s="439" t="str">
        <f>IFERROR(LEFT(PV_DATA[[#This Row],[TCL REFERENCE]],FIND(".",PV_DATA[[#This Row],[TCL REFERENCE]],1)-1),"Main Line")</f>
        <v>26Apr006</v>
      </c>
      <c r="D446" s="439" t="s">
        <v>63</v>
      </c>
      <c r="E446" s="439" t="s">
        <v>64</v>
      </c>
      <c r="F446" s="462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39" t="s">
        <v>402</v>
      </c>
      <c r="H446" s="439" t="s">
        <v>67</v>
      </c>
      <c r="I446" s="439" t="s">
        <v>689</v>
      </c>
      <c r="J446" s="430" t="s">
        <v>96</v>
      </c>
      <c r="M446" s="431" t="s">
        <v>68</v>
      </c>
      <c r="N446" s="432" t="s">
        <v>68</v>
      </c>
      <c r="O446" s="431" t="s">
        <v>550</v>
      </c>
      <c r="P446" s="431" t="s">
        <v>2134</v>
      </c>
      <c r="Q446" s="431" t="s">
        <v>2135</v>
      </c>
      <c r="R446" s="431" t="str">
        <f>_xlfn.XLOOKUP(PV_DATA[[#This Row],[New Ark SKU]],Table9[New Ark SKU],Table9[Connector],,0)</f>
        <v>EVO2A</v>
      </c>
      <c r="S446" s="442" t="str">
        <f>_xlfn.XLOOKUP(PV_DATA[[#This Row],[New Ark SKU]],Table9[New Ark SKU],Table9[Cable],,0)</f>
        <v>±1350mm</v>
      </c>
      <c r="T446" s="442">
        <v>515</v>
      </c>
      <c r="U446" s="1093">
        <f>3*792</f>
        <v>2376</v>
      </c>
      <c r="V446" s="448">
        <f>PV_DATA[[#This Row],[QUANTITY]]*PV_DATA[[#This Row],[WATT]]/1000000</f>
        <v>1.2236400000000001</v>
      </c>
      <c r="W446" s="466">
        <f>PV_DATA[[#This Row],[QUANTITY]]/PV_DATA[[#This Row],[Qty/Pallet]]</f>
        <v>66</v>
      </c>
      <c r="X446" s="1044">
        <f>PV_DATA[[#This Row],[QUANTITY]]/PV_DATA[[#This Row],[Qty/CT]]</f>
        <v>3</v>
      </c>
      <c r="Y446" s="430" t="s">
        <v>75</v>
      </c>
      <c r="Z446" s="430" t="str">
        <f t="shared" si="4"/>
        <v>COMPLETED</v>
      </c>
      <c r="AA446" s="447" t="s">
        <v>2183</v>
      </c>
      <c r="AB446" s="441">
        <v>46135</v>
      </c>
      <c r="AC446" s="467">
        <f>IF(PV_DATA[[#This Row],[Pick- Up Date]]&lt;&gt;"",_xlfn.ISOWEEKNUM(PV_DATA[[#This Row],[Pick- Up Date]]),"")</f>
        <v>17</v>
      </c>
      <c r="AD446" s="439" t="s">
        <v>2188</v>
      </c>
      <c r="AF446" s="431" t="s">
        <v>123</v>
      </c>
      <c r="AG446" s="431" t="s">
        <v>123</v>
      </c>
      <c r="AH446" s="431" t="s">
        <v>105</v>
      </c>
      <c r="AI446" s="441">
        <v>46139</v>
      </c>
      <c r="AJ446" s="441">
        <v>46141</v>
      </c>
      <c r="AK446" s="441">
        <v>46141</v>
      </c>
      <c r="AL446" s="441">
        <v>46175</v>
      </c>
      <c r="AM446" s="441">
        <v>46179</v>
      </c>
      <c r="AN446" s="441">
        <v>46180</v>
      </c>
      <c r="AO446" s="431" t="s">
        <v>402</v>
      </c>
      <c r="AP446" s="431" t="s">
        <v>2174</v>
      </c>
      <c r="AQ446" s="431" t="s">
        <v>80</v>
      </c>
      <c r="AR446" s="431" t="s">
        <v>2185</v>
      </c>
      <c r="AS446" s="431" t="s">
        <v>2186</v>
      </c>
      <c r="AT446" s="482" t="s">
        <v>2186</v>
      </c>
      <c r="AU4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1"/>
      <c r="AW446" s="441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1">
        <f>IF(ISERROR(PV_DATA[[#This Row],[New Ark PO status]]),"",_xlfn.XLOOKUP(PV_DATA[[#This Row],[SPTN-PVHK New Ark PO'#]],New_Ark_Data[Purchase order Number],New_Ark_Data[Estimated time of arrival],"",0))</f>
        <v>46192</v>
      </c>
      <c r="AZ44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7">
        <f>IFERROR(PV_DATA[[#This Row],[ODP ETA Port]]+PV_DATA[[#This Row],[Customs/Leg3 Assumption]],"n/a")</f>
        <v>46187</v>
      </c>
      <c r="BB446" s="442">
        <f>YEAR(PV_DATA[[#This Row],[ETA for New Ark update]])</f>
        <v>2026</v>
      </c>
      <c r="BC446" s="431">
        <f>MONTH(PV_DATA[[#This Row],[ETA for New Ark update]])</f>
        <v>6</v>
      </c>
      <c r="BD446" s="431">
        <f>IFERROR(_xlfn.ISOWEEKNUM(PV_DATA[[#This Row],[ETA for New Ark update]]),0)</f>
        <v>24</v>
      </c>
      <c r="BE446" s="431">
        <f>_xlfn.XLOOKUP(PV_DATA[[#This Row],[New Ark SKU]],Table9[New Ark SKU],Table9[Total PCS per Pallet],,0)</f>
        <v>36</v>
      </c>
      <c r="BF446" s="431">
        <f>_xlfn.XLOOKUP(PV_DATA[[#This Row],[New Ark SKU]],Table9[New Ark SKU],Table9[Total PCS per 40HQ Container],,0)</f>
        <v>792</v>
      </c>
      <c r="BG446" s="431" t="str">
        <f>_xlfn.XLOOKUP(PV_DATA[[#This Row],[New Ark SKU]],Table9[New Ark SKU],Table9[Back Glass],,0)</f>
        <v>Black glazing</v>
      </c>
      <c r="BH446" s="431" t="str">
        <f>_xlfn.XLOOKUP(PV_DATA[[#This Row],[PORT DESTINATION]],Table12[PORT DESTINATION],Table12[Cosco Line],,0)</f>
        <v>AEU</v>
      </c>
    </row>
    <row r="447" spans="1:60" s="431" customFormat="1" ht="10.5">
      <c r="A447" s="439" t="s">
        <v>2189</v>
      </c>
      <c r="B447" s="439" t="s">
        <v>111</v>
      </c>
      <c r="C447" s="439" t="str">
        <f>IFERROR(LEFT(PV_DATA[[#This Row],[TCL REFERENCE]],FIND(".",PV_DATA[[#This Row],[TCL REFERENCE]],1)-1),"Main Line")</f>
        <v>26Apr004</v>
      </c>
      <c r="D447" s="439" t="s">
        <v>63</v>
      </c>
      <c r="E447" s="439" t="s">
        <v>64</v>
      </c>
      <c r="F447" s="462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39" t="s">
        <v>402</v>
      </c>
      <c r="H447" s="439" t="s">
        <v>67</v>
      </c>
      <c r="I447" s="439"/>
      <c r="J447" s="430" t="s">
        <v>96</v>
      </c>
      <c r="M447" s="431" t="s">
        <v>68</v>
      </c>
      <c r="N447" s="461">
        <v>46139</v>
      </c>
      <c r="O447" s="431" t="s">
        <v>473</v>
      </c>
      <c r="P447" s="431" t="s">
        <v>474</v>
      </c>
      <c r="Q447" s="431" t="s">
        <v>1319</v>
      </c>
      <c r="R447" s="431" t="str">
        <f>_xlfn.XLOOKUP(PV_DATA[[#This Row],[New Ark SKU]],Table9[New Ark SKU],Table9[Connector],,0)</f>
        <v>EVO2A</v>
      </c>
      <c r="S447" s="442" t="str">
        <f>_xlfn.XLOOKUP(PV_DATA[[#This Row],[New Ark SKU]],Table9[New Ark SKU],Table9[Cable],,0)</f>
        <v>±1200mm</v>
      </c>
      <c r="T447" s="442">
        <v>460</v>
      </c>
      <c r="U447" s="1093">
        <f>864*8</f>
        <v>6912</v>
      </c>
      <c r="V447" s="448">
        <f>PV_DATA[[#This Row],[QUANTITY]]*PV_DATA[[#This Row],[WATT]]/1000000</f>
        <v>3.1795200000000001</v>
      </c>
      <c r="W447" s="466">
        <f>PV_DATA[[#This Row],[QUANTITY]]/PV_DATA[[#This Row],[Qty/Pallet]]</f>
        <v>192</v>
      </c>
      <c r="X447" s="1044">
        <f>PV_DATA[[#This Row],[QUANTITY]]/PV_DATA[[#This Row],[Qty/CT]]</f>
        <v>8</v>
      </c>
      <c r="Y447" s="431" t="s">
        <v>951</v>
      </c>
      <c r="Z447" s="430" t="str">
        <f t="shared" si="4"/>
        <v>COMPLETED</v>
      </c>
      <c r="AA447" s="447" t="s">
        <v>2191</v>
      </c>
      <c r="AB447" s="441">
        <v>46134</v>
      </c>
      <c r="AC447" s="445">
        <f>IF(PV_DATA[[#This Row],[Pick- Up Date]]&lt;&gt;"",_xlfn.ISOWEEKNUM(PV_DATA[[#This Row],[Pick- Up Date]]),"")</f>
        <v>17</v>
      </c>
      <c r="AD447" s="439" t="s">
        <v>2192</v>
      </c>
      <c r="AF447" s="431" t="s">
        <v>123</v>
      </c>
      <c r="AG447" s="431" t="s">
        <v>123</v>
      </c>
      <c r="AH447" s="431" t="s">
        <v>105</v>
      </c>
      <c r="AI447" s="469">
        <v>46138</v>
      </c>
      <c r="AJ447" s="441">
        <v>46138</v>
      </c>
      <c r="AK447" s="441">
        <v>46139</v>
      </c>
      <c r="AL447" s="441">
        <v>46188</v>
      </c>
      <c r="AM447" s="441">
        <v>46188</v>
      </c>
      <c r="AN447" s="441">
        <v>46195</v>
      </c>
      <c r="AQ447" s="431" t="s">
        <v>80</v>
      </c>
      <c r="AR447" s="431" t="s">
        <v>2193</v>
      </c>
      <c r="AS447" s="431" t="s">
        <v>2194</v>
      </c>
      <c r="AT447" s="482" t="s">
        <v>2194</v>
      </c>
      <c r="AU4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1"/>
      <c r="AW447" s="441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1">
        <f>IF(ISERROR(PV_DATA[[#This Row],[New Ark PO status]]),"",_xlfn.XLOOKUP(PV_DATA[[#This Row],[SPTN-PVHK New Ark PO'#]],New_Ark_Data[Purchase order Number],New_Ark_Data[Estimated time of arrival],"",0))</f>
        <v>46203</v>
      </c>
      <c r="AZ44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7">
        <f>IFERROR(PV_DATA[[#This Row],[ODP ETA Port]]+PV_DATA[[#This Row],[Customs/Leg3 Assumption]],"n/a")</f>
        <v>46202</v>
      </c>
      <c r="BB447" s="442">
        <f>YEAR(PV_DATA[[#This Row],[ETA for New Ark update]])</f>
        <v>2026</v>
      </c>
      <c r="BC447" s="431">
        <f>MONTH(PV_DATA[[#This Row],[ETA for New Ark update]])</f>
        <v>6</v>
      </c>
      <c r="BD447" s="431">
        <f>IFERROR(_xlfn.ISOWEEKNUM(PV_DATA[[#This Row],[ETA for New Ark update]]),0)</f>
        <v>27</v>
      </c>
      <c r="BE447" s="431">
        <f>_xlfn.XLOOKUP(PV_DATA[[#This Row],[New Ark SKU]],Table9[New Ark SKU],Table9[Total PCS per Pallet],,0)</f>
        <v>36</v>
      </c>
      <c r="BF447" s="431">
        <f>_xlfn.XLOOKUP(PV_DATA[[#This Row],[New Ark SKU]],Table9[New Ark SKU],Table9[Total PCS per 40HQ Container],,0)</f>
        <v>864</v>
      </c>
      <c r="BG447" s="431" t="str">
        <f>_xlfn.XLOOKUP(PV_DATA[[#This Row],[New Ark SKU]],Table9[New Ark SKU],Table9[Back Glass],,0)</f>
        <v>Black glazing</v>
      </c>
      <c r="BH447" s="431" t="str">
        <f>_xlfn.XLOOKUP(PV_DATA[[#This Row],[PORT DESTINATION]],Table12[PORT DESTINATION],Table12[Cosco Line],,0)</f>
        <v>AEU</v>
      </c>
    </row>
    <row r="448" spans="1:60" s="431" customFormat="1" ht="10.5">
      <c r="A448" s="439" t="s">
        <v>2195</v>
      </c>
      <c r="B448" s="439" t="s">
        <v>2132</v>
      </c>
      <c r="C448" s="439" t="str">
        <f>IFERROR(LEFT(PV_DATA[[#This Row],[TCL REFERENCE]],FIND(".",PV_DATA[[#This Row],[TCL REFERENCE]],1)-1),"Main Line")</f>
        <v>26Apr006</v>
      </c>
      <c r="D448" s="439" t="s">
        <v>63</v>
      </c>
      <c r="E448" s="439" t="s">
        <v>64</v>
      </c>
      <c r="F448" s="462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39" t="s">
        <v>402</v>
      </c>
      <c r="H448" s="439" t="s">
        <v>451</v>
      </c>
      <c r="I448" s="439" t="s">
        <v>689</v>
      </c>
      <c r="J448" s="430" t="s">
        <v>96</v>
      </c>
      <c r="M448" s="431" t="s">
        <v>68</v>
      </c>
      <c r="N448" s="432" t="s">
        <v>68</v>
      </c>
      <c r="O448" s="431" t="s">
        <v>550</v>
      </c>
      <c r="P448" s="431" t="s">
        <v>2134</v>
      </c>
      <c r="Q448" s="431" t="s">
        <v>2135</v>
      </c>
      <c r="R448" s="431" t="str">
        <f>_xlfn.XLOOKUP(PV_DATA[[#This Row],[New Ark SKU]],Table9[New Ark SKU],Table9[Connector],,0)</f>
        <v>EVO2A</v>
      </c>
      <c r="S448" s="442" t="str">
        <f>_xlfn.XLOOKUP(PV_DATA[[#This Row],[New Ark SKU]],Table9[New Ark SKU],Table9[Cable],,0)</f>
        <v>±1350mm</v>
      </c>
      <c r="T448" s="442">
        <v>515</v>
      </c>
      <c r="U448" s="1093">
        <f>1584*2</f>
        <v>3168</v>
      </c>
      <c r="V448" s="448">
        <f>PV_DATA[[#This Row],[QUANTITY]]*PV_DATA[[#This Row],[WATT]]/1000000</f>
        <v>1.6315200000000001</v>
      </c>
      <c r="W448" s="466">
        <f>PV_DATA[[#This Row],[QUANTITY]]/PV_DATA[[#This Row],[Qty/Pallet]]</f>
        <v>88</v>
      </c>
      <c r="X448" s="1044">
        <f>PV_DATA[[#This Row],[QUANTITY]]/PV_DATA[[#This Row],[Qty/CT]]</f>
        <v>4</v>
      </c>
      <c r="Y448" s="431" t="s">
        <v>951</v>
      </c>
      <c r="Z448" s="430" t="str">
        <f t="shared" si="4"/>
        <v>COMPLETED</v>
      </c>
      <c r="AA448" s="447" t="s">
        <v>2183</v>
      </c>
      <c r="AB448" s="441">
        <v>46135</v>
      </c>
      <c r="AC448" s="467">
        <f>IF(PV_DATA[[#This Row],[Pick- Up Date]]&lt;&gt;"",_xlfn.ISOWEEKNUM(PV_DATA[[#This Row],[Pick- Up Date]]),"")</f>
        <v>17</v>
      </c>
      <c r="AD448" s="439" t="s">
        <v>2196</v>
      </c>
      <c r="AF448" s="431" t="s">
        <v>123</v>
      </c>
      <c r="AG448" s="431" t="s">
        <v>123</v>
      </c>
      <c r="AH448" s="431" t="s">
        <v>456</v>
      </c>
      <c r="AI448" s="441">
        <v>46139</v>
      </c>
      <c r="AJ448" s="441">
        <v>46140</v>
      </c>
      <c r="AK448" s="441">
        <v>46141</v>
      </c>
      <c r="AL448" s="441">
        <v>46180</v>
      </c>
      <c r="AM448" s="455">
        <v>46190</v>
      </c>
      <c r="AN448" s="441">
        <v>46194</v>
      </c>
      <c r="AO448" s="431" t="s">
        <v>402</v>
      </c>
      <c r="AP448" s="431" t="s">
        <v>2197</v>
      </c>
      <c r="AQ448" s="431" t="s">
        <v>80</v>
      </c>
      <c r="AR448" s="431" t="s">
        <v>2198</v>
      </c>
      <c r="AS448" s="431" t="s">
        <v>2199</v>
      </c>
      <c r="AT448" s="482" t="s">
        <v>2199</v>
      </c>
      <c r="AU4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1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1">
        <f>IF(ISERROR(PV_DATA[[#This Row],[New Ark PO status]]),"",_xlfn.XLOOKUP(PV_DATA[[#This Row],[SPTN-PVHK New Ark PO'#]],New_Ark_Data[Purchase order Number],New_Ark_Data[Estimated time of arrival],"",0))</f>
        <v>46205</v>
      </c>
      <c r="AZ44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7">
        <f>IFERROR(PV_DATA[[#This Row],[ODP ETA Port]]+PV_DATA[[#This Row],[Customs/Leg3 Assumption]],"n/a")</f>
        <v>46201</v>
      </c>
      <c r="BB448" s="442">
        <f>YEAR(PV_DATA[[#This Row],[ETA for New Ark update]])</f>
        <v>2026</v>
      </c>
      <c r="BC448" s="431">
        <f>MONTH(PV_DATA[[#This Row],[ETA for New Ark update]])</f>
        <v>6</v>
      </c>
      <c r="BD448" s="431">
        <f>IFERROR(_xlfn.ISOWEEKNUM(PV_DATA[[#This Row],[ETA for New Ark update]]),0)</f>
        <v>26</v>
      </c>
      <c r="BE448" s="431">
        <f>_xlfn.XLOOKUP(PV_DATA[[#This Row],[New Ark SKU]],Table9[New Ark SKU],Table9[Total PCS per Pallet],,0)</f>
        <v>36</v>
      </c>
      <c r="BF448" s="431">
        <f>_xlfn.XLOOKUP(PV_DATA[[#This Row],[New Ark SKU]],Table9[New Ark SKU],Table9[Total PCS per 40HQ Container],,0)</f>
        <v>792</v>
      </c>
      <c r="BG448" s="431" t="str">
        <f>_xlfn.XLOOKUP(PV_DATA[[#This Row],[New Ark SKU]],Table9[New Ark SKU],Table9[Back Glass],,0)</f>
        <v>Black glazing</v>
      </c>
      <c r="BH448" s="431" t="str">
        <f>_xlfn.XLOOKUP(PV_DATA[[#This Row],[PORT DESTINATION]],Table12[PORT DESTINATION],Table12[Cosco Line],,0)</f>
        <v>AEU</v>
      </c>
    </row>
    <row r="449" spans="1:60" s="431" customFormat="1" ht="10.5">
      <c r="A449" s="439" t="s">
        <v>2200</v>
      </c>
      <c r="B449" s="439" t="s">
        <v>2132</v>
      </c>
      <c r="C449" s="439" t="str">
        <f>IFERROR(LEFT(PV_DATA[[#This Row],[TCL REFERENCE]],FIND(".",PV_DATA[[#This Row],[TCL REFERENCE]],1)-1),"Main Line")</f>
        <v>26Apr005</v>
      </c>
      <c r="D449" s="439" t="s">
        <v>63</v>
      </c>
      <c r="E449" s="439" t="s">
        <v>64</v>
      </c>
      <c r="F449" s="462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39" t="s">
        <v>402</v>
      </c>
      <c r="H449" s="439" t="s">
        <v>311</v>
      </c>
      <c r="I449" s="439" t="s">
        <v>1395</v>
      </c>
      <c r="J449" s="430" t="s">
        <v>96</v>
      </c>
      <c r="M449" s="431" t="s">
        <v>68</v>
      </c>
      <c r="N449" s="432" t="s">
        <v>68</v>
      </c>
      <c r="O449" s="431" t="s">
        <v>550</v>
      </c>
      <c r="P449" s="431" t="s">
        <v>551</v>
      </c>
      <c r="Q449" s="431" t="s">
        <v>2151</v>
      </c>
      <c r="R449" s="431" t="str">
        <f>_xlfn.XLOOKUP(PV_DATA[[#This Row],[New Ark SKU]],Table9[New Ark SKU],Table9[Connector],,0)</f>
        <v>EVO2A</v>
      </c>
      <c r="S449" s="442" t="str">
        <f>_xlfn.XLOOKUP(PV_DATA[[#This Row],[New Ark SKU]],Table9[New Ark SKU],Table9[Cable],,0)</f>
        <v>±1350mm</v>
      </c>
      <c r="T449" s="442">
        <v>510</v>
      </c>
      <c r="U449" s="1093">
        <v>792</v>
      </c>
      <c r="V449" s="448">
        <f>PV_DATA[[#This Row],[QUANTITY]]*PV_DATA[[#This Row],[WATT]]/1000000</f>
        <v>0.40392</v>
      </c>
      <c r="W449" s="466">
        <f>PV_DATA[[#This Row],[QUANTITY]]/PV_DATA[[#This Row],[Qty/Pallet]]</f>
        <v>22</v>
      </c>
      <c r="X449" s="1044">
        <f>PV_DATA[[#This Row],[QUANTITY]]/PV_DATA[[#This Row],[Qty/CT]]</f>
        <v>1</v>
      </c>
      <c r="Y449" s="431" t="s">
        <v>951</v>
      </c>
      <c r="Z449" s="430" t="str">
        <f t="shared" si="4"/>
        <v>COMPLETED</v>
      </c>
      <c r="AA449" s="447" t="s">
        <v>2201</v>
      </c>
      <c r="AB449" s="441">
        <v>46131</v>
      </c>
      <c r="AC449" s="467">
        <f>IF(PV_DATA[[#This Row],[Pick- Up Date]]&lt;&gt;"",_xlfn.ISOWEEKNUM(PV_DATA[[#This Row],[Pick- Up Date]]),"")</f>
        <v>16</v>
      </c>
      <c r="AD449" s="439" t="s">
        <v>2202</v>
      </c>
      <c r="AF449" s="431" t="s">
        <v>123</v>
      </c>
      <c r="AG449" s="431" t="s">
        <v>123</v>
      </c>
      <c r="AH449" s="431" t="s">
        <v>314</v>
      </c>
      <c r="AI449" s="441">
        <v>46136</v>
      </c>
      <c r="AJ449" s="441">
        <v>46136</v>
      </c>
      <c r="AK449" s="441">
        <v>46138</v>
      </c>
      <c r="AL449" s="441">
        <v>46183</v>
      </c>
      <c r="AM449" s="455">
        <v>46190</v>
      </c>
      <c r="AN449" s="441">
        <v>46190</v>
      </c>
      <c r="AO449" s="431" t="s">
        <v>402</v>
      </c>
      <c r="AP449" s="431" t="s">
        <v>2203</v>
      </c>
      <c r="AQ449" s="431" t="s">
        <v>80</v>
      </c>
      <c r="AR449" s="431" t="s">
        <v>2204</v>
      </c>
      <c r="AS449" s="431" t="s">
        <v>2205</v>
      </c>
      <c r="AT449" s="482" t="s">
        <v>2205</v>
      </c>
      <c r="AU4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1"/>
      <c r="AW449" s="441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1">
        <f>IF(ISERROR(PV_DATA[[#This Row],[New Ark PO status]]),"",_xlfn.XLOOKUP(PV_DATA[[#This Row],[SPTN-PVHK New Ark PO'#]],New_Ark_Data[Purchase order Number],New_Ark_Data[Estimated time of arrival],"",0))</f>
        <v>46204</v>
      </c>
      <c r="AZ44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9" s="437">
        <f>IFERROR(PV_DATA[[#This Row],[ODP ETA Port]]+PV_DATA[[#This Row],[Customs/Leg3 Assumption]],"n/a")</f>
        <v>46200</v>
      </c>
      <c r="BB449" s="442">
        <f>YEAR(PV_DATA[[#This Row],[ETA for New Ark update]])</f>
        <v>2026</v>
      </c>
      <c r="BC449" s="431">
        <f>MONTH(PV_DATA[[#This Row],[ETA for New Ark update]])</f>
        <v>6</v>
      </c>
      <c r="BD449" s="431">
        <f>IFERROR(_xlfn.ISOWEEKNUM(PV_DATA[[#This Row],[ETA for New Ark update]]),0)</f>
        <v>26</v>
      </c>
      <c r="BE449" s="431">
        <f>_xlfn.XLOOKUP(PV_DATA[[#This Row],[New Ark SKU]],Table9[New Ark SKU],Table9[Total PCS per Pallet],,0)</f>
        <v>36</v>
      </c>
      <c r="BF449" s="431">
        <f>_xlfn.XLOOKUP(PV_DATA[[#This Row],[New Ark SKU]],Table9[New Ark SKU],Table9[Total PCS per 40HQ Container],,0)</f>
        <v>792</v>
      </c>
      <c r="BG449" s="431" t="str">
        <f>_xlfn.XLOOKUP(PV_DATA[[#This Row],[New Ark SKU]],Table9[New Ark SKU],Table9[Back Glass],,0)</f>
        <v>Black glazing</v>
      </c>
      <c r="BH449" s="431" t="str">
        <f>_xlfn.XLOOKUP(PV_DATA[[#This Row],[PORT DESTINATION]],Table12[PORT DESTINATION],Table12[Cosco Line],,0)</f>
        <v>AEM</v>
      </c>
    </row>
    <row r="450" spans="1:60" s="431" customFormat="1" ht="10.5">
      <c r="A450" s="439" t="s">
        <v>2206</v>
      </c>
      <c r="B450" s="439" t="s">
        <v>2132</v>
      </c>
      <c r="C450" s="439" t="str">
        <f>IFERROR(LEFT(PV_DATA[[#This Row],[TCL REFERENCE]],FIND(".",PV_DATA[[#This Row],[TCL REFERENCE]],1)-1),"Main Line")</f>
        <v>26Apr006</v>
      </c>
      <c r="D450" s="439" t="s">
        <v>63</v>
      </c>
      <c r="E450" s="439" t="s">
        <v>64</v>
      </c>
      <c r="F450" s="462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39" t="s">
        <v>402</v>
      </c>
      <c r="H450" s="439" t="s">
        <v>311</v>
      </c>
      <c r="I450" s="439" t="s">
        <v>1395</v>
      </c>
      <c r="J450" s="430" t="s">
        <v>96</v>
      </c>
      <c r="M450" s="431" t="s">
        <v>68</v>
      </c>
      <c r="N450" s="432" t="s">
        <v>68</v>
      </c>
      <c r="O450" s="431" t="s">
        <v>550</v>
      </c>
      <c r="P450" s="431" t="s">
        <v>2134</v>
      </c>
      <c r="Q450" s="431" t="s">
        <v>2135</v>
      </c>
      <c r="R450" s="431" t="str">
        <f>_xlfn.XLOOKUP(PV_DATA[[#This Row],[New Ark SKU]],Table9[New Ark SKU],Table9[Connector],,0)</f>
        <v>EVO2A</v>
      </c>
      <c r="S450" s="442" t="str">
        <f>_xlfn.XLOOKUP(PV_DATA[[#This Row],[New Ark SKU]],Table9[New Ark SKU],Table9[Cable],,0)</f>
        <v>±1350mm</v>
      </c>
      <c r="T450" s="442">
        <v>515</v>
      </c>
      <c r="U450" s="1093">
        <v>1584</v>
      </c>
      <c r="V450" s="448">
        <f>PV_DATA[[#This Row],[QUANTITY]]*PV_DATA[[#This Row],[WATT]]/1000000</f>
        <v>0.81576000000000004</v>
      </c>
      <c r="W450" s="466">
        <f>PV_DATA[[#This Row],[QUANTITY]]/PV_DATA[[#This Row],[Qty/Pallet]]</f>
        <v>44</v>
      </c>
      <c r="X450" s="1044">
        <f>PV_DATA[[#This Row],[QUANTITY]]/PV_DATA[[#This Row],[Qty/CT]]</f>
        <v>2</v>
      </c>
      <c r="Y450" s="431" t="s">
        <v>951</v>
      </c>
      <c r="Z450" s="430" t="str">
        <f t="shared" si="4"/>
        <v>COMPLETED</v>
      </c>
      <c r="AA450" s="447" t="s">
        <v>2201</v>
      </c>
      <c r="AB450" s="469">
        <v>46130</v>
      </c>
      <c r="AC450" s="467">
        <f>IF(PV_DATA[[#This Row],[Pick- Up Date]]&lt;&gt;"",_xlfn.ISOWEEKNUM(PV_DATA[[#This Row],[Pick- Up Date]]),"")</f>
        <v>16</v>
      </c>
      <c r="AD450" s="439" t="s">
        <v>2207</v>
      </c>
      <c r="AF450" s="431" t="s">
        <v>123</v>
      </c>
      <c r="AG450" s="431" t="s">
        <v>123</v>
      </c>
      <c r="AH450" s="431" t="s">
        <v>314</v>
      </c>
      <c r="AI450" s="441">
        <v>46136</v>
      </c>
      <c r="AJ450" s="441">
        <v>46136</v>
      </c>
      <c r="AK450" s="441">
        <v>46138</v>
      </c>
      <c r="AL450" s="441">
        <v>46183</v>
      </c>
      <c r="AM450" s="455">
        <v>46190</v>
      </c>
      <c r="AN450" s="441">
        <v>46190</v>
      </c>
      <c r="AO450" s="431" t="s">
        <v>402</v>
      </c>
      <c r="AP450" s="431" t="s">
        <v>2203</v>
      </c>
      <c r="AQ450" s="431" t="s">
        <v>80</v>
      </c>
      <c r="AR450" s="431" t="s">
        <v>2204</v>
      </c>
      <c r="AS450" s="431" t="s">
        <v>2205</v>
      </c>
      <c r="AT450" s="482" t="s">
        <v>2205</v>
      </c>
      <c r="AU4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1"/>
      <c r="AW450" s="441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1">
        <f>IF(ISERROR(PV_DATA[[#This Row],[New Ark PO status]]),"",_xlfn.XLOOKUP(PV_DATA[[#This Row],[SPTN-PVHK New Ark PO'#]],New_Ark_Data[Purchase order Number],New_Ark_Data[Estimated time of arrival],"",0))</f>
        <v>46204</v>
      </c>
      <c r="AZ45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0" s="437">
        <f>IFERROR(PV_DATA[[#This Row],[ODP ETA Port]]+PV_DATA[[#This Row],[Customs/Leg3 Assumption]],"n/a")</f>
        <v>46200</v>
      </c>
      <c r="BB450" s="442">
        <f>YEAR(PV_DATA[[#This Row],[ETA for New Ark update]])</f>
        <v>2026</v>
      </c>
      <c r="BC450" s="431">
        <f>MONTH(PV_DATA[[#This Row],[ETA for New Ark update]])</f>
        <v>6</v>
      </c>
      <c r="BD450" s="431">
        <f>IFERROR(_xlfn.ISOWEEKNUM(PV_DATA[[#This Row],[ETA for New Ark update]]),0)</f>
        <v>26</v>
      </c>
      <c r="BE450" s="431">
        <f>_xlfn.XLOOKUP(PV_DATA[[#This Row],[New Ark SKU]],Table9[New Ark SKU],Table9[Total PCS per Pallet],,0)</f>
        <v>36</v>
      </c>
      <c r="BF450" s="431">
        <f>_xlfn.XLOOKUP(PV_DATA[[#This Row],[New Ark SKU]],Table9[New Ark SKU],Table9[Total PCS per 40HQ Container],,0)</f>
        <v>792</v>
      </c>
      <c r="BG450" s="431" t="str">
        <f>_xlfn.XLOOKUP(PV_DATA[[#This Row],[New Ark SKU]],Table9[New Ark SKU],Table9[Back Glass],,0)</f>
        <v>Black glazing</v>
      </c>
      <c r="BH450" s="431" t="str">
        <f>_xlfn.XLOOKUP(PV_DATA[[#This Row],[PORT DESTINATION]],Table12[PORT DESTINATION],Table12[Cosco Line],,0)</f>
        <v>AEM</v>
      </c>
    </row>
    <row r="451" spans="1:60" s="431" customFormat="1" ht="10.5">
      <c r="A451" s="439" t="s">
        <v>2208</v>
      </c>
      <c r="B451" s="439" t="s">
        <v>2132</v>
      </c>
      <c r="C451" s="439" t="str">
        <f>IFERROR(LEFT(PV_DATA[[#This Row],[TCL REFERENCE]],FIND(".",PV_DATA[[#This Row],[TCL REFERENCE]],1)-1),"Main Line")</f>
        <v>26Apr006</v>
      </c>
      <c r="D451" s="439" t="s">
        <v>63</v>
      </c>
      <c r="E451" s="439" t="s">
        <v>64</v>
      </c>
      <c r="F451" s="462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39" t="s">
        <v>402</v>
      </c>
      <c r="H451" s="439" t="s">
        <v>311</v>
      </c>
      <c r="I451" s="439" t="s">
        <v>822</v>
      </c>
      <c r="J451" s="430" t="s">
        <v>96</v>
      </c>
      <c r="M451" s="431" t="s">
        <v>68</v>
      </c>
      <c r="N451" s="432" t="s">
        <v>68</v>
      </c>
      <c r="O451" s="431" t="s">
        <v>550</v>
      </c>
      <c r="P451" s="431" t="s">
        <v>2134</v>
      </c>
      <c r="Q451" s="431" t="s">
        <v>2135</v>
      </c>
      <c r="R451" s="431" t="str">
        <f>_xlfn.XLOOKUP(PV_DATA[[#This Row],[New Ark SKU]],Table9[New Ark SKU],Table9[Connector],,0)</f>
        <v>EVO2A</v>
      </c>
      <c r="S451" s="442" t="str">
        <f>_xlfn.XLOOKUP(PV_DATA[[#This Row],[New Ark SKU]],Table9[New Ark SKU],Table9[Cable],,0)</f>
        <v>±1350mm</v>
      </c>
      <c r="T451" s="442">
        <v>515</v>
      </c>
      <c r="U451" s="1093">
        <f>5*792</f>
        <v>3960</v>
      </c>
      <c r="V451" s="434">
        <f>PV_DATA[[#This Row],[QUANTITY]]*PV_DATA[[#This Row],[WATT]]/1000000</f>
        <v>2.0394000000000001</v>
      </c>
      <c r="W451" s="466">
        <f>PV_DATA[[#This Row],[QUANTITY]]/PV_DATA[[#This Row],[Qty/Pallet]]</f>
        <v>110</v>
      </c>
      <c r="X451" s="1044">
        <f>PV_DATA[[#This Row],[QUANTITY]]/PV_DATA[[#This Row],[Qty/CT]]</f>
        <v>5</v>
      </c>
      <c r="Y451" s="431" t="s">
        <v>951</v>
      </c>
      <c r="Z451" s="430" t="str">
        <f t="shared" si="4"/>
        <v>COMPLETED</v>
      </c>
      <c r="AA451" s="447" t="s">
        <v>2209</v>
      </c>
      <c r="AB451" s="469">
        <v>46130</v>
      </c>
      <c r="AC451" s="467">
        <f>IF(PV_DATA[[#This Row],[Pick- Up Date]]&lt;&gt;"",_xlfn.ISOWEEKNUM(PV_DATA[[#This Row],[Pick- Up Date]]),"")</f>
        <v>16</v>
      </c>
      <c r="AD451" s="439" t="s">
        <v>2210</v>
      </c>
      <c r="AF451" s="431" t="s">
        <v>123</v>
      </c>
      <c r="AG451" s="431" t="s">
        <v>123</v>
      </c>
      <c r="AH451" s="431" t="s">
        <v>314</v>
      </c>
      <c r="AI451" s="441">
        <v>46136</v>
      </c>
      <c r="AJ451" s="441">
        <v>46136</v>
      </c>
      <c r="AK451" s="441">
        <v>46138</v>
      </c>
      <c r="AL451" s="441">
        <v>46183</v>
      </c>
      <c r="AM451" s="455">
        <v>46190</v>
      </c>
      <c r="AN451" s="441">
        <v>46190</v>
      </c>
      <c r="AO451" s="431" t="s">
        <v>402</v>
      </c>
      <c r="AP451" s="431" t="s">
        <v>2203</v>
      </c>
      <c r="AQ451" s="431" t="s">
        <v>80</v>
      </c>
      <c r="AR451" s="431" t="s">
        <v>2204</v>
      </c>
      <c r="AS451" s="431" t="s">
        <v>2205</v>
      </c>
      <c r="AT451" s="482" t="s">
        <v>2205</v>
      </c>
      <c r="AU4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1"/>
      <c r="AW451" s="441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1">
        <f>IF(ISERROR(PV_DATA[[#This Row],[New Ark PO status]]),"",_xlfn.XLOOKUP(PV_DATA[[#This Row],[SPTN-PVHK New Ark PO'#]],New_Ark_Data[Purchase order Number],New_Ark_Data[Estimated time of arrival],"",0))</f>
        <v>46204</v>
      </c>
      <c r="AZ45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1" s="437">
        <f>IFERROR(PV_DATA[[#This Row],[ODP ETA Port]]+PV_DATA[[#This Row],[Customs/Leg3 Assumption]],"n/a")</f>
        <v>46200</v>
      </c>
      <c r="BB451" s="442">
        <f>YEAR(PV_DATA[[#This Row],[ETA for New Ark update]])</f>
        <v>2026</v>
      </c>
      <c r="BC451" s="431">
        <f>MONTH(PV_DATA[[#This Row],[ETA for New Ark update]])</f>
        <v>6</v>
      </c>
      <c r="BD451" s="431">
        <f>IFERROR(_xlfn.ISOWEEKNUM(PV_DATA[[#This Row],[ETA for New Ark update]]),0)</f>
        <v>26</v>
      </c>
      <c r="BE451" s="431">
        <f>_xlfn.XLOOKUP(PV_DATA[[#This Row],[New Ark SKU]],Table9[New Ark SKU],Table9[Total PCS per Pallet],,0)</f>
        <v>36</v>
      </c>
      <c r="BF451" s="431">
        <f>_xlfn.XLOOKUP(PV_DATA[[#This Row],[New Ark SKU]],Table9[New Ark SKU],Table9[Total PCS per 40HQ Container],,0)</f>
        <v>792</v>
      </c>
      <c r="BG451" s="431" t="str">
        <f>_xlfn.XLOOKUP(PV_DATA[[#This Row],[New Ark SKU]],Table9[New Ark SKU],Table9[Back Glass],,0)</f>
        <v>Black glazing</v>
      </c>
      <c r="BH451" s="431" t="str">
        <f>_xlfn.XLOOKUP(PV_DATA[[#This Row],[PORT DESTINATION]],Table12[PORT DESTINATION],Table12[Cosco Line],,0)</f>
        <v>AEM</v>
      </c>
    </row>
    <row r="452" spans="1:60" s="431" customFormat="1" ht="10.5">
      <c r="A452" s="439" t="s">
        <v>2211</v>
      </c>
      <c r="B452" s="439" t="s">
        <v>2132</v>
      </c>
      <c r="C452" s="439" t="str">
        <f>IFERROR(LEFT(PV_DATA[[#This Row],[TCL REFERENCE]],FIND(".",PV_DATA[[#This Row],[TCL REFERENCE]],1)-1),"Main Line")</f>
        <v>26Apr006</v>
      </c>
      <c r="D452" s="439" t="s">
        <v>63</v>
      </c>
      <c r="E452" s="439" t="s">
        <v>64</v>
      </c>
      <c r="F452" s="462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39" t="s">
        <v>402</v>
      </c>
      <c r="H452" s="439" t="s">
        <v>67</v>
      </c>
      <c r="I452" s="439" t="s">
        <v>689</v>
      </c>
      <c r="J452" s="430" t="s">
        <v>96</v>
      </c>
      <c r="M452" s="431" t="s">
        <v>68</v>
      </c>
      <c r="N452" s="432" t="s">
        <v>68</v>
      </c>
      <c r="O452" s="431" t="s">
        <v>550</v>
      </c>
      <c r="P452" s="431" t="s">
        <v>2134</v>
      </c>
      <c r="Q452" s="431" t="s">
        <v>2135</v>
      </c>
      <c r="R452" s="431" t="str">
        <f>_xlfn.XLOOKUP(PV_DATA[[#This Row],[New Ark SKU]],Table9[New Ark SKU],Table9[Connector],,0)</f>
        <v>EVO2A</v>
      </c>
      <c r="S452" s="442" t="str">
        <f>_xlfn.XLOOKUP(PV_DATA[[#This Row],[New Ark SKU]],Table9[New Ark SKU],Table9[Cable],,0)</f>
        <v>±1350mm</v>
      </c>
      <c r="T452" s="442">
        <v>515</v>
      </c>
      <c r="U452" s="1093">
        <f>4*792</f>
        <v>3168</v>
      </c>
      <c r="V452" s="434">
        <f>PV_DATA[[#This Row],[QUANTITY]]*PV_DATA[[#This Row],[WATT]]/1000000</f>
        <v>1.6315200000000001</v>
      </c>
      <c r="W452" s="466">
        <f>PV_DATA[[#This Row],[QUANTITY]]/PV_DATA[[#This Row],[Qty/Pallet]]</f>
        <v>88</v>
      </c>
      <c r="X452" s="1044">
        <f>PV_DATA[[#This Row],[QUANTITY]]/PV_DATA[[#This Row],[Qty/CT]]</f>
        <v>4</v>
      </c>
      <c r="Y452" s="431" t="s">
        <v>951</v>
      </c>
      <c r="Z452" s="430" t="str">
        <f t="shared" si="4"/>
        <v>COMPLETED</v>
      </c>
      <c r="AA452" s="447" t="s">
        <v>2212</v>
      </c>
      <c r="AB452" s="441">
        <v>46136</v>
      </c>
      <c r="AC452" s="467">
        <f>IF(PV_DATA[[#This Row],[Pick- Up Date]]&lt;&gt;"",_xlfn.ISOWEEKNUM(PV_DATA[[#This Row],[Pick- Up Date]]),"")</f>
        <v>17</v>
      </c>
      <c r="AD452" s="439" t="s">
        <v>2213</v>
      </c>
      <c r="AF452" s="431" t="s">
        <v>123</v>
      </c>
      <c r="AG452" s="431" t="s">
        <v>123</v>
      </c>
      <c r="AH452" s="431" t="s">
        <v>78</v>
      </c>
      <c r="AI452" s="441">
        <v>46136</v>
      </c>
      <c r="AJ452" s="441">
        <v>46140</v>
      </c>
      <c r="AK452" s="441">
        <v>46140</v>
      </c>
      <c r="AL452" s="441">
        <v>46188</v>
      </c>
      <c r="AM452" s="441">
        <v>46184</v>
      </c>
      <c r="AN452" s="441">
        <v>46184</v>
      </c>
      <c r="AO452" s="431" t="s">
        <v>402</v>
      </c>
      <c r="AP452" s="431" t="s">
        <v>2203</v>
      </c>
      <c r="AQ452" s="431" t="s">
        <v>80</v>
      </c>
      <c r="AR452" s="431" t="s">
        <v>2214</v>
      </c>
      <c r="AS452" s="431" t="s">
        <v>2215</v>
      </c>
      <c r="AT452" s="482" t="s">
        <v>2215</v>
      </c>
      <c r="AU4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1"/>
      <c r="AW452" s="441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1">
        <f>IF(ISERROR(PV_DATA[[#This Row],[New Ark PO status]]),"",_xlfn.XLOOKUP(PV_DATA[[#This Row],[SPTN-PVHK New Ark PO'#]],New_Ark_Data[Purchase order Number],New_Ark_Data[Estimated time of arrival],"",0))</f>
        <v>46199</v>
      </c>
      <c r="AZ45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7">
        <f>IFERROR(PV_DATA[[#This Row],[ODP ETA Port]]+PV_DATA[[#This Row],[Customs/Leg3 Assumption]],"n/a")</f>
        <v>46192</v>
      </c>
      <c r="BB452" s="442">
        <f>YEAR(PV_DATA[[#This Row],[ETA for New Ark update]])</f>
        <v>2026</v>
      </c>
      <c r="BC452" s="431">
        <f>MONTH(PV_DATA[[#This Row],[ETA for New Ark update]])</f>
        <v>6</v>
      </c>
      <c r="BD452" s="431">
        <f>IFERROR(_xlfn.ISOWEEKNUM(PV_DATA[[#This Row],[ETA for New Ark update]]),0)</f>
        <v>25</v>
      </c>
      <c r="BE452" s="431">
        <f>_xlfn.XLOOKUP(PV_DATA[[#This Row],[New Ark SKU]],Table9[New Ark SKU],Table9[Total PCS per Pallet],,0)</f>
        <v>36</v>
      </c>
      <c r="BF452" s="431">
        <f>_xlfn.XLOOKUP(PV_DATA[[#This Row],[New Ark SKU]],Table9[New Ark SKU],Table9[Total PCS per 40HQ Container],,0)</f>
        <v>792</v>
      </c>
      <c r="BG452" s="431" t="str">
        <f>_xlfn.XLOOKUP(PV_DATA[[#This Row],[New Ark SKU]],Table9[New Ark SKU],Table9[Back Glass],,0)</f>
        <v>Black glazing</v>
      </c>
      <c r="BH452" s="431" t="str">
        <f>_xlfn.XLOOKUP(PV_DATA[[#This Row],[PORT DESTINATION]],Table12[PORT DESTINATION],Table12[Cosco Line],,0)</f>
        <v>AEM</v>
      </c>
    </row>
    <row r="453" spans="1:60" s="431" customFormat="1" ht="10.5">
      <c r="A453" s="439" t="s">
        <v>2216</v>
      </c>
      <c r="B453" s="439" t="s">
        <v>2132</v>
      </c>
      <c r="C453" s="439" t="str">
        <f>IFERROR(LEFT(PV_DATA[[#This Row],[TCL REFERENCE]],FIND(".",PV_DATA[[#This Row],[TCL REFERENCE]],1)-1),"Main Line")</f>
        <v>26Apr006</v>
      </c>
      <c r="D453" s="439" t="s">
        <v>63</v>
      </c>
      <c r="E453" s="439" t="s">
        <v>64</v>
      </c>
      <c r="F453" s="462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39" t="s">
        <v>402</v>
      </c>
      <c r="H453" s="439" t="s">
        <v>311</v>
      </c>
      <c r="I453" s="439" t="s">
        <v>689</v>
      </c>
      <c r="J453" s="430" t="s">
        <v>96</v>
      </c>
      <c r="M453" s="431" t="s">
        <v>68</v>
      </c>
      <c r="N453" s="432" t="s">
        <v>68</v>
      </c>
      <c r="O453" s="431" t="s">
        <v>550</v>
      </c>
      <c r="P453" s="431" t="s">
        <v>2134</v>
      </c>
      <c r="Q453" s="431" t="s">
        <v>2135</v>
      </c>
      <c r="R453" s="431" t="str">
        <f>_xlfn.XLOOKUP(PV_DATA[[#This Row],[New Ark SKU]],Table9[New Ark SKU],Table9[Connector],,0)</f>
        <v>EVO2A</v>
      </c>
      <c r="S453" s="442" t="str">
        <f>_xlfn.XLOOKUP(PV_DATA[[#This Row],[New Ark SKU]],Table9[New Ark SKU],Table9[Cable],,0)</f>
        <v>±1350mm</v>
      </c>
      <c r="T453" s="442">
        <v>515</v>
      </c>
      <c r="U453" s="1093">
        <f>3*792</f>
        <v>2376</v>
      </c>
      <c r="V453" s="434">
        <f>PV_DATA[[#This Row],[QUANTITY]]*PV_DATA[[#This Row],[WATT]]/1000000</f>
        <v>1.2236400000000001</v>
      </c>
      <c r="W453" s="466">
        <f>PV_DATA[[#This Row],[QUANTITY]]/PV_DATA[[#This Row],[Qty/Pallet]]</f>
        <v>66</v>
      </c>
      <c r="X453" s="1044">
        <f>PV_DATA[[#This Row],[QUANTITY]]/PV_DATA[[#This Row],[Qty/CT]]</f>
        <v>3</v>
      </c>
      <c r="Y453" s="431" t="s">
        <v>951</v>
      </c>
      <c r="Z453" s="430" t="str">
        <f t="shared" si="4"/>
        <v>COMPLETED</v>
      </c>
      <c r="AA453" s="447" t="s">
        <v>2183</v>
      </c>
      <c r="AB453" s="441">
        <v>46136</v>
      </c>
      <c r="AC453" s="467">
        <f>IF(PV_DATA[[#This Row],[Pick- Up Date]]&lt;&gt;"",_xlfn.ISOWEEKNUM(PV_DATA[[#This Row],[Pick- Up Date]]),"")</f>
        <v>17</v>
      </c>
      <c r="AD453" s="439" t="s">
        <v>2217</v>
      </c>
      <c r="AF453" s="431" t="s">
        <v>123</v>
      </c>
      <c r="AG453" s="431" t="s">
        <v>123</v>
      </c>
      <c r="AH453" s="431" t="s">
        <v>1561</v>
      </c>
      <c r="AI453" s="441">
        <v>46140</v>
      </c>
      <c r="AJ453" s="441">
        <v>46140</v>
      </c>
      <c r="AK453" s="441">
        <v>46140</v>
      </c>
      <c r="AL453" s="441">
        <v>46199</v>
      </c>
      <c r="AM453" s="455">
        <v>46201</v>
      </c>
      <c r="AN453" s="441">
        <v>46198</v>
      </c>
      <c r="AO453" s="431" t="s">
        <v>402</v>
      </c>
      <c r="AP453" s="431" t="s">
        <v>2218</v>
      </c>
      <c r="AQ453" s="431" t="s">
        <v>80</v>
      </c>
      <c r="AR453" s="431" t="s">
        <v>2219</v>
      </c>
      <c r="AS453" s="431" t="s">
        <v>2220</v>
      </c>
      <c r="AT453" s="482" t="s">
        <v>2220</v>
      </c>
      <c r="AU4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1"/>
      <c r="AW453" s="441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1">
        <f>IF(ISERROR(PV_DATA[[#This Row],[New Ark PO status]]),"",_xlfn.XLOOKUP(PV_DATA[[#This Row],[SPTN-PVHK New Ark PO'#]],New_Ark_Data[Purchase order Number],New_Ark_Data[Estimated time of arrival],"",0))</f>
        <v>46212</v>
      </c>
      <c r="AZ45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3" s="437">
        <f>IFERROR(PV_DATA[[#This Row],[ODP ETA Port]]+PV_DATA[[#This Row],[Customs/Leg3 Assumption]],"n/a")</f>
        <v>46208</v>
      </c>
      <c r="BB453" s="442">
        <f>YEAR(PV_DATA[[#This Row],[ETA for New Ark update]])</f>
        <v>2026</v>
      </c>
      <c r="BC453" s="431">
        <f>MONTH(PV_DATA[[#This Row],[ETA for New Ark update]])</f>
        <v>7</v>
      </c>
      <c r="BD453" s="431">
        <f>IFERROR(_xlfn.ISOWEEKNUM(PV_DATA[[#This Row],[ETA for New Ark update]]),0)</f>
        <v>27</v>
      </c>
      <c r="BE453" s="431">
        <f>_xlfn.XLOOKUP(PV_DATA[[#This Row],[New Ark SKU]],Table9[New Ark SKU],Table9[Total PCS per Pallet],,0)</f>
        <v>36</v>
      </c>
      <c r="BF453" s="431">
        <f>_xlfn.XLOOKUP(PV_DATA[[#This Row],[New Ark SKU]],Table9[New Ark SKU],Table9[Total PCS per 40HQ Container],,0)</f>
        <v>792</v>
      </c>
      <c r="BG453" s="431" t="str">
        <f>_xlfn.XLOOKUP(PV_DATA[[#This Row],[New Ark SKU]],Table9[New Ark SKU],Table9[Back Glass],,0)</f>
        <v>Black glazing</v>
      </c>
      <c r="BH453" s="431" t="str">
        <f>_xlfn.XLOOKUP(PV_DATA[[#This Row],[PORT DESTINATION]],Table12[PORT DESTINATION],Table12[Cosco Line],,0)</f>
        <v>AEM</v>
      </c>
    </row>
    <row r="454" spans="1:60" s="431" customFormat="1" ht="10.5">
      <c r="A454" s="439" t="s">
        <v>2221</v>
      </c>
      <c r="B454" s="439" t="s">
        <v>2132</v>
      </c>
      <c r="C454" s="439" t="str">
        <f>IFERROR(LEFT(PV_DATA[[#This Row],[TCL REFERENCE]],FIND(".",PV_DATA[[#This Row],[TCL REFERENCE]],1)-1),"Main Line")</f>
        <v>26Apr006</v>
      </c>
      <c r="D454" s="439" t="s">
        <v>63</v>
      </c>
      <c r="E454" s="439" t="s">
        <v>64</v>
      </c>
      <c r="F454" s="462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39" t="s">
        <v>402</v>
      </c>
      <c r="H454" s="439" t="s">
        <v>115</v>
      </c>
      <c r="I454" s="439" t="s">
        <v>689</v>
      </c>
      <c r="J454" s="430" t="s">
        <v>96</v>
      </c>
      <c r="M454" s="431" t="s">
        <v>68</v>
      </c>
      <c r="N454" s="432" t="s">
        <v>68</v>
      </c>
      <c r="O454" s="431" t="s">
        <v>550</v>
      </c>
      <c r="P454" s="431" t="s">
        <v>2134</v>
      </c>
      <c r="Q454" s="431" t="s">
        <v>2135</v>
      </c>
      <c r="R454" s="431" t="str">
        <f>_xlfn.XLOOKUP(PV_DATA[[#This Row],[New Ark SKU]],Table9[New Ark SKU],Table9[Connector],,0)</f>
        <v>EVO2A</v>
      </c>
      <c r="S454" s="442" t="str">
        <f>_xlfn.XLOOKUP(PV_DATA[[#This Row],[New Ark SKU]],Table9[New Ark SKU],Table9[Cable],,0)</f>
        <v>±1350mm</v>
      </c>
      <c r="T454" s="442">
        <v>515</v>
      </c>
      <c r="U454" s="1093">
        <v>1584</v>
      </c>
      <c r="V454" s="434">
        <f>PV_DATA[[#This Row],[QUANTITY]]*PV_DATA[[#This Row],[WATT]]/1000000</f>
        <v>0.81576000000000004</v>
      </c>
      <c r="W454" s="466">
        <f>PV_DATA[[#This Row],[QUANTITY]]/PV_DATA[[#This Row],[Qty/Pallet]]</f>
        <v>44</v>
      </c>
      <c r="X454" s="1044">
        <f>PV_DATA[[#This Row],[QUANTITY]]/PV_DATA[[#This Row],[Qty/CT]]</f>
        <v>2</v>
      </c>
      <c r="Y454" s="430" t="s">
        <v>75</v>
      </c>
      <c r="Z454" s="430" t="str">
        <f t="shared" si="4"/>
        <v>COMPLETED</v>
      </c>
      <c r="AA454" s="447" t="s">
        <v>2183</v>
      </c>
      <c r="AB454" s="441">
        <v>46136</v>
      </c>
      <c r="AC454" s="467">
        <f>IF(PV_DATA[[#This Row],[Pick- Up Date]]&lt;&gt;"",_xlfn.ISOWEEKNUM(PV_DATA[[#This Row],[Pick- Up Date]]),"")</f>
        <v>17</v>
      </c>
      <c r="AD454" s="439" t="s">
        <v>2222</v>
      </c>
      <c r="AF454" s="431" t="s">
        <v>123</v>
      </c>
      <c r="AG454" s="431" t="s">
        <v>123</v>
      </c>
      <c r="AH454" s="431" t="s">
        <v>124</v>
      </c>
      <c r="AI454" s="441">
        <v>46139</v>
      </c>
      <c r="AJ454" s="441">
        <v>46140</v>
      </c>
      <c r="AK454" s="441">
        <v>46140</v>
      </c>
      <c r="AL454" s="441">
        <v>46184</v>
      </c>
      <c r="AM454" s="455">
        <v>46177</v>
      </c>
      <c r="AN454" s="441">
        <v>46178</v>
      </c>
      <c r="AO454" s="431" t="s">
        <v>402</v>
      </c>
      <c r="AP454" s="431" t="s">
        <v>2179</v>
      </c>
      <c r="AQ454" s="431" t="s">
        <v>80</v>
      </c>
      <c r="AR454" s="431" t="s">
        <v>2223</v>
      </c>
      <c r="AS454" s="431" t="s">
        <v>2224</v>
      </c>
      <c r="AT454" s="482" t="s">
        <v>2224</v>
      </c>
      <c r="AU4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1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1">
        <f>IF(ISERROR(PV_DATA[[#This Row],[New Ark PO status]]),"",_xlfn.XLOOKUP(PV_DATA[[#This Row],[SPTN-PVHK New Ark PO'#]],New_Ark_Data[Purchase order Number],New_Ark_Data[Estimated time of arrival],"",0))</f>
        <v>46191</v>
      </c>
      <c r="AZ454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7">
        <f>IFERROR(PV_DATA[[#This Row],[ODP ETA Port]]+PV_DATA[[#This Row],[Customs/Leg3 Assumption]],"n/a")</f>
        <v>46187</v>
      </c>
      <c r="BB454" s="442">
        <f>YEAR(PV_DATA[[#This Row],[ETA for New Ark update]])</f>
        <v>2026</v>
      </c>
      <c r="BC454" s="431">
        <f>MONTH(PV_DATA[[#This Row],[ETA for New Ark update]])</f>
        <v>6</v>
      </c>
      <c r="BD454" s="431">
        <f>IFERROR(_xlfn.ISOWEEKNUM(PV_DATA[[#This Row],[ETA for New Ark update]]),0)</f>
        <v>24</v>
      </c>
      <c r="BE454" s="431">
        <f>_xlfn.XLOOKUP(PV_DATA[[#This Row],[New Ark SKU]],Table9[New Ark SKU],Table9[Total PCS per Pallet],,0)</f>
        <v>36</v>
      </c>
      <c r="BF454" s="431">
        <f>_xlfn.XLOOKUP(PV_DATA[[#This Row],[New Ark SKU]],Table9[New Ark SKU],Table9[Total PCS per 40HQ Container],,0)</f>
        <v>792</v>
      </c>
      <c r="BG454" s="431" t="str">
        <f>_xlfn.XLOOKUP(PV_DATA[[#This Row],[New Ark SKU]],Table9[New Ark SKU],Table9[Back Glass],,0)</f>
        <v>Black glazing</v>
      </c>
      <c r="BH454" s="431" t="str">
        <f>_xlfn.XLOOKUP(PV_DATA[[#This Row],[PORT DESTINATION]],Table12[PORT DESTINATION],Table12[Cosco Line],,0)</f>
        <v>AEM</v>
      </c>
    </row>
    <row r="455" spans="1:60" s="431" customFormat="1">
      <c r="A455" s="439" t="s">
        <v>2225</v>
      </c>
      <c r="B455" s="439" t="s">
        <v>61</v>
      </c>
      <c r="C455" s="439" t="str">
        <f>IFERROR(LEFT(PV_DATA[[#This Row],[TCL REFERENCE]],FIND(".",PV_DATA[[#This Row],[TCL REFERENCE]],1)-1),"Main Line")</f>
        <v>26Feb021</v>
      </c>
      <c r="D455" s="439" t="s">
        <v>63</v>
      </c>
      <c r="E455" s="439" t="s">
        <v>64</v>
      </c>
      <c r="F455" s="462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39" t="s">
        <v>402</v>
      </c>
      <c r="H455" s="439" t="s">
        <v>67</v>
      </c>
      <c r="I455" s="439" t="s">
        <v>1395</v>
      </c>
      <c r="J455" s="430" t="s">
        <v>96</v>
      </c>
      <c r="M455" s="431" t="s">
        <v>68</v>
      </c>
      <c r="N455" s="461">
        <v>46104</v>
      </c>
      <c r="O455" s="431" t="s">
        <v>70</v>
      </c>
      <c r="P455" s="431" t="s">
        <v>91</v>
      </c>
      <c r="Q455" s="431" t="s">
        <v>92</v>
      </c>
      <c r="R455" s="431" t="str">
        <f>_xlfn.XLOOKUP(PV_DATA[[#This Row],[New Ark SKU]],Table9[New Ark SKU],Table9[Connector],,0)</f>
        <v>EVO2A</v>
      </c>
      <c r="S455" s="442" t="str">
        <f>_xlfn.XLOOKUP(PV_DATA[[#This Row],[New Ark SKU]],Table9[New Ark SKU],Table9[Cable],,0)</f>
        <v>±1200mm</v>
      </c>
      <c r="T455" s="442">
        <v>450</v>
      </c>
      <c r="U455" s="1093">
        <f>936*2</f>
        <v>1872</v>
      </c>
      <c r="V455" s="448">
        <f>PV_DATA[[#This Row],[QUANTITY]]*PV_DATA[[#This Row],[WATT]]/1000000</f>
        <v>0.84240000000000004</v>
      </c>
      <c r="W455" s="466">
        <f>PV_DATA[[#This Row],[QUANTITY]]/PV_DATA[[#This Row],[Qty/Pallet]]</f>
        <v>52</v>
      </c>
      <c r="X455" s="1044">
        <f>PV_DATA[[#This Row],[QUANTITY]]/PV_DATA[[#This Row],[Qty/CT]]</f>
        <v>2</v>
      </c>
      <c r="Y455" s="431" t="s">
        <v>951</v>
      </c>
      <c r="Z455" s="430" t="str">
        <f t="shared" si="4"/>
        <v>COMPLETED</v>
      </c>
      <c r="AA455" s="431" t="s">
        <v>1907</v>
      </c>
      <c r="AB455" s="441">
        <v>46134</v>
      </c>
      <c r="AC455" s="467">
        <f>IF(PV_DATA[[#This Row],[Pick- Up Date]]&lt;&gt;"",_xlfn.ISOWEEKNUM(PV_DATA[[#This Row],[Pick- Up Date]]),"")</f>
        <v>17</v>
      </c>
      <c r="AD455" s="439" t="s">
        <v>2226</v>
      </c>
      <c r="AF455" s="431" t="s">
        <v>4421</v>
      </c>
      <c r="AG455" s="431" t="s">
        <v>61</v>
      </c>
      <c r="AH455" s="431" t="s">
        <v>78</v>
      </c>
      <c r="AI455" s="441">
        <v>46138</v>
      </c>
      <c r="AJ455" s="441">
        <v>46138</v>
      </c>
      <c r="AK455" s="441">
        <v>46138</v>
      </c>
      <c r="AL455" s="441">
        <v>46196</v>
      </c>
      <c r="AM455" s="437">
        <v>46207</v>
      </c>
      <c r="AN455" s="437">
        <v>46207</v>
      </c>
      <c r="AO455" s="441" t="s">
        <v>402</v>
      </c>
      <c r="AP455" s="441" t="s">
        <v>2227</v>
      </c>
      <c r="AQ455" s="441" t="s">
        <v>80</v>
      </c>
      <c r="AR455" s="441" t="s">
        <v>2228</v>
      </c>
      <c r="AS455" s="431" t="s">
        <v>2229</v>
      </c>
      <c r="AT455" s="482" t="s">
        <v>2229</v>
      </c>
      <c r="AU4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1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1">
        <f>IF(ISERROR(PV_DATA[[#This Row],[New Ark PO status]]),"",_xlfn.XLOOKUP(PV_DATA[[#This Row],[SPTN-PVHK New Ark PO'#]],New_Ark_Data[Purchase order Number],New_Ark_Data[Estimated time of arrival],"",0))</f>
        <v>46220</v>
      </c>
      <c r="AZ45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7">
        <f>IFERROR(PV_DATA[[#This Row],[ODP ETA Port]]+PV_DATA[[#This Row],[Customs/Leg3 Assumption]],"n/a")</f>
        <v>46215</v>
      </c>
      <c r="BB455" s="442">
        <f>YEAR(PV_DATA[[#This Row],[ETA for New Ark update]])</f>
        <v>2026</v>
      </c>
      <c r="BC455" s="431">
        <f>MONTH(PV_DATA[[#This Row],[ETA for New Ark update]])</f>
        <v>7</v>
      </c>
      <c r="BD455" s="431">
        <f>IFERROR(_xlfn.ISOWEEKNUM(PV_DATA[[#This Row],[ETA for New Ark update]]),0)</f>
        <v>28</v>
      </c>
      <c r="BE455" s="431">
        <f>_xlfn.XLOOKUP(PV_DATA[[#This Row],[New Ark SKU]],Table9[New Ark SKU],Table9[Total PCS per Pallet],,0)</f>
        <v>36</v>
      </c>
      <c r="BF455" s="431">
        <f>_xlfn.XLOOKUP(PV_DATA[[#This Row],[New Ark SKU]],Table9[New Ark SKU],Table9[Total PCS per 40HQ Container],,0)</f>
        <v>936</v>
      </c>
      <c r="BG455" s="431" t="str">
        <f>_xlfn.XLOOKUP(PV_DATA[[#This Row],[New Ark SKU]],Table9[New Ark SKU],Table9[Back Glass],,0)</f>
        <v>Transparent</v>
      </c>
      <c r="BH455" s="431" t="str">
        <f>_xlfn.XLOOKUP(PV_DATA[[#This Row],[PORT DESTINATION]],Table12[PORT DESTINATION],Table12[Cosco Line],,0)</f>
        <v>AEM</v>
      </c>
    </row>
    <row r="456" spans="1:60" s="431" customFormat="1">
      <c r="A456" s="439" t="s">
        <v>2230</v>
      </c>
      <c r="B456" s="439" t="s">
        <v>61</v>
      </c>
      <c r="C456" s="439" t="str">
        <f>IFERROR(LEFT(PV_DATA[[#This Row],[TCL REFERENCE]],FIND(".",PV_DATA[[#This Row],[TCL REFERENCE]],1)-1),"Main Line")</f>
        <v>26Feb021</v>
      </c>
      <c r="D456" s="439" t="s">
        <v>63</v>
      </c>
      <c r="E456" s="439" t="s">
        <v>64</v>
      </c>
      <c r="F456" s="462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39" t="s">
        <v>402</v>
      </c>
      <c r="H456" s="439" t="s">
        <v>67</v>
      </c>
      <c r="I456" s="439" t="s">
        <v>882</v>
      </c>
      <c r="J456" s="430" t="s">
        <v>96</v>
      </c>
      <c r="M456" s="431" t="s">
        <v>68</v>
      </c>
      <c r="N456" s="461">
        <v>46111</v>
      </c>
      <c r="O456" s="431" t="s">
        <v>70</v>
      </c>
      <c r="P456" s="431" t="s">
        <v>91</v>
      </c>
      <c r="Q456" s="431" t="s">
        <v>92</v>
      </c>
      <c r="R456" s="431" t="str">
        <f>_xlfn.XLOOKUP(PV_DATA[[#This Row],[New Ark SKU]],Table9[New Ark SKU],Table9[Connector],,0)</f>
        <v>EVO2A</v>
      </c>
      <c r="S456" s="442" t="str">
        <f>_xlfn.XLOOKUP(PV_DATA[[#This Row],[New Ark SKU]],Table9[New Ark SKU],Table9[Cable],,0)</f>
        <v>±1200mm</v>
      </c>
      <c r="T456" s="442">
        <v>450</v>
      </c>
      <c r="U456" s="1093">
        <f>936*4</f>
        <v>3744</v>
      </c>
      <c r="V456" s="448">
        <f>PV_DATA[[#This Row],[QUANTITY]]*PV_DATA[[#This Row],[WATT]]/1000000</f>
        <v>1.6848000000000001</v>
      </c>
      <c r="W456" s="466">
        <f>PV_DATA[[#This Row],[QUANTITY]]/PV_DATA[[#This Row],[Qty/Pallet]]</f>
        <v>104</v>
      </c>
      <c r="X456" s="1044">
        <f>PV_DATA[[#This Row],[QUANTITY]]/PV_DATA[[#This Row],[Qty/CT]]</f>
        <v>4</v>
      </c>
      <c r="Y456" s="431" t="s">
        <v>951</v>
      </c>
      <c r="Z456" s="430" t="str">
        <f t="shared" si="4"/>
        <v>COMPLETED</v>
      </c>
      <c r="AA456" s="431" t="s">
        <v>1991</v>
      </c>
      <c r="AB456" s="441">
        <v>46128</v>
      </c>
      <c r="AC456" s="467">
        <f>IF(PV_DATA[[#This Row],[Pick- Up Date]]&lt;&gt;"",_xlfn.ISOWEEKNUM(PV_DATA[[#This Row],[Pick- Up Date]]),"")</f>
        <v>16</v>
      </c>
      <c r="AD456" s="439" t="s">
        <v>2231</v>
      </c>
      <c r="AF456" s="431" t="s">
        <v>4421</v>
      </c>
      <c r="AG456" s="431" t="s">
        <v>61</v>
      </c>
      <c r="AH456" s="431" t="s">
        <v>356</v>
      </c>
      <c r="AI456" s="441">
        <v>46136</v>
      </c>
      <c r="AJ456" s="441">
        <v>46136</v>
      </c>
      <c r="AK456" s="441">
        <v>46136</v>
      </c>
      <c r="AL456" s="441">
        <v>46192</v>
      </c>
      <c r="AM456" s="441">
        <v>46196</v>
      </c>
      <c r="AN456" s="441">
        <v>46198</v>
      </c>
      <c r="AO456" s="441" t="s">
        <v>402</v>
      </c>
      <c r="AP456" s="441" t="s">
        <v>2232</v>
      </c>
      <c r="AQ456" s="441" t="s">
        <v>161</v>
      </c>
      <c r="AR456" s="441" t="s">
        <v>2233</v>
      </c>
      <c r="AS456" s="441" t="s">
        <v>2234</v>
      </c>
      <c r="AT456" s="482" t="s">
        <v>2234</v>
      </c>
      <c r="AU4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1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1">
        <f>IF(ISERROR(PV_DATA[[#This Row],[New Ark PO status]]),"",_xlfn.XLOOKUP(PV_DATA[[#This Row],[SPTN-PVHK New Ark PO'#]],New_Ark_Data[Purchase order Number],New_Ark_Data[Estimated time of arrival],"",0))</f>
        <v>46209</v>
      </c>
      <c r="AZ45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6" s="437">
        <f>IFERROR(PV_DATA[[#This Row],[ODP ETA Port]]+PV_DATA[[#This Row],[Customs/Leg3 Assumption]],"n/a")</f>
        <v>46208</v>
      </c>
      <c r="BB456" s="442">
        <f>YEAR(PV_DATA[[#This Row],[ETA for New Ark update]])</f>
        <v>2026</v>
      </c>
      <c r="BC456" s="431">
        <f>MONTH(PV_DATA[[#This Row],[ETA for New Ark update]])</f>
        <v>7</v>
      </c>
      <c r="BD456" s="431">
        <f>IFERROR(_xlfn.ISOWEEKNUM(PV_DATA[[#This Row],[ETA for New Ark update]]),0)</f>
        <v>27</v>
      </c>
      <c r="BE456" s="431">
        <f>_xlfn.XLOOKUP(PV_DATA[[#This Row],[New Ark SKU]],Table9[New Ark SKU],Table9[Total PCS per Pallet],,0)</f>
        <v>36</v>
      </c>
      <c r="BF456" s="431">
        <f>_xlfn.XLOOKUP(PV_DATA[[#This Row],[New Ark SKU]],Table9[New Ark SKU],Table9[Total PCS per 40HQ Container],,0)</f>
        <v>936</v>
      </c>
      <c r="BG456" s="431" t="str">
        <f>_xlfn.XLOOKUP(PV_DATA[[#This Row],[New Ark SKU]],Table9[New Ark SKU],Table9[Back Glass],,0)</f>
        <v>Transparent</v>
      </c>
      <c r="BH456" s="431" t="str">
        <f>_xlfn.XLOOKUP(PV_DATA[[#This Row],[PORT DESTINATION]],Table12[PORT DESTINATION],Table12[Cosco Line],,0)</f>
        <v>AEU</v>
      </c>
    </row>
    <row r="457" spans="1:60" s="431" customFormat="1">
      <c r="A457" s="439" t="s">
        <v>2235</v>
      </c>
      <c r="B457" s="439" t="s">
        <v>61</v>
      </c>
      <c r="C457" s="439" t="str">
        <f>IFERROR(LEFT(PV_DATA[[#This Row],[TCL REFERENCE]],FIND(".",PV_DATA[[#This Row],[TCL REFERENCE]],1)-1),"Main Line")</f>
        <v>26Feb021</v>
      </c>
      <c r="D457" s="439" t="s">
        <v>63</v>
      </c>
      <c r="E457" s="439" t="s">
        <v>64</v>
      </c>
      <c r="F457" s="462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39" t="s">
        <v>402</v>
      </c>
      <c r="H457" s="439" t="s">
        <v>67</v>
      </c>
      <c r="I457" s="439" t="s">
        <v>882</v>
      </c>
      <c r="J457" s="430" t="s">
        <v>96</v>
      </c>
      <c r="M457" s="431" t="s">
        <v>68</v>
      </c>
      <c r="N457" s="461">
        <v>46111</v>
      </c>
      <c r="O457" s="431" t="s">
        <v>70</v>
      </c>
      <c r="P457" s="431" t="s">
        <v>91</v>
      </c>
      <c r="Q457" s="431" t="s">
        <v>92</v>
      </c>
      <c r="R457" s="431" t="str">
        <f>_xlfn.XLOOKUP(PV_DATA[[#This Row],[New Ark SKU]],Table9[New Ark SKU],Table9[Connector],,0)</f>
        <v>EVO2A</v>
      </c>
      <c r="S457" s="442" t="str">
        <f>_xlfn.XLOOKUP(PV_DATA[[#This Row],[New Ark SKU]],Table9[New Ark SKU],Table9[Cable],,0)</f>
        <v>±1200mm</v>
      </c>
      <c r="T457" s="442">
        <v>450</v>
      </c>
      <c r="U457" s="1093">
        <f>936*2</f>
        <v>1872</v>
      </c>
      <c r="V457" s="448">
        <f>PV_DATA[[#This Row],[QUANTITY]]*PV_DATA[[#This Row],[WATT]]/1000000</f>
        <v>0.84240000000000004</v>
      </c>
      <c r="W457" s="466">
        <f>PV_DATA[[#This Row],[QUANTITY]]/PV_DATA[[#This Row],[Qty/Pallet]]</f>
        <v>52</v>
      </c>
      <c r="X457" s="1044">
        <f>PV_DATA[[#This Row],[QUANTITY]]/PV_DATA[[#This Row],[Qty/CT]]</f>
        <v>2</v>
      </c>
      <c r="Y457" s="431" t="s">
        <v>951</v>
      </c>
      <c r="Z457" s="430" t="str">
        <f t="shared" si="4"/>
        <v>COMPLETED</v>
      </c>
      <c r="AA457" s="431" t="s">
        <v>1991</v>
      </c>
      <c r="AB457" s="441">
        <v>46129</v>
      </c>
      <c r="AC457" s="467">
        <f>IF(PV_DATA[[#This Row],[Pick- Up Date]]&lt;&gt;"",_xlfn.ISOWEEKNUM(PV_DATA[[#This Row],[Pick- Up Date]]),"")</f>
        <v>16</v>
      </c>
      <c r="AD457" s="439" t="s">
        <v>2236</v>
      </c>
      <c r="AF457" s="431" t="s">
        <v>4421</v>
      </c>
      <c r="AG457" s="431" t="s">
        <v>61</v>
      </c>
      <c r="AH457" s="431" t="s">
        <v>356</v>
      </c>
      <c r="AI457" s="441">
        <v>46136</v>
      </c>
      <c r="AJ457" s="441">
        <v>46136</v>
      </c>
      <c r="AK457" s="441">
        <v>46136</v>
      </c>
      <c r="AL457" s="441">
        <v>46192</v>
      </c>
      <c r="AM457" s="441">
        <v>46196</v>
      </c>
      <c r="AN457" s="441">
        <v>46198</v>
      </c>
      <c r="AO457" s="441" t="s">
        <v>402</v>
      </c>
      <c r="AP457" s="441" t="s">
        <v>2232</v>
      </c>
      <c r="AQ457" s="441" t="s">
        <v>161</v>
      </c>
      <c r="AR457" s="441" t="s">
        <v>2233</v>
      </c>
      <c r="AS457" s="441" t="s">
        <v>2234</v>
      </c>
      <c r="AT457" s="482" t="s">
        <v>2234</v>
      </c>
      <c r="AU4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1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1">
        <f>IF(ISERROR(PV_DATA[[#This Row],[New Ark PO status]]),"",_xlfn.XLOOKUP(PV_DATA[[#This Row],[SPTN-PVHK New Ark PO'#]],New_Ark_Data[Purchase order Number],New_Ark_Data[Estimated time of arrival],"",0))</f>
        <v>46210</v>
      </c>
      <c r="AZ45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7" s="437">
        <f>IFERROR(PV_DATA[[#This Row],[ODP ETA Port]]+PV_DATA[[#This Row],[Customs/Leg3 Assumption]],"n/a")</f>
        <v>46208</v>
      </c>
      <c r="BB457" s="442">
        <f>YEAR(PV_DATA[[#This Row],[ETA for New Ark update]])</f>
        <v>2026</v>
      </c>
      <c r="BC457" s="431">
        <f>MONTH(PV_DATA[[#This Row],[ETA for New Ark update]])</f>
        <v>7</v>
      </c>
      <c r="BD457" s="431">
        <f>IFERROR(_xlfn.ISOWEEKNUM(PV_DATA[[#This Row],[ETA for New Ark update]]),0)</f>
        <v>27</v>
      </c>
      <c r="BE457" s="431">
        <f>_xlfn.XLOOKUP(PV_DATA[[#This Row],[New Ark SKU]],Table9[New Ark SKU],Table9[Total PCS per Pallet],,0)</f>
        <v>36</v>
      </c>
      <c r="BF457" s="431">
        <f>_xlfn.XLOOKUP(PV_DATA[[#This Row],[New Ark SKU]],Table9[New Ark SKU],Table9[Total PCS per 40HQ Container],,0)</f>
        <v>936</v>
      </c>
      <c r="BG457" s="431" t="str">
        <f>_xlfn.XLOOKUP(PV_DATA[[#This Row],[New Ark SKU]],Table9[New Ark SKU],Table9[Back Glass],,0)</f>
        <v>Transparent</v>
      </c>
      <c r="BH457" s="431" t="str">
        <f>_xlfn.XLOOKUP(PV_DATA[[#This Row],[PORT DESTINATION]],Table12[PORT DESTINATION],Table12[Cosco Line],,0)</f>
        <v>AEU</v>
      </c>
    </row>
    <row r="458" spans="1:60" s="431" customFormat="1">
      <c r="A458" s="439" t="s">
        <v>2237</v>
      </c>
      <c r="B458" s="439" t="s">
        <v>61</v>
      </c>
      <c r="C458" s="439" t="str">
        <f>IFERROR(LEFT(PV_DATA[[#This Row],[TCL REFERENCE]],FIND(".",PV_DATA[[#This Row],[TCL REFERENCE]],1)-1),"Main Line")</f>
        <v>26Feb021</v>
      </c>
      <c r="D458" s="439" t="s">
        <v>63</v>
      </c>
      <c r="E458" s="462" t="s">
        <v>64</v>
      </c>
      <c r="F458" s="462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39" t="s">
        <v>402</v>
      </c>
      <c r="H458" s="439" t="s">
        <v>67</v>
      </c>
      <c r="I458" s="439" t="s">
        <v>882</v>
      </c>
      <c r="J458" s="430" t="s">
        <v>96</v>
      </c>
      <c r="K458" s="443"/>
      <c r="L458" s="443"/>
      <c r="M458" s="430" t="s">
        <v>68</v>
      </c>
      <c r="N458" s="461">
        <v>46111</v>
      </c>
      <c r="O458" s="431" t="s">
        <v>70</v>
      </c>
      <c r="P458" s="431" t="s">
        <v>91</v>
      </c>
      <c r="Q458" s="431" t="s">
        <v>92</v>
      </c>
      <c r="R458" s="431" t="str">
        <f>_xlfn.XLOOKUP(PV_DATA[[#This Row],[New Ark SKU]],Table9[New Ark SKU],Table9[Connector],,0)</f>
        <v>EVO2A</v>
      </c>
      <c r="S458" s="442" t="str">
        <f>_xlfn.XLOOKUP(PV_DATA[[#This Row],[New Ark SKU]],Table9[New Ark SKU],Table9[Cable],,0)</f>
        <v>±1200mm</v>
      </c>
      <c r="T458" s="442">
        <v>450</v>
      </c>
      <c r="U458" s="1093">
        <f>936*1</f>
        <v>936</v>
      </c>
      <c r="V458" s="444">
        <f>PV_DATA[[#This Row],[QUANTITY]]*PV_DATA[[#This Row],[WATT]]/1000000</f>
        <v>0.42120000000000002</v>
      </c>
      <c r="W458" s="466">
        <f>PV_DATA[[#This Row],[QUANTITY]]/PV_DATA[[#This Row],[Qty/Pallet]]</f>
        <v>26</v>
      </c>
      <c r="X458" s="1044">
        <f>PV_DATA[[#This Row],[QUANTITY]]/PV_DATA[[#This Row],[Qty/CT]]</f>
        <v>1</v>
      </c>
      <c r="Y458" s="431" t="s">
        <v>951</v>
      </c>
      <c r="Z458" s="430" t="str">
        <f t="shared" si="4"/>
        <v>COMPLETED</v>
      </c>
      <c r="AA458" s="431" t="s">
        <v>1991</v>
      </c>
      <c r="AB458" s="441">
        <v>46129</v>
      </c>
      <c r="AC458" s="467">
        <f>IF(PV_DATA[[#This Row],[Pick- Up Date]]&lt;&gt;"",_xlfn.ISOWEEKNUM(PV_DATA[[#This Row],[Pick- Up Date]]),"")</f>
        <v>16</v>
      </c>
      <c r="AD458" s="439" t="s">
        <v>2238</v>
      </c>
      <c r="AF458" s="431" t="s">
        <v>4421</v>
      </c>
      <c r="AG458" s="431" t="s">
        <v>61</v>
      </c>
      <c r="AH458" s="431" t="s">
        <v>356</v>
      </c>
      <c r="AI458" s="441">
        <v>46136</v>
      </c>
      <c r="AJ458" s="441">
        <v>46136</v>
      </c>
      <c r="AK458" s="441">
        <v>46136</v>
      </c>
      <c r="AL458" s="441">
        <v>46192</v>
      </c>
      <c r="AM458" s="441">
        <v>46196</v>
      </c>
      <c r="AN458" s="441">
        <v>46198</v>
      </c>
      <c r="AO458" s="441" t="s">
        <v>402</v>
      </c>
      <c r="AP458" s="441" t="s">
        <v>2232</v>
      </c>
      <c r="AQ458" s="441" t="s">
        <v>161</v>
      </c>
      <c r="AR458" s="441" t="s">
        <v>2233</v>
      </c>
      <c r="AS458" s="441" t="s">
        <v>2234</v>
      </c>
      <c r="AT458" s="482" t="s">
        <v>2234</v>
      </c>
      <c r="AU4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1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1">
        <f>IF(ISERROR(PV_DATA[[#This Row],[New Ark PO status]]),"",_xlfn.XLOOKUP(PV_DATA[[#This Row],[SPTN-PVHK New Ark PO'#]],New_Ark_Data[Purchase order Number],New_Ark_Data[Estimated time of arrival],"",0))</f>
        <v>46210</v>
      </c>
      <c r="AZ45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8" s="437">
        <f>IFERROR(PV_DATA[[#This Row],[ODP ETA Port]]+PV_DATA[[#This Row],[Customs/Leg3 Assumption]],"n/a")</f>
        <v>46208</v>
      </c>
      <c r="BB458" s="442">
        <f>YEAR(PV_DATA[[#This Row],[ETA for New Ark update]])</f>
        <v>2026</v>
      </c>
      <c r="BC458" s="431">
        <f>MONTH(PV_DATA[[#This Row],[ETA for New Ark update]])</f>
        <v>7</v>
      </c>
      <c r="BD458" s="431">
        <f>IFERROR(_xlfn.ISOWEEKNUM(PV_DATA[[#This Row],[ETA for New Ark update]]),0)</f>
        <v>27</v>
      </c>
      <c r="BE458" s="431">
        <f>_xlfn.XLOOKUP(PV_DATA[[#This Row],[New Ark SKU]],Table9[New Ark SKU],Table9[Total PCS per Pallet],,0)</f>
        <v>36</v>
      </c>
      <c r="BF458" s="431">
        <f>_xlfn.XLOOKUP(PV_DATA[[#This Row],[New Ark SKU]],Table9[New Ark SKU],Table9[Total PCS per 40HQ Container],,0)</f>
        <v>936</v>
      </c>
      <c r="BG458" s="431" t="str">
        <f>_xlfn.XLOOKUP(PV_DATA[[#This Row],[New Ark SKU]],Table9[New Ark SKU],Table9[Back Glass],,0)</f>
        <v>Transparent</v>
      </c>
      <c r="BH458" s="431" t="str">
        <f>_xlfn.XLOOKUP(PV_DATA[[#This Row],[PORT DESTINATION]],Table12[PORT DESTINATION],Table12[Cosco Line],,0)</f>
        <v>AEU</v>
      </c>
    </row>
    <row r="459" spans="1:60" s="431" customFormat="1">
      <c r="A459" s="439" t="s">
        <v>2239</v>
      </c>
      <c r="B459" s="439" t="s">
        <v>61</v>
      </c>
      <c r="C459" s="439" t="str">
        <f>IFERROR(LEFT(PV_DATA[[#This Row],[TCL REFERENCE]],FIND(".",PV_DATA[[#This Row],[TCL REFERENCE]],1)-1),"Main Line")</f>
        <v>26Feb021</v>
      </c>
      <c r="D459" s="439" t="s">
        <v>63</v>
      </c>
      <c r="E459" s="439" t="s">
        <v>64</v>
      </c>
      <c r="F459" s="462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39" t="s">
        <v>402</v>
      </c>
      <c r="H459" s="439" t="s">
        <v>67</v>
      </c>
      <c r="I459" s="439" t="s">
        <v>882</v>
      </c>
      <c r="J459" s="430" t="s">
        <v>96</v>
      </c>
      <c r="M459" s="431" t="s">
        <v>68</v>
      </c>
      <c r="N459" s="461">
        <v>46111</v>
      </c>
      <c r="O459" s="431" t="s">
        <v>70</v>
      </c>
      <c r="P459" s="431" t="s">
        <v>91</v>
      </c>
      <c r="Q459" s="431" t="s">
        <v>92</v>
      </c>
      <c r="R459" s="431" t="str">
        <f>_xlfn.XLOOKUP(PV_DATA[[#This Row],[New Ark SKU]],Table9[New Ark SKU],Table9[Connector],,0)</f>
        <v>EVO2A</v>
      </c>
      <c r="S459" s="442" t="str">
        <f>_xlfn.XLOOKUP(PV_DATA[[#This Row],[New Ark SKU]],Table9[New Ark SKU],Table9[Cable],,0)</f>
        <v>±1200mm</v>
      </c>
      <c r="T459" s="442">
        <v>450</v>
      </c>
      <c r="U459" s="1093">
        <f>936*1</f>
        <v>936</v>
      </c>
      <c r="V459" s="448">
        <f>PV_DATA[[#This Row],[QUANTITY]]*PV_DATA[[#This Row],[WATT]]/1000000</f>
        <v>0.42120000000000002</v>
      </c>
      <c r="W459" s="466">
        <f>PV_DATA[[#This Row],[QUANTITY]]/PV_DATA[[#This Row],[Qty/Pallet]]</f>
        <v>26</v>
      </c>
      <c r="X459" s="1044">
        <f>PV_DATA[[#This Row],[QUANTITY]]/PV_DATA[[#This Row],[Qty/CT]]</f>
        <v>1</v>
      </c>
      <c r="Y459" s="431" t="s">
        <v>951</v>
      </c>
      <c r="Z459" s="430" t="str">
        <f t="shared" si="4"/>
        <v>COMPLETED</v>
      </c>
      <c r="AA459" s="431" t="s">
        <v>1991</v>
      </c>
      <c r="AB459" s="441">
        <v>46129</v>
      </c>
      <c r="AC459" s="467">
        <f>IF(PV_DATA[[#This Row],[Pick- Up Date]]&lt;&gt;"",_xlfn.ISOWEEKNUM(PV_DATA[[#This Row],[Pick- Up Date]]),"")</f>
        <v>16</v>
      </c>
      <c r="AD459" s="439" t="s">
        <v>2240</v>
      </c>
      <c r="AF459" s="431" t="s">
        <v>4421</v>
      </c>
      <c r="AG459" s="431" t="s">
        <v>61</v>
      </c>
      <c r="AH459" s="431" t="s">
        <v>356</v>
      </c>
      <c r="AI459" s="441">
        <v>46136</v>
      </c>
      <c r="AJ459" s="441">
        <v>46136</v>
      </c>
      <c r="AK459" s="441">
        <v>46136</v>
      </c>
      <c r="AL459" s="441">
        <v>46192</v>
      </c>
      <c r="AM459" s="441">
        <v>46196</v>
      </c>
      <c r="AN459" s="441">
        <v>46198</v>
      </c>
      <c r="AO459" s="441" t="s">
        <v>402</v>
      </c>
      <c r="AP459" s="441" t="s">
        <v>2232</v>
      </c>
      <c r="AQ459" s="441" t="s">
        <v>161</v>
      </c>
      <c r="AR459" s="441" t="s">
        <v>2233</v>
      </c>
      <c r="AS459" s="441" t="s">
        <v>2234</v>
      </c>
      <c r="AT459" s="482" t="s">
        <v>2234</v>
      </c>
      <c r="AU4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1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1">
        <f>IF(ISERROR(PV_DATA[[#This Row],[New Ark PO status]]),"",_xlfn.XLOOKUP(PV_DATA[[#This Row],[SPTN-PVHK New Ark PO'#]],New_Ark_Data[Purchase order Number],New_Ark_Data[Estimated time of arrival],"",0))</f>
        <v>46210</v>
      </c>
      <c r="AZ45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9" s="437">
        <f>IFERROR(PV_DATA[[#This Row],[ODP ETA Port]]+PV_DATA[[#This Row],[Customs/Leg3 Assumption]],"n/a")</f>
        <v>46208</v>
      </c>
      <c r="BB459" s="442">
        <f>YEAR(PV_DATA[[#This Row],[ETA for New Ark update]])</f>
        <v>2026</v>
      </c>
      <c r="BC459" s="431">
        <f>MONTH(PV_DATA[[#This Row],[ETA for New Ark update]])</f>
        <v>7</v>
      </c>
      <c r="BD459" s="431">
        <f>IFERROR(_xlfn.ISOWEEKNUM(PV_DATA[[#This Row],[ETA for New Ark update]]),0)</f>
        <v>27</v>
      </c>
      <c r="BE459" s="431">
        <f>_xlfn.XLOOKUP(PV_DATA[[#This Row],[New Ark SKU]],Table9[New Ark SKU],Table9[Total PCS per Pallet],,0)</f>
        <v>36</v>
      </c>
      <c r="BF459" s="431">
        <f>_xlfn.XLOOKUP(PV_DATA[[#This Row],[New Ark SKU]],Table9[New Ark SKU],Table9[Total PCS per 40HQ Container],,0)</f>
        <v>936</v>
      </c>
      <c r="BG459" s="431" t="str">
        <f>_xlfn.XLOOKUP(PV_DATA[[#This Row],[New Ark SKU]],Table9[New Ark SKU],Table9[Back Glass],,0)</f>
        <v>Transparent</v>
      </c>
      <c r="BH459" s="431" t="str">
        <f>_xlfn.XLOOKUP(PV_DATA[[#This Row],[PORT DESTINATION]],Table12[PORT DESTINATION],Table12[Cosco Line],,0)</f>
        <v>AEU</v>
      </c>
    </row>
    <row r="460" spans="1:60" s="431" customFormat="1">
      <c r="A460" s="439" t="s">
        <v>2241</v>
      </c>
      <c r="B460" s="439" t="s">
        <v>61</v>
      </c>
      <c r="C460" s="439" t="str">
        <f>IFERROR(LEFT(PV_DATA[[#This Row],[TCL REFERENCE]],FIND(".",PV_DATA[[#This Row],[TCL REFERENCE]],1)-1),"Main Line")</f>
        <v>26Feb021</v>
      </c>
      <c r="D460" s="439" t="s">
        <v>63</v>
      </c>
      <c r="E460" s="439" t="s">
        <v>64</v>
      </c>
      <c r="F460" s="462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39" t="s">
        <v>402</v>
      </c>
      <c r="H460" s="439" t="s">
        <v>67</v>
      </c>
      <c r="I460" s="439" t="s">
        <v>882</v>
      </c>
      <c r="J460" s="430" t="s">
        <v>96</v>
      </c>
      <c r="M460" s="431" t="s">
        <v>68</v>
      </c>
      <c r="N460" s="461">
        <v>46111</v>
      </c>
      <c r="O460" s="431" t="s">
        <v>70</v>
      </c>
      <c r="P460" s="431" t="s">
        <v>91</v>
      </c>
      <c r="Q460" s="431" t="s">
        <v>92</v>
      </c>
      <c r="R460" s="431" t="str">
        <f>_xlfn.XLOOKUP(PV_DATA[[#This Row],[New Ark SKU]],Table9[New Ark SKU],Table9[Connector],,0)</f>
        <v>EVO2A</v>
      </c>
      <c r="S460" s="442" t="str">
        <f>_xlfn.XLOOKUP(PV_DATA[[#This Row],[New Ark SKU]],Table9[New Ark SKU],Table9[Cable],,0)</f>
        <v>±1200mm</v>
      </c>
      <c r="T460" s="442">
        <v>450</v>
      </c>
      <c r="U460" s="1093">
        <f>936*1</f>
        <v>936</v>
      </c>
      <c r="V460" s="448">
        <f>PV_DATA[[#This Row],[QUANTITY]]*PV_DATA[[#This Row],[WATT]]/1000000</f>
        <v>0.42120000000000002</v>
      </c>
      <c r="W460" s="466">
        <f>PV_DATA[[#This Row],[QUANTITY]]/PV_DATA[[#This Row],[Qty/Pallet]]</f>
        <v>26</v>
      </c>
      <c r="X460" s="1044">
        <f>PV_DATA[[#This Row],[QUANTITY]]/PV_DATA[[#This Row],[Qty/CT]]</f>
        <v>1</v>
      </c>
      <c r="Y460" s="431" t="s">
        <v>951</v>
      </c>
      <c r="Z460" s="430" t="str">
        <f t="shared" si="4"/>
        <v>COMPLETED</v>
      </c>
      <c r="AA460" s="431" t="s">
        <v>1991</v>
      </c>
      <c r="AB460" s="441">
        <v>46129</v>
      </c>
      <c r="AC460" s="467">
        <f>IF(PV_DATA[[#This Row],[Pick- Up Date]]&lt;&gt;"",_xlfn.ISOWEEKNUM(PV_DATA[[#This Row],[Pick- Up Date]]),"")</f>
        <v>16</v>
      </c>
      <c r="AD460" s="439" t="s">
        <v>2242</v>
      </c>
      <c r="AF460" s="431" t="s">
        <v>4421</v>
      </c>
      <c r="AG460" s="431" t="s">
        <v>61</v>
      </c>
      <c r="AH460" s="431" t="s">
        <v>356</v>
      </c>
      <c r="AI460" s="441">
        <v>46136</v>
      </c>
      <c r="AJ460" s="441">
        <v>46136</v>
      </c>
      <c r="AK460" s="441">
        <v>46136</v>
      </c>
      <c r="AL460" s="441">
        <v>46192</v>
      </c>
      <c r="AM460" s="441">
        <v>46196</v>
      </c>
      <c r="AN460" s="441">
        <v>46198</v>
      </c>
      <c r="AO460" s="441" t="s">
        <v>402</v>
      </c>
      <c r="AP460" s="441" t="s">
        <v>2232</v>
      </c>
      <c r="AQ460" s="441" t="s">
        <v>161</v>
      </c>
      <c r="AR460" s="441" t="s">
        <v>2233</v>
      </c>
      <c r="AS460" s="441" t="s">
        <v>2234</v>
      </c>
      <c r="AT460" s="482" t="s">
        <v>2234</v>
      </c>
      <c r="AU4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1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1">
        <f>IF(ISERROR(PV_DATA[[#This Row],[New Ark PO status]]),"",_xlfn.XLOOKUP(PV_DATA[[#This Row],[SPTN-PVHK New Ark PO'#]],New_Ark_Data[Purchase order Number],New_Ark_Data[Estimated time of arrival],"",0))</f>
        <v>46210</v>
      </c>
      <c r="AZ46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0" s="437">
        <f>IFERROR(PV_DATA[[#This Row],[ODP ETA Port]]+PV_DATA[[#This Row],[Customs/Leg3 Assumption]],"n/a")</f>
        <v>46208</v>
      </c>
      <c r="BB460" s="442">
        <f>YEAR(PV_DATA[[#This Row],[ETA for New Ark update]])</f>
        <v>2026</v>
      </c>
      <c r="BC460" s="431">
        <f>MONTH(PV_DATA[[#This Row],[ETA for New Ark update]])</f>
        <v>7</v>
      </c>
      <c r="BD460" s="431">
        <f>IFERROR(_xlfn.ISOWEEKNUM(PV_DATA[[#This Row],[ETA for New Ark update]]),0)</f>
        <v>27</v>
      </c>
      <c r="BE460" s="431">
        <f>_xlfn.XLOOKUP(PV_DATA[[#This Row],[New Ark SKU]],Table9[New Ark SKU],Table9[Total PCS per Pallet],,0)</f>
        <v>36</v>
      </c>
      <c r="BF460" s="431">
        <f>_xlfn.XLOOKUP(PV_DATA[[#This Row],[New Ark SKU]],Table9[New Ark SKU],Table9[Total PCS per 40HQ Container],,0)</f>
        <v>936</v>
      </c>
      <c r="BG460" s="431" t="str">
        <f>_xlfn.XLOOKUP(PV_DATA[[#This Row],[New Ark SKU]],Table9[New Ark SKU],Table9[Back Glass],,0)</f>
        <v>Transparent</v>
      </c>
      <c r="BH460" s="431" t="str">
        <f>_xlfn.XLOOKUP(PV_DATA[[#This Row],[PORT DESTINATION]],Table12[PORT DESTINATION],Table12[Cosco Line],,0)</f>
        <v>AEU</v>
      </c>
    </row>
    <row r="461" spans="1:60" s="431" customFormat="1">
      <c r="A461" s="439" t="s">
        <v>2243</v>
      </c>
      <c r="B461" s="439" t="s">
        <v>61</v>
      </c>
      <c r="C461" s="439" t="str">
        <f>IFERROR(LEFT(PV_DATA[[#This Row],[TCL REFERENCE]],FIND(".",PV_DATA[[#This Row],[TCL REFERENCE]],1)-1),"Main Line")</f>
        <v>26Feb021</v>
      </c>
      <c r="D461" s="439" t="s">
        <v>63</v>
      </c>
      <c r="E461" s="439" t="s">
        <v>64</v>
      </c>
      <c r="F461" s="462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39" t="s">
        <v>402</v>
      </c>
      <c r="H461" s="439" t="s">
        <v>67</v>
      </c>
      <c r="I461" s="439" t="s">
        <v>882</v>
      </c>
      <c r="J461" s="430" t="s">
        <v>96</v>
      </c>
      <c r="M461" s="431" t="s">
        <v>68</v>
      </c>
      <c r="N461" s="461">
        <v>46111</v>
      </c>
      <c r="O461" s="431" t="s">
        <v>70</v>
      </c>
      <c r="P461" s="431" t="s">
        <v>91</v>
      </c>
      <c r="Q461" s="431" t="s">
        <v>92</v>
      </c>
      <c r="R461" s="431" t="str">
        <f>_xlfn.XLOOKUP(PV_DATA[[#This Row],[New Ark SKU]],Table9[New Ark SKU],Table9[Connector],,0)</f>
        <v>EVO2A</v>
      </c>
      <c r="S461" s="442" t="str">
        <f>_xlfn.XLOOKUP(PV_DATA[[#This Row],[New Ark SKU]],Table9[New Ark SKU],Table9[Cable],,0)</f>
        <v>±1200mm</v>
      </c>
      <c r="T461" s="442">
        <v>450</v>
      </c>
      <c r="U461" s="1093">
        <f>936*3</f>
        <v>2808</v>
      </c>
      <c r="V461" s="448">
        <f>PV_DATA[[#This Row],[QUANTITY]]*PV_DATA[[#This Row],[WATT]]/1000000</f>
        <v>1.2636000000000001</v>
      </c>
      <c r="W461" s="466">
        <f>PV_DATA[[#This Row],[QUANTITY]]/PV_DATA[[#This Row],[Qty/Pallet]]</f>
        <v>78</v>
      </c>
      <c r="X461" s="1044">
        <f>PV_DATA[[#This Row],[QUANTITY]]/PV_DATA[[#This Row],[Qty/CT]]</f>
        <v>3</v>
      </c>
      <c r="Y461" s="431" t="s">
        <v>951</v>
      </c>
      <c r="Z461" s="430" t="str">
        <f t="shared" si="4"/>
        <v>COMPLETED</v>
      </c>
      <c r="AA461" s="431" t="s">
        <v>1991</v>
      </c>
      <c r="AB461" s="441">
        <v>46129</v>
      </c>
      <c r="AC461" s="467">
        <f>IF(PV_DATA[[#This Row],[Pick- Up Date]]&lt;&gt;"",_xlfn.ISOWEEKNUM(PV_DATA[[#This Row],[Pick- Up Date]]),"")</f>
        <v>16</v>
      </c>
      <c r="AD461" s="439" t="s">
        <v>2244</v>
      </c>
      <c r="AF461" s="431" t="s">
        <v>4421</v>
      </c>
      <c r="AG461" s="431" t="s">
        <v>61</v>
      </c>
      <c r="AH461" s="431" t="s">
        <v>356</v>
      </c>
      <c r="AI461" s="441">
        <v>46136</v>
      </c>
      <c r="AJ461" s="441">
        <v>46136</v>
      </c>
      <c r="AK461" s="441">
        <v>46136</v>
      </c>
      <c r="AL461" s="441">
        <v>46192</v>
      </c>
      <c r="AM461" s="441">
        <v>46196</v>
      </c>
      <c r="AN461" s="441">
        <v>46198</v>
      </c>
      <c r="AO461" s="441" t="s">
        <v>402</v>
      </c>
      <c r="AP461" s="441" t="s">
        <v>2232</v>
      </c>
      <c r="AQ461" s="441" t="s">
        <v>161</v>
      </c>
      <c r="AR461" s="441" t="s">
        <v>2233</v>
      </c>
      <c r="AS461" s="441" t="s">
        <v>2234</v>
      </c>
      <c r="AT461" s="482" t="s">
        <v>2234</v>
      </c>
      <c r="AU4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1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1">
        <f>IF(ISERROR(PV_DATA[[#This Row],[New Ark PO status]]),"",_xlfn.XLOOKUP(PV_DATA[[#This Row],[SPTN-PVHK New Ark PO'#]],New_Ark_Data[Purchase order Number],New_Ark_Data[Estimated time of arrival],"",0))</f>
        <v>46210</v>
      </c>
      <c r="AZ46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1" s="437">
        <f>IFERROR(PV_DATA[[#This Row],[ODP ETA Port]]+PV_DATA[[#This Row],[Customs/Leg3 Assumption]],"n/a")</f>
        <v>46208</v>
      </c>
      <c r="BB461" s="442">
        <f>YEAR(PV_DATA[[#This Row],[ETA for New Ark update]])</f>
        <v>2026</v>
      </c>
      <c r="BC461" s="431">
        <f>MONTH(PV_DATA[[#This Row],[ETA for New Ark update]])</f>
        <v>7</v>
      </c>
      <c r="BD461" s="431">
        <f>IFERROR(_xlfn.ISOWEEKNUM(PV_DATA[[#This Row],[ETA for New Ark update]]),0)</f>
        <v>27</v>
      </c>
      <c r="BE461" s="431">
        <f>_xlfn.XLOOKUP(PV_DATA[[#This Row],[New Ark SKU]],Table9[New Ark SKU],Table9[Total PCS per Pallet],,0)</f>
        <v>36</v>
      </c>
      <c r="BF461" s="431">
        <f>_xlfn.XLOOKUP(PV_DATA[[#This Row],[New Ark SKU]],Table9[New Ark SKU],Table9[Total PCS per 40HQ Container],,0)</f>
        <v>936</v>
      </c>
      <c r="BG461" s="431" t="str">
        <f>_xlfn.XLOOKUP(PV_DATA[[#This Row],[New Ark SKU]],Table9[New Ark SKU],Table9[Back Glass],,0)</f>
        <v>Transparent</v>
      </c>
      <c r="BH461" s="431" t="str">
        <f>_xlfn.XLOOKUP(PV_DATA[[#This Row],[PORT DESTINATION]],Table12[PORT DESTINATION],Table12[Cosco Line],,0)</f>
        <v>AEU</v>
      </c>
    </row>
    <row r="462" spans="1:60" s="431" customFormat="1">
      <c r="A462" s="439" t="s">
        <v>2245</v>
      </c>
      <c r="B462" s="439" t="s">
        <v>1888</v>
      </c>
      <c r="C462" s="439" t="str">
        <f>IFERROR(LEFT(PV_DATA[[#This Row],[TCL REFERENCE]],FIND(".",PV_DATA[[#This Row],[TCL REFERENCE]],1)-1),"Main Line")</f>
        <v>26Feb017</v>
      </c>
      <c r="D462" s="439" t="s">
        <v>63</v>
      </c>
      <c r="E462" s="439" t="s">
        <v>64</v>
      </c>
      <c r="F462" s="462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39" t="s">
        <v>402</v>
      </c>
      <c r="H462" s="439" t="s">
        <v>451</v>
      </c>
      <c r="I462" s="439" t="s">
        <v>689</v>
      </c>
      <c r="J462" s="430" t="s">
        <v>96</v>
      </c>
      <c r="M462" s="431" t="s">
        <v>68</v>
      </c>
      <c r="N462" s="461">
        <v>46111</v>
      </c>
      <c r="O462" s="431" t="s">
        <v>70</v>
      </c>
      <c r="P462" s="431" t="s">
        <v>195</v>
      </c>
      <c r="Q462" s="431" t="s">
        <v>196</v>
      </c>
      <c r="R462" s="431" t="str">
        <f>_xlfn.XLOOKUP(PV_DATA[[#This Row],[New Ark SKU]],Table9[New Ark SKU],Table9[Connector],,0)</f>
        <v>EVO2A</v>
      </c>
      <c r="S462" s="442" t="str">
        <f>_xlfn.XLOOKUP(PV_DATA[[#This Row],[New Ark SKU]],Table9[New Ark SKU],Table9[Cable],,0)</f>
        <v>±1200mm</v>
      </c>
      <c r="T462" s="442">
        <v>450</v>
      </c>
      <c r="U462" s="1093">
        <f>936*2</f>
        <v>1872</v>
      </c>
      <c r="V462" s="448">
        <f>PV_DATA[[#This Row],[QUANTITY]]*PV_DATA[[#This Row],[WATT]]/1000000</f>
        <v>0.84240000000000004</v>
      </c>
      <c r="W462" s="466">
        <f>PV_DATA[[#This Row],[QUANTITY]]/PV_DATA[[#This Row],[Qty/Pallet]]</f>
        <v>52</v>
      </c>
      <c r="X462" s="1044">
        <f>PV_DATA[[#This Row],[QUANTITY]]/PV_DATA[[#This Row],[Qty/CT]]</f>
        <v>2</v>
      </c>
      <c r="Y462" s="431" t="s">
        <v>951</v>
      </c>
      <c r="Z462" s="430" t="str">
        <f t="shared" si="4"/>
        <v>COMPLETED</v>
      </c>
      <c r="AA462" s="431" t="s">
        <v>2038</v>
      </c>
      <c r="AB462" s="469">
        <v>46130</v>
      </c>
      <c r="AC462" s="467">
        <f>IF(PV_DATA[[#This Row],[Pick- Up Date]]&lt;&gt;"",_xlfn.ISOWEEKNUM(PV_DATA[[#This Row],[Pick- Up Date]]),"")</f>
        <v>16</v>
      </c>
      <c r="AD462" s="439" t="s">
        <v>2246</v>
      </c>
      <c r="AF462" s="431" t="s">
        <v>4420</v>
      </c>
      <c r="AG462" s="431" t="s">
        <v>123</v>
      </c>
      <c r="AH462" s="431" t="s">
        <v>456</v>
      </c>
      <c r="AI462" s="441">
        <v>46132</v>
      </c>
      <c r="AJ462" s="441">
        <v>46133</v>
      </c>
      <c r="AK462" s="441">
        <v>46134</v>
      </c>
      <c r="AL462" s="441">
        <v>46183</v>
      </c>
      <c r="AM462" s="441">
        <v>46189</v>
      </c>
      <c r="AN462" s="441">
        <v>46191</v>
      </c>
      <c r="AO462" s="431" t="s">
        <v>402</v>
      </c>
      <c r="AP462" s="431" t="s">
        <v>2247</v>
      </c>
      <c r="AQ462" s="431" t="s">
        <v>161</v>
      </c>
      <c r="AR462" s="431" t="s">
        <v>2248</v>
      </c>
      <c r="AS462" s="431" t="s">
        <v>2249</v>
      </c>
      <c r="AT462" s="482" t="s">
        <v>2250</v>
      </c>
      <c r="AU4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1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1">
        <f>IF(ISERROR(PV_DATA[[#This Row],[New Ark PO status]]),"",_xlfn.XLOOKUP(PV_DATA[[#This Row],[SPTN-PVHK New Ark PO'#]],New_Ark_Data[Purchase order Number],New_Ark_Data[Estimated time of arrival],"",0))</f>
        <v>46204</v>
      </c>
      <c r="AZ46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7">
        <f>IFERROR(PV_DATA[[#This Row],[ODP ETA Port]]+PV_DATA[[#This Row],[Customs/Leg3 Assumption]],"n/a")</f>
        <v>46198</v>
      </c>
      <c r="BB462" s="442">
        <f>YEAR(PV_DATA[[#This Row],[ETA for New Ark update]])</f>
        <v>2026</v>
      </c>
      <c r="BC462" s="431">
        <f>MONTH(PV_DATA[[#This Row],[ETA for New Ark update]])</f>
        <v>6</v>
      </c>
      <c r="BD462" s="431">
        <f>IFERROR(_xlfn.ISOWEEKNUM(PV_DATA[[#This Row],[ETA for New Ark update]]),0)</f>
        <v>26</v>
      </c>
      <c r="BE462" s="431">
        <f>_xlfn.XLOOKUP(PV_DATA[[#This Row],[New Ark SKU]],Table9[New Ark SKU],Table9[Total PCS per Pallet],,0)</f>
        <v>36</v>
      </c>
      <c r="BF462" s="431">
        <f>_xlfn.XLOOKUP(PV_DATA[[#This Row],[New Ark SKU]],Table9[New Ark SKU],Table9[Total PCS per 40HQ Container],,0)</f>
        <v>936</v>
      </c>
      <c r="BG462" s="431" t="str">
        <f>_xlfn.XLOOKUP(PV_DATA[[#This Row],[New Ark SKU]],Table9[New Ark SKU],Table9[Back Glass],,0)</f>
        <v>Black glazing</v>
      </c>
      <c r="BH462" s="431" t="str">
        <f>_xlfn.XLOOKUP(PV_DATA[[#This Row],[PORT DESTINATION]],Table12[PORT DESTINATION],Table12[Cosco Line],,0)</f>
        <v>AEU</v>
      </c>
    </row>
    <row r="463" spans="1:60" s="431" customFormat="1">
      <c r="A463" s="439" t="s">
        <v>2251</v>
      </c>
      <c r="B463" s="439" t="s">
        <v>1888</v>
      </c>
      <c r="C463" s="439" t="str">
        <f>IFERROR(LEFT(PV_DATA[[#This Row],[TCL REFERENCE]],FIND(".",PV_DATA[[#This Row],[TCL REFERENCE]],1)-1),"Main Line")</f>
        <v>26Feb017</v>
      </c>
      <c r="D463" s="439" t="s">
        <v>63</v>
      </c>
      <c r="E463" s="439" t="s">
        <v>144</v>
      </c>
      <c r="F463" s="462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39" t="s">
        <v>402</v>
      </c>
      <c r="H463" s="439" t="s">
        <v>1080</v>
      </c>
      <c r="I463" s="439" t="s">
        <v>689</v>
      </c>
      <c r="J463" s="431" t="s">
        <v>2252</v>
      </c>
      <c r="K463" s="431" t="s">
        <v>2253</v>
      </c>
      <c r="L463" s="431">
        <v>1</v>
      </c>
      <c r="M463" s="431" t="s">
        <v>840</v>
      </c>
      <c r="N463" s="461">
        <v>46111</v>
      </c>
      <c r="O463" s="431" t="s">
        <v>70</v>
      </c>
      <c r="P463" s="431" t="s">
        <v>195</v>
      </c>
      <c r="Q463" s="431" t="s">
        <v>196</v>
      </c>
      <c r="R463" s="431" t="str">
        <f>_xlfn.XLOOKUP(PV_DATA[[#This Row],[New Ark SKU]],Table9[New Ark SKU],Table9[Connector],,0)</f>
        <v>EVO2A</v>
      </c>
      <c r="S463" s="442" t="str">
        <f>_xlfn.XLOOKUP(PV_DATA[[#This Row],[New Ark SKU]],Table9[New Ark SKU],Table9[Cable],,0)</f>
        <v>±1200mm</v>
      </c>
      <c r="T463" s="442">
        <v>450</v>
      </c>
      <c r="U463" s="1093">
        <f>936*2</f>
        <v>1872</v>
      </c>
      <c r="V463" s="448">
        <f>PV_DATA[[#This Row],[QUANTITY]]*PV_DATA[[#This Row],[WATT]]/1000000</f>
        <v>0.84240000000000004</v>
      </c>
      <c r="W463" s="466">
        <f>PV_DATA[[#This Row],[QUANTITY]]/PV_DATA[[#This Row],[Qty/Pallet]]</f>
        <v>52</v>
      </c>
      <c r="X463" s="1044">
        <f>PV_DATA[[#This Row],[QUANTITY]]/PV_DATA[[#This Row],[Qty/CT]]</f>
        <v>2</v>
      </c>
      <c r="Y463" s="431" t="s">
        <v>951</v>
      </c>
      <c r="Z463" s="430" t="str">
        <f t="shared" si="4"/>
        <v>COMPLETED</v>
      </c>
      <c r="AA463" s="431" t="s">
        <v>2038</v>
      </c>
      <c r="AB463" s="469">
        <v>46132</v>
      </c>
      <c r="AC463" s="467">
        <f>IF(PV_DATA[[#This Row],[Pick- Up Date]]&lt;&gt;"",_xlfn.ISOWEEKNUM(PV_DATA[[#This Row],[Pick- Up Date]]),"")</f>
        <v>17</v>
      </c>
      <c r="AD463" s="439" t="s">
        <v>2254</v>
      </c>
      <c r="AF463" s="431" t="s">
        <v>4420</v>
      </c>
      <c r="AG463" s="431" t="s">
        <v>123</v>
      </c>
      <c r="AH463" s="431" t="s">
        <v>1084</v>
      </c>
      <c r="AI463" s="441">
        <v>46137</v>
      </c>
      <c r="AJ463" s="441">
        <v>46137</v>
      </c>
      <c r="AK463" s="441">
        <v>46138</v>
      </c>
      <c r="AL463" s="441">
        <v>46182</v>
      </c>
      <c r="AM463" s="441">
        <v>46182</v>
      </c>
      <c r="AN463" s="441">
        <v>46193</v>
      </c>
      <c r="AO463" s="431" t="s">
        <v>402</v>
      </c>
      <c r="AP463" s="431" t="s">
        <v>2255</v>
      </c>
      <c r="AQ463" s="431" t="s">
        <v>161</v>
      </c>
      <c r="AR463" s="431" t="s">
        <v>2256</v>
      </c>
      <c r="AS463" s="431" t="s">
        <v>2257</v>
      </c>
      <c r="AT463" s="482" t="s">
        <v>2258</v>
      </c>
      <c r="AU4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1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1">
        <f>IF(ISERROR(PV_DATA[[#This Row],[New Ark PO status]]),"",_xlfn.XLOOKUP(PV_DATA[[#This Row],[SPTN-PVHK New Ark PO'#]],New_Ark_Data[Purchase order Number],New_Ark_Data[Estimated time of arrival],"",0))</f>
        <v>46178</v>
      </c>
      <c r="AZ46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7">
        <f>IFERROR(PV_DATA[[#This Row],[ODP ETA Port]]+PV_DATA[[#This Row],[Customs/Leg3 Assumption]],"n/a")</f>
        <v>46193</v>
      </c>
      <c r="BB463" s="442">
        <f>YEAR(PV_DATA[[#This Row],[ETA for New Ark update]])</f>
        <v>2026</v>
      </c>
      <c r="BC463" s="431">
        <f>MONTH(PV_DATA[[#This Row],[ETA for New Ark update]])</f>
        <v>6</v>
      </c>
      <c r="BD463" s="431">
        <f>IFERROR(_xlfn.ISOWEEKNUM(PV_DATA[[#This Row],[ETA for New Ark update]]),0)</f>
        <v>25</v>
      </c>
      <c r="BE463" s="431">
        <f>_xlfn.XLOOKUP(PV_DATA[[#This Row],[New Ark SKU]],Table9[New Ark SKU],Table9[Total PCS per Pallet],,0)</f>
        <v>36</v>
      </c>
      <c r="BF463" s="431">
        <f>_xlfn.XLOOKUP(PV_DATA[[#This Row],[New Ark SKU]],Table9[New Ark SKU],Table9[Total PCS per 40HQ Container],,0)</f>
        <v>936</v>
      </c>
      <c r="BG463" s="431" t="str">
        <f>_xlfn.XLOOKUP(PV_DATA[[#This Row],[New Ark SKU]],Table9[New Ark SKU],Table9[Back Glass],,0)</f>
        <v>Black glazing</v>
      </c>
      <c r="BH463" s="431" t="str">
        <f>_xlfn.XLOOKUP(PV_DATA[[#This Row],[PORT DESTINATION]],Table12[PORT DESTINATION],Table12[Cosco Line],,0)</f>
        <v>AEU</v>
      </c>
    </row>
    <row r="464" spans="1:60" s="431" customFormat="1" ht="10.5">
      <c r="A464" s="439" t="s">
        <v>2259</v>
      </c>
      <c r="B464" s="439" t="s">
        <v>61</v>
      </c>
      <c r="C464" s="439" t="str">
        <f>IFERROR(LEFT(PV_DATA[[#This Row],[TCL REFERENCE]],FIND(".",PV_DATA[[#This Row],[TCL REFERENCE]],1)-1),"Main Line")</f>
        <v>26Apr014</v>
      </c>
      <c r="D464" s="439" t="s">
        <v>63</v>
      </c>
      <c r="E464" s="439" t="s">
        <v>64</v>
      </c>
      <c r="F464" s="462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39" t="s">
        <v>402</v>
      </c>
      <c r="H464" s="439" t="s">
        <v>451</v>
      </c>
      <c r="I464" s="439" t="s">
        <v>869</v>
      </c>
      <c r="J464" s="431" t="s">
        <v>1832</v>
      </c>
      <c r="M464" s="431" t="s">
        <v>68</v>
      </c>
      <c r="N464" s="432" t="s">
        <v>68</v>
      </c>
      <c r="O464" s="431" t="s">
        <v>70</v>
      </c>
      <c r="P464" s="431" t="s">
        <v>1151</v>
      </c>
      <c r="Q464" s="431" t="s">
        <v>421</v>
      </c>
      <c r="R464" s="431" t="str">
        <f>_xlfn.XLOOKUP(PV_DATA[[#This Row],[New Ark SKU]],Table9[New Ark SKU],Table9[Connector],,0)</f>
        <v>EVO2A</v>
      </c>
      <c r="S464" s="442" t="str">
        <f>_xlfn.XLOOKUP(PV_DATA[[#This Row],[New Ark SKU]],Table9[New Ark SKU],Table9[Cable],,0)</f>
        <v>±1200mm</v>
      </c>
      <c r="T464" s="442">
        <v>505</v>
      </c>
      <c r="U464" s="1093">
        <f>864*5</f>
        <v>4320</v>
      </c>
      <c r="V464" s="448">
        <f>PV_DATA[[#This Row],[QUANTITY]]*PV_DATA[[#This Row],[WATT]]/1000000</f>
        <v>2.1816</v>
      </c>
      <c r="W464" s="466">
        <f>PV_DATA[[#This Row],[QUANTITY]]/PV_DATA[[#This Row],[Qty/Pallet]]</f>
        <v>120</v>
      </c>
      <c r="X464" s="1044">
        <f>PV_DATA[[#This Row],[QUANTITY]]/PV_DATA[[#This Row],[Qty/CT]]</f>
        <v>5</v>
      </c>
      <c r="Y464" s="431" t="s">
        <v>951</v>
      </c>
      <c r="Z464" s="430" t="str">
        <f t="shared" si="4"/>
        <v>COMPLETED</v>
      </c>
      <c r="AA464" s="431" t="s">
        <v>2261</v>
      </c>
      <c r="AB464" s="441">
        <v>46130</v>
      </c>
      <c r="AC464" s="467">
        <f>IF(PV_DATA[[#This Row],[Pick- Up Date]]&lt;&gt;"",_xlfn.ISOWEEKNUM(PV_DATA[[#This Row],[Pick- Up Date]]),"")</f>
        <v>16</v>
      </c>
      <c r="AD464" s="439" t="s">
        <v>2262</v>
      </c>
      <c r="AF464" s="431" t="s">
        <v>61</v>
      </c>
      <c r="AG464" s="431" t="s">
        <v>61</v>
      </c>
      <c r="AH464" s="431" t="s">
        <v>456</v>
      </c>
      <c r="AI464" s="441">
        <v>46137</v>
      </c>
      <c r="AJ464" s="441">
        <v>46137</v>
      </c>
      <c r="AK464" s="441">
        <v>46137</v>
      </c>
      <c r="AL464" s="441">
        <v>46187</v>
      </c>
      <c r="AM464" s="441">
        <v>46193</v>
      </c>
      <c r="AN464" s="441">
        <v>46195</v>
      </c>
      <c r="AO464" s="431" t="s">
        <v>402</v>
      </c>
      <c r="AP464" s="431" t="s">
        <v>2263</v>
      </c>
      <c r="AQ464" s="441" t="s">
        <v>161</v>
      </c>
      <c r="AR464" s="431" t="s">
        <v>2264</v>
      </c>
      <c r="AS464" s="431" t="s">
        <v>2265</v>
      </c>
      <c r="AT464" s="482" t="s">
        <v>2266</v>
      </c>
      <c r="AU4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1"/>
      <c r="AW464" s="441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1">
        <f>IF(ISERROR(PV_DATA[[#This Row],[New Ark PO status]]),"",_xlfn.XLOOKUP(PV_DATA[[#This Row],[SPTN-PVHK New Ark PO'#]],New_Ark_Data[Purchase order Number],New_Ark_Data[Estimated time of arrival],"",0))</f>
        <v>46206</v>
      </c>
      <c r="AZ4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7">
        <f>IFERROR(PV_DATA[[#This Row],[ODP ETA Port]]+PV_DATA[[#This Row],[Customs/Leg3 Assumption]],"n/a")</f>
        <v>46202</v>
      </c>
      <c r="BB464" s="442">
        <f>YEAR(PV_DATA[[#This Row],[ETA for New Ark update]])</f>
        <v>2026</v>
      </c>
      <c r="BC464" s="431">
        <f>MONTH(PV_DATA[[#This Row],[ETA for New Ark update]])</f>
        <v>6</v>
      </c>
      <c r="BD464" s="431">
        <f>IFERROR(_xlfn.ISOWEEKNUM(PV_DATA[[#This Row],[ETA for New Ark update]]),0)</f>
        <v>27</v>
      </c>
      <c r="BE464" s="431">
        <f>_xlfn.XLOOKUP(PV_DATA[[#This Row],[New Ark SKU]],Table9[New Ark SKU],Table9[Total PCS per Pallet],,0)</f>
        <v>36</v>
      </c>
      <c r="BF464" s="431">
        <f>_xlfn.XLOOKUP(PV_DATA[[#This Row],[New Ark SKU]],Table9[New Ark SKU],Table9[Total PCS per 40HQ Container],,0)</f>
        <v>864</v>
      </c>
      <c r="BG464" s="431" t="str">
        <f>_xlfn.XLOOKUP(PV_DATA[[#This Row],[New Ark SKU]],Table9[New Ark SKU],Table9[Back Glass],,0)</f>
        <v>Black glazing</v>
      </c>
      <c r="BH464" s="431" t="str">
        <f>_xlfn.XLOOKUP(PV_DATA[[#This Row],[PORT DESTINATION]],Table12[PORT DESTINATION],Table12[Cosco Line],,0)</f>
        <v>AEU</v>
      </c>
    </row>
    <row r="465" spans="1:60" s="431" customFormat="1" ht="10.5">
      <c r="A465" s="439" t="s">
        <v>2267</v>
      </c>
      <c r="B465" s="439" t="s">
        <v>61</v>
      </c>
      <c r="C465" s="439" t="str">
        <f>IFERROR(LEFT(PV_DATA[[#This Row],[TCL REFERENCE]],FIND(".",PV_DATA[[#This Row],[TCL REFERENCE]],1)-1),"Main Line")</f>
        <v>26Apr013</v>
      </c>
      <c r="D465" s="439" t="s">
        <v>63</v>
      </c>
      <c r="E465" s="439" t="s">
        <v>64</v>
      </c>
      <c r="F465" s="462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39" t="s">
        <v>402</v>
      </c>
      <c r="H465" s="439" t="s">
        <v>67</v>
      </c>
      <c r="I465" s="439" t="s">
        <v>1395</v>
      </c>
      <c r="J465" s="431" t="s">
        <v>578</v>
      </c>
      <c r="M465" s="431" t="s">
        <v>68</v>
      </c>
      <c r="N465" s="432" t="s">
        <v>68</v>
      </c>
      <c r="O465" s="431" t="s">
        <v>70</v>
      </c>
      <c r="P465" s="431" t="s">
        <v>71</v>
      </c>
      <c r="Q465" s="431" t="s">
        <v>72</v>
      </c>
      <c r="R465" s="431" t="str">
        <f>_xlfn.XLOOKUP(PV_DATA[[#This Row],[New Ark SKU]],Table9[New Ark SKU],Table9[Connector],,0)</f>
        <v>EVO2A</v>
      </c>
      <c r="S465" s="442" t="str">
        <f>_xlfn.XLOOKUP(PV_DATA[[#This Row],[New Ark SKU]],Table9[New Ark SKU],Table9[Cable],,0)</f>
        <v>±1200mm</v>
      </c>
      <c r="T465" s="442">
        <v>500</v>
      </c>
      <c r="U465" s="1093">
        <f>864*6</f>
        <v>5184</v>
      </c>
      <c r="V465" s="448">
        <f>PV_DATA[[#This Row],[QUANTITY]]*PV_DATA[[#This Row],[WATT]]/1000000</f>
        <v>2.5920000000000001</v>
      </c>
      <c r="W465" s="466">
        <f>PV_DATA[[#This Row],[QUANTITY]]/PV_DATA[[#This Row],[Qty/Pallet]]</f>
        <v>144</v>
      </c>
      <c r="X465" s="1044">
        <f>PV_DATA[[#This Row],[QUANTITY]]/PV_DATA[[#This Row],[Qty/CT]]</f>
        <v>6</v>
      </c>
      <c r="Y465" s="431" t="s">
        <v>951</v>
      </c>
      <c r="Z465" s="430" t="str">
        <f t="shared" si="4"/>
        <v>COMPLETED</v>
      </c>
      <c r="AA465" s="431" t="s">
        <v>2269</v>
      </c>
      <c r="AB465" s="441">
        <v>46133</v>
      </c>
      <c r="AC465" s="467">
        <f>IF(PV_DATA[[#This Row],[Pick- Up Date]]&lt;&gt;"",_xlfn.ISOWEEKNUM(PV_DATA[[#This Row],[Pick- Up Date]]),"")</f>
        <v>17</v>
      </c>
      <c r="AD465" s="439" t="s">
        <v>2270</v>
      </c>
      <c r="AF465" s="431" t="s">
        <v>77</v>
      </c>
      <c r="AG465" s="431" t="s">
        <v>61</v>
      </c>
      <c r="AH465" s="431" t="s">
        <v>105</v>
      </c>
      <c r="AI465" s="441">
        <v>46138</v>
      </c>
      <c r="AJ465" s="441">
        <v>46138</v>
      </c>
      <c r="AK465" s="441">
        <v>46138</v>
      </c>
      <c r="AL465" s="441">
        <v>46186</v>
      </c>
      <c r="AM465" s="441">
        <v>46186</v>
      </c>
      <c r="AN465" s="441">
        <v>46189</v>
      </c>
      <c r="AO465" s="431" t="s">
        <v>402</v>
      </c>
      <c r="AP465" s="431" t="s">
        <v>2271</v>
      </c>
      <c r="AQ465" s="441" t="s">
        <v>161</v>
      </c>
      <c r="AR465" s="431" t="s">
        <v>2272</v>
      </c>
      <c r="AS465" s="431" t="s">
        <v>2273</v>
      </c>
      <c r="AT465" s="482" t="s">
        <v>2273</v>
      </c>
      <c r="AU4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1"/>
      <c r="AW465" s="441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1">
        <f>IF(ISERROR(PV_DATA[[#This Row],[New Ark PO status]]),"",_xlfn.XLOOKUP(PV_DATA[[#This Row],[SPTN-PVHK New Ark PO'#]],New_Ark_Data[Purchase order Number],New_Ark_Data[Estimated time of arrival],"",0))</f>
        <v>46202</v>
      </c>
      <c r="AZ46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7">
        <f>IFERROR(PV_DATA[[#This Row],[ODP ETA Port]]+PV_DATA[[#This Row],[Customs/Leg3 Assumption]],"n/a")</f>
        <v>46196</v>
      </c>
      <c r="BB465" s="442">
        <f>YEAR(PV_DATA[[#This Row],[ETA for New Ark update]])</f>
        <v>2026</v>
      </c>
      <c r="BC465" s="431">
        <f>MONTH(PV_DATA[[#This Row],[ETA for New Ark update]])</f>
        <v>6</v>
      </c>
      <c r="BD465" s="431">
        <f>IFERROR(_xlfn.ISOWEEKNUM(PV_DATA[[#This Row],[ETA for New Ark update]]),0)</f>
        <v>26</v>
      </c>
      <c r="BE465" s="431">
        <f>_xlfn.XLOOKUP(PV_DATA[[#This Row],[New Ark SKU]],Table9[New Ark SKU],Table9[Total PCS per Pallet],,0)</f>
        <v>36</v>
      </c>
      <c r="BF465" s="431">
        <f>_xlfn.XLOOKUP(PV_DATA[[#This Row],[New Ark SKU]],Table9[New Ark SKU],Table9[Total PCS per 40HQ Container],,0)</f>
        <v>864</v>
      </c>
      <c r="BG465" s="431" t="str">
        <f>_xlfn.XLOOKUP(PV_DATA[[#This Row],[New Ark SKU]],Table9[New Ark SKU],Table9[Back Glass],,0)</f>
        <v>Black glazing</v>
      </c>
      <c r="BH465" s="431" t="str">
        <f>_xlfn.XLOOKUP(PV_DATA[[#This Row],[PORT DESTINATION]],Table12[PORT DESTINATION],Table12[Cosco Line],,0)</f>
        <v>AEU</v>
      </c>
    </row>
    <row r="466" spans="1:60" s="431" customFormat="1" ht="10.5">
      <c r="A466" s="439" t="s">
        <v>2274</v>
      </c>
      <c r="B466" s="439" t="s">
        <v>61</v>
      </c>
      <c r="C466" s="439" t="str">
        <f>IFERROR(LEFT(PV_DATA[[#This Row],[TCL REFERENCE]],FIND(".",PV_DATA[[#This Row],[TCL REFERENCE]],1)-1),"Main Line")</f>
        <v>26Apr014</v>
      </c>
      <c r="D466" s="439" t="s">
        <v>63</v>
      </c>
      <c r="E466" s="439" t="s">
        <v>64</v>
      </c>
      <c r="F466" s="462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39" t="s">
        <v>402</v>
      </c>
      <c r="H466" s="439" t="s">
        <v>67</v>
      </c>
      <c r="I466" s="439" t="s">
        <v>882</v>
      </c>
      <c r="J466" s="430" t="s">
        <v>96</v>
      </c>
      <c r="M466" s="431" t="s">
        <v>68</v>
      </c>
      <c r="N466" s="432" t="s">
        <v>68</v>
      </c>
      <c r="O466" s="431" t="s">
        <v>70</v>
      </c>
      <c r="P466" s="431" t="s">
        <v>1151</v>
      </c>
      <c r="Q466" s="431" t="s">
        <v>421</v>
      </c>
      <c r="R466" s="431" t="str">
        <f>_xlfn.XLOOKUP(PV_DATA[[#This Row],[New Ark SKU]],Table9[New Ark SKU],Table9[Connector],,0)</f>
        <v>EVO2A</v>
      </c>
      <c r="S466" s="442" t="str">
        <f>_xlfn.XLOOKUP(PV_DATA[[#This Row],[New Ark SKU]],Table9[New Ark SKU],Table9[Cable],,0)</f>
        <v>±1200mm</v>
      </c>
      <c r="T466" s="442">
        <v>505</v>
      </c>
      <c r="U466" s="1093">
        <f>864*5</f>
        <v>4320</v>
      </c>
      <c r="V466" s="448">
        <f>PV_DATA[[#This Row],[QUANTITY]]*PV_DATA[[#This Row],[WATT]]/1000000</f>
        <v>2.1816</v>
      </c>
      <c r="W466" s="466">
        <f>PV_DATA[[#This Row],[QUANTITY]]/PV_DATA[[#This Row],[Qty/Pallet]]</f>
        <v>120</v>
      </c>
      <c r="X466" s="1044">
        <f>PV_DATA[[#This Row],[QUANTITY]]/PV_DATA[[#This Row],[Qty/CT]]</f>
        <v>5</v>
      </c>
      <c r="Y466" s="431" t="s">
        <v>951</v>
      </c>
      <c r="Z466" s="430" t="str">
        <f t="shared" si="4"/>
        <v>COMPLETED</v>
      </c>
      <c r="AA466" s="431" t="s">
        <v>2275</v>
      </c>
      <c r="AB466" s="441">
        <v>46133</v>
      </c>
      <c r="AC466" s="467">
        <f>IF(PV_DATA[[#This Row],[Pick- Up Date]]&lt;&gt;"",_xlfn.ISOWEEKNUM(PV_DATA[[#This Row],[Pick- Up Date]]),"")</f>
        <v>17</v>
      </c>
      <c r="AD466" s="439" t="s">
        <v>2276</v>
      </c>
      <c r="AF466" s="431" t="s">
        <v>61</v>
      </c>
      <c r="AG466" s="431" t="s">
        <v>61</v>
      </c>
      <c r="AH466" s="431" t="s">
        <v>105</v>
      </c>
      <c r="AI466" s="441">
        <v>46138</v>
      </c>
      <c r="AJ466" s="441">
        <v>46138</v>
      </c>
      <c r="AK466" s="441">
        <v>46138</v>
      </c>
      <c r="AL466" s="441">
        <v>46182</v>
      </c>
      <c r="AM466" s="441">
        <v>46185</v>
      </c>
      <c r="AN466" s="441">
        <v>46189</v>
      </c>
      <c r="AO466" s="431" t="s">
        <v>402</v>
      </c>
      <c r="AP466" s="431" t="s">
        <v>2227</v>
      </c>
      <c r="AQ466" s="431" t="s">
        <v>80</v>
      </c>
      <c r="AR466" s="431" t="s">
        <v>2277</v>
      </c>
      <c r="AS466" s="431" t="s">
        <v>2278</v>
      </c>
      <c r="AT466" s="482" t="s">
        <v>2278</v>
      </c>
      <c r="AU4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1"/>
      <c r="AW466" s="441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1">
        <f>IF(ISERROR(PV_DATA[[#This Row],[New Ark PO status]]),"",_xlfn.XLOOKUP(PV_DATA[[#This Row],[SPTN-PVHK New Ark PO'#]],New_Ark_Data[Purchase order Number],New_Ark_Data[Estimated time of arrival],"",0))</f>
        <v>46203</v>
      </c>
      <c r="AZ4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7">
        <f>IFERROR(PV_DATA[[#This Row],[ODP ETA Port]]+PV_DATA[[#This Row],[Customs/Leg3 Assumption]],"n/a")</f>
        <v>46196</v>
      </c>
      <c r="BB466" s="442">
        <f>YEAR(PV_DATA[[#This Row],[ETA for New Ark update]])</f>
        <v>2026</v>
      </c>
      <c r="BC466" s="431">
        <f>MONTH(PV_DATA[[#This Row],[ETA for New Ark update]])</f>
        <v>6</v>
      </c>
      <c r="BD466" s="431">
        <f>IFERROR(_xlfn.ISOWEEKNUM(PV_DATA[[#This Row],[ETA for New Ark update]]),0)</f>
        <v>26</v>
      </c>
      <c r="BE466" s="431">
        <f>_xlfn.XLOOKUP(PV_DATA[[#This Row],[New Ark SKU]],Table9[New Ark SKU],Table9[Total PCS per Pallet],,0)</f>
        <v>36</v>
      </c>
      <c r="BF466" s="431">
        <f>_xlfn.XLOOKUP(PV_DATA[[#This Row],[New Ark SKU]],Table9[New Ark SKU],Table9[Total PCS per 40HQ Container],,0)</f>
        <v>864</v>
      </c>
      <c r="BG466" s="431" t="str">
        <f>_xlfn.XLOOKUP(PV_DATA[[#This Row],[New Ark SKU]],Table9[New Ark SKU],Table9[Back Glass],,0)</f>
        <v>Black glazing</v>
      </c>
      <c r="BH466" s="431" t="str">
        <f>_xlfn.XLOOKUP(PV_DATA[[#This Row],[PORT DESTINATION]],Table12[PORT DESTINATION],Table12[Cosco Line],,0)</f>
        <v>AEU</v>
      </c>
    </row>
    <row r="467" spans="1:60" s="431" customFormat="1" ht="10.5">
      <c r="A467" s="439" t="s">
        <v>2279</v>
      </c>
      <c r="B467" s="439" t="s">
        <v>61</v>
      </c>
      <c r="C467" s="439" t="str">
        <f>IFERROR(LEFT(PV_DATA[[#This Row],[TCL REFERENCE]],FIND(".",PV_DATA[[#This Row],[TCL REFERENCE]],1)-1),"Main Line")</f>
        <v>26Apr014</v>
      </c>
      <c r="D467" s="439" t="s">
        <v>63</v>
      </c>
      <c r="E467" s="439" t="s">
        <v>64</v>
      </c>
      <c r="F467" s="462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39" t="s">
        <v>402</v>
      </c>
      <c r="H467" s="439" t="s">
        <v>67</v>
      </c>
      <c r="I467" s="439" t="s">
        <v>882</v>
      </c>
      <c r="J467" s="430" t="s">
        <v>96</v>
      </c>
      <c r="M467" s="431" t="s">
        <v>68</v>
      </c>
      <c r="N467" s="432" t="s">
        <v>68</v>
      </c>
      <c r="O467" s="431" t="s">
        <v>70</v>
      </c>
      <c r="P467" s="431" t="s">
        <v>1151</v>
      </c>
      <c r="Q467" s="431" t="s">
        <v>421</v>
      </c>
      <c r="R467" s="431" t="str">
        <f>_xlfn.XLOOKUP(PV_DATA[[#This Row],[New Ark SKU]],Table9[New Ark SKU],Table9[Connector],,0)</f>
        <v>EVO2A</v>
      </c>
      <c r="S467" s="442" t="str">
        <f>_xlfn.XLOOKUP(PV_DATA[[#This Row],[New Ark SKU]],Table9[New Ark SKU],Table9[Cable],,0)</f>
        <v>±1200mm</v>
      </c>
      <c r="T467" s="442">
        <v>505</v>
      </c>
      <c r="U467" s="1093">
        <f>864*6</f>
        <v>5184</v>
      </c>
      <c r="V467" s="448">
        <f>PV_DATA[[#This Row],[QUANTITY]]*PV_DATA[[#This Row],[WATT]]/1000000</f>
        <v>2.6179199999999998</v>
      </c>
      <c r="W467" s="466">
        <f>PV_DATA[[#This Row],[QUANTITY]]/PV_DATA[[#This Row],[Qty/Pallet]]</f>
        <v>144</v>
      </c>
      <c r="X467" s="1044">
        <f>PV_DATA[[#This Row],[QUANTITY]]/PV_DATA[[#This Row],[Qty/CT]]</f>
        <v>6</v>
      </c>
      <c r="Y467" s="431" t="s">
        <v>951</v>
      </c>
      <c r="Z467" s="430" t="str">
        <f t="shared" si="4"/>
        <v>COMPLETED</v>
      </c>
      <c r="AA467" s="431" t="s">
        <v>2183</v>
      </c>
      <c r="AB467" s="441">
        <v>46135</v>
      </c>
      <c r="AC467" s="467">
        <f>IF(PV_DATA[[#This Row],[Pick- Up Date]]&lt;&gt;"",_xlfn.ISOWEEKNUM(PV_DATA[[#This Row],[Pick- Up Date]]),"")</f>
        <v>17</v>
      </c>
      <c r="AD467" s="439" t="s">
        <v>2280</v>
      </c>
      <c r="AF467" s="431" t="s">
        <v>61</v>
      </c>
      <c r="AG467" s="431" t="s">
        <v>61</v>
      </c>
      <c r="AH467" s="431" t="s">
        <v>105</v>
      </c>
      <c r="AI467" s="441">
        <v>46139</v>
      </c>
      <c r="AJ467" s="441">
        <v>46141</v>
      </c>
      <c r="AK467" s="441">
        <v>46140</v>
      </c>
      <c r="AL467" s="441">
        <v>46207</v>
      </c>
      <c r="AM467" s="441">
        <v>46200</v>
      </c>
      <c r="AN467" s="441">
        <v>46200</v>
      </c>
      <c r="AO467" s="431" t="s">
        <v>402</v>
      </c>
      <c r="AP467" s="431" t="s">
        <v>2281</v>
      </c>
      <c r="AQ467" s="431" t="s">
        <v>161</v>
      </c>
      <c r="AR467" s="431" t="s">
        <v>2282</v>
      </c>
      <c r="AS467" s="431" t="s">
        <v>2283</v>
      </c>
      <c r="AT467" s="482" t="s">
        <v>2284</v>
      </c>
      <c r="AU4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1"/>
      <c r="AW467" s="441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1">
        <f>IF(ISERROR(PV_DATA[[#This Row],[New Ark PO status]]),"",_xlfn.XLOOKUP(PV_DATA[[#This Row],[SPTN-PVHK New Ark PO'#]],New_Ark_Data[Purchase order Number],New_Ark_Data[Estimated time of arrival],"",0))</f>
        <v>46213</v>
      </c>
      <c r="AZ4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7">
        <f>IFERROR(PV_DATA[[#This Row],[ODP ETA Port]]+PV_DATA[[#This Row],[Customs/Leg3 Assumption]],"n/a")</f>
        <v>46207</v>
      </c>
      <c r="BB467" s="442">
        <f>YEAR(PV_DATA[[#This Row],[ETA for New Ark update]])</f>
        <v>2026</v>
      </c>
      <c r="BC467" s="431">
        <f>MONTH(PV_DATA[[#This Row],[ETA for New Ark update]])</f>
        <v>7</v>
      </c>
      <c r="BD467" s="431">
        <f>IFERROR(_xlfn.ISOWEEKNUM(PV_DATA[[#This Row],[ETA for New Ark update]]),0)</f>
        <v>27</v>
      </c>
      <c r="BE467" s="431">
        <f>_xlfn.XLOOKUP(PV_DATA[[#This Row],[New Ark SKU]],Table9[New Ark SKU],Table9[Total PCS per Pallet],,0)</f>
        <v>36</v>
      </c>
      <c r="BF467" s="431">
        <f>_xlfn.XLOOKUP(PV_DATA[[#This Row],[New Ark SKU]],Table9[New Ark SKU],Table9[Total PCS per 40HQ Container],,0)</f>
        <v>864</v>
      </c>
      <c r="BG467" s="431" t="str">
        <f>_xlfn.XLOOKUP(PV_DATA[[#This Row],[New Ark SKU]],Table9[New Ark SKU],Table9[Back Glass],,0)</f>
        <v>Black glazing</v>
      </c>
      <c r="BH467" s="431" t="str">
        <f>_xlfn.XLOOKUP(PV_DATA[[#This Row],[PORT DESTINATION]],Table12[PORT DESTINATION],Table12[Cosco Line],,0)</f>
        <v>AEU</v>
      </c>
    </row>
    <row r="468" spans="1:60" s="450" customFormat="1" ht="10.5">
      <c r="A468" s="446" t="s">
        <v>2285</v>
      </c>
      <c r="B468" s="446" t="s">
        <v>61</v>
      </c>
      <c r="C468" s="446" t="str">
        <f>IFERROR(LEFT(PV_DATA[[#This Row],[TCL REFERENCE]],FIND(".",PV_DATA[[#This Row],[TCL REFERENCE]],1)-1),"Main Line")</f>
        <v>26Apr011</v>
      </c>
      <c r="D468" s="446" t="s">
        <v>63</v>
      </c>
      <c r="E468" s="446" t="s">
        <v>144</v>
      </c>
      <c r="F468" s="446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6" t="s">
        <v>402</v>
      </c>
      <c r="H468" s="446" t="s">
        <v>67</v>
      </c>
      <c r="I468" s="446" t="s">
        <v>689</v>
      </c>
      <c r="J468" s="450" t="s">
        <v>2287</v>
      </c>
      <c r="K468" s="450" t="s">
        <v>2288</v>
      </c>
      <c r="M468" s="450" t="s">
        <v>840</v>
      </c>
      <c r="N468" s="451">
        <v>46125</v>
      </c>
      <c r="O468" s="450" t="s">
        <v>70</v>
      </c>
      <c r="P468" s="450" t="s">
        <v>195</v>
      </c>
      <c r="Q468" s="450" t="s">
        <v>196</v>
      </c>
      <c r="R468" s="450" t="str">
        <f>_xlfn.XLOOKUP(PV_DATA[[#This Row],[New Ark SKU]],Table9[New Ark SKU],Table9[Connector],,0)</f>
        <v>EVO2A</v>
      </c>
      <c r="S468" s="442" t="str">
        <f>_xlfn.XLOOKUP(PV_DATA[[#This Row],[New Ark SKU]],Table9[New Ark SKU],Table9[Cable],,0)</f>
        <v>±1200mm</v>
      </c>
      <c r="T468" s="452">
        <v>450</v>
      </c>
      <c r="U468" s="1089">
        <f>3*936</f>
        <v>2808</v>
      </c>
      <c r="V468" s="453">
        <f>PV_DATA[[#This Row],[QUANTITY]]*PV_DATA[[#This Row],[WATT]]/1000000</f>
        <v>1.2636000000000001</v>
      </c>
      <c r="W468" s="454">
        <f>PV_DATA[[#This Row],[QUANTITY]]/PV_DATA[[#This Row],[Qty/Pallet]]</f>
        <v>78</v>
      </c>
      <c r="X468" s="1045">
        <f>PV_DATA[[#This Row],[QUANTITY]]/PV_DATA[[#This Row],[Qty/CT]]</f>
        <v>3</v>
      </c>
      <c r="Y468" s="470" t="s">
        <v>951</v>
      </c>
      <c r="Z468" s="430" t="str">
        <f t="shared" si="4"/>
        <v>COMPLETED</v>
      </c>
      <c r="AB468" s="455">
        <v>46135</v>
      </c>
      <c r="AC468" s="471">
        <f>IF(PV_DATA[[#This Row],[Pick- Up Date]]&lt;&gt;"",_xlfn.ISOWEEKNUM(PV_DATA[[#This Row],[Pick- Up Date]]),"")</f>
        <v>17</v>
      </c>
      <c r="AD468" s="446" t="s">
        <v>2289</v>
      </c>
      <c r="AF468" s="450" t="s">
        <v>77</v>
      </c>
      <c r="AG468" s="450" t="s">
        <v>61</v>
      </c>
      <c r="AH468" s="450" t="s">
        <v>105</v>
      </c>
      <c r="AI468" s="455">
        <v>46139</v>
      </c>
      <c r="AJ468" s="455">
        <v>46141</v>
      </c>
      <c r="AK468" s="455">
        <v>46140</v>
      </c>
      <c r="AL468" s="455">
        <v>46207</v>
      </c>
      <c r="AM468" s="455">
        <v>46200</v>
      </c>
      <c r="AN468" s="455">
        <v>46200</v>
      </c>
      <c r="AO468" s="450" t="s">
        <v>402</v>
      </c>
      <c r="AP468" s="450" t="s">
        <v>2281</v>
      </c>
      <c r="AQ468" s="450" t="s">
        <v>161</v>
      </c>
      <c r="AR468" s="450" t="s">
        <v>2290</v>
      </c>
      <c r="AS468" s="450" t="s">
        <v>2291</v>
      </c>
      <c r="AT468" s="482" t="s">
        <v>2292</v>
      </c>
      <c r="AU4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5"/>
      <c r="AW468" s="455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5">
        <f>IF(ISERROR(PV_DATA[[#This Row],[New Ark PO status]]),"",_xlfn.XLOOKUP(PV_DATA[[#This Row],[SPTN-PVHK New Ark PO'#]],New_Ark_Data[Purchase order Number],New_Ark_Data[Estimated time of arrival],"",0))</f>
        <v>46213</v>
      </c>
      <c r="AZ46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5">
        <f>IFERROR(PV_DATA[[#This Row],[ODP ETA Port]]+PV_DATA[[#This Row],[Customs/Leg3 Assumption]],"n/a")</f>
        <v>46200</v>
      </c>
      <c r="BB468" s="452">
        <f>YEAR(PV_DATA[[#This Row],[ETA for New Ark update]])</f>
        <v>2026</v>
      </c>
      <c r="BC468" s="450">
        <f>MONTH(PV_DATA[[#This Row],[ETA for New Ark update]])</f>
        <v>6</v>
      </c>
      <c r="BD468" s="450">
        <f>IFERROR(_xlfn.ISOWEEKNUM(PV_DATA[[#This Row],[ETA for New Ark update]]),0)</f>
        <v>26</v>
      </c>
      <c r="BE468" s="450">
        <f>_xlfn.XLOOKUP(PV_DATA[[#This Row],[New Ark SKU]],Table9[New Ark SKU],Table9[Total PCS per Pallet],,0)</f>
        <v>36</v>
      </c>
      <c r="BF468" s="450">
        <f>_xlfn.XLOOKUP(PV_DATA[[#This Row],[New Ark SKU]],Table9[New Ark SKU],Table9[Total PCS per 40HQ Container],,0)</f>
        <v>936</v>
      </c>
      <c r="BG468" s="431" t="str">
        <f>_xlfn.XLOOKUP(PV_DATA[[#This Row],[New Ark SKU]],Table9[New Ark SKU],Table9[Back Glass],,0)</f>
        <v>Black glazing</v>
      </c>
      <c r="BH468" s="450" t="str">
        <f>_xlfn.XLOOKUP(PV_DATA[[#This Row],[PORT DESTINATION]],Table12[PORT DESTINATION],Table12[Cosco Line],,0)</f>
        <v>AEU</v>
      </c>
    </row>
    <row r="469" spans="1:60" s="431" customFormat="1" ht="10.5">
      <c r="A469" s="439" t="s">
        <v>2293</v>
      </c>
      <c r="B469" s="439" t="s">
        <v>61</v>
      </c>
      <c r="C469" s="439" t="str">
        <f>IFERROR(LEFT(PV_DATA[[#This Row],[TCL REFERENCE]],FIND(".",PV_DATA[[#This Row],[TCL REFERENCE]],1)-1),"Main Line")</f>
        <v>26Apr011</v>
      </c>
      <c r="D469" s="439" t="s">
        <v>63</v>
      </c>
      <c r="E469" s="439" t="s">
        <v>64</v>
      </c>
      <c r="F469" s="462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39" t="s">
        <v>402</v>
      </c>
      <c r="H469" s="439" t="s">
        <v>67</v>
      </c>
      <c r="I469" s="439" t="s">
        <v>689</v>
      </c>
      <c r="J469" s="430" t="s">
        <v>96</v>
      </c>
      <c r="M469" s="431" t="s">
        <v>68</v>
      </c>
      <c r="N469" s="461">
        <v>46125</v>
      </c>
      <c r="O469" s="431" t="s">
        <v>70</v>
      </c>
      <c r="P469" s="431" t="s">
        <v>195</v>
      </c>
      <c r="Q469" s="431" t="s">
        <v>196</v>
      </c>
      <c r="R469" s="431" t="str">
        <f>_xlfn.XLOOKUP(PV_DATA[[#This Row],[New Ark SKU]],Table9[New Ark SKU],Table9[Connector],,0)</f>
        <v>EVO2A</v>
      </c>
      <c r="S469" s="442" t="str">
        <f>_xlfn.XLOOKUP(PV_DATA[[#This Row],[New Ark SKU]],Table9[New Ark SKU],Table9[Cable],,0)</f>
        <v>±1200mm</v>
      </c>
      <c r="T469" s="442">
        <v>450</v>
      </c>
      <c r="U469" s="1093">
        <f>12*936</f>
        <v>11232</v>
      </c>
      <c r="V469" s="448">
        <f>PV_DATA[[#This Row],[QUANTITY]]*PV_DATA[[#This Row],[WATT]]/1000000</f>
        <v>5.0544000000000002</v>
      </c>
      <c r="W469" s="466">
        <f>PV_DATA[[#This Row],[QUANTITY]]/PV_DATA[[#This Row],[Qty/Pallet]]</f>
        <v>312</v>
      </c>
      <c r="X469" s="1044">
        <f>PV_DATA[[#This Row],[QUANTITY]]/PV_DATA[[#This Row],[Qty/CT]]</f>
        <v>12</v>
      </c>
      <c r="Y469" s="447" t="s">
        <v>951</v>
      </c>
      <c r="Z469" s="430" t="str">
        <f t="shared" si="4"/>
        <v>COMPLETED</v>
      </c>
      <c r="AB469" s="441">
        <v>46135</v>
      </c>
      <c r="AC469" s="467">
        <f>IF(PV_DATA[[#This Row],[Pick- Up Date]]&lt;&gt;"",_xlfn.ISOWEEKNUM(PV_DATA[[#This Row],[Pick- Up Date]]),"")</f>
        <v>17</v>
      </c>
      <c r="AD469" s="439" t="s">
        <v>2294</v>
      </c>
      <c r="AF469" s="431" t="s">
        <v>77</v>
      </c>
      <c r="AG469" s="431" t="s">
        <v>61</v>
      </c>
      <c r="AH469" s="431" t="s">
        <v>105</v>
      </c>
      <c r="AI469" s="441">
        <v>46139</v>
      </c>
      <c r="AJ469" s="441">
        <v>46141</v>
      </c>
      <c r="AK469" s="441">
        <v>46140</v>
      </c>
      <c r="AL469" s="441">
        <v>46207</v>
      </c>
      <c r="AM469" s="441">
        <v>46200</v>
      </c>
      <c r="AN469" s="441">
        <v>46200</v>
      </c>
      <c r="AO469" s="431" t="s">
        <v>402</v>
      </c>
      <c r="AP469" s="431" t="s">
        <v>2281</v>
      </c>
      <c r="AQ469" s="431" t="s">
        <v>161</v>
      </c>
      <c r="AR469" s="431" t="s">
        <v>2290</v>
      </c>
      <c r="AS469" s="431" t="s">
        <v>2295</v>
      </c>
      <c r="AT469" s="482" t="s">
        <v>2292</v>
      </c>
      <c r="AU4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1"/>
      <c r="AW469" s="441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1">
        <f>IF(ISERROR(PV_DATA[[#This Row],[New Ark PO status]]),"",_xlfn.XLOOKUP(PV_DATA[[#This Row],[SPTN-PVHK New Ark PO'#]],New_Ark_Data[Purchase order Number],New_Ark_Data[Estimated time of arrival],"",0))</f>
        <v>46213</v>
      </c>
      <c r="AZ46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7">
        <f>IFERROR(PV_DATA[[#This Row],[ODP ETA Port]]+PV_DATA[[#This Row],[Customs/Leg3 Assumption]],"n/a")</f>
        <v>46207</v>
      </c>
      <c r="BB469" s="442">
        <f>YEAR(PV_DATA[[#This Row],[ETA for New Ark update]])</f>
        <v>2026</v>
      </c>
      <c r="BC469" s="431">
        <f>MONTH(PV_DATA[[#This Row],[ETA for New Ark update]])</f>
        <v>7</v>
      </c>
      <c r="BD469" s="431">
        <f>IFERROR(_xlfn.ISOWEEKNUM(PV_DATA[[#This Row],[ETA for New Ark update]]),0)</f>
        <v>27</v>
      </c>
      <c r="BE469" s="431">
        <f>_xlfn.XLOOKUP(PV_DATA[[#This Row],[New Ark SKU]],Table9[New Ark SKU],Table9[Total PCS per Pallet],,0)</f>
        <v>36</v>
      </c>
      <c r="BF469" s="431">
        <f>_xlfn.XLOOKUP(PV_DATA[[#This Row],[New Ark SKU]],Table9[New Ark SKU],Table9[Total PCS per 40HQ Container],,0)</f>
        <v>936</v>
      </c>
      <c r="BG469" s="431" t="str">
        <f>_xlfn.XLOOKUP(PV_DATA[[#This Row],[New Ark SKU]],Table9[New Ark SKU],Table9[Back Glass],,0)</f>
        <v>Black glazing</v>
      </c>
      <c r="BH469" s="431" t="str">
        <f>_xlfn.XLOOKUP(PV_DATA[[#This Row],[PORT DESTINATION]],Table12[PORT DESTINATION],Table12[Cosco Line],,0)</f>
        <v>AEU</v>
      </c>
    </row>
    <row r="470" spans="1:60" s="431" customFormat="1" ht="10.5">
      <c r="A470" s="439" t="s">
        <v>2296</v>
      </c>
      <c r="B470" s="439" t="s">
        <v>111</v>
      </c>
      <c r="C470" s="439" t="str">
        <f>IFERROR(LEFT(PV_DATA[[#This Row],[TCL REFERENCE]],FIND(".",PV_DATA[[#This Row],[TCL REFERENCE]],1)-1),"Main Line")</f>
        <v>26Apr002</v>
      </c>
      <c r="D470" s="439" t="s">
        <v>113</v>
      </c>
      <c r="E470" s="439" t="s">
        <v>64</v>
      </c>
      <c r="F470" s="462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39" t="s">
        <v>402</v>
      </c>
      <c r="H470" s="439" t="s">
        <v>451</v>
      </c>
      <c r="I470" s="439" t="s">
        <v>822</v>
      </c>
      <c r="J470" s="431" t="s">
        <v>2298</v>
      </c>
      <c r="M470" s="431" t="s">
        <v>68</v>
      </c>
      <c r="N470" s="461">
        <v>46132</v>
      </c>
      <c r="O470" s="431" t="s">
        <v>70</v>
      </c>
      <c r="P470" s="431" t="s">
        <v>2299</v>
      </c>
      <c r="Q470" s="431" t="s">
        <v>1682</v>
      </c>
      <c r="R470" s="431" t="str">
        <f>_xlfn.XLOOKUP(PV_DATA[[#This Row],[New Ark SKU]],Table9[New Ark SKU],Table9[Connector],,0)</f>
        <v>EVO2A</v>
      </c>
      <c r="S470" s="442" t="str">
        <f>_xlfn.XLOOKUP(PV_DATA[[#This Row],[New Ark SKU]],Table9[New Ark SKU],Table9[Cable],,0)</f>
        <v>+400mm/-200mm</v>
      </c>
      <c r="T470" s="442">
        <v>730</v>
      </c>
      <c r="U470" s="1093">
        <f>594*8</f>
        <v>4752</v>
      </c>
      <c r="V470" s="448">
        <f>PV_DATA[[#This Row],[QUANTITY]]*PV_DATA[[#This Row],[WATT]]/1000000</f>
        <v>3.46896</v>
      </c>
      <c r="W470" s="466">
        <f>PV_DATA[[#This Row],[QUANTITY]]/PV_DATA[[#This Row],[Qty/Pallet]]</f>
        <v>144</v>
      </c>
      <c r="X470" s="1044">
        <f>PV_DATA[[#This Row],[QUANTITY]]/PV_DATA[[#This Row],[Qty/CT]]</f>
        <v>8</v>
      </c>
      <c r="Y470" s="431" t="s">
        <v>951</v>
      </c>
      <c r="Z470" s="430" t="str">
        <f t="shared" si="4"/>
        <v>COMPLETED</v>
      </c>
      <c r="AA470" s="431" t="s">
        <v>2269</v>
      </c>
      <c r="AB470" s="441">
        <v>46138</v>
      </c>
      <c r="AC470" s="445">
        <f>IF(PV_DATA[[#This Row],[Pick- Up Date]]&lt;&gt;"",_xlfn.ISOWEEKNUM(PV_DATA[[#This Row],[Pick- Up Date]]),"")</f>
        <v>17</v>
      </c>
      <c r="AD470" s="431" t="s">
        <v>2300</v>
      </c>
      <c r="AF470" s="431" t="s">
        <v>122</v>
      </c>
      <c r="AG470" s="431" t="s">
        <v>123</v>
      </c>
      <c r="AH470" s="431" t="s">
        <v>2301</v>
      </c>
      <c r="AI470" s="441">
        <v>46144</v>
      </c>
      <c r="AJ470" s="441">
        <v>46144</v>
      </c>
      <c r="AK470" s="441">
        <v>46144</v>
      </c>
      <c r="AL470" s="441">
        <v>46197</v>
      </c>
      <c r="AM470" s="441">
        <v>46214</v>
      </c>
      <c r="AN470" s="441">
        <v>46213</v>
      </c>
      <c r="AO470" s="431" t="s">
        <v>402</v>
      </c>
      <c r="AP470" s="431" t="s">
        <v>2302</v>
      </c>
      <c r="AQ470" s="431" t="s">
        <v>161</v>
      </c>
      <c r="AR470" s="431" t="s">
        <v>2303</v>
      </c>
      <c r="AS470" s="431" t="s">
        <v>2304</v>
      </c>
      <c r="AT470" s="482" t="s">
        <v>2305</v>
      </c>
      <c r="AU4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1"/>
      <c r="AW470" s="441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1">
        <f>IF(ISERROR(PV_DATA[[#This Row],[New Ark PO status]]),"",_xlfn.XLOOKUP(PV_DATA[[#This Row],[SPTN-PVHK New Ark PO'#]],New_Ark_Data[Purchase order Number],New_Ark_Data[Estimated time of arrival],"",0))</f>
        <v>46231</v>
      </c>
      <c r="AZ47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1">
        <f>IFERROR(PV_DATA[[#This Row],[ODP ETA Port]]+PV_DATA[[#This Row],[Customs/Leg3 Assumption]],"n/a")</f>
        <v>46220</v>
      </c>
      <c r="BB470" s="442">
        <f>YEAR(PV_DATA[[#This Row],[ETA for New Ark update]])</f>
        <v>2026</v>
      </c>
      <c r="BC470" s="431">
        <f>MONTH(PV_DATA[[#This Row],[ETA for New Ark update]])</f>
        <v>7</v>
      </c>
      <c r="BD470" s="431">
        <f>IFERROR(_xlfn.ISOWEEKNUM(PV_DATA[[#This Row],[ETA for New Ark update]]),0)</f>
        <v>29</v>
      </c>
      <c r="BE470" s="431">
        <f>_xlfn.XLOOKUP(PV_DATA[[#This Row],[New Ark SKU]],Table9[New Ark SKU],Table9[Total PCS per Pallet],,0)</f>
        <v>33</v>
      </c>
      <c r="BF470" s="431">
        <f>_xlfn.XLOOKUP(PV_DATA[[#This Row],[New Ark SKU]],Table9[New Ark SKU],Table9[Total PCS per 40HQ Container],,0)</f>
        <v>594</v>
      </c>
      <c r="BG470" s="431" t="str">
        <f>_xlfn.XLOOKUP(PV_DATA[[#This Row],[New Ark SKU]],Table9[New Ark SKU],Table9[Back Glass],,0)</f>
        <v>Transparent</v>
      </c>
      <c r="BH470" s="431" t="str">
        <f>_xlfn.XLOOKUP(PV_DATA[[#This Row],[PORT DESTINATION]],Table12[PORT DESTINATION],Table12[Cosco Line],,0)</f>
        <v>AEU</v>
      </c>
    </row>
    <row r="471" spans="1:60" s="431" customFormat="1" ht="10.5">
      <c r="A471" s="439" t="s">
        <v>2306</v>
      </c>
      <c r="B471" s="439" t="s">
        <v>111</v>
      </c>
      <c r="C471" s="439" t="str">
        <f>IFERROR(LEFT(PV_DATA[[#This Row],[TCL REFERENCE]],FIND(".",PV_DATA[[#This Row],[TCL REFERENCE]],1)-1),"Main Line")</f>
        <v>26Apr001</v>
      </c>
      <c r="D471" s="439" t="s">
        <v>113</v>
      </c>
      <c r="E471" s="439" t="s">
        <v>64</v>
      </c>
      <c r="F471" s="462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39" t="s">
        <v>402</v>
      </c>
      <c r="H471" s="439" t="s">
        <v>451</v>
      </c>
      <c r="I471" s="439" t="s">
        <v>822</v>
      </c>
      <c r="J471" s="431" t="s">
        <v>2298</v>
      </c>
      <c r="M471" s="431" t="s">
        <v>68</v>
      </c>
      <c r="N471" s="461">
        <v>46132</v>
      </c>
      <c r="O471" s="431" t="s">
        <v>70</v>
      </c>
      <c r="P471" s="431" t="s">
        <v>2308</v>
      </c>
      <c r="Q471" s="431" t="s">
        <v>1484</v>
      </c>
      <c r="R471" s="431" t="str">
        <f>_xlfn.XLOOKUP(PV_DATA[[#This Row],[New Ark SKU]],Table9[New Ark SKU],Table9[Connector],,0)</f>
        <v>EVO2A</v>
      </c>
      <c r="S471" s="442" t="str">
        <f>_xlfn.XLOOKUP(PV_DATA[[#This Row],[New Ark SKU]],Table9[New Ark SKU],Table9[Cable],,0)</f>
        <v>+400mm/-200mm</v>
      </c>
      <c r="T471" s="442">
        <v>725</v>
      </c>
      <c r="U471" s="1093">
        <f>594*2</f>
        <v>1188</v>
      </c>
      <c r="V471" s="448">
        <f>PV_DATA[[#This Row],[QUANTITY]]*PV_DATA[[#This Row],[WATT]]/1000000</f>
        <v>0.86129999999999995</v>
      </c>
      <c r="W471" s="466">
        <f>PV_DATA[[#This Row],[QUANTITY]]/PV_DATA[[#This Row],[Qty/Pallet]]</f>
        <v>36</v>
      </c>
      <c r="X471" s="1044">
        <f>PV_DATA[[#This Row],[QUANTITY]]/PV_DATA[[#This Row],[Qty/CT]]</f>
        <v>2</v>
      </c>
      <c r="Y471" s="431" t="s">
        <v>951</v>
      </c>
      <c r="Z471" s="430" t="str">
        <f t="shared" si="4"/>
        <v>COMPLETED</v>
      </c>
      <c r="AA471" s="431" t="s">
        <v>2269</v>
      </c>
      <c r="AB471" s="441">
        <v>46138</v>
      </c>
      <c r="AC471" s="445">
        <f>IF(PV_DATA[[#This Row],[Pick- Up Date]]&lt;&gt;"",_xlfn.ISOWEEKNUM(PV_DATA[[#This Row],[Pick- Up Date]]),"")</f>
        <v>17</v>
      </c>
      <c r="AD471" s="431" t="s">
        <v>2309</v>
      </c>
      <c r="AF471" s="431" t="s">
        <v>122</v>
      </c>
      <c r="AG471" s="431" t="s">
        <v>123</v>
      </c>
      <c r="AH471" s="431" t="s">
        <v>2301</v>
      </c>
      <c r="AI471" s="441">
        <v>46144</v>
      </c>
      <c r="AJ471" s="441">
        <v>46144</v>
      </c>
      <c r="AK471" s="441">
        <v>46144</v>
      </c>
      <c r="AL471" s="441">
        <v>46197</v>
      </c>
      <c r="AM471" s="441">
        <v>46214</v>
      </c>
      <c r="AN471" s="441">
        <v>46213</v>
      </c>
      <c r="AO471" s="431" t="s">
        <v>402</v>
      </c>
      <c r="AP471" s="431" t="s">
        <v>2302</v>
      </c>
      <c r="AQ471" s="431" t="s">
        <v>161</v>
      </c>
      <c r="AR471" s="431" t="s">
        <v>2303</v>
      </c>
      <c r="AS471" s="431" t="s">
        <v>2304</v>
      </c>
      <c r="AT471" s="482" t="s">
        <v>2305</v>
      </c>
      <c r="AU4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1"/>
      <c r="AW471" s="441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1">
        <f>IF(ISERROR(PV_DATA[[#This Row],[New Ark PO status]]),"",_xlfn.XLOOKUP(PV_DATA[[#This Row],[SPTN-PVHK New Ark PO'#]],New_Ark_Data[Purchase order Number],New_Ark_Data[Estimated time of arrival],"",0))</f>
        <v>46231</v>
      </c>
      <c r="AZ47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1">
        <f>IFERROR(PV_DATA[[#This Row],[ODP ETA Port]]+PV_DATA[[#This Row],[Customs/Leg3 Assumption]],"n/a")</f>
        <v>46220</v>
      </c>
      <c r="BB471" s="442">
        <f>YEAR(PV_DATA[[#This Row],[ETA for New Ark update]])</f>
        <v>2026</v>
      </c>
      <c r="BC471" s="431">
        <f>MONTH(PV_DATA[[#This Row],[ETA for New Ark update]])</f>
        <v>7</v>
      </c>
      <c r="BD471" s="431">
        <f>IFERROR(_xlfn.ISOWEEKNUM(PV_DATA[[#This Row],[ETA for New Ark update]]),0)</f>
        <v>29</v>
      </c>
      <c r="BE471" s="431">
        <f>_xlfn.XLOOKUP(PV_DATA[[#This Row],[New Ark SKU]],Table9[New Ark SKU],Table9[Total PCS per Pallet],,0)</f>
        <v>33</v>
      </c>
      <c r="BF471" s="431">
        <f>_xlfn.XLOOKUP(PV_DATA[[#This Row],[New Ark SKU]],Table9[New Ark SKU],Table9[Total PCS per 40HQ Container],,0)</f>
        <v>594</v>
      </c>
      <c r="BG471" s="431" t="str">
        <f>_xlfn.XLOOKUP(PV_DATA[[#This Row],[New Ark SKU]],Table9[New Ark SKU],Table9[Back Glass],,0)</f>
        <v>Transparent</v>
      </c>
      <c r="BH471" s="431" t="str">
        <f>_xlfn.XLOOKUP(PV_DATA[[#This Row],[PORT DESTINATION]],Table12[PORT DESTINATION],Table12[Cosco Line],,0)</f>
        <v>AEU</v>
      </c>
    </row>
    <row r="472" spans="1:60" s="431" customFormat="1" ht="10.5">
      <c r="A472" s="439" t="s">
        <v>2310</v>
      </c>
      <c r="B472" s="439" t="s">
        <v>111</v>
      </c>
      <c r="C472" s="439" t="str">
        <f>IFERROR(LEFT(PV_DATA[[#This Row],[TCL REFERENCE]],FIND(".",PV_DATA[[#This Row],[TCL REFERENCE]],1)-1),"Main Line")</f>
        <v>26Apr001</v>
      </c>
      <c r="D472" s="439" t="s">
        <v>113</v>
      </c>
      <c r="E472" s="439" t="s">
        <v>64</v>
      </c>
      <c r="F472" s="462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39" t="s">
        <v>402</v>
      </c>
      <c r="H472" s="439" t="s">
        <v>451</v>
      </c>
      <c r="I472" s="439" t="s">
        <v>822</v>
      </c>
      <c r="J472" s="431" t="s">
        <v>2298</v>
      </c>
      <c r="M472" s="431" t="s">
        <v>68</v>
      </c>
      <c r="N472" s="461">
        <v>46132</v>
      </c>
      <c r="O472" s="431" t="s">
        <v>70</v>
      </c>
      <c r="P472" s="431" t="s">
        <v>2308</v>
      </c>
      <c r="Q472" s="431" t="s">
        <v>1484</v>
      </c>
      <c r="R472" s="431" t="str">
        <f>_xlfn.XLOOKUP(PV_DATA[[#This Row],[New Ark SKU]],Table9[New Ark SKU],Table9[Connector],,0)</f>
        <v>EVO2A</v>
      </c>
      <c r="S472" s="442" t="str">
        <f>_xlfn.XLOOKUP(PV_DATA[[#This Row],[New Ark SKU]],Table9[New Ark SKU],Table9[Cable],,0)</f>
        <v>+400mm/-200mm</v>
      </c>
      <c r="T472" s="442">
        <v>725</v>
      </c>
      <c r="U472" s="1093">
        <f>594*5</f>
        <v>2970</v>
      </c>
      <c r="V472" s="448">
        <f>PV_DATA[[#This Row],[QUANTITY]]*PV_DATA[[#This Row],[WATT]]/1000000</f>
        <v>2.1532499999999999</v>
      </c>
      <c r="W472" s="466">
        <f>PV_DATA[[#This Row],[QUANTITY]]/PV_DATA[[#This Row],[Qty/Pallet]]</f>
        <v>90</v>
      </c>
      <c r="X472" s="1044">
        <f>PV_DATA[[#This Row],[QUANTITY]]/PV_DATA[[#This Row],[Qty/CT]]</f>
        <v>5</v>
      </c>
      <c r="Y472" s="431" t="s">
        <v>951</v>
      </c>
      <c r="Z472" s="430" t="str">
        <f t="shared" si="4"/>
        <v>COMPLETED</v>
      </c>
      <c r="AB472" s="441">
        <v>46142</v>
      </c>
      <c r="AC472" s="445">
        <f>IF(PV_DATA[[#This Row],[Pick- Up Date]]&lt;&gt;"",_xlfn.ISOWEEKNUM(PV_DATA[[#This Row],[Pick- Up Date]]),"")</f>
        <v>18</v>
      </c>
      <c r="AD472" s="431" t="s">
        <v>2311</v>
      </c>
      <c r="AF472" s="431" t="s">
        <v>122</v>
      </c>
      <c r="AG472" s="431" t="s">
        <v>123</v>
      </c>
      <c r="AH472" s="431" t="s">
        <v>2301</v>
      </c>
      <c r="AI472" s="441">
        <v>46148</v>
      </c>
      <c r="AJ472" s="441">
        <v>46148</v>
      </c>
      <c r="AK472" s="441">
        <v>46148</v>
      </c>
      <c r="AL472" s="441">
        <v>46199</v>
      </c>
      <c r="AM472" s="441">
        <v>46210</v>
      </c>
      <c r="AN472" s="441">
        <v>46211</v>
      </c>
      <c r="AO472" s="431" t="s">
        <v>402</v>
      </c>
      <c r="AP472" s="431" t="s">
        <v>2312</v>
      </c>
      <c r="AQ472" s="431" t="s">
        <v>161</v>
      </c>
      <c r="AR472" s="431" t="s">
        <v>2313</v>
      </c>
      <c r="AS472" s="431" t="s">
        <v>2314</v>
      </c>
      <c r="AT472" s="482" t="s">
        <v>2315</v>
      </c>
      <c r="AU4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1"/>
      <c r="AW472" s="441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1">
        <f>IF(ISERROR(PV_DATA[[#This Row],[New Ark PO status]]),"",_xlfn.XLOOKUP(PV_DATA[[#This Row],[SPTN-PVHK New Ark PO'#]],New_Ark_Data[Purchase order Number],New_Ark_Data[Estimated time of arrival],"",0))</f>
        <v>46231</v>
      </c>
      <c r="AZ47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1">
        <f>IFERROR(PV_DATA[[#This Row],[ODP ETA Port]]+PV_DATA[[#This Row],[Customs/Leg3 Assumption]],"n/a")</f>
        <v>46218</v>
      </c>
      <c r="BB472" s="442">
        <f>YEAR(PV_DATA[[#This Row],[ETA for New Ark update]])</f>
        <v>2026</v>
      </c>
      <c r="BC472" s="431">
        <f>MONTH(PV_DATA[[#This Row],[ETA for New Ark update]])</f>
        <v>7</v>
      </c>
      <c r="BD472" s="431">
        <f>IFERROR(_xlfn.ISOWEEKNUM(PV_DATA[[#This Row],[ETA for New Ark update]]),0)</f>
        <v>29</v>
      </c>
      <c r="BE472" s="431">
        <f>_xlfn.XLOOKUP(PV_DATA[[#This Row],[New Ark SKU]],Table9[New Ark SKU],Table9[Total PCS per Pallet],,0)</f>
        <v>33</v>
      </c>
      <c r="BF472" s="431">
        <f>_xlfn.XLOOKUP(PV_DATA[[#This Row],[New Ark SKU]],Table9[New Ark SKU],Table9[Total PCS per 40HQ Container],,0)</f>
        <v>594</v>
      </c>
      <c r="BG472" s="431" t="str">
        <f>_xlfn.XLOOKUP(PV_DATA[[#This Row],[New Ark SKU]],Table9[New Ark SKU],Table9[Back Glass],,0)</f>
        <v>Transparent</v>
      </c>
      <c r="BH472" s="431" t="str">
        <f>_xlfn.XLOOKUP(PV_DATA[[#This Row],[PORT DESTINATION]],Table12[PORT DESTINATION],Table12[Cosco Line],,0)</f>
        <v>AEU</v>
      </c>
    </row>
    <row r="473" spans="1:60" s="431" customFormat="1" ht="10.5">
      <c r="A473" s="439" t="s">
        <v>2316</v>
      </c>
      <c r="B473" s="439" t="s">
        <v>111</v>
      </c>
      <c r="C473" s="439" t="str">
        <f>IFERROR(LEFT(PV_DATA[[#This Row],[TCL REFERENCE]],FIND(".",PV_DATA[[#This Row],[TCL REFERENCE]],1)-1),"Main Line")</f>
        <v>26Apr002</v>
      </c>
      <c r="D473" s="439" t="s">
        <v>113</v>
      </c>
      <c r="E473" s="439" t="s">
        <v>64</v>
      </c>
      <c r="F473" s="462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39" t="s">
        <v>402</v>
      </c>
      <c r="H473" s="439" t="s">
        <v>451</v>
      </c>
      <c r="I473" s="439" t="s">
        <v>822</v>
      </c>
      <c r="J473" s="431" t="s">
        <v>2298</v>
      </c>
      <c r="M473" s="431" t="s">
        <v>68</v>
      </c>
      <c r="N473" s="461">
        <v>46132</v>
      </c>
      <c r="O473" s="431" t="s">
        <v>70</v>
      </c>
      <c r="P473" s="431" t="s">
        <v>2299</v>
      </c>
      <c r="Q473" s="431" t="s">
        <v>1682</v>
      </c>
      <c r="R473" s="431" t="str">
        <f>_xlfn.XLOOKUP(PV_DATA[[#This Row],[New Ark SKU]],Table9[New Ark SKU],Table9[Connector],,0)</f>
        <v>EVO2A</v>
      </c>
      <c r="S473" s="442" t="str">
        <f>_xlfn.XLOOKUP(PV_DATA[[#This Row],[New Ark SKU]],Table9[New Ark SKU],Table9[Cable],,0)</f>
        <v>+400mm/-200mm</v>
      </c>
      <c r="T473" s="442">
        <v>730</v>
      </c>
      <c r="U473" s="1093">
        <f>594*5</f>
        <v>2970</v>
      </c>
      <c r="V473" s="448">
        <f>PV_DATA[[#This Row],[QUANTITY]]*PV_DATA[[#This Row],[WATT]]/1000000</f>
        <v>2.1680999999999999</v>
      </c>
      <c r="W473" s="466">
        <f>PV_DATA[[#This Row],[QUANTITY]]/PV_DATA[[#This Row],[Qty/Pallet]]</f>
        <v>90</v>
      </c>
      <c r="X473" s="1044">
        <f>PV_DATA[[#This Row],[QUANTITY]]/PV_DATA[[#This Row],[Qty/CT]]</f>
        <v>5</v>
      </c>
      <c r="Y473" s="431" t="s">
        <v>951</v>
      </c>
      <c r="Z473" s="430" t="str">
        <f t="shared" si="4"/>
        <v>COMPLETED</v>
      </c>
      <c r="AB473" s="441">
        <v>46142</v>
      </c>
      <c r="AC473" s="445">
        <f>IF(PV_DATA[[#This Row],[Pick- Up Date]]&lt;&gt;"",_xlfn.ISOWEEKNUM(PV_DATA[[#This Row],[Pick- Up Date]]),"")</f>
        <v>18</v>
      </c>
      <c r="AD473" s="431" t="s">
        <v>2317</v>
      </c>
      <c r="AF473" s="431" t="s">
        <v>122</v>
      </c>
      <c r="AG473" s="431" t="s">
        <v>123</v>
      </c>
      <c r="AH473" s="431" t="s">
        <v>2301</v>
      </c>
      <c r="AI473" s="441">
        <v>46148</v>
      </c>
      <c r="AJ473" s="441">
        <v>46148</v>
      </c>
      <c r="AK473" s="441">
        <v>46148</v>
      </c>
      <c r="AL473" s="441">
        <v>46199</v>
      </c>
      <c r="AM473" s="441">
        <v>46210</v>
      </c>
      <c r="AN473" s="441">
        <v>46211</v>
      </c>
      <c r="AO473" s="431" t="s">
        <v>402</v>
      </c>
      <c r="AP473" s="431" t="s">
        <v>2312</v>
      </c>
      <c r="AQ473" s="431" t="s">
        <v>161</v>
      </c>
      <c r="AR473" s="431" t="s">
        <v>2313</v>
      </c>
      <c r="AS473" s="431" t="s">
        <v>2314</v>
      </c>
      <c r="AT473" s="482" t="s">
        <v>2315</v>
      </c>
      <c r="AU4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1"/>
      <c r="AW473" s="441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1">
        <f>IF(ISERROR(PV_DATA[[#This Row],[New Ark PO status]]),"",_xlfn.XLOOKUP(PV_DATA[[#This Row],[SPTN-PVHK New Ark PO'#]],New_Ark_Data[Purchase order Number],New_Ark_Data[Estimated time of arrival],"",0))</f>
        <v>46231</v>
      </c>
      <c r="AZ4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1">
        <f>IFERROR(PV_DATA[[#This Row],[ODP ETA Port]]+PV_DATA[[#This Row],[Customs/Leg3 Assumption]],"n/a")</f>
        <v>46218</v>
      </c>
      <c r="BB473" s="442">
        <f>YEAR(PV_DATA[[#This Row],[ETA for New Ark update]])</f>
        <v>2026</v>
      </c>
      <c r="BC473" s="431">
        <f>MONTH(PV_DATA[[#This Row],[ETA for New Ark update]])</f>
        <v>7</v>
      </c>
      <c r="BD473" s="431">
        <f>IFERROR(_xlfn.ISOWEEKNUM(PV_DATA[[#This Row],[ETA for New Ark update]]),0)</f>
        <v>29</v>
      </c>
      <c r="BE473" s="431">
        <f>_xlfn.XLOOKUP(PV_DATA[[#This Row],[New Ark SKU]],Table9[New Ark SKU],Table9[Total PCS per Pallet],,0)</f>
        <v>33</v>
      </c>
      <c r="BF473" s="431">
        <f>_xlfn.XLOOKUP(PV_DATA[[#This Row],[New Ark SKU]],Table9[New Ark SKU],Table9[Total PCS per 40HQ Container],,0)</f>
        <v>594</v>
      </c>
      <c r="BG473" s="431" t="str">
        <f>_xlfn.XLOOKUP(PV_DATA[[#This Row],[New Ark SKU]],Table9[New Ark SKU],Table9[Back Glass],,0)</f>
        <v>Transparent</v>
      </c>
      <c r="BH473" s="431" t="str">
        <f>_xlfn.XLOOKUP(PV_DATA[[#This Row],[PORT DESTINATION]],Table12[PORT DESTINATION],Table12[Cosco Line],,0)</f>
        <v>AEU</v>
      </c>
    </row>
    <row r="474" spans="1:60" s="431" customFormat="1" ht="10.5">
      <c r="A474" s="439" t="s">
        <v>2318</v>
      </c>
      <c r="B474" s="439" t="s">
        <v>2132</v>
      </c>
      <c r="C474" s="439" t="str">
        <f>IFERROR(LEFT(PV_DATA[[#This Row],[TCL REFERENCE]],FIND(".",PV_DATA[[#This Row],[TCL REFERENCE]],1)-1),"Main Line")</f>
        <v>26Apr005</v>
      </c>
      <c r="D474" s="439" t="s">
        <v>63</v>
      </c>
      <c r="E474" s="439" t="s">
        <v>64</v>
      </c>
      <c r="F474" s="462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39" t="s">
        <v>402</v>
      </c>
      <c r="H474" s="439" t="s">
        <v>67</v>
      </c>
      <c r="I474" s="439" t="s">
        <v>1395</v>
      </c>
      <c r="J474" s="430" t="s">
        <v>96</v>
      </c>
      <c r="M474" s="431" t="s">
        <v>68</v>
      </c>
      <c r="N474" s="432" t="s">
        <v>68</v>
      </c>
      <c r="O474" s="431" t="s">
        <v>550</v>
      </c>
      <c r="P474" s="431" t="s">
        <v>551</v>
      </c>
      <c r="Q474" s="431" t="s">
        <v>2151</v>
      </c>
      <c r="R474" s="431" t="str">
        <f>_xlfn.XLOOKUP(PV_DATA[[#This Row],[New Ark SKU]],Table9[New Ark SKU],Table9[Connector],,0)</f>
        <v>EVO2A</v>
      </c>
      <c r="S474" s="442" t="str">
        <f>_xlfn.XLOOKUP(PV_DATA[[#This Row],[New Ark SKU]],Table9[New Ark SKU],Table9[Cable],,0)</f>
        <v>±1350mm</v>
      </c>
      <c r="T474" s="442">
        <v>510</v>
      </c>
      <c r="U474" s="1093">
        <f>792*4</f>
        <v>3168</v>
      </c>
      <c r="V474" s="434">
        <f>PV_DATA[[#This Row],[QUANTITY]]*PV_DATA[[#This Row],[WATT]]/1000000</f>
        <v>1.61568</v>
      </c>
      <c r="W474" s="466">
        <f>PV_DATA[[#This Row],[QUANTITY]]/PV_DATA[[#This Row],[Qty/Pallet]]</f>
        <v>88</v>
      </c>
      <c r="X474" s="1044">
        <f>PV_DATA[[#This Row],[QUANTITY]]/PV_DATA[[#This Row],[Qty/CT]]</f>
        <v>4</v>
      </c>
      <c r="Y474" s="431" t="s">
        <v>951</v>
      </c>
      <c r="Z474" s="430" t="str">
        <f t="shared" si="4"/>
        <v>COMPLETED</v>
      </c>
      <c r="AA474" s="431" t="s">
        <v>2319</v>
      </c>
      <c r="AB474" s="441">
        <v>46140</v>
      </c>
      <c r="AC474" s="467">
        <f>IF(PV_DATA[[#This Row],[Pick- Up Date]]&lt;&gt;"",_xlfn.ISOWEEKNUM(PV_DATA[[#This Row],[Pick- Up Date]]),"")</f>
        <v>18</v>
      </c>
      <c r="AD474" s="431" t="s">
        <v>2320</v>
      </c>
      <c r="AF474" s="431" t="s">
        <v>123</v>
      </c>
      <c r="AG474" s="431" t="s">
        <v>123</v>
      </c>
      <c r="AH474" s="431" t="s">
        <v>356</v>
      </c>
      <c r="AI474" s="441">
        <v>46144</v>
      </c>
      <c r="AJ474" s="441">
        <v>46145</v>
      </c>
      <c r="AK474" s="441">
        <v>46145</v>
      </c>
      <c r="AL474" s="441">
        <v>46181</v>
      </c>
      <c r="AM474" s="455">
        <v>46183</v>
      </c>
      <c r="AN474" s="455">
        <v>46183</v>
      </c>
      <c r="AO474" s="431" t="s">
        <v>402</v>
      </c>
      <c r="AP474" s="431" t="s">
        <v>2321</v>
      </c>
      <c r="AQ474" s="431" t="s">
        <v>161</v>
      </c>
      <c r="AR474" s="431" t="s">
        <v>2322</v>
      </c>
      <c r="AS474" s="431" t="s">
        <v>2323</v>
      </c>
      <c r="AT474" s="482" t="s">
        <v>2323</v>
      </c>
      <c r="AU4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1"/>
      <c r="AW474" s="441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1">
        <f>IF(ISERROR(PV_DATA[[#This Row],[New Ark PO status]]),"",_xlfn.XLOOKUP(PV_DATA[[#This Row],[SPTN-PVHK New Ark PO'#]],New_Ark_Data[Purchase order Number],New_Ark_Data[Estimated time of arrival],"",0))</f>
        <v>46198</v>
      </c>
      <c r="AZ47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74" s="441">
        <f>IFERROR(PV_DATA[[#This Row],[ODP ETA Port]]+PV_DATA[[#This Row],[Customs/Leg3 Assumption]],"n/a")</f>
        <v>46193</v>
      </c>
      <c r="BB474" s="442">
        <f>YEAR(PV_DATA[[#This Row],[ETA for New Ark update]])</f>
        <v>2026</v>
      </c>
      <c r="BC474" s="431">
        <f>MONTH(PV_DATA[[#This Row],[ETA for New Ark update]])</f>
        <v>6</v>
      </c>
      <c r="BD474" s="431">
        <f>IFERROR(_xlfn.ISOWEEKNUM(PV_DATA[[#This Row],[ETA for New Ark update]]),0)</f>
        <v>25</v>
      </c>
      <c r="BE474" s="431">
        <f>_xlfn.XLOOKUP(PV_DATA[[#This Row],[New Ark SKU]],Table9[New Ark SKU],Table9[Total PCS per Pallet],,0)</f>
        <v>36</v>
      </c>
      <c r="BF474" s="431">
        <f>_xlfn.XLOOKUP(PV_DATA[[#This Row],[New Ark SKU]],Table9[New Ark SKU],Table9[Total PCS per 40HQ Container],,0)</f>
        <v>792</v>
      </c>
      <c r="BG474" s="431" t="str">
        <f>_xlfn.XLOOKUP(PV_DATA[[#This Row],[New Ark SKU]],Table9[New Ark SKU],Table9[Back Glass],,0)</f>
        <v>Black glazing</v>
      </c>
      <c r="BH474" s="431" t="str">
        <f>_xlfn.XLOOKUP(PV_DATA[[#This Row],[PORT DESTINATION]],Table12[PORT DESTINATION],Table12[Cosco Line],,0)</f>
        <v>AEU</v>
      </c>
    </row>
    <row r="475" spans="1:60" s="431" customFormat="1">
      <c r="A475" s="439" t="s">
        <v>1016</v>
      </c>
      <c r="B475" s="439" t="s">
        <v>1888</v>
      </c>
      <c r="C475" s="439" t="str">
        <f>IFERROR(LEFT(PV_DATA[[#This Row],[TCL REFERENCE]],FIND(".",PV_DATA[[#This Row],[TCL REFERENCE]],1)-1),"Main Line")</f>
        <v>Main Line</v>
      </c>
      <c r="D475" s="439" t="s">
        <v>63</v>
      </c>
      <c r="E475" s="439" t="s">
        <v>64</v>
      </c>
      <c r="F475" s="462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39" t="s">
        <v>402</v>
      </c>
      <c r="H475" s="439" t="s">
        <v>67</v>
      </c>
      <c r="I475" s="439" t="s">
        <v>689</v>
      </c>
      <c r="J475" s="430" t="s">
        <v>96</v>
      </c>
      <c r="M475" s="431" t="s">
        <v>68</v>
      </c>
      <c r="N475" s="461">
        <v>46111</v>
      </c>
      <c r="O475" s="431" t="s">
        <v>70</v>
      </c>
      <c r="P475" s="431" t="s">
        <v>195</v>
      </c>
      <c r="Q475" s="431" t="s">
        <v>196</v>
      </c>
      <c r="R475" s="431" t="str">
        <f>_xlfn.XLOOKUP(PV_DATA[[#This Row],[New Ark SKU]],Table9[New Ark SKU],Table9[Connector],,0)</f>
        <v>EVO2A</v>
      </c>
      <c r="S475" s="442" t="str">
        <f>_xlfn.XLOOKUP(PV_DATA[[#This Row],[New Ark SKU]],Table9[New Ark SKU],Table9[Cable],,0)</f>
        <v>±1200mm</v>
      </c>
      <c r="T475" s="442">
        <v>450</v>
      </c>
      <c r="U475" s="1093" cm="1">
        <f t="array" ref="U475">89856-fx_qty</f>
        <v>3744</v>
      </c>
      <c r="V475" s="448">
        <f>PV_DATA[[#This Row],[QUANTITY]]*PV_DATA[[#This Row],[WATT]]/1000000</f>
        <v>1.6848000000000001</v>
      </c>
      <c r="W475" s="466">
        <f>PV_DATA[[#This Row],[QUANTITY]]/PV_DATA[[#This Row],[Qty/Pallet]]</f>
        <v>104</v>
      </c>
      <c r="X475" s="1044">
        <f>PV_DATA[[#This Row],[QUANTITY]]/PV_DATA[[#This Row],[Qty/CT]]</f>
        <v>4</v>
      </c>
      <c r="Y475" s="431" t="s">
        <v>951</v>
      </c>
      <c r="Z475" s="430" t="str">
        <f t="shared" si="4"/>
        <v>COMPLETED</v>
      </c>
      <c r="AA475" s="431" t="s">
        <v>2038</v>
      </c>
      <c r="AB475" s="441">
        <v>46139</v>
      </c>
      <c r="AC475" s="445">
        <f>IF(PV_DATA[[#This Row],[Pick- Up Date]]&lt;&gt;"",_xlfn.ISOWEEKNUM(PV_DATA[[#This Row],[Pick- Up Date]]),"")</f>
        <v>18</v>
      </c>
      <c r="AD475" s="431" t="s">
        <v>2324</v>
      </c>
      <c r="AF475" s="431" t="s">
        <v>4420</v>
      </c>
      <c r="AG475" s="431" t="s">
        <v>123</v>
      </c>
      <c r="AH475" s="431" t="s">
        <v>105</v>
      </c>
      <c r="AI475" s="441">
        <v>46144</v>
      </c>
      <c r="AJ475" s="441">
        <v>46147</v>
      </c>
      <c r="AK475" s="441">
        <v>46147</v>
      </c>
      <c r="AL475" s="441">
        <v>46186</v>
      </c>
      <c r="AM475" s="441">
        <v>46200</v>
      </c>
      <c r="AN475" s="586">
        <v>46201</v>
      </c>
      <c r="AO475" s="431" t="s">
        <v>402</v>
      </c>
      <c r="AP475" s="431" t="s">
        <v>2302</v>
      </c>
      <c r="AQ475" s="431" t="s">
        <v>161</v>
      </c>
      <c r="AR475" s="431" t="s">
        <v>2325</v>
      </c>
      <c r="AS475" s="431" t="s">
        <v>2326</v>
      </c>
      <c r="AT475" s="482" t="s">
        <v>2326</v>
      </c>
      <c r="AU4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1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1">
        <f>IF(ISERROR(PV_DATA[[#This Row],[New Ark PO status]]),"",_xlfn.XLOOKUP(PV_DATA[[#This Row],[SPTN-PVHK New Ark PO'#]],New_Ark_Data[Purchase order Number],New_Ark_Data[Estimated time of arrival],"",0))</f>
        <v>46213</v>
      </c>
      <c r="AZ47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1">
        <f>IFERROR(PV_DATA[[#This Row],[ODP ETA Port]]+PV_DATA[[#This Row],[Customs/Leg3 Assumption]],"n/a")</f>
        <v>46208</v>
      </c>
      <c r="BB475" s="442">
        <f>YEAR(PV_DATA[[#This Row],[ETA for New Ark update]])</f>
        <v>2026</v>
      </c>
      <c r="BC475" s="431">
        <f>MONTH(PV_DATA[[#This Row],[ETA for New Ark update]])</f>
        <v>7</v>
      </c>
      <c r="BD475" s="431">
        <f>IFERROR(_xlfn.ISOWEEKNUM(PV_DATA[[#This Row],[ETA for New Ark update]]),0)</f>
        <v>27</v>
      </c>
      <c r="BE475" s="431">
        <f>_xlfn.XLOOKUP(PV_DATA[[#This Row],[New Ark SKU]],Table9[New Ark SKU],Table9[Total PCS per Pallet],,0)</f>
        <v>36</v>
      </c>
      <c r="BF475" s="431">
        <f>_xlfn.XLOOKUP(PV_DATA[[#This Row],[New Ark SKU]],Table9[New Ark SKU],Table9[Total PCS per 40HQ Container],,0)</f>
        <v>936</v>
      </c>
      <c r="BG475" s="431" t="str">
        <f>_xlfn.XLOOKUP(PV_DATA[[#This Row],[New Ark SKU]],Table9[New Ark SKU],Table9[Back Glass],,0)</f>
        <v>Black glazing</v>
      </c>
      <c r="BH475" s="431" t="str">
        <f>_xlfn.XLOOKUP(PV_DATA[[#This Row],[PORT DESTINATION]],Table12[PORT DESTINATION],Table12[Cosco Line],,0)</f>
        <v>AEU</v>
      </c>
    </row>
    <row r="476" spans="1:60" s="431" customFormat="1" ht="10.5">
      <c r="A476" s="439" t="s">
        <v>2327</v>
      </c>
      <c r="B476" s="439" t="s">
        <v>2132</v>
      </c>
      <c r="C476" s="439" t="str">
        <f>IFERROR(LEFT(PV_DATA[[#This Row],[TCL REFERENCE]],FIND(".",PV_DATA[[#This Row],[TCL REFERENCE]],1)-1),"Main Line")</f>
        <v>26Apr005</v>
      </c>
      <c r="D476" s="439" t="s">
        <v>63</v>
      </c>
      <c r="E476" s="439" t="s">
        <v>64</v>
      </c>
      <c r="F476" s="462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39" t="s">
        <v>402</v>
      </c>
      <c r="H476" s="439" t="s">
        <v>67</v>
      </c>
      <c r="I476" s="439" t="s">
        <v>882</v>
      </c>
      <c r="J476" s="430" t="s">
        <v>96</v>
      </c>
      <c r="M476" s="431" t="s">
        <v>68</v>
      </c>
      <c r="N476" s="432" t="s">
        <v>68</v>
      </c>
      <c r="O476" s="431" t="s">
        <v>550</v>
      </c>
      <c r="P476" s="431" t="s">
        <v>551</v>
      </c>
      <c r="Q476" s="431" t="s">
        <v>2151</v>
      </c>
      <c r="R476" s="431" t="str">
        <f>_xlfn.XLOOKUP(PV_DATA[[#This Row],[New Ark SKU]],Table9[New Ark SKU],Table9[Connector],,0)</f>
        <v>EVO2A</v>
      </c>
      <c r="S476" s="442" t="str">
        <f>_xlfn.XLOOKUP(PV_DATA[[#This Row],[New Ark SKU]],Table9[New Ark SKU],Table9[Cable],,0)</f>
        <v>±1350mm</v>
      </c>
      <c r="T476" s="442">
        <v>510</v>
      </c>
      <c r="U476" s="1093">
        <v>1584</v>
      </c>
      <c r="V476" s="434">
        <f>PV_DATA[[#This Row],[QUANTITY]]*PV_DATA[[#This Row],[WATT]]/1000000</f>
        <v>0.80784</v>
      </c>
      <c r="W476" s="466">
        <f>PV_DATA[[#This Row],[QUANTITY]]/PV_DATA[[#This Row],[Qty/Pallet]]</f>
        <v>44</v>
      </c>
      <c r="X476" s="1044">
        <f>PV_DATA[[#This Row],[QUANTITY]]/PV_DATA[[#This Row],[Qty/CT]]</f>
        <v>2</v>
      </c>
      <c r="Y476" s="431" t="s">
        <v>951</v>
      </c>
      <c r="Z476" s="430" t="str">
        <f t="shared" si="4"/>
        <v>COMPLETED</v>
      </c>
      <c r="AA476" s="431" t="s">
        <v>2328</v>
      </c>
      <c r="AB476" s="441">
        <v>46139</v>
      </c>
      <c r="AC476" s="467">
        <f>IF(PV_DATA[[#This Row],[Pick- Up Date]]&lt;&gt;"",_xlfn.ISOWEEKNUM(PV_DATA[[#This Row],[Pick- Up Date]]),"")</f>
        <v>18</v>
      </c>
      <c r="AD476" s="431" t="s">
        <v>2329</v>
      </c>
      <c r="AF476" s="431" t="s">
        <v>123</v>
      </c>
      <c r="AG476" s="431" t="s">
        <v>123</v>
      </c>
      <c r="AH476" s="431" t="s">
        <v>105</v>
      </c>
      <c r="AI476" s="441">
        <v>46144</v>
      </c>
      <c r="AJ476" s="441">
        <v>46147</v>
      </c>
      <c r="AK476" s="441">
        <v>46147</v>
      </c>
      <c r="AL476" s="441">
        <v>46186</v>
      </c>
      <c r="AM476" s="441">
        <v>46200</v>
      </c>
      <c r="AN476" s="586">
        <v>46201</v>
      </c>
      <c r="AO476" s="431" t="s">
        <v>402</v>
      </c>
      <c r="AP476" s="431" t="s">
        <v>2302</v>
      </c>
      <c r="AQ476" s="431" t="s">
        <v>161</v>
      </c>
      <c r="AR476" s="431" t="s">
        <v>2330</v>
      </c>
      <c r="AS476" s="431" t="s">
        <v>2331</v>
      </c>
      <c r="AT476" s="482" t="s">
        <v>2331</v>
      </c>
      <c r="AU4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1"/>
      <c r="AW476" s="441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1">
        <f>IF(ISERROR(PV_DATA[[#This Row],[New Ark PO status]]),"",_xlfn.XLOOKUP(PV_DATA[[#This Row],[SPTN-PVHK New Ark PO'#]],New_Ark_Data[Purchase order Number],New_Ark_Data[Estimated time of arrival],"",0))</f>
        <v>46213</v>
      </c>
      <c r="AZ4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1">
        <f>IFERROR(PV_DATA[[#This Row],[ODP ETA Port]]+PV_DATA[[#This Row],[Customs/Leg3 Assumption]],"n/a")</f>
        <v>46208</v>
      </c>
      <c r="BB476" s="442">
        <f>YEAR(PV_DATA[[#This Row],[ETA for New Ark update]])</f>
        <v>2026</v>
      </c>
      <c r="BC476" s="431">
        <f>MONTH(PV_DATA[[#This Row],[ETA for New Ark update]])</f>
        <v>7</v>
      </c>
      <c r="BD476" s="431">
        <f>IFERROR(_xlfn.ISOWEEKNUM(PV_DATA[[#This Row],[ETA for New Ark update]]),0)</f>
        <v>27</v>
      </c>
      <c r="BE476" s="431">
        <f>_xlfn.XLOOKUP(PV_DATA[[#This Row],[New Ark SKU]],Table9[New Ark SKU],Table9[Total PCS per Pallet],,0)</f>
        <v>36</v>
      </c>
      <c r="BF476" s="431">
        <f>_xlfn.XLOOKUP(PV_DATA[[#This Row],[New Ark SKU]],Table9[New Ark SKU],Table9[Total PCS per 40HQ Container],,0)</f>
        <v>792</v>
      </c>
      <c r="BG476" s="431" t="str">
        <f>_xlfn.XLOOKUP(PV_DATA[[#This Row],[New Ark SKU]],Table9[New Ark SKU],Table9[Back Glass],,0)</f>
        <v>Black glazing</v>
      </c>
      <c r="BH476" s="431" t="str">
        <f>_xlfn.XLOOKUP(PV_DATA[[#This Row],[PORT DESTINATION]],Table12[PORT DESTINATION],Table12[Cosco Line],,0)</f>
        <v>AEU</v>
      </c>
    </row>
    <row r="477" spans="1:60" s="431" customFormat="1" ht="10.5">
      <c r="A477" s="439" t="s">
        <v>2332</v>
      </c>
      <c r="B477" s="439" t="s">
        <v>2132</v>
      </c>
      <c r="C477" s="439" t="str">
        <f>IFERROR(LEFT(PV_DATA[[#This Row],[TCL REFERENCE]],FIND(".",PV_DATA[[#This Row],[TCL REFERENCE]],1)-1),"Main Line")</f>
        <v>26Apr006</v>
      </c>
      <c r="D477" s="439" t="s">
        <v>63</v>
      </c>
      <c r="E477" s="439" t="s">
        <v>64</v>
      </c>
      <c r="F477" s="462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39" t="s">
        <v>402</v>
      </c>
      <c r="H477" s="439" t="s">
        <v>67</v>
      </c>
      <c r="I477" s="439" t="s">
        <v>1395</v>
      </c>
      <c r="J477" s="430" t="s">
        <v>96</v>
      </c>
      <c r="M477" s="431" t="s">
        <v>68</v>
      </c>
      <c r="N477" s="432" t="s">
        <v>68</v>
      </c>
      <c r="O477" s="431" t="s">
        <v>550</v>
      </c>
      <c r="P477" s="431" t="s">
        <v>2134</v>
      </c>
      <c r="Q477" s="431" t="s">
        <v>2135</v>
      </c>
      <c r="R477" s="431" t="str">
        <f>_xlfn.XLOOKUP(PV_DATA[[#This Row],[New Ark SKU]],Table9[New Ark SKU],Table9[Connector],,0)</f>
        <v>EVO2A</v>
      </c>
      <c r="S477" s="442" t="str">
        <f>_xlfn.XLOOKUP(PV_DATA[[#This Row],[New Ark SKU]],Table9[New Ark SKU],Table9[Cable],,0)</f>
        <v>±1350mm</v>
      </c>
      <c r="T477" s="442">
        <v>515</v>
      </c>
      <c r="U477" s="1093">
        <v>1584</v>
      </c>
      <c r="V477" s="434">
        <f>PV_DATA[[#This Row],[QUANTITY]]*PV_DATA[[#This Row],[WATT]]/1000000</f>
        <v>0.81576000000000004</v>
      </c>
      <c r="W477" s="466">
        <f>PV_DATA[[#This Row],[QUANTITY]]/PV_DATA[[#This Row],[Qty/Pallet]]</f>
        <v>44</v>
      </c>
      <c r="X477" s="1044">
        <f>PV_DATA[[#This Row],[QUANTITY]]/PV_DATA[[#This Row],[Qty/CT]]</f>
        <v>2</v>
      </c>
      <c r="Y477" s="431" t="s">
        <v>951</v>
      </c>
      <c r="Z477" s="430" t="str">
        <f t="shared" si="4"/>
        <v>COMPLETED</v>
      </c>
      <c r="AA477" s="441" t="s">
        <v>2328</v>
      </c>
      <c r="AB477" s="441">
        <v>46139</v>
      </c>
      <c r="AC477" s="467">
        <f>IF(PV_DATA[[#This Row],[Pick- Up Date]]&lt;&gt;"",_xlfn.ISOWEEKNUM(PV_DATA[[#This Row],[Pick- Up Date]]),"")</f>
        <v>18</v>
      </c>
      <c r="AD477" s="431" t="s">
        <v>2333</v>
      </c>
      <c r="AF477" s="431" t="s">
        <v>123</v>
      </c>
      <c r="AG477" s="431" t="s">
        <v>123</v>
      </c>
      <c r="AH477" s="431" t="s">
        <v>105</v>
      </c>
      <c r="AI477" s="441">
        <v>46144</v>
      </c>
      <c r="AJ477" s="441">
        <v>46147</v>
      </c>
      <c r="AK477" s="441">
        <v>46147</v>
      </c>
      <c r="AL477" s="441">
        <v>46186</v>
      </c>
      <c r="AM477" s="441">
        <v>46200</v>
      </c>
      <c r="AN477" s="586">
        <v>46201</v>
      </c>
      <c r="AO477" s="431" t="s">
        <v>402</v>
      </c>
      <c r="AP477" s="431" t="s">
        <v>2302</v>
      </c>
      <c r="AQ477" s="431" t="s">
        <v>161</v>
      </c>
      <c r="AR477" s="431" t="s">
        <v>2330</v>
      </c>
      <c r="AS477" s="431" t="s">
        <v>2331</v>
      </c>
      <c r="AT477" s="482" t="s">
        <v>2331</v>
      </c>
      <c r="AU4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1"/>
      <c r="AW477" s="441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1">
        <f>IF(ISERROR(PV_DATA[[#This Row],[New Ark PO status]]),"",_xlfn.XLOOKUP(PV_DATA[[#This Row],[SPTN-PVHK New Ark PO'#]],New_Ark_Data[Purchase order Number],New_Ark_Data[Estimated time of arrival],"",0))</f>
        <v>46213</v>
      </c>
      <c r="AZ47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1">
        <f>IFERROR(PV_DATA[[#This Row],[ODP ETA Port]]+PV_DATA[[#This Row],[Customs/Leg3 Assumption]],"n/a")</f>
        <v>46208</v>
      </c>
      <c r="BB477" s="442">
        <f>YEAR(PV_DATA[[#This Row],[ETA for New Ark update]])</f>
        <v>2026</v>
      </c>
      <c r="BC477" s="431">
        <f>MONTH(PV_DATA[[#This Row],[ETA for New Ark update]])</f>
        <v>7</v>
      </c>
      <c r="BD477" s="431">
        <f>IFERROR(_xlfn.ISOWEEKNUM(PV_DATA[[#This Row],[ETA for New Ark update]]),0)</f>
        <v>27</v>
      </c>
      <c r="BE477" s="431">
        <f>_xlfn.XLOOKUP(PV_DATA[[#This Row],[New Ark SKU]],Table9[New Ark SKU],Table9[Total PCS per Pallet],,0)</f>
        <v>36</v>
      </c>
      <c r="BF477" s="431">
        <f>_xlfn.XLOOKUP(PV_DATA[[#This Row],[New Ark SKU]],Table9[New Ark SKU],Table9[Total PCS per 40HQ Container],,0)</f>
        <v>792</v>
      </c>
      <c r="BG477" s="431" t="str">
        <f>_xlfn.XLOOKUP(PV_DATA[[#This Row],[New Ark SKU]],Table9[New Ark SKU],Table9[Back Glass],,0)</f>
        <v>Black glazing</v>
      </c>
      <c r="BH477" s="431" t="str">
        <f>_xlfn.XLOOKUP(PV_DATA[[#This Row],[PORT DESTINATION]],Table12[PORT DESTINATION],Table12[Cosco Line],,0)</f>
        <v>AEU</v>
      </c>
    </row>
    <row r="478" spans="1:60" s="431" customFormat="1" ht="10.5">
      <c r="A478" s="439" t="s">
        <v>2334</v>
      </c>
      <c r="B478" s="439" t="s">
        <v>111</v>
      </c>
      <c r="C478" s="439" t="str">
        <f>IFERROR(LEFT(PV_DATA[[#This Row],[TCL REFERENCE]],FIND(".",PV_DATA[[#This Row],[TCL REFERENCE]],1)-1),"Main Line")</f>
        <v>26Apr004</v>
      </c>
      <c r="D478" s="439" t="s">
        <v>63</v>
      </c>
      <c r="E478" s="439" t="s">
        <v>64</v>
      </c>
      <c r="F478" s="462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39" t="s">
        <v>402</v>
      </c>
      <c r="H478" s="439" t="s">
        <v>67</v>
      </c>
      <c r="I478" s="439" t="s">
        <v>689</v>
      </c>
      <c r="J478" s="430" t="s">
        <v>96</v>
      </c>
      <c r="M478" s="431" t="s">
        <v>68</v>
      </c>
      <c r="N478" s="461">
        <v>46139</v>
      </c>
      <c r="O478" s="431" t="s">
        <v>473</v>
      </c>
      <c r="P478" s="431" t="s">
        <v>474</v>
      </c>
      <c r="Q478" s="431" t="s">
        <v>1319</v>
      </c>
      <c r="R478" s="431" t="str">
        <f>_xlfn.XLOOKUP(PV_DATA[[#This Row],[New Ark SKU]],Table9[New Ark SKU],Table9[Connector],,0)</f>
        <v>EVO2A</v>
      </c>
      <c r="S478" s="442" t="str">
        <f>_xlfn.XLOOKUP(PV_DATA[[#This Row],[New Ark SKU]],Table9[New Ark SKU],Table9[Cable],,0)</f>
        <v>±1200mm</v>
      </c>
      <c r="T478" s="442">
        <v>460</v>
      </c>
      <c r="U478" s="1093">
        <f>864*2</f>
        <v>1728</v>
      </c>
      <c r="V478" s="448">
        <f>PV_DATA[[#This Row],[QUANTITY]]*PV_DATA[[#This Row],[WATT]]/1000000</f>
        <v>0.79488000000000003</v>
      </c>
      <c r="W478" s="466">
        <f>PV_DATA[[#This Row],[QUANTITY]]/PV_DATA[[#This Row],[Qty/Pallet]]</f>
        <v>48</v>
      </c>
      <c r="X478" s="1044">
        <f>PV_DATA[[#This Row],[QUANTITY]]/PV_DATA[[#This Row],[Qty/CT]]</f>
        <v>2</v>
      </c>
      <c r="Y478" s="431" t="s">
        <v>951</v>
      </c>
      <c r="Z478" s="430" t="str">
        <f t="shared" si="4"/>
        <v>COMPLETED</v>
      </c>
      <c r="AA478" s="447" t="s">
        <v>2183</v>
      </c>
      <c r="AB478" s="441">
        <v>46138</v>
      </c>
      <c r="AC478" s="445">
        <f>IF(PV_DATA[[#This Row],[Pick- Up Date]]&lt;&gt;"",_xlfn.ISOWEEKNUM(PV_DATA[[#This Row],[Pick- Up Date]]),"")</f>
        <v>17</v>
      </c>
      <c r="AD478" s="431" t="s">
        <v>2335</v>
      </c>
      <c r="AF478" s="431" t="s">
        <v>123</v>
      </c>
      <c r="AG478" s="431" t="s">
        <v>123</v>
      </c>
      <c r="AH478" s="431" t="s">
        <v>105</v>
      </c>
      <c r="AI478" s="441">
        <v>46144</v>
      </c>
      <c r="AJ478" s="441">
        <v>46147</v>
      </c>
      <c r="AK478" s="441">
        <v>46147</v>
      </c>
      <c r="AL478" s="441">
        <v>46186</v>
      </c>
      <c r="AM478" s="441">
        <v>46200</v>
      </c>
      <c r="AN478" s="586">
        <v>46201</v>
      </c>
      <c r="AO478" s="431" t="s">
        <v>402</v>
      </c>
      <c r="AP478" s="431" t="s">
        <v>2302</v>
      </c>
      <c r="AQ478" s="431" t="s">
        <v>161</v>
      </c>
      <c r="AR478" s="431" t="s">
        <v>2336</v>
      </c>
      <c r="AT478" s="482" t="s">
        <v>2337</v>
      </c>
      <c r="AU4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1"/>
      <c r="AW478" s="441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1">
        <f>IF(ISERROR(PV_DATA[[#This Row],[New Ark PO status]]),"",_xlfn.XLOOKUP(PV_DATA[[#This Row],[SPTN-PVHK New Ark PO'#]],New_Ark_Data[Purchase order Number],New_Ark_Data[Estimated time of arrival],"",0))</f>
        <v>46213</v>
      </c>
      <c r="AZ47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1">
        <f>IFERROR(PV_DATA[[#This Row],[ODP ETA Port]]+PV_DATA[[#This Row],[Customs/Leg3 Assumption]],"n/a")</f>
        <v>46208</v>
      </c>
      <c r="BB478" s="442">
        <f>YEAR(PV_DATA[[#This Row],[ETA for New Ark update]])</f>
        <v>2026</v>
      </c>
      <c r="BC478" s="431">
        <f>MONTH(PV_DATA[[#This Row],[ETA for New Ark update]])</f>
        <v>7</v>
      </c>
      <c r="BD478" s="431">
        <f>IFERROR(_xlfn.ISOWEEKNUM(PV_DATA[[#This Row],[ETA for New Ark update]]),0)</f>
        <v>27</v>
      </c>
      <c r="BE478" s="431">
        <f>_xlfn.XLOOKUP(PV_DATA[[#This Row],[New Ark SKU]],Table9[New Ark SKU],Table9[Total PCS per Pallet],,0)</f>
        <v>36</v>
      </c>
      <c r="BF478" s="431">
        <f>_xlfn.XLOOKUP(PV_DATA[[#This Row],[New Ark SKU]],Table9[New Ark SKU],Table9[Total PCS per 40HQ Container],,0)</f>
        <v>864</v>
      </c>
      <c r="BG478" s="431" t="str">
        <f>_xlfn.XLOOKUP(PV_DATA[[#This Row],[New Ark SKU]],Table9[New Ark SKU],Table9[Back Glass],,0)</f>
        <v>Black glazing</v>
      </c>
      <c r="BH478" s="431" t="str">
        <f>_xlfn.XLOOKUP(PV_DATA[[#This Row],[PORT DESTINATION]],Table12[PORT DESTINATION],Table12[Cosco Line],,0)</f>
        <v>AEU</v>
      </c>
    </row>
    <row r="479" spans="1:60" s="431" customFormat="1" ht="10.5">
      <c r="A479" s="439" t="s">
        <v>2338</v>
      </c>
      <c r="B479" s="439" t="s">
        <v>111</v>
      </c>
      <c r="C479" s="439" t="str">
        <f>IFERROR(LEFT(PV_DATA[[#This Row],[TCL REFERENCE]],FIND(".",PV_DATA[[#This Row],[TCL REFERENCE]],1)-1),"Main Line")</f>
        <v>26Apr004</v>
      </c>
      <c r="D479" s="439" t="s">
        <v>63</v>
      </c>
      <c r="E479" s="439" t="s">
        <v>64</v>
      </c>
      <c r="F479" s="462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39" t="s">
        <v>402</v>
      </c>
      <c r="H479" s="439" t="s">
        <v>67</v>
      </c>
      <c r="I479" s="439" t="s">
        <v>689</v>
      </c>
      <c r="J479" s="430" t="s">
        <v>96</v>
      </c>
      <c r="M479" s="431" t="s">
        <v>68</v>
      </c>
      <c r="N479" s="461">
        <v>46139</v>
      </c>
      <c r="O479" s="431" t="s">
        <v>473</v>
      </c>
      <c r="P479" s="431" t="s">
        <v>474</v>
      </c>
      <c r="Q479" s="431" t="s">
        <v>1319</v>
      </c>
      <c r="R479" s="431" t="str">
        <f>_xlfn.XLOOKUP(PV_DATA[[#This Row],[New Ark SKU]],Table9[New Ark SKU],Table9[Connector],,0)</f>
        <v>EVO2A</v>
      </c>
      <c r="S479" s="442" t="str">
        <f>_xlfn.XLOOKUP(PV_DATA[[#This Row],[New Ark SKU]],Table9[New Ark SKU],Table9[Cable],,0)</f>
        <v>±1200mm</v>
      </c>
      <c r="T479" s="442">
        <v>460</v>
      </c>
      <c r="U479" s="1093">
        <f>864*2</f>
        <v>1728</v>
      </c>
      <c r="V479" s="448">
        <f>PV_DATA[[#This Row],[QUANTITY]]*PV_DATA[[#This Row],[WATT]]/1000000</f>
        <v>0.79488000000000003</v>
      </c>
      <c r="W479" s="466">
        <f>PV_DATA[[#This Row],[QUANTITY]]/PV_DATA[[#This Row],[Qty/Pallet]]</f>
        <v>48</v>
      </c>
      <c r="X479" s="1044">
        <f>PV_DATA[[#This Row],[QUANTITY]]/PV_DATA[[#This Row],[Qty/CT]]</f>
        <v>2</v>
      </c>
      <c r="Y479" s="431" t="s">
        <v>951</v>
      </c>
      <c r="Z479" s="430" t="str">
        <f t="shared" si="4"/>
        <v>COMPLETED</v>
      </c>
      <c r="AA479" s="447" t="s">
        <v>2183</v>
      </c>
      <c r="AB479" s="441">
        <v>46138</v>
      </c>
      <c r="AC479" s="445">
        <f>IF(PV_DATA[[#This Row],[Pick- Up Date]]&lt;&gt;"",_xlfn.ISOWEEKNUM(PV_DATA[[#This Row],[Pick- Up Date]]),"")</f>
        <v>17</v>
      </c>
      <c r="AD479" s="431" t="s">
        <v>2339</v>
      </c>
      <c r="AF479" s="431" t="s">
        <v>123</v>
      </c>
      <c r="AG479" s="431" t="s">
        <v>123</v>
      </c>
      <c r="AH479" s="431" t="s">
        <v>105</v>
      </c>
      <c r="AI479" s="441">
        <v>46144</v>
      </c>
      <c r="AJ479" s="441">
        <v>46147</v>
      </c>
      <c r="AK479" s="441">
        <v>46147</v>
      </c>
      <c r="AL479" s="441">
        <v>46186</v>
      </c>
      <c r="AM479" s="441">
        <v>46200</v>
      </c>
      <c r="AN479" s="586">
        <v>46201</v>
      </c>
      <c r="AO479" s="431" t="s">
        <v>402</v>
      </c>
      <c r="AP479" s="431" t="s">
        <v>2302</v>
      </c>
      <c r="AQ479" s="431" t="s">
        <v>161</v>
      </c>
      <c r="AR479" s="431" t="s">
        <v>2336</v>
      </c>
      <c r="AT479" s="482" t="s">
        <v>2337</v>
      </c>
      <c r="AU4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1"/>
      <c r="AW479" s="441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1">
        <f>IF(ISERROR(PV_DATA[[#This Row],[New Ark PO status]]),"",_xlfn.XLOOKUP(PV_DATA[[#This Row],[SPTN-PVHK New Ark PO'#]],New_Ark_Data[Purchase order Number],New_Ark_Data[Estimated time of arrival],"",0))</f>
        <v>46213</v>
      </c>
      <c r="AZ47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1">
        <f>IFERROR(PV_DATA[[#This Row],[ODP ETA Port]]+PV_DATA[[#This Row],[Customs/Leg3 Assumption]],"n/a")</f>
        <v>46208</v>
      </c>
      <c r="BB479" s="442">
        <f>YEAR(PV_DATA[[#This Row],[ETA for New Ark update]])</f>
        <v>2026</v>
      </c>
      <c r="BC479" s="431">
        <f>MONTH(PV_DATA[[#This Row],[ETA for New Ark update]])</f>
        <v>7</v>
      </c>
      <c r="BD479" s="431">
        <f>IFERROR(_xlfn.ISOWEEKNUM(PV_DATA[[#This Row],[ETA for New Ark update]]),0)</f>
        <v>27</v>
      </c>
      <c r="BE479" s="431">
        <f>_xlfn.XLOOKUP(PV_DATA[[#This Row],[New Ark SKU]],Table9[New Ark SKU],Table9[Total PCS per Pallet],,0)</f>
        <v>36</v>
      </c>
      <c r="BF479" s="431">
        <f>_xlfn.XLOOKUP(PV_DATA[[#This Row],[New Ark SKU]],Table9[New Ark SKU],Table9[Total PCS per 40HQ Container],,0)</f>
        <v>864</v>
      </c>
      <c r="BG479" s="431" t="str">
        <f>_xlfn.XLOOKUP(PV_DATA[[#This Row],[New Ark SKU]],Table9[New Ark SKU],Table9[Back Glass],,0)</f>
        <v>Black glazing</v>
      </c>
      <c r="BH479" s="431" t="str">
        <f>_xlfn.XLOOKUP(PV_DATA[[#This Row],[PORT DESTINATION]],Table12[PORT DESTINATION],Table12[Cosco Line],,0)</f>
        <v>AEU</v>
      </c>
    </row>
    <row r="480" spans="1:60" s="431" customFormat="1" ht="10.5">
      <c r="A480" s="439" t="s">
        <v>2340</v>
      </c>
      <c r="B480" s="439" t="s">
        <v>111</v>
      </c>
      <c r="C480" s="439" t="str">
        <f>IFERROR(LEFT(PV_DATA[[#This Row],[TCL REFERENCE]],FIND(".",PV_DATA[[#This Row],[TCL REFERENCE]],1)-1),"Main Line")</f>
        <v>26Apr004</v>
      </c>
      <c r="D480" s="439" t="s">
        <v>63</v>
      </c>
      <c r="E480" s="439" t="s">
        <v>64</v>
      </c>
      <c r="F480" s="462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39" t="s">
        <v>402</v>
      </c>
      <c r="H480" s="439" t="s">
        <v>67</v>
      </c>
      <c r="I480" s="439" t="s">
        <v>689</v>
      </c>
      <c r="J480" s="430" t="s">
        <v>96</v>
      </c>
      <c r="M480" s="431" t="s">
        <v>68</v>
      </c>
      <c r="N480" s="461">
        <v>46139</v>
      </c>
      <c r="O480" s="431" t="s">
        <v>473</v>
      </c>
      <c r="P480" s="431" t="s">
        <v>474</v>
      </c>
      <c r="Q480" s="431" t="s">
        <v>1319</v>
      </c>
      <c r="R480" s="431" t="str">
        <f>_xlfn.XLOOKUP(PV_DATA[[#This Row],[New Ark SKU]],Table9[New Ark SKU],Table9[Connector],,0)</f>
        <v>EVO2A</v>
      </c>
      <c r="S480" s="442" t="str">
        <f>_xlfn.XLOOKUP(PV_DATA[[#This Row],[New Ark SKU]],Table9[New Ark SKU],Table9[Cable],,0)</f>
        <v>±1200mm</v>
      </c>
      <c r="T480" s="442">
        <v>460</v>
      </c>
      <c r="U480" s="1093">
        <v>2592</v>
      </c>
      <c r="V480" s="448">
        <f>PV_DATA[[#This Row],[QUANTITY]]*PV_DATA[[#This Row],[WATT]]/1000000</f>
        <v>1.19232</v>
      </c>
      <c r="W480" s="466">
        <f>PV_DATA[[#This Row],[QUANTITY]]/PV_DATA[[#This Row],[Qty/Pallet]]</f>
        <v>72</v>
      </c>
      <c r="X480" s="1044">
        <f>PV_DATA[[#This Row],[QUANTITY]]/PV_DATA[[#This Row],[Qty/CT]]</f>
        <v>3</v>
      </c>
      <c r="Y480" s="431" t="s">
        <v>951</v>
      </c>
      <c r="Z480" s="430" t="str">
        <f t="shared" si="4"/>
        <v>COMPLETED</v>
      </c>
      <c r="AB480" s="441">
        <v>46138</v>
      </c>
      <c r="AC480" s="445">
        <f>IF(PV_DATA[[#This Row],[Pick- Up Date]]&lt;&gt;"",_xlfn.ISOWEEKNUM(PV_DATA[[#This Row],[Pick- Up Date]]),"")</f>
        <v>17</v>
      </c>
      <c r="AD480" s="431" t="s">
        <v>2341</v>
      </c>
      <c r="AF480" s="431" t="s">
        <v>123</v>
      </c>
      <c r="AG480" s="431" t="s">
        <v>123</v>
      </c>
      <c r="AH480" s="431" t="s">
        <v>105</v>
      </c>
      <c r="AI480" s="441">
        <v>46144</v>
      </c>
      <c r="AJ480" s="441">
        <v>46147</v>
      </c>
      <c r="AK480" s="441">
        <v>46147</v>
      </c>
      <c r="AL480" s="441">
        <v>46186</v>
      </c>
      <c r="AM480" s="441">
        <v>46200</v>
      </c>
      <c r="AN480" s="586">
        <v>46201</v>
      </c>
      <c r="AO480" s="431" t="s">
        <v>402</v>
      </c>
      <c r="AP480" s="431" t="s">
        <v>2302</v>
      </c>
      <c r="AQ480" s="431" t="s">
        <v>161</v>
      </c>
      <c r="AR480" s="431" t="s">
        <v>2336</v>
      </c>
      <c r="AT480" s="482" t="s">
        <v>2337</v>
      </c>
      <c r="AU4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1"/>
      <c r="AW480" s="441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1">
        <f>IF(ISERROR(PV_DATA[[#This Row],[New Ark PO status]]),"",_xlfn.XLOOKUP(PV_DATA[[#This Row],[SPTN-PVHK New Ark PO'#]],New_Ark_Data[Purchase order Number],New_Ark_Data[Estimated time of arrival],"",0))</f>
        <v>46213</v>
      </c>
      <c r="AZ48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1">
        <f>IFERROR(PV_DATA[[#This Row],[ODP ETA Port]]+PV_DATA[[#This Row],[Customs/Leg3 Assumption]],"n/a")</f>
        <v>46208</v>
      </c>
      <c r="BB480" s="442">
        <f>YEAR(PV_DATA[[#This Row],[ETA for New Ark update]])</f>
        <v>2026</v>
      </c>
      <c r="BC480" s="431">
        <f>MONTH(PV_DATA[[#This Row],[ETA for New Ark update]])</f>
        <v>7</v>
      </c>
      <c r="BD480" s="431">
        <f>IFERROR(_xlfn.ISOWEEKNUM(PV_DATA[[#This Row],[ETA for New Ark update]]),0)</f>
        <v>27</v>
      </c>
      <c r="BE480" s="431">
        <f>_xlfn.XLOOKUP(PV_DATA[[#This Row],[New Ark SKU]],Table9[New Ark SKU],Table9[Total PCS per Pallet],,0)</f>
        <v>36</v>
      </c>
      <c r="BF480" s="431">
        <f>_xlfn.XLOOKUP(PV_DATA[[#This Row],[New Ark SKU]],Table9[New Ark SKU],Table9[Total PCS per 40HQ Container],,0)</f>
        <v>864</v>
      </c>
      <c r="BG480" s="431" t="str">
        <f>_xlfn.XLOOKUP(PV_DATA[[#This Row],[New Ark SKU]],Table9[New Ark SKU],Table9[Back Glass],,0)</f>
        <v>Black glazing</v>
      </c>
      <c r="BH480" s="431" t="str">
        <f>_xlfn.XLOOKUP(PV_DATA[[#This Row],[PORT DESTINATION]],Table12[PORT DESTINATION],Table12[Cosco Line],,0)</f>
        <v>AEU</v>
      </c>
    </row>
    <row r="481" spans="1:60" s="431" customFormat="1" ht="10.5">
      <c r="A481" s="439" t="s">
        <v>2342</v>
      </c>
      <c r="B481" s="439" t="s">
        <v>2132</v>
      </c>
      <c r="C481" s="439" t="str">
        <f>IFERROR(LEFT(PV_DATA[[#This Row],[TCL REFERENCE]],FIND(".",PV_DATA[[#This Row],[TCL REFERENCE]],1)-1),"Main Line")</f>
        <v>26Apr005</v>
      </c>
      <c r="D481" s="439" t="s">
        <v>63</v>
      </c>
      <c r="E481" s="439" t="s">
        <v>64</v>
      </c>
      <c r="F481" s="462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39" t="s">
        <v>402</v>
      </c>
      <c r="H481" s="439" t="s">
        <v>67</v>
      </c>
      <c r="I481" s="439" t="s">
        <v>882</v>
      </c>
      <c r="J481" s="430" t="s">
        <v>96</v>
      </c>
      <c r="M481" s="431" t="s">
        <v>68</v>
      </c>
      <c r="N481" s="432" t="s">
        <v>68</v>
      </c>
      <c r="O481" s="431" t="s">
        <v>550</v>
      </c>
      <c r="P481" s="431" t="s">
        <v>551</v>
      </c>
      <c r="Q481" s="431" t="s">
        <v>2151</v>
      </c>
      <c r="R481" s="431" t="str">
        <f>_xlfn.XLOOKUP(PV_DATA[[#This Row],[New Ark SKU]],Table9[New Ark SKU],Table9[Connector],,0)</f>
        <v>EVO2A</v>
      </c>
      <c r="S481" s="442" t="str">
        <f>_xlfn.XLOOKUP(PV_DATA[[#This Row],[New Ark SKU]],Table9[New Ark SKU],Table9[Cable],,0)</f>
        <v>±1350mm</v>
      </c>
      <c r="T481" s="442">
        <v>510</v>
      </c>
      <c r="U481" s="1093">
        <v>1584</v>
      </c>
      <c r="V481" s="434">
        <f>PV_DATA[[#This Row],[QUANTITY]]*PV_DATA[[#This Row],[WATT]]/1000000</f>
        <v>0.80784</v>
      </c>
      <c r="W481" s="466">
        <f>PV_DATA[[#This Row],[QUANTITY]]/PV_DATA[[#This Row],[Qty/Pallet]]</f>
        <v>44</v>
      </c>
      <c r="X481" s="1044">
        <f>PV_DATA[[#This Row],[QUANTITY]]/PV_DATA[[#This Row],[Qty/CT]]</f>
        <v>2</v>
      </c>
      <c r="Y481" s="431" t="s">
        <v>951</v>
      </c>
      <c r="Z481" s="430" t="str">
        <f t="shared" si="4"/>
        <v>COMPLETED</v>
      </c>
      <c r="AA481" s="431" t="s">
        <v>2343</v>
      </c>
      <c r="AB481" s="441">
        <v>46141</v>
      </c>
      <c r="AC481" s="467">
        <f>IF(PV_DATA[[#This Row],[Pick- Up Date]]&lt;&gt;"",_xlfn.ISOWEEKNUM(PV_DATA[[#This Row],[Pick- Up Date]]),"")</f>
        <v>18</v>
      </c>
      <c r="AD481" s="431" t="s">
        <v>2344</v>
      </c>
      <c r="AF481" s="431" t="s">
        <v>123</v>
      </c>
      <c r="AG481" s="431" t="s">
        <v>123</v>
      </c>
      <c r="AH481" s="431" t="s">
        <v>78</v>
      </c>
      <c r="AI481" s="441">
        <v>46147</v>
      </c>
      <c r="AJ481" s="441">
        <v>46147</v>
      </c>
      <c r="AK481" s="441">
        <v>46147</v>
      </c>
      <c r="AL481" s="441">
        <v>46189</v>
      </c>
      <c r="AM481" s="455">
        <v>46196</v>
      </c>
      <c r="AN481" s="455">
        <v>46196</v>
      </c>
      <c r="AO481" s="431" t="s">
        <v>402</v>
      </c>
      <c r="AP481" s="431" t="s">
        <v>2345</v>
      </c>
      <c r="AQ481" s="431" t="s">
        <v>80</v>
      </c>
      <c r="AR481" s="431" t="s">
        <v>2346</v>
      </c>
      <c r="AS481" s="431" t="s">
        <v>2347</v>
      </c>
      <c r="AT481" s="482" t="s">
        <v>2347</v>
      </c>
      <c r="AU4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1"/>
      <c r="AW481" s="441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1">
        <f>IF(ISERROR(PV_DATA[[#This Row],[New Ark PO status]]),"",_xlfn.XLOOKUP(PV_DATA[[#This Row],[SPTN-PVHK New Ark PO'#]],New_Ark_Data[Purchase order Number],New_Ark_Data[Estimated time of arrival],"",0))</f>
        <v>46209</v>
      </c>
      <c r="AZ48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1">
        <f>IFERROR(PV_DATA[[#This Row],[ODP ETA Port]]+PV_DATA[[#This Row],[Customs/Leg3 Assumption]],"n/a")</f>
        <v>46204</v>
      </c>
      <c r="BB481" s="442">
        <f>YEAR(PV_DATA[[#This Row],[ETA for New Ark update]])</f>
        <v>2026</v>
      </c>
      <c r="BC481" s="431">
        <f>MONTH(PV_DATA[[#This Row],[ETA for New Ark update]])</f>
        <v>7</v>
      </c>
      <c r="BD481" s="431">
        <f>IFERROR(_xlfn.ISOWEEKNUM(PV_DATA[[#This Row],[ETA for New Ark update]]),0)</f>
        <v>27</v>
      </c>
      <c r="BE481" s="431">
        <f>_xlfn.XLOOKUP(PV_DATA[[#This Row],[New Ark SKU]],Table9[New Ark SKU],Table9[Total PCS per Pallet],,0)</f>
        <v>36</v>
      </c>
      <c r="BF481" s="431">
        <f>_xlfn.XLOOKUP(PV_DATA[[#This Row],[New Ark SKU]],Table9[New Ark SKU],Table9[Total PCS per 40HQ Container],,0)</f>
        <v>792</v>
      </c>
      <c r="BG481" s="431" t="str">
        <f>_xlfn.XLOOKUP(PV_DATA[[#This Row],[New Ark SKU]],Table9[New Ark SKU],Table9[Back Glass],,0)</f>
        <v>Black glazing</v>
      </c>
      <c r="BH481" s="431" t="str">
        <f>_xlfn.XLOOKUP(PV_DATA[[#This Row],[PORT DESTINATION]],Table12[PORT DESTINATION],Table12[Cosco Line],,0)</f>
        <v>AEM</v>
      </c>
    </row>
    <row r="482" spans="1:60" s="431" customFormat="1" ht="10.5">
      <c r="A482" s="439" t="s">
        <v>2348</v>
      </c>
      <c r="B482" s="439" t="s">
        <v>2132</v>
      </c>
      <c r="C482" s="439" t="str">
        <f>IFERROR(LEFT(PV_DATA[[#This Row],[TCL REFERENCE]],FIND(".",PV_DATA[[#This Row],[TCL REFERENCE]],1)-1),"Main Line")</f>
        <v>26Apr006</v>
      </c>
      <c r="D482" s="439" t="s">
        <v>63</v>
      </c>
      <c r="E482" s="439" t="s">
        <v>64</v>
      </c>
      <c r="F482" s="462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39" t="s">
        <v>402</v>
      </c>
      <c r="H482" s="439" t="s">
        <v>311</v>
      </c>
      <c r="I482" s="439" t="s">
        <v>822</v>
      </c>
      <c r="J482" s="430" t="s">
        <v>96</v>
      </c>
      <c r="M482" s="431" t="s">
        <v>68</v>
      </c>
      <c r="N482" s="432" t="s">
        <v>68</v>
      </c>
      <c r="O482" s="431" t="s">
        <v>550</v>
      </c>
      <c r="P482" s="431" t="s">
        <v>2134</v>
      </c>
      <c r="Q482" s="431" t="s">
        <v>2135</v>
      </c>
      <c r="R482" s="431" t="str">
        <f>_xlfn.XLOOKUP(PV_DATA[[#This Row],[New Ark SKU]],Table9[New Ark SKU],Table9[Connector],,0)</f>
        <v>EVO2A</v>
      </c>
      <c r="S482" s="442" t="str">
        <f>_xlfn.XLOOKUP(PV_DATA[[#This Row],[New Ark SKU]],Table9[New Ark SKU],Table9[Cable],,0)</f>
        <v>±1350mm</v>
      </c>
      <c r="T482" s="442">
        <v>515</v>
      </c>
      <c r="U482" s="1093">
        <f>792*1</f>
        <v>792</v>
      </c>
      <c r="V482" s="434">
        <f>PV_DATA[[#This Row],[QUANTITY]]*PV_DATA[[#This Row],[WATT]]/1000000</f>
        <v>0.40788000000000002</v>
      </c>
      <c r="W482" s="466">
        <f>PV_DATA[[#This Row],[QUANTITY]]/PV_DATA[[#This Row],[Qty/Pallet]]</f>
        <v>22</v>
      </c>
      <c r="X482" s="1044">
        <f>PV_DATA[[#This Row],[QUANTITY]]/PV_DATA[[#This Row],[Qty/CT]]</f>
        <v>1</v>
      </c>
      <c r="Y482" s="431" t="s">
        <v>951</v>
      </c>
      <c r="Z482" s="430" t="str">
        <f t="shared" si="4"/>
        <v>COMPLETED</v>
      </c>
      <c r="AA482" s="431" t="s">
        <v>2349</v>
      </c>
      <c r="AB482" s="441">
        <v>46138</v>
      </c>
      <c r="AC482" s="467">
        <f>IF(PV_DATA[[#This Row],[Pick- Up Date]]&lt;&gt;"",_xlfn.ISOWEEKNUM(PV_DATA[[#This Row],[Pick- Up Date]]),"")</f>
        <v>17</v>
      </c>
      <c r="AD482" s="431" t="s">
        <v>2350</v>
      </c>
      <c r="AF482" s="431" t="s">
        <v>123</v>
      </c>
      <c r="AG482" s="431" t="s">
        <v>123</v>
      </c>
      <c r="AH482" s="431" t="s">
        <v>314</v>
      </c>
      <c r="AI482" s="441">
        <v>46143</v>
      </c>
      <c r="AJ482" s="441">
        <v>46146</v>
      </c>
      <c r="AK482" s="441">
        <v>46146</v>
      </c>
      <c r="AL482" s="441">
        <v>46190</v>
      </c>
      <c r="AM482" s="455">
        <v>46197</v>
      </c>
      <c r="AN482" s="455">
        <v>46198</v>
      </c>
      <c r="AO482" s="431" t="s">
        <v>402</v>
      </c>
      <c r="AP482" s="431" t="s">
        <v>2351</v>
      </c>
      <c r="AQ482" s="431" t="s">
        <v>80</v>
      </c>
      <c r="AR482" s="431" t="s">
        <v>2352</v>
      </c>
      <c r="AS482" s="431" t="s">
        <v>2353</v>
      </c>
      <c r="AT482" s="482" t="s">
        <v>2353</v>
      </c>
      <c r="AU4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1"/>
      <c r="AW482" s="441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1">
        <f>IF(ISERROR(PV_DATA[[#This Row],[New Ark PO status]]),"",_xlfn.XLOOKUP(PV_DATA[[#This Row],[SPTN-PVHK New Ark PO'#]],New_Ark_Data[Purchase order Number],New_Ark_Data[Estimated time of arrival],"",0))</f>
        <v>46212</v>
      </c>
      <c r="AZ48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2" s="441">
        <f>IFERROR(PV_DATA[[#This Row],[ODP ETA Port]]+PV_DATA[[#This Row],[Customs/Leg3 Assumption]],"n/a")</f>
        <v>46208</v>
      </c>
      <c r="BB482" s="442">
        <f>YEAR(PV_DATA[[#This Row],[ETA for New Ark update]])</f>
        <v>2026</v>
      </c>
      <c r="BC482" s="431">
        <f>MONTH(PV_DATA[[#This Row],[ETA for New Ark update]])</f>
        <v>7</v>
      </c>
      <c r="BD482" s="431">
        <f>IFERROR(_xlfn.ISOWEEKNUM(PV_DATA[[#This Row],[ETA for New Ark update]]),0)</f>
        <v>27</v>
      </c>
      <c r="BE482" s="431">
        <f>_xlfn.XLOOKUP(PV_DATA[[#This Row],[New Ark SKU]],Table9[New Ark SKU],Table9[Total PCS per Pallet],,0)</f>
        <v>36</v>
      </c>
      <c r="BF482" s="431">
        <f>_xlfn.XLOOKUP(PV_DATA[[#This Row],[New Ark SKU]],Table9[New Ark SKU],Table9[Total PCS per 40HQ Container],,0)</f>
        <v>792</v>
      </c>
      <c r="BG482" s="431" t="str">
        <f>_xlfn.XLOOKUP(PV_DATA[[#This Row],[New Ark SKU]],Table9[New Ark SKU],Table9[Back Glass],,0)</f>
        <v>Black glazing</v>
      </c>
      <c r="BH482" s="431" t="str">
        <f>_xlfn.XLOOKUP(PV_DATA[[#This Row],[PORT DESTINATION]],Table12[PORT DESTINATION],Table12[Cosco Line],,0)</f>
        <v>AEM</v>
      </c>
    </row>
    <row r="483" spans="1:60" s="431" customFormat="1" ht="10.5">
      <c r="A483" s="439" t="s">
        <v>2354</v>
      </c>
      <c r="B483" s="439" t="s">
        <v>2132</v>
      </c>
      <c r="C483" s="439" t="str">
        <f>IFERROR(LEFT(PV_DATA[[#This Row],[TCL REFERENCE]],FIND(".",PV_DATA[[#This Row],[TCL REFERENCE]],1)-1),"Main Line")</f>
        <v>26Apr005</v>
      </c>
      <c r="D483" s="439" t="s">
        <v>63</v>
      </c>
      <c r="E483" s="439" t="s">
        <v>64</v>
      </c>
      <c r="F483" s="462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39" t="s">
        <v>402</v>
      </c>
      <c r="H483" s="439" t="s">
        <v>311</v>
      </c>
      <c r="I483" s="439" t="s">
        <v>822</v>
      </c>
      <c r="J483" s="430" t="s">
        <v>96</v>
      </c>
      <c r="M483" s="431" t="s">
        <v>68</v>
      </c>
      <c r="N483" s="432" t="s">
        <v>68</v>
      </c>
      <c r="O483" s="431" t="s">
        <v>550</v>
      </c>
      <c r="P483" s="431" t="s">
        <v>551</v>
      </c>
      <c r="Q483" s="431" t="s">
        <v>2151</v>
      </c>
      <c r="R483" s="431" t="str">
        <f>_xlfn.XLOOKUP(PV_DATA[[#This Row],[New Ark SKU]],Table9[New Ark SKU],Table9[Connector],,0)</f>
        <v>EVO2A</v>
      </c>
      <c r="S483" s="442" t="str">
        <f>_xlfn.XLOOKUP(PV_DATA[[#This Row],[New Ark SKU]],Table9[New Ark SKU],Table9[Cable],,0)</f>
        <v>±1350mm</v>
      </c>
      <c r="T483" s="442">
        <v>510</v>
      </c>
      <c r="U483" s="1093">
        <f>792*3</f>
        <v>2376</v>
      </c>
      <c r="V483" s="434">
        <f>PV_DATA[[#This Row],[QUANTITY]]*PV_DATA[[#This Row],[WATT]]/1000000</f>
        <v>1.2117599999999999</v>
      </c>
      <c r="W483" s="466">
        <f>PV_DATA[[#This Row],[QUANTITY]]/PV_DATA[[#This Row],[Qty/Pallet]]</f>
        <v>66</v>
      </c>
      <c r="X483" s="1044">
        <f>PV_DATA[[#This Row],[QUANTITY]]/PV_DATA[[#This Row],[Qty/CT]]</f>
        <v>3</v>
      </c>
      <c r="Y483" s="431" t="s">
        <v>951</v>
      </c>
      <c r="Z483" s="430" t="str">
        <f t="shared" si="4"/>
        <v>COMPLETED</v>
      </c>
      <c r="AA483" s="431" t="s">
        <v>2349</v>
      </c>
      <c r="AB483" s="441">
        <v>46138</v>
      </c>
      <c r="AC483" s="467">
        <f>IF(PV_DATA[[#This Row],[Pick- Up Date]]&lt;&gt;"",_xlfn.ISOWEEKNUM(PV_DATA[[#This Row],[Pick- Up Date]]),"")</f>
        <v>17</v>
      </c>
      <c r="AD483" s="431" t="s">
        <v>2355</v>
      </c>
      <c r="AF483" s="431" t="s">
        <v>123</v>
      </c>
      <c r="AG483" s="431" t="s">
        <v>123</v>
      </c>
      <c r="AH483" s="431" t="s">
        <v>314</v>
      </c>
      <c r="AI483" s="441">
        <v>46143</v>
      </c>
      <c r="AJ483" s="441">
        <v>46146</v>
      </c>
      <c r="AK483" s="441">
        <v>46146</v>
      </c>
      <c r="AL483" s="441">
        <v>46190</v>
      </c>
      <c r="AM483" s="455">
        <v>46197</v>
      </c>
      <c r="AN483" s="455">
        <v>46198</v>
      </c>
      <c r="AO483" s="431" t="s">
        <v>402</v>
      </c>
      <c r="AP483" s="431" t="s">
        <v>2351</v>
      </c>
      <c r="AQ483" s="431" t="s">
        <v>80</v>
      </c>
      <c r="AR483" s="431" t="s">
        <v>2352</v>
      </c>
      <c r="AS483" s="431" t="s">
        <v>2353</v>
      </c>
      <c r="AT483" s="482" t="s">
        <v>2353</v>
      </c>
      <c r="AU4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1"/>
      <c r="AW483" s="441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1">
        <f>IF(ISERROR(PV_DATA[[#This Row],[New Ark PO status]]),"",_xlfn.XLOOKUP(PV_DATA[[#This Row],[SPTN-PVHK New Ark PO'#]],New_Ark_Data[Purchase order Number],New_Ark_Data[Estimated time of arrival],"",0))</f>
        <v>46212</v>
      </c>
      <c r="AZ48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3" s="441">
        <f>IFERROR(PV_DATA[[#This Row],[ODP ETA Port]]+PV_DATA[[#This Row],[Customs/Leg3 Assumption]],"n/a")</f>
        <v>46208</v>
      </c>
      <c r="BB483" s="442">
        <f>YEAR(PV_DATA[[#This Row],[ETA for New Ark update]])</f>
        <v>2026</v>
      </c>
      <c r="BC483" s="431">
        <f>MONTH(PV_DATA[[#This Row],[ETA for New Ark update]])</f>
        <v>7</v>
      </c>
      <c r="BD483" s="431">
        <f>IFERROR(_xlfn.ISOWEEKNUM(PV_DATA[[#This Row],[ETA for New Ark update]]),0)</f>
        <v>27</v>
      </c>
      <c r="BE483" s="431">
        <f>_xlfn.XLOOKUP(PV_DATA[[#This Row],[New Ark SKU]],Table9[New Ark SKU],Table9[Total PCS per Pallet],,0)</f>
        <v>36</v>
      </c>
      <c r="BF483" s="431">
        <f>_xlfn.XLOOKUP(PV_DATA[[#This Row],[New Ark SKU]],Table9[New Ark SKU],Table9[Total PCS per 40HQ Container],,0)</f>
        <v>792</v>
      </c>
      <c r="BG483" s="431" t="str">
        <f>_xlfn.XLOOKUP(PV_DATA[[#This Row],[New Ark SKU]],Table9[New Ark SKU],Table9[Back Glass],,0)</f>
        <v>Black glazing</v>
      </c>
      <c r="BH483" s="431" t="str">
        <f>_xlfn.XLOOKUP(PV_DATA[[#This Row],[PORT DESTINATION]],Table12[PORT DESTINATION],Table12[Cosco Line],,0)</f>
        <v>AEM</v>
      </c>
    </row>
    <row r="484" spans="1:60" s="431" customFormat="1" ht="12.75" customHeight="1">
      <c r="A484" s="439" t="s">
        <v>2356</v>
      </c>
      <c r="B484" s="439" t="s">
        <v>2132</v>
      </c>
      <c r="C484" s="439" t="str">
        <f>IFERROR(LEFT(PV_DATA[[#This Row],[TCL REFERENCE]],FIND(".",PV_DATA[[#This Row],[TCL REFERENCE]],1)-1),"Main Line")</f>
        <v>26Apr005</v>
      </c>
      <c r="D484" s="439" t="s">
        <v>63</v>
      </c>
      <c r="E484" s="439" t="s">
        <v>64</v>
      </c>
      <c r="F484" s="462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39" t="s">
        <v>402</v>
      </c>
      <c r="H484" s="439" t="s">
        <v>311</v>
      </c>
      <c r="I484" s="439" t="s">
        <v>1395</v>
      </c>
      <c r="J484" s="430" t="s">
        <v>96</v>
      </c>
      <c r="M484" s="431" t="s">
        <v>68</v>
      </c>
      <c r="N484" s="432" t="s">
        <v>68</v>
      </c>
      <c r="O484" s="431" t="s">
        <v>550</v>
      </c>
      <c r="P484" s="431" t="s">
        <v>551</v>
      </c>
      <c r="Q484" s="431" t="s">
        <v>2151</v>
      </c>
      <c r="R484" s="431" t="str">
        <f>_xlfn.XLOOKUP(PV_DATA[[#This Row],[New Ark SKU]],Table9[New Ark SKU],Table9[Connector],,0)</f>
        <v>EVO2A</v>
      </c>
      <c r="S484" s="442" t="str">
        <f>_xlfn.XLOOKUP(PV_DATA[[#This Row],[New Ark SKU]],Table9[New Ark SKU],Table9[Cable],,0)</f>
        <v>±1350mm</v>
      </c>
      <c r="T484" s="442">
        <v>510</v>
      </c>
      <c r="U484" s="1093">
        <v>1584</v>
      </c>
      <c r="V484" s="434">
        <f>PV_DATA[[#This Row],[QUANTITY]]*PV_DATA[[#This Row],[WATT]]/1000000</f>
        <v>0.80784</v>
      </c>
      <c r="W484" s="466">
        <f>PV_DATA[[#This Row],[QUANTITY]]/PV_DATA[[#This Row],[Qty/Pallet]]</f>
        <v>44</v>
      </c>
      <c r="X484" s="1044">
        <f>PV_DATA[[#This Row],[QUANTITY]]/PV_DATA[[#This Row],[Qty/CT]]</f>
        <v>2</v>
      </c>
      <c r="Y484" s="431" t="s">
        <v>951</v>
      </c>
      <c r="Z484" s="430" t="str">
        <f t="shared" si="4"/>
        <v>COMPLETED</v>
      </c>
      <c r="AA484" s="431" t="s">
        <v>2357</v>
      </c>
      <c r="AB484" s="441">
        <v>46141</v>
      </c>
      <c r="AC484" s="467">
        <f>IF(PV_DATA[[#This Row],[Pick- Up Date]]&lt;&gt;"",_xlfn.ISOWEEKNUM(PV_DATA[[#This Row],[Pick- Up Date]]),"")</f>
        <v>18</v>
      </c>
      <c r="AD484" s="431" t="s">
        <v>2358</v>
      </c>
      <c r="AF484" s="431" t="s">
        <v>123</v>
      </c>
      <c r="AG484" s="431" t="s">
        <v>123</v>
      </c>
      <c r="AH484" s="431" t="s">
        <v>1561</v>
      </c>
      <c r="AI484" s="441">
        <v>46147</v>
      </c>
      <c r="AJ484" s="441">
        <v>46149</v>
      </c>
      <c r="AK484" s="441">
        <v>46149</v>
      </c>
      <c r="AL484" s="441">
        <v>46206</v>
      </c>
      <c r="AM484" s="441"/>
      <c r="AN484" s="441">
        <v>46205</v>
      </c>
      <c r="AO484" s="431" t="s">
        <v>402</v>
      </c>
      <c r="AP484" s="431" t="s">
        <v>2359</v>
      </c>
      <c r="AQ484" s="431" t="s">
        <v>80</v>
      </c>
      <c r="AR484" s="431" t="s">
        <v>2360</v>
      </c>
      <c r="AS484" s="431" t="s">
        <v>2361</v>
      </c>
      <c r="AT484" s="482" t="s">
        <v>2361</v>
      </c>
      <c r="AU4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1"/>
      <c r="AW484" s="441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1">
        <f>IF(ISERROR(PV_DATA[[#This Row],[New Ark PO status]]),"",_xlfn.XLOOKUP(PV_DATA[[#This Row],[SPTN-PVHK New Ark PO'#]],New_Ark_Data[Purchase order Number],New_Ark_Data[Estimated time of arrival],"",0))</f>
        <v>46219</v>
      </c>
      <c r="AZ48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4" s="441">
        <f>IFERROR(PV_DATA[[#This Row],[ODP ETA Port]]+PV_DATA[[#This Row],[Customs/Leg3 Assumption]],"n/a")</f>
        <v>46215</v>
      </c>
      <c r="BB484" s="442">
        <f>YEAR(PV_DATA[[#This Row],[ETA for New Ark update]])</f>
        <v>2026</v>
      </c>
      <c r="BC484" s="431">
        <f>MONTH(PV_DATA[[#This Row],[ETA for New Ark update]])</f>
        <v>7</v>
      </c>
      <c r="BD484" s="431">
        <f>IFERROR(_xlfn.ISOWEEKNUM(PV_DATA[[#This Row],[ETA for New Ark update]]),0)</f>
        <v>28</v>
      </c>
      <c r="BE484" s="431">
        <f>_xlfn.XLOOKUP(PV_DATA[[#This Row],[New Ark SKU]],Table9[New Ark SKU],Table9[Total PCS per Pallet],,0)</f>
        <v>36</v>
      </c>
      <c r="BF484" s="431">
        <f>_xlfn.XLOOKUP(PV_DATA[[#This Row],[New Ark SKU]],Table9[New Ark SKU],Table9[Total PCS per 40HQ Container],,0)</f>
        <v>792</v>
      </c>
      <c r="BG484" s="431" t="str">
        <f>_xlfn.XLOOKUP(PV_DATA[[#This Row],[New Ark SKU]],Table9[New Ark SKU],Table9[Back Glass],,0)</f>
        <v>Black glazing</v>
      </c>
      <c r="BH484" s="431" t="str">
        <f>_xlfn.XLOOKUP(PV_DATA[[#This Row],[PORT DESTINATION]],Table12[PORT DESTINATION],Table12[Cosco Line],,0)</f>
        <v>AEM</v>
      </c>
    </row>
    <row r="485" spans="1:60" s="431" customFormat="1" ht="10.5">
      <c r="A485" s="439" t="s">
        <v>2362</v>
      </c>
      <c r="B485" s="439" t="s">
        <v>2132</v>
      </c>
      <c r="C485" s="439" t="str">
        <f>IFERROR(LEFT(PV_DATA[[#This Row],[TCL REFERENCE]],FIND(".",PV_DATA[[#This Row],[TCL REFERENCE]],1)-1),"Main Line")</f>
        <v>26Apr005</v>
      </c>
      <c r="D485" s="439" t="s">
        <v>63</v>
      </c>
      <c r="E485" s="439" t="s">
        <v>64</v>
      </c>
      <c r="F485" s="462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39" t="s">
        <v>402</v>
      </c>
      <c r="H485" s="439" t="s">
        <v>115</v>
      </c>
      <c r="I485" s="439" t="s">
        <v>882</v>
      </c>
      <c r="J485" s="430" t="s">
        <v>96</v>
      </c>
      <c r="M485" s="431" t="s">
        <v>68</v>
      </c>
      <c r="N485" s="432" t="s">
        <v>68</v>
      </c>
      <c r="O485" s="431" t="s">
        <v>550</v>
      </c>
      <c r="P485" s="431" t="s">
        <v>551</v>
      </c>
      <c r="Q485" s="431" t="s">
        <v>2151</v>
      </c>
      <c r="R485" s="431" t="str">
        <f>_xlfn.XLOOKUP(PV_DATA[[#This Row],[New Ark SKU]],Table9[New Ark SKU],Table9[Connector],,0)</f>
        <v>EVO2A</v>
      </c>
      <c r="S485" s="442" t="str">
        <f>_xlfn.XLOOKUP(PV_DATA[[#This Row],[New Ark SKU]],Table9[New Ark SKU],Table9[Cable],,0)</f>
        <v>±1350mm</v>
      </c>
      <c r="T485" s="442">
        <v>510</v>
      </c>
      <c r="U485" s="1093">
        <f>792*2</f>
        <v>1584</v>
      </c>
      <c r="V485" s="434">
        <f>PV_DATA[[#This Row],[QUANTITY]]*PV_DATA[[#This Row],[WATT]]/1000000</f>
        <v>0.80784</v>
      </c>
      <c r="W485" s="466">
        <f>PV_DATA[[#This Row],[QUANTITY]]/PV_DATA[[#This Row],[Qty/Pallet]]</f>
        <v>44</v>
      </c>
      <c r="X485" s="1044">
        <f>PV_DATA[[#This Row],[QUANTITY]]/PV_DATA[[#This Row],[Qty/CT]]</f>
        <v>2</v>
      </c>
      <c r="Y485" s="431" t="s">
        <v>951</v>
      </c>
      <c r="Z485" s="430" t="str">
        <f t="shared" si="4"/>
        <v>COMPLETED</v>
      </c>
      <c r="AA485" s="431" t="s">
        <v>2343</v>
      </c>
      <c r="AB485" s="441">
        <v>46141</v>
      </c>
      <c r="AC485" s="467">
        <f>IF(PV_DATA[[#This Row],[Pick- Up Date]]&lt;&gt;"",_xlfn.ISOWEEKNUM(PV_DATA[[#This Row],[Pick- Up Date]]),"")</f>
        <v>18</v>
      </c>
      <c r="AD485" s="431" t="s">
        <v>2363</v>
      </c>
      <c r="AF485" s="431" t="s">
        <v>123</v>
      </c>
      <c r="AG485" s="431" t="s">
        <v>123</v>
      </c>
      <c r="AH485" s="431" t="s">
        <v>124</v>
      </c>
      <c r="AI485" s="441">
        <v>46147</v>
      </c>
      <c r="AJ485" s="441">
        <v>46147</v>
      </c>
      <c r="AK485" s="441">
        <v>46147</v>
      </c>
      <c r="AL485" s="441">
        <v>46184</v>
      </c>
      <c r="AM485" s="455">
        <v>46185</v>
      </c>
      <c r="AN485" s="455">
        <v>46192</v>
      </c>
      <c r="AO485" s="431" t="s">
        <v>402</v>
      </c>
      <c r="AP485" s="431" t="s">
        <v>2345</v>
      </c>
      <c r="AQ485" s="431" t="s">
        <v>80</v>
      </c>
      <c r="AR485" s="431" t="s">
        <v>2364</v>
      </c>
      <c r="AS485" s="431" t="s">
        <v>2365</v>
      </c>
      <c r="AT485" s="482" t="s">
        <v>2365</v>
      </c>
      <c r="AU4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1"/>
      <c r="AW485" s="441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1">
        <f>IF(ISERROR(PV_DATA[[#This Row],[New Ark PO status]]),"",_xlfn.XLOOKUP(PV_DATA[[#This Row],[SPTN-PVHK New Ark PO'#]],New_Ark_Data[Purchase order Number],New_Ark_Data[Estimated time of arrival],"",0))</f>
        <v>46206</v>
      </c>
      <c r="AZ48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1">
        <f>IFERROR(PV_DATA[[#This Row],[ODP ETA Port]]+PV_DATA[[#This Row],[Customs/Leg3 Assumption]],"n/a")</f>
        <v>46201</v>
      </c>
      <c r="BB485" s="442">
        <f>YEAR(PV_DATA[[#This Row],[ETA for New Ark update]])</f>
        <v>2026</v>
      </c>
      <c r="BC485" s="431">
        <f>MONTH(PV_DATA[[#This Row],[ETA for New Ark update]])</f>
        <v>6</v>
      </c>
      <c r="BD485" s="431">
        <f>IFERROR(_xlfn.ISOWEEKNUM(PV_DATA[[#This Row],[ETA for New Ark update]]),0)</f>
        <v>26</v>
      </c>
      <c r="BE485" s="431">
        <f>_xlfn.XLOOKUP(PV_DATA[[#This Row],[New Ark SKU]],Table9[New Ark SKU],Table9[Total PCS per Pallet],,0)</f>
        <v>36</v>
      </c>
      <c r="BF485" s="431">
        <f>_xlfn.XLOOKUP(PV_DATA[[#This Row],[New Ark SKU]],Table9[New Ark SKU],Table9[Total PCS per 40HQ Container],,0)</f>
        <v>792</v>
      </c>
      <c r="BG485" s="431" t="str">
        <f>_xlfn.XLOOKUP(PV_DATA[[#This Row],[New Ark SKU]],Table9[New Ark SKU],Table9[Back Glass],,0)</f>
        <v>Black glazing</v>
      </c>
      <c r="BH485" s="431" t="str">
        <f>_xlfn.XLOOKUP(PV_DATA[[#This Row],[PORT DESTINATION]],Table12[PORT DESTINATION],Table12[Cosco Line],,0)</f>
        <v>AEM</v>
      </c>
    </row>
    <row r="486" spans="1:60" s="431" customFormat="1" ht="10.5">
      <c r="A486" s="439" t="s">
        <v>2366</v>
      </c>
      <c r="B486" s="439" t="s">
        <v>61</v>
      </c>
      <c r="C486" s="439" t="str">
        <f>IFERROR(LEFT(PV_DATA[[#This Row],[TCL REFERENCE]],FIND(".",PV_DATA[[#This Row],[TCL REFERENCE]],1)-1),"Main Line")</f>
        <v>26Apr014</v>
      </c>
      <c r="D486" s="439" t="s">
        <v>63</v>
      </c>
      <c r="E486" s="439" t="s">
        <v>64</v>
      </c>
      <c r="F486" s="462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39" t="s">
        <v>402</v>
      </c>
      <c r="H486" s="439" t="s">
        <v>67</v>
      </c>
      <c r="I486" s="439" t="s">
        <v>882</v>
      </c>
      <c r="J486" s="430" t="s">
        <v>96</v>
      </c>
      <c r="M486" s="431" t="s">
        <v>68</v>
      </c>
      <c r="N486" s="432" t="s">
        <v>68</v>
      </c>
      <c r="O486" s="431" t="s">
        <v>70</v>
      </c>
      <c r="P486" s="431" t="s">
        <v>1151</v>
      </c>
      <c r="Q486" s="431" t="s">
        <v>421</v>
      </c>
      <c r="R486" s="431" t="str">
        <f>_xlfn.XLOOKUP(PV_DATA[[#This Row],[New Ark SKU]],Table9[New Ark SKU],Table9[Connector],,0)</f>
        <v>EVO2A</v>
      </c>
      <c r="S486" s="442" t="str">
        <f>_xlfn.XLOOKUP(PV_DATA[[#This Row],[New Ark SKU]],Table9[New Ark SKU],Table9[Cable],,0)</f>
        <v>±1200mm</v>
      </c>
      <c r="T486" s="442">
        <v>505</v>
      </c>
      <c r="U486" s="1093">
        <f>864*1</f>
        <v>864</v>
      </c>
      <c r="V486" s="448">
        <f>PV_DATA[[#This Row],[QUANTITY]]*PV_DATA[[#This Row],[WATT]]/1000000</f>
        <v>0.43631999999999999</v>
      </c>
      <c r="W486" s="466">
        <f>PV_DATA[[#This Row],[QUANTITY]]/PV_DATA[[#This Row],[Qty/Pallet]]</f>
        <v>24</v>
      </c>
      <c r="X486" s="1044">
        <f>PV_DATA[[#This Row],[QUANTITY]]/PV_DATA[[#This Row],[Qty/CT]]</f>
        <v>1</v>
      </c>
      <c r="Y486" s="431" t="s">
        <v>951</v>
      </c>
      <c r="Z486" s="430" t="str">
        <f t="shared" si="4"/>
        <v>COMPLETED</v>
      </c>
      <c r="AA486" s="431" t="s">
        <v>2183</v>
      </c>
      <c r="AB486" s="441">
        <v>46141</v>
      </c>
      <c r="AC486" s="467">
        <f>IF(PV_DATA[[#This Row],[Pick- Up Date]]&lt;&gt;"",_xlfn.ISOWEEKNUM(PV_DATA[[#This Row],[Pick- Up Date]]),"")</f>
        <v>18</v>
      </c>
      <c r="AD486" s="431" t="s">
        <v>2367</v>
      </c>
      <c r="AF486" s="431" t="s">
        <v>61</v>
      </c>
      <c r="AG486" s="431" t="s">
        <v>61</v>
      </c>
      <c r="AH486" s="431" t="s">
        <v>105</v>
      </c>
      <c r="AI486" s="441">
        <v>46146</v>
      </c>
      <c r="AJ486" s="441">
        <v>46146</v>
      </c>
      <c r="AK486" s="441">
        <v>46146</v>
      </c>
      <c r="AL486" s="441">
        <v>46200</v>
      </c>
      <c r="AM486" s="441">
        <v>46200</v>
      </c>
      <c r="AN486" s="441">
        <v>46202</v>
      </c>
      <c r="AO486" s="431" t="s">
        <v>402</v>
      </c>
      <c r="AP486" s="431" t="s">
        <v>2368</v>
      </c>
      <c r="AQ486" s="431" t="s">
        <v>80</v>
      </c>
      <c r="AR486" s="431" t="s">
        <v>2369</v>
      </c>
      <c r="AS486" s="431" t="s">
        <v>2370</v>
      </c>
      <c r="AT486" s="482" t="s">
        <v>2370</v>
      </c>
      <c r="AU4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1"/>
      <c r="AW486" s="441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1">
        <f>IF(ISERROR(PV_DATA[[#This Row],[New Ark PO status]]),"",_xlfn.XLOOKUP(PV_DATA[[#This Row],[SPTN-PVHK New Ark PO'#]],New_Ark_Data[Purchase order Number],New_Ark_Data[Estimated time of arrival],"",0))</f>
        <v>46216</v>
      </c>
      <c r="AZ48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1">
        <f>IFERROR(PV_DATA[[#This Row],[ODP ETA Port]]+PV_DATA[[#This Row],[Customs/Leg3 Assumption]],"n/a")</f>
        <v>46209</v>
      </c>
      <c r="BB486" s="442">
        <f>YEAR(PV_DATA[[#This Row],[ETA for New Ark update]])</f>
        <v>2026</v>
      </c>
      <c r="BC486" s="431">
        <f>MONTH(PV_DATA[[#This Row],[ETA for New Ark update]])</f>
        <v>7</v>
      </c>
      <c r="BD486" s="431">
        <f>IFERROR(_xlfn.ISOWEEKNUM(PV_DATA[[#This Row],[ETA for New Ark update]]),0)</f>
        <v>28</v>
      </c>
      <c r="BE486" s="431">
        <f>_xlfn.XLOOKUP(PV_DATA[[#This Row],[New Ark SKU]],Table9[New Ark SKU],Table9[Total PCS per Pallet],,0)</f>
        <v>36</v>
      </c>
      <c r="BF486" s="431">
        <f>_xlfn.XLOOKUP(PV_DATA[[#This Row],[New Ark SKU]],Table9[New Ark SKU],Table9[Total PCS per 40HQ Container],,0)</f>
        <v>864</v>
      </c>
      <c r="BG486" s="431" t="str">
        <f>_xlfn.XLOOKUP(PV_DATA[[#This Row],[New Ark SKU]],Table9[New Ark SKU],Table9[Back Glass],,0)</f>
        <v>Black glazing</v>
      </c>
      <c r="BH486" s="431" t="str">
        <f>_xlfn.XLOOKUP(PV_DATA[[#This Row],[PORT DESTINATION]],Table12[PORT DESTINATION],Table12[Cosco Line],,0)</f>
        <v>AEU</v>
      </c>
    </row>
    <row r="487" spans="1:60" s="431" customFormat="1" ht="10.5">
      <c r="A487" s="439" t="s">
        <v>2371</v>
      </c>
      <c r="B487" s="439" t="s">
        <v>61</v>
      </c>
      <c r="C487" s="439" t="str">
        <f>IFERROR(LEFT(PV_DATA[[#This Row],[TCL REFERENCE]],FIND(".",PV_DATA[[#This Row],[TCL REFERENCE]],1)-1),"Main Line")</f>
        <v>Main Line</v>
      </c>
      <c r="D487" s="439" t="s">
        <v>63</v>
      </c>
      <c r="E487" s="439" t="s">
        <v>64</v>
      </c>
      <c r="F487" s="462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39" t="s">
        <v>402</v>
      </c>
      <c r="H487" s="439" t="s">
        <v>67</v>
      </c>
      <c r="I487" s="439" t="s">
        <v>1395</v>
      </c>
      <c r="J487" s="431" t="s">
        <v>2372</v>
      </c>
      <c r="M487" s="431" t="s">
        <v>68</v>
      </c>
      <c r="N487" s="461">
        <v>46125</v>
      </c>
      <c r="O487" s="431" t="s">
        <v>70</v>
      </c>
      <c r="P487" s="431" t="s">
        <v>965</v>
      </c>
      <c r="Q487" s="431" t="s">
        <v>966</v>
      </c>
      <c r="R487" s="431" t="str">
        <f>_xlfn.XLOOKUP(PV_DATA[[#This Row],[New Ark SKU]],Table9[New Ark SKU],Table9[Connector],,0)</f>
        <v>EVO2A</v>
      </c>
      <c r="S487" s="442" t="str">
        <f>_xlfn.XLOOKUP(PV_DATA[[#This Row],[New Ark SKU]],Table9[New Ark SKU],Table9[Cable],,0)</f>
        <v>±1200mm</v>
      </c>
      <c r="T487" s="442">
        <v>455</v>
      </c>
      <c r="U487" s="1093" cm="1">
        <f t="array" ref="U487">4680-fx_qty</f>
        <v>4680</v>
      </c>
      <c r="V487" s="448">
        <f>PV_DATA[[#This Row],[QUANTITY]]*PV_DATA[[#This Row],[WATT]]/1000000</f>
        <v>2.1294</v>
      </c>
      <c r="W487" s="466">
        <f>PV_DATA[[#This Row],[QUANTITY]]/PV_DATA[[#This Row],[Qty/Pallet]]</f>
        <v>130</v>
      </c>
      <c r="X487" s="1044">
        <f>PV_DATA[[#This Row],[QUANTITY]]/PV_DATA[[#This Row],[Qty/CT]]</f>
        <v>5</v>
      </c>
      <c r="Y487" s="431" t="s">
        <v>951</v>
      </c>
      <c r="Z487" s="430" t="str">
        <f t="shared" si="4"/>
        <v>COMPLETED</v>
      </c>
      <c r="AA487" s="431" t="s">
        <v>2373</v>
      </c>
      <c r="AB487" s="441">
        <v>46141</v>
      </c>
      <c r="AC487" s="467">
        <f>IF(PV_DATA[[#This Row],[Pick- Up Date]]&lt;&gt;"",_xlfn.ISOWEEKNUM(PV_DATA[[#This Row],[Pick- Up Date]]),"")</f>
        <v>18</v>
      </c>
      <c r="AD487" s="431" t="s">
        <v>2374</v>
      </c>
      <c r="AF487" s="431" t="s">
        <v>77</v>
      </c>
      <c r="AG487" s="431" t="s">
        <v>61</v>
      </c>
      <c r="AH487" s="431" t="s">
        <v>105</v>
      </c>
      <c r="AI487" s="441">
        <v>46146</v>
      </c>
      <c r="AJ487" s="441">
        <v>46146</v>
      </c>
      <c r="AK487" s="441">
        <v>46146</v>
      </c>
      <c r="AL487" s="441">
        <v>46189</v>
      </c>
      <c r="AM487" s="441">
        <v>46197</v>
      </c>
      <c r="AN487" s="441">
        <v>46197</v>
      </c>
      <c r="AO487" s="431" t="s">
        <v>402</v>
      </c>
      <c r="AP487" s="431" t="s">
        <v>2368</v>
      </c>
      <c r="AQ487" s="431" t="s">
        <v>80</v>
      </c>
      <c r="AR487" s="431" t="s">
        <v>2375</v>
      </c>
      <c r="AS487" s="431" t="s">
        <v>2376</v>
      </c>
      <c r="AT487" s="482" t="s">
        <v>2376</v>
      </c>
      <c r="AU4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1"/>
      <c r="AW487" s="441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1">
        <f>IF(ISERROR(PV_DATA[[#This Row],[New Ark PO status]]),"",_xlfn.XLOOKUP(PV_DATA[[#This Row],[SPTN-PVHK New Ark PO'#]],New_Ark_Data[Purchase order Number],New_Ark_Data[Estimated time of arrival],"",0))</f>
        <v>46211</v>
      </c>
      <c r="AZ4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1">
        <f>IFERROR(PV_DATA[[#This Row],[ODP ETA Port]]+PV_DATA[[#This Row],[Customs/Leg3 Assumption]],"n/a")</f>
        <v>46204</v>
      </c>
      <c r="BB487" s="442">
        <f>YEAR(PV_DATA[[#This Row],[ETA for New Ark update]])</f>
        <v>2026</v>
      </c>
      <c r="BC487" s="431">
        <f>MONTH(PV_DATA[[#This Row],[ETA for New Ark update]])</f>
        <v>7</v>
      </c>
      <c r="BD487" s="431">
        <f>IFERROR(_xlfn.ISOWEEKNUM(PV_DATA[[#This Row],[ETA for New Ark update]]),0)</f>
        <v>27</v>
      </c>
      <c r="BE487" s="431">
        <f>_xlfn.XLOOKUP(PV_DATA[[#This Row],[New Ark SKU]],Table9[New Ark SKU],Table9[Total PCS per Pallet],,0)</f>
        <v>36</v>
      </c>
      <c r="BF487" s="431">
        <f>_xlfn.XLOOKUP(PV_DATA[[#This Row],[New Ark SKU]],Table9[New Ark SKU],Table9[Total PCS per 40HQ Container],,0)</f>
        <v>936</v>
      </c>
      <c r="BG487" s="431" t="str">
        <f>_xlfn.XLOOKUP(PV_DATA[[#This Row],[New Ark SKU]],Table9[New Ark SKU],Table9[Back Glass],,0)</f>
        <v>Black glazing</v>
      </c>
      <c r="BH487" s="431" t="str">
        <f>_xlfn.XLOOKUP(PV_DATA[[#This Row],[PORT DESTINATION]],Table12[PORT DESTINATION],Table12[Cosco Line],,0)</f>
        <v>AEU</v>
      </c>
    </row>
    <row r="488" spans="1:60" s="431" customFormat="1" ht="10.5">
      <c r="A488" s="439" t="s">
        <v>2377</v>
      </c>
      <c r="B488" s="439" t="s">
        <v>61</v>
      </c>
      <c r="C488" s="439" t="str">
        <f>IFERROR(LEFT(PV_DATA[[#This Row],[TCL REFERENCE]],FIND(".",PV_DATA[[#This Row],[TCL REFERENCE]],1)-1),"Main Line")</f>
        <v>26Apr014</v>
      </c>
      <c r="D488" s="439" t="s">
        <v>63</v>
      </c>
      <c r="E488" s="439" t="s">
        <v>64</v>
      </c>
      <c r="F488" s="462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39" t="s">
        <v>402</v>
      </c>
      <c r="H488" s="439" t="s">
        <v>67</v>
      </c>
      <c r="I488" s="439" t="s">
        <v>869</v>
      </c>
      <c r="J488" s="430" t="s">
        <v>96</v>
      </c>
      <c r="M488" s="431" t="s">
        <v>68</v>
      </c>
      <c r="N488" s="432" t="s">
        <v>68</v>
      </c>
      <c r="O488" s="431" t="s">
        <v>70</v>
      </c>
      <c r="P488" s="431" t="s">
        <v>1151</v>
      </c>
      <c r="Q488" s="431" t="s">
        <v>421</v>
      </c>
      <c r="R488" s="431" t="str">
        <f>_xlfn.XLOOKUP(PV_DATA[[#This Row],[New Ark SKU]],Table9[New Ark SKU],Table9[Connector],,0)</f>
        <v>EVO2A</v>
      </c>
      <c r="S488" s="442" t="str">
        <f>_xlfn.XLOOKUP(PV_DATA[[#This Row],[New Ark SKU]],Table9[New Ark SKU],Table9[Cable],,0)</f>
        <v>±1200mm</v>
      </c>
      <c r="T488" s="442">
        <v>505</v>
      </c>
      <c r="U488" s="1093">
        <f>864*2</f>
        <v>1728</v>
      </c>
      <c r="V488" s="448">
        <f>PV_DATA[[#This Row],[QUANTITY]]*PV_DATA[[#This Row],[WATT]]/1000000</f>
        <v>0.87263999999999997</v>
      </c>
      <c r="W488" s="466">
        <f>PV_DATA[[#This Row],[QUANTITY]]/PV_DATA[[#This Row],[Qty/Pallet]]</f>
        <v>48</v>
      </c>
      <c r="X488" s="1044">
        <f>PV_DATA[[#This Row],[QUANTITY]]/PV_DATA[[#This Row],[Qty/CT]]</f>
        <v>2</v>
      </c>
      <c r="Y488" s="431" t="s">
        <v>951</v>
      </c>
      <c r="Z488" s="430" t="str">
        <f t="shared" si="4"/>
        <v>COMPLETED</v>
      </c>
      <c r="AA488" s="431" t="s">
        <v>2183</v>
      </c>
      <c r="AB488" s="441">
        <v>46141</v>
      </c>
      <c r="AC488" s="467">
        <f>IF(PV_DATA[[#This Row],[Pick- Up Date]]&lt;&gt;"",_xlfn.ISOWEEKNUM(PV_DATA[[#This Row],[Pick- Up Date]]),"")</f>
        <v>18</v>
      </c>
      <c r="AD488" s="431" t="s">
        <v>2378</v>
      </c>
      <c r="AF488" s="431" t="s">
        <v>77</v>
      </c>
      <c r="AG488" s="431" t="s">
        <v>61</v>
      </c>
      <c r="AH488" s="431" t="s">
        <v>78</v>
      </c>
      <c r="AI488" s="441">
        <v>46146</v>
      </c>
      <c r="AJ488" s="441">
        <v>46146</v>
      </c>
      <c r="AK488" s="441">
        <v>46146</v>
      </c>
      <c r="AL488" s="441">
        <v>46209</v>
      </c>
      <c r="AM488" s="441">
        <v>46209</v>
      </c>
      <c r="AN488" s="441">
        <v>46210</v>
      </c>
      <c r="AO488" s="431" t="s">
        <v>402</v>
      </c>
      <c r="AP488" s="431" t="s">
        <v>2368</v>
      </c>
      <c r="AQ488" s="431" t="s">
        <v>80</v>
      </c>
      <c r="AR488" s="431" t="s">
        <v>2379</v>
      </c>
      <c r="AS488" s="431" t="s">
        <v>2380</v>
      </c>
      <c r="AT488" s="482" t="s">
        <v>2380</v>
      </c>
      <c r="AU4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1"/>
      <c r="AW488" s="441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1">
        <f>IF(ISERROR(PV_DATA[[#This Row],[New Ark PO status]]),"",_xlfn.XLOOKUP(PV_DATA[[#This Row],[SPTN-PVHK New Ark PO'#]],New_Ark_Data[Purchase order Number],New_Ark_Data[Estimated time of arrival],"",0))</f>
        <v>46223</v>
      </c>
      <c r="AZ48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1">
        <f>IFERROR(PV_DATA[[#This Row],[ODP ETA Port]]+PV_DATA[[#This Row],[Customs/Leg3 Assumption]],"n/a")</f>
        <v>46218</v>
      </c>
      <c r="BB488" s="442">
        <f>YEAR(PV_DATA[[#This Row],[ETA for New Ark update]])</f>
        <v>2026</v>
      </c>
      <c r="BC488" s="431">
        <f>MONTH(PV_DATA[[#This Row],[ETA for New Ark update]])</f>
        <v>7</v>
      </c>
      <c r="BD488" s="431">
        <f>IFERROR(_xlfn.ISOWEEKNUM(PV_DATA[[#This Row],[ETA for New Ark update]]),0)</f>
        <v>29</v>
      </c>
      <c r="BE488" s="431">
        <f>_xlfn.XLOOKUP(PV_DATA[[#This Row],[New Ark SKU]],Table9[New Ark SKU],Table9[Total PCS per Pallet],,0)</f>
        <v>36</v>
      </c>
      <c r="BF488" s="431">
        <f>_xlfn.XLOOKUP(PV_DATA[[#This Row],[New Ark SKU]],Table9[New Ark SKU],Table9[Total PCS per 40HQ Container],,0)</f>
        <v>864</v>
      </c>
      <c r="BG488" s="431" t="str">
        <f>_xlfn.XLOOKUP(PV_DATA[[#This Row],[New Ark SKU]],Table9[New Ark SKU],Table9[Back Glass],,0)</f>
        <v>Black glazing</v>
      </c>
      <c r="BH488" s="431" t="str">
        <f>_xlfn.XLOOKUP(PV_DATA[[#This Row],[PORT DESTINATION]],Table12[PORT DESTINATION],Table12[Cosco Line],,0)</f>
        <v>AEM</v>
      </c>
    </row>
    <row r="489" spans="1:60" s="431" customFormat="1" ht="10.5">
      <c r="A489" s="439" t="s">
        <v>2381</v>
      </c>
      <c r="B489" s="439" t="s">
        <v>61</v>
      </c>
      <c r="C489" s="439" t="str">
        <f>IFERROR(LEFT(PV_DATA[[#This Row],[TCL REFERENCE]],FIND(".",PV_DATA[[#This Row],[TCL REFERENCE]],1)-1),"Main Line")</f>
        <v>26Apr014</v>
      </c>
      <c r="D489" s="439" t="s">
        <v>63</v>
      </c>
      <c r="E489" s="439" t="s">
        <v>144</v>
      </c>
      <c r="F489" s="439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39" t="s">
        <v>146</v>
      </c>
      <c r="H489" s="439" t="s">
        <v>2382</v>
      </c>
      <c r="I489" s="439" t="s">
        <v>869</v>
      </c>
      <c r="J489" s="431" t="s">
        <v>2382</v>
      </c>
      <c r="K489" s="431" t="s">
        <v>2383</v>
      </c>
      <c r="L489" s="431" t="s">
        <v>2384</v>
      </c>
      <c r="M489" s="431" t="s">
        <v>840</v>
      </c>
      <c r="N489" s="461" t="s">
        <v>68</v>
      </c>
      <c r="O489" s="431" t="s">
        <v>70</v>
      </c>
      <c r="P489" s="431" t="s">
        <v>1151</v>
      </c>
      <c r="Q489" s="431" t="s">
        <v>421</v>
      </c>
      <c r="R489" s="431" t="str">
        <f>_xlfn.XLOOKUP(PV_DATA[[#This Row],[New Ark SKU]],Table9[New Ark SKU],Table9[Connector],,0)</f>
        <v>EVO2A</v>
      </c>
      <c r="S489" s="442" t="str">
        <f>_xlfn.XLOOKUP(PV_DATA[[#This Row],[New Ark SKU]],Table9[New Ark SKU],Table9[Cable],,0)</f>
        <v>±1200mm</v>
      </c>
      <c r="T489" s="442">
        <v>505</v>
      </c>
      <c r="U489" s="1093">
        <f>864*2</f>
        <v>1728</v>
      </c>
      <c r="V489" s="448">
        <f>PV_DATA[[#This Row],[QUANTITY]]*PV_DATA[[#This Row],[WATT]]/1000000</f>
        <v>0.87263999999999997</v>
      </c>
      <c r="W489" s="466">
        <f>PV_DATA[[#This Row],[QUANTITY]]/PV_DATA[[#This Row],[Qty/Pallet]]</f>
        <v>48</v>
      </c>
      <c r="X489" s="1044">
        <f>PV_DATA[[#This Row],[QUANTITY]]/PV_DATA[[#This Row],[Qty/CT]]</f>
        <v>2</v>
      </c>
      <c r="Y489" s="431" t="s">
        <v>951</v>
      </c>
      <c r="Z489" s="430" t="str">
        <f t="shared" si="4"/>
        <v>COMPLETED</v>
      </c>
      <c r="AA489" s="431" t="s">
        <v>2183</v>
      </c>
      <c r="AB489" s="441">
        <v>46141</v>
      </c>
      <c r="AC489" s="467">
        <f>IF(PV_DATA[[#This Row],[Pick- Up Date]]&lt;&gt;"",_xlfn.ISOWEEKNUM(PV_DATA[[#This Row],[Pick- Up Date]]),"")</f>
        <v>18</v>
      </c>
      <c r="AD489" s="431" t="s">
        <v>2385</v>
      </c>
      <c r="AF489" s="431" t="s">
        <v>77</v>
      </c>
      <c r="AG489" s="431" t="s">
        <v>61</v>
      </c>
      <c r="AH489" s="431" t="s">
        <v>78</v>
      </c>
      <c r="AI489" s="441">
        <v>46146</v>
      </c>
      <c r="AJ489" s="441">
        <v>46146</v>
      </c>
      <c r="AK489" s="441">
        <v>46146</v>
      </c>
      <c r="AL489" s="441">
        <v>46209</v>
      </c>
      <c r="AM489" s="441">
        <v>46209</v>
      </c>
      <c r="AN489" s="441">
        <v>46210</v>
      </c>
      <c r="AO489" s="431" t="s">
        <v>402</v>
      </c>
      <c r="AP489" s="431" t="s">
        <v>2368</v>
      </c>
      <c r="AQ489" s="431" t="s">
        <v>80</v>
      </c>
      <c r="AR489" s="431" t="s">
        <v>2379</v>
      </c>
      <c r="AS489" s="431" t="s">
        <v>2386</v>
      </c>
      <c r="AT489" s="482" t="s">
        <v>2380</v>
      </c>
      <c r="AU4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1"/>
      <c r="AW489" s="441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1">
        <f>IF(ISERROR(PV_DATA[[#This Row],[New Ark PO status]]),"",_xlfn.XLOOKUP(PV_DATA[[#This Row],[SPTN-PVHK New Ark PO'#]],New_Ark_Data[Purchase order Number],New_Ark_Data[Estimated time of arrival],"",0))</f>
        <v>46223</v>
      </c>
      <c r="AZ48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1">
        <f>IFERROR(PV_DATA[[#This Row],[ODP ETA Port]]+PV_DATA[[#This Row],[Customs/Leg3 Assumption]],"n/a")</f>
        <v>46210</v>
      </c>
      <c r="BB489" s="442">
        <f>YEAR(PV_DATA[[#This Row],[ETA for New Ark update]])</f>
        <v>2026</v>
      </c>
      <c r="BC489" s="431">
        <f>MONTH(PV_DATA[[#This Row],[ETA for New Ark update]])</f>
        <v>7</v>
      </c>
      <c r="BD489" s="431">
        <f>IFERROR(_xlfn.ISOWEEKNUM(PV_DATA[[#This Row],[ETA for New Ark update]]),0)</f>
        <v>28</v>
      </c>
      <c r="BE489" s="431">
        <f>_xlfn.XLOOKUP(PV_DATA[[#This Row],[New Ark SKU]],Table9[New Ark SKU],Table9[Total PCS per Pallet],,0)</f>
        <v>36</v>
      </c>
      <c r="BF489" s="431">
        <f>_xlfn.XLOOKUP(PV_DATA[[#This Row],[New Ark SKU]],Table9[New Ark SKU],Table9[Total PCS per 40HQ Container],,0)</f>
        <v>864</v>
      </c>
      <c r="BG489" s="431" t="str">
        <f>_xlfn.XLOOKUP(PV_DATA[[#This Row],[New Ark SKU]],Table9[New Ark SKU],Table9[Back Glass],,0)</f>
        <v>Black glazing</v>
      </c>
      <c r="BH489" s="431" t="str">
        <f>_xlfn.XLOOKUP(PV_DATA[[#This Row],[PORT DESTINATION]],Table12[PORT DESTINATION],Table12[Cosco Line],,0)</f>
        <v>AEM</v>
      </c>
    </row>
    <row r="490" spans="1:60" s="431" customFormat="1" ht="10.5">
      <c r="A490" s="439" t="s">
        <v>2387</v>
      </c>
      <c r="B490" s="439" t="s">
        <v>61</v>
      </c>
      <c r="C490" s="439" t="str">
        <f>IFERROR(LEFT(PV_DATA[[#This Row],[TCL REFERENCE]],FIND(".",PV_DATA[[#This Row],[TCL REFERENCE]],1)-1),"Main Line")</f>
        <v>26Apr013</v>
      </c>
      <c r="D490" s="439" t="s">
        <v>63</v>
      </c>
      <c r="E490" s="439" t="s">
        <v>144</v>
      </c>
      <c r="F490" s="462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39" t="s">
        <v>402</v>
      </c>
      <c r="H490" s="439" t="s">
        <v>1029</v>
      </c>
      <c r="I490" s="439" t="s">
        <v>689</v>
      </c>
      <c r="J490" s="431" t="s">
        <v>2388</v>
      </c>
      <c r="K490" s="431" t="s">
        <v>2389</v>
      </c>
      <c r="L490" s="431">
        <v>1</v>
      </c>
      <c r="M490" s="431" t="s">
        <v>840</v>
      </c>
      <c r="N490" s="432" t="s">
        <v>68</v>
      </c>
      <c r="O490" s="431" t="s">
        <v>70</v>
      </c>
      <c r="P490" s="431" t="s">
        <v>71</v>
      </c>
      <c r="Q490" s="431" t="s">
        <v>72</v>
      </c>
      <c r="R490" s="431" t="str">
        <f>_xlfn.XLOOKUP(PV_DATA[[#This Row],[New Ark SKU]],Table9[New Ark SKU],Table9[Connector],,0)</f>
        <v>EVO2A</v>
      </c>
      <c r="S490" s="442" t="str">
        <f>_xlfn.XLOOKUP(PV_DATA[[#This Row],[New Ark SKU]],Table9[New Ark SKU],Table9[Cable],,0)</f>
        <v>±1200mm</v>
      </c>
      <c r="T490" s="442">
        <v>500</v>
      </c>
      <c r="U490" s="1093">
        <f>864*1</f>
        <v>864</v>
      </c>
      <c r="V490" s="448">
        <f>PV_DATA[[#This Row],[QUANTITY]]*PV_DATA[[#This Row],[WATT]]/1000000</f>
        <v>0.432</v>
      </c>
      <c r="W490" s="466">
        <f>PV_DATA[[#This Row],[QUANTITY]]/PV_DATA[[#This Row],[Qty/Pallet]]</f>
        <v>24</v>
      </c>
      <c r="X490" s="1044">
        <f>PV_DATA[[#This Row],[QUANTITY]]/PV_DATA[[#This Row],[Qty/CT]]</f>
        <v>1</v>
      </c>
      <c r="Y490" s="431" t="s">
        <v>951</v>
      </c>
      <c r="Z490" s="430" t="str">
        <f t="shared" si="4"/>
        <v>COMPLETED</v>
      </c>
      <c r="AB490" s="441">
        <v>46141</v>
      </c>
      <c r="AC490" s="467">
        <f>IF(PV_DATA[[#This Row],[Pick- Up Date]]&lt;&gt;"",_xlfn.ISOWEEKNUM(PV_DATA[[#This Row],[Pick- Up Date]]),"")</f>
        <v>18</v>
      </c>
      <c r="AD490" s="431" t="s">
        <v>2390</v>
      </c>
      <c r="AF490" s="431" t="s">
        <v>77</v>
      </c>
      <c r="AG490" s="431" t="s">
        <v>61</v>
      </c>
      <c r="AH490" s="431" t="s">
        <v>888</v>
      </c>
      <c r="AI490" s="441">
        <v>46146</v>
      </c>
      <c r="AJ490" s="441">
        <v>46146</v>
      </c>
      <c r="AK490" s="441">
        <v>46146</v>
      </c>
      <c r="AL490" s="441">
        <v>46204</v>
      </c>
      <c r="AM490" s="441">
        <v>46211</v>
      </c>
      <c r="AN490" s="441">
        <v>46211</v>
      </c>
      <c r="AO490" s="431" t="s">
        <v>402</v>
      </c>
      <c r="AP490" s="431" t="s">
        <v>2368</v>
      </c>
      <c r="AQ490" s="431" t="s">
        <v>80</v>
      </c>
      <c r="AR490" s="431" t="s">
        <v>2391</v>
      </c>
      <c r="AS490" s="431" t="s">
        <v>2392</v>
      </c>
      <c r="AT490" s="482" t="s">
        <v>2392</v>
      </c>
      <c r="AU4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1"/>
      <c r="AW490" s="441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1">
        <f>IF(ISERROR(PV_DATA[[#This Row],[New Ark PO status]]),"",_xlfn.XLOOKUP(PV_DATA[[#This Row],[SPTN-PVHK New Ark PO'#]],New_Ark_Data[Purchase order Number],New_Ark_Data[Estimated time of arrival],"",0))</f>
        <v>46204</v>
      </c>
      <c r="AZ49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1">
        <f>IFERROR(PV_DATA[[#This Row],[ODP ETA Port]]+PV_DATA[[#This Row],[Customs/Leg3 Assumption]],"n/a")</f>
        <v>46211</v>
      </c>
      <c r="BB490" s="442">
        <f>YEAR(PV_DATA[[#This Row],[ETA for New Ark update]])</f>
        <v>2026</v>
      </c>
      <c r="BC490" s="431">
        <f>MONTH(PV_DATA[[#This Row],[ETA for New Ark update]])</f>
        <v>7</v>
      </c>
      <c r="BD490" s="431">
        <f>IFERROR(_xlfn.ISOWEEKNUM(PV_DATA[[#This Row],[ETA for New Ark update]]),0)</f>
        <v>28</v>
      </c>
      <c r="BE490" s="431">
        <f>_xlfn.XLOOKUP(PV_DATA[[#This Row],[New Ark SKU]],Table9[New Ark SKU],Table9[Total PCS per Pallet],,0)</f>
        <v>36</v>
      </c>
      <c r="BF490" s="431">
        <f>_xlfn.XLOOKUP(PV_DATA[[#This Row],[New Ark SKU]],Table9[New Ark SKU],Table9[Total PCS per 40HQ Container],,0)</f>
        <v>864</v>
      </c>
      <c r="BG490" s="431" t="str">
        <f>_xlfn.XLOOKUP(PV_DATA[[#This Row],[New Ark SKU]],Table9[New Ark SKU],Table9[Back Glass],,0)</f>
        <v>Black glazing</v>
      </c>
      <c r="BH490" s="431" t="str">
        <f>_xlfn.XLOOKUP(PV_DATA[[#This Row],[PORT DESTINATION]],Table12[PORT DESTINATION],Table12[Cosco Line],,0)</f>
        <v>AEU</v>
      </c>
    </row>
    <row r="491" spans="1:60" s="431" customFormat="1" ht="10.5">
      <c r="A491" s="439" t="s">
        <v>2393</v>
      </c>
      <c r="B491" s="439" t="s">
        <v>61</v>
      </c>
      <c r="C491" s="439" t="str">
        <f>IFERROR(LEFT(PV_DATA[[#This Row],[TCL REFERENCE]],FIND(".",PV_DATA[[#This Row],[TCL REFERENCE]],1)-1),"Main Line")</f>
        <v>26Apr013</v>
      </c>
      <c r="D491" s="439" t="s">
        <v>63</v>
      </c>
      <c r="E491" s="439" t="s">
        <v>144</v>
      </c>
      <c r="F491" s="462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39" t="s">
        <v>402</v>
      </c>
      <c r="H491" s="439" t="s">
        <v>2394</v>
      </c>
      <c r="I491" s="439" t="s">
        <v>689</v>
      </c>
      <c r="J491" s="431" t="s">
        <v>2395</v>
      </c>
      <c r="K491" s="431" t="s">
        <v>2396</v>
      </c>
      <c r="M491" s="430" t="s">
        <v>840</v>
      </c>
      <c r="N491" s="432" t="s">
        <v>68</v>
      </c>
      <c r="O491" s="431" t="s">
        <v>70</v>
      </c>
      <c r="P491" s="431" t="s">
        <v>71</v>
      </c>
      <c r="Q491" s="431" t="s">
        <v>72</v>
      </c>
      <c r="R491" s="431" t="str">
        <f>_xlfn.XLOOKUP(PV_DATA[[#This Row],[New Ark SKU]],Table9[New Ark SKU],Table9[Connector],,0)</f>
        <v>EVO2A</v>
      </c>
      <c r="S491" s="442" t="str">
        <f>_xlfn.XLOOKUP(PV_DATA[[#This Row],[New Ark SKU]],Table9[New Ark SKU],Table9[Cable],,0)</f>
        <v>±1200mm</v>
      </c>
      <c r="T491" s="442">
        <v>500</v>
      </c>
      <c r="U491" s="1093">
        <f>864*6</f>
        <v>5184</v>
      </c>
      <c r="V491" s="448">
        <f>PV_DATA[[#This Row],[QUANTITY]]*PV_DATA[[#This Row],[WATT]]/1000000</f>
        <v>2.5920000000000001</v>
      </c>
      <c r="W491" s="466">
        <f>PV_DATA[[#This Row],[QUANTITY]]/PV_DATA[[#This Row],[Qty/Pallet]]</f>
        <v>144</v>
      </c>
      <c r="X491" s="1044">
        <f>PV_DATA[[#This Row],[QUANTITY]]/PV_DATA[[#This Row],[Qty/CT]]</f>
        <v>6</v>
      </c>
      <c r="Y491" s="431" t="s">
        <v>951</v>
      </c>
      <c r="Z491" s="430" t="str">
        <f t="shared" si="4"/>
        <v>COMPLETED</v>
      </c>
      <c r="AB491" s="441">
        <v>46136</v>
      </c>
      <c r="AC491" s="467">
        <f>IF(PV_DATA[[#This Row],[Pick- Up Date]]&lt;&gt;"",_xlfn.ISOWEEKNUM(PV_DATA[[#This Row],[Pick- Up Date]]),"")</f>
        <v>17</v>
      </c>
      <c r="AD491" s="431" t="s">
        <v>2397</v>
      </c>
      <c r="AF491" s="431" t="s">
        <v>77</v>
      </c>
      <c r="AG491" s="431" t="s">
        <v>61</v>
      </c>
      <c r="AH491" s="431" t="s">
        <v>888</v>
      </c>
      <c r="AI491" s="441">
        <v>46144</v>
      </c>
      <c r="AJ491" s="441">
        <v>46149</v>
      </c>
      <c r="AK491" s="441">
        <v>46149</v>
      </c>
      <c r="AL491" s="441">
        <v>46208</v>
      </c>
      <c r="AM491" s="441">
        <v>46206</v>
      </c>
      <c r="AN491" s="441">
        <v>46207</v>
      </c>
      <c r="AO491" s="431" t="s">
        <v>402</v>
      </c>
      <c r="AP491" s="431" t="s">
        <v>2398</v>
      </c>
      <c r="AQ491" s="431" t="s">
        <v>161</v>
      </c>
      <c r="AR491" s="431" t="s">
        <v>2399</v>
      </c>
      <c r="AS491" s="431" t="s">
        <v>2400</v>
      </c>
      <c r="AT491" s="482" t="s">
        <v>2401</v>
      </c>
      <c r="AU4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1"/>
      <c r="AW491" s="441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1">
        <f>IF(ISERROR(PV_DATA[[#This Row],[New Ark PO status]]),"",_xlfn.XLOOKUP(PV_DATA[[#This Row],[SPTN-PVHK New Ark PO'#]],New_Ark_Data[Purchase order Number],New_Ark_Data[Estimated time of arrival],"",0))</f>
        <v>46203</v>
      </c>
      <c r="AZ49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1">
        <f>IFERROR(PV_DATA[[#This Row],[ODP ETA Port]]+PV_DATA[[#This Row],[Customs/Leg3 Assumption]],"n/a")</f>
        <v>46207</v>
      </c>
      <c r="BB491" s="442">
        <f>YEAR(PV_DATA[[#This Row],[ETA for New Ark update]])</f>
        <v>2026</v>
      </c>
      <c r="BC491" s="431">
        <f>MONTH(PV_DATA[[#This Row],[ETA for New Ark update]])</f>
        <v>7</v>
      </c>
      <c r="BD491" s="431">
        <f>IFERROR(_xlfn.ISOWEEKNUM(PV_DATA[[#This Row],[ETA for New Ark update]]),0)</f>
        <v>27</v>
      </c>
      <c r="BE491" s="431">
        <f>_xlfn.XLOOKUP(PV_DATA[[#This Row],[New Ark SKU]],Table9[New Ark SKU],Table9[Total PCS per Pallet],,0)</f>
        <v>36</v>
      </c>
      <c r="BF491" s="431">
        <f>_xlfn.XLOOKUP(PV_DATA[[#This Row],[New Ark SKU]],Table9[New Ark SKU],Table9[Total PCS per 40HQ Container],,0)</f>
        <v>864</v>
      </c>
      <c r="BG491" s="431" t="str">
        <f>_xlfn.XLOOKUP(PV_DATA[[#This Row],[New Ark SKU]],Table9[New Ark SKU],Table9[Back Glass],,0)</f>
        <v>Black glazing</v>
      </c>
      <c r="BH491" s="431" t="str">
        <f>_xlfn.XLOOKUP(PV_DATA[[#This Row],[PORT DESTINATION]],Table12[PORT DESTINATION],Table12[Cosco Line],,0)</f>
        <v>AEU</v>
      </c>
    </row>
    <row r="492" spans="1:60" s="431" customFormat="1" ht="10.5">
      <c r="A492" s="439" t="s">
        <v>2402</v>
      </c>
      <c r="B492" s="439" t="s">
        <v>61</v>
      </c>
      <c r="C492" s="439" t="str">
        <f>IFERROR(LEFT(PV_DATA[[#This Row],[TCL REFERENCE]],FIND(".",PV_DATA[[#This Row],[TCL REFERENCE]],1)-1),"Main Line")</f>
        <v>26Apr013</v>
      </c>
      <c r="D492" s="439" t="s">
        <v>63</v>
      </c>
      <c r="E492" s="439" t="s">
        <v>144</v>
      </c>
      <c r="F492" s="462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39" t="s">
        <v>402</v>
      </c>
      <c r="H492" s="439" t="s">
        <v>1029</v>
      </c>
      <c r="I492" s="439" t="s">
        <v>689</v>
      </c>
      <c r="J492" s="431" t="s">
        <v>2388</v>
      </c>
      <c r="K492" s="431" t="s">
        <v>2389</v>
      </c>
      <c r="L492" s="431">
        <v>1</v>
      </c>
      <c r="M492" s="431" t="s">
        <v>840</v>
      </c>
      <c r="N492" s="432" t="s">
        <v>68</v>
      </c>
      <c r="O492" s="431" t="s">
        <v>70</v>
      </c>
      <c r="P492" s="431" t="s">
        <v>71</v>
      </c>
      <c r="Q492" s="431" t="s">
        <v>72</v>
      </c>
      <c r="R492" s="431" t="str">
        <f>_xlfn.XLOOKUP(PV_DATA[[#This Row],[New Ark SKU]],Table9[New Ark SKU],Table9[Connector],,0)</f>
        <v>EVO2A</v>
      </c>
      <c r="S492" s="442" t="str">
        <f>_xlfn.XLOOKUP(PV_DATA[[#This Row],[New Ark SKU]],Table9[New Ark SKU],Table9[Cable],,0)</f>
        <v>±1200mm</v>
      </c>
      <c r="T492" s="442">
        <v>500</v>
      </c>
      <c r="U492" s="1093">
        <f>864*5</f>
        <v>4320</v>
      </c>
      <c r="V492" s="448">
        <f>PV_DATA[[#This Row],[QUANTITY]]*PV_DATA[[#This Row],[WATT]]/1000000</f>
        <v>2.16</v>
      </c>
      <c r="W492" s="466">
        <f>PV_DATA[[#This Row],[QUANTITY]]/PV_DATA[[#This Row],[Qty/Pallet]]</f>
        <v>120</v>
      </c>
      <c r="X492" s="1044">
        <f>PV_DATA[[#This Row],[QUANTITY]]/PV_DATA[[#This Row],[Qty/CT]]</f>
        <v>5</v>
      </c>
      <c r="Y492" s="431" t="s">
        <v>951</v>
      </c>
      <c r="Z492" s="430" t="str">
        <f t="shared" si="4"/>
        <v>COMPLETED</v>
      </c>
      <c r="AB492" s="441">
        <v>46136</v>
      </c>
      <c r="AC492" s="467">
        <f>IF(PV_DATA[[#This Row],[Pick- Up Date]]&lt;&gt;"",_xlfn.ISOWEEKNUM(PV_DATA[[#This Row],[Pick- Up Date]]),"")</f>
        <v>17</v>
      </c>
      <c r="AD492" s="431" t="s">
        <v>2403</v>
      </c>
      <c r="AF492" s="431" t="s">
        <v>77</v>
      </c>
      <c r="AG492" s="431" t="s">
        <v>61</v>
      </c>
      <c r="AH492" s="431" t="s">
        <v>888</v>
      </c>
      <c r="AI492" s="441">
        <v>46144</v>
      </c>
      <c r="AJ492" s="441">
        <v>46149</v>
      </c>
      <c r="AK492" s="441">
        <v>46149</v>
      </c>
      <c r="AL492" s="441">
        <v>46208</v>
      </c>
      <c r="AM492" s="441">
        <v>46206</v>
      </c>
      <c r="AN492" s="441">
        <v>46207</v>
      </c>
      <c r="AO492" s="431" t="s">
        <v>402</v>
      </c>
      <c r="AP492" s="431" t="s">
        <v>2398</v>
      </c>
      <c r="AQ492" s="431" t="s">
        <v>161</v>
      </c>
      <c r="AR492" s="431" t="s">
        <v>2404</v>
      </c>
      <c r="AS492" s="431" t="s">
        <v>2405</v>
      </c>
      <c r="AT492" s="482" t="s">
        <v>2406</v>
      </c>
      <c r="AU4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1"/>
      <c r="AW492" s="441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1">
        <f>IF(ISERROR(PV_DATA[[#This Row],[New Ark PO status]]),"",_xlfn.XLOOKUP(PV_DATA[[#This Row],[SPTN-PVHK New Ark PO'#]],New_Ark_Data[Purchase order Number],New_Ark_Data[Estimated time of arrival],"",0))</f>
        <v>46203</v>
      </c>
      <c r="AZ49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1">
        <f>IFERROR(PV_DATA[[#This Row],[ODP ETA Port]]+PV_DATA[[#This Row],[Customs/Leg3 Assumption]],"n/a")</f>
        <v>46207</v>
      </c>
      <c r="BB492" s="442">
        <f>YEAR(PV_DATA[[#This Row],[ETA for New Ark update]])</f>
        <v>2026</v>
      </c>
      <c r="BC492" s="431">
        <f>MONTH(PV_DATA[[#This Row],[ETA for New Ark update]])</f>
        <v>7</v>
      </c>
      <c r="BD492" s="431">
        <f>IFERROR(_xlfn.ISOWEEKNUM(PV_DATA[[#This Row],[ETA for New Ark update]]),0)</f>
        <v>27</v>
      </c>
      <c r="BE492" s="431">
        <f>_xlfn.XLOOKUP(PV_DATA[[#This Row],[New Ark SKU]],Table9[New Ark SKU],Table9[Total PCS per Pallet],,0)</f>
        <v>36</v>
      </c>
      <c r="BF492" s="431">
        <f>_xlfn.XLOOKUP(PV_DATA[[#This Row],[New Ark SKU]],Table9[New Ark SKU],Table9[Total PCS per 40HQ Container],,0)</f>
        <v>864</v>
      </c>
      <c r="BG492" s="431" t="str">
        <f>_xlfn.XLOOKUP(PV_DATA[[#This Row],[New Ark SKU]],Table9[New Ark SKU],Table9[Back Glass],,0)</f>
        <v>Black glazing</v>
      </c>
      <c r="BH492" s="431" t="str">
        <f>_xlfn.XLOOKUP(PV_DATA[[#This Row],[PORT DESTINATION]],Table12[PORT DESTINATION],Table12[Cosco Line],,0)</f>
        <v>AEU</v>
      </c>
    </row>
    <row r="493" spans="1:60" s="431" customFormat="1">
      <c r="A493" s="439" t="s">
        <v>2407</v>
      </c>
      <c r="B493" s="439" t="s">
        <v>1888</v>
      </c>
      <c r="C493" s="439" t="str">
        <f>IFERROR(LEFT(PV_DATA[[#This Row],[TCL REFERENCE]],FIND(".",PV_DATA[[#This Row],[TCL REFERENCE]],1)-1),"Main Line")</f>
        <v>26Feb017</v>
      </c>
      <c r="D493" s="439" t="s">
        <v>63</v>
      </c>
      <c r="E493" s="439" t="s">
        <v>144</v>
      </c>
      <c r="F493" s="462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20" t="s">
        <v>402</v>
      </c>
      <c r="H493" s="720" t="s">
        <v>1080</v>
      </c>
      <c r="I493" s="720" t="s">
        <v>689</v>
      </c>
      <c r="J493" s="472" t="s">
        <v>2408</v>
      </c>
      <c r="K493" s="472" t="s">
        <v>2253</v>
      </c>
      <c r="L493" s="472">
        <v>2</v>
      </c>
      <c r="M493" s="472" t="s">
        <v>840</v>
      </c>
      <c r="N493" s="473">
        <v>46111</v>
      </c>
      <c r="O493" s="431" t="s">
        <v>70</v>
      </c>
      <c r="P493" s="431" t="s">
        <v>195</v>
      </c>
      <c r="Q493" s="431" t="s">
        <v>196</v>
      </c>
      <c r="R493" s="431" t="str">
        <f>_xlfn.XLOOKUP(PV_DATA[[#This Row],[New Ark SKU]],Table9[New Ark SKU],Table9[Connector],,0)</f>
        <v>EVO2A</v>
      </c>
      <c r="S493" s="442" t="str">
        <f>_xlfn.XLOOKUP(PV_DATA[[#This Row],[New Ark SKU]],Table9[New Ark SKU],Table9[Cable],,0)</f>
        <v>±1200mm</v>
      </c>
      <c r="T493" s="442">
        <v>450</v>
      </c>
      <c r="U493" s="1093">
        <f>936*2</f>
        <v>1872</v>
      </c>
      <c r="V493" s="448">
        <f>PV_DATA[[#This Row],[QUANTITY]]*PV_DATA[[#This Row],[WATT]]/1000000</f>
        <v>0.84240000000000004</v>
      </c>
      <c r="W493" s="466">
        <f>PV_DATA[[#This Row],[QUANTITY]]/PV_DATA[[#This Row],[Qty/Pallet]]</f>
        <v>52</v>
      </c>
      <c r="X493" s="1044">
        <f>PV_DATA[[#This Row],[QUANTITY]]/PV_DATA[[#This Row],[Qty/CT]]</f>
        <v>2</v>
      </c>
      <c r="Y493" s="431" t="s">
        <v>951</v>
      </c>
      <c r="Z493" s="430" t="str">
        <f t="shared" si="4"/>
        <v>COMPLETED</v>
      </c>
      <c r="AA493" s="431" t="s">
        <v>2038</v>
      </c>
      <c r="AB493" s="441">
        <v>46146</v>
      </c>
      <c r="AC493" s="445">
        <f>IF(PV_DATA[[#This Row],[Pick- Up Date]]&lt;&gt;"",_xlfn.ISOWEEKNUM(PV_DATA[[#This Row],[Pick- Up Date]]),"")</f>
        <v>19</v>
      </c>
      <c r="AD493" s="431" t="s">
        <v>2409</v>
      </c>
      <c r="AF493" s="431" t="s">
        <v>4420</v>
      </c>
      <c r="AG493" s="431" t="s">
        <v>123</v>
      </c>
      <c r="AH493" s="431" t="s">
        <v>1084</v>
      </c>
      <c r="AI493" s="441">
        <v>46150</v>
      </c>
      <c r="AJ493" s="441">
        <v>46155</v>
      </c>
      <c r="AK493" s="441">
        <v>46155</v>
      </c>
      <c r="AL493" s="441">
        <v>46191</v>
      </c>
      <c r="AM493" s="441">
        <v>46196</v>
      </c>
      <c r="AN493" s="441">
        <v>46196</v>
      </c>
      <c r="AO493" s="431" t="s">
        <v>402</v>
      </c>
      <c r="AP493" s="431" t="s">
        <v>2410</v>
      </c>
      <c r="AQ493" s="431" t="s">
        <v>161</v>
      </c>
      <c r="AR493" s="431" t="s">
        <v>2411</v>
      </c>
      <c r="AS493" s="431" t="s">
        <v>2412</v>
      </c>
      <c r="AT493" s="482" t="s">
        <v>2413</v>
      </c>
      <c r="AU4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1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1">
        <f>IF(ISERROR(PV_DATA[[#This Row],[New Ark PO status]]),"",_xlfn.XLOOKUP(PV_DATA[[#This Row],[SPTN-PVHK New Ark PO'#]],New_Ark_Data[Purchase order Number],New_Ark_Data[Estimated time of arrival],"",0))</f>
        <v>46191</v>
      </c>
      <c r="AZ49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1">
        <f>IFERROR(PV_DATA[[#This Row],[ODP ETA Port]]+PV_DATA[[#This Row],[Customs/Leg3 Assumption]],"n/a")</f>
        <v>46196</v>
      </c>
      <c r="BB493" s="442">
        <f>YEAR(PV_DATA[[#This Row],[ETA for New Ark update]])</f>
        <v>2026</v>
      </c>
      <c r="BC493" s="431">
        <f>MONTH(PV_DATA[[#This Row],[ETA for New Ark update]])</f>
        <v>6</v>
      </c>
      <c r="BD493" s="431">
        <f>IFERROR(_xlfn.ISOWEEKNUM(PV_DATA[[#This Row],[ETA for New Ark update]]),0)</f>
        <v>26</v>
      </c>
      <c r="BE493" s="431">
        <f>_xlfn.XLOOKUP(PV_DATA[[#This Row],[New Ark SKU]],Table9[New Ark SKU],Table9[Total PCS per Pallet],,0)</f>
        <v>36</v>
      </c>
      <c r="BF493" s="431">
        <f>_xlfn.XLOOKUP(PV_DATA[[#This Row],[New Ark SKU]],Table9[New Ark SKU],Table9[Total PCS per 40HQ Container],,0)</f>
        <v>936</v>
      </c>
      <c r="BG493" s="431" t="str">
        <f>_xlfn.XLOOKUP(PV_DATA[[#This Row],[New Ark SKU]],Table9[New Ark SKU],Table9[Back Glass],,0)</f>
        <v>Black glazing</v>
      </c>
      <c r="BH493" s="431" t="str">
        <f>_xlfn.XLOOKUP(PV_DATA[[#This Row],[PORT DESTINATION]],Table12[PORT DESTINATION],Table12[Cosco Line],,0)</f>
        <v>AEU</v>
      </c>
    </row>
    <row r="494" spans="1:60" s="431" customFormat="1" ht="10.5">
      <c r="A494" s="439" t="s">
        <v>2414</v>
      </c>
      <c r="B494" s="439" t="s">
        <v>61</v>
      </c>
      <c r="C494" s="439" t="str">
        <f>IFERROR(LEFT(PV_DATA[[#This Row],[TCL REFERENCE]],FIND(".",PV_DATA[[#This Row],[TCL REFERENCE]],1)-1),"Main Line")</f>
        <v>26May001</v>
      </c>
      <c r="D494" s="439" t="s">
        <v>63</v>
      </c>
      <c r="E494" s="439" t="s">
        <v>64</v>
      </c>
      <c r="F494" s="462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20" t="s">
        <v>402</v>
      </c>
      <c r="H494" s="720" t="s">
        <v>67</v>
      </c>
      <c r="I494" s="720" t="s">
        <v>1395</v>
      </c>
      <c r="J494" s="472" t="s">
        <v>96</v>
      </c>
      <c r="K494" s="472"/>
      <c r="L494" s="472"/>
      <c r="M494" s="472" t="s">
        <v>68</v>
      </c>
      <c r="N494" s="473">
        <v>46139</v>
      </c>
      <c r="O494" s="431" t="s">
        <v>550</v>
      </c>
      <c r="P494" s="431" t="s">
        <v>551</v>
      </c>
      <c r="Q494" s="431" t="s">
        <v>2151</v>
      </c>
      <c r="R494" s="431" t="str">
        <f>_xlfn.XLOOKUP(PV_DATA[[#This Row],[New Ark SKU]],Table9[New Ark SKU],Table9[Connector],,0)</f>
        <v>EVO2A</v>
      </c>
      <c r="S494" s="442" t="str">
        <f>_xlfn.XLOOKUP(PV_DATA[[#This Row],[New Ark SKU]],Table9[New Ark SKU],Table9[Cable],,0)</f>
        <v>±1350mm</v>
      </c>
      <c r="T494" s="442">
        <v>510</v>
      </c>
      <c r="U494" s="1093">
        <f>792*4</f>
        <v>3168</v>
      </c>
      <c r="V494" s="434">
        <f>PV_DATA[[#This Row],[QUANTITY]]*PV_DATA[[#This Row],[WATT]]/1000000</f>
        <v>1.61568</v>
      </c>
      <c r="W494" s="466">
        <f>PV_DATA[[#This Row],[QUANTITY]]/PV_DATA[[#This Row],[Qty/Pallet]]</f>
        <v>88</v>
      </c>
      <c r="X494" s="1044">
        <f>PV_DATA[[#This Row],[QUANTITY]]/PV_DATA[[#This Row],[Qty/CT]]</f>
        <v>4</v>
      </c>
      <c r="Y494" s="431" t="s">
        <v>951</v>
      </c>
      <c r="Z494" s="430" t="str">
        <f t="shared" si="4"/>
        <v>COMPLETED</v>
      </c>
      <c r="AA494" s="474" t="s">
        <v>2416</v>
      </c>
      <c r="AB494" s="441">
        <v>46153</v>
      </c>
      <c r="AC494" s="467">
        <f>IF(PV_DATA[[#This Row],[Pick- Up Date]]&lt;&gt;"",_xlfn.ISOWEEKNUM(PV_DATA[[#This Row],[Pick- Up Date]]),"")</f>
        <v>20</v>
      </c>
      <c r="AD494" s="431" t="s">
        <v>2417</v>
      </c>
      <c r="AF494" s="431" t="s">
        <v>122</v>
      </c>
      <c r="AG494" s="431" t="s">
        <v>123</v>
      </c>
      <c r="AH494" s="431" t="s">
        <v>356</v>
      </c>
      <c r="AI494" s="441">
        <v>46158</v>
      </c>
      <c r="AJ494" s="441">
        <v>46158</v>
      </c>
      <c r="AK494" s="441">
        <v>46158</v>
      </c>
      <c r="AL494" s="441">
        <v>46214</v>
      </c>
      <c r="AM494" s="441"/>
      <c r="AN494" s="441">
        <v>46217</v>
      </c>
      <c r="AO494" s="431" t="s">
        <v>402</v>
      </c>
      <c r="AP494" s="431" t="s">
        <v>2418</v>
      </c>
      <c r="AQ494" s="431" t="s">
        <v>161</v>
      </c>
      <c r="AR494" s="431" t="s">
        <v>2419</v>
      </c>
      <c r="AS494" s="431" t="s">
        <v>2420</v>
      </c>
      <c r="AT494" s="482" t="s">
        <v>2420</v>
      </c>
      <c r="AU4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1"/>
      <c r="AW494" s="441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1">
        <f>IF(ISERROR(PV_DATA[[#This Row],[New Ark PO status]]),"",_xlfn.XLOOKUP(PV_DATA[[#This Row],[SPTN-PVHK New Ark PO'#]],New_Ark_Data[Purchase order Number],New_Ark_Data[Estimated time of arrival],"",0))</f>
        <v>46227</v>
      </c>
      <c r="AZ49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4" s="441">
        <f>IFERROR(PV_DATA[[#This Row],[ODP ETA Port]]+PV_DATA[[#This Row],[Customs/Leg3 Assumption]],"n/a")</f>
        <v>46227</v>
      </c>
      <c r="BB494" s="442">
        <f>YEAR(PV_DATA[[#This Row],[ETA for New Ark update]])</f>
        <v>2026</v>
      </c>
      <c r="BC494" s="431">
        <f>MONTH(PV_DATA[[#This Row],[ETA for New Ark update]])</f>
        <v>7</v>
      </c>
      <c r="BD494" s="431">
        <f>IFERROR(_xlfn.ISOWEEKNUM(PV_DATA[[#This Row],[ETA for New Ark update]]),0)</f>
        <v>30</v>
      </c>
      <c r="BE494" s="431">
        <f>_xlfn.XLOOKUP(PV_DATA[[#This Row],[New Ark SKU]],Table9[New Ark SKU],Table9[Total PCS per Pallet],,0)</f>
        <v>36</v>
      </c>
      <c r="BF494" s="431">
        <f>_xlfn.XLOOKUP(PV_DATA[[#This Row],[New Ark SKU]],Table9[New Ark SKU],Table9[Total PCS per 40HQ Container],,0)</f>
        <v>792</v>
      </c>
      <c r="BG494" s="431" t="str">
        <f>_xlfn.XLOOKUP(PV_DATA[[#This Row],[New Ark SKU]],Table9[New Ark SKU],Table9[Back Glass],,0)</f>
        <v>Black glazing</v>
      </c>
      <c r="BH494" s="431" t="str">
        <f>_xlfn.XLOOKUP(PV_DATA[[#This Row],[PORT DESTINATION]],Table12[PORT DESTINATION],Table12[Cosco Line],,0)</f>
        <v>AEU</v>
      </c>
    </row>
    <row r="495" spans="1:60" s="431" customFormat="1" ht="10.5">
      <c r="A495" s="439" t="s">
        <v>2421</v>
      </c>
      <c r="B495" s="439" t="s">
        <v>111</v>
      </c>
      <c r="C495" s="439" t="str">
        <f>IFERROR(LEFT(PV_DATA[[#This Row],[TCL REFERENCE]],FIND(".",PV_DATA[[#This Row],[TCL REFERENCE]],1)-1),"Main Line")</f>
        <v>26Apr010</v>
      </c>
      <c r="D495" s="439" t="s">
        <v>63</v>
      </c>
      <c r="E495" s="439" t="s">
        <v>64</v>
      </c>
      <c r="F495" s="462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20" t="s">
        <v>402</v>
      </c>
      <c r="H495" s="720" t="s">
        <v>67</v>
      </c>
      <c r="I495" s="720" t="s">
        <v>689</v>
      </c>
      <c r="J495" s="472" t="s">
        <v>96</v>
      </c>
      <c r="K495" s="472"/>
      <c r="L495" s="472"/>
      <c r="M495" s="472" t="s">
        <v>68</v>
      </c>
      <c r="N495" s="473">
        <v>46146</v>
      </c>
      <c r="O495" s="431" t="s">
        <v>132</v>
      </c>
      <c r="P495" s="431" t="s">
        <v>1062</v>
      </c>
      <c r="Q495" s="431" t="s">
        <v>1063</v>
      </c>
      <c r="R495" s="431" t="str">
        <f>_xlfn.XLOOKUP(PV_DATA[[#This Row],[New Ark SKU]],Table9[New Ark SKU],Table9[Connector],,0)</f>
        <v>EVO2A</v>
      </c>
      <c r="S495" s="442" t="str">
        <f>_xlfn.XLOOKUP(PV_DATA[[#This Row],[New Ark SKU]],Table9[New Ark SKU],Table9[Cable],,0)</f>
        <v>±1200mm</v>
      </c>
      <c r="T495" s="442">
        <v>470</v>
      </c>
      <c r="U495" s="1093">
        <f>864*8</f>
        <v>6912</v>
      </c>
      <c r="V495" s="444">
        <f>PV_DATA[[#This Row],[QUANTITY]]*PV_DATA[[#This Row],[WATT]]/1000000</f>
        <v>3.24864</v>
      </c>
      <c r="W495" s="466">
        <f>PV_DATA[[#This Row],[QUANTITY]]/PV_DATA[[#This Row],[Qty/Pallet]]</f>
        <v>192</v>
      </c>
      <c r="X495" s="1044">
        <f>PV_DATA[[#This Row],[QUANTITY]]/PV_DATA[[#This Row],[Qty/CT]]</f>
        <v>8</v>
      </c>
      <c r="Y495" s="431" t="s">
        <v>951</v>
      </c>
      <c r="Z495" s="430" t="str">
        <f t="shared" si="4"/>
        <v>COMPLETED</v>
      </c>
      <c r="AA495" s="431" t="s">
        <v>2423</v>
      </c>
      <c r="AB495" s="441">
        <v>46147</v>
      </c>
      <c r="AC495" s="467">
        <f>IF(PV_DATA[[#This Row],[Pick- Up Date]]&lt;&gt;"",_xlfn.ISOWEEKNUM(PV_DATA[[#This Row],[Pick- Up Date]]),"")</f>
        <v>19</v>
      </c>
      <c r="AD495" s="431" t="s">
        <v>2424</v>
      </c>
      <c r="AF495" s="431" t="s">
        <v>123</v>
      </c>
      <c r="AG495" s="431" t="s">
        <v>123</v>
      </c>
      <c r="AH495" s="431" t="s">
        <v>105</v>
      </c>
      <c r="AI495" s="441">
        <v>46152</v>
      </c>
      <c r="AJ495" s="441">
        <v>46155</v>
      </c>
      <c r="AK495" s="441">
        <v>46155</v>
      </c>
      <c r="AL495" s="441">
        <v>46189</v>
      </c>
      <c r="AM495" s="441">
        <v>46197</v>
      </c>
      <c r="AN495" s="441">
        <v>46197</v>
      </c>
      <c r="AO495" s="431" t="s">
        <v>402</v>
      </c>
      <c r="AP495" s="431" t="s">
        <v>2368</v>
      </c>
      <c r="AQ495" s="431" t="s">
        <v>80</v>
      </c>
      <c r="AR495" s="431" t="s">
        <v>2425</v>
      </c>
      <c r="AS495" s="431" t="s">
        <v>2426</v>
      </c>
      <c r="AT495" s="482" t="s">
        <v>2426</v>
      </c>
      <c r="AU4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1"/>
      <c r="AW495" s="441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1">
        <f>IF(ISERROR(PV_DATA[[#This Row],[New Ark PO status]]),"",_xlfn.XLOOKUP(PV_DATA[[#This Row],[SPTN-PVHK New Ark PO'#]],New_Ark_Data[Purchase order Number],New_Ark_Data[Estimated time of arrival],"",0))</f>
        <v>46211</v>
      </c>
      <c r="AZ4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1">
        <f>IFERROR(PV_DATA[[#This Row],[ODP ETA Port]]+PV_DATA[[#This Row],[Customs/Leg3 Assumption]],"n/a")</f>
        <v>46204</v>
      </c>
      <c r="BB495" s="442">
        <f>YEAR(PV_DATA[[#This Row],[ETA for New Ark update]])</f>
        <v>2026</v>
      </c>
      <c r="BC495" s="431">
        <f>MONTH(PV_DATA[[#This Row],[ETA for New Ark update]])</f>
        <v>7</v>
      </c>
      <c r="BD495" s="431">
        <f>IFERROR(_xlfn.ISOWEEKNUM(PV_DATA[[#This Row],[ETA for New Ark update]]),0)</f>
        <v>27</v>
      </c>
      <c r="BE495" s="431">
        <f>_xlfn.XLOOKUP(PV_DATA[[#This Row],[New Ark SKU]],Table9[New Ark SKU],Table9[Total PCS per Pallet],,0)</f>
        <v>36</v>
      </c>
      <c r="BF495" s="431">
        <f>_xlfn.XLOOKUP(PV_DATA[[#This Row],[New Ark SKU]],Table9[New Ark SKU],Table9[Total PCS per 40HQ Container],,0)</f>
        <v>864</v>
      </c>
      <c r="BG495" s="431" t="str">
        <f>_xlfn.XLOOKUP(PV_DATA[[#This Row],[New Ark SKU]],Table9[New Ark SKU],Table9[Back Glass],,0)</f>
        <v>White glazing</v>
      </c>
      <c r="BH495" s="431" t="str">
        <f>_xlfn.XLOOKUP(PV_DATA[[#This Row],[PORT DESTINATION]],Table12[PORT DESTINATION],Table12[Cosco Line],,0)</f>
        <v>AEU</v>
      </c>
    </row>
    <row r="496" spans="1:60" s="431" customFormat="1" ht="10.5">
      <c r="A496" s="439" t="s">
        <v>2427</v>
      </c>
      <c r="B496" s="439" t="s">
        <v>111</v>
      </c>
      <c r="C496" s="439" t="str">
        <f>IFERROR(LEFT(PV_DATA[[#This Row],[TCL REFERENCE]],FIND(".",PV_DATA[[#This Row],[TCL REFERENCE]],1)-1),"Main Line")</f>
        <v>26Apr010</v>
      </c>
      <c r="D496" s="439" t="s">
        <v>63</v>
      </c>
      <c r="E496" s="439" t="s">
        <v>64</v>
      </c>
      <c r="F496" s="462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20" t="s">
        <v>402</v>
      </c>
      <c r="H496" s="720" t="s">
        <v>451</v>
      </c>
      <c r="I496" s="720" t="s">
        <v>689</v>
      </c>
      <c r="J496" s="472" t="s">
        <v>96</v>
      </c>
      <c r="K496" s="472"/>
      <c r="L496" s="472"/>
      <c r="M496" s="472" t="s">
        <v>68</v>
      </c>
      <c r="N496" s="473">
        <v>46146</v>
      </c>
      <c r="O496" s="431" t="s">
        <v>132</v>
      </c>
      <c r="P496" s="431" t="s">
        <v>1062</v>
      </c>
      <c r="Q496" s="431" t="s">
        <v>1063</v>
      </c>
      <c r="R496" s="431" t="str">
        <f>_xlfn.XLOOKUP(PV_DATA[[#This Row],[New Ark SKU]],Table9[New Ark SKU],Table9[Connector],,0)</f>
        <v>EVO2A</v>
      </c>
      <c r="S496" s="442" t="str">
        <f>_xlfn.XLOOKUP(PV_DATA[[#This Row],[New Ark SKU]],Table9[New Ark SKU],Table9[Cable],,0)</f>
        <v>±1200mm</v>
      </c>
      <c r="T496" s="442">
        <v>470</v>
      </c>
      <c r="U496" s="1093">
        <f>864*2</f>
        <v>1728</v>
      </c>
      <c r="V496" s="444">
        <f>PV_DATA[[#This Row],[QUANTITY]]*PV_DATA[[#This Row],[WATT]]/1000000</f>
        <v>0.81215999999999999</v>
      </c>
      <c r="W496" s="466">
        <f>PV_DATA[[#This Row],[QUANTITY]]/PV_DATA[[#This Row],[Qty/Pallet]]</f>
        <v>48</v>
      </c>
      <c r="X496" s="1044">
        <f>PV_DATA[[#This Row],[QUANTITY]]/PV_DATA[[#This Row],[Qty/CT]]</f>
        <v>2</v>
      </c>
      <c r="Y496" s="431" t="s">
        <v>951</v>
      </c>
      <c r="Z496" s="430" t="str">
        <f t="shared" si="4"/>
        <v>COMPLETED</v>
      </c>
      <c r="AA496" s="431" t="s">
        <v>2428</v>
      </c>
      <c r="AB496" s="441">
        <v>46152</v>
      </c>
      <c r="AC496" s="467">
        <f>IF(PV_DATA[[#This Row],[Pick- Up Date]]&lt;&gt;"",_xlfn.ISOWEEKNUM(PV_DATA[[#This Row],[Pick- Up Date]]),"")</f>
        <v>19</v>
      </c>
      <c r="AD496" s="431" t="s">
        <v>2429</v>
      </c>
      <c r="AF496" s="431" t="s">
        <v>123</v>
      </c>
      <c r="AG496" s="431" t="s">
        <v>123</v>
      </c>
      <c r="AH496" s="431" t="s">
        <v>456</v>
      </c>
      <c r="AI496" s="441">
        <v>46156</v>
      </c>
      <c r="AJ496" s="441">
        <v>46155</v>
      </c>
      <c r="AK496" s="441">
        <v>46154</v>
      </c>
      <c r="AL496" s="441">
        <v>46193</v>
      </c>
      <c r="AM496" s="441">
        <v>46212</v>
      </c>
      <c r="AN496" s="441">
        <v>46213</v>
      </c>
      <c r="AO496" s="431" t="s">
        <v>402</v>
      </c>
      <c r="AP496" s="431" t="s">
        <v>2430</v>
      </c>
      <c r="AQ496" s="431" t="s">
        <v>161</v>
      </c>
      <c r="AR496" s="431" t="s">
        <v>2431</v>
      </c>
      <c r="AS496" s="431" t="s">
        <v>2432</v>
      </c>
      <c r="AT496" s="482" t="s">
        <v>2433</v>
      </c>
      <c r="AU4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1"/>
      <c r="AW496" s="441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1">
        <f>IF(ISERROR(PV_DATA[[#This Row],[New Ark PO status]]),"",_xlfn.XLOOKUP(PV_DATA[[#This Row],[SPTN-PVHK New Ark PO'#]],New_Ark_Data[Purchase order Number],New_Ark_Data[Estimated time of arrival],"",0))</f>
        <v>46226</v>
      </c>
      <c r="AZ4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1">
        <f>IFERROR(PV_DATA[[#This Row],[ODP ETA Port]]+PV_DATA[[#This Row],[Customs/Leg3 Assumption]],"n/a")</f>
        <v>46220</v>
      </c>
      <c r="BB496" s="442">
        <f>YEAR(PV_DATA[[#This Row],[ETA for New Ark update]])</f>
        <v>2026</v>
      </c>
      <c r="BC496" s="431">
        <f>MONTH(PV_DATA[[#This Row],[ETA for New Ark update]])</f>
        <v>7</v>
      </c>
      <c r="BD496" s="431">
        <f>IFERROR(_xlfn.ISOWEEKNUM(PV_DATA[[#This Row],[ETA for New Ark update]]),0)</f>
        <v>29</v>
      </c>
      <c r="BE496" s="431">
        <f>_xlfn.XLOOKUP(PV_DATA[[#This Row],[New Ark SKU]],Table9[New Ark SKU],Table9[Total PCS per Pallet],,0)</f>
        <v>36</v>
      </c>
      <c r="BF496" s="431">
        <f>_xlfn.XLOOKUP(PV_DATA[[#This Row],[New Ark SKU]],Table9[New Ark SKU],Table9[Total PCS per 40HQ Container],,0)</f>
        <v>864</v>
      </c>
      <c r="BG496" s="431" t="str">
        <f>_xlfn.XLOOKUP(PV_DATA[[#This Row],[New Ark SKU]],Table9[New Ark SKU],Table9[Back Glass],,0)</f>
        <v>White glazing</v>
      </c>
      <c r="BH496" s="431" t="str">
        <f>_xlfn.XLOOKUP(PV_DATA[[#This Row],[PORT DESTINATION]],Table12[PORT DESTINATION],Table12[Cosco Line],,0)</f>
        <v>AEU</v>
      </c>
    </row>
    <row r="497" spans="1:60" s="431" customFormat="1" ht="10.5">
      <c r="A497" s="439" t="s">
        <v>2435</v>
      </c>
      <c r="B497" s="439" t="s">
        <v>111</v>
      </c>
      <c r="C497" s="439" t="str">
        <f>IFERROR(LEFT(PV_DATA[[#This Row],[TCL REFERENCE]],FIND(".",PV_DATA[[#This Row],[TCL REFERENCE]],1)-1),"Main Line")</f>
        <v>26Apr004</v>
      </c>
      <c r="D497" s="439" t="s">
        <v>63</v>
      </c>
      <c r="E497" s="439" t="s">
        <v>64</v>
      </c>
      <c r="F497" s="462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20" t="s">
        <v>402</v>
      </c>
      <c r="H497" s="720" t="s">
        <v>451</v>
      </c>
      <c r="I497" s="720" t="s">
        <v>689</v>
      </c>
      <c r="J497" s="472" t="s">
        <v>96</v>
      </c>
      <c r="K497" s="472"/>
      <c r="L497" s="472"/>
      <c r="M497" s="472" t="s">
        <v>68</v>
      </c>
      <c r="N497" s="473">
        <v>46139</v>
      </c>
      <c r="O497" s="431" t="s">
        <v>473</v>
      </c>
      <c r="P497" s="431" t="s">
        <v>474</v>
      </c>
      <c r="Q497" s="431" t="s">
        <v>1319</v>
      </c>
      <c r="R497" s="431" t="str">
        <f>_xlfn.XLOOKUP(PV_DATA[[#This Row],[New Ark SKU]],Table9[New Ark SKU],Table9[Connector],,0)</f>
        <v>EVO2A</v>
      </c>
      <c r="S497" s="442" t="str">
        <f>_xlfn.XLOOKUP(PV_DATA[[#This Row],[New Ark SKU]],Table9[New Ark SKU],Table9[Cable],,0)</f>
        <v>±1200mm</v>
      </c>
      <c r="T497" s="442">
        <v>460</v>
      </c>
      <c r="U497" s="1093">
        <f>864*2</f>
        <v>1728</v>
      </c>
      <c r="V497" s="448">
        <f>PV_DATA[[#This Row],[QUANTITY]]*PV_DATA[[#This Row],[WATT]]/1000000</f>
        <v>0.79488000000000003</v>
      </c>
      <c r="W497" s="466">
        <f>PV_DATA[[#This Row],[QUANTITY]]/PV_DATA[[#This Row],[Qty/Pallet]]</f>
        <v>48</v>
      </c>
      <c r="X497" s="1044">
        <f>PV_DATA[[#This Row],[QUANTITY]]/PV_DATA[[#This Row],[Qty/CT]]</f>
        <v>2</v>
      </c>
      <c r="Y497" s="431" t="s">
        <v>951</v>
      </c>
      <c r="Z497" s="430" t="str">
        <f t="shared" si="4"/>
        <v>COMPLETED</v>
      </c>
      <c r="AA497" s="439" t="s">
        <v>2423</v>
      </c>
      <c r="AB497" s="441">
        <v>46152</v>
      </c>
      <c r="AC497" s="445">
        <f>IF(PV_DATA[[#This Row],[Pick- Up Date]]&lt;&gt;"",_xlfn.ISOWEEKNUM(PV_DATA[[#This Row],[Pick- Up Date]]),"")</f>
        <v>19</v>
      </c>
      <c r="AD497" s="431" t="s">
        <v>2436</v>
      </c>
      <c r="AF497" s="431" t="s">
        <v>123</v>
      </c>
      <c r="AG497" s="431" t="s">
        <v>123</v>
      </c>
      <c r="AH497" s="431" t="s">
        <v>456</v>
      </c>
      <c r="AI497" s="441">
        <v>46156</v>
      </c>
      <c r="AJ497" s="441">
        <v>46155</v>
      </c>
      <c r="AK497" s="441">
        <v>46154</v>
      </c>
      <c r="AL497" s="441">
        <v>46193</v>
      </c>
      <c r="AM497" s="441">
        <v>46212</v>
      </c>
      <c r="AN497" s="441">
        <v>46213</v>
      </c>
      <c r="AO497" s="431" t="s">
        <v>402</v>
      </c>
      <c r="AP497" s="431" t="s">
        <v>2430</v>
      </c>
      <c r="AQ497" s="431" t="s">
        <v>161</v>
      </c>
      <c r="AR497" s="431" t="s">
        <v>2431</v>
      </c>
      <c r="AS497" s="431" t="s">
        <v>2432</v>
      </c>
      <c r="AT497" s="482" t="s">
        <v>2433</v>
      </c>
      <c r="AU4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1"/>
      <c r="AW497" s="441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7" s="441">
        <f>IF(ISERROR(PV_DATA[[#This Row],[New Ark PO status]]),"",_xlfn.XLOOKUP(PV_DATA[[#This Row],[SPTN-PVHK New Ark PO'#]],New_Ark_Data[Purchase order Number],New_Ark_Data[Estimated time of arrival],"",0))</f>
        <v>46226</v>
      </c>
      <c r="AZ49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1">
        <f>IFERROR(PV_DATA[[#This Row],[ODP ETA Port]]+PV_DATA[[#This Row],[Customs/Leg3 Assumption]],"n/a")</f>
        <v>46220</v>
      </c>
      <c r="BB497" s="442">
        <f>YEAR(PV_DATA[[#This Row],[ETA for New Ark update]])</f>
        <v>2026</v>
      </c>
      <c r="BC497" s="431">
        <f>MONTH(PV_DATA[[#This Row],[ETA for New Ark update]])</f>
        <v>7</v>
      </c>
      <c r="BD497" s="431">
        <f>IFERROR(_xlfn.ISOWEEKNUM(PV_DATA[[#This Row],[ETA for New Ark update]]),0)</f>
        <v>29</v>
      </c>
      <c r="BE497" s="431">
        <f>_xlfn.XLOOKUP(PV_DATA[[#This Row],[New Ark SKU]],Table9[New Ark SKU],Table9[Total PCS per Pallet],,0)</f>
        <v>36</v>
      </c>
      <c r="BF497" s="431">
        <f>_xlfn.XLOOKUP(PV_DATA[[#This Row],[New Ark SKU]],Table9[New Ark SKU],Table9[Total PCS per 40HQ Container],,0)</f>
        <v>864</v>
      </c>
      <c r="BG497" s="431" t="str">
        <f>_xlfn.XLOOKUP(PV_DATA[[#This Row],[New Ark SKU]],Table9[New Ark SKU],Table9[Back Glass],,0)</f>
        <v>Black glazing</v>
      </c>
      <c r="BH497" s="431" t="str">
        <f>_xlfn.XLOOKUP(PV_DATA[[#This Row],[PORT DESTINATION]],Table12[PORT DESTINATION],Table12[Cosco Line],,0)</f>
        <v>AEU</v>
      </c>
    </row>
    <row r="498" spans="1:60" s="431" customFormat="1" ht="10.5">
      <c r="A498" s="439" t="s">
        <v>2437</v>
      </c>
      <c r="B498" s="439" t="s">
        <v>2132</v>
      </c>
      <c r="C498" s="439" t="str">
        <f>IFERROR(LEFT(PV_DATA[[#This Row],[TCL REFERENCE]],FIND(".",PV_DATA[[#This Row],[TCL REFERENCE]],1)-1),"Main Line")</f>
        <v>26Apr008</v>
      </c>
      <c r="D498" s="439" t="s">
        <v>63</v>
      </c>
      <c r="E498" s="439" t="s">
        <v>64</v>
      </c>
      <c r="F498" s="462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20" t="s">
        <v>402</v>
      </c>
      <c r="H498" s="720" t="s">
        <v>311</v>
      </c>
      <c r="I498" s="720" t="s">
        <v>882</v>
      </c>
      <c r="J498" s="472" t="s">
        <v>96</v>
      </c>
      <c r="K498" s="472"/>
      <c r="L498" s="472"/>
      <c r="M498" s="472" t="s">
        <v>68</v>
      </c>
      <c r="N498" s="473">
        <v>46146</v>
      </c>
      <c r="O498" s="431" t="s">
        <v>170</v>
      </c>
      <c r="P498" s="431" t="s">
        <v>1977</v>
      </c>
      <c r="Q498" s="431" t="s">
        <v>1978</v>
      </c>
      <c r="R498" s="431" t="str">
        <f>_xlfn.XLOOKUP(PV_DATA[[#This Row],[New Ark SKU]],Table9[New Ark SKU],Table9[Connector],,0)</f>
        <v>EVO2A</v>
      </c>
      <c r="S498" s="442" t="str">
        <f>_xlfn.XLOOKUP(PV_DATA[[#This Row],[New Ark SKU]],Table9[New Ark SKU],Table9[Cable],,0)</f>
        <v>±1400mm</v>
      </c>
      <c r="T498" s="442">
        <v>560</v>
      </c>
      <c r="U498" s="1093">
        <f>660*8</f>
        <v>5280</v>
      </c>
      <c r="V498" s="448">
        <f>PV_DATA[[#This Row],[QUANTITY]]*PV_DATA[[#This Row],[WATT]]/1000000</f>
        <v>2.9567999999999999</v>
      </c>
      <c r="W498" s="466">
        <f>PV_DATA[[#This Row],[QUANTITY]]/PV_DATA[[#This Row],[Qty/Pallet]]</f>
        <v>160</v>
      </c>
      <c r="X498" s="1044">
        <f>PV_DATA[[#This Row],[QUANTITY]]/PV_DATA[[#This Row],[Qty/CT]]</f>
        <v>8</v>
      </c>
      <c r="Y498" s="431" t="s">
        <v>951</v>
      </c>
      <c r="Z498" s="430" t="str">
        <f t="shared" si="4"/>
        <v>COMPLETED</v>
      </c>
      <c r="AA498" s="431" t="s">
        <v>2439</v>
      </c>
      <c r="AB498" s="441">
        <v>46150</v>
      </c>
      <c r="AC498" s="467">
        <f>IF(PV_DATA[[#This Row],[Pick- Up Date]]&lt;&gt;"",_xlfn.ISOWEEKNUM(PV_DATA[[#This Row],[Pick- Up Date]]),"")</f>
        <v>19</v>
      </c>
      <c r="AD498" s="431" t="s">
        <v>2440</v>
      </c>
      <c r="AF498" s="431" t="s">
        <v>123</v>
      </c>
      <c r="AG498" s="431" t="s">
        <v>123</v>
      </c>
      <c r="AH498" s="431" t="s">
        <v>314</v>
      </c>
      <c r="AI498" s="441">
        <v>46157</v>
      </c>
      <c r="AJ498" s="441">
        <v>46157</v>
      </c>
      <c r="AK498" s="441">
        <v>46157</v>
      </c>
      <c r="AL498" s="441">
        <v>46204</v>
      </c>
      <c r="AM498" s="441">
        <v>46205</v>
      </c>
      <c r="AN498" s="441">
        <v>46205</v>
      </c>
      <c r="AO498" s="431" t="s">
        <v>402</v>
      </c>
      <c r="AP498" s="431" t="s">
        <v>2441</v>
      </c>
      <c r="AQ498" s="431" t="s">
        <v>80</v>
      </c>
      <c r="AR498" s="431" t="s">
        <v>2442</v>
      </c>
      <c r="AS498" s="431" t="s">
        <v>2443</v>
      </c>
      <c r="AT498" s="482" t="s">
        <v>2443</v>
      </c>
      <c r="AU4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1"/>
      <c r="AW498" s="441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1">
        <f>IF(ISERROR(PV_DATA[[#This Row],[New Ark PO status]]),"",_xlfn.XLOOKUP(PV_DATA[[#This Row],[SPTN-PVHK New Ark PO'#]],New_Ark_Data[Purchase order Number],New_Ark_Data[Estimated time of arrival],"",0))</f>
        <v>46219</v>
      </c>
      <c r="AZ49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8" s="441">
        <f>IFERROR(PV_DATA[[#This Row],[ODP ETA Port]]+PV_DATA[[#This Row],[Customs/Leg3 Assumption]],"n/a")</f>
        <v>46215</v>
      </c>
      <c r="BB498" s="442">
        <f>YEAR(PV_DATA[[#This Row],[ETA for New Ark update]])</f>
        <v>2026</v>
      </c>
      <c r="BC498" s="431">
        <f>MONTH(PV_DATA[[#This Row],[ETA for New Ark update]])</f>
        <v>7</v>
      </c>
      <c r="BD498" s="431">
        <f>IFERROR(_xlfn.ISOWEEKNUM(PV_DATA[[#This Row],[ETA for New Ark update]]),0)</f>
        <v>28</v>
      </c>
      <c r="BE498" s="431">
        <f>_xlfn.XLOOKUP(PV_DATA[[#This Row],[New Ark SKU]],Table9[New Ark SKU],Table9[Total PCS per Pallet],,0)</f>
        <v>33</v>
      </c>
      <c r="BF498" s="431">
        <f>_xlfn.XLOOKUP(PV_DATA[[#This Row],[New Ark SKU]],Table9[New Ark SKU],Table9[Total PCS per 40HQ Container],,0)</f>
        <v>660</v>
      </c>
      <c r="BG498" s="431" t="str">
        <f>_xlfn.XLOOKUP(PV_DATA[[#This Row],[New Ark SKU]],Table9[New Ark SKU],Table9[Back Glass],,0)</f>
        <v>White glazing</v>
      </c>
      <c r="BH498" s="431" t="str">
        <f>_xlfn.XLOOKUP(PV_DATA[[#This Row],[PORT DESTINATION]],Table12[PORT DESTINATION],Table12[Cosco Line],,0)</f>
        <v>AEM</v>
      </c>
    </row>
    <row r="499" spans="1:60" s="431" customFormat="1" ht="10.5">
      <c r="A499" s="439" t="s">
        <v>2444</v>
      </c>
      <c r="B499" s="439" t="s">
        <v>61</v>
      </c>
      <c r="C499" s="439" t="str">
        <f>IFERROR(LEFT(PV_DATA[[#This Row],[TCL REFERENCE]],FIND(".",PV_DATA[[#This Row],[TCL REFERENCE]],1)-1),"Main Line")</f>
        <v>26May002</v>
      </c>
      <c r="D499" s="439" t="s">
        <v>63</v>
      </c>
      <c r="E499" s="439" t="s">
        <v>64</v>
      </c>
      <c r="F499" s="462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20" t="s">
        <v>402</v>
      </c>
      <c r="H499" s="720" t="s">
        <v>311</v>
      </c>
      <c r="I499" s="720" t="s">
        <v>1395</v>
      </c>
      <c r="J499" s="472" t="s">
        <v>96</v>
      </c>
      <c r="K499" s="472"/>
      <c r="L499" s="472"/>
      <c r="M499" s="472" t="s">
        <v>68</v>
      </c>
      <c r="N499" s="473">
        <v>46139</v>
      </c>
      <c r="O499" s="431" t="s">
        <v>550</v>
      </c>
      <c r="P499" s="431" t="s">
        <v>2134</v>
      </c>
      <c r="Q499" s="431" t="s">
        <v>2135</v>
      </c>
      <c r="R499" s="431" t="str">
        <f>_xlfn.XLOOKUP(PV_DATA[[#This Row],[New Ark SKU]],Table9[New Ark SKU],Table9[Connector],,0)</f>
        <v>EVO2A</v>
      </c>
      <c r="S499" s="442" t="str">
        <f>_xlfn.XLOOKUP(PV_DATA[[#This Row],[New Ark SKU]],Table9[New Ark SKU],Table9[Cable],,0)</f>
        <v>±1350mm</v>
      </c>
      <c r="T499" s="442">
        <v>515</v>
      </c>
      <c r="U499" s="1093">
        <f>792*5</f>
        <v>3960</v>
      </c>
      <c r="V499" s="434">
        <f>PV_DATA[[#This Row],[QUANTITY]]*PV_DATA[[#This Row],[WATT]]/1000000</f>
        <v>2.0394000000000001</v>
      </c>
      <c r="W499" s="466">
        <f>PV_DATA[[#This Row],[QUANTITY]]/PV_DATA[[#This Row],[Qty/Pallet]]</f>
        <v>110</v>
      </c>
      <c r="X499" s="1044">
        <f>PV_DATA[[#This Row],[QUANTITY]]/PV_DATA[[#This Row],[Qty/CT]]</f>
        <v>5</v>
      </c>
      <c r="Y499" s="431" t="s">
        <v>951</v>
      </c>
      <c r="Z499" s="430" t="str">
        <f t="shared" ref="Z499:Z562" si="5">IF(AN499&lt;&gt;"","COMPLETED",IF(AK499&lt;&gt;"","IN-TRANSIT",""))</f>
        <v>COMPLETED</v>
      </c>
      <c r="AA499" s="474" t="s">
        <v>2416</v>
      </c>
      <c r="AB499" s="441">
        <v>46150</v>
      </c>
      <c r="AC499" s="467">
        <f>IF(PV_DATA[[#This Row],[Pick- Up Date]]&lt;&gt;"",_xlfn.ISOWEEKNUM(PV_DATA[[#This Row],[Pick- Up Date]]),"")</f>
        <v>19</v>
      </c>
      <c r="AD499" s="431" t="s">
        <v>2446</v>
      </c>
      <c r="AF499" s="431" t="s">
        <v>122</v>
      </c>
      <c r="AG499" s="431" t="s">
        <v>123</v>
      </c>
      <c r="AH499" s="431" t="s">
        <v>314</v>
      </c>
      <c r="AI499" s="441">
        <v>46157</v>
      </c>
      <c r="AJ499" s="441">
        <v>46157</v>
      </c>
      <c r="AK499" s="441">
        <v>46157</v>
      </c>
      <c r="AL499" s="441">
        <v>46204</v>
      </c>
      <c r="AM499" s="441">
        <v>46205</v>
      </c>
      <c r="AN499" s="441">
        <v>46205</v>
      </c>
      <c r="AO499" s="431" t="s">
        <v>402</v>
      </c>
      <c r="AP499" s="431" t="s">
        <v>2441</v>
      </c>
      <c r="AQ499" s="431" t="s">
        <v>80</v>
      </c>
      <c r="AR499" s="431" t="s">
        <v>2442</v>
      </c>
      <c r="AS499" s="431" t="s">
        <v>2443</v>
      </c>
      <c r="AT499" s="482" t="s">
        <v>2443</v>
      </c>
      <c r="AU4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1"/>
      <c r="AW499" s="441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1">
        <f>IF(ISERROR(PV_DATA[[#This Row],[New Ark PO status]]),"",_xlfn.XLOOKUP(PV_DATA[[#This Row],[SPTN-PVHK New Ark PO'#]],New_Ark_Data[Purchase order Number],New_Ark_Data[Estimated time of arrival],"",0))</f>
        <v>46219</v>
      </c>
      <c r="AZ49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9" s="441">
        <f>IFERROR(PV_DATA[[#This Row],[ODP ETA Port]]+PV_DATA[[#This Row],[Customs/Leg3 Assumption]],"n/a")</f>
        <v>46215</v>
      </c>
      <c r="BB499" s="442">
        <f>YEAR(PV_DATA[[#This Row],[ETA for New Ark update]])</f>
        <v>2026</v>
      </c>
      <c r="BC499" s="431">
        <f>MONTH(PV_DATA[[#This Row],[ETA for New Ark update]])</f>
        <v>7</v>
      </c>
      <c r="BD499" s="431">
        <f>IFERROR(_xlfn.ISOWEEKNUM(PV_DATA[[#This Row],[ETA for New Ark update]]),0)</f>
        <v>28</v>
      </c>
      <c r="BE499" s="431">
        <f>_xlfn.XLOOKUP(PV_DATA[[#This Row],[New Ark SKU]],Table9[New Ark SKU],Table9[Total PCS per Pallet],,0)</f>
        <v>36</v>
      </c>
      <c r="BF499" s="431">
        <f>_xlfn.XLOOKUP(PV_DATA[[#This Row],[New Ark SKU]],Table9[New Ark SKU],Table9[Total PCS per 40HQ Container],,0)</f>
        <v>792</v>
      </c>
      <c r="BG499" s="431" t="str">
        <f>_xlfn.XLOOKUP(PV_DATA[[#This Row],[New Ark SKU]],Table9[New Ark SKU],Table9[Back Glass],,0)</f>
        <v>Black glazing</v>
      </c>
      <c r="BH499" s="431" t="str">
        <f>_xlfn.XLOOKUP(PV_DATA[[#This Row],[PORT DESTINATION]],Table12[PORT DESTINATION],Table12[Cosco Line],,0)</f>
        <v>AEM</v>
      </c>
    </row>
    <row r="500" spans="1:60" s="431" customFormat="1" ht="10.5">
      <c r="A500" s="439" t="s">
        <v>2447</v>
      </c>
      <c r="B500" s="439" t="s">
        <v>61</v>
      </c>
      <c r="C500" s="439" t="str">
        <f>IFERROR(LEFT(PV_DATA[[#This Row],[TCL REFERENCE]],FIND(".",PV_DATA[[#This Row],[TCL REFERENCE]],1)-1),"Main Line")</f>
        <v>26May001</v>
      </c>
      <c r="D500" s="439" t="s">
        <v>63</v>
      </c>
      <c r="E500" s="439" t="s">
        <v>64</v>
      </c>
      <c r="F500" s="462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20" t="s">
        <v>402</v>
      </c>
      <c r="H500" s="720" t="s">
        <v>67</v>
      </c>
      <c r="I500" s="720" t="s">
        <v>1395</v>
      </c>
      <c r="J500" s="472" t="s">
        <v>96</v>
      </c>
      <c r="K500" s="472"/>
      <c r="L500" s="472"/>
      <c r="M500" s="472" t="s">
        <v>68</v>
      </c>
      <c r="N500" s="473">
        <v>46139</v>
      </c>
      <c r="O500" s="431" t="s">
        <v>550</v>
      </c>
      <c r="P500" s="431" t="s">
        <v>551</v>
      </c>
      <c r="Q500" s="431" t="s">
        <v>2151</v>
      </c>
      <c r="R500" s="431" t="str">
        <f>_xlfn.XLOOKUP(PV_DATA[[#This Row],[New Ark SKU]],Table9[New Ark SKU],Table9[Connector],,0)</f>
        <v>EVO2A</v>
      </c>
      <c r="S500" s="442" t="str">
        <f>_xlfn.XLOOKUP(PV_DATA[[#This Row],[New Ark SKU]],Table9[New Ark SKU],Table9[Cable],,0)</f>
        <v>±1350mm</v>
      </c>
      <c r="T500" s="442">
        <v>510</v>
      </c>
      <c r="U500" s="1093">
        <f>792*1</f>
        <v>792</v>
      </c>
      <c r="V500" s="434">
        <f>PV_DATA[[#This Row],[QUANTITY]]*PV_DATA[[#This Row],[WATT]]/1000000</f>
        <v>0.40392</v>
      </c>
      <c r="W500" s="466">
        <f>PV_DATA[[#This Row],[QUANTITY]]/PV_DATA[[#This Row],[Qty/Pallet]]</f>
        <v>22</v>
      </c>
      <c r="X500" s="1044">
        <f>PV_DATA[[#This Row],[QUANTITY]]/PV_DATA[[#This Row],[Qty/CT]]</f>
        <v>1</v>
      </c>
      <c r="Y500" s="431" t="s">
        <v>951</v>
      </c>
      <c r="Z500" s="430" t="str">
        <f t="shared" si="5"/>
        <v>COMPLETED</v>
      </c>
      <c r="AB500" s="441">
        <v>46142</v>
      </c>
      <c r="AC500" s="467">
        <f>IF(PV_DATA[[#This Row],[Pick- Up Date]]&lt;&gt;"",_xlfn.ISOWEEKNUM(PV_DATA[[#This Row],[Pick- Up Date]]),"")</f>
        <v>18</v>
      </c>
      <c r="AD500" s="431" t="s">
        <v>2448</v>
      </c>
      <c r="AF500" s="431" t="s">
        <v>61</v>
      </c>
      <c r="AG500" s="431" t="s">
        <v>61</v>
      </c>
      <c r="AH500" s="431" t="s">
        <v>356</v>
      </c>
      <c r="AI500" s="441">
        <v>46155</v>
      </c>
      <c r="AJ500" s="441">
        <v>46155</v>
      </c>
      <c r="AK500" s="441">
        <v>46155</v>
      </c>
      <c r="AL500" s="441">
        <v>46203</v>
      </c>
      <c r="AM500" s="441"/>
      <c r="AN500" s="441">
        <v>46202</v>
      </c>
      <c r="AO500" s="431" t="s">
        <v>402</v>
      </c>
      <c r="AP500" s="431" t="s">
        <v>2449</v>
      </c>
      <c r="AQ500" s="431" t="s">
        <v>80</v>
      </c>
      <c r="AR500" s="431" t="s">
        <v>2450</v>
      </c>
      <c r="AS500" s="431" t="s">
        <v>2451</v>
      </c>
      <c r="AT500" s="482" t="s">
        <v>2451</v>
      </c>
      <c r="AU5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1"/>
      <c r="AW500" s="441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1">
        <f>IF(ISERROR(PV_DATA[[#This Row],[New Ark PO status]]),"",_xlfn.XLOOKUP(PV_DATA[[#This Row],[SPTN-PVHK New Ark PO'#]],New_Ark_Data[Purchase order Number],New_Ark_Data[Estimated time of arrival],"",0))</f>
        <v>46217</v>
      </c>
      <c r="AZ50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00" s="441">
        <f>IFERROR(PV_DATA[[#This Row],[ODP ETA Port]]+PV_DATA[[#This Row],[Customs/Leg3 Assumption]],"n/a")</f>
        <v>46212</v>
      </c>
      <c r="BB500" s="442">
        <f>YEAR(PV_DATA[[#This Row],[ETA for New Ark update]])</f>
        <v>2026</v>
      </c>
      <c r="BC500" s="431">
        <f>MONTH(PV_DATA[[#This Row],[ETA for New Ark update]])</f>
        <v>7</v>
      </c>
      <c r="BD500" s="431">
        <f>IFERROR(_xlfn.ISOWEEKNUM(PV_DATA[[#This Row],[ETA for New Ark update]]),0)</f>
        <v>28</v>
      </c>
      <c r="BE500" s="431">
        <f>_xlfn.XLOOKUP(PV_DATA[[#This Row],[New Ark SKU]],Table9[New Ark SKU],Table9[Total PCS per Pallet],,0)</f>
        <v>36</v>
      </c>
      <c r="BF500" s="431">
        <f>_xlfn.XLOOKUP(PV_DATA[[#This Row],[New Ark SKU]],Table9[New Ark SKU],Table9[Total PCS per 40HQ Container],,0)</f>
        <v>792</v>
      </c>
      <c r="BG500" s="431" t="str">
        <f>_xlfn.XLOOKUP(PV_DATA[[#This Row],[New Ark SKU]],Table9[New Ark SKU],Table9[Back Glass],,0)</f>
        <v>Black glazing</v>
      </c>
      <c r="BH500" s="431" t="str">
        <f>_xlfn.XLOOKUP(PV_DATA[[#This Row],[PORT DESTINATION]],Table12[PORT DESTINATION],Table12[Cosco Line],,0)</f>
        <v>AEU</v>
      </c>
    </row>
    <row r="501" spans="1:60" s="431" customFormat="1" ht="10.5">
      <c r="A501" s="439" t="s">
        <v>4424</v>
      </c>
      <c r="B501" s="439" t="s">
        <v>61</v>
      </c>
      <c r="C501" s="439" t="str">
        <f>IFERROR(LEFT(PV_DATA[[#This Row],[TCL REFERENCE]],FIND(".",PV_DATA[[#This Row],[TCL REFERENCE]],1)-1),"Main Line")</f>
        <v>26May002</v>
      </c>
      <c r="D501" s="439" t="s">
        <v>63</v>
      </c>
      <c r="E501" s="439" t="s">
        <v>64</v>
      </c>
      <c r="F501" s="462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20" t="s">
        <v>402</v>
      </c>
      <c r="H501" s="720" t="s">
        <v>451</v>
      </c>
      <c r="I501" s="720" t="s">
        <v>1395</v>
      </c>
      <c r="J501" s="472" t="s">
        <v>96</v>
      </c>
      <c r="K501" s="472"/>
      <c r="L501" s="472"/>
      <c r="M501" s="472" t="s">
        <v>68</v>
      </c>
      <c r="N501" s="473">
        <v>46139</v>
      </c>
      <c r="O501" s="431" t="s">
        <v>550</v>
      </c>
      <c r="P501" s="431" t="s">
        <v>2134</v>
      </c>
      <c r="Q501" s="431" t="s">
        <v>2135</v>
      </c>
      <c r="R501" s="431" t="str">
        <f>_xlfn.XLOOKUP(PV_DATA[[#This Row],[New Ark SKU]],Table9[New Ark SKU],Table9[Connector],,0)</f>
        <v>EVO2A</v>
      </c>
      <c r="S501" s="442" t="str">
        <f>_xlfn.XLOOKUP(PV_DATA[[#This Row],[New Ark SKU]],Table9[New Ark SKU],Table9[Cable],,0)</f>
        <v>±1350mm</v>
      </c>
      <c r="T501" s="442">
        <v>515</v>
      </c>
      <c r="U501" s="1093">
        <f>792*1</f>
        <v>792</v>
      </c>
      <c r="V501" s="434">
        <f>PV_DATA[[#This Row],[QUANTITY]]*PV_DATA[[#This Row],[WATT]]/1000000</f>
        <v>0.40788000000000002</v>
      </c>
      <c r="W501" s="466">
        <f>PV_DATA[[#This Row],[QUANTITY]]/PV_DATA[[#This Row],[Qty/Pallet]]</f>
        <v>22</v>
      </c>
      <c r="X501" s="1044">
        <f>PV_DATA[[#This Row],[QUANTITY]]/PV_DATA[[#This Row],[Qty/CT]]</f>
        <v>1</v>
      </c>
      <c r="Y501" s="431" t="s">
        <v>951</v>
      </c>
      <c r="Z501" s="430" t="str">
        <f t="shared" si="5"/>
        <v>COMPLETED</v>
      </c>
      <c r="AB501" s="441">
        <v>46142</v>
      </c>
      <c r="AC501" s="467">
        <f>IF(PV_DATA[[#This Row],[Pick- Up Date]]&lt;&gt;"",_xlfn.ISOWEEKNUM(PV_DATA[[#This Row],[Pick- Up Date]]),"")</f>
        <v>18</v>
      </c>
      <c r="AD501" s="431" t="s">
        <v>4425</v>
      </c>
      <c r="AF501" s="431" t="s">
        <v>61</v>
      </c>
      <c r="AG501" s="431" t="s">
        <v>61</v>
      </c>
      <c r="AH501" s="431" t="s">
        <v>456</v>
      </c>
      <c r="AI501" s="441">
        <v>46148</v>
      </c>
      <c r="AJ501" s="441">
        <v>46150</v>
      </c>
      <c r="AK501" s="441">
        <v>46150</v>
      </c>
      <c r="AL501" s="441">
        <v>46201</v>
      </c>
      <c r="AM501" s="441">
        <v>46208</v>
      </c>
      <c r="AN501" s="441">
        <v>46208</v>
      </c>
      <c r="AO501" s="431" t="s">
        <v>402</v>
      </c>
      <c r="AP501" s="431" t="s">
        <v>4426</v>
      </c>
      <c r="AQ501" s="431" t="s">
        <v>80</v>
      </c>
      <c r="AR501" s="431" t="s">
        <v>4427</v>
      </c>
      <c r="AS501" s="431" t="s">
        <v>4428</v>
      </c>
      <c r="AT501" s="482" t="s">
        <v>4428</v>
      </c>
      <c r="AU5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1"/>
      <c r="AW501" s="441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1">
        <f>IF(ISERROR(PV_DATA[[#This Row],[New Ark PO status]]),"",_xlfn.XLOOKUP(PV_DATA[[#This Row],[SPTN-PVHK New Ark PO'#]],New_Ark_Data[Purchase order Number],New_Ark_Data[Estimated time of arrival],"",0))</f>
        <v>46223</v>
      </c>
      <c r="AZ5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1">
        <f>IFERROR(PV_DATA[[#This Row],[ODP ETA Port]]+PV_DATA[[#This Row],[Customs/Leg3 Assumption]],"n/a")</f>
        <v>46215</v>
      </c>
      <c r="BB501" s="442">
        <f>YEAR(PV_DATA[[#This Row],[ETA for New Ark update]])</f>
        <v>2026</v>
      </c>
      <c r="BC501" s="431">
        <f>MONTH(PV_DATA[[#This Row],[ETA for New Ark update]])</f>
        <v>7</v>
      </c>
      <c r="BD501" s="431">
        <f>IFERROR(_xlfn.ISOWEEKNUM(PV_DATA[[#This Row],[ETA for New Ark update]]),0)</f>
        <v>28</v>
      </c>
      <c r="BE501" s="431">
        <f>_xlfn.XLOOKUP(PV_DATA[[#This Row],[New Ark SKU]],Table9[New Ark SKU],Table9[Total PCS per Pallet],,0)</f>
        <v>36</v>
      </c>
      <c r="BF501" s="431">
        <f>_xlfn.XLOOKUP(PV_DATA[[#This Row],[New Ark SKU]],Table9[New Ark SKU],Table9[Total PCS per 40HQ Container],,0)</f>
        <v>792</v>
      </c>
      <c r="BG501" s="431" t="str">
        <f>_xlfn.XLOOKUP(PV_DATA[[#This Row],[New Ark SKU]],Table9[New Ark SKU],Table9[Back Glass],,0)</f>
        <v>Black glazing</v>
      </c>
      <c r="BH501" s="431" t="str">
        <f>_xlfn.XLOOKUP(PV_DATA[[#This Row],[PORT DESTINATION]],Table12[PORT DESTINATION],Table12[Cosco Line],,0)</f>
        <v>AEU</v>
      </c>
    </row>
    <row r="502" spans="1:60" s="431" customFormat="1" ht="10.5">
      <c r="A502" s="439" t="s">
        <v>4429</v>
      </c>
      <c r="B502" s="439" t="s">
        <v>61</v>
      </c>
      <c r="C502" s="439" t="str">
        <f>IFERROR(LEFT(PV_DATA[[#This Row],[TCL REFERENCE]],FIND(".",PV_DATA[[#This Row],[TCL REFERENCE]],1)-1),"Main Line")</f>
        <v>26May002</v>
      </c>
      <c r="D502" s="439" t="s">
        <v>63</v>
      </c>
      <c r="E502" s="439" t="s">
        <v>64</v>
      </c>
      <c r="F502" s="462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20" t="s">
        <v>402</v>
      </c>
      <c r="H502" s="720" t="s">
        <v>67</v>
      </c>
      <c r="I502" s="720" t="s">
        <v>1395</v>
      </c>
      <c r="J502" s="472" t="s">
        <v>96</v>
      </c>
      <c r="K502" s="472"/>
      <c r="L502" s="472"/>
      <c r="M502" s="472" t="s">
        <v>68</v>
      </c>
      <c r="N502" s="473">
        <v>46139</v>
      </c>
      <c r="O502" s="431" t="s">
        <v>550</v>
      </c>
      <c r="P502" s="431" t="s">
        <v>2134</v>
      </c>
      <c r="Q502" s="431" t="s">
        <v>2135</v>
      </c>
      <c r="R502" s="431" t="str">
        <f>_xlfn.XLOOKUP(PV_DATA[[#This Row],[New Ark SKU]],Table9[New Ark SKU],Table9[Connector],,0)</f>
        <v>EVO2A</v>
      </c>
      <c r="S502" s="442" t="str">
        <f>_xlfn.XLOOKUP(PV_DATA[[#This Row],[New Ark SKU]],Table9[New Ark SKU],Table9[Cable],,0)</f>
        <v>±1350mm</v>
      </c>
      <c r="T502" s="442">
        <v>515</v>
      </c>
      <c r="U502" s="1093">
        <f>792*5</f>
        <v>3960</v>
      </c>
      <c r="V502" s="434">
        <f>PV_DATA[[#This Row],[QUANTITY]]*PV_DATA[[#This Row],[WATT]]/1000000</f>
        <v>2.0394000000000001</v>
      </c>
      <c r="W502" s="466">
        <f>PV_DATA[[#This Row],[QUANTITY]]/PV_DATA[[#This Row],[Qty/Pallet]]</f>
        <v>110</v>
      </c>
      <c r="X502" s="1044">
        <f>PV_DATA[[#This Row],[QUANTITY]]/PV_DATA[[#This Row],[Qty/CT]]</f>
        <v>5</v>
      </c>
      <c r="Y502" s="431" t="s">
        <v>951</v>
      </c>
      <c r="Z502" s="430" t="str">
        <f t="shared" si="5"/>
        <v>COMPLETED</v>
      </c>
      <c r="AB502" s="441">
        <v>46142</v>
      </c>
      <c r="AC502" s="467">
        <f>IF(PV_DATA[[#This Row],[Pick- Up Date]]&lt;&gt;"",_xlfn.ISOWEEKNUM(PV_DATA[[#This Row],[Pick- Up Date]]),"")</f>
        <v>18</v>
      </c>
      <c r="AD502" s="431" t="s">
        <v>4430</v>
      </c>
      <c r="AF502" s="431" t="s">
        <v>61</v>
      </c>
      <c r="AG502" s="431" t="s">
        <v>61</v>
      </c>
      <c r="AH502" s="431" t="s">
        <v>105</v>
      </c>
      <c r="AI502" s="441">
        <v>46155</v>
      </c>
      <c r="AJ502" s="441">
        <v>46155</v>
      </c>
      <c r="AK502" s="441">
        <v>46155</v>
      </c>
      <c r="AL502" s="441">
        <v>46196</v>
      </c>
      <c r="AM502" s="441"/>
      <c r="AN502" s="441">
        <v>46203</v>
      </c>
      <c r="AO502" s="431" t="s">
        <v>402</v>
      </c>
      <c r="AP502" s="431" t="s">
        <v>2449</v>
      </c>
      <c r="AQ502" s="431" t="s">
        <v>80</v>
      </c>
      <c r="AR502" s="431" t="s">
        <v>4431</v>
      </c>
      <c r="AS502" s="431" t="s">
        <v>4432</v>
      </c>
      <c r="AT502" s="482" t="s">
        <v>4432</v>
      </c>
      <c r="AU5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1"/>
      <c r="AW502" s="441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1">
        <f>IF(ISERROR(PV_DATA[[#This Row],[New Ark PO status]]),"",_xlfn.XLOOKUP(PV_DATA[[#This Row],[SPTN-PVHK New Ark PO'#]],New_Ark_Data[Purchase order Number],New_Ark_Data[Estimated time of arrival],"",0))</f>
        <v>46217</v>
      </c>
      <c r="AZ5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1">
        <f>IFERROR(PV_DATA[[#This Row],[ODP ETA Port]]+PV_DATA[[#This Row],[Customs/Leg3 Assumption]],"n/a")</f>
        <v>46210</v>
      </c>
      <c r="BB502" s="442">
        <f>YEAR(PV_DATA[[#This Row],[ETA for New Ark update]])</f>
        <v>2026</v>
      </c>
      <c r="BC502" s="431">
        <f>MONTH(PV_DATA[[#This Row],[ETA for New Ark update]])</f>
        <v>7</v>
      </c>
      <c r="BD502" s="431">
        <f>IFERROR(_xlfn.ISOWEEKNUM(PV_DATA[[#This Row],[ETA for New Ark update]]),0)</f>
        <v>28</v>
      </c>
      <c r="BE502" s="431">
        <f>_xlfn.XLOOKUP(PV_DATA[[#This Row],[New Ark SKU]],Table9[New Ark SKU],Table9[Total PCS per Pallet],,0)</f>
        <v>36</v>
      </c>
      <c r="BF502" s="431">
        <f>_xlfn.XLOOKUP(PV_DATA[[#This Row],[New Ark SKU]],Table9[New Ark SKU],Table9[Total PCS per 40HQ Container],,0)</f>
        <v>792</v>
      </c>
      <c r="BG502" s="431" t="str">
        <f>_xlfn.XLOOKUP(PV_DATA[[#This Row],[New Ark SKU]],Table9[New Ark SKU],Table9[Back Glass],,0)</f>
        <v>Black glazing</v>
      </c>
      <c r="BH502" s="431" t="str">
        <f>_xlfn.XLOOKUP(PV_DATA[[#This Row],[PORT DESTINATION]],Table12[PORT DESTINATION],Table12[Cosco Line],,0)</f>
        <v>AEU</v>
      </c>
    </row>
    <row r="503" spans="1:60" s="431" customFormat="1" ht="10.5">
      <c r="A503" s="439" t="s">
        <v>4433</v>
      </c>
      <c r="B503" s="439" t="s">
        <v>61</v>
      </c>
      <c r="C503" s="439" t="str">
        <f>IFERROR(LEFT(PV_DATA[[#This Row],[TCL REFERENCE]],FIND(".",PV_DATA[[#This Row],[TCL REFERENCE]],1)-1),"Main Line")</f>
        <v>26May001</v>
      </c>
      <c r="D503" s="439" t="s">
        <v>63</v>
      </c>
      <c r="E503" s="439" t="s">
        <v>64</v>
      </c>
      <c r="F503" s="462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20" t="s">
        <v>402</v>
      </c>
      <c r="H503" s="720" t="s">
        <v>67</v>
      </c>
      <c r="I503" s="720" t="s">
        <v>1395</v>
      </c>
      <c r="J503" s="472" t="s">
        <v>96</v>
      </c>
      <c r="K503" s="472"/>
      <c r="L503" s="472"/>
      <c r="M503" s="472" t="s">
        <v>68</v>
      </c>
      <c r="N503" s="473">
        <v>46139</v>
      </c>
      <c r="O503" s="431" t="s">
        <v>550</v>
      </c>
      <c r="P503" s="431" t="s">
        <v>551</v>
      </c>
      <c r="Q503" s="431" t="s">
        <v>2151</v>
      </c>
      <c r="R503" s="431" t="str">
        <f>_xlfn.XLOOKUP(PV_DATA[[#This Row],[New Ark SKU]],Table9[New Ark SKU],Table9[Connector],,0)</f>
        <v>EVO2A</v>
      </c>
      <c r="S503" s="442" t="str">
        <f>_xlfn.XLOOKUP(PV_DATA[[#This Row],[New Ark SKU]],Table9[New Ark SKU],Table9[Cable],,0)</f>
        <v>±1350mm</v>
      </c>
      <c r="T503" s="442">
        <v>510</v>
      </c>
      <c r="U503" s="1093">
        <f>792*4</f>
        <v>3168</v>
      </c>
      <c r="V503" s="434">
        <f>PV_DATA[[#This Row],[QUANTITY]]*PV_DATA[[#This Row],[WATT]]/1000000</f>
        <v>1.61568</v>
      </c>
      <c r="W503" s="466">
        <f>PV_DATA[[#This Row],[QUANTITY]]/PV_DATA[[#This Row],[Qty/Pallet]]</f>
        <v>88</v>
      </c>
      <c r="X503" s="1044">
        <f>PV_DATA[[#This Row],[QUANTITY]]/PV_DATA[[#This Row],[Qty/CT]]</f>
        <v>4</v>
      </c>
      <c r="Y503" s="431" t="s">
        <v>951</v>
      </c>
      <c r="Z503" s="430" t="str">
        <f t="shared" si="5"/>
        <v>COMPLETED</v>
      </c>
      <c r="AB503" s="441">
        <v>46142</v>
      </c>
      <c r="AC503" s="467">
        <f>IF(PV_DATA[[#This Row],[Pick- Up Date]]&lt;&gt;"",_xlfn.ISOWEEKNUM(PV_DATA[[#This Row],[Pick- Up Date]]),"")</f>
        <v>18</v>
      </c>
      <c r="AD503" s="431" t="s">
        <v>4434</v>
      </c>
      <c r="AF503" s="431" t="s">
        <v>61</v>
      </c>
      <c r="AG503" s="431" t="s">
        <v>61</v>
      </c>
      <c r="AH503" s="431" t="s">
        <v>78</v>
      </c>
      <c r="AI503" s="441">
        <v>46155</v>
      </c>
      <c r="AJ503" s="441">
        <v>46155</v>
      </c>
      <c r="AK503" s="441">
        <v>46155</v>
      </c>
      <c r="AL503" s="441">
        <v>46216</v>
      </c>
      <c r="AM503" s="441"/>
      <c r="AN503" s="441">
        <v>46215</v>
      </c>
      <c r="AO503" s="431" t="s">
        <v>402</v>
      </c>
      <c r="AP503" s="431" t="s">
        <v>2449</v>
      </c>
      <c r="AQ503" s="431" t="s">
        <v>80</v>
      </c>
      <c r="AR503" s="431" t="s">
        <v>4435</v>
      </c>
      <c r="AS503" s="431" t="s">
        <v>4436</v>
      </c>
      <c r="AT503" s="482" t="s">
        <v>4436</v>
      </c>
      <c r="AU5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1"/>
      <c r="AW503" s="441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1">
        <f>IF(ISERROR(PV_DATA[[#This Row],[New Ark PO status]]),"",_xlfn.XLOOKUP(PV_DATA[[#This Row],[SPTN-PVHK New Ark PO'#]],New_Ark_Data[Purchase order Number],New_Ark_Data[Estimated time of arrival],"",0))</f>
        <v>46230</v>
      </c>
      <c r="AZ50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1">
        <f>IFERROR(PV_DATA[[#This Row],[ODP ETA Port]]+PV_DATA[[#This Row],[Customs/Leg3 Assumption]],"n/a")</f>
        <v>46223</v>
      </c>
      <c r="BB503" s="442">
        <f>YEAR(PV_DATA[[#This Row],[ETA for New Ark update]])</f>
        <v>2026</v>
      </c>
      <c r="BC503" s="431">
        <f>MONTH(PV_DATA[[#This Row],[ETA for New Ark update]])</f>
        <v>7</v>
      </c>
      <c r="BD503" s="431">
        <f>IFERROR(_xlfn.ISOWEEKNUM(PV_DATA[[#This Row],[ETA for New Ark update]]),0)</f>
        <v>30</v>
      </c>
      <c r="BE503" s="431">
        <f>_xlfn.XLOOKUP(PV_DATA[[#This Row],[New Ark SKU]],Table9[New Ark SKU],Table9[Total PCS per Pallet],,0)</f>
        <v>36</v>
      </c>
      <c r="BF503" s="431">
        <f>_xlfn.XLOOKUP(PV_DATA[[#This Row],[New Ark SKU]],Table9[New Ark SKU],Table9[Total PCS per 40HQ Container],,0)</f>
        <v>792</v>
      </c>
      <c r="BG503" s="431" t="str">
        <f>_xlfn.XLOOKUP(PV_DATA[[#This Row],[New Ark SKU]],Table9[New Ark SKU],Table9[Back Glass],,0)</f>
        <v>Black glazing</v>
      </c>
      <c r="BH503" s="431" t="str">
        <f>_xlfn.XLOOKUP(PV_DATA[[#This Row],[PORT DESTINATION]],Table12[PORT DESTINATION],Table12[Cosco Line],,0)</f>
        <v>AEM</v>
      </c>
    </row>
    <row r="504" spans="1:60" s="431" customFormat="1" ht="10.5">
      <c r="A504" s="439" t="s">
        <v>4437</v>
      </c>
      <c r="B504" s="439" t="s">
        <v>61</v>
      </c>
      <c r="C504" s="439" t="str">
        <f>IFERROR(LEFT(PV_DATA[[#This Row],[TCL REFERENCE]],FIND(".",PV_DATA[[#This Row],[TCL REFERENCE]],1)-1),"Main Line")</f>
        <v>26May001</v>
      </c>
      <c r="D504" s="439" t="s">
        <v>63</v>
      </c>
      <c r="E504" s="439" t="s">
        <v>64</v>
      </c>
      <c r="F504" s="462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20" t="s">
        <v>402</v>
      </c>
      <c r="H504" s="720" t="s">
        <v>67</v>
      </c>
      <c r="I504" s="720" t="s">
        <v>1395</v>
      </c>
      <c r="J504" s="472" t="s">
        <v>96</v>
      </c>
      <c r="K504" s="472"/>
      <c r="L504" s="472"/>
      <c r="M504" s="472" t="s">
        <v>68</v>
      </c>
      <c r="N504" s="473">
        <v>46139</v>
      </c>
      <c r="O504" s="431" t="s">
        <v>550</v>
      </c>
      <c r="P504" s="431" t="s">
        <v>551</v>
      </c>
      <c r="Q504" s="431" t="s">
        <v>2151</v>
      </c>
      <c r="R504" s="431" t="str">
        <f>_xlfn.XLOOKUP(PV_DATA[[#This Row],[New Ark SKU]],Table9[New Ark SKU],Table9[Connector],,0)</f>
        <v>EVO2A</v>
      </c>
      <c r="S504" s="442" t="str">
        <f>_xlfn.XLOOKUP(PV_DATA[[#This Row],[New Ark SKU]],Table9[New Ark SKU],Table9[Cable],,0)</f>
        <v>±1350mm</v>
      </c>
      <c r="T504" s="442">
        <v>510</v>
      </c>
      <c r="U504" s="1093">
        <f>792*1</f>
        <v>792</v>
      </c>
      <c r="V504" s="434">
        <f>PV_DATA[[#This Row],[QUANTITY]]*PV_DATA[[#This Row],[WATT]]/1000000</f>
        <v>0.40392</v>
      </c>
      <c r="W504" s="466">
        <f>PV_DATA[[#This Row],[QUANTITY]]/PV_DATA[[#This Row],[Qty/Pallet]]</f>
        <v>22</v>
      </c>
      <c r="X504" s="1044">
        <f>PV_DATA[[#This Row],[QUANTITY]]/PV_DATA[[#This Row],[Qty/CT]]</f>
        <v>1</v>
      </c>
      <c r="Y504" s="431" t="s">
        <v>951</v>
      </c>
      <c r="Z504" s="430" t="str">
        <f t="shared" si="5"/>
        <v>COMPLETED</v>
      </c>
      <c r="AB504" s="441">
        <v>46142</v>
      </c>
      <c r="AC504" s="467">
        <f>IF(PV_DATA[[#This Row],[Pick- Up Date]]&lt;&gt;"",_xlfn.ISOWEEKNUM(PV_DATA[[#This Row],[Pick- Up Date]]),"")</f>
        <v>18</v>
      </c>
      <c r="AD504" s="431" t="s">
        <v>4438</v>
      </c>
      <c r="AF504" s="431" t="s">
        <v>61</v>
      </c>
      <c r="AG504" s="431" t="s">
        <v>61</v>
      </c>
      <c r="AH504" s="431" t="s">
        <v>78</v>
      </c>
      <c r="AI504" s="441">
        <v>46155</v>
      </c>
      <c r="AJ504" s="441">
        <v>46155</v>
      </c>
      <c r="AK504" s="441">
        <v>46155</v>
      </c>
      <c r="AL504" s="441">
        <v>46210</v>
      </c>
      <c r="AM504" s="441"/>
      <c r="AN504" s="441">
        <v>46211</v>
      </c>
      <c r="AO504" s="431" t="s">
        <v>402</v>
      </c>
      <c r="AP504" s="431" t="s">
        <v>2449</v>
      </c>
      <c r="AQ504" s="431" t="s">
        <v>80</v>
      </c>
      <c r="AR504" s="431" t="s">
        <v>4439</v>
      </c>
      <c r="AS504" s="431" t="s">
        <v>4440</v>
      </c>
      <c r="AT504" s="482" t="s">
        <v>4440</v>
      </c>
      <c r="AU5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1"/>
      <c r="AW504" s="441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1">
        <f>IF(ISERROR(PV_DATA[[#This Row],[New Ark PO status]]),"",_xlfn.XLOOKUP(PV_DATA[[#This Row],[SPTN-PVHK New Ark PO'#]],New_Ark_Data[Purchase order Number],New_Ark_Data[Estimated time of arrival],"",0))</f>
        <v>46225</v>
      </c>
      <c r="AZ50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1">
        <f>IFERROR(PV_DATA[[#This Row],[ODP ETA Port]]+PV_DATA[[#This Row],[Customs/Leg3 Assumption]],"n/a")</f>
        <v>46219</v>
      </c>
      <c r="BB504" s="442">
        <f>YEAR(PV_DATA[[#This Row],[ETA for New Ark update]])</f>
        <v>2026</v>
      </c>
      <c r="BC504" s="431">
        <f>MONTH(PV_DATA[[#This Row],[ETA for New Ark update]])</f>
        <v>7</v>
      </c>
      <c r="BD504" s="431">
        <f>IFERROR(_xlfn.ISOWEEKNUM(PV_DATA[[#This Row],[ETA for New Ark update]]),0)</f>
        <v>29</v>
      </c>
      <c r="BE504" s="431">
        <f>_xlfn.XLOOKUP(PV_DATA[[#This Row],[New Ark SKU]],Table9[New Ark SKU],Table9[Total PCS per Pallet],,0)</f>
        <v>36</v>
      </c>
      <c r="BF504" s="431">
        <f>_xlfn.XLOOKUP(PV_DATA[[#This Row],[New Ark SKU]],Table9[New Ark SKU],Table9[Total PCS per 40HQ Container],,0)</f>
        <v>792</v>
      </c>
      <c r="BG504" s="431" t="str">
        <f>_xlfn.XLOOKUP(PV_DATA[[#This Row],[New Ark SKU]],Table9[New Ark SKU],Table9[Back Glass],,0)</f>
        <v>Black glazing</v>
      </c>
      <c r="BH504" s="431" t="str">
        <f>_xlfn.XLOOKUP(PV_DATA[[#This Row],[PORT DESTINATION]],Table12[PORT DESTINATION],Table12[Cosco Line],,0)</f>
        <v>AEM</v>
      </c>
    </row>
    <row r="505" spans="1:60" s="431" customFormat="1" ht="10.5">
      <c r="A505" s="439" t="s">
        <v>4441</v>
      </c>
      <c r="B505" s="439" t="s">
        <v>61</v>
      </c>
      <c r="C505" s="439" t="str">
        <f>IFERROR(LEFT(PV_DATA[[#This Row],[TCL REFERENCE]],FIND(".",PV_DATA[[#This Row],[TCL REFERENCE]],1)-1),"Main Line")</f>
        <v>26May002</v>
      </c>
      <c r="D505" s="439" t="s">
        <v>63</v>
      </c>
      <c r="E505" s="439" t="s">
        <v>64</v>
      </c>
      <c r="F505" s="462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20" t="s">
        <v>402</v>
      </c>
      <c r="H505" s="720" t="s">
        <v>115</v>
      </c>
      <c r="I505" s="720" t="s">
        <v>1395</v>
      </c>
      <c r="J505" s="472" t="s">
        <v>96</v>
      </c>
      <c r="K505" s="472"/>
      <c r="L505" s="472"/>
      <c r="M505" s="472" t="s">
        <v>68</v>
      </c>
      <c r="N505" s="473">
        <v>46139</v>
      </c>
      <c r="O505" s="431" t="s">
        <v>550</v>
      </c>
      <c r="P505" s="431" t="s">
        <v>2134</v>
      </c>
      <c r="Q505" s="431" t="s">
        <v>2135</v>
      </c>
      <c r="R505" s="431" t="str">
        <f>_xlfn.XLOOKUP(PV_DATA[[#This Row],[New Ark SKU]],Table9[New Ark SKU],Table9[Connector],,0)</f>
        <v>EVO2A</v>
      </c>
      <c r="S505" s="442" t="str">
        <f>_xlfn.XLOOKUP(PV_DATA[[#This Row],[New Ark SKU]],Table9[New Ark SKU],Table9[Cable],,0)</f>
        <v>±1350mm</v>
      </c>
      <c r="T505" s="442">
        <v>515</v>
      </c>
      <c r="U505" s="1093">
        <f>792*1</f>
        <v>792</v>
      </c>
      <c r="V505" s="434">
        <f>PV_DATA[[#This Row],[QUANTITY]]*PV_DATA[[#This Row],[WATT]]/1000000</f>
        <v>0.40788000000000002</v>
      </c>
      <c r="W505" s="466">
        <f>PV_DATA[[#This Row],[QUANTITY]]/PV_DATA[[#This Row],[Qty/Pallet]]</f>
        <v>22</v>
      </c>
      <c r="X505" s="1044">
        <f>PV_DATA[[#This Row],[QUANTITY]]/PV_DATA[[#This Row],[Qty/CT]]</f>
        <v>1</v>
      </c>
      <c r="Y505" s="431" t="s">
        <v>951</v>
      </c>
      <c r="Z505" s="430" t="str">
        <f t="shared" si="5"/>
        <v>COMPLETED</v>
      </c>
      <c r="AB505" s="441">
        <v>46142</v>
      </c>
      <c r="AC505" s="467">
        <f>IF(PV_DATA[[#This Row],[Pick- Up Date]]&lt;&gt;"",_xlfn.ISOWEEKNUM(PV_DATA[[#This Row],[Pick- Up Date]]),"")</f>
        <v>18</v>
      </c>
      <c r="AD505" s="431" t="s">
        <v>4442</v>
      </c>
      <c r="AF505" s="431" t="s">
        <v>61</v>
      </c>
      <c r="AG505" s="431" t="s">
        <v>61</v>
      </c>
      <c r="AH505" s="431" t="s">
        <v>124</v>
      </c>
      <c r="AI505" s="441">
        <v>46155</v>
      </c>
      <c r="AJ505" s="441">
        <v>46155</v>
      </c>
      <c r="AK505" s="441">
        <v>46155</v>
      </c>
      <c r="AL505" s="441">
        <v>46204</v>
      </c>
      <c r="AM505" s="441"/>
      <c r="AN505" s="441">
        <v>46204</v>
      </c>
      <c r="AO505" s="431" t="s">
        <v>402</v>
      </c>
      <c r="AP505" s="431" t="s">
        <v>2449</v>
      </c>
      <c r="AQ505" s="431" t="s">
        <v>80</v>
      </c>
      <c r="AR505" s="431" t="s">
        <v>4443</v>
      </c>
      <c r="AS505" s="431" t="s">
        <v>4444</v>
      </c>
      <c r="AT505" s="482" t="s">
        <v>4444</v>
      </c>
      <c r="AU5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1"/>
      <c r="AW505" s="441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1">
        <f>IF(ISERROR(PV_DATA[[#This Row],[New Ark PO status]]),"",_xlfn.XLOOKUP(PV_DATA[[#This Row],[SPTN-PVHK New Ark PO'#]],New_Ark_Data[Purchase order Number],New_Ark_Data[Estimated time of arrival],"",0))</f>
        <v>46218</v>
      </c>
      <c r="AZ50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1">
        <f>IFERROR(PV_DATA[[#This Row],[ODP ETA Port]]+PV_DATA[[#This Row],[Customs/Leg3 Assumption]],"n/a")</f>
        <v>46213</v>
      </c>
      <c r="BB505" s="442">
        <f>YEAR(PV_DATA[[#This Row],[ETA for New Ark update]])</f>
        <v>2026</v>
      </c>
      <c r="BC505" s="431">
        <f>MONTH(PV_DATA[[#This Row],[ETA for New Ark update]])</f>
        <v>7</v>
      </c>
      <c r="BD505" s="431">
        <f>IFERROR(_xlfn.ISOWEEKNUM(PV_DATA[[#This Row],[ETA for New Ark update]]),0)</f>
        <v>28</v>
      </c>
      <c r="BE505" s="431">
        <f>_xlfn.XLOOKUP(PV_DATA[[#This Row],[New Ark SKU]],Table9[New Ark SKU],Table9[Total PCS per Pallet],,0)</f>
        <v>36</v>
      </c>
      <c r="BF505" s="431">
        <f>_xlfn.XLOOKUP(PV_DATA[[#This Row],[New Ark SKU]],Table9[New Ark SKU],Table9[Total PCS per 40HQ Container],,0)</f>
        <v>792</v>
      </c>
      <c r="BG505" s="431" t="str">
        <f>_xlfn.XLOOKUP(PV_DATA[[#This Row],[New Ark SKU]],Table9[New Ark SKU],Table9[Back Glass],,0)</f>
        <v>Black glazing</v>
      </c>
      <c r="BH505" s="431" t="str">
        <f>_xlfn.XLOOKUP(PV_DATA[[#This Row],[PORT DESTINATION]],Table12[PORT DESTINATION],Table12[Cosco Line],,0)</f>
        <v>AEM</v>
      </c>
    </row>
    <row r="506" spans="1:60" s="431" customFormat="1" ht="10.5">
      <c r="A506" s="439" t="s">
        <v>4445</v>
      </c>
      <c r="B506" s="439" t="s">
        <v>61</v>
      </c>
      <c r="C506" s="439" t="str">
        <f>IFERROR(LEFT(PV_DATA[[#This Row],[TCL REFERENCE]],FIND(".",PV_DATA[[#This Row],[TCL REFERENCE]],1)-1),"Main Line")</f>
        <v>26May002</v>
      </c>
      <c r="D506" s="439" t="s">
        <v>63</v>
      </c>
      <c r="E506" s="439" t="s">
        <v>64</v>
      </c>
      <c r="F506" s="462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20" t="s">
        <v>402</v>
      </c>
      <c r="H506" s="720" t="s">
        <v>115</v>
      </c>
      <c r="I506" s="720" t="s">
        <v>1395</v>
      </c>
      <c r="J506" s="472" t="s">
        <v>96</v>
      </c>
      <c r="K506" s="472"/>
      <c r="L506" s="472"/>
      <c r="M506" s="472" t="s">
        <v>68</v>
      </c>
      <c r="N506" s="473">
        <v>46139</v>
      </c>
      <c r="O506" s="431" t="s">
        <v>550</v>
      </c>
      <c r="P506" s="431" t="s">
        <v>2134</v>
      </c>
      <c r="Q506" s="431" t="s">
        <v>2135</v>
      </c>
      <c r="R506" s="431" t="str">
        <f>_xlfn.XLOOKUP(PV_DATA[[#This Row],[New Ark SKU]],Table9[New Ark SKU],Table9[Connector],,0)</f>
        <v>EVO2A</v>
      </c>
      <c r="S506" s="442" t="str">
        <f>_xlfn.XLOOKUP(PV_DATA[[#This Row],[New Ark SKU]],Table9[New Ark SKU],Table9[Cable],,0)</f>
        <v>±1350mm</v>
      </c>
      <c r="T506" s="442">
        <v>515</v>
      </c>
      <c r="U506" s="1093">
        <f>792*1</f>
        <v>792</v>
      </c>
      <c r="V506" s="434">
        <f>PV_DATA[[#This Row],[QUANTITY]]*PV_DATA[[#This Row],[WATT]]/1000000</f>
        <v>0.40788000000000002</v>
      </c>
      <c r="W506" s="466">
        <f>PV_DATA[[#This Row],[QUANTITY]]/PV_DATA[[#This Row],[Qty/Pallet]]</f>
        <v>22</v>
      </c>
      <c r="X506" s="1044">
        <f>PV_DATA[[#This Row],[QUANTITY]]/PV_DATA[[#This Row],[Qty/CT]]</f>
        <v>1</v>
      </c>
      <c r="Y506" s="431" t="s">
        <v>951</v>
      </c>
      <c r="Z506" s="430" t="str">
        <f t="shared" si="5"/>
        <v>COMPLETED</v>
      </c>
      <c r="AB506" s="441">
        <v>46142</v>
      </c>
      <c r="AC506" s="467">
        <f>IF(PV_DATA[[#This Row],[Pick- Up Date]]&lt;&gt;"",_xlfn.ISOWEEKNUM(PV_DATA[[#This Row],[Pick- Up Date]]),"")</f>
        <v>18</v>
      </c>
      <c r="AD506" s="431" t="s">
        <v>4446</v>
      </c>
      <c r="AF506" s="431" t="s">
        <v>61</v>
      </c>
      <c r="AG506" s="431" t="s">
        <v>61</v>
      </c>
      <c r="AH506" s="431" t="s">
        <v>124</v>
      </c>
      <c r="AI506" s="441">
        <v>46148</v>
      </c>
      <c r="AJ506" s="441">
        <v>46150</v>
      </c>
      <c r="AK506" s="441">
        <v>46150</v>
      </c>
      <c r="AL506" s="441">
        <v>46205</v>
      </c>
      <c r="AM506" s="441"/>
      <c r="AN506" s="441">
        <v>46205</v>
      </c>
      <c r="AO506" s="431" t="s">
        <v>402</v>
      </c>
      <c r="AP506" s="431" t="s">
        <v>4426</v>
      </c>
      <c r="AQ506" s="431" t="s">
        <v>80</v>
      </c>
      <c r="AR506" s="431" t="s">
        <v>4447</v>
      </c>
      <c r="AS506" s="431" t="s">
        <v>4448</v>
      </c>
      <c r="AT506" s="482" t="s">
        <v>4448</v>
      </c>
      <c r="AU5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1"/>
      <c r="AW506" s="441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1">
        <f>IF(ISERROR(PV_DATA[[#This Row],[New Ark PO status]]),"",_xlfn.XLOOKUP(PV_DATA[[#This Row],[SPTN-PVHK New Ark PO'#]],New_Ark_Data[Purchase order Number],New_Ark_Data[Estimated time of arrival],"",0))</f>
        <v>46218</v>
      </c>
      <c r="AZ506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1">
        <f>IFERROR(PV_DATA[[#This Row],[ODP ETA Port]]+PV_DATA[[#This Row],[Customs/Leg3 Assumption]],"n/a")</f>
        <v>46214</v>
      </c>
      <c r="BB506" s="442">
        <f>YEAR(PV_DATA[[#This Row],[ETA for New Ark update]])</f>
        <v>2026</v>
      </c>
      <c r="BC506" s="431">
        <f>MONTH(PV_DATA[[#This Row],[ETA for New Ark update]])</f>
        <v>7</v>
      </c>
      <c r="BD506" s="431">
        <f>IFERROR(_xlfn.ISOWEEKNUM(PV_DATA[[#This Row],[ETA for New Ark update]]),0)</f>
        <v>28</v>
      </c>
      <c r="BE506" s="431">
        <f>_xlfn.XLOOKUP(PV_DATA[[#This Row],[New Ark SKU]],Table9[New Ark SKU],Table9[Total PCS per Pallet],,0)</f>
        <v>36</v>
      </c>
      <c r="BF506" s="431">
        <f>_xlfn.XLOOKUP(PV_DATA[[#This Row],[New Ark SKU]],Table9[New Ark SKU],Table9[Total PCS per 40HQ Container],,0)</f>
        <v>792</v>
      </c>
      <c r="BG506" s="431" t="str">
        <f>_xlfn.XLOOKUP(PV_DATA[[#This Row],[New Ark SKU]],Table9[New Ark SKU],Table9[Back Glass],,0)</f>
        <v>Black glazing</v>
      </c>
      <c r="BH506" s="431" t="str">
        <f>_xlfn.XLOOKUP(PV_DATA[[#This Row],[PORT DESTINATION]],Table12[PORT DESTINATION],Table12[Cosco Line],,0)</f>
        <v>AEM</v>
      </c>
    </row>
    <row r="507" spans="1:60" s="431" customFormat="1" ht="10.5">
      <c r="A507" s="439" t="s">
        <v>4449</v>
      </c>
      <c r="B507" s="439" t="s">
        <v>111</v>
      </c>
      <c r="C507" s="721" t="str">
        <f>IFERROR(LEFT(PV_DATA[[#This Row],[TCL REFERENCE]],FIND(".",PV_DATA[[#This Row],[TCL REFERENCE]],1)-1),"Main Line")</f>
        <v>26Apr001</v>
      </c>
      <c r="D507" s="721" t="s">
        <v>113</v>
      </c>
      <c r="E507" s="439" t="s">
        <v>64</v>
      </c>
      <c r="F507" s="462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21" t="s">
        <v>402</v>
      </c>
      <c r="H507" s="721" t="s">
        <v>451</v>
      </c>
      <c r="I507" s="721" t="s">
        <v>822</v>
      </c>
      <c r="J507" s="475" t="s">
        <v>2298</v>
      </c>
      <c r="K507" s="475"/>
      <c r="L507" s="475"/>
      <c r="M507" s="475" t="s">
        <v>68</v>
      </c>
      <c r="N507" s="476">
        <v>46132</v>
      </c>
      <c r="O507" s="475" t="s">
        <v>70</v>
      </c>
      <c r="P507" s="431" t="s">
        <v>2308</v>
      </c>
      <c r="Q507" s="431" t="s">
        <v>1484</v>
      </c>
      <c r="R507" s="431" t="str">
        <f>_xlfn.XLOOKUP(PV_DATA[[#This Row],[New Ark SKU]],Table9[New Ark SKU],Table9[Connector],,0)</f>
        <v>EVO2A</v>
      </c>
      <c r="S507" s="442" t="str">
        <f>_xlfn.XLOOKUP(PV_DATA[[#This Row],[New Ark SKU]],Table9[New Ark SKU],Table9[Cable],,0)</f>
        <v>+400mm/-200mm</v>
      </c>
      <c r="T507" s="442">
        <v>725</v>
      </c>
      <c r="U507" s="1093">
        <f>594*5</f>
        <v>2970</v>
      </c>
      <c r="V507" s="448">
        <f>PV_DATA[[#This Row],[QUANTITY]]*PV_DATA[[#This Row],[WATT]]/1000000</f>
        <v>2.1532499999999999</v>
      </c>
      <c r="W507" s="466">
        <f>PV_DATA[[#This Row],[QUANTITY]]/PV_DATA[[#This Row],[Qty/Pallet]]</f>
        <v>90</v>
      </c>
      <c r="X507" s="1044">
        <f>PV_DATA[[#This Row],[QUANTITY]]/PV_DATA[[#This Row],[Qty/CT]]</f>
        <v>5</v>
      </c>
      <c r="Y507" s="431" t="s">
        <v>951</v>
      </c>
      <c r="Z507" s="430" t="str">
        <f t="shared" si="5"/>
        <v>COMPLETED</v>
      </c>
      <c r="AA507" s="474" t="s">
        <v>4450</v>
      </c>
      <c r="AB507" s="441">
        <v>46152</v>
      </c>
      <c r="AC507" s="445">
        <f>IF(PV_DATA[[#This Row],[Pick- Up Date]]&lt;&gt;"",_xlfn.ISOWEEKNUM(PV_DATA[[#This Row],[Pick- Up Date]]),"")</f>
        <v>19</v>
      </c>
      <c r="AD507" s="431" t="s">
        <v>4451</v>
      </c>
      <c r="AE507" s="475"/>
      <c r="AF507" s="431" t="s">
        <v>122</v>
      </c>
      <c r="AG507" s="431" t="s">
        <v>123</v>
      </c>
      <c r="AH507" s="431" t="s">
        <v>2301</v>
      </c>
      <c r="AI507" s="441">
        <v>46155</v>
      </c>
      <c r="AJ507" s="441">
        <v>46154</v>
      </c>
      <c r="AK507" s="441">
        <v>46154</v>
      </c>
      <c r="AL507" s="441">
        <v>46208</v>
      </c>
      <c r="AM507" s="441">
        <v>46212</v>
      </c>
      <c r="AN507" s="441">
        <v>46212</v>
      </c>
      <c r="AO507" s="431" t="s">
        <v>402</v>
      </c>
      <c r="AP507" s="431" t="s">
        <v>4452</v>
      </c>
      <c r="AQ507" s="431" t="s">
        <v>161</v>
      </c>
      <c r="AR507" s="431" t="s">
        <v>4453</v>
      </c>
      <c r="AS507" s="431" t="s">
        <v>4454</v>
      </c>
      <c r="AT507" s="482" t="s">
        <v>4455</v>
      </c>
      <c r="AU5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1"/>
      <c r="AW507" s="441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1">
        <f>IF(ISERROR(PV_DATA[[#This Row],[New Ark PO status]]),"",_xlfn.XLOOKUP(PV_DATA[[#This Row],[SPTN-PVHK New Ark PO'#]],New_Ark_Data[Purchase order Number],New_Ark_Data[Estimated time of arrival],"",0))</f>
        <v>46239</v>
      </c>
      <c r="AZ50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1">
        <f>IFERROR(PV_DATA[[#This Row],[ODP ETA Port]]+PV_DATA[[#This Row],[Customs/Leg3 Assumption]],"n/a")</f>
        <v>46219</v>
      </c>
      <c r="BB507" s="442">
        <f>YEAR(PV_DATA[[#This Row],[ETA for New Ark update]])</f>
        <v>2026</v>
      </c>
      <c r="BC507" s="431">
        <f>MONTH(PV_DATA[[#This Row],[ETA for New Ark update]])</f>
        <v>7</v>
      </c>
      <c r="BD507" s="431">
        <f>IFERROR(_xlfn.ISOWEEKNUM(PV_DATA[[#This Row],[ETA for New Ark update]]),0)</f>
        <v>29</v>
      </c>
      <c r="BE507" s="431">
        <f>_xlfn.XLOOKUP(PV_DATA[[#This Row],[New Ark SKU]],Table9[New Ark SKU],Table9[Total PCS per Pallet],,0)</f>
        <v>33</v>
      </c>
      <c r="BF507" s="431">
        <f>_xlfn.XLOOKUP(PV_DATA[[#This Row],[New Ark SKU]],Table9[New Ark SKU],Table9[Total PCS per 40HQ Container],,0)</f>
        <v>594</v>
      </c>
      <c r="BG507" s="431" t="str">
        <f>_xlfn.XLOOKUP(PV_DATA[[#This Row],[New Ark SKU]],Table9[New Ark SKU],Table9[Back Glass],,0)</f>
        <v>Transparent</v>
      </c>
      <c r="BH507" s="431" t="str">
        <f>_xlfn.XLOOKUP(PV_DATA[[#This Row],[PORT DESTINATION]],Table12[PORT DESTINATION],Table12[Cosco Line],,0)</f>
        <v>AEU</v>
      </c>
    </row>
    <row r="508" spans="1:60" s="431" customFormat="1" ht="10.5">
      <c r="A508" s="439" t="s">
        <v>4456</v>
      </c>
      <c r="B508" s="439" t="s">
        <v>111</v>
      </c>
      <c r="C508" s="721" t="str">
        <f>IFERROR(LEFT(PV_DATA[[#This Row],[TCL REFERENCE]],FIND(".",PV_DATA[[#This Row],[TCL REFERENCE]],1)-1),"Main Line")</f>
        <v>26Apr002</v>
      </c>
      <c r="D508" s="721" t="s">
        <v>113</v>
      </c>
      <c r="E508" s="439" t="s">
        <v>64</v>
      </c>
      <c r="F508" s="462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21" t="s">
        <v>402</v>
      </c>
      <c r="H508" s="721" t="s">
        <v>451</v>
      </c>
      <c r="I508" s="721" t="s">
        <v>822</v>
      </c>
      <c r="J508" s="475" t="s">
        <v>2298</v>
      </c>
      <c r="K508" s="475"/>
      <c r="L508" s="475"/>
      <c r="M508" s="475" t="s">
        <v>68</v>
      </c>
      <c r="N508" s="476">
        <v>46132</v>
      </c>
      <c r="O508" s="475" t="s">
        <v>70</v>
      </c>
      <c r="P508" s="431" t="s">
        <v>2299</v>
      </c>
      <c r="Q508" s="431" t="s">
        <v>1682</v>
      </c>
      <c r="R508" s="431" t="str">
        <f>_xlfn.XLOOKUP(PV_DATA[[#This Row],[New Ark SKU]],Table9[New Ark SKU],Table9[Connector],,0)</f>
        <v>EVO2A</v>
      </c>
      <c r="S508" s="442" t="str">
        <f>_xlfn.XLOOKUP(PV_DATA[[#This Row],[New Ark SKU]],Table9[New Ark SKU],Table9[Cable],,0)</f>
        <v>+400mm/-200mm</v>
      </c>
      <c r="T508" s="442">
        <v>730</v>
      </c>
      <c r="U508" s="1093">
        <v>1188</v>
      </c>
      <c r="V508" s="448">
        <f>PV_DATA[[#This Row],[QUANTITY]]*PV_DATA[[#This Row],[WATT]]/1000000</f>
        <v>0.86724000000000001</v>
      </c>
      <c r="W508" s="466">
        <f>PV_DATA[[#This Row],[QUANTITY]]/PV_DATA[[#This Row],[Qty/Pallet]]</f>
        <v>36</v>
      </c>
      <c r="X508" s="1044">
        <f>PV_DATA[[#This Row],[QUANTITY]]/PV_DATA[[#This Row],[Qty/CT]]</f>
        <v>2</v>
      </c>
      <c r="Y508" s="431" t="s">
        <v>951</v>
      </c>
      <c r="Z508" s="430" t="str">
        <f t="shared" si="5"/>
        <v>COMPLETED</v>
      </c>
      <c r="AA508" s="474" t="s">
        <v>4450</v>
      </c>
      <c r="AB508" s="441">
        <v>46152</v>
      </c>
      <c r="AC508" s="445">
        <f>IF(PV_DATA[[#This Row],[Pick- Up Date]]&lt;&gt;"",_xlfn.ISOWEEKNUM(PV_DATA[[#This Row],[Pick- Up Date]]),"")</f>
        <v>19</v>
      </c>
      <c r="AD508" s="431" t="s">
        <v>4457</v>
      </c>
      <c r="AE508" s="475"/>
      <c r="AF508" s="431" t="s">
        <v>122</v>
      </c>
      <c r="AG508" s="431" t="s">
        <v>123</v>
      </c>
      <c r="AH508" s="431" t="s">
        <v>2301</v>
      </c>
      <c r="AI508" s="441">
        <v>46155</v>
      </c>
      <c r="AJ508" s="441">
        <v>46154</v>
      </c>
      <c r="AK508" s="441">
        <v>46154</v>
      </c>
      <c r="AL508" s="441">
        <v>46208</v>
      </c>
      <c r="AM508" s="441">
        <v>46212</v>
      </c>
      <c r="AN508" s="441">
        <v>46212</v>
      </c>
      <c r="AO508" s="431" t="s">
        <v>402</v>
      </c>
      <c r="AP508" s="431" t="s">
        <v>4452</v>
      </c>
      <c r="AQ508" s="431" t="s">
        <v>161</v>
      </c>
      <c r="AR508" s="431" t="s">
        <v>4453</v>
      </c>
      <c r="AS508" s="431" t="s">
        <v>4454</v>
      </c>
      <c r="AT508" s="482" t="s">
        <v>4455</v>
      </c>
      <c r="AU5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1"/>
      <c r="AW508" s="441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1">
        <f>IF(ISERROR(PV_DATA[[#This Row],[New Ark PO status]]),"",_xlfn.XLOOKUP(PV_DATA[[#This Row],[SPTN-PVHK New Ark PO'#]],New_Ark_Data[Purchase order Number],New_Ark_Data[Estimated time of arrival],"",0))</f>
        <v>46239</v>
      </c>
      <c r="AZ50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1">
        <f>IFERROR(PV_DATA[[#This Row],[ODP ETA Port]]+PV_DATA[[#This Row],[Customs/Leg3 Assumption]],"n/a")</f>
        <v>46219</v>
      </c>
      <c r="BB508" s="442">
        <f>YEAR(PV_DATA[[#This Row],[ETA for New Ark update]])</f>
        <v>2026</v>
      </c>
      <c r="BC508" s="431">
        <f>MONTH(PV_DATA[[#This Row],[ETA for New Ark update]])</f>
        <v>7</v>
      </c>
      <c r="BD508" s="431">
        <f>IFERROR(_xlfn.ISOWEEKNUM(PV_DATA[[#This Row],[ETA for New Ark update]]),0)</f>
        <v>29</v>
      </c>
      <c r="BE508" s="431">
        <f>_xlfn.XLOOKUP(PV_DATA[[#This Row],[New Ark SKU]],Table9[New Ark SKU],Table9[Total PCS per Pallet],,0)</f>
        <v>33</v>
      </c>
      <c r="BF508" s="431">
        <f>_xlfn.XLOOKUP(PV_DATA[[#This Row],[New Ark SKU]],Table9[New Ark SKU],Table9[Total PCS per 40HQ Container],,0)</f>
        <v>594</v>
      </c>
      <c r="BG508" s="431" t="str">
        <f>_xlfn.XLOOKUP(PV_DATA[[#This Row],[New Ark SKU]],Table9[New Ark SKU],Table9[Back Glass],,0)</f>
        <v>Transparent</v>
      </c>
      <c r="BH508" s="431" t="str">
        <f>_xlfn.XLOOKUP(PV_DATA[[#This Row],[PORT DESTINATION]],Table12[PORT DESTINATION],Table12[Cosco Line],,0)</f>
        <v>AEU</v>
      </c>
    </row>
    <row r="509" spans="1:60" s="431" customFormat="1" ht="10.5">
      <c r="A509" s="439" t="s">
        <v>4458</v>
      </c>
      <c r="B509" s="439" t="s">
        <v>111</v>
      </c>
      <c r="C509" s="721" t="str">
        <f>IFERROR(LEFT(PV_DATA[[#This Row],[TCL REFERENCE]],FIND(".",PV_DATA[[#This Row],[TCL REFERENCE]],1)-1),"Main Line")</f>
        <v>26Apr002</v>
      </c>
      <c r="D509" s="721" t="s">
        <v>113</v>
      </c>
      <c r="E509" s="439" t="s">
        <v>64</v>
      </c>
      <c r="F509" s="462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21" t="s">
        <v>402</v>
      </c>
      <c r="H509" s="721" t="s">
        <v>451</v>
      </c>
      <c r="I509" s="721" t="s">
        <v>822</v>
      </c>
      <c r="J509" s="475" t="s">
        <v>2298</v>
      </c>
      <c r="K509" s="475"/>
      <c r="L509" s="475"/>
      <c r="M509" s="475" t="s">
        <v>68</v>
      </c>
      <c r="N509" s="476">
        <v>46132</v>
      </c>
      <c r="O509" s="475" t="s">
        <v>70</v>
      </c>
      <c r="P509" s="431" t="s">
        <v>2299</v>
      </c>
      <c r="Q509" s="431" t="s">
        <v>1682</v>
      </c>
      <c r="R509" s="431" t="str">
        <f>_xlfn.XLOOKUP(PV_DATA[[#This Row],[New Ark SKU]],Table9[New Ark SKU],Table9[Connector],,0)</f>
        <v>EVO2A</v>
      </c>
      <c r="S509" s="442" t="str">
        <f>_xlfn.XLOOKUP(PV_DATA[[#This Row],[New Ark SKU]],Table9[New Ark SKU],Table9[Cable],,0)</f>
        <v>+400mm/-200mm</v>
      </c>
      <c r="T509" s="442">
        <v>730</v>
      </c>
      <c r="U509" s="1093">
        <v>1782</v>
      </c>
      <c r="V509" s="448">
        <f>PV_DATA[[#This Row],[QUANTITY]]*PV_DATA[[#This Row],[WATT]]/1000000</f>
        <v>1.3008599999999999</v>
      </c>
      <c r="W509" s="466">
        <f>PV_DATA[[#This Row],[QUANTITY]]/PV_DATA[[#This Row],[Qty/Pallet]]</f>
        <v>54</v>
      </c>
      <c r="X509" s="1044">
        <f>PV_DATA[[#This Row],[QUANTITY]]/PV_DATA[[#This Row],[Qty/CT]]</f>
        <v>3</v>
      </c>
      <c r="Y509" s="431" t="s">
        <v>951</v>
      </c>
      <c r="Z509" s="430" t="str">
        <f t="shared" si="5"/>
        <v>COMPLETED</v>
      </c>
      <c r="AA509" s="439" t="s">
        <v>2416</v>
      </c>
      <c r="AB509" s="441">
        <v>46152</v>
      </c>
      <c r="AC509" s="445">
        <f>IF(PV_DATA[[#This Row],[Pick- Up Date]]&lt;&gt;"",_xlfn.ISOWEEKNUM(PV_DATA[[#This Row],[Pick- Up Date]]),"")</f>
        <v>19</v>
      </c>
      <c r="AD509" s="431" t="s">
        <v>4459</v>
      </c>
      <c r="AE509" s="475"/>
      <c r="AF509" s="431" t="s">
        <v>122</v>
      </c>
      <c r="AG509" s="431" t="s">
        <v>123</v>
      </c>
      <c r="AH509" s="431" t="s">
        <v>2301</v>
      </c>
      <c r="AI509" s="441">
        <v>46155</v>
      </c>
      <c r="AJ509" s="441">
        <v>46155</v>
      </c>
      <c r="AK509" s="441">
        <v>46155</v>
      </c>
      <c r="AL509" s="441">
        <v>46208</v>
      </c>
      <c r="AM509" s="441">
        <v>46212</v>
      </c>
      <c r="AN509" s="441">
        <v>46212</v>
      </c>
      <c r="AO509" s="431" t="s">
        <v>402</v>
      </c>
      <c r="AP509" s="431" t="s">
        <v>4452</v>
      </c>
      <c r="AQ509" s="431" t="s">
        <v>161</v>
      </c>
      <c r="AR509" s="431" t="s">
        <v>4460</v>
      </c>
      <c r="AS509" s="431" t="s">
        <v>4461</v>
      </c>
      <c r="AT509" s="482" t="s">
        <v>4462</v>
      </c>
      <c r="AU5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1"/>
      <c r="AW509" s="441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1">
        <f>IF(ISERROR(PV_DATA[[#This Row],[New Ark PO status]]),"",_xlfn.XLOOKUP(PV_DATA[[#This Row],[SPTN-PVHK New Ark PO'#]],New_Ark_Data[Purchase order Number],New_Ark_Data[Estimated time of arrival],"",0))</f>
        <v>46239</v>
      </c>
      <c r="AZ50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1">
        <f>IFERROR(PV_DATA[[#This Row],[ODP ETA Port]]+PV_DATA[[#This Row],[Customs/Leg3 Assumption]],"n/a")</f>
        <v>46219</v>
      </c>
      <c r="BB509" s="442">
        <f>YEAR(PV_DATA[[#This Row],[ETA for New Ark update]])</f>
        <v>2026</v>
      </c>
      <c r="BC509" s="431">
        <f>MONTH(PV_DATA[[#This Row],[ETA for New Ark update]])</f>
        <v>7</v>
      </c>
      <c r="BD509" s="431">
        <f>IFERROR(_xlfn.ISOWEEKNUM(PV_DATA[[#This Row],[ETA for New Ark update]]),0)</f>
        <v>29</v>
      </c>
      <c r="BE509" s="431">
        <f>_xlfn.XLOOKUP(PV_DATA[[#This Row],[New Ark SKU]],Table9[New Ark SKU],Table9[Total PCS per Pallet],,0)</f>
        <v>33</v>
      </c>
      <c r="BF509" s="431">
        <f>_xlfn.XLOOKUP(PV_DATA[[#This Row],[New Ark SKU]],Table9[New Ark SKU],Table9[Total PCS per 40HQ Container],,0)</f>
        <v>594</v>
      </c>
      <c r="BG509" s="431" t="str">
        <f>_xlfn.XLOOKUP(PV_DATA[[#This Row],[New Ark SKU]],Table9[New Ark SKU],Table9[Back Glass],,0)</f>
        <v>Transparent</v>
      </c>
      <c r="BH509" s="431" t="str">
        <f>_xlfn.XLOOKUP(PV_DATA[[#This Row],[PORT DESTINATION]],Table12[PORT DESTINATION],Table12[Cosco Line],,0)</f>
        <v>AEU</v>
      </c>
    </row>
    <row r="510" spans="1:60" s="431" customFormat="1" ht="10.5">
      <c r="A510" s="439" t="s">
        <v>4463</v>
      </c>
      <c r="B510" s="439" t="s">
        <v>111</v>
      </c>
      <c r="C510" s="721" t="str">
        <f>IFERROR(LEFT(PV_DATA[[#This Row],[TCL REFERENCE]],FIND(".",PV_DATA[[#This Row],[TCL REFERENCE]],1)-1),"Main Line")</f>
        <v>26Apr010</v>
      </c>
      <c r="D510" s="721" t="s">
        <v>63</v>
      </c>
      <c r="E510" s="439" t="s">
        <v>64</v>
      </c>
      <c r="F510" s="462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21" t="s">
        <v>402</v>
      </c>
      <c r="H510" s="721" t="s">
        <v>451</v>
      </c>
      <c r="I510" s="721" t="s">
        <v>689</v>
      </c>
      <c r="J510" s="475" t="s">
        <v>96</v>
      </c>
      <c r="K510" s="475"/>
      <c r="L510" s="475"/>
      <c r="M510" s="475" t="s">
        <v>68</v>
      </c>
      <c r="N510" s="476">
        <v>46146</v>
      </c>
      <c r="O510" s="475" t="s">
        <v>132</v>
      </c>
      <c r="P510" s="431" t="s">
        <v>1062</v>
      </c>
      <c r="Q510" s="431" t="s">
        <v>1063</v>
      </c>
      <c r="R510" s="431" t="str">
        <f>_xlfn.XLOOKUP(PV_DATA[[#This Row],[New Ark SKU]],Table9[New Ark SKU],Table9[Connector],,0)</f>
        <v>EVO2A</v>
      </c>
      <c r="S510" s="442" t="str">
        <f>_xlfn.XLOOKUP(PV_DATA[[#This Row],[New Ark SKU]],Table9[New Ark SKU],Table9[Cable],,0)</f>
        <v>±1200mm</v>
      </c>
      <c r="T510" s="442">
        <v>470</v>
      </c>
      <c r="U510" s="1093">
        <f>864*3</f>
        <v>2592</v>
      </c>
      <c r="V510" s="444">
        <f>PV_DATA[[#This Row],[QUANTITY]]*PV_DATA[[#This Row],[WATT]]/1000000</f>
        <v>1.21824</v>
      </c>
      <c r="W510" s="466">
        <f>PV_DATA[[#This Row],[QUANTITY]]/PV_DATA[[#This Row],[Qty/Pallet]]</f>
        <v>72</v>
      </c>
      <c r="X510" s="1044">
        <f>PV_DATA[[#This Row],[QUANTITY]]/PV_DATA[[#This Row],[Qty/CT]]</f>
        <v>3</v>
      </c>
      <c r="Y510" s="431" t="s">
        <v>951</v>
      </c>
      <c r="Z510" s="430" t="str">
        <f t="shared" si="5"/>
        <v>COMPLETED</v>
      </c>
      <c r="AA510" s="431" t="s">
        <v>2428</v>
      </c>
      <c r="AB510" s="441">
        <v>46153</v>
      </c>
      <c r="AC510" s="467">
        <f>IF(PV_DATA[[#This Row],[Pick- Up Date]]&lt;&gt;"",_xlfn.ISOWEEKNUM(PV_DATA[[#This Row],[Pick- Up Date]]),"")</f>
        <v>20</v>
      </c>
      <c r="AD510" s="431" t="s">
        <v>4464</v>
      </c>
      <c r="AE510" s="475"/>
      <c r="AF510" s="431" t="s">
        <v>123</v>
      </c>
      <c r="AG510" s="431" t="s">
        <v>123</v>
      </c>
      <c r="AH510" s="431" t="s">
        <v>456</v>
      </c>
      <c r="AI510" s="441">
        <v>46160</v>
      </c>
      <c r="AJ510" s="441">
        <v>46159</v>
      </c>
      <c r="AK510" s="441">
        <v>46159</v>
      </c>
      <c r="AL510" s="441">
        <v>46201</v>
      </c>
      <c r="AM510" s="441"/>
      <c r="AN510" s="441">
        <v>46200</v>
      </c>
      <c r="AO510" s="431" t="s">
        <v>402</v>
      </c>
      <c r="AP510" s="431" t="s">
        <v>4465</v>
      </c>
      <c r="AQ510" s="431" t="s">
        <v>80</v>
      </c>
      <c r="AR510" s="431" t="s">
        <v>4466</v>
      </c>
      <c r="AS510" s="431" t="s">
        <v>4467</v>
      </c>
      <c r="AT510" s="482" t="s">
        <v>4467</v>
      </c>
      <c r="AU5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1"/>
      <c r="AW510" s="441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1">
        <f>IF(ISERROR(PV_DATA[[#This Row],[New Ark PO status]]),"",_xlfn.XLOOKUP(PV_DATA[[#This Row],[SPTN-PVHK New Ark PO'#]],New_Ark_Data[Purchase order Number],New_Ark_Data[Estimated time of arrival],"",0))</f>
        <v>46216</v>
      </c>
      <c r="AZ51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1">
        <f>IFERROR(PV_DATA[[#This Row],[ODP ETA Port]]+PV_DATA[[#This Row],[Customs/Leg3 Assumption]],"n/a")</f>
        <v>46207</v>
      </c>
      <c r="BB510" s="442">
        <f>YEAR(PV_DATA[[#This Row],[ETA for New Ark update]])</f>
        <v>2026</v>
      </c>
      <c r="BC510" s="431">
        <f>MONTH(PV_DATA[[#This Row],[ETA for New Ark update]])</f>
        <v>7</v>
      </c>
      <c r="BD510" s="431">
        <f>IFERROR(_xlfn.ISOWEEKNUM(PV_DATA[[#This Row],[ETA for New Ark update]]),0)</f>
        <v>27</v>
      </c>
      <c r="BE510" s="431">
        <f>_xlfn.XLOOKUP(PV_DATA[[#This Row],[New Ark SKU]],Table9[New Ark SKU],Table9[Total PCS per Pallet],,0)</f>
        <v>36</v>
      </c>
      <c r="BF510" s="431">
        <f>_xlfn.XLOOKUP(PV_DATA[[#This Row],[New Ark SKU]],Table9[New Ark SKU],Table9[Total PCS per 40HQ Container],,0)</f>
        <v>864</v>
      </c>
      <c r="BG510" s="431" t="str">
        <f>_xlfn.XLOOKUP(PV_DATA[[#This Row],[New Ark SKU]],Table9[New Ark SKU],Table9[Back Glass],,0)</f>
        <v>White glazing</v>
      </c>
      <c r="BH510" s="431" t="str">
        <f>_xlfn.XLOOKUP(PV_DATA[[#This Row],[PORT DESTINATION]],Table12[PORT DESTINATION],Table12[Cosco Line],,0)</f>
        <v>AEU</v>
      </c>
    </row>
    <row r="511" spans="1:60" s="431" customFormat="1" ht="10.5">
      <c r="A511" s="439" t="s">
        <v>4468</v>
      </c>
      <c r="B511" s="439" t="s">
        <v>61</v>
      </c>
      <c r="C511" s="721" t="str">
        <f>IFERROR(LEFT(PV_DATA[[#This Row],[TCL REFERENCE]],FIND(".",PV_DATA[[#This Row],[TCL REFERENCE]],1)-1),"Main Line")</f>
        <v>26May002</v>
      </c>
      <c r="D511" s="721" t="s">
        <v>63</v>
      </c>
      <c r="E511" s="439" t="s">
        <v>64</v>
      </c>
      <c r="F511" s="462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21" t="s">
        <v>402</v>
      </c>
      <c r="H511" s="721" t="s">
        <v>451</v>
      </c>
      <c r="I511" s="721" t="s">
        <v>1395</v>
      </c>
      <c r="J511" s="475" t="s">
        <v>96</v>
      </c>
      <c r="K511" s="475"/>
      <c r="L511" s="475"/>
      <c r="M511" s="475" t="s">
        <v>68</v>
      </c>
      <c r="N511" s="476">
        <v>46139</v>
      </c>
      <c r="O511" s="475" t="s">
        <v>550</v>
      </c>
      <c r="P511" s="431" t="s">
        <v>2134</v>
      </c>
      <c r="Q511" s="431" t="s">
        <v>2135</v>
      </c>
      <c r="R511" s="431" t="str">
        <f>_xlfn.XLOOKUP(PV_DATA[[#This Row],[New Ark SKU]],Table9[New Ark SKU],Table9[Connector],,0)</f>
        <v>EVO2A</v>
      </c>
      <c r="S511" s="442" t="str">
        <f>_xlfn.XLOOKUP(PV_DATA[[#This Row],[New Ark SKU]],Table9[New Ark SKU],Table9[Cable],,0)</f>
        <v>±1350mm</v>
      </c>
      <c r="T511" s="442">
        <v>515</v>
      </c>
      <c r="U511" s="1093">
        <f>792*2</f>
        <v>1584</v>
      </c>
      <c r="V511" s="434">
        <f>PV_DATA[[#This Row],[QUANTITY]]*PV_DATA[[#This Row],[WATT]]/1000000</f>
        <v>0.81576000000000004</v>
      </c>
      <c r="W511" s="466">
        <f>PV_DATA[[#This Row],[QUANTITY]]/PV_DATA[[#This Row],[Qty/Pallet]]</f>
        <v>44</v>
      </c>
      <c r="X511" s="1044">
        <f>PV_DATA[[#This Row],[QUANTITY]]/PV_DATA[[#This Row],[Qty/CT]]</f>
        <v>2</v>
      </c>
      <c r="Y511" s="431" t="s">
        <v>951</v>
      </c>
      <c r="Z511" s="430" t="str">
        <f t="shared" si="5"/>
        <v>COMPLETED</v>
      </c>
      <c r="AA511" s="474" t="s">
        <v>2416</v>
      </c>
      <c r="AB511" s="441">
        <v>46153</v>
      </c>
      <c r="AC511" s="467">
        <f>IF(PV_DATA[[#This Row],[Pick- Up Date]]&lt;&gt;"",_xlfn.ISOWEEKNUM(PV_DATA[[#This Row],[Pick- Up Date]]),"")</f>
        <v>20</v>
      </c>
      <c r="AD511" s="431" t="s">
        <v>4469</v>
      </c>
      <c r="AE511" s="475"/>
      <c r="AF511" s="431" t="s">
        <v>122</v>
      </c>
      <c r="AG511" s="431" t="s">
        <v>123</v>
      </c>
      <c r="AH511" s="431" t="s">
        <v>456</v>
      </c>
      <c r="AI511" s="441">
        <v>46158</v>
      </c>
      <c r="AJ511" s="441">
        <v>46159</v>
      </c>
      <c r="AK511" s="441">
        <v>46159</v>
      </c>
      <c r="AL511" s="437">
        <v>46199</v>
      </c>
      <c r="AM511" s="441"/>
      <c r="AN511" s="441">
        <v>46202</v>
      </c>
      <c r="AO511" s="431" t="s">
        <v>402</v>
      </c>
      <c r="AP511" s="431" t="s">
        <v>4470</v>
      </c>
      <c r="AQ511" s="431" t="s">
        <v>80</v>
      </c>
      <c r="AR511" s="431" t="s">
        <v>4471</v>
      </c>
      <c r="AS511" s="431" t="s">
        <v>4472</v>
      </c>
      <c r="AT511" s="482" t="s">
        <v>4472</v>
      </c>
      <c r="AU5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1"/>
      <c r="AW511" s="441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1">
        <f>IF(ISERROR(PV_DATA[[#This Row],[New Ark PO status]]),"",_xlfn.XLOOKUP(PV_DATA[[#This Row],[SPTN-PVHK New Ark PO'#]],New_Ark_Data[Purchase order Number],New_Ark_Data[Estimated time of arrival],"",0))</f>
        <v>46217</v>
      </c>
      <c r="AZ5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1">
        <f>IFERROR(PV_DATA[[#This Row],[ODP ETA Port]]+PV_DATA[[#This Row],[Customs/Leg3 Assumption]],"n/a")</f>
        <v>46209</v>
      </c>
      <c r="BB511" s="442">
        <f>YEAR(PV_DATA[[#This Row],[ETA for New Ark update]])</f>
        <v>2026</v>
      </c>
      <c r="BC511" s="431">
        <f>MONTH(PV_DATA[[#This Row],[ETA for New Ark update]])</f>
        <v>7</v>
      </c>
      <c r="BD511" s="431">
        <f>IFERROR(_xlfn.ISOWEEKNUM(PV_DATA[[#This Row],[ETA for New Ark update]]),0)</f>
        <v>28</v>
      </c>
      <c r="BE511" s="431">
        <f>_xlfn.XLOOKUP(PV_DATA[[#This Row],[New Ark SKU]],Table9[New Ark SKU],Table9[Total PCS per Pallet],,0)</f>
        <v>36</v>
      </c>
      <c r="BF511" s="431">
        <f>_xlfn.XLOOKUP(PV_DATA[[#This Row],[New Ark SKU]],Table9[New Ark SKU],Table9[Total PCS per 40HQ Container],,0)</f>
        <v>792</v>
      </c>
      <c r="BG511" s="431" t="str">
        <f>_xlfn.XLOOKUP(PV_DATA[[#This Row],[New Ark SKU]],Table9[New Ark SKU],Table9[Back Glass],,0)</f>
        <v>Black glazing</v>
      </c>
      <c r="BH511" s="431" t="str">
        <f>_xlfn.XLOOKUP(PV_DATA[[#This Row],[PORT DESTINATION]],Table12[PORT DESTINATION],Table12[Cosco Line],,0)</f>
        <v>AEU</v>
      </c>
    </row>
    <row r="512" spans="1:60" s="431" customFormat="1" ht="12.75" customHeight="1">
      <c r="A512" s="439" t="s">
        <v>4473</v>
      </c>
      <c r="B512" s="439" t="s">
        <v>2132</v>
      </c>
      <c r="C512" s="721" t="str">
        <f>IFERROR(LEFT(PV_DATA[[#This Row],[TCL REFERENCE]],FIND(".",PV_DATA[[#This Row],[TCL REFERENCE]],1)-1),"Main Line")</f>
        <v>26Apr008</v>
      </c>
      <c r="D512" s="721" t="s">
        <v>63</v>
      </c>
      <c r="E512" s="439" t="s">
        <v>64</v>
      </c>
      <c r="F512" s="462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21" t="s">
        <v>402</v>
      </c>
      <c r="H512" s="721" t="s">
        <v>67</v>
      </c>
      <c r="I512" s="721" t="s">
        <v>689</v>
      </c>
      <c r="J512" s="475" t="s">
        <v>96</v>
      </c>
      <c r="K512" s="475"/>
      <c r="L512" s="475"/>
      <c r="M512" s="475" t="s">
        <v>68</v>
      </c>
      <c r="N512" s="476">
        <v>46146</v>
      </c>
      <c r="O512" s="475" t="s">
        <v>170</v>
      </c>
      <c r="P512" s="431" t="s">
        <v>1977</v>
      </c>
      <c r="Q512" s="431" t="s">
        <v>1978</v>
      </c>
      <c r="R512" s="431" t="str">
        <f>_xlfn.XLOOKUP(PV_DATA[[#This Row],[New Ark SKU]],Table9[New Ark SKU],Table9[Connector],,0)</f>
        <v>EVO2A</v>
      </c>
      <c r="S512" s="442" t="str">
        <f>_xlfn.XLOOKUP(PV_DATA[[#This Row],[New Ark SKU]],Table9[New Ark SKU],Table9[Cable],,0)</f>
        <v>±1400mm</v>
      </c>
      <c r="T512" s="442">
        <v>560</v>
      </c>
      <c r="U512" s="1093">
        <f>660*3</f>
        <v>1980</v>
      </c>
      <c r="V512" s="448">
        <f>PV_DATA[[#This Row],[QUANTITY]]*PV_DATA[[#This Row],[WATT]]/1000000</f>
        <v>1.1088</v>
      </c>
      <c r="W512" s="466">
        <f>PV_DATA[[#This Row],[QUANTITY]]/PV_DATA[[#This Row],[Qty/Pallet]]</f>
        <v>60</v>
      </c>
      <c r="X512" s="1044">
        <f>PV_DATA[[#This Row],[QUANTITY]]/PV_DATA[[#This Row],[Qty/CT]]</f>
        <v>3</v>
      </c>
      <c r="Y512" s="431" t="s">
        <v>951</v>
      </c>
      <c r="Z512" s="430" t="str">
        <f t="shared" si="5"/>
        <v>COMPLETED</v>
      </c>
      <c r="AA512" s="439" t="s">
        <v>4474</v>
      </c>
      <c r="AB512" s="441">
        <v>46156</v>
      </c>
      <c r="AC512" s="467">
        <f>IF(PV_DATA[[#This Row],[Pick- Up Date]]&lt;&gt;"",_xlfn.ISOWEEKNUM(PV_DATA[[#This Row],[Pick- Up Date]]),"")</f>
        <v>20</v>
      </c>
      <c r="AD512" s="431" t="s">
        <v>4475</v>
      </c>
      <c r="AE512" s="475"/>
      <c r="AF512" s="431" t="s">
        <v>123</v>
      </c>
      <c r="AG512" s="431" t="s">
        <v>123</v>
      </c>
      <c r="AH512" s="431" t="s">
        <v>105</v>
      </c>
      <c r="AI512" s="441">
        <v>46161</v>
      </c>
      <c r="AJ512" s="441">
        <v>46163</v>
      </c>
      <c r="AK512" s="441">
        <v>46163</v>
      </c>
      <c r="AL512" s="441">
        <v>46196</v>
      </c>
      <c r="AM512" s="441"/>
      <c r="AN512" s="441">
        <v>46203</v>
      </c>
      <c r="AO512" s="431" t="s">
        <v>402</v>
      </c>
      <c r="AP512" s="431" t="s">
        <v>2449</v>
      </c>
      <c r="AQ512" s="431" t="s">
        <v>80</v>
      </c>
      <c r="AR512" s="431" t="s">
        <v>4476</v>
      </c>
      <c r="AS512" s="431" t="s">
        <v>4477</v>
      </c>
      <c r="AT512" s="482" t="s">
        <v>4477</v>
      </c>
      <c r="AU5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1"/>
      <c r="AW512" s="441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1">
        <f>IF(ISERROR(PV_DATA[[#This Row],[New Ark PO status]]),"",_xlfn.XLOOKUP(PV_DATA[[#This Row],[SPTN-PVHK New Ark PO'#]],New_Ark_Data[Purchase order Number],New_Ark_Data[Estimated time of arrival],"",0))</f>
        <v>46217</v>
      </c>
      <c r="AZ5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1">
        <f>IFERROR(PV_DATA[[#This Row],[ODP ETA Port]]+PV_DATA[[#This Row],[Customs/Leg3 Assumption]],"n/a")</f>
        <v>46210</v>
      </c>
      <c r="BB512" s="442">
        <f>YEAR(PV_DATA[[#This Row],[ETA for New Ark update]])</f>
        <v>2026</v>
      </c>
      <c r="BC512" s="431">
        <f>MONTH(PV_DATA[[#This Row],[ETA for New Ark update]])</f>
        <v>7</v>
      </c>
      <c r="BD512" s="431">
        <f>IFERROR(_xlfn.ISOWEEKNUM(PV_DATA[[#This Row],[ETA for New Ark update]]),0)</f>
        <v>28</v>
      </c>
      <c r="BE512" s="431">
        <f>_xlfn.XLOOKUP(PV_DATA[[#This Row],[New Ark SKU]],Table9[New Ark SKU],Table9[Total PCS per Pallet],,0)</f>
        <v>33</v>
      </c>
      <c r="BF512" s="431">
        <f>_xlfn.XLOOKUP(PV_DATA[[#This Row],[New Ark SKU]],Table9[New Ark SKU],Table9[Total PCS per 40HQ Container],,0)</f>
        <v>660</v>
      </c>
      <c r="BG512" s="431" t="str">
        <f>_xlfn.XLOOKUP(PV_DATA[[#This Row],[New Ark SKU]],Table9[New Ark SKU],Table9[Back Glass],,0)</f>
        <v>White glazing</v>
      </c>
      <c r="BH512" s="431" t="str">
        <f>_xlfn.XLOOKUP(PV_DATA[[#This Row],[PORT DESTINATION]],Table12[PORT DESTINATION],Table12[Cosco Line],,0)</f>
        <v>AEU</v>
      </c>
    </row>
    <row r="513" spans="1:60" s="431" customFormat="1" ht="10.5">
      <c r="A513" s="439" t="s">
        <v>4478</v>
      </c>
      <c r="B513" s="439" t="s">
        <v>111</v>
      </c>
      <c r="C513" s="721" t="str">
        <f>IFERROR(LEFT(PV_DATA[[#This Row],[TCL REFERENCE]],FIND(".",PV_DATA[[#This Row],[TCL REFERENCE]],1)-1),"Main Line")</f>
        <v>26May006</v>
      </c>
      <c r="D513" s="721" t="s">
        <v>63</v>
      </c>
      <c r="E513" s="722" t="s">
        <v>64</v>
      </c>
      <c r="F513" s="462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21" t="s">
        <v>402</v>
      </c>
      <c r="H513" s="721" t="s">
        <v>67</v>
      </c>
      <c r="I513" s="721" t="s">
        <v>689</v>
      </c>
      <c r="J513" s="475" t="s">
        <v>96</v>
      </c>
      <c r="K513" s="475"/>
      <c r="L513" s="475"/>
      <c r="M513" s="475" t="s">
        <v>68</v>
      </c>
      <c r="N513" s="476">
        <v>46160</v>
      </c>
      <c r="O513" s="475" t="s">
        <v>132</v>
      </c>
      <c r="P513" s="431" t="s">
        <v>1062</v>
      </c>
      <c r="Q513" s="431" t="s">
        <v>1063</v>
      </c>
      <c r="R513" s="431" t="str">
        <f>_xlfn.XLOOKUP(PV_DATA[[#This Row],[New Ark SKU]],Table9[New Ark SKU],Table9[Connector],,0)</f>
        <v>EVO2A</v>
      </c>
      <c r="S513" s="442" t="str">
        <f>_xlfn.XLOOKUP(PV_DATA[[#This Row],[New Ark SKU]],Table9[New Ark SKU],Table9[Cable],,0)</f>
        <v>±1200mm</v>
      </c>
      <c r="T513" s="442">
        <v>470</v>
      </c>
      <c r="U513" s="1093">
        <f>864*5</f>
        <v>4320</v>
      </c>
      <c r="V513" s="448">
        <f>PV_DATA[[#This Row],[QUANTITY]]*PV_DATA[[#This Row],[WATT]]/1000000</f>
        <v>2.0304000000000002</v>
      </c>
      <c r="W513" s="466">
        <f>PV_DATA[[#This Row],[QUANTITY]]/PV_DATA[[#This Row],[Qty/Pallet]]</f>
        <v>120</v>
      </c>
      <c r="X513" s="1044">
        <f>PV_DATA[[#This Row],[QUANTITY]]/PV_DATA[[#This Row],[Qty/CT]]</f>
        <v>5</v>
      </c>
      <c r="Y513" s="431" t="s">
        <v>951</v>
      </c>
      <c r="Z513" s="430" t="str">
        <f t="shared" si="5"/>
        <v>COMPLETED</v>
      </c>
      <c r="AB513" s="441">
        <v>46156</v>
      </c>
      <c r="AC513" s="467">
        <f>IF(PV_DATA[[#This Row],[Pick- Up Date]]&lt;&gt;"",_xlfn.ISOWEEKNUM(PV_DATA[[#This Row],[Pick- Up Date]]),"")</f>
        <v>20</v>
      </c>
      <c r="AD513" s="431" t="s">
        <v>4479</v>
      </c>
      <c r="AE513" s="475"/>
      <c r="AF513" s="431" t="s">
        <v>123</v>
      </c>
      <c r="AG513" s="431" t="s">
        <v>123</v>
      </c>
      <c r="AH513" s="431" t="s">
        <v>105</v>
      </c>
      <c r="AI513" s="441">
        <v>46161</v>
      </c>
      <c r="AJ513" s="441">
        <v>46163</v>
      </c>
      <c r="AK513" s="441">
        <v>46163</v>
      </c>
      <c r="AL513" s="441">
        <v>46196</v>
      </c>
      <c r="AM513" s="441"/>
      <c r="AN513" s="441">
        <v>46203</v>
      </c>
      <c r="AP513" s="431" t="s">
        <v>2449</v>
      </c>
      <c r="AQ513" s="431" t="s">
        <v>80</v>
      </c>
      <c r="AR513" s="431" t="s">
        <v>4476</v>
      </c>
      <c r="AS513" s="431" t="s">
        <v>4477</v>
      </c>
      <c r="AT513" s="482" t="s">
        <v>4477</v>
      </c>
      <c r="AU5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1"/>
      <c r="AW513" s="441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1">
        <f>IF(ISERROR(PV_DATA[[#This Row],[New Ark PO status]]),"",_xlfn.XLOOKUP(PV_DATA[[#This Row],[SPTN-PVHK New Ark PO'#]],New_Ark_Data[Purchase order Number],New_Ark_Data[Estimated time of arrival],"",0))</f>
        <v>46217</v>
      </c>
      <c r="AZ5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1">
        <f>IFERROR(PV_DATA[[#This Row],[ODP ETA Port]]+PV_DATA[[#This Row],[Customs/Leg3 Assumption]],"n/a")</f>
        <v>46210</v>
      </c>
      <c r="BB513" s="442">
        <f>YEAR(PV_DATA[[#This Row],[ETA for New Ark update]])</f>
        <v>2026</v>
      </c>
      <c r="BC513" s="431">
        <f>MONTH(PV_DATA[[#This Row],[ETA for New Ark update]])</f>
        <v>7</v>
      </c>
      <c r="BD513" s="431">
        <f>IFERROR(_xlfn.ISOWEEKNUM(PV_DATA[[#This Row],[ETA for New Ark update]]),0)</f>
        <v>28</v>
      </c>
      <c r="BE513" s="431">
        <f>_xlfn.XLOOKUP(PV_DATA[[#This Row],[New Ark SKU]],Table9[New Ark SKU],Table9[Total PCS per Pallet],,0)</f>
        <v>36</v>
      </c>
      <c r="BF513" s="431">
        <f>_xlfn.XLOOKUP(PV_DATA[[#This Row],[New Ark SKU]],Table9[New Ark SKU],Table9[Total PCS per 40HQ Container],,0)</f>
        <v>864</v>
      </c>
      <c r="BG513" s="431" t="str">
        <f>_xlfn.XLOOKUP(PV_DATA[[#This Row],[New Ark SKU]],Table9[New Ark SKU],Table9[Back Glass],,0)</f>
        <v>White glazing</v>
      </c>
      <c r="BH513" s="431" t="str">
        <f>_xlfn.XLOOKUP(PV_DATA[[#This Row],[PORT DESTINATION]],Table12[PORT DESTINATION],Table12[Cosco Line],,0)</f>
        <v>AEU</v>
      </c>
    </row>
    <row r="514" spans="1:60" s="431" customFormat="1" ht="15.75" customHeight="1">
      <c r="A514" s="439" t="s">
        <v>4480</v>
      </c>
      <c r="B514" s="439" t="s">
        <v>111</v>
      </c>
      <c r="C514" s="721" t="str">
        <f>IFERROR(LEFT(PV_DATA[[#This Row],[TCL REFERENCE]],FIND(".",PV_DATA[[#This Row],[TCL REFERENCE]],1)-1),"Main Line")</f>
        <v>26Apr010</v>
      </c>
      <c r="D514" s="721" t="s">
        <v>63</v>
      </c>
      <c r="E514" s="439" t="s">
        <v>64</v>
      </c>
      <c r="F514" s="462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21" t="s">
        <v>402</v>
      </c>
      <c r="H514" s="721" t="s">
        <v>67</v>
      </c>
      <c r="I514" s="721" t="s">
        <v>689</v>
      </c>
      <c r="J514" s="475" t="s">
        <v>96</v>
      </c>
      <c r="K514" s="475"/>
      <c r="L514" s="475"/>
      <c r="M514" s="475" t="s">
        <v>68</v>
      </c>
      <c r="N514" s="476">
        <v>46146</v>
      </c>
      <c r="O514" s="475" t="s">
        <v>132</v>
      </c>
      <c r="P514" s="431" t="s">
        <v>1062</v>
      </c>
      <c r="Q514" s="431" t="s">
        <v>1063</v>
      </c>
      <c r="R514" s="431" t="str">
        <f>_xlfn.XLOOKUP(PV_DATA[[#This Row],[New Ark SKU]],Table9[New Ark SKU],Table9[Connector],,0)</f>
        <v>EVO2A</v>
      </c>
      <c r="S514" s="442" t="str">
        <f>_xlfn.XLOOKUP(PV_DATA[[#This Row],[New Ark SKU]],Table9[New Ark SKU],Table9[Cable],,0)</f>
        <v>±1200mm</v>
      </c>
      <c r="T514" s="442">
        <v>470</v>
      </c>
      <c r="U514" s="1093">
        <f>864*6</f>
        <v>5184</v>
      </c>
      <c r="V514" s="448">
        <f>PV_DATA[[#This Row],[QUANTITY]]*PV_DATA[[#This Row],[WATT]]/1000000</f>
        <v>2.43648</v>
      </c>
      <c r="W514" s="466">
        <f>PV_DATA[[#This Row],[QUANTITY]]/PV_DATA[[#This Row],[Qty/Pallet]]</f>
        <v>144</v>
      </c>
      <c r="X514" s="1044">
        <f>PV_DATA[[#This Row],[QUANTITY]]/PV_DATA[[#This Row],[Qty/CT]]</f>
        <v>6</v>
      </c>
      <c r="Y514" s="431" t="s">
        <v>951</v>
      </c>
      <c r="Z514" s="430" t="str">
        <f t="shared" si="5"/>
        <v>COMPLETED</v>
      </c>
      <c r="AA514" s="439" t="s">
        <v>2439</v>
      </c>
      <c r="AB514" s="441">
        <v>46152</v>
      </c>
      <c r="AC514" s="467">
        <f>IF(PV_DATA[[#This Row],[Pick- Up Date]]&lt;&gt;"",_xlfn.ISOWEEKNUM(PV_DATA[[#This Row],[Pick- Up Date]]),"")</f>
        <v>19</v>
      </c>
      <c r="AD514" s="431" t="s">
        <v>4481</v>
      </c>
      <c r="AE514" s="475"/>
      <c r="AF514" s="431" t="s">
        <v>123</v>
      </c>
      <c r="AG514" s="431" t="s">
        <v>123</v>
      </c>
      <c r="AH514" s="431" t="s">
        <v>105</v>
      </c>
      <c r="AI514" s="441">
        <v>46158</v>
      </c>
      <c r="AJ514" s="441">
        <v>46173</v>
      </c>
      <c r="AK514" s="441">
        <v>46173</v>
      </c>
      <c r="AL514" s="441">
        <v>46202</v>
      </c>
      <c r="AM514" s="441">
        <v>46210</v>
      </c>
      <c r="AN514" s="441">
        <v>46211</v>
      </c>
      <c r="AO514" s="431" t="s">
        <v>402</v>
      </c>
      <c r="AP514" s="431" t="s">
        <v>4482</v>
      </c>
      <c r="AQ514" s="431" t="s">
        <v>80</v>
      </c>
      <c r="AR514" s="431" t="s">
        <v>4483</v>
      </c>
      <c r="AS514" s="431" t="s">
        <v>4484</v>
      </c>
      <c r="AT514" s="482" t="s">
        <v>4484</v>
      </c>
      <c r="AU5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1"/>
      <c r="AW514" s="441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1">
        <f>IF(ISERROR(PV_DATA[[#This Row],[New Ark PO status]]),"",_xlfn.XLOOKUP(PV_DATA[[#This Row],[SPTN-PVHK New Ark PO'#]],New_Ark_Data[Purchase order Number],New_Ark_Data[Estimated time of arrival],"",0))</f>
        <v>46225</v>
      </c>
      <c r="AZ5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1">
        <f>IFERROR(PV_DATA[[#This Row],[ODP ETA Port]]+PV_DATA[[#This Row],[Customs/Leg3 Assumption]],"n/a")</f>
        <v>46218</v>
      </c>
      <c r="BB514" s="442">
        <f>YEAR(PV_DATA[[#This Row],[ETA for New Ark update]])</f>
        <v>2026</v>
      </c>
      <c r="BC514" s="431">
        <f>MONTH(PV_DATA[[#This Row],[ETA for New Ark update]])</f>
        <v>7</v>
      </c>
      <c r="BD514" s="431">
        <f>IFERROR(_xlfn.ISOWEEKNUM(PV_DATA[[#This Row],[ETA for New Ark update]]),0)</f>
        <v>29</v>
      </c>
      <c r="BE514" s="431">
        <f>_xlfn.XLOOKUP(PV_DATA[[#This Row],[New Ark SKU]],Table9[New Ark SKU],Table9[Total PCS per Pallet],,0)</f>
        <v>36</v>
      </c>
      <c r="BF514" s="431">
        <f>_xlfn.XLOOKUP(PV_DATA[[#This Row],[New Ark SKU]],Table9[New Ark SKU],Table9[Total PCS per 40HQ Container],,0)</f>
        <v>864</v>
      </c>
      <c r="BG514" s="431" t="str">
        <f>_xlfn.XLOOKUP(PV_DATA[[#This Row],[New Ark SKU]],Table9[New Ark SKU],Table9[Back Glass],,0)</f>
        <v>White glazing</v>
      </c>
      <c r="BH514" s="431" t="str">
        <f>_xlfn.XLOOKUP(PV_DATA[[#This Row],[PORT DESTINATION]],Table12[PORT DESTINATION],Table12[Cosco Line],,0)</f>
        <v>AEU</v>
      </c>
    </row>
    <row r="515" spans="1:60" s="431" customFormat="1" ht="14.25" customHeight="1">
      <c r="A515" s="439" t="s">
        <v>4485</v>
      </c>
      <c r="B515" s="439" t="s">
        <v>111</v>
      </c>
      <c r="C515" s="721" t="str">
        <f>IFERROR(LEFT(PV_DATA[[#This Row],[TCL REFERENCE]],FIND(".",PV_DATA[[#This Row],[TCL REFERENCE]],1)-1),"Main Line")</f>
        <v>26May015</v>
      </c>
      <c r="D515" s="721" t="s">
        <v>63</v>
      </c>
      <c r="E515" s="439" t="s">
        <v>64</v>
      </c>
      <c r="F515" s="462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21" t="s">
        <v>402</v>
      </c>
      <c r="H515" s="721" t="s">
        <v>67</v>
      </c>
      <c r="I515" s="721" t="s">
        <v>2004</v>
      </c>
      <c r="J515" s="475" t="s">
        <v>96</v>
      </c>
      <c r="K515" s="475"/>
      <c r="L515" s="475"/>
      <c r="M515" s="475" t="s">
        <v>68</v>
      </c>
      <c r="N515" s="476" t="s">
        <v>68</v>
      </c>
      <c r="O515" s="475" t="s">
        <v>4486</v>
      </c>
      <c r="P515" s="431" t="s">
        <v>4487</v>
      </c>
      <c r="Q515" s="431" t="s">
        <v>4488</v>
      </c>
      <c r="R515" s="431" t="str">
        <f>_xlfn.XLOOKUP(PV_DATA[[#This Row],[New Ark SKU]],Table9[New Ark SKU],Table9[Connector],,0)</f>
        <v>EVO2A</v>
      </c>
      <c r="S515" s="442" t="str">
        <f>_xlfn.XLOOKUP(PV_DATA[[#This Row],[New Ark SKU]],Table9[New Ark SKU],Table9[Cable],,0)</f>
        <v>±1400mm</v>
      </c>
      <c r="T515" s="442">
        <v>640</v>
      </c>
      <c r="U515" s="1093">
        <v>720</v>
      </c>
      <c r="V515" s="448">
        <f>PV_DATA[[#This Row],[QUANTITY]]*PV_DATA[[#This Row],[WATT]]/1000000</f>
        <v>0.46079999999999999</v>
      </c>
      <c r="W515" s="466">
        <f>PV_DATA[[#This Row],[QUANTITY]]/PV_DATA[[#This Row],[Qty/Pallet]]</f>
        <v>20</v>
      </c>
      <c r="X515" s="1044">
        <f>PV_DATA[[#This Row],[QUANTITY]]/PV_DATA[[#This Row],[Qty/CT]]</f>
        <v>1</v>
      </c>
      <c r="Y515" s="431" t="s">
        <v>951</v>
      </c>
      <c r="Z515" s="430" t="str">
        <f t="shared" si="5"/>
        <v>COMPLETED</v>
      </c>
      <c r="AB515" s="441">
        <v>46156</v>
      </c>
      <c r="AC515" s="467">
        <f>IF(PV_DATA[[#This Row],[Pick- Up Date]]&lt;&gt;"",_xlfn.ISOWEEKNUM(PV_DATA[[#This Row],[Pick- Up Date]]),"")</f>
        <v>20</v>
      </c>
      <c r="AD515" s="431" t="s">
        <v>4489</v>
      </c>
      <c r="AE515" s="475"/>
      <c r="AF515" s="431" t="s">
        <v>4423</v>
      </c>
      <c r="AG515" s="431" t="s">
        <v>123</v>
      </c>
      <c r="AH515" s="431" t="s">
        <v>105</v>
      </c>
      <c r="AI515" s="441">
        <v>46160</v>
      </c>
      <c r="AJ515" s="441">
        <v>46163</v>
      </c>
      <c r="AK515" s="441">
        <v>46163</v>
      </c>
      <c r="AL515" s="441">
        <v>46196</v>
      </c>
      <c r="AM515" s="441"/>
      <c r="AN515" s="441">
        <v>46203</v>
      </c>
      <c r="AO515" s="431" t="s">
        <v>402</v>
      </c>
      <c r="AP515" s="431" t="s">
        <v>2449</v>
      </c>
      <c r="AQ515" s="431" t="s">
        <v>80</v>
      </c>
      <c r="AR515" s="431" t="s">
        <v>4490</v>
      </c>
      <c r="AS515" s="431" t="s">
        <v>4491</v>
      </c>
      <c r="AT515" s="482" t="s">
        <v>4491</v>
      </c>
      <c r="AU5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1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1">
        <f>IF(ISERROR(PV_DATA[[#This Row],[New Ark PO status]]),"",_xlfn.XLOOKUP(PV_DATA[[#This Row],[SPTN-PVHK New Ark PO'#]],New_Ark_Data[Purchase order Number],New_Ark_Data[Estimated time of arrival],"",0))</f>
        <v>46217</v>
      </c>
      <c r="AZ5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1">
        <f>IFERROR(PV_DATA[[#This Row],[ODP ETA Port]]+PV_DATA[[#This Row],[Customs/Leg3 Assumption]],"n/a")</f>
        <v>46210</v>
      </c>
      <c r="BB515" s="442">
        <f>YEAR(PV_DATA[[#This Row],[ETA for New Ark update]])</f>
        <v>2026</v>
      </c>
      <c r="BC515" s="431">
        <f>MONTH(PV_DATA[[#This Row],[ETA for New Ark update]])</f>
        <v>7</v>
      </c>
      <c r="BD515" s="431">
        <f>IFERROR(_xlfn.ISOWEEKNUM(PV_DATA[[#This Row],[ETA for New Ark update]]),0)</f>
        <v>28</v>
      </c>
      <c r="BE515" s="431">
        <f>_xlfn.XLOOKUP(PV_DATA[[#This Row],[New Ark SKU]],Table9[New Ark SKU],Table9[Total PCS per Pallet],,0)</f>
        <v>36</v>
      </c>
      <c r="BF515" s="431">
        <f>_xlfn.XLOOKUP(PV_DATA[[#This Row],[New Ark SKU]],Table9[New Ark SKU],Table9[Total PCS per 40HQ Container],,0)</f>
        <v>720</v>
      </c>
      <c r="BG515" s="431" t="str">
        <f>_xlfn.XLOOKUP(PV_DATA[[#This Row],[New Ark SKU]],Table9[New Ark SKU],Table9[Back Glass],,0)</f>
        <v>Transparent</v>
      </c>
      <c r="BH515" s="431" t="str">
        <f>_xlfn.XLOOKUP(PV_DATA[[#This Row],[PORT DESTINATION]],Table12[PORT DESTINATION],Table12[Cosco Line],,0)</f>
        <v>AEU</v>
      </c>
    </row>
    <row r="516" spans="1:60" s="431" customFormat="1" ht="10.5">
      <c r="A516" s="439" t="s">
        <v>4492</v>
      </c>
      <c r="B516" s="439" t="s">
        <v>111</v>
      </c>
      <c r="C516" s="721" t="str">
        <f>IFERROR(LEFT(PV_DATA[[#This Row],[TCL REFERENCE]],FIND(".",PV_DATA[[#This Row],[TCL REFERENCE]],1)-1),"Main Line")</f>
        <v>26Apr009</v>
      </c>
      <c r="D516" s="721" t="s">
        <v>63</v>
      </c>
      <c r="E516" s="439" t="s">
        <v>64</v>
      </c>
      <c r="F516" s="462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21" t="s">
        <v>402</v>
      </c>
      <c r="H516" s="721" t="s">
        <v>67</v>
      </c>
      <c r="I516" s="721" t="s">
        <v>689</v>
      </c>
      <c r="J516" s="475" t="s">
        <v>96</v>
      </c>
      <c r="K516" s="475"/>
      <c r="L516" s="475"/>
      <c r="M516" s="475" t="s">
        <v>68</v>
      </c>
      <c r="N516" s="476">
        <v>46146</v>
      </c>
      <c r="O516" s="475" t="s">
        <v>132</v>
      </c>
      <c r="P516" s="431" t="s">
        <v>189</v>
      </c>
      <c r="Q516" s="431" t="s">
        <v>190</v>
      </c>
      <c r="R516" s="431" t="str">
        <f>_xlfn.XLOOKUP(PV_DATA[[#This Row],[New Ark SKU]],Table9[New Ark SKU],Table9[Connector],,0)</f>
        <v>EVO2A</v>
      </c>
      <c r="S516" s="442" t="str">
        <f>_xlfn.XLOOKUP(PV_DATA[[#This Row],[New Ark SKU]],Table9[New Ark SKU],Table9[Cable],,0)</f>
        <v>±1200mm</v>
      </c>
      <c r="T516" s="442">
        <v>465</v>
      </c>
      <c r="U516" s="1093">
        <f>864*6</f>
        <v>5184</v>
      </c>
      <c r="V516" s="448">
        <f>PV_DATA[[#This Row],[QUANTITY]]*PV_DATA[[#This Row],[WATT]]/1000000</f>
        <v>2.4105599999999998</v>
      </c>
      <c r="W516" s="466">
        <f>PV_DATA[[#This Row],[QUANTITY]]/PV_DATA[[#This Row],[Qty/Pallet]]</f>
        <v>144</v>
      </c>
      <c r="X516" s="1044">
        <f>PV_DATA[[#This Row],[QUANTITY]]/PV_DATA[[#This Row],[Qty/CT]]</f>
        <v>6</v>
      </c>
      <c r="Y516" s="431" t="s">
        <v>951</v>
      </c>
      <c r="Z516" s="430" t="str">
        <f t="shared" si="5"/>
        <v>COMPLETED</v>
      </c>
      <c r="AA516" s="439" t="s">
        <v>4493</v>
      </c>
      <c r="AB516" s="441">
        <v>46157</v>
      </c>
      <c r="AC516" s="467">
        <f>IF(PV_DATA[[#This Row],[Pick- Up Date]]&lt;&gt;"",_xlfn.ISOWEEKNUM(PV_DATA[[#This Row],[Pick- Up Date]]),"")</f>
        <v>20</v>
      </c>
      <c r="AD516" s="431" t="s">
        <v>4494</v>
      </c>
      <c r="AE516" s="475"/>
      <c r="AF516" s="431" t="s">
        <v>123</v>
      </c>
      <c r="AG516" s="431" t="s">
        <v>123</v>
      </c>
      <c r="AH516" s="431" t="s">
        <v>78</v>
      </c>
      <c r="AI516" s="441">
        <v>46164</v>
      </c>
      <c r="AJ516" s="441">
        <v>46165</v>
      </c>
      <c r="AK516" s="441">
        <v>46165</v>
      </c>
      <c r="AL516" s="441">
        <v>46216</v>
      </c>
      <c r="AM516" s="441"/>
      <c r="AN516" s="441">
        <v>46215</v>
      </c>
      <c r="AO516" s="431" t="s">
        <v>402</v>
      </c>
      <c r="AP516" s="441" t="s">
        <v>4495</v>
      </c>
      <c r="AQ516" s="431" t="s">
        <v>80</v>
      </c>
      <c r="AR516" s="431" t="s">
        <v>4496</v>
      </c>
      <c r="AS516" s="431" t="s">
        <v>4497</v>
      </c>
      <c r="AT516" s="482" t="s">
        <v>4497</v>
      </c>
      <c r="AU5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1"/>
      <c r="AW516" s="441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1">
        <f>IF(ISERROR(PV_DATA[[#This Row],[New Ark PO status]]),"",_xlfn.XLOOKUP(PV_DATA[[#This Row],[SPTN-PVHK New Ark PO'#]],New_Ark_Data[Purchase order Number],New_Ark_Data[Estimated time of arrival],"",0))</f>
        <v>46230</v>
      </c>
      <c r="AZ51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1">
        <f>IFERROR(PV_DATA[[#This Row],[ODP ETA Port]]+PV_DATA[[#This Row],[Customs/Leg3 Assumption]],"n/a")</f>
        <v>46223</v>
      </c>
      <c r="BB516" s="442">
        <f>YEAR(PV_DATA[[#This Row],[ETA for New Ark update]])</f>
        <v>2026</v>
      </c>
      <c r="BC516" s="431">
        <f>MONTH(PV_DATA[[#This Row],[ETA for New Ark update]])</f>
        <v>7</v>
      </c>
      <c r="BD516" s="431">
        <f>IFERROR(_xlfn.ISOWEEKNUM(PV_DATA[[#This Row],[ETA for New Ark update]]),0)</f>
        <v>30</v>
      </c>
      <c r="BE516" s="431">
        <f>_xlfn.XLOOKUP(PV_DATA[[#This Row],[New Ark SKU]],Table9[New Ark SKU],Table9[Total PCS per Pallet],,0)</f>
        <v>36</v>
      </c>
      <c r="BF516" s="431">
        <f>_xlfn.XLOOKUP(PV_DATA[[#This Row],[New Ark SKU]],Table9[New Ark SKU],Table9[Total PCS per 40HQ Container],,0)</f>
        <v>864</v>
      </c>
      <c r="BG516" s="431" t="str">
        <f>_xlfn.XLOOKUP(PV_DATA[[#This Row],[New Ark SKU]],Table9[New Ark SKU],Table9[Back Glass],,0)</f>
        <v>White glazing</v>
      </c>
      <c r="BH516" s="431" t="str">
        <f>_xlfn.XLOOKUP(PV_DATA[[#This Row],[PORT DESTINATION]],Table12[PORT DESTINATION],Table12[Cosco Line],,0)</f>
        <v>AEM</v>
      </c>
    </row>
    <row r="517" spans="1:60" s="431" customFormat="1" ht="10.5">
      <c r="A517" s="439" t="s">
        <v>4498</v>
      </c>
      <c r="B517" s="439" t="s">
        <v>111</v>
      </c>
      <c r="C517" s="721" t="str">
        <f>IFERROR(LEFT(PV_DATA[[#This Row],[TCL REFERENCE]],FIND(".",PV_DATA[[#This Row],[TCL REFERENCE]],1)-1),"Main Line")</f>
        <v>26Apr010</v>
      </c>
      <c r="D517" s="721" t="s">
        <v>63</v>
      </c>
      <c r="E517" s="439" t="s">
        <v>64</v>
      </c>
      <c r="F517" s="462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21" t="s">
        <v>402</v>
      </c>
      <c r="H517" s="721" t="s">
        <v>67</v>
      </c>
      <c r="I517" s="721" t="s">
        <v>689</v>
      </c>
      <c r="J517" s="475" t="s">
        <v>96</v>
      </c>
      <c r="K517" s="475"/>
      <c r="L517" s="475"/>
      <c r="M517" s="475" t="s">
        <v>68</v>
      </c>
      <c r="N517" s="476">
        <v>46146</v>
      </c>
      <c r="O517" s="475" t="s">
        <v>132</v>
      </c>
      <c r="P517" s="431" t="s">
        <v>1062</v>
      </c>
      <c r="Q517" s="431" t="s">
        <v>1063</v>
      </c>
      <c r="R517" s="431" t="str">
        <f>_xlfn.XLOOKUP(PV_DATA[[#This Row],[New Ark SKU]],Table9[New Ark SKU],Table9[Connector],,0)</f>
        <v>EVO2A</v>
      </c>
      <c r="S517" s="442" t="str">
        <f>_xlfn.XLOOKUP(PV_DATA[[#This Row],[New Ark SKU]],Table9[New Ark SKU],Table9[Cable],,0)</f>
        <v>±1200mm</v>
      </c>
      <c r="T517" s="442">
        <v>470</v>
      </c>
      <c r="U517" s="1093">
        <f>864*1</f>
        <v>864</v>
      </c>
      <c r="V517" s="448">
        <f>PV_DATA[[#This Row],[QUANTITY]]*PV_DATA[[#This Row],[WATT]]/1000000</f>
        <v>0.40608</v>
      </c>
      <c r="W517" s="466">
        <f>PV_DATA[[#This Row],[QUANTITY]]/PV_DATA[[#This Row],[Qty/Pallet]]</f>
        <v>24</v>
      </c>
      <c r="X517" s="1044">
        <f>PV_DATA[[#This Row],[QUANTITY]]/PV_DATA[[#This Row],[Qty/CT]]</f>
        <v>1</v>
      </c>
      <c r="Y517" s="431" t="s">
        <v>951</v>
      </c>
      <c r="Z517" s="430" t="str">
        <f t="shared" si="5"/>
        <v>COMPLETED</v>
      </c>
      <c r="AA517" s="439" t="s">
        <v>2439</v>
      </c>
      <c r="AB517" s="469">
        <v>46158</v>
      </c>
      <c r="AC517" s="467">
        <f>IF(PV_DATA[[#This Row],[Pick- Up Date]]&lt;&gt;"",_xlfn.ISOWEEKNUM(PV_DATA[[#This Row],[Pick- Up Date]]),"")</f>
        <v>20</v>
      </c>
      <c r="AD517" s="431" t="s">
        <v>4499</v>
      </c>
      <c r="AE517" s="475"/>
      <c r="AF517" s="431" t="s">
        <v>123</v>
      </c>
      <c r="AG517" s="431" t="s">
        <v>123</v>
      </c>
      <c r="AH517" s="431" t="s">
        <v>78</v>
      </c>
      <c r="AI517" s="441">
        <v>46164</v>
      </c>
      <c r="AJ517" s="441">
        <v>46165</v>
      </c>
      <c r="AK517" s="441">
        <v>46165</v>
      </c>
      <c r="AL517" s="441">
        <v>46216</v>
      </c>
      <c r="AM517" s="441"/>
      <c r="AN517" s="441">
        <v>46215</v>
      </c>
      <c r="AO517" s="431" t="s">
        <v>402</v>
      </c>
      <c r="AP517" s="441" t="s">
        <v>4495</v>
      </c>
      <c r="AQ517" s="431" t="s">
        <v>80</v>
      </c>
      <c r="AR517" s="431" t="s">
        <v>4496</v>
      </c>
      <c r="AS517" s="431" t="s">
        <v>4497</v>
      </c>
      <c r="AT517" s="482" t="s">
        <v>4497</v>
      </c>
      <c r="AU5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1"/>
      <c r="AW517" s="441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1">
        <f>IF(ISERROR(PV_DATA[[#This Row],[New Ark PO status]]),"",_xlfn.XLOOKUP(PV_DATA[[#This Row],[SPTN-PVHK New Ark PO'#]],New_Ark_Data[Purchase order Number],New_Ark_Data[Estimated time of arrival],"",0))</f>
        <v>46230</v>
      </c>
      <c r="AZ51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1">
        <f>IFERROR(PV_DATA[[#This Row],[ODP ETA Port]]+PV_DATA[[#This Row],[Customs/Leg3 Assumption]],"n/a")</f>
        <v>46223</v>
      </c>
      <c r="BB517" s="442">
        <f>YEAR(PV_DATA[[#This Row],[ETA for New Ark update]])</f>
        <v>2026</v>
      </c>
      <c r="BC517" s="431">
        <f>MONTH(PV_DATA[[#This Row],[ETA for New Ark update]])</f>
        <v>7</v>
      </c>
      <c r="BD517" s="431">
        <f>IFERROR(_xlfn.ISOWEEKNUM(PV_DATA[[#This Row],[ETA for New Ark update]]),0)</f>
        <v>30</v>
      </c>
      <c r="BE517" s="431">
        <f>_xlfn.XLOOKUP(PV_DATA[[#This Row],[New Ark SKU]],Table9[New Ark SKU],Table9[Total PCS per Pallet],,0)</f>
        <v>36</v>
      </c>
      <c r="BF517" s="431">
        <f>_xlfn.XLOOKUP(PV_DATA[[#This Row],[New Ark SKU]],Table9[New Ark SKU],Table9[Total PCS per 40HQ Container],,0)</f>
        <v>864</v>
      </c>
      <c r="BG517" s="431" t="str">
        <f>_xlfn.XLOOKUP(PV_DATA[[#This Row],[New Ark SKU]],Table9[New Ark SKU],Table9[Back Glass],,0)</f>
        <v>White glazing</v>
      </c>
      <c r="BH517" s="431" t="str">
        <f>_xlfn.XLOOKUP(PV_DATA[[#This Row],[PORT DESTINATION]],Table12[PORT DESTINATION],Table12[Cosco Line],,0)</f>
        <v>AEM</v>
      </c>
    </row>
    <row r="518" spans="1:60" s="431" customFormat="1" ht="10.5">
      <c r="A518" s="439" t="s">
        <v>4500</v>
      </c>
      <c r="B518" s="439" t="s">
        <v>111</v>
      </c>
      <c r="C518" s="721" t="str">
        <f>IFERROR(LEFT(PV_DATA[[#This Row],[TCL REFERENCE]],FIND(".",PV_DATA[[#This Row],[TCL REFERENCE]],1)-1),"Main Line")</f>
        <v>26Apr010</v>
      </c>
      <c r="D518" s="721" t="s">
        <v>63</v>
      </c>
      <c r="E518" s="439" t="s">
        <v>64</v>
      </c>
      <c r="F518" s="462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21" t="s">
        <v>402</v>
      </c>
      <c r="H518" s="721" t="s">
        <v>67</v>
      </c>
      <c r="I518" s="721" t="s">
        <v>689</v>
      </c>
      <c r="J518" s="475" t="s">
        <v>96</v>
      </c>
      <c r="K518" s="475"/>
      <c r="L518" s="475"/>
      <c r="M518" s="475" t="s">
        <v>68</v>
      </c>
      <c r="N518" s="476">
        <v>46146</v>
      </c>
      <c r="O518" s="475" t="s">
        <v>132</v>
      </c>
      <c r="P518" s="431" t="s">
        <v>1062</v>
      </c>
      <c r="Q518" s="431" t="s">
        <v>1063</v>
      </c>
      <c r="R518" s="431" t="str">
        <f>_xlfn.XLOOKUP(PV_DATA[[#This Row],[New Ark SKU]],Table9[New Ark SKU],Table9[Connector],,0)</f>
        <v>EVO2A</v>
      </c>
      <c r="S518" s="442" t="str">
        <f>_xlfn.XLOOKUP(PV_DATA[[#This Row],[New Ark SKU]],Table9[New Ark SKU],Table9[Cable],,0)</f>
        <v>±1200mm</v>
      </c>
      <c r="T518" s="442">
        <v>470</v>
      </c>
      <c r="U518" s="1093">
        <f>864*6</f>
        <v>5184</v>
      </c>
      <c r="V518" s="448">
        <f>PV_DATA[[#This Row],[QUANTITY]]*PV_DATA[[#This Row],[WATT]]/1000000</f>
        <v>2.43648</v>
      </c>
      <c r="W518" s="466">
        <f>PV_DATA[[#This Row],[QUANTITY]]/PV_DATA[[#This Row],[Qty/Pallet]]</f>
        <v>144</v>
      </c>
      <c r="X518" s="1044">
        <f>PV_DATA[[#This Row],[QUANTITY]]/PV_DATA[[#This Row],[Qty/CT]]</f>
        <v>6</v>
      </c>
      <c r="Y518" s="431" t="s">
        <v>951</v>
      </c>
      <c r="Z518" s="430" t="str">
        <f t="shared" si="5"/>
        <v>COMPLETED</v>
      </c>
      <c r="AA518" s="439" t="s">
        <v>4501</v>
      </c>
      <c r="AB518" s="441">
        <v>46156</v>
      </c>
      <c r="AC518" s="467">
        <f>IF(PV_DATA[[#This Row],[Pick- Up Date]]&lt;&gt;"",_xlfn.ISOWEEKNUM(PV_DATA[[#This Row],[Pick- Up Date]]),"")</f>
        <v>20</v>
      </c>
      <c r="AD518" s="431" t="s">
        <v>4502</v>
      </c>
      <c r="AE518" s="475"/>
      <c r="AF518" s="431" t="s">
        <v>123</v>
      </c>
      <c r="AG518" s="431" t="s">
        <v>123</v>
      </c>
      <c r="AH518" s="431" t="s">
        <v>78</v>
      </c>
      <c r="AI518" s="441">
        <v>46161</v>
      </c>
      <c r="AJ518" s="441">
        <v>46160</v>
      </c>
      <c r="AK518" s="441">
        <v>46160</v>
      </c>
      <c r="AL518" s="441">
        <v>46203</v>
      </c>
      <c r="AM518" s="441">
        <v>46207</v>
      </c>
      <c r="AN518" s="441">
        <v>46207</v>
      </c>
      <c r="AO518" s="431" t="s">
        <v>402</v>
      </c>
      <c r="AP518" s="441" t="s">
        <v>4503</v>
      </c>
      <c r="AQ518" s="431" t="s">
        <v>80</v>
      </c>
      <c r="AR518" s="431" t="s">
        <v>4504</v>
      </c>
      <c r="AS518" s="431" t="s">
        <v>4505</v>
      </c>
      <c r="AT518" s="482" t="s">
        <v>4505</v>
      </c>
      <c r="AU5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1"/>
      <c r="AW518" s="441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1">
        <f>IF(ISERROR(PV_DATA[[#This Row],[New Ark PO status]]),"",_xlfn.XLOOKUP(PV_DATA[[#This Row],[SPTN-PVHK New Ark PO'#]],New_Ark_Data[Purchase order Number],New_Ark_Data[Estimated time of arrival],"",0))</f>
        <v>46220</v>
      </c>
      <c r="AZ5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1">
        <f>IFERROR(PV_DATA[[#This Row],[ODP ETA Port]]+PV_DATA[[#This Row],[Customs/Leg3 Assumption]],"n/a")</f>
        <v>46215</v>
      </c>
      <c r="BB518" s="442">
        <f>YEAR(PV_DATA[[#This Row],[ETA for New Ark update]])</f>
        <v>2026</v>
      </c>
      <c r="BC518" s="431">
        <f>MONTH(PV_DATA[[#This Row],[ETA for New Ark update]])</f>
        <v>7</v>
      </c>
      <c r="BD518" s="431">
        <f>IFERROR(_xlfn.ISOWEEKNUM(PV_DATA[[#This Row],[ETA for New Ark update]]),0)</f>
        <v>28</v>
      </c>
      <c r="BE518" s="431">
        <f>_xlfn.XLOOKUP(PV_DATA[[#This Row],[New Ark SKU]],Table9[New Ark SKU],Table9[Total PCS per Pallet],,0)</f>
        <v>36</v>
      </c>
      <c r="BF518" s="431">
        <f>_xlfn.XLOOKUP(PV_DATA[[#This Row],[New Ark SKU]],Table9[New Ark SKU],Table9[Total PCS per 40HQ Container],,0)</f>
        <v>864</v>
      </c>
      <c r="BG518" s="431" t="str">
        <f>_xlfn.XLOOKUP(PV_DATA[[#This Row],[New Ark SKU]],Table9[New Ark SKU],Table9[Back Glass],,0)</f>
        <v>White glazing</v>
      </c>
      <c r="BH518" s="431" t="str">
        <f>_xlfn.XLOOKUP(PV_DATA[[#This Row],[PORT DESTINATION]],Table12[PORT DESTINATION],Table12[Cosco Line],,0)</f>
        <v>AEM</v>
      </c>
    </row>
    <row r="519" spans="1:60" s="431" customFormat="1" ht="12" customHeight="1">
      <c r="A519" s="439" t="s">
        <v>4506</v>
      </c>
      <c r="B519" s="439" t="s">
        <v>111</v>
      </c>
      <c r="C519" s="721" t="str">
        <f>IFERROR(LEFT(PV_DATA[[#This Row],[TCL REFERENCE]],FIND(".",PV_DATA[[#This Row],[TCL REFERENCE]],1)-1),"Main Line")</f>
        <v>26Apr010</v>
      </c>
      <c r="D519" s="721" t="s">
        <v>63</v>
      </c>
      <c r="E519" s="439" t="s">
        <v>64</v>
      </c>
      <c r="F519" s="462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21" t="s">
        <v>402</v>
      </c>
      <c r="H519" s="721" t="s">
        <v>67</v>
      </c>
      <c r="I519" s="721" t="s">
        <v>689</v>
      </c>
      <c r="J519" s="475" t="s">
        <v>96</v>
      </c>
      <c r="K519" s="475"/>
      <c r="L519" s="475"/>
      <c r="M519" s="475" t="s">
        <v>68</v>
      </c>
      <c r="N519" s="476">
        <v>46146</v>
      </c>
      <c r="O519" s="475" t="s">
        <v>132</v>
      </c>
      <c r="P519" s="431" t="s">
        <v>1062</v>
      </c>
      <c r="Q519" s="431" t="s">
        <v>1063</v>
      </c>
      <c r="R519" s="431" t="str">
        <f>_xlfn.XLOOKUP(PV_DATA[[#This Row],[New Ark SKU]],Table9[New Ark SKU],Table9[Connector],,0)</f>
        <v>EVO2A</v>
      </c>
      <c r="S519" s="442" t="str">
        <f>_xlfn.XLOOKUP(PV_DATA[[#This Row],[New Ark SKU]],Table9[New Ark SKU],Table9[Cable],,0)</f>
        <v>±1200mm</v>
      </c>
      <c r="T519" s="442">
        <v>470</v>
      </c>
      <c r="U519" s="1093">
        <f>864*1</f>
        <v>864</v>
      </c>
      <c r="V519" s="448">
        <f>PV_DATA[[#This Row],[QUANTITY]]*PV_DATA[[#This Row],[WATT]]/1000000</f>
        <v>0.40608</v>
      </c>
      <c r="W519" s="466">
        <f>PV_DATA[[#This Row],[QUANTITY]]/PV_DATA[[#This Row],[Qty/Pallet]]</f>
        <v>24</v>
      </c>
      <c r="X519" s="1044">
        <f>PV_DATA[[#This Row],[QUANTITY]]/PV_DATA[[#This Row],[Qty/CT]]</f>
        <v>1</v>
      </c>
      <c r="Y519" s="431" t="s">
        <v>951</v>
      </c>
      <c r="Z519" s="430" t="str">
        <f t="shared" si="5"/>
        <v>COMPLETED</v>
      </c>
      <c r="AA519" s="439" t="s">
        <v>4507</v>
      </c>
      <c r="AB519" s="441">
        <v>46157</v>
      </c>
      <c r="AC519" s="467">
        <f>IF(PV_DATA[[#This Row],[Pick- Up Date]]&lt;&gt;"",_xlfn.ISOWEEKNUM(PV_DATA[[#This Row],[Pick- Up Date]]),"")</f>
        <v>20</v>
      </c>
      <c r="AD519" s="431" t="s">
        <v>4508</v>
      </c>
      <c r="AE519" s="475"/>
      <c r="AF519" s="431" t="s">
        <v>123</v>
      </c>
      <c r="AG519" s="431" t="s">
        <v>123</v>
      </c>
      <c r="AH519" s="431" t="s">
        <v>78</v>
      </c>
      <c r="AI519" s="441">
        <v>46161</v>
      </c>
      <c r="AJ519" s="441">
        <v>46160</v>
      </c>
      <c r="AK519" s="441">
        <v>46160</v>
      </c>
      <c r="AL519" s="441">
        <v>46203</v>
      </c>
      <c r="AM519" s="441">
        <v>46207</v>
      </c>
      <c r="AN519" s="441">
        <v>46207</v>
      </c>
      <c r="AO519" s="431" t="s">
        <v>402</v>
      </c>
      <c r="AP519" s="441" t="s">
        <v>4503</v>
      </c>
      <c r="AQ519" s="431" t="s">
        <v>80</v>
      </c>
      <c r="AR519" s="431" t="s">
        <v>4504</v>
      </c>
      <c r="AS519" s="431" t="s">
        <v>4505</v>
      </c>
      <c r="AT519" s="482" t="s">
        <v>4505</v>
      </c>
      <c r="AU5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1"/>
      <c r="AW519" s="441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1">
        <f>IF(ISERROR(PV_DATA[[#This Row],[New Ark PO status]]),"",_xlfn.XLOOKUP(PV_DATA[[#This Row],[SPTN-PVHK New Ark PO'#]],New_Ark_Data[Purchase order Number],New_Ark_Data[Estimated time of arrival],"",0))</f>
        <v>46220</v>
      </c>
      <c r="AZ51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1">
        <f>IFERROR(PV_DATA[[#This Row],[ODP ETA Port]]+PV_DATA[[#This Row],[Customs/Leg3 Assumption]],"n/a")</f>
        <v>46215</v>
      </c>
      <c r="BB519" s="442">
        <f>YEAR(PV_DATA[[#This Row],[ETA for New Ark update]])</f>
        <v>2026</v>
      </c>
      <c r="BC519" s="431">
        <f>MONTH(PV_DATA[[#This Row],[ETA for New Ark update]])</f>
        <v>7</v>
      </c>
      <c r="BD519" s="431">
        <f>IFERROR(_xlfn.ISOWEEKNUM(PV_DATA[[#This Row],[ETA for New Ark update]]),0)</f>
        <v>28</v>
      </c>
      <c r="BE519" s="431">
        <f>_xlfn.XLOOKUP(PV_DATA[[#This Row],[New Ark SKU]],Table9[New Ark SKU],Table9[Total PCS per Pallet],,0)</f>
        <v>36</v>
      </c>
      <c r="BF519" s="431">
        <f>_xlfn.XLOOKUP(PV_DATA[[#This Row],[New Ark SKU]],Table9[New Ark SKU],Table9[Total PCS per 40HQ Container],,0)</f>
        <v>864</v>
      </c>
      <c r="BG519" s="431" t="str">
        <f>_xlfn.XLOOKUP(PV_DATA[[#This Row],[New Ark SKU]],Table9[New Ark SKU],Table9[Back Glass],,0)</f>
        <v>White glazing</v>
      </c>
      <c r="BH519" s="431" t="str">
        <f>_xlfn.XLOOKUP(PV_DATA[[#This Row],[PORT DESTINATION]],Table12[PORT DESTINATION],Table12[Cosco Line],,0)</f>
        <v>AEM</v>
      </c>
    </row>
    <row r="520" spans="1:60" s="431" customFormat="1" ht="10.5">
      <c r="A520" s="439" t="s">
        <v>4509</v>
      </c>
      <c r="B520" s="439" t="s">
        <v>111</v>
      </c>
      <c r="C520" s="721" t="str">
        <f>IFERROR(LEFT(PV_DATA[[#This Row],[TCL REFERENCE]],FIND(".",PV_DATA[[#This Row],[TCL REFERENCE]],1)-1),"Main Line")</f>
        <v>26Apr003</v>
      </c>
      <c r="D520" s="721" t="s">
        <v>63</v>
      </c>
      <c r="E520" s="439" t="s">
        <v>64</v>
      </c>
      <c r="F520" s="462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21" t="s">
        <v>402</v>
      </c>
      <c r="H520" s="721" t="s">
        <v>311</v>
      </c>
      <c r="I520" s="721" t="s">
        <v>689</v>
      </c>
      <c r="J520" s="475" t="s">
        <v>96</v>
      </c>
      <c r="K520" s="475"/>
      <c r="L520" s="475"/>
      <c r="M520" s="475" t="s">
        <v>68</v>
      </c>
      <c r="N520" s="476">
        <v>46139</v>
      </c>
      <c r="O520" s="475" t="s">
        <v>473</v>
      </c>
      <c r="P520" s="431" t="s">
        <v>529</v>
      </c>
      <c r="Q520" s="431" t="s">
        <v>1311</v>
      </c>
      <c r="R520" s="431" t="str">
        <f>_xlfn.XLOOKUP(PV_DATA[[#This Row],[New Ark SKU]],Table9[New Ark SKU],Table9[Connector],,0)</f>
        <v>EVO2A</v>
      </c>
      <c r="S520" s="442" t="str">
        <f>_xlfn.XLOOKUP(PV_DATA[[#This Row],[New Ark SKU]],Table9[New Ark SKU],Table9[Cable],,0)</f>
        <v>±1200mm</v>
      </c>
      <c r="T520" s="442">
        <v>455</v>
      </c>
      <c r="U520" s="1093">
        <f>864*7</f>
        <v>6048</v>
      </c>
      <c r="V520" s="448">
        <f>PV_DATA[[#This Row],[QUANTITY]]*PV_DATA[[#This Row],[WATT]]/1000000</f>
        <v>2.7518400000000001</v>
      </c>
      <c r="W520" s="466">
        <f>PV_DATA[[#This Row],[QUANTITY]]/PV_DATA[[#This Row],[Qty/Pallet]]</f>
        <v>168</v>
      </c>
      <c r="X520" s="1044">
        <f>PV_DATA[[#This Row],[QUANTITY]]/PV_DATA[[#This Row],[Qty/CT]]</f>
        <v>7</v>
      </c>
      <c r="Y520" s="431" t="s">
        <v>951</v>
      </c>
      <c r="Z520" s="430" t="str">
        <f t="shared" si="5"/>
        <v>COMPLETED</v>
      </c>
      <c r="AA520" s="439" t="s">
        <v>2423</v>
      </c>
      <c r="AB520" s="441">
        <v>46151</v>
      </c>
      <c r="AC520" s="445">
        <f>IF(PV_DATA[[#This Row],[Pick- Up Date]]&lt;&gt;"",_xlfn.ISOWEEKNUM(PV_DATA[[#This Row],[Pick- Up Date]]),"")</f>
        <v>19</v>
      </c>
      <c r="AD520" s="431" t="s">
        <v>4510</v>
      </c>
      <c r="AE520" s="475"/>
      <c r="AF520" s="431" t="s">
        <v>123</v>
      </c>
      <c r="AG520" s="431" t="s">
        <v>123</v>
      </c>
      <c r="AH520" s="431" t="s">
        <v>314</v>
      </c>
      <c r="AI520" s="441">
        <v>46164</v>
      </c>
      <c r="AJ520" s="441">
        <v>46165</v>
      </c>
      <c r="AK520" s="441">
        <v>46165</v>
      </c>
      <c r="AL520" s="441">
        <v>46211</v>
      </c>
      <c r="AM520" s="441">
        <v>46218</v>
      </c>
      <c r="AN520" s="441">
        <v>46217</v>
      </c>
      <c r="AO520" s="431" t="s">
        <v>402</v>
      </c>
      <c r="AP520" s="431" t="s">
        <v>4495</v>
      </c>
      <c r="AQ520" s="431" t="s">
        <v>80</v>
      </c>
      <c r="AR520" s="431" t="s">
        <v>4511</v>
      </c>
      <c r="AS520" s="431" t="s">
        <v>4512</v>
      </c>
      <c r="AT520" s="482" t="s">
        <v>4512</v>
      </c>
      <c r="AU5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1"/>
      <c r="AW520" s="441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1">
        <f>IF(ISERROR(PV_DATA[[#This Row],[New Ark PO status]]),"",_xlfn.XLOOKUP(PV_DATA[[#This Row],[SPTN-PVHK New Ark PO'#]],New_Ark_Data[Purchase order Number],New_Ark_Data[Estimated time of arrival],"",0))</f>
        <v>46232</v>
      </c>
      <c r="AZ52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0" s="441">
        <f>IFERROR(PV_DATA[[#This Row],[ODP ETA Port]]+PV_DATA[[#This Row],[Customs/Leg3 Assumption]],"n/a")</f>
        <v>46227</v>
      </c>
      <c r="BB520" s="442">
        <f>YEAR(PV_DATA[[#This Row],[ETA for New Ark update]])</f>
        <v>2026</v>
      </c>
      <c r="BC520" s="431">
        <f>MONTH(PV_DATA[[#This Row],[ETA for New Ark update]])</f>
        <v>7</v>
      </c>
      <c r="BD520" s="431">
        <f>IFERROR(_xlfn.ISOWEEKNUM(PV_DATA[[#This Row],[ETA for New Ark update]]),0)</f>
        <v>30</v>
      </c>
      <c r="BE520" s="431">
        <f>_xlfn.XLOOKUP(PV_DATA[[#This Row],[New Ark SKU]],Table9[New Ark SKU],Table9[Total PCS per Pallet],,0)</f>
        <v>36</v>
      </c>
      <c r="BF520" s="431">
        <f>_xlfn.XLOOKUP(PV_DATA[[#This Row],[New Ark SKU]],Table9[New Ark SKU],Table9[Total PCS per 40HQ Container],,0)</f>
        <v>864</v>
      </c>
      <c r="BG520" s="431" t="str">
        <f>_xlfn.XLOOKUP(PV_DATA[[#This Row],[New Ark SKU]],Table9[New Ark SKU],Table9[Back Glass],,0)</f>
        <v>Black glazing</v>
      </c>
      <c r="BH520" s="431" t="str">
        <f>_xlfn.XLOOKUP(PV_DATA[[#This Row],[PORT DESTINATION]],Table12[PORT DESTINATION],Table12[Cosco Line],,0)</f>
        <v>AEM</v>
      </c>
    </row>
    <row r="521" spans="1:60" s="431" customFormat="1" ht="10.5">
      <c r="A521" s="439" t="s">
        <v>4513</v>
      </c>
      <c r="B521" s="439" t="s">
        <v>2132</v>
      </c>
      <c r="C521" s="721" t="str">
        <f>IFERROR(LEFT(PV_DATA[[#This Row],[TCL REFERENCE]],FIND(".",PV_DATA[[#This Row],[TCL REFERENCE]],1)-1),"Main Line")</f>
        <v>26Apr008</v>
      </c>
      <c r="D521" s="721" t="s">
        <v>63</v>
      </c>
      <c r="E521" s="439" t="s">
        <v>64</v>
      </c>
      <c r="F521" s="462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21" t="s">
        <v>402</v>
      </c>
      <c r="H521" s="721" t="s">
        <v>311</v>
      </c>
      <c r="I521" s="721" t="s">
        <v>689</v>
      </c>
      <c r="J521" s="475" t="s">
        <v>96</v>
      </c>
      <c r="K521" s="475"/>
      <c r="L521" s="475"/>
      <c r="M521" s="475" t="s">
        <v>68</v>
      </c>
      <c r="N521" s="476">
        <v>46146</v>
      </c>
      <c r="O521" s="475" t="s">
        <v>170</v>
      </c>
      <c r="P521" s="431" t="s">
        <v>1977</v>
      </c>
      <c r="Q521" s="431" t="s">
        <v>1978</v>
      </c>
      <c r="R521" s="431" t="str">
        <f>_xlfn.XLOOKUP(PV_DATA[[#This Row],[New Ark SKU]],Table9[New Ark SKU],Table9[Connector],,0)</f>
        <v>EVO2A</v>
      </c>
      <c r="S521" s="442" t="str">
        <f>_xlfn.XLOOKUP(PV_DATA[[#This Row],[New Ark SKU]],Table9[New Ark SKU],Table9[Cable],,0)</f>
        <v>±1400mm</v>
      </c>
      <c r="T521" s="442">
        <v>560</v>
      </c>
      <c r="U521" s="1093">
        <v>3960</v>
      </c>
      <c r="V521" s="448">
        <f>PV_DATA[[#This Row],[QUANTITY]]*PV_DATA[[#This Row],[WATT]]/1000000</f>
        <v>2.2176</v>
      </c>
      <c r="W521" s="466">
        <f>PV_DATA[[#This Row],[QUANTITY]]/PV_DATA[[#This Row],[Qty/Pallet]]</f>
        <v>120</v>
      </c>
      <c r="X521" s="1044">
        <f>PV_DATA[[#This Row],[QUANTITY]]/PV_DATA[[#This Row],[Qty/CT]]</f>
        <v>6</v>
      </c>
      <c r="Y521" s="431" t="s">
        <v>951</v>
      </c>
      <c r="Z521" s="430" t="str">
        <f t="shared" si="5"/>
        <v>COMPLETED</v>
      </c>
      <c r="AA521" s="439" t="s">
        <v>4493</v>
      </c>
      <c r="AB521" s="441">
        <v>46158</v>
      </c>
      <c r="AC521" s="467">
        <f>IF(PV_DATA[[#This Row],[Pick- Up Date]]&lt;&gt;"",_xlfn.ISOWEEKNUM(PV_DATA[[#This Row],[Pick- Up Date]]),"")</f>
        <v>20</v>
      </c>
      <c r="AD521" s="431" t="s">
        <v>4514</v>
      </c>
      <c r="AE521" s="475"/>
      <c r="AF521" s="431" t="s">
        <v>123</v>
      </c>
      <c r="AG521" s="431" t="s">
        <v>123</v>
      </c>
      <c r="AH521" s="431" t="s">
        <v>314</v>
      </c>
      <c r="AI521" s="441">
        <v>46164</v>
      </c>
      <c r="AJ521" s="441">
        <v>46165</v>
      </c>
      <c r="AK521" s="441">
        <v>46165</v>
      </c>
      <c r="AL521" s="441">
        <v>46211</v>
      </c>
      <c r="AM521" s="441">
        <v>46218</v>
      </c>
      <c r="AN521" s="441">
        <v>46217</v>
      </c>
      <c r="AO521" s="431" t="s">
        <v>402</v>
      </c>
      <c r="AP521" s="431" t="s">
        <v>4495</v>
      </c>
      <c r="AQ521" s="431" t="s">
        <v>80</v>
      </c>
      <c r="AR521" s="431" t="s">
        <v>4515</v>
      </c>
      <c r="AS521" s="431" t="s">
        <v>4516</v>
      </c>
      <c r="AT521" s="482" t="s">
        <v>4516</v>
      </c>
      <c r="AU5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1"/>
      <c r="AW521" s="441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1">
        <f>IF(ISERROR(PV_DATA[[#This Row],[New Ark PO status]]),"",_xlfn.XLOOKUP(PV_DATA[[#This Row],[SPTN-PVHK New Ark PO'#]],New_Ark_Data[Purchase order Number],New_Ark_Data[Estimated time of arrival],"",0))</f>
        <v>46232</v>
      </c>
      <c r="AZ52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1" s="441">
        <f>IFERROR(PV_DATA[[#This Row],[ODP ETA Port]]+PV_DATA[[#This Row],[Customs/Leg3 Assumption]],"n/a")</f>
        <v>46227</v>
      </c>
      <c r="BB521" s="442">
        <f>YEAR(PV_DATA[[#This Row],[ETA for New Ark update]])</f>
        <v>2026</v>
      </c>
      <c r="BC521" s="431">
        <f>MONTH(PV_DATA[[#This Row],[ETA for New Ark update]])</f>
        <v>7</v>
      </c>
      <c r="BD521" s="431">
        <f>IFERROR(_xlfn.ISOWEEKNUM(PV_DATA[[#This Row],[ETA for New Ark update]]),0)</f>
        <v>30</v>
      </c>
      <c r="BE521" s="431">
        <f>_xlfn.XLOOKUP(PV_DATA[[#This Row],[New Ark SKU]],Table9[New Ark SKU],Table9[Total PCS per Pallet],,0)</f>
        <v>33</v>
      </c>
      <c r="BF521" s="431">
        <f>_xlfn.XLOOKUP(PV_DATA[[#This Row],[New Ark SKU]],Table9[New Ark SKU],Table9[Total PCS per 40HQ Container],,0)</f>
        <v>660</v>
      </c>
      <c r="BG521" s="431" t="str">
        <f>_xlfn.XLOOKUP(PV_DATA[[#This Row],[New Ark SKU]],Table9[New Ark SKU],Table9[Back Glass],,0)</f>
        <v>White glazing</v>
      </c>
      <c r="BH521" s="431" t="str">
        <f>_xlfn.XLOOKUP(PV_DATA[[#This Row],[PORT DESTINATION]],Table12[PORT DESTINATION],Table12[Cosco Line],,0)</f>
        <v>AEM</v>
      </c>
    </row>
    <row r="522" spans="1:60" s="431" customFormat="1">
      <c r="A522" s="439" t="s">
        <v>4517</v>
      </c>
      <c r="B522" s="439" t="s">
        <v>111</v>
      </c>
      <c r="C522" s="721" t="str">
        <f>IFERROR(LEFT(PV_DATA[[#This Row],[TCL REFERENCE]],FIND(".",PV_DATA[[#This Row],[TCL REFERENCE]],1)-1),"Main Line")</f>
        <v>26May016</v>
      </c>
      <c r="D522" s="721" t="s">
        <v>63</v>
      </c>
      <c r="E522" s="439" t="s">
        <v>144</v>
      </c>
      <c r="F522" s="462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21" t="s">
        <v>402</v>
      </c>
      <c r="H522" s="721" t="s">
        <v>593</v>
      </c>
      <c r="I522" s="721" t="s">
        <v>2004</v>
      </c>
      <c r="J522" s="475" t="s">
        <v>4518</v>
      </c>
      <c r="K522" s="475" t="s">
        <v>4519</v>
      </c>
      <c r="L522" s="475"/>
      <c r="M522" s="430" t="s">
        <v>840</v>
      </c>
      <c r="N522" s="476" t="s">
        <v>68</v>
      </c>
      <c r="O522" s="475" t="s">
        <v>4486</v>
      </c>
      <c r="P522" s="431" t="s">
        <v>4520</v>
      </c>
      <c r="Q522" s="431" t="s">
        <v>4521</v>
      </c>
      <c r="R522" s="431" t="str">
        <f>_xlfn.XLOOKUP(PV_DATA[[#This Row],[New Ark SKU]],Table9[New Ark SKU],Table9[Connector],,0)</f>
        <v>EVO2A</v>
      </c>
      <c r="S522" s="442" t="str">
        <f>_xlfn.XLOOKUP(PV_DATA[[#This Row],[New Ark SKU]],Table9[New Ark SKU],Table9[Cable],,0)</f>
        <v>±1400mm</v>
      </c>
      <c r="T522" s="442">
        <v>645</v>
      </c>
      <c r="U522" s="1093">
        <v>2160</v>
      </c>
      <c r="V522" s="448">
        <f>PV_DATA[[#This Row],[QUANTITY]]*PV_DATA[[#This Row],[WATT]]/1000000</f>
        <v>1.3932</v>
      </c>
      <c r="W522" s="466">
        <f>PV_DATA[[#This Row],[QUANTITY]]/PV_DATA[[#This Row],[Qty/Pallet]]</f>
        <v>60</v>
      </c>
      <c r="X522" s="1044">
        <f>PV_DATA[[#This Row],[QUANTITY]]/PV_DATA[[#This Row],[Qty/CT]]</f>
        <v>3</v>
      </c>
      <c r="Y522" s="431" t="s">
        <v>951</v>
      </c>
      <c r="Z522" s="430" t="str">
        <f t="shared" si="5"/>
        <v>COMPLETED</v>
      </c>
      <c r="AB522" s="441">
        <v>46157</v>
      </c>
      <c r="AC522" s="467">
        <f>IF(PV_DATA[[#This Row],[Pick- Up Date]]&lt;&gt;"",_xlfn.ISOWEEKNUM(PV_DATA[[#This Row],[Pick- Up Date]]),"")</f>
        <v>20</v>
      </c>
      <c r="AD522" s="431" t="s">
        <v>4522</v>
      </c>
      <c r="AE522" s="475"/>
      <c r="AF522" s="431" t="s">
        <v>4423</v>
      </c>
      <c r="AG522" s="431" t="s">
        <v>123</v>
      </c>
      <c r="AH522" s="431" t="s">
        <v>124</v>
      </c>
      <c r="AI522" s="441">
        <v>46161</v>
      </c>
      <c r="AJ522" s="441">
        <v>46162</v>
      </c>
      <c r="AK522" s="441">
        <v>46162</v>
      </c>
      <c r="AL522" s="441">
        <v>46205</v>
      </c>
      <c r="AM522" s="441"/>
      <c r="AN522" s="441">
        <v>46205</v>
      </c>
      <c r="AO522" s="431" t="s">
        <v>402</v>
      </c>
      <c r="AP522" s="431" t="s">
        <v>4523</v>
      </c>
      <c r="AQ522" s="431" t="s">
        <v>80</v>
      </c>
      <c r="AR522" s="431" t="s">
        <v>4524</v>
      </c>
      <c r="AS522" s="431" t="s">
        <v>4525</v>
      </c>
      <c r="AT522" s="482" t="s">
        <v>4525</v>
      </c>
      <c r="AU5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1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1">
        <f>IF(ISERROR(PV_DATA[[#This Row],[New Ark PO status]]),"",_xlfn.XLOOKUP(PV_DATA[[#This Row],[SPTN-PVHK New Ark PO'#]],New_Ark_Data[Purchase order Number],New_Ark_Data[Estimated time of arrival],"",0))</f>
        <v>46205</v>
      </c>
      <c r="AZ5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1">
        <f>IFERROR(PV_DATA[[#This Row],[ODP ETA Port]]+PV_DATA[[#This Row],[Customs/Leg3 Assumption]],"n/a")</f>
        <v>46205</v>
      </c>
      <c r="BB522" s="442">
        <f>YEAR(PV_DATA[[#This Row],[ETA for New Ark update]])</f>
        <v>2026</v>
      </c>
      <c r="BC522" s="431">
        <f>MONTH(PV_DATA[[#This Row],[ETA for New Ark update]])</f>
        <v>7</v>
      </c>
      <c r="BD522" s="431">
        <f>IFERROR(_xlfn.ISOWEEKNUM(PV_DATA[[#This Row],[ETA for New Ark update]]),0)</f>
        <v>27</v>
      </c>
      <c r="BE522" s="431">
        <f>_xlfn.XLOOKUP(PV_DATA[[#This Row],[New Ark SKU]],Table9[New Ark SKU],Table9[Total PCS per Pallet],,0)</f>
        <v>36</v>
      </c>
      <c r="BF522" s="431">
        <f>_xlfn.XLOOKUP(PV_DATA[[#This Row],[New Ark SKU]],Table9[New Ark SKU],Table9[Total PCS per 40HQ Container],,0)</f>
        <v>720</v>
      </c>
      <c r="BG522" s="431" t="str">
        <f>_xlfn.XLOOKUP(PV_DATA[[#This Row],[New Ark SKU]],Table9[New Ark SKU],Table9[Back Glass],,0)</f>
        <v>Transparent</v>
      </c>
      <c r="BH522" s="431" t="str">
        <f>_xlfn.XLOOKUP(PV_DATA[[#This Row],[PORT DESTINATION]],Table12[PORT DESTINATION],Table12[Cosco Line],,0)</f>
        <v>AEM</v>
      </c>
    </row>
    <row r="523" spans="1:60" s="431" customFormat="1" ht="10.5">
      <c r="A523" s="439" t="s">
        <v>4526</v>
      </c>
      <c r="B523" s="439" t="s">
        <v>111</v>
      </c>
      <c r="C523" s="721" t="str">
        <f>IFERROR(LEFT(PV_DATA[[#This Row],[TCL REFERENCE]],FIND(".",PV_DATA[[#This Row],[TCL REFERENCE]],1)-1),"Main Line")</f>
        <v>26Apr004</v>
      </c>
      <c r="D523" s="721" t="s">
        <v>63</v>
      </c>
      <c r="E523" s="439" t="s">
        <v>64</v>
      </c>
      <c r="F523" s="462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21" t="s">
        <v>402</v>
      </c>
      <c r="H523" s="721" t="s">
        <v>115</v>
      </c>
      <c r="I523" s="721" t="s">
        <v>689</v>
      </c>
      <c r="J523" s="475" t="s">
        <v>96</v>
      </c>
      <c r="K523" s="475"/>
      <c r="L523" s="475"/>
      <c r="M523" s="475" t="s">
        <v>68</v>
      </c>
      <c r="N523" s="476">
        <v>46139</v>
      </c>
      <c r="O523" s="475" t="s">
        <v>473</v>
      </c>
      <c r="P523" s="431" t="s">
        <v>474</v>
      </c>
      <c r="Q523" s="431" t="s">
        <v>1319</v>
      </c>
      <c r="R523" s="431" t="str">
        <f>_xlfn.XLOOKUP(PV_DATA[[#This Row],[New Ark SKU]],Table9[New Ark SKU],Table9[Connector],,0)</f>
        <v>EVO2A</v>
      </c>
      <c r="S523" s="442" t="str">
        <f>_xlfn.XLOOKUP(PV_DATA[[#This Row],[New Ark SKU]],Table9[New Ark SKU],Table9[Cable],,0)</f>
        <v>±1200mm</v>
      </c>
      <c r="T523" s="442">
        <v>460</v>
      </c>
      <c r="U523" s="1093">
        <f>864*2</f>
        <v>1728</v>
      </c>
      <c r="V523" s="448">
        <f>PV_DATA[[#This Row],[QUANTITY]]*PV_DATA[[#This Row],[WATT]]/1000000</f>
        <v>0.79488000000000003</v>
      </c>
      <c r="W523" s="466">
        <f>PV_DATA[[#This Row],[QUANTITY]]/PV_DATA[[#This Row],[Qty/Pallet]]</f>
        <v>48</v>
      </c>
      <c r="X523" s="1044">
        <f>PV_DATA[[#This Row],[QUANTITY]]/PV_DATA[[#This Row],[Qty/CT]]</f>
        <v>2</v>
      </c>
      <c r="Y523" s="431" t="s">
        <v>951</v>
      </c>
      <c r="Z523" s="430" t="str">
        <f t="shared" si="5"/>
        <v>COMPLETED</v>
      </c>
      <c r="AA523" s="439" t="s">
        <v>2423</v>
      </c>
      <c r="AB523" s="441">
        <v>46154</v>
      </c>
      <c r="AC523" s="445">
        <f>IF(PV_DATA[[#This Row],[Pick- Up Date]]&lt;&gt;"",_xlfn.ISOWEEKNUM(PV_DATA[[#This Row],[Pick- Up Date]]),"")</f>
        <v>20</v>
      </c>
      <c r="AD523" s="431" t="s">
        <v>4527</v>
      </c>
      <c r="AE523" s="475"/>
      <c r="AF523" s="431" t="s">
        <v>123</v>
      </c>
      <c r="AG523" s="431" t="s">
        <v>123</v>
      </c>
      <c r="AH523" s="431" t="s">
        <v>124</v>
      </c>
      <c r="AI523" s="441">
        <v>46161</v>
      </c>
      <c r="AJ523" s="441">
        <v>46162</v>
      </c>
      <c r="AK523" s="441">
        <v>46162</v>
      </c>
      <c r="AL523" s="441">
        <v>46205</v>
      </c>
      <c r="AM523" s="441"/>
      <c r="AN523" s="441">
        <v>46205</v>
      </c>
      <c r="AO523" s="431" t="s">
        <v>402</v>
      </c>
      <c r="AP523" s="431" t="s">
        <v>4523</v>
      </c>
      <c r="AQ523" s="431" t="s">
        <v>80</v>
      </c>
      <c r="AR523" s="431" t="s">
        <v>4528</v>
      </c>
      <c r="AS523" s="431" t="s">
        <v>4529</v>
      </c>
      <c r="AT523" s="482" t="s">
        <v>4529</v>
      </c>
      <c r="AU5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1"/>
      <c r="AW523" s="441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1">
        <f>IF(ISERROR(PV_DATA[[#This Row],[New Ark PO status]]),"",_xlfn.XLOOKUP(PV_DATA[[#This Row],[SPTN-PVHK New Ark PO'#]],New_Ark_Data[Purchase order Number],New_Ark_Data[Estimated time of arrival],"",0))</f>
        <v>46219</v>
      </c>
      <c r="AZ52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1">
        <f>IFERROR(PV_DATA[[#This Row],[ODP ETA Port]]+PV_DATA[[#This Row],[Customs/Leg3 Assumption]],"n/a")</f>
        <v>46214</v>
      </c>
      <c r="BB523" s="442">
        <f>YEAR(PV_DATA[[#This Row],[ETA for New Ark update]])</f>
        <v>2026</v>
      </c>
      <c r="BC523" s="431">
        <f>MONTH(PV_DATA[[#This Row],[ETA for New Ark update]])</f>
        <v>7</v>
      </c>
      <c r="BD523" s="431">
        <f>IFERROR(_xlfn.ISOWEEKNUM(PV_DATA[[#This Row],[ETA for New Ark update]]),0)</f>
        <v>28</v>
      </c>
      <c r="BE523" s="431">
        <f>_xlfn.XLOOKUP(PV_DATA[[#This Row],[New Ark SKU]],Table9[New Ark SKU],Table9[Total PCS per Pallet],,0)</f>
        <v>36</v>
      </c>
      <c r="BF523" s="431">
        <f>_xlfn.XLOOKUP(PV_DATA[[#This Row],[New Ark SKU]],Table9[New Ark SKU],Table9[Total PCS per 40HQ Container],,0)</f>
        <v>864</v>
      </c>
      <c r="BG523" s="431" t="str">
        <f>_xlfn.XLOOKUP(PV_DATA[[#This Row],[New Ark SKU]],Table9[New Ark SKU],Table9[Back Glass],,0)</f>
        <v>Black glazing</v>
      </c>
      <c r="BH523" s="431" t="str">
        <f>_xlfn.XLOOKUP(PV_DATA[[#This Row],[PORT DESTINATION]],Table12[PORT DESTINATION],Table12[Cosco Line],,0)</f>
        <v>AEM</v>
      </c>
    </row>
    <row r="524" spans="1:60" s="431" customFormat="1" ht="10.5">
      <c r="A524" s="439" t="s">
        <v>4530</v>
      </c>
      <c r="B524" s="439" t="s">
        <v>61</v>
      </c>
      <c r="C524" s="721" t="str">
        <f>IFERROR(LEFT(PV_DATA[[#This Row],[TCL REFERENCE]],FIND(".",PV_DATA[[#This Row],[TCL REFERENCE]],1)-1),"Main Line")</f>
        <v>26May010</v>
      </c>
      <c r="D524" s="721" t="s">
        <v>63</v>
      </c>
      <c r="E524" s="439" t="s">
        <v>64</v>
      </c>
      <c r="F524" s="462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21" t="s">
        <v>402</v>
      </c>
      <c r="H524" s="721" t="s">
        <v>451</v>
      </c>
      <c r="I524" s="721" t="s">
        <v>689</v>
      </c>
      <c r="J524" s="475" t="s">
        <v>1832</v>
      </c>
      <c r="K524" s="475"/>
      <c r="L524" s="475"/>
      <c r="M524" s="475" t="s">
        <v>68</v>
      </c>
      <c r="N524" s="476">
        <v>46153</v>
      </c>
      <c r="O524" s="475" t="s">
        <v>4531</v>
      </c>
      <c r="P524" s="431" t="s">
        <v>1151</v>
      </c>
      <c r="Q524" s="431" t="s">
        <v>421</v>
      </c>
      <c r="R524" s="431" t="str">
        <f>_xlfn.XLOOKUP(PV_DATA[[#This Row],[New Ark SKU]],Table9[New Ark SKU],Table9[Connector],,0)</f>
        <v>EVO2A</v>
      </c>
      <c r="S524" s="442" t="str">
        <f>_xlfn.XLOOKUP(PV_DATA[[#This Row],[New Ark SKU]],Table9[New Ark SKU],Table9[Cable],,0)</f>
        <v>±1200mm</v>
      </c>
      <c r="T524" s="442">
        <v>505</v>
      </c>
      <c r="U524" s="1093">
        <v>864</v>
      </c>
      <c r="V524" s="448">
        <f>PV_DATA[[#This Row],[QUANTITY]]*PV_DATA[[#This Row],[WATT]]/1000000</f>
        <v>0.43631999999999999</v>
      </c>
      <c r="W524" s="466">
        <f>PV_DATA[[#This Row],[QUANTITY]]/PV_DATA[[#This Row],[Qty/Pallet]]</f>
        <v>24</v>
      </c>
      <c r="X524" s="1044">
        <f>PV_DATA[[#This Row],[QUANTITY]]/PV_DATA[[#This Row],[Qty/CT]]</f>
        <v>1</v>
      </c>
      <c r="Y524" s="431" t="s">
        <v>951</v>
      </c>
      <c r="Z524" s="430" t="str">
        <f t="shared" si="5"/>
        <v>COMPLETED</v>
      </c>
      <c r="AA524" s="431" t="s">
        <v>4532</v>
      </c>
      <c r="AB524" s="441">
        <v>46155</v>
      </c>
      <c r="AC524" s="467">
        <f>IF(PV_DATA[[#This Row],[Pick- Up Date]]&lt;&gt;"",_xlfn.ISOWEEKNUM(PV_DATA[[#This Row],[Pick- Up Date]]),"")</f>
        <v>20</v>
      </c>
      <c r="AD524" s="431" t="s">
        <v>4533</v>
      </c>
      <c r="AE524" s="475"/>
      <c r="AF524" s="431" t="s">
        <v>61</v>
      </c>
      <c r="AG524" s="431" t="s">
        <v>61</v>
      </c>
      <c r="AH524" s="431" t="s">
        <v>456</v>
      </c>
      <c r="AI524" s="441">
        <v>46164</v>
      </c>
      <c r="AJ524" s="441">
        <v>46164</v>
      </c>
      <c r="AK524" s="441">
        <v>46164</v>
      </c>
      <c r="AL524" s="441">
        <v>46216</v>
      </c>
      <c r="AM524" s="441"/>
      <c r="AN524" s="441">
        <v>46215</v>
      </c>
      <c r="AO524" s="431" t="s">
        <v>402</v>
      </c>
      <c r="AP524" s="431" t="s">
        <v>4534</v>
      </c>
      <c r="AQ524" s="431" t="s">
        <v>80</v>
      </c>
      <c r="AR524" s="431" t="s">
        <v>4535</v>
      </c>
      <c r="AS524" s="431" t="s">
        <v>4536</v>
      </c>
      <c r="AT524" s="482" t="s">
        <v>4536</v>
      </c>
      <c r="AU5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1"/>
      <c r="AW524" s="441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1">
        <f>IF(ISERROR(PV_DATA[[#This Row],[New Ark PO status]]),"",_xlfn.XLOOKUP(PV_DATA[[#This Row],[SPTN-PVHK New Ark PO'#]],New_Ark_Data[Purchase order Number],New_Ark_Data[Estimated time of arrival],"",0))</f>
        <v>46230</v>
      </c>
      <c r="AZ5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1">
        <f>IFERROR(PV_DATA[[#This Row],[ODP ETA Port]]+PV_DATA[[#This Row],[Customs/Leg3 Assumption]],"n/a")</f>
        <v>46222</v>
      </c>
      <c r="BB524" s="442">
        <f>YEAR(PV_DATA[[#This Row],[ETA for New Ark update]])</f>
        <v>2026</v>
      </c>
      <c r="BC524" s="431">
        <f>MONTH(PV_DATA[[#This Row],[ETA for New Ark update]])</f>
        <v>7</v>
      </c>
      <c r="BD524" s="431">
        <f>IFERROR(_xlfn.ISOWEEKNUM(PV_DATA[[#This Row],[ETA for New Ark update]]),0)</f>
        <v>29</v>
      </c>
      <c r="BE524" s="431">
        <f>_xlfn.XLOOKUP(PV_DATA[[#This Row],[New Ark SKU]],Table9[New Ark SKU],Table9[Total PCS per Pallet],,0)</f>
        <v>36</v>
      </c>
      <c r="BF524" s="431">
        <f>_xlfn.XLOOKUP(PV_DATA[[#This Row],[New Ark SKU]],Table9[New Ark SKU],Table9[Total PCS per 40HQ Container],,0)</f>
        <v>864</v>
      </c>
      <c r="BG524" s="431" t="str">
        <f>_xlfn.XLOOKUP(PV_DATA[[#This Row],[New Ark SKU]],Table9[New Ark SKU],Table9[Back Glass],,0)</f>
        <v>Black glazing</v>
      </c>
      <c r="BH524" s="431" t="str">
        <f>_xlfn.XLOOKUP(PV_DATA[[#This Row],[PORT DESTINATION]],Table12[PORT DESTINATION],Table12[Cosco Line],,0)</f>
        <v>AEU</v>
      </c>
    </row>
    <row r="525" spans="1:60" s="431" customFormat="1" ht="10.5">
      <c r="A525" s="439" t="s">
        <v>4537</v>
      </c>
      <c r="B525" s="439" t="s">
        <v>61</v>
      </c>
      <c r="C525" s="721" t="str">
        <f>IFERROR(LEFT(PV_DATA[[#This Row],[TCL REFERENCE]],FIND(".",PV_DATA[[#This Row],[TCL REFERENCE]],1)-1),"Main Line")</f>
        <v>26May010</v>
      </c>
      <c r="D525" s="721" t="s">
        <v>63</v>
      </c>
      <c r="E525" s="439" t="s">
        <v>64</v>
      </c>
      <c r="F525" s="462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21" t="s">
        <v>402</v>
      </c>
      <c r="H525" s="721" t="s">
        <v>67</v>
      </c>
      <c r="I525" s="721" t="s">
        <v>689</v>
      </c>
      <c r="J525" s="475" t="s">
        <v>96</v>
      </c>
      <c r="K525" s="475"/>
      <c r="L525" s="475"/>
      <c r="M525" s="475" t="s">
        <v>68</v>
      </c>
      <c r="N525" s="476" t="s">
        <v>68</v>
      </c>
      <c r="O525" s="475" t="s">
        <v>4531</v>
      </c>
      <c r="P525" s="431" t="s">
        <v>1151</v>
      </c>
      <c r="Q525" s="431" t="s">
        <v>421</v>
      </c>
      <c r="R525" s="431" t="str">
        <f>_xlfn.XLOOKUP(PV_DATA[[#This Row],[New Ark SKU]],Table9[New Ark SKU],Table9[Connector],,0)</f>
        <v>EVO2A</v>
      </c>
      <c r="S525" s="442" t="str">
        <f>_xlfn.XLOOKUP(PV_DATA[[#This Row],[New Ark SKU]],Table9[New Ark SKU],Table9[Cable],,0)</f>
        <v>±1200mm</v>
      </c>
      <c r="T525" s="442">
        <v>505</v>
      </c>
      <c r="U525" s="1093">
        <v>4320</v>
      </c>
      <c r="V525" s="448">
        <f>PV_DATA[[#This Row],[QUANTITY]]*PV_DATA[[#This Row],[WATT]]/1000000</f>
        <v>2.1816</v>
      </c>
      <c r="W525" s="466">
        <f>PV_DATA[[#This Row],[QUANTITY]]/PV_DATA[[#This Row],[Qty/Pallet]]</f>
        <v>120</v>
      </c>
      <c r="X525" s="1044">
        <f>PV_DATA[[#This Row],[QUANTITY]]/PV_DATA[[#This Row],[Qty/CT]]</f>
        <v>5</v>
      </c>
      <c r="Y525" s="431" t="s">
        <v>951</v>
      </c>
      <c r="Z525" s="430" t="str">
        <f t="shared" si="5"/>
        <v>COMPLETED</v>
      </c>
      <c r="AA525" s="431" t="s">
        <v>4501</v>
      </c>
      <c r="AB525" s="441">
        <v>46155</v>
      </c>
      <c r="AC525" s="467">
        <f>IF(PV_DATA[[#This Row],[Pick- Up Date]]&lt;&gt;"",_xlfn.ISOWEEKNUM(PV_DATA[[#This Row],[Pick- Up Date]]),"")</f>
        <v>20</v>
      </c>
      <c r="AD525" s="431" t="s">
        <v>4538</v>
      </c>
      <c r="AE525" s="475"/>
      <c r="AF525" s="431" t="s">
        <v>61</v>
      </c>
      <c r="AG525" s="431" t="s">
        <v>61</v>
      </c>
      <c r="AH525" s="431" t="s">
        <v>105</v>
      </c>
      <c r="AI525" s="441">
        <v>46164</v>
      </c>
      <c r="AJ525" s="441">
        <v>46164</v>
      </c>
      <c r="AK525" s="441">
        <v>46164</v>
      </c>
      <c r="AL525" s="441">
        <v>46203</v>
      </c>
      <c r="AM525" s="441">
        <v>46210</v>
      </c>
      <c r="AN525" s="441">
        <v>46211</v>
      </c>
      <c r="AO525" s="431" t="s">
        <v>402</v>
      </c>
      <c r="AP525" s="431" t="s">
        <v>4534</v>
      </c>
      <c r="AQ525" s="431" t="s">
        <v>80</v>
      </c>
      <c r="AR525" s="431" t="s">
        <v>4539</v>
      </c>
      <c r="AS525" s="431" t="s">
        <v>4540</v>
      </c>
      <c r="AT525" s="482" t="s">
        <v>4540</v>
      </c>
      <c r="AU5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1"/>
      <c r="AW525" s="441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1">
        <f>IF(ISERROR(PV_DATA[[#This Row],[New Ark PO status]]),"",_xlfn.XLOOKUP(PV_DATA[[#This Row],[SPTN-PVHK New Ark PO'#]],New_Ark_Data[Purchase order Number],New_Ark_Data[Estimated time of arrival],"",0))</f>
        <v>46225</v>
      </c>
      <c r="AZ52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1">
        <f>IFERROR(PV_DATA[[#This Row],[ODP ETA Port]]+PV_DATA[[#This Row],[Customs/Leg3 Assumption]],"n/a")</f>
        <v>46218</v>
      </c>
      <c r="BB525" s="442">
        <f>YEAR(PV_DATA[[#This Row],[ETA for New Ark update]])</f>
        <v>2026</v>
      </c>
      <c r="BC525" s="431">
        <f>MONTH(PV_DATA[[#This Row],[ETA for New Ark update]])</f>
        <v>7</v>
      </c>
      <c r="BD525" s="431">
        <f>IFERROR(_xlfn.ISOWEEKNUM(PV_DATA[[#This Row],[ETA for New Ark update]]),0)</f>
        <v>29</v>
      </c>
      <c r="BE525" s="431">
        <f>_xlfn.XLOOKUP(PV_DATA[[#This Row],[New Ark SKU]],Table9[New Ark SKU],Table9[Total PCS per Pallet],,0)</f>
        <v>36</v>
      </c>
      <c r="BF525" s="431">
        <f>_xlfn.XLOOKUP(PV_DATA[[#This Row],[New Ark SKU]],Table9[New Ark SKU],Table9[Total PCS per 40HQ Container],,0)</f>
        <v>864</v>
      </c>
      <c r="BG525" s="431" t="str">
        <f>_xlfn.XLOOKUP(PV_DATA[[#This Row],[New Ark SKU]],Table9[New Ark SKU],Table9[Back Glass],,0)</f>
        <v>Black glazing</v>
      </c>
      <c r="BH525" s="431" t="str">
        <f>_xlfn.XLOOKUP(PV_DATA[[#This Row],[PORT DESTINATION]],Table12[PORT DESTINATION],Table12[Cosco Line],,0)</f>
        <v>AEU</v>
      </c>
    </row>
    <row r="526" spans="1:60" s="431" customFormat="1" ht="10.5">
      <c r="A526" s="439" t="s">
        <v>4541</v>
      </c>
      <c r="B526" s="439" t="s">
        <v>61</v>
      </c>
      <c r="C526" s="721" t="str">
        <f>IFERROR(LEFT(PV_DATA[[#This Row],[TCL REFERENCE]],FIND(".",PV_DATA[[#This Row],[TCL REFERENCE]],1)-1),"Main Line")</f>
        <v>26Apr011</v>
      </c>
      <c r="D526" s="721" t="s">
        <v>63</v>
      </c>
      <c r="E526" s="439" t="s">
        <v>64</v>
      </c>
      <c r="F526" s="462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21" t="s">
        <v>402</v>
      </c>
      <c r="H526" s="721" t="s">
        <v>67</v>
      </c>
      <c r="I526" s="721" t="s">
        <v>689</v>
      </c>
      <c r="J526" s="475" t="s">
        <v>96</v>
      </c>
      <c r="K526" s="475"/>
      <c r="L526" s="475"/>
      <c r="M526" s="475" t="s">
        <v>68</v>
      </c>
      <c r="N526" s="476">
        <v>46125</v>
      </c>
      <c r="O526" s="475" t="s">
        <v>70</v>
      </c>
      <c r="P526" s="431" t="s">
        <v>195</v>
      </c>
      <c r="Q526" s="431" t="s">
        <v>196</v>
      </c>
      <c r="R526" s="431" t="str">
        <f>_xlfn.XLOOKUP(PV_DATA[[#This Row],[New Ark SKU]],Table9[New Ark SKU],Table9[Connector],,0)</f>
        <v>EVO2A</v>
      </c>
      <c r="S526" s="442" t="str">
        <f>_xlfn.XLOOKUP(PV_DATA[[#This Row],[New Ark SKU]],Table9[New Ark SKU],Table9[Cable],,0)</f>
        <v>±1200mm</v>
      </c>
      <c r="T526" s="442">
        <v>450</v>
      </c>
      <c r="U526" s="1093">
        <f>936*4</f>
        <v>3744</v>
      </c>
      <c r="V526" s="448">
        <f>PV_DATA[[#This Row],[QUANTITY]]*PV_DATA[[#This Row],[WATT]]/1000000</f>
        <v>1.6848000000000001</v>
      </c>
      <c r="W526" s="466">
        <f>PV_DATA[[#This Row],[QUANTITY]]/PV_DATA[[#This Row],[Qty/Pallet]]</f>
        <v>104</v>
      </c>
      <c r="X526" s="1044">
        <f>PV_DATA[[#This Row],[QUANTITY]]/PV_DATA[[#This Row],[Qty/CT]]</f>
        <v>4</v>
      </c>
      <c r="Y526" s="431" t="s">
        <v>951</v>
      </c>
      <c r="Z526" s="430" t="str">
        <f t="shared" si="5"/>
        <v>COMPLETED</v>
      </c>
      <c r="AA526" s="431" t="s">
        <v>4542</v>
      </c>
      <c r="AB526" s="441">
        <v>46155</v>
      </c>
      <c r="AC526" s="467">
        <f>IF(PV_DATA[[#This Row],[Pick- Up Date]]&lt;&gt;"",_xlfn.ISOWEEKNUM(PV_DATA[[#This Row],[Pick- Up Date]]),"")</f>
        <v>20</v>
      </c>
      <c r="AD526" s="431" t="s">
        <v>4543</v>
      </c>
      <c r="AE526" s="475"/>
      <c r="AF526" s="431" t="s">
        <v>77</v>
      </c>
      <c r="AG526" s="431" t="s">
        <v>61</v>
      </c>
      <c r="AH526" s="431" t="s">
        <v>105</v>
      </c>
      <c r="AI526" s="441">
        <v>46164</v>
      </c>
      <c r="AJ526" s="441">
        <v>46164</v>
      </c>
      <c r="AK526" s="441">
        <v>46164</v>
      </c>
      <c r="AL526" s="441">
        <v>46203</v>
      </c>
      <c r="AM526" s="441">
        <v>46210</v>
      </c>
      <c r="AN526" s="441">
        <v>46211</v>
      </c>
      <c r="AO526" s="431" t="s">
        <v>402</v>
      </c>
      <c r="AP526" s="431" t="s">
        <v>4534</v>
      </c>
      <c r="AQ526" s="431" t="s">
        <v>80</v>
      </c>
      <c r="AR526" s="431" t="s">
        <v>4539</v>
      </c>
      <c r="AS526" s="431" t="s">
        <v>4540</v>
      </c>
      <c r="AT526" s="482" t="s">
        <v>4540</v>
      </c>
      <c r="AU5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1"/>
      <c r="AW526" s="441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1">
        <f>IF(ISERROR(PV_DATA[[#This Row],[New Ark PO status]]),"",_xlfn.XLOOKUP(PV_DATA[[#This Row],[SPTN-PVHK New Ark PO'#]],New_Ark_Data[Purchase order Number],New_Ark_Data[Estimated time of arrival],"",0))</f>
        <v>46225</v>
      </c>
      <c r="AZ52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1">
        <f>IFERROR(PV_DATA[[#This Row],[ODP ETA Port]]+PV_DATA[[#This Row],[Customs/Leg3 Assumption]],"n/a")</f>
        <v>46218</v>
      </c>
      <c r="BB526" s="442">
        <f>YEAR(PV_DATA[[#This Row],[ETA for New Ark update]])</f>
        <v>2026</v>
      </c>
      <c r="BC526" s="431">
        <f>MONTH(PV_DATA[[#This Row],[ETA for New Ark update]])</f>
        <v>7</v>
      </c>
      <c r="BD526" s="431">
        <f>IFERROR(_xlfn.ISOWEEKNUM(PV_DATA[[#This Row],[ETA for New Ark update]]),0)</f>
        <v>29</v>
      </c>
      <c r="BE526" s="431">
        <f>_xlfn.XLOOKUP(PV_DATA[[#This Row],[New Ark SKU]],Table9[New Ark SKU],Table9[Total PCS per Pallet],,0)</f>
        <v>36</v>
      </c>
      <c r="BF526" s="431">
        <f>_xlfn.XLOOKUP(PV_DATA[[#This Row],[New Ark SKU]],Table9[New Ark SKU],Table9[Total PCS per 40HQ Container],,0)</f>
        <v>936</v>
      </c>
      <c r="BG526" s="431" t="str">
        <f>_xlfn.XLOOKUP(PV_DATA[[#This Row],[New Ark SKU]],Table9[New Ark SKU],Table9[Back Glass],,0)</f>
        <v>Black glazing</v>
      </c>
      <c r="BH526" s="431" t="str">
        <f>_xlfn.XLOOKUP(PV_DATA[[#This Row],[PORT DESTINATION]],Table12[PORT DESTINATION],Table12[Cosco Line],,0)</f>
        <v>AEU</v>
      </c>
    </row>
    <row r="527" spans="1:60" s="431" customFormat="1" ht="10.5">
      <c r="A527" s="439" t="s">
        <v>4544</v>
      </c>
      <c r="B527" s="439" t="s">
        <v>61</v>
      </c>
      <c r="C527" s="721" t="str">
        <f>IFERROR(LEFT(PV_DATA[[#This Row],[TCL REFERENCE]],FIND(".",PV_DATA[[#This Row],[TCL REFERENCE]],1)-1),"Main Line")</f>
        <v>26May009</v>
      </c>
      <c r="D527" s="721" t="s">
        <v>63</v>
      </c>
      <c r="E527" s="439" t="s">
        <v>144</v>
      </c>
      <c r="F527" s="462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21" t="s">
        <v>402</v>
      </c>
      <c r="H527" s="721" t="s">
        <v>1029</v>
      </c>
      <c r="I527" s="721" t="s">
        <v>689</v>
      </c>
      <c r="J527" s="475" t="s">
        <v>4545</v>
      </c>
      <c r="K527" s="475" t="s">
        <v>2389</v>
      </c>
      <c r="L527" s="475">
        <v>2</v>
      </c>
      <c r="M527" s="475" t="s">
        <v>840</v>
      </c>
      <c r="N527" s="476">
        <v>46153</v>
      </c>
      <c r="O527" s="475" t="s">
        <v>4531</v>
      </c>
      <c r="P527" s="431" t="s">
        <v>71</v>
      </c>
      <c r="Q527" s="431" t="s">
        <v>72</v>
      </c>
      <c r="R527" s="431" t="str">
        <f>_xlfn.XLOOKUP(PV_DATA[[#This Row],[New Ark SKU]],Table9[New Ark SKU],Table9[Connector],,0)</f>
        <v>EVO2A</v>
      </c>
      <c r="S527" s="442" t="str">
        <f>_xlfn.XLOOKUP(PV_DATA[[#This Row],[New Ark SKU]],Table9[New Ark SKU],Table9[Cable],,0)</f>
        <v>±1200mm</v>
      </c>
      <c r="T527" s="442">
        <v>500</v>
      </c>
      <c r="U527" s="1093">
        <v>864</v>
      </c>
      <c r="V527" s="448">
        <f>PV_DATA[[#This Row],[QUANTITY]]*PV_DATA[[#This Row],[WATT]]/1000000</f>
        <v>0.432</v>
      </c>
      <c r="W527" s="466">
        <f>PV_DATA[[#This Row],[QUANTITY]]/PV_DATA[[#This Row],[Qty/Pallet]]</f>
        <v>24</v>
      </c>
      <c r="X527" s="1044">
        <f>PV_DATA[[#This Row],[QUANTITY]]/PV_DATA[[#This Row],[Qty/CT]]</f>
        <v>1</v>
      </c>
      <c r="Y527" s="431" t="s">
        <v>951</v>
      </c>
      <c r="Z527" s="430" t="str">
        <f t="shared" si="5"/>
        <v>COMPLETED</v>
      </c>
      <c r="AA527" s="431" t="s">
        <v>4546</v>
      </c>
      <c r="AB527" s="441">
        <v>46157</v>
      </c>
      <c r="AC527" s="467">
        <f>IF(PV_DATA[[#This Row],[Pick- Up Date]]&lt;&gt;"",_xlfn.ISOWEEKNUM(PV_DATA[[#This Row],[Pick- Up Date]]),"")</f>
        <v>20</v>
      </c>
      <c r="AD527" s="431" t="s">
        <v>4547</v>
      </c>
      <c r="AE527" s="475"/>
      <c r="AF527" s="431" t="s">
        <v>77</v>
      </c>
      <c r="AG527" s="431" t="s">
        <v>61</v>
      </c>
      <c r="AH527" s="431" t="s">
        <v>888</v>
      </c>
      <c r="AI527" s="441">
        <v>46164</v>
      </c>
      <c r="AJ527" s="441">
        <v>46164</v>
      </c>
      <c r="AK527" s="441">
        <v>46164</v>
      </c>
      <c r="AL527" s="441">
        <v>46225</v>
      </c>
      <c r="AM527" s="441">
        <v>46226</v>
      </c>
      <c r="AN527" s="441">
        <v>46225</v>
      </c>
      <c r="AO527" s="431" t="s">
        <v>402</v>
      </c>
      <c r="AP527" s="431" t="s">
        <v>4534</v>
      </c>
      <c r="AQ527" s="431" t="s">
        <v>80</v>
      </c>
      <c r="AR527" s="431" t="s">
        <v>4548</v>
      </c>
      <c r="AS527" s="431" t="s">
        <v>4549</v>
      </c>
      <c r="AT527" s="482" t="s">
        <v>4549</v>
      </c>
      <c r="AU5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1"/>
      <c r="AW527" s="441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1">
        <f>IF(ISERROR(PV_DATA[[#This Row],[New Ark PO status]]),"",_xlfn.XLOOKUP(PV_DATA[[#This Row],[SPTN-PVHK New Ark PO'#]],New_Ark_Data[Purchase order Number],New_Ark_Data[Estimated time of arrival],"",0))</f>
        <v>46225</v>
      </c>
      <c r="AZ52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1">
        <f>IFERROR(PV_DATA[[#This Row],[ODP ETA Port]]+PV_DATA[[#This Row],[Customs/Leg3 Assumption]],"n/a")</f>
        <v>46225</v>
      </c>
      <c r="BB527" s="442">
        <f>YEAR(PV_DATA[[#This Row],[ETA for New Ark update]])</f>
        <v>2026</v>
      </c>
      <c r="BC527" s="431">
        <f>MONTH(PV_DATA[[#This Row],[ETA for New Ark update]])</f>
        <v>7</v>
      </c>
      <c r="BD527" s="431">
        <f>IFERROR(_xlfn.ISOWEEKNUM(PV_DATA[[#This Row],[ETA for New Ark update]]),0)</f>
        <v>30</v>
      </c>
      <c r="BE527" s="431">
        <f>_xlfn.XLOOKUP(PV_DATA[[#This Row],[New Ark SKU]],Table9[New Ark SKU],Table9[Total PCS per Pallet],,0)</f>
        <v>36</v>
      </c>
      <c r="BF527" s="431">
        <f>_xlfn.XLOOKUP(PV_DATA[[#This Row],[New Ark SKU]],Table9[New Ark SKU],Table9[Total PCS per 40HQ Container],,0)</f>
        <v>864</v>
      </c>
      <c r="BG527" s="431" t="str">
        <f>_xlfn.XLOOKUP(PV_DATA[[#This Row],[New Ark SKU]],Table9[New Ark SKU],Table9[Back Glass],,0)</f>
        <v>Black glazing</v>
      </c>
      <c r="BH527" s="431" t="str">
        <f>_xlfn.XLOOKUP(PV_DATA[[#This Row],[PORT DESTINATION]],Table12[PORT DESTINATION],Table12[Cosco Line],,0)</f>
        <v>AEU</v>
      </c>
    </row>
    <row r="528" spans="1:60" s="431" customFormat="1" ht="10.5">
      <c r="A528" s="439" t="s">
        <v>4550</v>
      </c>
      <c r="B528" s="439" t="s">
        <v>61</v>
      </c>
      <c r="C528" s="439" t="str">
        <f>IFERROR(LEFT(PV_DATA[[#This Row],[TCL REFERENCE]],FIND(".",PV_DATA[[#This Row],[TCL REFERENCE]],1)-1),"Main Line")</f>
        <v>26Apr014</v>
      </c>
      <c r="D528" s="439" t="s">
        <v>63</v>
      </c>
      <c r="E528" s="439" t="s">
        <v>144</v>
      </c>
      <c r="F528" s="439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39" t="s">
        <v>146</v>
      </c>
      <c r="H528" s="439" t="s">
        <v>2382</v>
      </c>
      <c r="I528" s="439" t="s">
        <v>869</v>
      </c>
      <c r="J528" s="431" t="s">
        <v>2382</v>
      </c>
      <c r="K528" s="431" t="s">
        <v>4551</v>
      </c>
      <c r="L528" s="431">
        <v>1</v>
      </c>
      <c r="M528" s="431" t="s">
        <v>840</v>
      </c>
      <c r="N528" s="461" t="s">
        <v>68</v>
      </c>
      <c r="O528" s="431" t="s">
        <v>70</v>
      </c>
      <c r="P528" s="431" t="s">
        <v>1151</v>
      </c>
      <c r="Q528" s="431" t="s">
        <v>421</v>
      </c>
      <c r="R528" s="431" t="str">
        <f>_xlfn.XLOOKUP(PV_DATA[[#This Row],[New Ark SKU]],Table9[New Ark SKU],Table9[Connector],,0)</f>
        <v>EVO2A</v>
      </c>
      <c r="S528" s="442" t="str">
        <f>_xlfn.XLOOKUP(PV_DATA[[#This Row],[New Ark SKU]],Table9[New Ark SKU],Table9[Cable],,0)</f>
        <v>±1200mm</v>
      </c>
      <c r="T528" s="442">
        <v>505</v>
      </c>
      <c r="U528" s="1093">
        <f>864*1</f>
        <v>864</v>
      </c>
      <c r="V528" s="448">
        <f>PV_DATA[[#This Row],[QUANTITY]]*PV_DATA[[#This Row],[WATT]]/1000000</f>
        <v>0.43631999999999999</v>
      </c>
      <c r="W528" s="466">
        <f>PV_DATA[[#This Row],[QUANTITY]]/PV_DATA[[#This Row],[Qty/Pallet]]</f>
        <v>24</v>
      </c>
      <c r="X528" s="1044">
        <f>PV_DATA[[#This Row],[QUANTITY]]/PV_DATA[[#This Row],[Qty/CT]]</f>
        <v>1</v>
      </c>
      <c r="Y528" s="431" t="s">
        <v>951</v>
      </c>
      <c r="Z528" s="430" t="str">
        <f t="shared" si="5"/>
        <v>COMPLETED</v>
      </c>
      <c r="AA528" s="474" t="s">
        <v>4552</v>
      </c>
      <c r="AB528" s="441">
        <v>46153</v>
      </c>
      <c r="AC528" s="467">
        <f>IF(PV_DATA[[#This Row],[Pick- Up Date]]&lt;&gt;"",_xlfn.ISOWEEKNUM(PV_DATA[[#This Row],[Pick- Up Date]]),"")</f>
        <v>20</v>
      </c>
      <c r="AD528" s="431" t="s">
        <v>4553</v>
      </c>
      <c r="AF528" s="431" t="s">
        <v>77</v>
      </c>
      <c r="AG528" s="431" t="s">
        <v>61</v>
      </c>
      <c r="AH528" s="431" t="s">
        <v>78</v>
      </c>
      <c r="AI528" s="441">
        <v>46164</v>
      </c>
      <c r="AJ528" s="441">
        <v>46164</v>
      </c>
      <c r="AK528" s="441">
        <v>46164</v>
      </c>
      <c r="AL528" s="441">
        <v>46223</v>
      </c>
      <c r="AM528" s="441">
        <v>46235</v>
      </c>
      <c r="AN528" s="586">
        <f>IFERROR(IF(VLOOKUP(AT528,Vessel!A:I,9,FALSE)=0,"",VLOOKUP(AT528,Vessel!A:I,9,FALSE)),"")</f>
        <v>46236.239571759259</v>
      </c>
      <c r="AO528" s="431" t="s">
        <v>402</v>
      </c>
      <c r="AP528" s="431" t="s">
        <v>4534</v>
      </c>
      <c r="AQ528" s="431" t="s">
        <v>80</v>
      </c>
      <c r="AR528" s="431" t="s">
        <v>4554</v>
      </c>
      <c r="AS528" s="431" t="s">
        <v>4555</v>
      </c>
      <c r="AT528" s="482" t="s">
        <v>4555</v>
      </c>
      <c r="AU5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8" s="441"/>
      <c r="AW528" s="441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1">
        <f>IF(ISERROR(PV_DATA[[#This Row],[New Ark PO status]]),"",_xlfn.XLOOKUP(PV_DATA[[#This Row],[SPTN-PVHK New Ark PO'#]],New_Ark_Data[Purchase order Number],New_Ark_Data[Estimated time of arrival],"",0))</f>
        <v>46244</v>
      </c>
      <c r="AZ52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1">
        <f>IFERROR(PV_DATA[[#This Row],[ODP ETA Port]]+PV_DATA[[#This Row],[Customs/Leg3 Assumption]],"n/a")</f>
        <v>46236.239571759259</v>
      </c>
      <c r="BB528" s="442">
        <f>YEAR(PV_DATA[[#This Row],[ETA for New Ark update]])</f>
        <v>2026</v>
      </c>
      <c r="BC528" s="431">
        <f>MONTH(PV_DATA[[#This Row],[ETA for New Ark update]])</f>
        <v>8</v>
      </c>
      <c r="BD528" s="431">
        <f>IFERROR(_xlfn.ISOWEEKNUM(PV_DATA[[#This Row],[ETA for New Ark update]]),0)</f>
        <v>31</v>
      </c>
      <c r="BE528" s="431">
        <f>_xlfn.XLOOKUP(PV_DATA[[#This Row],[New Ark SKU]],Table9[New Ark SKU],Table9[Total PCS per Pallet],,0)</f>
        <v>36</v>
      </c>
      <c r="BF528" s="431">
        <f>_xlfn.XLOOKUP(PV_DATA[[#This Row],[New Ark SKU]],Table9[New Ark SKU],Table9[Total PCS per 40HQ Container],,0)</f>
        <v>864</v>
      </c>
      <c r="BG528" s="431" t="str">
        <f>_xlfn.XLOOKUP(PV_DATA[[#This Row],[New Ark SKU]],Table9[New Ark SKU],Table9[Back Glass],,0)</f>
        <v>Black glazing</v>
      </c>
      <c r="BH528" s="431" t="str">
        <f>_xlfn.XLOOKUP(PV_DATA[[#This Row],[PORT DESTINATION]],Table12[PORT DESTINATION],Table12[Cosco Line],,0)</f>
        <v>AEM</v>
      </c>
    </row>
    <row r="529" spans="1:60" s="431" customFormat="1" ht="10.5">
      <c r="A529" s="439" t="s">
        <v>4556</v>
      </c>
      <c r="B529" s="439" t="s">
        <v>61</v>
      </c>
      <c r="C529" s="439" t="str">
        <f>IFERROR(LEFT(PV_DATA[[#This Row],[TCL REFERENCE]],FIND(".",PV_DATA[[#This Row],[TCL REFERENCE]],1)-1),"Main Line")</f>
        <v>26Apr014</v>
      </c>
      <c r="D529" s="439" t="s">
        <v>63</v>
      </c>
      <c r="E529" s="439" t="s">
        <v>144</v>
      </c>
      <c r="F529" s="439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39" t="s">
        <v>146</v>
      </c>
      <c r="H529" s="439" t="s">
        <v>2382</v>
      </c>
      <c r="I529" s="439" t="s">
        <v>869</v>
      </c>
      <c r="J529" s="431" t="s">
        <v>2382</v>
      </c>
      <c r="K529" s="431" t="s">
        <v>4557</v>
      </c>
      <c r="L529" s="431" t="s">
        <v>4558</v>
      </c>
      <c r="M529" s="431" t="s">
        <v>840</v>
      </c>
      <c r="N529" s="461" t="s">
        <v>68</v>
      </c>
      <c r="O529" s="431" t="s">
        <v>70</v>
      </c>
      <c r="P529" s="431" t="s">
        <v>1151</v>
      </c>
      <c r="Q529" s="431" t="s">
        <v>421</v>
      </c>
      <c r="R529" s="431" t="str">
        <f>_xlfn.XLOOKUP(PV_DATA[[#This Row],[New Ark SKU]],Table9[New Ark SKU],Table9[Connector],,0)</f>
        <v>EVO2A</v>
      </c>
      <c r="S529" s="442" t="str">
        <f>_xlfn.XLOOKUP(PV_DATA[[#This Row],[New Ark SKU]],Table9[New Ark SKU],Table9[Cable],,0)</f>
        <v>±1200mm</v>
      </c>
      <c r="T529" s="442">
        <v>505</v>
      </c>
      <c r="U529" s="1093">
        <f>864*3</f>
        <v>2592</v>
      </c>
      <c r="V529" s="448">
        <f>PV_DATA[[#This Row],[QUANTITY]]*PV_DATA[[#This Row],[WATT]]/1000000</f>
        <v>1.3089599999999999</v>
      </c>
      <c r="W529" s="466">
        <f>PV_DATA[[#This Row],[QUANTITY]]/PV_DATA[[#This Row],[Qty/Pallet]]</f>
        <v>72</v>
      </c>
      <c r="X529" s="1044">
        <f>PV_DATA[[#This Row],[QUANTITY]]/PV_DATA[[#This Row],[Qty/CT]]</f>
        <v>3</v>
      </c>
      <c r="Y529" s="431" t="s">
        <v>951</v>
      </c>
      <c r="Z529" s="430" t="str">
        <f t="shared" si="5"/>
        <v>COMPLETED</v>
      </c>
      <c r="AA529" s="474" t="s">
        <v>4552</v>
      </c>
      <c r="AB529" s="441">
        <v>46153</v>
      </c>
      <c r="AC529" s="467">
        <f>IF(PV_DATA[[#This Row],[Pick- Up Date]]&lt;&gt;"",_xlfn.ISOWEEKNUM(PV_DATA[[#This Row],[Pick- Up Date]]),"")</f>
        <v>20</v>
      </c>
      <c r="AD529" s="431" t="s">
        <v>4559</v>
      </c>
      <c r="AF529" s="431" t="s">
        <v>77</v>
      </c>
      <c r="AG529" s="431" t="s">
        <v>61</v>
      </c>
      <c r="AH529" s="431" t="s">
        <v>78</v>
      </c>
      <c r="AI529" s="441">
        <v>46164</v>
      </c>
      <c r="AJ529" s="441">
        <v>46164</v>
      </c>
      <c r="AK529" s="441">
        <v>46164</v>
      </c>
      <c r="AL529" s="441">
        <v>46223</v>
      </c>
      <c r="AM529" s="441">
        <v>46235</v>
      </c>
      <c r="AN529" s="586">
        <f>IFERROR(IF(VLOOKUP(AT529,Vessel!A:I,9,FALSE)=0,"",VLOOKUP(AT529,Vessel!A:I,9,FALSE)),"")</f>
        <v>46236.239571759259</v>
      </c>
      <c r="AO529" s="431" t="s">
        <v>402</v>
      </c>
      <c r="AP529" s="431" t="s">
        <v>4534</v>
      </c>
      <c r="AQ529" s="431" t="s">
        <v>80</v>
      </c>
      <c r="AR529" s="431" t="s">
        <v>4554</v>
      </c>
      <c r="AS529" s="431" t="s">
        <v>4555</v>
      </c>
      <c r="AT529" s="482" t="s">
        <v>4555</v>
      </c>
      <c r="AU5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9" s="441"/>
      <c r="AW529" s="441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1">
        <f>IF(ISERROR(PV_DATA[[#This Row],[New Ark PO status]]),"",_xlfn.XLOOKUP(PV_DATA[[#This Row],[SPTN-PVHK New Ark PO'#]],New_Ark_Data[Purchase order Number],New_Ark_Data[Estimated time of arrival],"",0))</f>
        <v>46244</v>
      </c>
      <c r="AZ52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1">
        <f>IFERROR(PV_DATA[[#This Row],[ODP ETA Port]]+PV_DATA[[#This Row],[Customs/Leg3 Assumption]],"n/a")</f>
        <v>46236.239571759259</v>
      </c>
      <c r="BB529" s="442">
        <f>YEAR(PV_DATA[[#This Row],[ETA for New Ark update]])</f>
        <v>2026</v>
      </c>
      <c r="BC529" s="431">
        <f>MONTH(PV_DATA[[#This Row],[ETA for New Ark update]])</f>
        <v>8</v>
      </c>
      <c r="BD529" s="431">
        <f>IFERROR(_xlfn.ISOWEEKNUM(PV_DATA[[#This Row],[ETA for New Ark update]]),0)</f>
        <v>31</v>
      </c>
      <c r="BE529" s="431">
        <f>_xlfn.XLOOKUP(PV_DATA[[#This Row],[New Ark SKU]],Table9[New Ark SKU],Table9[Total PCS per Pallet],,0)</f>
        <v>36</v>
      </c>
      <c r="BF529" s="431">
        <f>_xlfn.XLOOKUP(PV_DATA[[#This Row],[New Ark SKU]],Table9[New Ark SKU],Table9[Total PCS per 40HQ Container],,0)</f>
        <v>864</v>
      </c>
      <c r="BG529" s="431" t="str">
        <f>_xlfn.XLOOKUP(PV_DATA[[#This Row],[New Ark SKU]],Table9[New Ark SKU],Table9[Back Glass],,0)</f>
        <v>Black glazing</v>
      </c>
      <c r="BH529" s="431" t="str">
        <f>_xlfn.XLOOKUP(PV_DATA[[#This Row],[PORT DESTINATION]],Table12[PORT DESTINATION],Table12[Cosco Line],,0)</f>
        <v>AEM</v>
      </c>
    </row>
    <row r="530" spans="1:60" s="477" customFormat="1" ht="10.5">
      <c r="A530" s="439" t="s">
        <v>4560</v>
      </c>
      <c r="B530" s="439" t="s">
        <v>2132</v>
      </c>
      <c r="C530" s="721" t="str">
        <f>IFERROR(LEFT(PV_DATA[[#This Row],[TCL REFERENCE]],FIND(".",PV_DATA[[#This Row],[TCL REFERENCE]],1)-1),"Main Line")</f>
        <v>26Apr008</v>
      </c>
      <c r="D530" s="721" t="s">
        <v>63</v>
      </c>
      <c r="E530" s="439" t="s">
        <v>64</v>
      </c>
      <c r="F530" s="462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21" t="s">
        <v>402</v>
      </c>
      <c r="H530" s="721" t="s">
        <v>115</v>
      </c>
      <c r="I530" s="721" t="s">
        <v>689</v>
      </c>
      <c r="J530" s="475" t="s">
        <v>96</v>
      </c>
      <c r="K530" s="475"/>
      <c r="L530" s="475"/>
      <c r="M530" s="475" t="s">
        <v>68</v>
      </c>
      <c r="N530" s="476">
        <v>46146</v>
      </c>
      <c r="O530" s="475" t="s">
        <v>170</v>
      </c>
      <c r="P530" s="431" t="s">
        <v>1977</v>
      </c>
      <c r="Q530" s="431" t="s">
        <v>1978</v>
      </c>
      <c r="R530" s="431" t="str">
        <f>_xlfn.XLOOKUP(PV_DATA[[#This Row],[New Ark SKU]],Table9[New Ark SKU],Table9[Connector],,0)</f>
        <v>EVO2A</v>
      </c>
      <c r="S530" s="442" t="str">
        <f>_xlfn.XLOOKUP(PV_DATA[[#This Row],[New Ark SKU]],Table9[New Ark SKU],Table9[Cable],,0)</f>
        <v>±1400mm</v>
      </c>
      <c r="T530" s="442">
        <v>560</v>
      </c>
      <c r="U530" s="1093">
        <f>660*2</f>
        <v>1320</v>
      </c>
      <c r="V530" s="448">
        <f>PV_DATA[[#This Row],[QUANTITY]]*PV_DATA[[#This Row],[WATT]]/1000000</f>
        <v>0.73919999999999997</v>
      </c>
      <c r="W530" s="466">
        <f>PV_DATA[[#This Row],[QUANTITY]]/PV_DATA[[#This Row],[Qty/Pallet]]</f>
        <v>40</v>
      </c>
      <c r="X530" s="1044">
        <f>PV_DATA[[#This Row],[QUANTITY]]/PV_DATA[[#This Row],[Qty/CT]]</f>
        <v>2</v>
      </c>
      <c r="Y530" s="431" t="s">
        <v>951</v>
      </c>
      <c r="Z530" s="430" t="str">
        <f t="shared" si="5"/>
        <v>COMPLETED</v>
      </c>
      <c r="AA530" s="431" t="s">
        <v>4561</v>
      </c>
      <c r="AB530" s="441">
        <v>46157</v>
      </c>
      <c r="AC530" s="467">
        <f>IF(PV_DATA[[#This Row],[Pick- Up Date]]&lt;&gt;"",_xlfn.ISOWEEKNUM(PV_DATA[[#This Row],[Pick- Up Date]]),"")</f>
        <v>20</v>
      </c>
      <c r="AD530" s="431" t="s">
        <v>4562</v>
      </c>
      <c r="AE530" s="475"/>
      <c r="AF530" s="431" t="s">
        <v>77</v>
      </c>
      <c r="AG530" s="431" t="s">
        <v>61</v>
      </c>
      <c r="AH530" s="431" t="s">
        <v>124</v>
      </c>
      <c r="AI530" s="441">
        <v>46164</v>
      </c>
      <c r="AJ530" s="441">
        <v>46164</v>
      </c>
      <c r="AK530" s="441">
        <v>46164</v>
      </c>
      <c r="AL530" s="441">
        <v>46218</v>
      </c>
      <c r="AM530" s="441">
        <v>46220</v>
      </c>
      <c r="AN530" s="441">
        <v>46221</v>
      </c>
      <c r="AO530" s="431" t="s">
        <v>402</v>
      </c>
      <c r="AP530" s="431" t="s">
        <v>4534</v>
      </c>
      <c r="AQ530" s="431" t="s">
        <v>80</v>
      </c>
      <c r="AR530" s="431" t="s">
        <v>4563</v>
      </c>
      <c r="AS530" s="431" t="s">
        <v>4564</v>
      </c>
      <c r="AT530" s="482" t="s">
        <v>4564</v>
      </c>
      <c r="AU5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1"/>
      <c r="AW530" s="441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1">
        <f>IF(ISERROR(PV_DATA[[#This Row],[New Ark PO status]]),"",_xlfn.XLOOKUP(PV_DATA[[#This Row],[SPTN-PVHK New Ark PO'#]],New_Ark_Data[Purchase order Number],New_Ark_Data[Estimated time of arrival],"",0))</f>
        <v>46234</v>
      </c>
      <c r="AZ530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1">
        <f>IFERROR(PV_DATA[[#This Row],[ODP ETA Port]]+PV_DATA[[#This Row],[Customs/Leg3 Assumption]],"n/a")</f>
        <v>46230</v>
      </c>
      <c r="BB530" s="442">
        <f>YEAR(PV_DATA[[#This Row],[ETA for New Ark update]])</f>
        <v>2026</v>
      </c>
      <c r="BC530" s="431">
        <f>MONTH(PV_DATA[[#This Row],[ETA for New Ark update]])</f>
        <v>7</v>
      </c>
      <c r="BD530" s="431">
        <f>IFERROR(_xlfn.ISOWEEKNUM(PV_DATA[[#This Row],[ETA for New Ark update]]),0)</f>
        <v>31</v>
      </c>
      <c r="BE530" s="431">
        <f>_xlfn.XLOOKUP(PV_DATA[[#This Row],[New Ark SKU]],Table9[New Ark SKU],Table9[Total PCS per Pallet],,0)</f>
        <v>33</v>
      </c>
      <c r="BF530" s="431">
        <f>_xlfn.XLOOKUP(PV_DATA[[#This Row],[New Ark SKU]],Table9[New Ark SKU],Table9[Total PCS per 40HQ Container],,0)</f>
        <v>660</v>
      </c>
      <c r="BG530" s="431" t="str">
        <f>_xlfn.XLOOKUP(PV_DATA[[#This Row],[New Ark SKU]],Table9[New Ark SKU],Table9[Back Glass],,0)</f>
        <v>White glazing</v>
      </c>
      <c r="BH530" s="431" t="str">
        <f>_xlfn.XLOOKUP(PV_DATA[[#This Row],[PORT DESTINATION]],Table12[PORT DESTINATION],Table12[Cosco Line],,0)</f>
        <v>AEM</v>
      </c>
    </row>
    <row r="531" spans="1:60" s="477" customFormat="1" ht="10.5">
      <c r="A531" s="439" t="s">
        <v>4565</v>
      </c>
      <c r="B531" s="439" t="s">
        <v>2132</v>
      </c>
      <c r="C531" s="721" t="str">
        <f>IFERROR(LEFT(PV_DATA[[#This Row],[TCL REFERENCE]],FIND(".",PV_DATA[[#This Row],[TCL REFERENCE]],1)-1),"Main Line")</f>
        <v>26Apr008</v>
      </c>
      <c r="D531" s="721" t="s">
        <v>63</v>
      </c>
      <c r="E531" s="439" t="s">
        <v>64</v>
      </c>
      <c r="F531" s="462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21" t="s">
        <v>402</v>
      </c>
      <c r="H531" s="721" t="s">
        <v>115</v>
      </c>
      <c r="I531" s="721" t="s">
        <v>689</v>
      </c>
      <c r="J531" s="475" t="s">
        <v>96</v>
      </c>
      <c r="K531" s="475"/>
      <c r="L531" s="475"/>
      <c r="M531" s="475" t="s">
        <v>68</v>
      </c>
      <c r="N531" s="476">
        <v>46146</v>
      </c>
      <c r="O531" s="475" t="s">
        <v>170</v>
      </c>
      <c r="P531" s="431" t="s">
        <v>1977</v>
      </c>
      <c r="Q531" s="431" t="s">
        <v>1978</v>
      </c>
      <c r="R531" s="431" t="str">
        <f>_xlfn.XLOOKUP(PV_DATA[[#This Row],[New Ark SKU]],Table9[New Ark SKU],Table9[Connector],,0)</f>
        <v>EVO2A</v>
      </c>
      <c r="S531" s="442" t="str">
        <f>_xlfn.XLOOKUP(PV_DATA[[#This Row],[New Ark SKU]],Table9[New Ark SKU],Table9[Cable],,0)</f>
        <v>±1400mm</v>
      </c>
      <c r="T531" s="442">
        <v>560</v>
      </c>
      <c r="U531" s="1093">
        <f>660*1</f>
        <v>660</v>
      </c>
      <c r="V531" s="448">
        <f>PV_DATA[[#This Row],[QUANTITY]]*PV_DATA[[#This Row],[WATT]]/1000000</f>
        <v>0.36959999999999998</v>
      </c>
      <c r="W531" s="466">
        <f>PV_DATA[[#This Row],[QUANTITY]]/PV_DATA[[#This Row],[Qty/Pallet]]</f>
        <v>20</v>
      </c>
      <c r="X531" s="1044">
        <f>PV_DATA[[#This Row],[QUANTITY]]/PV_DATA[[#This Row],[Qty/CT]]</f>
        <v>1</v>
      </c>
      <c r="Y531" s="431" t="s">
        <v>951</v>
      </c>
      <c r="Z531" s="430" t="str">
        <f t="shared" si="5"/>
        <v>COMPLETED</v>
      </c>
      <c r="AA531" s="431" t="s">
        <v>4561</v>
      </c>
      <c r="AB531" s="441">
        <v>46157</v>
      </c>
      <c r="AC531" s="467">
        <f>IF(PV_DATA[[#This Row],[Pick- Up Date]]&lt;&gt;"",_xlfn.ISOWEEKNUM(PV_DATA[[#This Row],[Pick- Up Date]]),"")</f>
        <v>20</v>
      </c>
      <c r="AD531" s="431" t="s">
        <v>4566</v>
      </c>
      <c r="AE531" s="475"/>
      <c r="AF531" s="431" t="s">
        <v>77</v>
      </c>
      <c r="AG531" s="431" t="s">
        <v>61</v>
      </c>
      <c r="AH531" s="431" t="s">
        <v>124</v>
      </c>
      <c r="AI531" s="441">
        <v>46164</v>
      </c>
      <c r="AJ531" s="441">
        <v>46164</v>
      </c>
      <c r="AK531" s="441">
        <v>46164</v>
      </c>
      <c r="AL531" s="441">
        <v>46219</v>
      </c>
      <c r="AM531" s="441"/>
      <c r="AN531" s="441">
        <v>46219</v>
      </c>
      <c r="AO531" s="431" t="s">
        <v>402</v>
      </c>
      <c r="AP531" s="431" t="s">
        <v>4534</v>
      </c>
      <c r="AQ531" s="431" t="s">
        <v>80</v>
      </c>
      <c r="AR531" s="431" t="s">
        <v>4567</v>
      </c>
      <c r="AS531" s="431" t="s">
        <v>4568</v>
      </c>
      <c r="AT531" s="482" t="s">
        <v>4568</v>
      </c>
      <c r="AU5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1"/>
      <c r="AW531" s="441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1">
        <f>IF(ISERROR(PV_DATA[[#This Row],[New Ark PO status]]),"",_xlfn.XLOOKUP(PV_DATA[[#This Row],[SPTN-PVHK New Ark PO'#]],New_Ark_Data[Purchase order Number],New_Ark_Data[Estimated time of arrival],"",0))</f>
        <v>46233</v>
      </c>
      <c r="AZ531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1">
        <f>IFERROR(PV_DATA[[#This Row],[ODP ETA Port]]+PV_DATA[[#This Row],[Customs/Leg3 Assumption]],"n/a")</f>
        <v>46228</v>
      </c>
      <c r="BB531" s="442">
        <f>YEAR(PV_DATA[[#This Row],[ETA for New Ark update]])</f>
        <v>2026</v>
      </c>
      <c r="BC531" s="431">
        <f>MONTH(PV_DATA[[#This Row],[ETA for New Ark update]])</f>
        <v>7</v>
      </c>
      <c r="BD531" s="431">
        <f>IFERROR(_xlfn.ISOWEEKNUM(PV_DATA[[#This Row],[ETA for New Ark update]]),0)</f>
        <v>30</v>
      </c>
      <c r="BE531" s="431">
        <f>_xlfn.XLOOKUP(PV_DATA[[#This Row],[New Ark SKU]],Table9[New Ark SKU],Table9[Total PCS per Pallet],,0)</f>
        <v>33</v>
      </c>
      <c r="BF531" s="431">
        <f>_xlfn.XLOOKUP(PV_DATA[[#This Row],[New Ark SKU]],Table9[New Ark SKU],Table9[Total PCS per 40HQ Container],,0)</f>
        <v>660</v>
      </c>
      <c r="BG531" s="431" t="str">
        <f>_xlfn.XLOOKUP(PV_DATA[[#This Row],[New Ark SKU]],Table9[New Ark SKU],Table9[Back Glass],,0)</f>
        <v>White glazing</v>
      </c>
      <c r="BH531" s="431" t="str">
        <f>_xlfn.XLOOKUP(PV_DATA[[#This Row],[PORT DESTINATION]],Table12[PORT DESTINATION],Table12[Cosco Line],,0)</f>
        <v>AEM</v>
      </c>
    </row>
    <row r="532" spans="1:60" s="431" customFormat="1" ht="10.5">
      <c r="A532" s="439" t="s">
        <v>4569</v>
      </c>
      <c r="B532" s="439" t="s">
        <v>111</v>
      </c>
      <c r="C532" s="439" t="str">
        <f>IFERROR(LEFT(PV_DATA[[#This Row],[TCL REFERENCE]],FIND(".",PV_DATA[[#This Row],[TCL REFERENCE]],1)-1),"Main Line")</f>
        <v>26Apr002</v>
      </c>
      <c r="D532" s="439" t="s">
        <v>113</v>
      </c>
      <c r="E532" s="439" t="s">
        <v>64</v>
      </c>
      <c r="F532" s="439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39" t="s">
        <v>402</v>
      </c>
      <c r="H532" s="439" t="s">
        <v>451</v>
      </c>
      <c r="I532" s="439" t="s">
        <v>822</v>
      </c>
      <c r="J532" s="431" t="s">
        <v>2298</v>
      </c>
      <c r="M532" s="431" t="s">
        <v>68</v>
      </c>
      <c r="N532" s="461">
        <v>46132</v>
      </c>
      <c r="O532" s="431" t="s">
        <v>70</v>
      </c>
      <c r="P532" s="431" t="s">
        <v>2299</v>
      </c>
      <c r="Q532" s="431" t="s">
        <v>1682</v>
      </c>
      <c r="R532" s="431" t="str">
        <f>_xlfn.XLOOKUP(PV_DATA[[#This Row],[New Ark SKU]],Table9[New Ark SKU],Table9[Connector],,0)</f>
        <v>EVO2A</v>
      </c>
      <c r="S532" s="442" t="str">
        <f>_xlfn.XLOOKUP(PV_DATA[[#This Row],[New Ark SKU]],Table9[New Ark SKU],Table9[Cable],,0)</f>
        <v>+400mm/-200mm</v>
      </c>
      <c r="T532" s="442">
        <v>730</v>
      </c>
      <c r="U532" s="1093">
        <f>594*0.5</f>
        <v>297</v>
      </c>
      <c r="V532" s="448">
        <f>PV_DATA[[#This Row],[QUANTITY]]*PV_DATA[[#This Row],[WATT]]/1000000</f>
        <v>0.21681</v>
      </c>
      <c r="W532" s="466">
        <f>PV_DATA[[#This Row],[QUANTITY]]/PV_DATA[[#This Row],[Qty/Pallet]]</f>
        <v>9</v>
      </c>
      <c r="X532" s="1044">
        <f>PV_DATA[[#This Row],[QUANTITY]]/PV_DATA[[#This Row],[Qty/CT]]</f>
        <v>0.5</v>
      </c>
      <c r="Y532" s="431" t="s">
        <v>951</v>
      </c>
      <c r="Z532" s="430" t="str">
        <f t="shared" si="5"/>
        <v>COMPLETED</v>
      </c>
      <c r="AA532" s="474" t="s">
        <v>4450</v>
      </c>
      <c r="AB532" s="441">
        <v>46158</v>
      </c>
      <c r="AC532" s="445">
        <f>IF(PV_DATA[[#This Row],[Pick- Up Date]]&lt;&gt;"",_xlfn.ISOWEEKNUM(PV_DATA[[#This Row],[Pick- Up Date]]),"")</f>
        <v>20</v>
      </c>
      <c r="AD532" s="431" t="s">
        <v>4570</v>
      </c>
      <c r="AF532" s="431" t="s">
        <v>122</v>
      </c>
      <c r="AG532" s="431" t="s">
        <v>123</v>
      </c>
      <c r="AH532" s="431" t="s">
        <v>2301</v>
      </c>
      <c r="AI532" s="441">
        <v>46162</v>
      </c>
      <c r="AJ532" s="441">
        <v>46161</v>
      </c>
      <c r="AK532" s="441">
        <v>46161</v>
      </c>
      <c r="AL532" s="441">
        <v>46212</v>
      </c>
      <c r="AM532" s="441">
        <v>46235</v>
      </c>
      <c r="AN532" s="441">
        <v>46235</v>
      </c>
      <c r="AO532" s="431" t="s">
        <v>402</v>
      </c>
      <c r="AP532" s="431" t="s">
        <v>4571</v>
      </c>
      <c r="AQ532" s="431" t="s">
        <v>161</v>
      </c>
      <c r="AR532" s="431" t="s">
        <v>4572</v>
      </c>
      <c r="AS532" s="431" t="s">
        <v>4573</v>
      </c>
      <c r="AT532" s="482" t="s">
        <v>4574</v>
      </c>
      <c r="AU5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1"/>
      <c r="AW532" s="441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1">
        <f>IF(ISERROR(PV_DATA[[#This Row],[New Ark PO status]]),"",_xlfn.XLOOKUP(PV_DATA[[#This Row],[SPTN-PVHK New Ark PO'#]],New_Ark_Data[Purchase order Number],New_Ark_Data[Estimated time of arrival],"",0))</f>
        <v>46248</v>
      </c>
      <c r="AZ5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1">
        <f>IFERROR(PV_DATA[[#This Row],[ODP ETA Port]]+PV_DATA[[#This Row],[Customs/Leg3 Assumption]],"n/a")</f>
        <v>46242</v>
      </c>
      <c r="BB532" s="442">
        <f>YEAR(PV_DATA[[#This Row],[ETA for New Ark update]])</f>
        <v>2026</v>
      </c>
      <c r="BC532" s="431">
        <f>MONTH(PV_DATA[[#This Row],[ETA for New Ark update]])</f>
        <v>8</v>
      </c>
      <c r="BD532" s="431">
        <f>IFERROR(_xlfn.ISOWEEKNUM(PV_DATA[[#This Row],[ETA for New Ark update]]),0)</f>
        <v>32</v>
      </c>
      <c r="BE532" s="431">
        <f>_xlfn.XLOOKUP(PV_DATA[[#This Row],[New Ark SKU]],Table9[New Ark SKU],Table9[Total PCS per Pallet],,0)</f>
        <v>33</v>
      </c>
      <c r="BF532" s="431">
        <f>_xlfn.XLOOKUP(PV_DATA[[#This Row],[New Ark SKU]],Table9[New Ark SKU],Table9[Total PCS per 40HQ Container],,0)</f>
        <v>594</v>
      </c>
      <c r="BG532" s="431" t="str">
        <f>_xlfn.XLOOKUP(PV_DATA[[#This Row],[New Ark SKU]],Table9[New Ark SKU],Table9[Back Glass],,0)</f>
        <v>Transparent</v>
      </c>
      <c r="BH532" s="431" t="str">
        <f>_xlfn.XLOOKUP(PV_DATA[[#This Row],[PORT DESTINATION]],Table12[PORT DESTINATION],Table12[Cosco Line],,0)</f>
        <v>AEU</v>
      </c>
    </row>
    <row r="533" spans="1:60" s="431" customFormat="1" ht="15.75" customHeight="1">
      <c r="A533" s="439" t="s">
        <v>4575</v>
      </c>
      <c r="B533" s="439" t="s">
        <v>111</v>
      </c>
      <c r="C533" s="439" t="str">
        <f>IFERROR(LEFT(PV_DATA[[#This Row],[TCL REFERENCE]],FIND(".",PV_DATA[[#This Row],[TCL REFERENCE]],1)-1),"Main Line")</f>
        <v>26Apr001</v>
      </c>
      <c r="D533" s="439" t="s">
        <v>113</v>
      </c>
      <c r="E533" s="439" t="s">
        <v>64</v>
      </c>
      <c r="F533" s="439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39" t="s">
        <v>402</v>
      </c>
      <c r="H533" s="439" t="s">
        <v>451</v>
      </c>
      <c r="I533" s="439" t="s">
        <v>822</v>
      </c>
      <c r="J533" s="431" t="s">
        <v>2298</v>
      </c>
      <c r="M533" s="431" t="s">
        <v>68</v>
      </c>
      <c r="N533" s="461">
        <v>46132</v>
      </c>
      <c r="O533" s="431" t="s">
        <v>70</v>
      </c>
      <c r="P533" s="431" t="s">
        <v>2308</v>
      </c>
      <c r="Q533" s="431" t="s">
        <v>1484</v>
      </c>
      <c r="R533" s="431" t="str">
        <f>_xlfn.XLOOKUP(PV_DATA[[#This Row],[New Ark SKU]],Table9[New Ark SKU],Table9[Connector],,0)</f>
        <v>EVO2A</v>
      </c>
      <c r="S533" s="442" t="str">
        <f>_xlfn.XLOOKUP(PV_DATA[[#This Row],[New Ark SKU]],Table9[New Ark SKU],Table9[Cable],,0)</f>
        <v>+400mm/-200mm</v>
      </c>
      <c r="T533" s="442">
        <v>725</v>
      </c>
      <c r="U533" s="1093">
        <f>594*6.5</f>
        <v>3861</v>
      </c>
      <c r="V533" s="448">
        <f>PV_DATA[[#This Row],[QUANTITY]]*PV_DATA[[#This Row],[WATT]]/1000000</f>
        <v>2.7992249999999999</v>
      </c>
      <c r="W533" s="466">
        <f>PV_DATA[[#This Row],[QUANTITY]]/PV_DATA[[#This Row],[Qty/Pallet]]</f>
        <v>117</v>
      </c>
      <c r="X533" s="1044">
        <f>PV_DATA[[#This Row],[QUANTITY]]/PV_DATA[[#This Row],[Qty/CT]]</f>
        <v>6.5</v>
      </c>
      <c r="Y533" s="431" t="s">
        <v>951</v>
      </c>
      <c r="Z533" s="430" t="str">
        <f t="shared" si="5"/>
        <v>COMPLETED</v>
      </c>
      <c r="AA533" s="474" t="s">
        <v>4450</v>
      </c>
      <c r="AB533" s="441">
        <v>46158</v>
      </c>
      <c r="AC533" s="445">
        <f>IF(PV_DATA[[#This Row],[Pick- Up Date]]&lt;&gt;"",_xlfn.ISOWEEKNUM(PV_DATA[[#This Row],[Pick- Up Date]]),"")</f>
        <v>20</v>
      </c>
      <c r="AD533" s="431" t="s">
        <v>4576</v>
      </c>
      <c r="AF533" s="431" t="s">
        <v>122</v>
      </c>
      <c r="AG533" s="431" t="s">
        <v>123</v>
      </c>
      <c r="AH533" s="431" t="s">
        <v>2301</v>
      </c>
      <c r="AI533" s="441">
        <v>46162</v>
      </c>
      <c r="AJ533" s="441">
        <v>46161</v>
      </c>
      <c r="AK533" s="441">
        <v>46161</v>
      </c>
      <c r="AL533" s="441">
        <v>46212</v>
      </c>
      <c r="AM533" s="441">
        <v>46235</v>
      </c>
      <c r="AN533" s="441">
        <v>46235</v>
      </c>
      <c r="AO533" s="431" t="s">
        <v>402</v>
      </c>
      <c r="AP533" s="431" t="s">
        <v>4571</v>
      </c>
      <c r="AQ533" s="431" t="s">
        <v>161</v>
      </c>
      <c r="AR533" s="431" t="s">
        <v>4572</v>
      </c>
      <c r="AS533" s="431" t="s">
        <v>4573</v>
      </c>
      <c r="AT533" s="482" t="s">
        <v>4574</v>
      </c>
      <c r="AU5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1"/>
      <c r="AW533" s="441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1">
        <f>IF(ISERROR(PV_DATA[[#This Row],[New Ark PO status]]),"",_xlfn.XLOOKUP(PV_DATA[[#This Row],[SPTN-PVHK New Ark PO'#]],New_Ark_Data[Purchase order Number],New_Ark_Data[Estimated time of arrival],"",0))</f>
        <v>46248</v>
      </c>
      <c r="AZ5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1">
        <f>IFERROR(PV_DATA[[#This Row],[ODP ETA Port]]+PV_DATA[[#This Row],[Customs/Leg3 Assumption]],"n/a")</f>
        <v>46242</v>
      </c>
      <c r="BB533" s="442">
        <f>YEAR(PV_DATA[[#This Row],[ETA for New Ark update]])</f>
        <v>2026</v>
      </c>
      <c r="BC533" s="431">
        <f>MONTH(PV_DATA[[#This Row],[ETA for New Ark update]])</f>
        <v>8</v>
      </c>
      <c r="BD533" s="431">
        <f>IFERROR(_xlfn.ISOWEEKNUM(PV_DATA[[#This Row],[ETA for New Ark update]]),0)</f>
        <v>32</v>
      </c>
      <c r="BE533" s="431">
        <f>_xlfn.XLOOKUP(PV_DATA[[#This Row],[New Ark SKU]],Table9[New Ark SKU],Table9[Total PCS per Pallet],,0)</f>
        <v>33</v>
      </c>
      <c r="BF533" s="431">
        <f>_xlfn.XLOOKUP(PV_DATA[[#This Row],[New Ark SKU]],Table9[New Ark SKU],Table9[Total PCS per 40HQ Container],,0)</f>
        <v>594</v>
      </c>
      <c r="BG533" s="431" t="str">
        <f>_xlfn.XLOOKUP(PV_DATA[[#This Row],[New Ark SKU]],Table9[New Ark SKU],Table9[Back Glass],,0)</f>
        <v>Transparent</v>
      </c>
      <c r="BH533" s="431" t="str">
        <f>_xlfn.XLOOKUP(PV_DATA[[#This Row],[PORT DESTINATION]],Table12[PORT DESTINATION],Table12[Cosco Line],,0)</f>
        <v>AEU</v>
      </c>
    </row>
    <row r="534" spans="1:60" s="431" customFormat="1" ht="16.5" customHeight="1">
      <c r="A534" s="439" t="s">
        <v>4577</v>
      </c>
      <c r="B534" s="439" t="s">
        <v>111</v>
      </c>
      <c r="C534" s="439" t="str">
        <f>IFERROR(LEFT(PV_DATA[[#This Row],[TCL REFERENCE]],FIND(".",PV_DATA[[#This Row],[TCL REFERENCE]],1)-1),"Main Line")</f>
        <v>26May006</v>
      </c>
      <c r="D534" s="439" t="s">
        <v>63</v>
      </c>
      <c r="E534" s="439" t="s">
        <v>64</v>
      </c>
      <c r="F534" s="439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39" t="s">
        <v>402</v>
      </c>
      <c r="H534" s="439" t="s">
        <v>451</v>
      </c>
      <c r="I534" s="439" t="s">
        <v>2004</v>
      </c>
      <c r="J534" s="431" t="s">
        <v>4578</v>
      </c>
      <c r="M534" s="431" t="s">
        <v>68</v>
      </c>
      <c r="N534" s="461">
        <v>46160</v>
      </c>
      <c r="O534" s="431" t="s">
        <v>132</v>
      </c>
      <c r="P534" s="431" t="s">
        <v>1062</v>
      </c>
      <c r="Q534" s="431" t="s">
        <v>1063</v>
      </c>
      <c r="R534" s="431" t="str">
        <f>_xlfn.XLOOKUP(PV_DATA[[#This Row],[New Ark SKU]],Table9[New Ark SKU],Table9[Connector],,0)</f>
        <v>EVO2A</v>
      </c>
      <c r="S534" s="442" t="str">
        <f>_xlfn.XLOOKUP(PV_DATA[[#This Row],[New Ark SKU]],Table9[New Ark SKU],Table9[Cable],,0)</f>
        <v>±1200mm</v>
      </c>
      <c r="T534" s="442">
        <v>470</v>
      </c>
      <c r="U534" s="1093">
        <f>864*3</f>
        <v>2592</v>
      </c>
      <c r="V534" s="448">
        <f>PV_DATA[[#This Row],[QUANTITY]]*PV_DATA[[#This Row],[WATT]]/1000000</f>
        <v>1.21824</v>
      </c>
      <c r="W534" s="466">
        <f>PV_DATA[[#This Row],[QUANTITY]]/PV_DATA[[#This Row],[Qty/Pallet]]</f>
        <v>72</v>
      </c>
      <c r="X534" s="1044">
        <f>PV_DATA[[#This Row],[QUANTITY]]/PV_DATA[[#This Row],[Qty/CT]]</f>
        <v>3</v>
      </c>
      <c r="Y534" s="431" t="s">
        <v>951</v>
      </c>
      <c r="Z534" s="430" t="str">
        <f t="shared" si="5"/>
        <v>COMPLETED</v>
      </c>
      <c r="AA534" s="478" t="s">
        <v>4579</v>
      </c>
      <c r="AB534" s="441">
        <v>46162</v>
      </c>
      <c r="AC534" s="467">
        <f>IF(PV_DATA[[#This Row],[Pick- Up Date]]&lt;&gt;"",_xlfn.ISOWEEKNUM(PV_DATA[[#This Row],[Pick- Up Date]]),"")</f>
        <v>21</v>
      </c>
      <c r="AD534" s="431" t="s">
        <v>4580</v>
      </c>
      <c r="AF534" s="431" t="s">
        <v>123</v>
      </c>
      <c r="AG534" s="431" t="s">
        <v>123</v>
      </c>
      <c r="AH534" s="431" t="s">
        <v>456</v>
      </c>
      <c r="AI534" s="441">
        <v>46168</v>
      </c>
      <c r="AJ534" s="441">
        <v>46168</v>
      </c>
      <c r="AK534" s="441">
        <v>46168</v>
      </c>
      <c r="AL534" s="441">
        <v>46208</v>
      </c>
      <c r="AM534" s="441"/>
      <c r="AN534" s="441">
        <v>46208</v>
      </c>
      <c r="AO534" s="431" t="s">
        <v>402</v>
      </c>
      <c r="AP534" s="431" t="s">
        <v>4581</v>
      </c>
      <c r="AQ534" s="431" t="s">
        <v>80</v>
      </c>
      <c r="AR534" s="431" t="s">
        <v>4582</v>
      </c>
      <c r="AS534" s="431" t="s">
        <v>4583</v>
      </c>
      <c r="AT534" s="482" t="s">
        <v>4583</v>
      </c>
      <c r="AU5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1"/>
      <c r="AW534" s="441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1">
        <f>IF(ISERROR(PV_DATA[[#This Row],[New Ark PO status]]),"",_xlfn.XLOOKUP(PV_DATA[[#This Row],[SPTN-PVHK New Ark PO'#]],New_Ark_Data[Purchase order Number],New_Ark_Data[Estimated time of arrival],"",0))</f>
        <v>46223</v>
      </c>
      <c r="AZ5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1">
        <f>IFERROR(PV_DATA[[#This Row],[ODP ETA Port]]+PV_DATA[[#This Row],[Customs/Leg3 Assumption]],"n/a")</f>
        <v>46215</v>
      </c>
      <c r="BB534" s="442">
        <f>YEAR(PV_DATA[[#This Row],[ETA for New Ark update]])</f>
        <v>2026</v>
      </c>
      <c r="BC534" s="431">
        <f>MONTH(PV_DATA[[#This Row],[ETA for New Ark update]])</f>
        <v>7</v>
      </c>
      <c r="BD534" s="431">
        <f>IFERROR(_xlfn.ISOWEEKNUM(PV_DATA[[#This Row],[ETA for New Ark update]]),0)</f>
        <v>28</v>
      </c>
      <c r="BE534" s="431">
        <f>_xlfn.XLOOKUP(PV_DATA[[#This Row],[New Ark SKU]],Table9[New Ark SKU],Table9[Total PCS per Pallet],,0)</f>
        <v>36</v>
      </c>
      <c r="BF534" s="431">
        <f>_xlfn.XLOOKUP(PV_DATA[[#This Row],[New Ark SKU]],Table9[New Ark SKU],Table9[Total PCS per 40HQ Container],,0)</f>
        <v>864</v>
      </c>
      <c r="BG534" s="431" t="str">
        <f>_xlfn.XLOOKUP(PV_DATA[[#This Row],[New Ark SKU]],Table9[New Ark SKU],Table9[Back Glass],,0)</f>
        <v>White glazing</v>
      </c>
      <c r="BH534" s="431" t="str">
        <f>_xlfn.XLOOKUP(PV_DATA[[#This Row],[PORT DESTINATION]],Table12[PORT DESTINATION],Table12[Cosco Line],,0)</f>
        <v>AEU</v>
      </c>
    </row>
    <row r="535" spans="1:60" s="431" customFormat="1" ht="10.5">
      <c r="A535" s="439" t="s">
        <v>4584</v>
      </c>
      <c r="B535" s="439" t="s">
        <v>111</v>
      </c>
      <c r="C535" s="439" t="str">
        <f>IFERROR(LEFT(PV_DATA[[#This Row],[TCL REFERENCE]],FIND(".",PV_DATA[[#This Row],[TCL REFERENCE]],1)-1),"Main Line")</f>
        <v>26May006</v>
      </c>
      <c r="D535" s="439" t="s">
        <v>63</v>
      </c>
      <c r="E535" s="439" t="s">
        <v>64</v>
      </c>
      <c r="F535" s="439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39" t="s">
        <v>402</v>
      </c>
      <c r="H535" s="439" t="s">
        <v>67</v>
      </c>
      <c r="I535" s="439" t="s">
        <v>689</v>
      </c>
      <c r="J535" s="431" t="s">
        <v>96</v>
      </c>
      <c r="M535" s="431" t="s">
        <v>68</v>
      </c>
      <c r="N535" s="461">
        <v>46160</v>
      </c>
      <c r="O535" s="431" t="s">
        <v>132</v>
      </c>
      <c r="P535" s="431" t="s">
        <v>1062</v>
      </c>
      <c r="Q535" s="431" t="s">
        <v>1063</v>
      </c>
      <c r="R535" s="431" t="str">
        <f>_xlfn.XLOOKUP(PV_DATA[[#This Row],[New Ark SKU]],Table9[New Ark SKU],Table9[Connector],,0)</f>
        <v>EVO2A</v>
      </c>
      <c r="S535" s="442" t="str">
        <f>_xlfn.XLOOKUP(PV_DATA[[#This Row],[New Ark SKU]],Table9[New Ark SKU],Table9[Cable],,0)</f>
        <v>±1200mm</v>
      </c>
      <c r="T535" s="442">
        <v>470</v>
      </c>
      <c r="U535" s="1093">
        <f>864*4</f>
        <v>3456</v>
      </c>
      <c r="V535" s="448">
        <f>PV_DATA[[#This Row],[QUANTITY]]*PV_DATA[[#This Row],[WATT]]/1000000</f>
        <v>1.62432</v>
      </c>
      <c r="W535" s="466">
        <f>PV_DATA[[#This Row],[QUANTITY]]/PV_DATA[[#This Row],[Qty/Pallet]]</f>
        <v>96</v>
      </c>
      <c r="X535" s="1044">
        <f>PV_DATA[[#This Row],[QUANTITY]]/PV_DATA[[#This Row],[Qty/CT]]</f>
        <v>4</v>
      </c>
      <c r="Y535" s="431" t="s">
        <v>951</v>
      </c>
      <c r="Z535" s="430" t="str">
        <f t="shared" si="5"/>
        <v>COMPLETED</v>
      </c>
      <c r="AA535" s="478" t="s">
        <v>4579</v>
      </c>
      <c r="AB535" s="441">
        <v>46162</v>
      </c>
      <c r="AC535" s="467">
        <f>IF(PV_DATA[[#This Row],[Pick- Up Date]]&lt;&gt;"",_xlfn.ISOWEEKNUM(PV_DATA[[#This Row],[Pick- Up Date]]),"")</f>
        <v>21</v>
      </c>
      <c r="AD535" s="431" t="s">
        <v>4585</v>
      </c>
      <c r="AF535" s="431" t="s">
        <v>123</v>
      </c>
      <c r="AG535" s="431" t="s">
        <v>123</v>
      </c>
      <c r="AH535" s="431" t="s">
        <v>105</v>
      </c>
      <c r="AI535" s="441">
        <v>46170</v>
      </c>
      <c r="AJ535" s="441">
        <v>46173</v>
      </c>
      <c r="AK535" s="441">
        <v>46173</v>
      </c>
      <c r="AL535" s="441">
        <v>46203</v>
      </c>
      <c r="AM535" s="441">
        <v>46211</v>
      </c>
      <c r="AN535" s="441">
        <v>46211</v>
      </c>
      <c r="AO535" s="431" t="s">
        <v>402</v>
      </c>
      <c r="AP535" s="431" t="s">
        <v>4534</v>
      </c>
      <c r="AQ535" s="431" t="s">
        <v>80</v>
      </c>
      <c r="AR535" s="431" t="s">
        <v>4586</v>
      </c>
      <c r="AS535" s="431" t="s">
        <v>4587</v>
      </c>
      <c r="AT535" s="482" t="s">
        <v>4587</v>
      </c>
      <c r="AU5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1"/>
      <c r="AW535" s="441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1">
        <f>IF(ISERROR(PV_DATA[[#This Row],[New Ark PO status]]),"",_xlfn.XLOOKUP(PV_DATA[[#This Row],[SPTN-PVHK New Ark PO'#]],New_Ark_Data[Purchase order Number],New_Ark_Data[Estimated time of arrival],"",0))</f>
        <v>46225</v>
      </c>
      <c r="AZ5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1">
        <f>IFERROR(PV_DATA[[#This Row],[ODP ETA Port]]+PV_DATA[[#This Row],[Customs/Leg3 Assumption]],"n/a")</f>
        <v>46218</v>
      </c>
      <c r="BB535" s="442">
        <f>YEAR(PV_DATA[[#This Row],[ETA for New Ark update]])</f>
        <v>2026</v>
      </c>
      <c r="BC535" s="431">
        <f>MONTH(PV_DATA[[#This Row],[ETA for New Ark update]])</f>
        <v>7</v>
      </c>
      <c r="BD535" s="431">
        <f>IFERROR(_xlfn.ISOWEEKNUM(PV_DATA[[#This Row],[ETA for New Ark update]]),0)</f>
        <v>29</v>
      </c>
      <c r="BE535" s="431">
        <f>_xlfn.XLOOKUP(PV_DATA[[#This Row],[New Ark SKU]],Table9[New Ark SKU],Table9[Total PCS per Pallet],,0)</f>
        <v>36</v>
      </c>
      <c r="BF535" s="431">
        <f>_xlfn.XLOOKUP(PV_DATA[[#This Row],[New Ark SKU]],Table9[New Ark SKU],Table9[Total PCS per 40HQ Container],,0)</f>
        <v>864</v>
      </c>
      <c r="BG535" s="431" t="str">
        <f>_xlfn.XLOOKUP(PV_DATA[[#This Row],[New Ark SKU]],Table9[New Ark SKU],Table9[Back Glass],,0)</f>
        <v>White glazing</v>
      </c>
      <c r="BH535" s="431" t="str">
        <f>_xlfn.XLOOKUP(PV_DATA[[#This Row],[PORT DESTINATION]],Table12[PORT DESTINATION],Table12[Cosco Line],,0)</f>
        <v>AEU</v>
      </c>
    </row>
    <row r="536" spans="1:60" s="431" customFormat="1">
      <c r="A536" s="439" t="s">
        <v>4588</v>
      </c>
      <c r="B536" s="439" t="s">
        <v>111</v>
      </c>
      <c r="C536" s="439" t="str">
        <f>IFERROR(LEFT(PV_DATA[[#This Row],[TCL REFERENCE]],FIND(".",PV_DATA[[#This Row],[TCL REFERENCE]],1)-1),"Main Line")</f>
        <v>26May015</v>
      </c>
      <c r="D536" s="439" t="s">
        <v>63</v>
      </c>
      <c r="E536" s="439" t="s">
        <v>64</v>
      </c>
      <c r="F536" s="439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39" t="s">
        <v>402</v>
      </c>
      <c r="H536" s="439" t="s">
        <v>67</v>
      </c>
      <c r="I536" s="439" t="s">
        <v>2004</v>
      </c>
      <c r="J536" s="431" t="s">
        <v>96</v>
      </c>
      <c r="M536" s="431" t="s">
        <v>68</v>
      </c>
      <c r="N536" s="461" t="s">
        <v>68</v>
      </c>
      <c r="O536" s="431" t="s">
        <v>4486</v>
      </c>
      <c r="P536" s="431" t="s">
        <v>4487</v>
      </c>
      <c r="Q536" s="431" t="s">
        <v>4488</v>
      </c>
      <c r="R536" s="431" t="str">
        <f>_xlfn.XLOOKUP(PV_DATA[[#This Row],[New Ark SKU]],Table9[New Ark SKU],Table9[Connector],,0)</f>
        <v>EVO2A</v>
      </c>
      <c r="S536" s="442" t="str">
        <f>_xlfn.XLOOKUP(PV_DATA[[#This Row],[New Ark SKU]],Table9[New Ark SKU],Table9[Cable],,0)</f>
        <v>±1400mm</v>
      </c>
      <c r="T536" s="442">
        <v>640</v>
      </c>
      <c r="U536" s="1093">
        <v>1440</v>
      </c>
      <c r="V536" s="448">
        <f>PV_DATA[[#This Row],[QUANTITY]]*PV_DATA[[#This Row],[WATT]]/1000000</f>
        <v>0.92159999999999997</v>
      </c>
      <c r="W536" s="466">
        <f>PV_DATA[[#This Row],[QUANTITY]]/PV_DATA[[#This Row],[Qty/Pallet]]</f>
        <v>40</v>
      </c>
      <c r="X536" s="1044">
        <f>PV_DATA[[#This Row],[QUANTITY]]/PV_DATA[[#This Row],[Qty/CT]]</f>
        <v>2</v>
      </c>
      <c r="Y536" s="431" t="s">
        <v>951</v>
      </c>
      <c r="Z536" s="430" t="str">
        <f t="shared" si="5"/>
        <v>COMPLETED</v>
      </c>
      <c r="AB536" s="441">
        <v>46162</v>
      </c>
      <c r="AC536" s="467">
        <f>IF(PV_DATA[[#This Row],[Pick- Up Date]]&lt;&gt;"",_xlfn.ISOWEEKNUM(PV_DATA[[#This Row],[Pick- Up Date]]),"")</f>
        <v>21</v>
      </c>
      <c r="AD536" s="431" t="s">
        <v>4589</v>
      </c>
      <c r="AF536" s="431" t="s">
        <v>4423</v>
      </c>
      <c r="AG536" s="431" t="s">
        <v>123</v>
      </c>
      <c r="AH536" s="431" t="s">
        <v>105</v>
      </c>
      <c r="AI536" s="441">
        <v>46170</v>
      </c>
      <c r="AJ536" s="441">
        <v>46173</v>
      </c>
      <c r="AK536" s="441">
        <v>46173</v>
      </c>
      <c r="AL536" s="441">
        <v>46203</v>
      </c>
      <c r="AM536" s="441">
        <v>46211</v>
      </c>
      <c r="AN536" s="441">
        <v>46211</v>
      </c>
      <c r="AO536" s="431" t="s">
        <v>402</v>
      </c>
      <c r="AP536" s="431" t="s">
        <v>4534</v>
      </c>
      <c r="AQ536" s="431" t="s">
        <v>80</v>
      </c>
      <c r="AR536" s="431" t="s">
        <v>4586</v>
      </c>
      <c r="AS536" s="431" t="s">
        <v>4587</v>
      </c>
      <c r="AT536" s="482" t="s">
        <v>4587</v>
      </c>
      <c r="AU5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1"/>
      <c r="AW536" s="441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1">
        <f>IF(ISERROR(PV_DATA[[#This Row],[New Ark PO status]]),"",_xlfn.XLOOKUP(PV_DATA[[#This Row],[SPTN-PVHK New Ark PO'#]],New_Ark_Data[Purchase order Number],New_Ark_Data[Estimated time of arrival],"",0))</f>
        <v>46225</v>
      </c>
      <c r="AZ5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1">
        <f>IFERROR(PV_DATA[[#This Row],[ODP ETA Port]]+PV_DATA[[#This Row],[Customs/Leg3 Assumption]],"n/a")</f>
        <v>46218</v>
      </c>
      <c r="BB536" s="442">
        <f>YEAR(PV_DATA[[#This Row],[ETA for New Ark update]])</f>
        <v>2026</v>
      </c>
      <c r="BC536" s="431">
        <f>MONTH(PV_DATA[[#This Row],[ETA for New Ark update]])</f>
        <v>7</v>
      </c>
      <c r="BD536" s="431">
        <f>IFERROR(_xlfn.ISOWEEKNUM(PV_DATA[[#This Row],[ETA for New Ark update]]),0)</f>
        <v>29</v>
      </c>
      <c r="BE536" s="431">
        <f>_xlfn.XLOOKUP(PV_DATA[[#This Row],[New Ark SKU]],Table9[New Ark SKU],Table9[Total PCS per Pallet],,0)</f>
        <v>36</v>
      </c>
      <c r="BF536" s="431">
        <f>_xlfn.XLOOKUP(PV_DATA[[#This Row],[New Ark SKU]],Table9[New Ark SKU],Table9[Total PCS per 40HQ Container],,0)</f>
        <v>720</v>
      </c>
      <c r="BG536" s="431" t="str">
        <f>_xlfn.XLOOKUP(PV_DATA[[#This Row],[New Ark SKU]],Table9[New Ark SKU],Table9[Back Glass],,0)</f>
        <v>Transparent</v>
      </c>
      <c r="BH536" s="431" t="str">
        <f>_xlfn.XLOOKUP(PV_DATA[[#This Row],[PORT DESTINATION]],Table12[PORT DESTINATION],Table12[Cosco Line],,0)</f>
        <v>AEU</v>
      </c>
    </row>
    <row r="537" spans="1:60" s="431" customFormat="1" ht="10.5">
      <c r="A537" s="439" t="s">
        <v>4590</v>
      </c>
      <c r="B537" s="439" t="s">
        <v>111</v>
      </c>
      <c r="C537" s="439" t="str">
        <f>IFERROR(LEFT(PV_DATA[[#This Row],[TCL REFERENCE]],FIND(".",PV_DATA[[#This Row],[TCL REFERENCE]],1)-1),"Main Line")</f>
        <v>26May011</v>
      </c>
      <c r="D537" s="439" t="s">
        <v>63</v>
      </c>
      <c r="E537" s="439" t="s">
        <v>144</v>
      </c>
      <c r="F537" s="439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39" t="s">
        <v>402</v>
      </c>
      <c r="H537" s="719" t="s">
        <v>1449</v>
      </c>
      <c r="I537" s="439" t="s">
        <v>689</v>
      </c>
      <c r="J537" s="431" t="s">
        <v>4591</v>
      </c>
      <c r="K537" s="431" t="s">
        <v>1451</v>
      </c>
      <c r="L537" s="450">
        <v>12</v>
      </c>
      <c r="M537" s="431" t="s">
        <v>840</v>
      </c>
      <c r="N537" s="461">
        <v>46146</v>
      </c>
      <c r="O537" s="431" t="s">
        <v>4531</v>
      </c>
      <c r="P537" s="431" t="s">
        <v>4592</v>
      </c>
      <c r="Q537" s="431" t="s">
        <v>330</v>
      </c>
      <c r="R537" s="431" t="str">
        <f>_xlfn.XLOOKUP(PV_DATA[[#This Row],[New Ark SKU]],Table9[New Ark SKU],Table9[Connector],,0)</f>
        <v>H4(Com)</v>
      </c>
      <c r="S537" s="442" t="str">
        <f>_xlfn.XLOOKUP(PV_DATA[[#This Row],[New Ark SKU]],Table9[New Ark SKU],Table9[Cable],,0)</f>
        <v>+400mm/-200mm</v>
      </c>
      <c r="T537" s="442">
        <v>625</v>
      </c>
      <c r="U537" s="1093">
        <f>720*3</f>
        <v>2160</v>
      </c>
      <c r="V537" s="444">
        <f>PV_DATA[[#This Row],[QUANTITY]]*PV_DATA[[#This Row],[WATT]]/1000000</f>
        <v>1.35</v>
      </c>
      <c r="W537" s="466">
        <f>PV_DATA[[#This Row],[QUANTITY]]/PV_DATA[[#This Row],[Qty/Pallet]]</f>
        <v>60</v>
      </c>
      <c r="X537" s="1044">
        <f>PV_DATA[[#This Row],[QUANTITY]]/PV_DATA[[#This Row],[Qty/CT]]</f>
        <v>3</v>
      </c>
      <c r="Y537" s="431" t="s">
        <v>951</v>
      </c>
      <c r="Z537" s="430" t="str">
        <f t="shared" si="5"/>
        <v>COMPLETED</v>
      </c>
      <c r="AB537" s="441">
        <v>46161</v>
      </c>
      <c r="AC537" s="467">
        <f>IF(PV_DATA[[#This Row],[Pick- Up Date]]&lt;&gt;"",_xlfn.ISOWEEKNUM(PV_DATA[[#This Row],[Pick- Up Date]]),"")</f>
        <v>21</v>
      </c>
      <c r="AD537" s="431" t="s">
        <v>4593</v>
      </c>
      <c r="AF537" s="431" t="s">
        <v>122</v>
      </c>
      <c r="AG537" s="431" t="s">
        <v>123</v>
      </c>
      <c r="AH537" s="431" t="s">
        <v>105</v>
      </c>
      <c r="AI537" s="441">
        <v>46170</v>
      </c>
      <c r="AJ537" s="441">
        <v>46173</v>
      </c>
      <c r="AK537" s="441">
        <v>46173</v>
      </c>
      <c r="AL537" s="441">
        <v>46203</v>
      </c>
      <c r="AM537" s="441">
        <v>46210</v>
      </c>
      <c r="AN537" s="441">
        <v>46211</v>
      </c>
      <c r="AO537" s="431" t="s">
        <v>402</v>
      </c>
      <c r="AP537" s="431" t="s">
        <v>4534</v>
      </c>
      <c r="AQ537" s="431" t="s">
        <v>80</v>
      </c>
      <c r="AR537" s="431" t="s">
        <v>4594</v>
      </c>
      <c r="AS537" s="431" t="s">
        <v>4595</v>
      </c>
      <c r="AT537" s="482" t="s">
        <v>4595</v>
      </c>
      <c r="AU5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1"/>
      <c r="AW537" s="441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1">
        <f>IF(ISERROR(PV_DATA[[#This Row],[New Ark PO status]]),"",_xlfn.XLOOKUP(PV_DATA[[#This Row],[SPTN-PVHK New Ark PO'#]],New_Ark_Data[Purchase order Number],New_Ark_Data[Estimated time of arrival],"",0))</f>
        <v>46203</v>
      </c>
      <c r="AZ53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1">
        <f>IFERROR(PV_DATA[[#This Row],[ODP ETA Port]]+PV_DATA[[#This Row],[Customs/Leg3 Assumption]],"n/a")</f>
        <v>46211</v>
      </c>
      <c r="BB537" s="442">
        <f>YEAR(PV_DATA[[#This Row],[ETA for New Ark update]])</f>
        <v>2026</v>
      </c>
      <c r="BC537" s="431">
        <f>MONTH(PV_DATA[[#This Row],[ETA for New Ark update]])</f>
        <v>7</v>
      </c>
      <c r="BD537" s="431">
        <f>IFERROR(_xlfn.ISOWEEKNUM(PV_DATA[[#This Row],[ETA for New Ark update]]),0)</f>
        <v>28</v>
      </c>
      <c r="BE537" s="431">
        <f>_xlfn.XLOOKUP(PV_DATA[[#This Row],[New Ark SKU]],Table9[New Ark SKU],Table9[Total PCS per Pallet],,0)</f>
        <v>36</v>
      </c>
      <c r="BF537" s="431">
        <f>_xlfn.XLOOKUP(PV_DATA[[#This Row],[New Ark SKU]],Table9[New Ark SKU],Table9[Total PCS per 40HQ Container],,0)</f>
        <v>720</v>
      </c>
      <c r="BG537" s="431" t="str">
        <f>_xlfn.XLOOKUP(PV_DATA[[#This Row],[New Ark SKU]],Table9[New Ark SKU],Table9[Back Glass],,0)</f>
        <v>Transparent</v>
      </c>
      <c r="BH537" s="431" t="str">
        <f>_xlfn.XLOOKUP(PV_DATA[[#This Row],[PORT DESTINATION]],Table12[PORT DESTINATION],Table12[Cosco Line],,0)</f>
        <v>AEU</v>
      </c>
    </row>
    <row r="538" spans="1:60" s="431" customFormat="1" ht="10.5">
      <c r="A538" s="439" t="s">
        <v>4596</v>
      </c>
      <c r="B538" s="439" t="s">
        <v>111</v>
      </c>
      <c r="C538" s="439" t="str">
        <f>IFERROR(LEFT(PV_DATA[[#This Row],[TCL REFERENCE]],FIND(".",PV_DATA[[#This Row],[TCL REFERENCE]],1)-1),"Main Line")</f>
        <v>26May012</v>
      </c>
      <c r="D538" s="439" t="s">
        <v>63</v>
      </c>
      <c r="E538" s="439" t="s">
        <v>144</v>
      </c>
      <c r="F538" s="439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39" t="s">
        <v>402</v>
      </c>
      <c r="H538" s="719" t="s">
        <v>1449</v>
      </c>
      <c r="I538" s="439" t="s">
        <v>689</v>
      </c>
      <c r="J538" s="431" t="s">
        <v>4591</v>
      </c>
      <c r="K538" s="431" t="s">
        <v>1451</v>
      </c>
      <c r="L538" s="450">
        <v>11</v>
      </c>
      <c r="M538" s="431" t="s">
        <v>840</v>
      </c>
      <c r="N538" s="461">
        <v>46146</v>
      </c>
      <c r="O538" s="431" t="s">
        <v>4531</v>
      </c>
      <c r="P538" s="431" t="s">
        <v>4597</v>
      </c>
      <c r="Q538" s="431" t="s">
        <v>4598</v>
      </c>
      <c r="R538" s="431" t="str">
        <f>_xlfn.XLOOKUP(PV_DATA[[#This Row],[New Ark SKU]],Table9[New Ark SKU],Table9[Connector],,0)</f>
        <v>H4(Com)</v>
      </c>
      <c r="S538" s="442" t="str">
        <f>_xlfn.XLOOKUP(PV_DATA[[#This Row],[New Ark SKU]],Table9[New Ark SKU],Table9[Cable],,0)</f>
        <v>+400mm/-200mm</v>
      </c>
      <c r="T538" s="442">
        <v>630</v>
      </c>
      <c r="U538" s="1093">
        <f>720*2</f>
        <v>1440</v>
      </c>
      <c r="V538" s="444">
        <f>PV_DATA[[#This Row],[QUANTITY]]*PV_DATA[[#This Row],[WATT]]/1000000</f>
        <v>0.90720000000000001</v>
      </c>
      <c r="W538" s="466">
        <f>PV_DATA[[#This Row],[QUANTITY]]/PV_DATA[[#This Row],[Qty/Pallet]]</f>
        <v>40</v>
      </c>
      <c r="X538" s="1044">
        <f>PV_DATA[[#This Row],[QUANTITY]]/PV_DATA[[#This Row],[Qty/CT]]</f>
        <v>2</v>
      </c>
      <c r="Y538" s="431" t="s">
        <v>951</v>
      </c>
      <c r="Z538" s="430" t="str">
        <f t="shared" si="5"/>
        <v>COMPLETED</v>
      </c>
      <c r="AB538" s="441">
        <v>46161</v>
      </c>
      <c r="AC538" s="467">
        <f>IF(PV_DATA[[#This Row],[Pick- Up Date]]&lt;&gt;"",_xlfn.ISOWEEKNUM(PV_DATA[[#This Row],[Pick- Up Date]]),"")</f>
        <v>21</v>
      </c>
      <c r="AD538" s="431" t="s">
        <v>4599</v>
      </c>
      <c r="AF538" s="431" t="s">
        <v>122</v>
      </c>
      <c r="AG538" s="431" t="s">
        <v>123</v>
      </c>
      <c r="AH538" s="431" t="s">
        <v>105</v>
      </c>
      <c r="AI538" s="441">
        <v>46170</v>
      </c>
      <c r="AJ538" s="441">
        <v>46173</v>
      </c>
      <c r="AK538" s="441">
        <v>46173</v>
      </c>
      <c r="AL538" s="441">
        <v>46203</v>
      </c>
      <c r="AM538" s="441">
        <v>46210</v>
      </c>
      <c r="AN538" s="441">
        <v>46211</v>
      </c>
      <c r="AO538" s="431" t="s">
        <v>402</v>
      </c>
      <c r="AP538" s="431" t="s">
        <v>4534</v>
      </c>
      <c r="AQ538" s="431" t="s">
        <v>80</v>
      </c>
      <c r="AR538" s="431" t="s">
        <v>4594</v>
      </c>
      <c r="AS538" s="431" t="s">
        <v>4595</v>
      </c>
      <c r="AT538" s="482" t="s">
        <v>4595</v>
      </c>
      <c r="AU5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1"/>
      <c r="AW538" s="441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1">
        <f>IF(ISERROR(PV_DATA[[#This Row],[New Ark PO status]]),"",_xlfn.XLOOKUP(PV_DATA[[#This Row],[SPTN-PVHK New Ark PO'#]],New_Ark_Data[Purchase order Number],New_Ark_Data[Estimated time of arrival],"",0))</f>
        <v>46203</v>
      </c>
      <c r="AZ53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1">
        <f>IFERROR(PV_DATA[[#This Row],[ODP ETA Port]]+PV_DATA[[#This Row],[Customs/Leg3 Assumption]],"n/a")</f>
        <v>46211</v>
      </c>
      <c r="BB538" s="442">
        <f>YEAR(PV_DATA[[#This Row],[ETA for New Ark update]])</f>
        <v>2026</v>
      </c>
      <c r="BC538" s="431">
        <f>MONTH(PV_DATA[[#This Row],[ETA for New Ark update]])</f>
        <v>7</v>
      </c>
      <c r="BD538" s="431">
        <f>IFERROR(_xlfn.ISOWEEKNUM(PV_DATA[[#This Row],[ETA for New Ark update]]),0)</f>
        <v>28</v>
      </c>
      <c r="BE538" s="431">
        <f>_xlfn.XLOOKUP(PV_DATA[[#This Row],[New Ark SKU]],Table9[New Ark SKU],Table9[Total PCS per Pallet],,0)</f>
        <v>36</v>
      </c>
      <c r="BF538" s="431">
        <f>_xlfn.XLOOKUP(PV_DATA[[#This Row],[New Ark SKU]],Table9[New Ark SKU],Table9[Total PCS per 40HQ Container],,0)</f>
        <v>720</v>
      </c>
      <c r="BG538" s="431" t="str">
        <f>_xlfn.XLOOKUP(PV_DATA[[#This Row],[New Ark SKU]],Table9[New Ark SKU],Table9[Back Glass],,0)</f>
        <v>Transparent</v>
      </c>
      <c r="BH538" s="431" t="str">
        <f>_xlfn.XLOOKUP(PV_DATA[[#This Row],[PORT DESTINATION]],Table12[PORT DESTINATION],Table12[Cosco Line],,0)</f>
        <v>AEU</v>
      </c>
    </row>
    <row r="539" spans="1:60" s="431" customFormat="1" ht="10.5">
      <c r="A539" s="439" t="s">
        <v>4600</v>
      </c>
      <c r="B539" s="439" t="s">
        <v>111</v>
      </c>
      <c r="C539" s="439" t="str">
        <f>IFERROR(LEFT(PV_DATA[[#This Row],[TCL REFERENCE]],FIND(".",PV_DATA[[#This Row],[TCL REFERENCE]],1)-1),"Main Line")</f>
        <v>26May011</v>
      </c>
      <c r="D539" s="439" t="s">
        <v>63</v>
      </c>
      <c r="E539" s="439" t="s">
        <v>144</v>
      </c>
      <c r="F539" s="439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39" t="s">
        <v>402</v>
      </c>
      <c r="H539" s="719" t="s">
        <v>1449</v>
      </c>
      <c r="I539" s="439" t="s">
        <v>689</v>
      </c>
      <c r="J539" s="431" t="s">
        <v>4591</v>
      </c>
      <c r="K539" s="431" t="s">
        <v>1451</v>
      </c>
      <c r="L539" s="450">
        <v>9</v>
      </c>
      <c r="M539" s="431" t="s">
        <v>840</v>
      </c>
      <c r="N539" s="461">
        <v>46153</v>
      </c>
      <c r="O539" s="431" t="s">
        <v>4531</v>
      </c>
      <c r="P539" s="431" t="s">
        <v>4592</v>
      </c>
      <c r="Q539" s="431" t="s">
        <v>330</v>
      </c>
      <c r="R539" s="431" t="str">
        <f>_xlfn.XLOOKUP(PV_DATA[[#This Row],[New Ark SKU]],Table9[New Ark SKU],Table9[Connector],,0)</f>
        <v>H4(Com)</v>
      </c>
      <c r="S539" s="442" t="str">
        <f>_xlfn.XLOOKUP(PV_DATA[[#This Row],[New Ark SKU]],Table9[New Ark SKU],Table9[Cable],,0)</f>
        <v>+400mm/-200mm</v>
      </c>
      <c r="T539" s="442">
        <v>625</v>
      </c>
      <c r="U539" s="1093">
        <f>720*3</f>
        <v>2160</v>
      </c>
      <c r="V539" s="444">
        <f>PV_DATA[[#This Row],[QUANTITY]]*PV_DATA[[#This Row],[WATT]]/1000000</f>
        <v>1.35</v>
      </c>
      <c r="W539" s="466">
        <f>PV_DATA[[#This Row],[QUANTITY]]/PV_DATA[[#This Row],[Qty/Pallet]]</f>
        <v>60</v>
      </c>
      <c r="X539" s="1044">
        <f>PV_DATA[[#This Row],[QUANTITY]]/PV_DATA[[#This Row],[Qty/CT]]</f>
        <v>3</v>
      </c>
      <c r="Y539" s="431" t="s">
        <v>951</v>
      </c>
      <c r="Z539" s="430" t="str">
        <f t="shared" si="5"/>
        <v>COMPLETED</v>
      </c>
      <c r="AB539" s="441">
        <v>46159</v>
      </c>
      <c r="AC539" s="467">
        <f>IF(PV_DATA[[#This Row],[Pick- Up Date]]&lt;&gt;"",_xlfn.ISOWEEKNUM(PV_DATA[[#This Row],[Pick- Up Date]]),"")</f>
        <v>20</v>
      </c>
      <c r="AD539" s="431" t="s">
        <v>4601</v>
      </c>
      <c r="AF539" s="431" t="s">
        <v>122</v>
      </c>
      <c r="AG539" s="431" t="s">
        <v>123</v>
      </c>
      <c r="AH539" s="431" t="s">
        <v>105</v>
      </c>
      <c r="AI539" s="441">
        <v>46167</v>
      </c>
      <c r="AJ539" s="441">
        <v>46174</v>
      </c>
      <c r="AK539" s="441">
        <v>46174</v>
      </c>
      <c r="AL539" s="441">
        <v>46204</v>
      </c>
      <c r="AM539" s="441">
        <v>46226</v>
      </c>
      <c r="AN539" s="441">
        <v>46227</v>
      </c>
      <c r="AO539" s="431" t="s">
        <v>402</v>
      </c>
      <c r="AP539" s="431" t="s">
        <v>4602</v>
      </c>
      <c r="AQ539" s="431" t="s">
        <v>80</v>
      </c>
      <c r="AR539" s="431" t="s">
        <v>4603</v>
      </c>
      <c r="AS539" s="431" t="s">
        <v>4604</v>
      </c>
      <c r="AT539" s="482" t="s">
        <v>4604</v>
      </c>
      <c r="AU5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1"/>
      <c r="AW539" s="441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1">
        <f>IF(ISERROR(PV_DATA[[#This Row],[New Ark PO status]]),"",_xlfn.XLOOKUP(PV_DATA[[#This Row],[SPTN-PVHK New Ark PO'#]],New_Ark_Data[Purchase order Number],New_Ark_Data[Estimated time of arrival],"",0))</f>
        <v>46204</v>
      </c>
      <c r="AZ53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1">
        <f>IFERROR(PV_DATA[[#This Row],[ODP ETA Port]]+PV_DATA[[#This Row],[Customs/Leg3 Assumption]],"n/a")</f>
        <v>46227</v>
      </c>
      <c r="BB539" s="442">
        <f>YEAR(PV_DATA[[#This Row],[ETA for New Ark update]])</f>
        <v>2026</v>
      </c>
      <c r="BC539" s="431">
        <f>MONTH(PV_DATA[[#This Row],[ETA for New Ark update]])</f>
        <v>7</v>
      </c>
      <c r="BD539" s="431">
        <f>IFERROR(_xlfn.ISOWEEKNUM(PV_DATA[[#This Row],[ETA for New Ark update]]),0)</f>
        <v>30</v>
      </c>
      <c r="BE539" s="431">
        <f>_xlfn.XLOOKUP(PV_DATA[[#This Row],[New Ark SKU]],Table9[New Ark SKU],Table9[Total PCS per Pallet],,0)</f>
        <v>36</v>
      </c>
      <c r="BF539" s="431">
        <f>_xlfn.XLOOKUP(PV_DATA[[#This Row],[New Ark SKU]],Table9[New Ark SKU],Table9[Total PCS per 40HQ Container],,0)</f>
        <v>720</v>
      </c>
      <c r="BG539" s="431" t="str">
        <f>_xlfn.XLOOKUP(PV_DATA[[#This Row],[New Ark SKU]],Table9[New Ark SKU],Table9[Back Glass],,0)</f>
        <v>Transparent</v>
      </c>
      <c r="BH539" s="431" t="str">
        <f>_xlfn.XLOOKUP(PV_DATA[[#This Row],[PORT DESTINATION]],Table12[PORT DESTINATION],Table12[Cosco Line],,0)</f>
        <v>AEU</v>
      </c>
    </row>
    <row r="540" spans="1:60" s="431" customFormat="1" ht="10.5">
      <c r="A540" s="439" t="s">
        <v>4605</v>
      </c>
      <c r="B540" s="439" t="s">
        <v>111</v>
      </c>
      <c r="C540" s="439" t="str">
        <f>IFERROR(LEFT(PV_DATA[[#This Row],[TCL REFERENCE]],FIND(".",PV_DATA[[#This Row],[TCL REFERENCE]],1)-1),"Main Line")</f>
        <v>26May012</v>
      </c>
      <c r="D540" s="439" t="s">
        <v>63</v>
      </c>
      <c r="E540" s="439" t="s">
        <v>144</v>
      </c>
      <c r="F540" s="439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39" t="s">
        <v>402</v>
      </c>
      <c r="H540" s="719" t="s">
        <v>1449</v>
      </c>
      <c r="I540" s="439" t="s">
        <v>689</v>
      </c>
      <c r="J540" s="431" t="s">
        <v>4591</v>
      </c>
      <c r="K540" s="431" t="s">
        <v>1451</v>
      </c>
      <c r="L540" s="450">
        <v>8</v>
      </c>
      <c r="M540" s="431" t="s">
        <v>840</v>
      </c>
      <c r="N540" s="461">
        <v>46153</v>
      </c>
      <c r="O540" s="431" t="s">
        <v>4531</v>
      </c>
      <c r="P540" s="431" t="s">
        <v>4597</v>
      </c>
      <c r="Q540" s="431" t="s">
        <v>4598</v>
      </c>
      <c r="R540" s="431" t="str">
        <f>_xlfn.XLOOKUP(PV_DATA[[#This Row],[New Ark SKU]],Table9[New Ark SKU],Table9[Connector],,0)</f>
        <v>H4(Com)</v>
      </c>
      <c r="S540" s="442" t="str">
        <f>_xlfn.XLOOKUP(PV_DATA[[#This Row],[New Ark SKU]],Table9[New Ark SKU],Table9[Cable],,0)</f>
        <v>+400mm/-200mm</v>
      </c>
      <c r="T540" s="442">
        <v>630</v>
      </c>
      <c r="U540" s="1093">
        <f>720*2</f>
        <v>1440</v>
      </c>
      <c r="V540" s="444">
        <f>PV_DATA[[#This Row],[QUANTITY]]*PV_DATA[[#This Row],[WATT]]/1000000</f>
        <v>0.90720000000000001</v>
      </c>
      <c r="W540" s="466">
        <f>PV_DATA[[#This Row],[QUANTITY]]/PV_DATA[[#This Row],[Qty/Pallet]]</f>
        <v>40</v>
      </c>
      <c r="X540" s="1044">
        <f>PV_DATA[[#This Row],[QUANTITY]]/PV_DATA[[#This Row],[Qty/CT]]</f>
        <v>2</v>
      </c>
      <c r="Y540" s="431" t="s">
        <v>951</v>
      </c>
      <c r="Z540" s="430" t="str">
        <f t="shared" si="5"/>
        <v>COMPLETED</v>
      </c>
      <c r="AB540" s="441">
        <v>46159</v>
      </c>
      <c r="AC540" s="467">
        <f>IF(PV_DATA[[#This Row],[Pick- Up Date]]&lt;&gt;"",_xlfn.ISOWEEKNUM(PV_DATA[[#This Row],[Pick- Up Date]]),"")</f>
        <v>20</v>
      </c>
      <c r="AD540" s="431" t="s">
        <v>4606</v>
      </c>
      <c r="AF540" s="431" t="s">
        <v>122</v>
      </c>
      <c r="AG540" s="431" t="s">
        <v>123</v>
      </c>
      <c r="AH540" s="431" t="s">
        <v>105</v>
      </c>
      <c r="AI540" s="441">
        <v>46167</v>
      </c>
      <c r="AJ540" s="441">
        <v>46174</v>
      </c>
      <c r="AK540" s="441">
        <v>46174</v>
      </c>
      <c r="AL540" s="441">
        <v>46204</v>
      </c>
      <c r="AM540" s="441">
        <v>46226</v>
      </c>
      <c r="AN540" s="441">
        <v>46227</v>
      </c>
      <c r="AO540" s="431" t="s">
        <v>402</v>
      </c>
      <c r="AP540" s="431" t="s">
        <v>4602</v>
      </c>
      <c r="AQ540" s="431" t="s">
        <v>80</v>
      </c>
      <c r="AR540" s="431" t="s">
        <v>4603</v>
      </c>
      <c r="AS540" s="431" t="s">
        <v>4604</v>
      </c>
      <c r="AT540" s="482" t="s">
        <v>4604</v>
      </c>
      <c r="AU5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1"/>
      <c r="AW540" s="441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1">
        <f>IF(ISERROR(PV_DATA[[#This Row],[New Ark PO status]]),"",_xlfn.XLOOKUP(PV_DATA[[#This Row],[SPTN-PVHK New Ark PO'#]],New_Ark_Data[Purchase order Number],New_Ark_Data[Estimated time of arrival],"",0))</f>
        <v>46204</v>
      </c>
      <c r="AZ54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1">
        <f>IFERROR(PV_DATA[[#This Row],[ODP ETA Port]]+PV_DATA[[#This Row],[Customs/Leg3 Assumption]],"n/a")</f>
        <v>46227</v>
      </c>
      <c r="BB540" s="442">
        <f>YEAR(PV_DATA[[#This Row],[ETA for New Ark update]])</f>
        <v>2026</v>
      </c>
      <c r="BC540" s="431">
        <f>MONTH(PV_DATA[[#This Row],[ETA for New Ark update]])</f>
        <v>7</v>
      </c>
      <c r="BD540" s="431">
        <f>IFERROR(_xlfn.ISOWEEKNUM(PV_DATA[[#This Row],[ETA for New Ark update]]),0)</f>
        <v>30</v>
      </c>
      <c r="BE540" s="431">
        <f>_xlfn.XLOOKUP(PV_DATA[[#This Row],[New Ark SKU]],Table9[New Ark SKU],Table9[Total PCS per Pallet],,0)</f>
        <v>36</v>
      </c>
      <c r="BF540" s="431">
        <f>_xlfn.XLOOKUP(PV_DATA[[#This Row],[New Ark SKU]],Table9[New Ark SKU],Table9[Total PCS per 40HQ Container],,0)</f>
        <v>720</v>
      </c>
      <c r="BG540" s="431" t="str">
        <f>_xlfn.XLOOKUP(PV_DATA[[#This Row],[New Ark SKU]],Table9[New Ark SKU],Table9[Back Glass],,0)</f>
        <v>Transparent</v>
      </c>
      <c r="BH540" s="431" t="str">
        <f>_xlfn.XLOOKUP(PV_DATA[[#This Row],[PORT DESTINATION]],Table12[PORT DESTINATION],Table12[Cosco Line],,0)</f>
        <v>AEU</v>
      </c>
    </row>
    <row r="541" spans="1:60" s="431" customFormat="1" ht="10.5">
      <c r="A541" s="439" t="s">
        <v>4607</v>
      </c>
      <c r="B541" s="439" t="s">
        <v>111</v>
      </c>
      <c r="C541" s="439" t="str">
        <f>IFERROR(LEFT(PV_DATA[[#This Row],[TCL REFERENCE]],FIND(".",PV_DATA[[#This Row],[TCL REFERENCE]],1)-1),"Main Line")</f>
        <v>26May012</v>
      </c>
      <c r="D541" s="439" t="s">
        <v>63</v>
      </c>
      <c r="E541" s="439" t="s">
        <v>144</v>
      </c>
      <c r="F541" s="439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39" t="s">
        <v>402</v>
      </c>
      <c r="H541" s="719" t="s">
        <v>1449</v>
      </c>
      <c r="I541" s="439" t="s">
        <v>689</v>
      </c>
      <c r="J541" s="431" t="s">
        <v>4591</v>
      </c>
      <c r="K541" s="431" t="s">
        <v>1451</v>
      </c>
      <c r="L541" s="450">
        <v>13</v>
      </c>
      <c r="M541" s="431" t="s">
        <v>840</v>
      </c>
      <c r="N541" s="461">
        <v>46146</v>
      </c>
      <c r="O541" s="431" t="s">
        <v>4531</v>
      </c>
      <c r="P541" s="431" t="s">
        <v>4597</v>
      </c>
      <c r="Q541" s="431" t="s">
        <v>4598</v>
      </c>
      <c r="R541" s="431" t="str">
        <f>_xlfn.XLOOKUP(PV_DATA[[#This Row],[New Ark SKU]],Table9[New Ark SKU],Table9[Connector],,0)</f>
        <v>H4(Com)</v>
      </c>
      <c r="S541" s="442" t="str">
        <f>_xlfn.XLOOKUP(PV_DATA[[#This Row],[New Ark SKU]],Table9[New Ark SKU],Table9[Cable],,0)</f>
        <v>+400mm/-200mm</v>
      </c>
      <c r="T541" s="442">
        <v>630</v>
      </c>
      <c r="U541" s="1093">
        <f>720*8</f>
        <v>5760</v>
      </c>
      <c r="V541" s="444">
        <f>PV_DATA[[#This Row],[QUANTITY]]*PV_DATA[[#This Row],[WATT]]/1000000</f>
        <v>3.6288</v>
      </c>
      <c r="W541" s="466">
        <f>PV_DATA[[#This Row],[QUANTITY]]/PV_DATA[[#This Row],[Qty/Pallet]]</f>
        <v>160</v>
      </c>
      <c r="X541" s="1044">
        <f>PV_DATA[[#This Row],[QUANTITY]]/PV_DATA[[#This Row],[Qty/CT]]</f>
        <v>8</v>
      </c>
      <c r="Y541" s="431" t="s">
        <v>2452</v>
      </c>
      <c r="Z541" s="430" t="str">
        <f t="shared" si="5"/>
        <v>COMPLETED</v>
      </c>
      <c r="AB541" s="441">
        <v>46166</v>
      </c>
      <c r="AC541" s="467">
        <f>IF(PV_DATA[[#This Row],[Pick- Up Date]]&lt;&gt;"",_xlfn.ISOWEEKNUM(PV_DATA[[#This Row],[Pick- Up Date]]),"")</f>
        <v>21</v>
      </c>
      <c r="AD541" s="431" t="s">
        <v>4608</v>
      </c>
      <c r="AF541" s="431" t="s">
        <v>122</v>
      </c>
      <c r="AG541" s="431" t="s">
        <v>123</v>
      </c>
      <c r="AH541" s="431" t="s">
        <v>105</v>
      </c>
      <c r="AI541" s="441">
        <v>46173</v>
      </c>
      <c r="AJ541" s="441">
        <v>46190</v>
      </c>
      <c r="AK541" s="441">
        <v>46190</v>
      </c>
      <c r="AL541" s="441">
        <v>46223</v>
      </c>
      <c r="AM541" s="441">
        <v>46234</v>
      </c>
      <c r="AN541" s="441">
        <v>46234</v>
      </c>
      <c r="AO541" s="431" t="s">
        <v>402</v>
      </c>
      <c r="AP541" s="431" t="s">
        <v>4609</v>
      </c>
      <c r="AQ541" s="431" t="s">
        <v>80</v>
      </c>
      <c r="AR541" s="431" t="s">
        <v>4610</v>
      </c>
      <c r="AS541" s="431" t="s">
        <v>4611</v>
      </c>
      <c r="AT541" s="482" t="s">
        <v>4611</v>
      </c>
      <c r="AU5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1"/>
      <c r="AW541" s="441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1">
        <f>IF(ISERROR(PV_DATA[[#This Row],[New Ark PO status]]),"",_xlfn.XLOOKUP(PV_DATA[[#This Row],[SPTN-PVHK New Ark PO'#]],New_Ark_Data[Purchase order Number],New_Ark_Data[Estimated time of arrival],"",0))</f>
        <v>46223</v>
      </c>
      <c r="AZ54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1">
        <f>IFERROR(PV_DATA[[#This Row],[ODP ETA Port]]+PV_DATA[[#This Row],[Customs/Leg3 Assumption]],"n/a")</f>
        <v>46234</v>
      </c>
      <c r="BB541" s="442">
        <f>YEAR(PV_DATA[[#This Row],[ETA for New Ark update]])</f>
        <v>2026</v>
      </c>
      <c r="BC541" s="431">
        <f>MONTH(PV_DATA[[#This Row],[ETA for New Ark update]])</f>
        <v>7</v>
      </c>
      <c r="BD541" s="431">
        <f>IFERROR(_xlfn.ISOWEEKNUM(PV_DATA[[#This Row],[ETA for New Ark update]]),0)</f>
        <v>31</v>
      </c>
      <c r="BE541" s="431">
        <f>_xlfn.XLOOKUP(PV_DATA[[#This Row],[New Ark SKU]],Table9[New Ark SKU],Table9[Total PCS per Pallet],,0)</f>
        <v>36</v>
      </c>
      <c r="BF541" s="431">
        <f>_xlfn.XLOOKUP(PV_DATA[[#This Row],[New Ark SKU]],Table9[New Ark SKU],Table9[Total PCS per 40HQ Container],,0)</f>
        <v>720</v>
      </c>
      <c r="BG541" s="431" t="str">
        <f>_xlfn.XLOOKUP(PV_DATA[[#This Row],[New Ark SKU]],Table9[New Ark SKU],Table9[Back Glass],,0)</f>
        <v>Transparent</v>
      </c>
      <c r="BH541" s="431" t="str">
        <f>_xlfn.XLOOKUP(PV_DATA[[#This Row],[PORT DESTINATION]],Table12[PORT DESTINATION],Table12[Cosco Line],,0)</f>
        <v>AEU</v>
      </c>
    </row>
    <row r="542" spans="1:60" s="431" customFormat="1" ht="10.5">
      <c r="A542" s="439" t="s">
        <v>4612</v>
      </c>
      <c r="B542" s="439" t="s">
        <v>111</v>
      </c>
      <c r="C542" s="439" t="str">
        <f>IFERROR(LEFT(PV_DATA[[#This Row],[TCL REFERENCE]],FIND(".",PV_DATA[[#This Row],[TCL REFERENCE]],1)-1),"Main Line")</f>
        <v>26May012</v>
      </c>
      <c r="D542" s="439" t="s">
        <v>63</v>
      </c>
      <c r="E542" s="439" t="s">
        <v>144</v>
      </c>
      <c r="F542" s="439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39" t="s">
        <v>402</v>
      </c>
      <c r="H542" s="719" t="s">
        <v>1449</v>
      </c>
      <c r="I542" s="439" t="s">
        <v>689</v>
      </c>
      <c r="J542" s="431" t="s">
        <v>4591</v>
      </c>
      <c r="K542" s="431" t="s">
        <v>1451</v>
      </c>
      <c r="L542" s="450">
        <v>15</v>
      </c>
      <c r="M542" s="431" t="s">
        <v>840</v>
      </c>
      <c r="N542" s="461">
        <v>46153</v>
      </c>
      <c r="O542" s="431" t="s">
        <v>4531</v>
      </c>
      <c r="P542" s="431" t="s">
        <v>4597</v>
      </c>
      <c r="Q542" s="431" t="s">
        <v>4598</v>
      </c>
      <c r="R542" s="431" t="str">
        <f>_xlfn.XLOOKUP(PV_DATA[[#This Row],[New Ark SKU]],Table9[New Ark SKU],Table9[Connector],,0)</f>
        <v>H4(Com)</v>
      </c>
      <c r="S542" s="442" t="str">
        <f>_xlfn.XLOOKUP(PV_DATA[[#This Row],[New Ark SKU]],Table9[New Ark SKU],Table9[Cable],,0)</f>
        <v>+400mm/-200mm</v>
      </c>
      <c r="T542" s="442">
        <v>630</v>
      </c>
      <c r="U542" s="1093">
        <f>720*7</f>
        <v>5040</v>
      </c>
      <c r="V542" s="444">
        <f>PV_DATA[[#This Row],[QUANTITY]]*PV_DATA[[#This Row],[WATT]]/1000000</f>
        <v>3.1751999999999998</v>
      </c>
      <c r="W542" s="466">
        <f>PV_DATA[[#This Row],[QUANTITY]]/PV_DATA[[#This Row],[Qty/Pallet]]</f>
        <v>140</v>
      </c>
      <c r="X542" s="1044">
        <f>PV_DATA[[#This Row],[QUANTITY]]/PV_DATA[[#This Row],[Qty/CT]]</f>
        <v>7</v>
      </c>
      <c r="Y542" s="431" t="s">
        <v>2452</v>
      </c>
      <c r="Z542" s="430" t="str">
        <f t="shared" si="5"/>
        <v>COMPLETED</v>
      </c>
      <c r="AB542" s="441">
        <v>46167</v>
      </c>
      <c r="AC542" s="467">
        <f>IF(PV_DATA[[#This Row],[Pick- Up Date]]&lt;&gt;"",_xlfn.ISOWEEKNUM(PV_DATA[[#This Row],[Pick- Up Date]]),"")</f>
        <v>22</v>
      </c>
      <c r="AD542" s="431" t="s">
        <v>4613</v>
      </c>
      <c r="AF542" s="431" t="s">
        <v>122</v>
      </c>
      <c r="AG542" s="431" t="s">
        <v>123</v>
      </c>
      <c r="AH542" s="431" t="s">
        <v>105</v>
      </c>
      <c r="AI542" s="441">
        <v>46173</v>
      </c>
      <c r="AJ542" s="441">
        <v>46190</v>
      </c>
      <c r="AK542" s="441">
        <v>46190</v>
      </c>
      <c r="AL542" s="441">
        <v>46223</v>
      </c>
      <c r="AM542" s="441">
        <v>46234</v>
      </c>
      <c r="AN542" s="441">
        <v>46234</v>
      </c>
      <c r="AO542" s="431" t="s">
        <v>402</v>
      </c>
      <c r="AP542" s="431" t="s">
        <v>4609</v>
      </c>
      <c r="AQ542" s="431" t="s">
        <v>80</v>
      </c>
      <c r="AR542" s="431" t="s">
        <v>4614</v>
      </c>
      <c r="AS542" s="431" t="s">
        <v>4615</v>
      </c>
      <c r="AT542" s="482" t="s">
        <v>4615</v>
      </c>
      <c r="AU5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1"/>
      <c r="AW542" s="441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1">
        <f>IF(ISERROR(PV_DATA[[#This Row],[New Ark PO status]]),"",_xlfn.XLOOKUP(PV_DATA[[#This Row],[SPTN-PVHK New Ark PO'#]],New_Ark_Data[Purchase order Number],New_Ark_Data[Estimated time of arrival],"",0))</f>
        <v>46223</v>
      </c>
      <c r="AZ54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1">
        <f>IFERROR(PV_DATA[[#This Row],[ODP ETA Port]]+PV_DATA[[#This Row],[Customs/Leg3 Assumption]],"n/a")</f>
        <v>46234</v>
      </c>
      <c r="BB542" s="442">
        <f>YEAR(PV_DATA[[#This Row],[ETA for New Ark update]])</f>
        <v>2026</v>
      </c>
      <c r="BC542" s="431">
        <f>MONTH(PV_DATA[[#This Row],[ETA for New Ark update]])</f>
        <v>7</v>
      </c>
      <c r="BD542" s="431">
        <f>IFERROR(_xlfn.ISOWEEKNUM(PV_DATA[[#This Row],[ETA for New Ark update]]),0)</f>
        <v>31</v>
      </c>
      <c r="BE542" s="431">
        <f>_xlfn.XLOOKUP(PV_DATA[[#This Row],[New Ark SKU]],Table9[New Ark SKU],Table9[Total PCS per Pallet],,0)</f>
        <v>36</v>
      </c>
      <c r="BF542" s="431">
        <f>_xlfn.XLOOKUP(PV_DATA[[#This Row],[New Ark SKU]],Table9[New Ark SKU],Table9[Total PCS per 40HQ Container],,0)</f>
        <v>720</v>
      </c>
      <c r="BG542" s="431" t="str">
        <f>_xlfn.XLOOKUP(PV_DATA[[#This Row],[New Ark SKU]],Table9[New Ark SKU],Table9[Back Glass],,0)</f>
        <v>Transparent</v>
      </c>
      <c r="BH542" s="431" t="str">
        <f>_xlfn.XLOOKUP(PV_DATA[[#This Row],[PORT DESTINATION]],Table12[PORT DESTINATION],Table12[Cosco Line],,0)</f>
        <v>AEU</v>
      </c>
    </row>
    <row r="543" spans="1:60" s="431" customFormat="1" ht="10.5">
      <c r="A543" s="439" t="s">
        <v>4616</v>
      </c>
      <c r="B543" s="439" t="s">
        <v>111</v>
      </c>
      <c r="C543" s="439" t="str">
        <f>IFERROR(LEFT(PV_DATA[[#This Row],[TCL REFERENCE]],FIND(".",PV_DATA[[#This Row],[TCL REFERENCE]],1)-1),"Main Line")</f>
        <v>26May012</v>
      </c>
      <c r="D543" s="439" t="s">
        <v>63</v>
      </c>
      <c r="E543" s="439" t="s">
        <v>144</v>
      </c>
      <c r="F543" s="439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39" t="s">
        <v>402</v>
      </c>
      <c r="H543" s="719" t="s">
        <v>1449</v>
      </c>
      <c r="I543" s="439" t="s">
        <v>689</v>
      </c>
      <c r="J543" s="431" t="s">
        <v>4591</v>
      </c>
      <c r="K543" s="431" t="s">
        <v>1451</v>
      </c>
      <c r="L543" s="450">
        <v>14</v>
      </c>
      <c r="M543" s="431" t="s">
        <v>840</v>
      </c>
      <c r="N543" s="461">
        <v>46153</v>
      </c>
      <c r="O543" s="431" t="s">
        <v>4531</v>
      </c>
      <c r="P543" s="431" t="s">
        <v>4597</v>
      </c>
      <c r="Q543" s="431" t="s">
        <v>4598</v>
      </c>
      <c r="R543" s="431" t="str">
        <f>_xlfn.XLOOKUP(PV_DATA[[#This Row],[New Ark SKU]],Table9[New Ark SKU],Table9[Connector],,0)</f>
        <v>H4(Com)</v>
      </c>
      <c r="S543" s="442" t="str">
        <f>_xlfn.XLOOKUP(PV_DATA[[#This Row],[New Ark SKU]],Table9[New Ark SKU],Table9[Cable],,0)</f>
        <v>+400mm/-200mm</v>
      </c>
      <c r="T543" s="442">
        <v>630</v>
      </c>
      <c r="U543" s="1093">
        <f>720*8</f>
        <v>5760</v>
      </c>
      <c r="V543" s="444">
        <f>PV_DATA[[#This Row],[QUANTITY]]*PV_DATA[[#This Row],[WATT]]/1000000</f>
        <v>3.6288</v>
      </c>
      <c r="W543" s="466">
        <f>PV_DATA[[#This Row],[QUANTITY]]/PV_DATA[[#This Row],[Qty/Pallet]]</f>
        <v>160</v>
      </c>
      <c r="X543" s="1044">
        <f>PV_DATA[[#This Row],[QUANTITY]]/PV_DATA[[#This Row],[Qty/CT]]</f>
        <v>8</v>
      </c>
      <c r="Y543" s="431" t="s">
        <v>2452</v>
      </c>
      <c r="Z543" s="430" t="str">
        <f t="shared" si="5"/>
        <v>COMPLETED</v>
      </c>
      <c r="AB543" s="441">
        <v>46168</v>
      </c>
      <c r="AC543" s="467">
        <f>IF(PV_DATA[[#This Row],[Pick- Up Date]]&lt;&gt;"",_xlfn.ISOWEEKNUM(PV_DATA[[#This Row],[Pick- Up Date]]),"")</f>
        <v>22</v>
      </c>
      <c r="AD543" s="431" t="s">
        <v>4617</v>
      </c>
      <c r="AF543" s="431" t="s">
        <v>122</v>
      </c>
      <c r="AG543" s="431" t="s">
        <v>123</v>
      </c>
      <c r="AH543" s="431" t="s">
        <v>105</v>
      </c>
      <c r="AI543" s="441">
        <v>46173</v>
      </c>
      <c r="AJ543" s="441">
        <v>46190</v>
      </c>
      <c r="AK543" s="441">
        <v>46190</v>
      </c>
      <c r="AL543" s="441">
        <v>46223</v>
      </c>
      <c r="AM543" s="441">
        <v>46234</v>
      </c>
      <c r="AN543" s="441">
        <v>46234</v>
      </c>
      <c r="AO543" s="431" t="s">
        <v>402</v>
      </c>
      <c r="AP543" s="431" t="s">
        <v>4609</v>
      </c>
      <c r="AQ543" s="431" t="s">
        <v>80</v>
      </c>
      <c r="AR543" s="431" t="s">
        <v>4614</v>
      </c>
      <c r="AS543" s="431" t="s">
        <v>4615</v>
      </c>
      <c r="AT543" s="482" t="s">
        <v>4615</v>
      </c>
      <c r="AU5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1"/>
      <c r="AW543" s="441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1">
        <f>IF(ISERROR(PV_DATA[[#This Row],[New Ark PO status]]),"",_xlfn.XLOOKUP(PV_DATA[[#This Row],[SPTN-PVHK New Ark PO'#]],New_Ark_Data[Purchase order Number],New_Ark_Data[Estimated time of arrival],"",0))</f>
        <v>46223</v>
      </c>
      <c r="AZ54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1">
        <f>IFERROR(PV_DATA[[#This Row],[ODP ETA Port]]+PV_DATA[[#This Row],[Customs/Leg3 Assumption]],"n/a")</f>
        <v>46234</v>
      </c>
      <c r="BB543" s="442">
        <f>YEAR(PV_DATA[[#This Row],[ETA for New Ark update]])</f>
        <v>2026</v>
      </c>
      <c r="BC543" s="431">
        <f>MONTH(PV_DATA[[#This Row],[ETA for New Ark update]])</f>
        <v>7</v>
      </c>
      <c r="BD543" s="431">
        <f>IFERROR(_xlfn.ISOWEEKNUM(PV_DATA[[#This Row],[ETA for New Ark update]]),0)</f>
        <v>31</v>
      </c>
      <c r="BE543" s="431">
        <f>_xlfn.XLOOKUP(PV_DATA[[#This Row],[New Ark SKU]],Table9[New Ark SKU],Table9[Total PCS per Pallet],,0)</f>
        <v>36</v>
      </c>
      <c r="BF543" s="431">
        <f>_xlfn.XLOOKUP(PV_DATA[[#This Row],[New Ark SKU]],Table9[New Ark SKU],Table9[Total PCS per 40HQ Container],,0)</f>
        <v>720</v>
      </c>
      <c r="BG543" s="431" t="str">
        <f>_xlfn.XLOOKUP(PV_DATA[[#This Row],[New Ark SKU]],Table9[New Ark SKU],Table9[Back Glass],,0)</f>
        <v>Transparent</v>
      </c>
      <c r="BH543" s="431" t="str">
        <f>_xlfn.XLOOKUP(PV_DATA[[#This Row],[PORT DESTINATION]],Table12[PORT DESTINATION],Table12[Cosco Line],,0)</f>
        <v>AEU</v>
      </c>
    </row>
    <row r="544" spans="1:60" s="431" customFormat="1" ht="10.5">
      <c r="A544" s="439" t="s">
        <v>4618</v>
      </c>
      <c r="B544" s="439" t="s">
        <v>111</v>
      </c>
      <c r="C544" s="439" t="str">
        <f>IFERROR(LEFT(PV_DATA[[#This Row],[TCL REFERENCE]],FIND(".",PV_DATA[[#This Row],[TCL REFERENCE]],1)-1),"Main Line")</f>
        <v>26May005</v>
      </c>
      <c r="D544" s="439" t="s">
        <v>63</v>
      </c>
      <c r="E544" s="439" t="s">
        <v>144</v>
      </c>
      <c r="F544" s="439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39" t="s">
        <v>402</v>
      </c>
      <c r="H544" s="719" t="s">
        <v>1449</v>
      </c>
      <c r="I544" s="439" t="s">
        <v>689</v>
      </c>
      <c r="J544" s="431" t="s">
        <v>4619</v>
      </c>
      <c r="K544" s="431" t="s">
        <v>4620</v>
      </c>
      <c r="L544" s="431">
        <v>2</v>
      </c>
      <c r="M544" s="431" t="s">
        <v>840</v>
      </c>
      <c r="N544" s="461">
        <v>46160</v>
      </c>
      <c r="O544" s="431" t="s">
        <v>132</v>
      </c>
      <c r="P544" s="431" t="s">
        <v>189</v>
      </c>
      <c r="Q544" s="431" t="s">
        <v>190</v>
      </c>
      <c r="R544" s="431" t="str">
        <f>_xlfn.XLOOKUP(PV_DATA[[#This Row],[New Ark SKU]],Table9[New Ark SKU],Table9[Connector],,0)</f>
        <v>EVO2A</v>
      </c>
      <c r="S544" s="442" t="str">
        <f>_xlfn.XLOOKUP(PV_DATA[[#This Row],[New Ark SKU]],Table9[New Ark SKU],Table9[Cable],,0)</f>
        <v>±1200mm</v>
      </c>
      <c r="T544" s="442">
        <v>465</v>
      </c>
      <c r="U544" s="1093">
        <f>864*15</f>
        <v>12960</v>
      </c>
      <c r="V544" s="444">
        <f>PV_DATA[[#This Row],[QUANTITY]]*PV_DATA[[#This Row],[WATT]]/1000000</f>
        <v>6.0263999999999998</v>
      </c>
      <c r="W544" s="466">
        <f>PV_DATA[[#This Row],[QUANTITY]]/PV_DATA[[#This Row],[Qty/Pallet]]</f>
        <v>360</v>
      </c>
      <c r="X544" s="1044">
        <f>PV_DATA[[#This Row],[QUANTITY]]/PV_DATA[[#This Row],[Qty/CT]]</f>
        <v>15</v>
      </c>
      <c r="Y544" s="431" t="s">
        <v>2452</v>
      </c>
      <c r="Z544" s="430" t="str">
        <f t="shared" si="5"/>
        <v>COMPLETED</v>
      </c>
      <c r="AA544" s="478" t="s">
        <v>4621</v>
      </c>
      <c r="AB544" s="441">
        <v>46168</v>
      </c>
      <c r="AC544" s="467">
        <f>IF(PV_DATA[[#This Row],[Pick- Up Date]]&lt;&gt;"",_xlfn.ISOWEEKNUM(PV_DATA[[#This Row],[Pick- Up Date]]),"")</f>
        <v>22</v>
      </c>
      <c r="AD544" s="431" t="s">
        <v>4622</v>
      </c>
      <c r="AF544" s="431" t="s">
        <v>123</v>
      </c>
      <c r="AG544" s="431" t="s">
        <v>123</v>
      </c>
      <c r="AH544" s="431" t="s">
        <v>105</v>
      </c>
      <c r="AI544" s="441">
        <v>46173</v>
      </c>
      <c r="AJ544" s="441">
        <v>46190</v>
      </c>
      <c r="AK544" s="441">
        <v>46190</v>
      </c>
      <c r="AL544" s="441">
        <v>46223</v>
      </c>
      <c r="AM544" s="441">
        <v>46234</v>
      </c>
      <c r="AN544" s="441">
        <v>46234</v>
      </c>
      <c r="AO544" s="431" t="s">
        <v>402</v>
      </c>
      <c r="AP544" s="431" t="s">
        <v>4609</v>
      </c>
      <c r="AQ544" s="431" t="s">
        <v>80</v>
      </c>
      <c r="AR544" s="431" t="s">
        <v>4623</v>
      </c>
      <c r="AS544" s="431" t="s">
        <v>4624</v>
      </c>
      <c r="AT544" s="482" t="s">
        <v>4624</v>
      </c>
      <c r="AU5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1"/>
      <c r="AW544" s="441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1">
        <f>IF(ISERROR(PV_DATA[[#This Row],[New Ark PO status]]),"",_xlfn.XLOOKUP(PV_DATA[[#This Row],[SPTN-PVHK New Ark PO'#]],New_Ark_Data[Purchase order Number],New_Ark_Data[Estimated time of arrival],"",0))</f>
        <v>46226</v>
      </c>
      <c r="AZ54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1">
        <f>IFERROR(PV_DATA[[#This Row],[ODP ETA Port]]+PV_DATA[[#This Row],[Customs/Leg3 Assumption]],"n/a")</f>
        <v>46234</v>
      </c>
      <c r="BB544" s="442">
        <f>YEAR(PV_DATA[[#This Row],[ETA for New Ark update]])</f>
        <v>2026</v>
      </c>
      <c r="BC544" s="431">
        <f>MONTH(PV_DATA[[#This Row],[ETA for New Ark update]])</f>
        <v>7</v>
      </c>
      <c r="BD544" s="431">
        <f>IFERROR(_xlfn.ISOWEEKNUM(PV_DATA[[#This Row],[ETA for New Ark update]]),0)</f>
        <v>31</v>
      </c>
      <c r="BE544" s="431">
        <f>_xlfn.XLOOKUP(PV_DATA[[#This Row],[New Ark SKU]],Table9[New Ark SKU],Table9[Total PCS per Pallet],,0)</f>
        <v>36</v>
      </c>
      <c r="BF544" s="431">
        <f>_xlfn.XLOOKUP(PV_DATA[[#This Row],[New Ark SKU]],Table9[New Ark SKU],Table9[Total PCS per 40HQ Container],,0)</f>
        <v>864</v>
      </c>
      <c r="BG544" s="431" t="str">
        <f>_xlfn.XLOOKUP(PV_DATA[[#This Row],[New Ark SKU]],Table9[New Ark SKU],Table9[Back Glass],,0)</f>
        <v>White glazing</v>
      </c>
      <c r="BH544" s="431" t="str">
        <f>_xlfn.XLOOKUP(PV_DATA[[#This Row],[PORT DESTINATION]],Table12[PORT DESTINATION],Table12[Cosco Line],,0)</f>
        <v>AEU</v>
      </c>
    </row>
    <row r="545" spans="1:60" s="431" customFormat="1" ht="10.5">
      <c r="A545" s="439" t="s">
        <v>4625</v>
      </c>
      <c r="B545" s="439" t="s">
        <v>2132</v>
      </c>
      <c r="C545" s="439" t="str">
        <f>IFERROR(LEFT(PV_DATA[[#This Row],[TCL REFERENCE]],FIND(".",PV_DATA[[#This Row],[TCL REFERENCE]],1)-1),"Main Line")</f>
        <v>26Apr007</v>
      </c>
      <c r="D545" s="439" t="s">
        <v>63</v>
      </c>
      <c r="E545" s="439" t="s">
        <v>64</v>
      </c>
      <c r="F545" s="439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39" t="s">
        <v>402</v>
      </c>
      <c r="H545" s="439" t="s">
        <v>311</v>
      </c>
      <c r="I545" s="439" t="s">
        <v>689</v>
      </c>
      <c r="J545" s="431" t="s">
        <v>96</v>
      </c>
      <c r="M545" s="431" t="s">
        <v>68</v>
      </c>
      <c r="N545" s="461">
        <v>46146</v>
      </c>
      <c r="O545" s="431" t="s">
        <v>170</v>
      </c>
      <c r="P545" s="431" t="s">
        <v>171</v>
      </c>
      <c r="Q545" s="431" t="s">
        <v>1731</v>
      </c>
      <c r="R545" s="431" t="str">
        <f>_xlfn.XLOOKUP(PV_DATA[[#This Row],[New Ark SKU]],Table9[New Ark SKU],Table9[Connector],,0)</f>
        <v>EVO2A</v>
      </c>
      <c r="S545" s="442" t="str">
        <f>_xlfn.XLOOKUP(PV_DATA[[#This Row],[New Ark SKU]],Table9[New Ark SKU],Table9[Cable],,0)</f>
        <v>±1400mm</v>
      </c>
      <c r="T545" s="442">
        <v>555</v>
      </c>
      <c r="U545" s="1093">
        <f>660*6</f>
        <v>3960</v>
      </c>
      <c r="V545" s="448">
        <f>PV_DATA[[#This Row],[QUANTITY]]*PV_DATA[[#This Row],[WATT]]/1000000</f>
        <v>2.1978</v>
      </c>
      <c r="W545" s="466">
        <f>PV_DATA[[#This Row],[QUANTITY]]/PV_DATA[[#This Row],[Qty/Pallet]]</f>
        <v>120</v>
      </c>
      <c r="X545" s="1044">
        <f>PV_DATA[[#This Row],[QUANTITY]]/PV_DATA[[#This Row],[Qty/CT]]</f>
        <v>6</v>
      </c>
      <c r="Y545" s="431" t="s">
        <v>951</v>
      </c>
      <c r="Z545" s="430" t="str">
        <f t="shared" si="5"/>
        <v>COMPLETED</v>
      </c>
      <c r="AA545" s="431" t="s">
        <v>4626</v>
      </c>
      <c r="AB545" s="441">
        <v>46164</v>
      </c>
      <c r="AC545" s="467">
        <f>IF(PV_DATA[[#This Row],[Pick- Up Date]]&lt;&gt;"",_xlfn.ISOWEEKNUM(PV_DATA[[#This Row],[Pick- Up Date]]),"")</f>
        <v>21</v>
      </c>
      <c r="AD545" s="431" t="s">
        <v>4627</v>
      </c>
      <c r="AF545" s="431" t="s">
        <v>123</v>
      </c>
      <c r="AG545" s="431" t="s">
        <v>123</v>
      </c>
      <c r="AH545" s="431" t="s">
        <v>314</v>
      </c>
      <c r="AI545" s="441">
        <v>46171</v>
      </c>
      <c r="AJ545" s="441">
        <v>46172</v>
      </c>
      <c r="AK545" s="441">
        <v>46172</v>
      </c>
      <c r="AL545" s="441">
        <v>46218</v>
      </c>
      <c r="AM545" s="441">
        <v>46225</v>
      </c>
      <c r="AN545" s="441">
        <v>46225</v>
      </c>
      <c r="AO545" s="431" t="s">
        <v>402</v>
      </c>
      <c r="AP545" s="431" t="s">
        <v>4628</v>
      </c>
      <c r="AQ545" s="431" t="s">
        <v>80</v>
      </c>
      <c r="AR545" s="431" t="s">
        <v>4629</v>
      </c>
      <c r="AS545" s="431" t="s">
        <v>4630</v>
      </c>
      <c r="AT545" s="482" t="s">
        <v>4630</v>
      </c>
      <c r="AU5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1"/>
      <c r="AW545" s="441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1">
        <f>IF(ISERROR(PV_DATA[[#This Row],[New Ark PO status]]),"",_xlfn.XLOOKUP(PV_DATA[[#This Row],[SPTN-PVHK New Ark PO'#]],New_Ark_Data[Purchase order Number],New_Ark_Data[Estimated time of arrival],"",0))</f>
        <v>46239</v>
      </c>
      <c r="AZ54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5" s="441">
        <f>IFERROR(PV_DATA[[#This Row],[ODP ETA Port]]+PV_DATA[[#This Row],[Customs/Leg3 Assumption]],"n/a")</f>
        <v>46235</v>
      </c>
      <c r="BB545" s="442">
        <f>YEAR(PV_DATA[[#This Row],[ETA for New Ark update]])</f>
        <v>2026</v>
      </c>
      <c r="BC545" s="431">
        <f>MONTH(PV_DATA[[#This Row],[ETA for New Ark update]])</f>
        <v>8</v>
      </c>
      <c r="BD545" s="431">
        <f>IFERROR(_xlfn.ISOWEEKNUM(PV_DATA[[#This Row],[ETA for New Ark update]]),0)</f>
        <v>31</v>
      </c>
      <c r="BE545" s="431">
        <f>_xlfn.XLOOKUP(PV_DATA[[#This Row],[New Ark SKU]],Table9[New Ark SKU],Table9[Total PCS per Pallet],,0)</f>
        <v>33</v>
      </c>
      <c r="BF545" s="431">
        <f>_xlfn.XLOOKUP(PV_DATA[[#This Row],[New Ark SKU]],Table9[New Ark SKU],Table9[Total PCS per 40HQ Container],,0)</f>
        <v>660</v>
      </c>
      <c r="BG545" s="431" t="str">
        <f>_xlfn.XLOOKUP(PV_DATA[[#This Row],[New Ark SKU]],Table9[New Ark SKU],Table9[Back Glass],,0)</f>
        <v>White glazing</v>
      </c>
      <c r="BH545" s="431" t="str">
        <f>_xlfn.XLOOKUP(PV_DATA[[#This Row],[PORT DESTINATION]],Table12[PORT DESTINATION],Table12[Cosco Line],,0)</f>
        <v>AEM</v>
      </c>
    </row>
    <row r="546" spans="1:60" s="431" customFormat="1" ht="10.5">
      <c r="A546" s="439" t="s">
        <v>4631</v>
      </c>
      <c r="B546" s="439" t="s">
        <v>2132</v>
      </c>
      <c r="C546" s="439" t="str">
        <f>IFERROR(LEFT(PV_DATA[[#This Row],[TCL REFERENCE]],FIND(".",PV_DATA[[#This Row],[TCL REFERENCE]],1)-1),"Main Line")</f>
        <v>26Apr008</v>
      </c>
      <c r="D546" s="439" t="s">
        <v>63</v>
      </c>
      <c r="E546" s="439" t="s">
        <v>64</v>
      </c>
      <c r="F546" s="439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39" t="s">
        <v>402</v>
      </c>
      <c r="H546" s="439" t="s">
        <v>311</v>
      </c>
      <c r="I546" s="439" t="s">
        <v>689</v>
      </c>
      <c r="J546" s="431" t="s">
        <v>96</v>
      </c>
      <c r="M546" s="431" t="s">
        <v>68</v>
      </c>
      <c r="N546" s="461">
        <v>46146</v>
      </c>
      <c r="O546" s="431" t="s">
        <v>170</v>
      </c>
      <c r="P546" s="431" t="s">
        <v>1977</v>
      </c>
      <c r="Q546" s="431" t="s">
        <v>1978</v>
      </c>
      <c r="R546" s="431" t="str">
        <f>_xlfn.XLOOKUP(PV_DATA[[#This Row],[New Ark SKU]],Table9[New Ark SKU],Table9[Connector],,0)</f>
        <v>EVO2A</v>
      </c>
      <c r="S546" s="442" t="str">
        <f>_xlfn.XLOOKUP(PV_DATA[[#This Row],[New Ark SKU]],Table9[New Ark SKU],Table9[Cable],,0)</f>
        <v>±1400mm</v>
      </c>
      <c r="T546" s="442">
        <v>560</v>
      </c>
      <c r="U546" s="1093">
        <v>660</v>
      </c>
      <c r="V546" s="448">
        <f>PV_DATA[[#This Row],[QUANTITY]]*PV_DATA[[#This Row],[WATT]]/1000000</f>
        <v>0.36959999999999998</v>
      </c>
      <c r="W546" s="466">
        <f>PV_DATA[[#This Row],[QUANTITY]]/PV_DATA[[#This Row],[Qty/Pallet]]</f>
        <v>20</v>
      </c>
      <c r="X546" s="1044">
        <f>PV_DATA[[#This Row],[QUANTITY]]/PV_DATA[[#This Row],[Qty/CT]]</f>
        <v>1</v>
      </c>
      <c r="Y546" s="431" t="s">
        <v>951</v>
      </c>
      <c r="Z546" s="430" t="str">
        <f t="shared" si="5"/>
        <v>COMPLETED</v>
      </c>
      <c r="AA546" s="431" t="s">
        <v>4626</v>
      </c>
      <c r="AB546" s="441">
        <v>46165</v>
      </c>
      <c r="AC546" s="467">
        <f>IF(PV_DATA[[#This Row],[Pick- Up Date]]&lt;&gt;"",_xlfn.ISOWEEKNUM(PV_DATA[[#This Row],[Pick- Up Date]]),"")</f>
        <v>21</v>
      </c>
      <c r="AD546" s="431" t="s">
        <v>4632</v>
      </c>
      <c r="AF546" s="431" t="s">
        <v>123</v>
      </c>
      <c r="AG546" s="431" t="s">
        <v>123</v>
      </c>
      <c r="AH546" s="431" t="s">
        <v>314</v>
      </c>
      <c r="AI546" s="441">
        <v>46171</v>
      </c>
      <c r="AJ546" s="441">
        <v>46172</v>
      </c>
      <c r="AK546" s="441">
        <v>46172</v>
      </c>
      <c r="AL546" s="441">
        <v>46218</v>
      </c>
      <c r="AM546" s="441">
        <v>46225</v>
      </c>
      <c r="AN546" s="441">
        <v>46225</v>
      </c>
      <c r="AO546" s="431" t="s">
        <v>402</v>
      </c>
      <c r="AP546" s="431" t="s">
        <v>4628</v>
      </c>
      <c r="AQ546" s="431" t="s">
        <v>80</v>
      </c>
      <c r="AR546" s="431" t="s">
        <v>4629</v>
      </c>
      <c r="AS546" s="431" t="s">
        <v>4630</v>
      </c>
      <c r="AT546" s="482" t="s">
        <v>4630</v>
      </c>
      <c r="AU5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1"/>
      <c r="AW546" s="441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1">
        <f>IF(ISERROR(PV_DATA[[#This Row],[New Ark PO status]]),"",_xlfn.XLOOKUP(PV_DATA[[#This Row],[SPTN-PVHK New Ark PO'#]],New_Ark_Data[Purchase order Number],New_Ark_Data[Estimated time of arrival],"",0))</f>
        <v>46239</v>
      </c>
      <c r="AZ54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6" s="441">
        <f>IFERROR(PV_DATA[[#This Row],[ODP ETA Port]]+PV_DATA[[#This Row],[Customs/Leg3 Assumption]],"n/a")</f>
        <v>46235</v>
      </c>
      <c r="BB546" s="442">
        <f>YEAR(PV_DATA[[#This Row],[ETA for New Ark update]])</f>
        <v>2026</v>
      </c>
      <c r="BC546" s="431">
        <f>MONTH(PV_DATA[[#This Row],[ETA for New Ark update]])</f>
        <v>8</v>
      </c>
      <c r="BD546" s="431">
        <f>IFERROR(_xlfn.ISOWEEKNUM(PV_DATA[[#This Row],[ETA for New Ark update]]),0)</f>
        <v>31</v>
      </c>
      <c r="BE546" s="431">
        <f>_xlfn.XLOOKUP(PV_DATA[[#This Row],[New Ark SKU]],Table9[New Ark SKU],Table9[Total PCS per Pallet],,0)</f>
        <v>33</v>
      </c>
      <c r="BF546" s="431">
        <f>_xlfn.XLOOKUP(PV_DATA[[#This Row],[New Ark SKU]],Table9[New Ark SKU],Table9[Total PCS per 40HQ Container],,0)</f>
        <v>660</v>
      </c>
      <c r="BG546" s="431" t="str">
        <f>_xlfn.XLOOKUP(PV_DATA[[#This Row],[New Ark SKU]],Table9[New Ark SKU],Table9[Back Glass],,0)</f>
        <v>White glazing</v>
      </c>
      <c r="BH546" s="431" t="str">
        <f>_xlfn.XLOOKUP(PV_DATA[[#This Row],[PORT DESTINATION]],Table12[PORT DESTINATION],Table12[Cosco Line],,0)</f>
        <v>AEM</v>
      </c>
    </row>
    <row r="547" spans="1:60" s="431" customFormat="1" ht="10.5">
      <c r="A547" s="439" t="s">
        <v>4633</v>
      </c>
      <c r="B547" s="439" t="s">
        <v>2132</v>
      </c>
      <c r="C547" s="439" t="str">
        <f>IFERROR(LEFT(PV_DATA[[#This Row],[TCL REFERENCE]],FIND(".",PV_DATA[[#This Row],[TCL REFERENCE]],1)-1),"Main Line")</f>
        <v>26Apr008</v>
      </c>
      <c r="D547" s="439" t="s">
        <v>63</v>
      </c>
      <c r="E547" s="439" t="s">
        <v>64</v>
      </c>
      <c r="F547" s="439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39" t="s">
        <v>402</v>
      </c>
      <c r="H547" s="439" t="s">
        <v>311</v>
      </c>
      <c r="I547" s="439" t="s">
        <v>882</v>
      </c>
      <c r="J547" s="431" t="s">
        <v>96</v>
      </c>
      <c r="M547" s="431" t="s">
        <v>68</v>
      </c>
      <c r="N547" s="461">
        <v>46146</v>
      </c>
      <c r="O547" s="431" t="s">
        <v>170</v>
      </c>
      <c r="P547" s="431" t="s">
        <v>1977</v>
      </c>
      <c r="Q547" s="431" t="s">
        <v>1978</v>
      </c>
      <c r="R547" s="431" t="str">
        <f>_xlfn.XLOOKUP(PV_DATA[[#This Row],[New Ark SKU]],Table9[New Ark SKU],Table9[Connector],,0)</f>
        <v>EVO2A</v>
      </c>
      <c r="S547" s="442" t="str">
        <f>_xlfn.XLOOKUP(PV_DATA[[#This Row],[New Ark SKU]],Table9[New Ark SKU],Table9[Cable],,0)</f>
        <v>±1400mm</v>
      </c>
      <c r="T547" s="442">
        <v>560</v>
      </c>
      <c r="U547" s="1093">
        <v>1980</v>
      </c>
      <c r="V547" s="448">
        <f>PV_DATA[[#This Row],[QUANTITY]]*PV_DATA[[#This Row],[WATT]]/1000000</f>
        <v>1.1088</v>
      </c>
      <c r="W547" s="466">
        <f>PV_DATA[[#This Row],[QUANTITY]]/PV_DATA[[#This Row],[Qty/Pallet]]</f>
        <v>60</v>
      </c>
      <c r="X547" s="1044">
        <f>PV_DATA[[#This Row],[QUANTITY]]/PV_DATA[[#This Row],[Qty/CT]]</f>
        <v>3</v>
      </c>
      <c r="Y547" s="431" t="s">
        <v>951</v>
      </c>
      <c r="Z547" s="430" t="str">
        <f t="shared" si="5"/>
        <v>COMPLETED</v>
      </c>
      <c r="AA547" s="431" t="s">
        <v>4626</v>
      </c>
      <c r="AB547" s="441">
        <v>46165</v>
      </c>
      <c r="AC547" s="467">
        <f>IF(PV_DATA[[#This Row],[Pick- Up Date]]&lt;&gt;"",_xlfn.ISOWEEKNUM(PV_DATA[[#This Row],[Pick- Up Date]]),"")</f>
        <v>21</v>
      </c>
      <c r="AD547" s="431" t="s">
        <v>4634</v>
      </c>
      <c r="AF547" s="431" t="s">
        <v>123</v>
      </c>
      <c r="AG547" s="431" t="s">
        <v>123</v>
      </c>
      <c r="AH547" s="431" t="s">
        <v>1561</v>
      </c>
      <c r="AI547" s="441">
        <v>46171</v>
      </c>
      <c r="AJ547" s="441">
        <v>46172</v>
      </c>
      <c r="AK547" s="441">
        <v>46172</v>
      </c>
      <c r="AL547" s="441">
        <v>46220</v>
      </c>
      <c r="AM547" s="441">
        <v>46231</v>
      </c>
      <c r="AN547" s="441">
        <v>46227</v>
      </c>
      <c r="AO547" s="431" t="s">
        <v>402</v>
      </c>
      <c r="AP547" s="431" t="s">
        <v>4628</v>
      </c>
      <c r="AQ547" s="431" t="s">
        <v>80</v>
      </c>
      <c r="AR547" s="431" t="s">
        <v>4635</v>
      </c>
      <c r="AS547" s="431" t="s">
        <v>4636</v>
      </c>
      <c r="AT547" s="482" t="s">
        <v>4636</v>
      </c>
      <c r="AU5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1"/>
      <c r="AW547" s="441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1">
        <f>IF(ISERROR(PV_DATA[[#This Row],[New Ark PO status]]),"",_xlfn.XLOOKUP(PV_DATA[[#This Row],[SPTN-PVHK New Ark PO'#]],New_Ark_Data[Purchase order Number],New_Ark_Data[Estimated time of arrival],"",0))</f>
        <v>46241</v>
      </c>
      <c r="AZ54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7" s="441">
        <f>IFERROR(PV_DATA[[#This Row],[ODP ETA Port]]+PV_DATA[[#This Row],[Customs/Leg3 Assumption]],"n/a")</f>
        <v>46237</v>
      </c>
      <c r="BB547" s="442">
        <f>YEAR(PV_DATA[[#This Row],[ETA for New Ark update]])</f>
        <v>2026</v>
      </c>
      <c r="BC547" s="431">
        <f>MONTH(PV_DATA[[#This Row],[ETA for New Ark update]])</f>
        <v>8</v>
      </c>
      <c r="BD547" s="431">
        <f>IFERROR(_xlfn.ISOWEEKNUM(PV_DATA[[#This Row],[ETA for New Ark update]]),0)</f>
        <v>32</v>
      </c>
      <c r="BE547" s="431">
        <f>_xlfn.XLOOKUP(PV_DATA[[#This Row],[New Ark SKU]],Table9[New Ark SKU],Table9[Total PCS per Pallet],,0)</f>
        <v>33</v>
      </c>
      <c r="BF547" s="431">
        <f>_xlfn.XLOOKUP(PV_DATA[[#This Row],[New Ark SKU]],Table9[New Ark SKU],Table9[Total PCS per 40HQ Container],,0)</f>
        <v>660</v>
      </c>
      <c r="BG547" s="431" t="str">
        <f>_xlfn.XLOOKUP(PV_DATA[[#This Row],[New Ark SKU]],Table9[New Ark SKU],Table9[Back Glass],,0)</f>
        <v>White glazing</v>
      </c>
      <c r="BH547" s="431" t="str">
        <f>_xlfn.XLOOKUP(PV_DATA[[#This Row],[PORT DESTINATION]],Table12[PORT DESTINATION],Table12[Cosco Line],,0)</f>
        <v>AEM</v>
      </c>
    </row>
    <row r="548" spans="1:60" s="431" customFormat="1" ht="10.5">
      <c r="A548" s="439" t="s">
        <v>4637</v>
      </c>
      <c r="B548" s="439" t="s">
        <v>2132</v>
      </c>
      <c r="C548" s="439" t="str">
        <f>IFERROR(LEFT(PV_DATA[[#This Row],[TCL REFERENCE]],FIND(".",PV_DATA[[#This Row],[TCL REFERENCE]],1)-1),"Main Line")</f>
        <v>26Apr008</v>
      </c>
      <c r="D548" s="439" t="s">
        <v>63</v>
      </c>
      <c r="E548" s="439" t="s">
        <v>64</v>
      </c>
      <c r="F548" s="439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39" t="s">
        <v>402</v>
      </c>
      <c r="H548" s="439" t="s">
        <v>311</v>
      </c>
      <c r="I548" s="439" t="s">
        <v>882</v>
      </c>
      <c r="J548" s="431" t="s">
        <v>96</v>
      </c>
      <c r="M548" s="431" t="s">
        <v>68</v>
      </c>
      <c r="N548" s="461">
        <v>46146</v>
      </c>
      <c r="O548" s="431" t="s">
        <v>170</v>
      </c>
      <c r="P548" s="431" t="s">
        <v>1977</v>
      </c>
      <c r="Q548" s="431" t="s">
        <v>1978</v>
      </c>
      <c r="R548" s="431" t="str">
        <f>_xlfn.XLOOKUP(PV_DATA[[#This Row],[New Ark SKU]],Table9[New Ark SKU],Table9[Connector],,0)</f>
        <v>EVO2A</v>
      </c>
      <c r="S548" s="442" t="str">
        <f>_xlfn.XLOOKUP(PV_DATA[[#This Row],[New Ark SKU]],Table9[New Ark SKU],Table9[Cable],,0)</f>
        <v>±1400mm</v>
      </c>
      <c r="T548" s="442">
        <v>560</v>
      </c>
      <c r="U548" s="1093">
        <v>1320</v>
      </c>
      <c r="V548" s="448">
        <f>PV_DATA[[#This Row],[QUANTITY]]*PV_DATA[[#This Row],[WATT]]/1000000</f>
        <v>0.73919999999999997</v>
      </c>
      <c r="W548" s="466">
        <f>PV_DATA[[#This Row],[QUANTITY]]/PV_DATA[[#This Row],[Qty/Pallet]]</f>
        <v>40</v>
      </c>
      <c r="X548" s="1044">
        <f>PV_DATA[[#This Row],[QUANTITY]]/PV_DATA[[#This Row],[Qty/CT]]</f>
        <v>2</v>
      </c>
      <c r="Y548" s="431" t="s">
        <v>951</v>
      </c>
      <c r="Z548" s="430" t="str">
        <f t="shared" si="5"/>
        <v>COMPLETED</v>
      </c>
      <c r="AA548" s="431" t="s">
        <v>4626</v>
      </c>
      <c r="AB548" s="441">
        <v>46165</v>
      </c>
      <c r="AC548" s="467">
        <f>IF(PV_DATA[[#This Row],[Pick- Up Date]]&lt;&gt;"",_xlfn.ISOWEEKNUM(PV_DATA[[#This Row],[Pick- Up Date]]),"")</f>
        <v>21</v>
      </c>
      <c r="AD548" s="431" t="s">
        <v>4638</v>
      </c>
      <c r="AF548" s="431" t="s">
        <v>123</v>
      </c>
      <c r="AG548" s="431" t="s">
        <v>123</v>
      </c>
      <c r="AH548" s="431" t="s">
        <v>1561</v>
      </c>
      <c r="AI548" s="441">
        <v>46171</v>
      </c>
      <c r="AJ548" s="441">
        <v>46172</v>
      </c>
      <c r="AK548" s="441">
        <v>46172</v>
      </c>
      <c r="AL548" s="441">
        <v>46220</v>
      </c>
      <c r="AM548" s="441">
        <v>46231</v>
      </c>
      <c r="AN548" s="441">
        <v>46227</v>
      </c>
      <c r="AO548" s="431" t="s">
        <v>402</v>
      </c>
      <c r="AP548" s="431" t="s">
        <v>4628</v>
      </c>
      <c r="AQ548" s="431" t="s">
        <v>80</v>
      </c>
      <c r="AR548" s="431" t="s">
        <v>4635</v>
      </c>
      <c r="AS548" s="431" t="s">
        <v>4636</v>
      </c>
      <c r="AT548" s="482" t="s">
        <v>4636</v>
      </c>
      <c r="AU5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1"/>
      <c r="AW548" s="441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1">
        <f>IF(ISERROR(PV_DATA[[#This Row],[New Ark PO status]]),"",_xlfn.XLOOKUP(PV_DATA[[#This Row],[SPTN-PVHK New Ark PO'#]],New_Ark_Data[Purchase order Number],New_Ark_Data[Estimated time of arrival],"",0))</f>
        <v>46241</v>
      </c>
      <c r="AZ54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8" s="441">
        <f>IFERROR(PV_DATA[[#This Row],[ODP ETA Port]]+PV_DATA[[#This Row],[Customs/Leg3 Assumption]],"n/a")</f>
        <v>46237</v>
      </c>
      <c r="BB548" s="442">
        <f>YEAR(PV_DATA[[#This Row],[ETA for New Ark update]])</f>
        <v>2026</v>
      </c>
      <c r="BC548" s="431">
        <f>MONTH(PV_DATA[[#This Row],[ETA for New Ark update]])</f>
        <v>8</v>
      </c>
      <c r="BD548" s="431">
        <f>IFERROR(_xlfn.ISOWEEKNUM(PV_DATA[[#This Row],[ETA for New Ark update]]),0)</f>
        <v>32</v>
      </c>
      <c r="BE548" s="431">
        <f>_xlfn.XLOOKUP(PV_DATA[[#This Row],[New Ark SKU]],Table9[New Ark SKU],Table9[Total PCS per Pallet],,0)</f>
        <v>33</v>
      </c>
      <c r="BF548" s="431">
        <f>_xlfn.XLOOKUP(PV_DATA[[#This Row],[New Ark SKU]],Table9[New Ark SKU],Table9[Total PCS per 40HQ Container],,0)</f>
        <v>660</v>
      </c>
      <c r="BG548" s="431" t="str">
        <f>_xlfn.XLOOKUP(PV_DATA[[#This Row],[New Ark SKU]],Table9[New Ark SKU],Table9[Back Glass],,0)</f>
        <v>White glazing</v>
      </c>
      <c r="BH548" s="431" t="str">
        <f>_xlfn.XLOOKUP(PV_DATA[[#This Row],[PORT DESTINATION]],Table12[PORT DESTINATION],Table12[Cosco Line],,0)</f>
        <v>AEM</v>
      </c>
    </row>
    <row r="549" spans="1:60" s="431" customFormat="1" ht="10.5">
      <c r="A549" s="439" t="s">
        <v>4639</v>
      </c>
      <c r="B549" s="439" t="s">
        <v>2132</v>
      </c>
      <c r="C549" s="439" t="str">
        <f>IFERROR(LEFT(PV_DATA[[#This Row],[TCL REFERENCE]],FIND(".",PV_DATA[[#This Row],[TCL REFERENCE]],1)-1),"Main Line")</f>
        <v>26Apr007</v>
      </c>
      <c r="D549" s="439" t="s">
        <v>63</v>
      </c>
      <c r="E549" s="439" t="s">
        <v>64</v>
      </c>
      <c r="F549" s="439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39" t="s">
        <v>402</v>
      </c>
      <c r="H549" s="439" t="s">
        <v>311</v>
      </c>
      <c r="I549" s="439" t="s">
        <v>882</v>
      </c>
      <c r="J549" s="431" t="s">
        <v>96</v>
      </c>
      <c r="M549" s="431" t="s">
        <v>68</v>
      </c>
      <c r="N549" s="461">
        <v>46146</v>
      </c>
      <c r="O549" s="431" t="s">
        <v>170</v>
      </c>
      <c r="P549" s="431" t="s">
        <v>171</v>
      </c>
      <c r="Q549" s="431" t="s">
        <v>1731</v>
      </c>
      <c r="R549" s="431" t="str">
        <f>_xlfn.XLOOKUP(PV_DATA[[#This Row],[New Ark SKU]],Table9[New Ark SKU],Table9[Connector],,0)</f>
        <v>EVO2A</v>
      </c>
      <c r="S549" s="442" t="str">
        <f>_xlfn.XLOOKUP(PV_DATA[[#This Row],[New Ark SKU]],Table9[New Ark SKU],Table9[Cable],,0)</f>
        <v>±1400mm</v>
      </c>
      <c r="T549" s="442">
        <v>555</v>
      </c>
      <c r="U549" s="1093">
        <f>660*3</f>
        <v>1980</v>
      </c>
      <c r="V549" s="448">
        <f>PV_DATA[[#This Row],[QUANTITY]]*PV_DATA[[#This Row],[WATT]]/1000000</f>
        <v>1.0989</v>
      </c>
      <c r="W549" s="466">
        <f>PV_DATA[[#This Row],[QUANTITY]]/PV_DATA[[#This Row],[Qty/Pallet]]</f>
        <v>60</v>
      </c>
      <c r="X549" s="1044">
        <f>PV_DATA[[#This Row],[QUANTITY]]/PV_DATA[[#This Row],[Qty/CT]]</f>
        <v>3</v>
      </c>
      <c r="Y549" s="431" t="s">
        <v>951</v>
      </c>
      <c r="Z549" s="430" t="str">
        <f t="shared" si="5"/>
        <v>COMPLETED</v>
      </c>
      <c r="AA549" s="431" t="s">
        <v>4626</v>
      </c>
      <c r="AB549" s="441">
        <v>46165</v>
      </c>
      <c r="AC549" s="467">
        <f>IF(PV_DATA[[#This Row],[Pick- Up Date]]&lt;&gt;"",_xlfn.ISOWEEKNUM(PV_DATA[[#This Row],[Pick- Up Date]]),"")</f>
        <v>21</v>
      </c>
      <c r="AD549" s="431" t="s">
        <v>4640</v>
      </c>
      <c r="AF549" s="431" t="s">
        <v>123</v>
      </c>
      <c r="AG549" s="431" t="s">
        <v>123</v>
      </c>
      <c r="AH549" s="431" t="s">
        <v>1561</v>
      </c>
      <c r="AI549" s="441">
        <v>46171</v>
      </c>
      <c r="AJ549" s="441">
        <v>46172</v>
      </c>
      <c r="AK549" s="441">
        <v>46172</v>
      </c>
      <c r="AL549" s="441">
        <v>46220</v>
      </c>
      <c r="AM549" s="441">
        <v>46231</v>
      </c>
      <c r="AN549" s="441">
        <v>46227</v>
      </c>
      <c r="AO549" s="431" t="s">
        <v>402</v>
      </c>
      <c r="AP549" s="431" t="s">
        <v>4628</v>
      </c>
      <c r="AQ549" s="431" t="s">
        <v>80</v>
      </c>
      <c r="AR549" s="431" t="s">
        <v>4635</v>
      </c>
      <c r="AS549" s="431" t="s">
        <v>4636</v>
      </c>
      <c r="AT549" s="482" t="s">
        <v>4636</v>
      </c>
      <c r="AU5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1"/>
      <c r="AW549" s="441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1">
        <f>IF(ISERROR(PV_DATA[[#This Row],[New Ark PO status]]),"",_xlfn.XLOOKUP(PV_DATA[[#This Row],[SPTN-PVHK New Ark PO'#]],New_Ark_Data[Purchase order Number],New_Ark_Data[Estimated time of arrival],"",0))</f>
        <v>46241</v>
      </c>
      <c r="AZ54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9" s="441">
        <f>IFERROR(PV_DATA[[#This Row],[ODP ETA Port]]+PV_DATA[[#This Row],[Customs/Leg3 Assumption]],"n/a")</f>
        <v>46237</v>
      </c>
      <c r="BB549" s="442">
        <f>YEAR(PV_DATA[[#This Row],[ETA for New Ark update]])</f>
        <v>2026</v>
      </c>
      <c r="BC549" s="431">
        <f>MONTH(PV_DATA[[#This Row],[ETA for New Ark update]])</f>
        <v>8</v>
      </c>
      <c r="BD549" s="431">
        <f>IFERROR(_xlfn.ISOWEEKNUM(PV_DATA[[#This Row],[ETA for New Ark update]]),0)</f>
        <v>32</v>
      </c>
      <c r="BE549" s="431">
        <f>_xlfn.XLOOKUP(PV_DATA[[#This Row],[New Ark SKU]],Table9[New Ark SKU],Table9[Total PCS per Pallet],,0)</f>
        <v>33</v>
      </c>
      <c r="BF549" s="431">
        <f>_xlfn.XLOOKUP(PV_DATA[[#This Row],[New Ark SKU]],Table9[New Ark SKU],Table9[Total PCS per 40HQ Container],,0)</f>
        <v>660</v>
      </c>
      <c r="BG549" s="431" t="str">
        <f>_xlfn.XLOOKUP(PV_DATA[[#This Row],[New Ark SKU]],Table9[New Ark SKU],Table9[Back Glass],,0)</f>
        <v>White glazing</v>
      </c>
      <c r="BH549" s="431" t="str">
        <f>_xlfn.XLOOKUP(PV_DATA[[#This Row],[PORT DESTINATION]],Table12[PORT DESTINATION],Table12[Cosco Line],,0)</f>
        <v>AEM</v>
      </c>
    </row>
    <row r="550" spans="1:60" s="431" customFormat="1">
      <c r="A550" s="439" t="s">
        <v>4641</v>
      </c>
      <c r="B550" s="439" t="s">
        <v>111</v>
      </c>
      <c r="C550" s="439" t="str">
        <f>IFERROR(LEFT(PV_DATA[[#This Row],[TCL REFERENCE]],FIND(".",PV_DATA[[#This Row],[TCL REFERENCE]],1)-1),"Main Line")</f>
        <v>26May016</v>
      </c>
      <c r="D550" s="439" t="s">
        <v>63</v>
      </c>
      <c r="E550" s="439" t="s">
        <v>144</v>
      </c>
      <c r="F550" s="439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39" t="s">
        <v>402</v>
      </c>
      <c r="H550" s="439" t="s">
        <v>593</v>
      </c>
      <c r="I550" s="439" t="s">
        <v>2004</v>
      </c>
      <c r="J550" s="431" t="s">
        <v>4642</v>
      </c>
      <c r="K550" s="431" t="s">
        <v>4519</v>
      </c>
      <c r="M550" s="431" t="s">
        <v>840</v>
      </c>
      <c r="N550" s="461" t="s">
        <v>68</v>
      </c>
      <c r="O550" s="431" t="s">
        <v>4486</v>
      </c>
      <c r="P550" s="431" t="s">
        <v>4520</v>
      </c>
      <c r="Q550" s="431" t="s">
        <v>4521</v>
      </c>
      <c r="R550" s="431" t="str">
        <f>_xlfn.XLOOKUP(PV_DATA[[#This Row],[New Ark SKU]],Table9[New Ark SKU],Table9[Connector],,0)</f>
        <v>EVO2A</v>
      </c>
      <c r="S550" s="442" t="str">
        <f>_xlfn.XLOOKUP(PV_DATA[[#This Row],[New Ark SKU]],Table9[New Ark SKU],Table9[Cable],,0)</f>
        <v>±1400mm</v>
      </c>
      <c r="T550" s="442">
        <v>645</v>
      </c>
      <c r="U550" s="1093">
        <v>720</v>
      </c>
      <c r="V550" s="448">
        <f>PV_DATA[[#This Row],[QUANTITY]]*PV_DATA[[#This Row],[WATT]]/1000000</f>
        <v>0.46439999999999998</v>
      </c>
      <c r="W550" s="466">
        <f>PV_DATA[[#This Row],[QUANTITY]]/PV_DATA[[#This Row],[Qty/Pallet]]</f>
        <v>20</v>
      </c>
      <c r="X550" s="1044">
        <f>PV_DATA[[#This Row],[QUANTITY]]/PV_DATA[[#This Row],[Qty/CT]]</f>
        <v>1</v>
      </c>
      <c r="Y550" s="431" t="s">
        <v>951</v>
      </c>
      <c r="Z550" s="430" t="str">
        <f t="shared" si="5"/>
        <v>COMPLETED</v>
      </c>
      <c r="AB550" s="441">
        <v>46162</v>
      </c>
      <c r="AC550" s="467">
        <f>IF(PV_DATA[[#This Row],[Pick- Up Date]]&lt;&gt;"",_xlfn.ISOWEEKNUM(PV_DATA[[#This Row],[Pick- Up Date]]),"")</f>
        <v>21</v>
      </c>
      <c r="AD550" s="431" t="s">
        <v>4643</v>
      </c>
      <c r="AF550" s="431" t="s">
        <v>4423</v>
      </c>
      <c r="AG550" s="431" t="s">
        <v>123</v>
      </c>
      <c r="AH550" s="431" t="s">
        <v>124</v>
      </c>
      <c r="AI550" s="441">
        <v>46168</v>
      </c>
      <c r="AJ550" s="441">
        <v>46168</v>
      </c>
      <c r="AK550" s="441">
        <v>46168</v>
      </c>
      <c r="AL550" s="441">
        <v>46204</v>
      </c>
      <c r="AM550" s="441"/>
      <c r="AN550" s="441">
        <v>46204</v>
      </c>
      <c r="AO550" s="431" t="s">
        <v>402</v>
      </c>
      <c r="AP550" s="431" t="s">
        <v>4644</v>
      </c>
      <c r="AQ550" s="431" t="s">
        <v>80</v>
      </c>
      <c r="AR550" s="431" t="s">
        <v>4645</v>
      </c>
      <c r="AS550" s="431" t="s">
        <v>4646</v>
      </c>
      <c r="AT550" s="482" t="s">
        <v>4646</v>
      </c>
      <c r="AU5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1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1">
        <f>IF(ISERROR(PV_DATA[[#This Row],[New Ark PO status]]),"",_xlfn.XLOOKUP(PV_DATA[[#This Row],[SPTN-PVHK New Ark PO'#]],New_Ark_Data[Purchase order Number],New_Ark_Data[Estimated time of arrival],"",0))</f>
        <v>46204</v>
      </c>
      <c r="AZ55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1">
        <f>IFERROR(PV_DATA[[#This Row],[ODP ETA Port]]+PV_DATA[[#This Row],[Customs/Leg3 Assumption]],"n/a")</f>
        <v>46204</v>
      </c>
      <c r="BB550" s="442">
        <f>YEAR(PV_DATA[[#This Row],[ETA for New Ark update]])</f>
        <v>2026</v>
      </c>
      <c r="BC550" s="431">
        <f>MONTH(PV_DATA[[#This Row],[ETA for New Ark update]])</f>
        <v>7</v>
      </c>
      <c r="BD550" s="431">
        <f>IFERROR(_xlfn.ISOWEEKNUM(PV_DATA[[#This Row],[ETA for New Ark update]]),0)</f>
        <v>27</v>
      </c>
      <c r="BE550" s="431">
        <f>_xlfn.XLOOKUP(PV_DATA[[#This Row],[New Ark SKU]],Table9[New Ark SKU],Table9[Total PCS per Pallet],,0)</f>
        <v>36</v>
      </c>
      <c r="BF550" s="431">
        <f>_xlfn.XLOOKUP(PV_DATA[[#This Row],[New Ark SKU]],Table9[New Ark SKU],Table9[Total PCS per 40HQ Container],,0)</f>
        <v>720</v>
      </c>
      <c r="BG550" s="431" t="str">
        <f>_xlfn.XLOOKUP(PV_DATA[[#This Row],[New Ark SKU]],Table9[New Ark SKU],Table9[Back Glass],,0)</f>
        <v>Transparent</v>
      </c>
      <c r="BH550" s="431" t="str">
        <f>_xlfn.XLOOKUP(PV_DATA[[#This Row],[PORT DESTINATION]],Table12[PORT DESTINATION],Table12[Cosco Line],,0)</f>
        <v>AEM</v>
      </c>
    </row>
    <row r="551" spans="1:60" s="450" customFormat="1" ht="10.5">
      <c r="A551" s="446" t="s">
        <v>4647</v>
      </c>
      <c r="B551" s="446" t="s">
        <v>111</v>
      </c>
      <c r="C551" s="446" t="str">
        <f>IFERROR(LEFT(PV_DATA[[#This Row],[TCL REFERENCE]],FIND(".",PV_DATA[[#This Row],[TCL REFERENCE]],1)-1),"Main Line")</f>
        <v>26May006</v>
      </c>
      <c r="D551" s="446" t="s">
        <v>63</v>
      </c>
      <c r="E551" s="446" t="s">
        <v>64</v>
      </c>
      <c r="F551" s="446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6" t="s">
        <v>402</v>
      </c>
      <c r="H551" s="446" t="s">
        <v>115</v>
      </c>
      <c r="I551" s="446" t="s">
        <v>2004</v>
      </c>
      <c r="J551" s="450" t="s">
        <v>4648</v>
      </c>
      <c r="K551" s="537"/>
      <c r="M551" s="451" t="s">
        <v>68</v>
      </c>
      <c r="N551" s="451">
        <v>46160</v>
      </c>
      <c r="O551" s="450" t="s">
        <v>132</v>
      </c>
      <c r="P551" s="450" t="s">
        <v>1062</v>
      </c>
      <c r="Q551" s="450" t="s">
        <v>1063</v>
      </c>
      <c r="R551" s="450" t="str">
        <f>_xlfn.XLOOKUP(PV_DATA[[#This Row],[New Ark SKU]],Table9[New Ark SKU],Table9[Connector],,0)</f>
        <v>EVO2A</v>
      </c>
      <c r="S551" s="442" t="str">
        <f>_xlfn.XLOOKUP(PV_DATA[[#This Row],[New Ark SKU]],Table9[New Ark SKU],Table9[Cable],,0)</f>
        <v>±1200mm</v>
      </c>
      <c r="T551" s="452">
        <v>470</v>
      </c>
      <c r="U551" s="1089">
        <f>864*1</f>
        <v>864</v>
      </c>
      <c r="V551" s="453">
        <f>PV_DATA[[#This Row],[QUANTITY]]*PV_DATA[[#This Row],[WATT]]/1000000</f>
        <v>0.40608</v>
      </c>
      <c r="W551" s="454">
        <f>PV_DATA[[#This Row],[QUANTITY]]/PV_DATA[[#This Row],[Qty/Pallet]]</f>
        <v>24</v>
      </c>
      <c r="X551" s="1045">
        <f>PV_DATA[[#This Row],[QUANTITY]]/PV_DATA[[#This Row],[Qty/CT]]</f>
        <v>1</v>
      </c>
      <c r="Y551" s="450" t="s">
        <v>951</v>
      </c>
      <c r="Z551" s="430" t="str">
        <f t="shared" si="5"/>
        <v>COMPLETED</v>
      </c>
      <c r="AA551" s="538" t="s">
        <v>4579</v>
      </c>
      <c r="AB551" s="455">
        <v>46162</v>
      </c>
      <c r="AC551" s="471">
        <f>IF(PV_DATA[[#This Row],[Pick- Up Date]]&lt;&gt;"",_xlfn.ISOWEEKNUM(PV_DATA[[#This Row],[Pick- Up Date]]),"")</f>
        <v>21</v>
      </c>
      <c r="AD551" s="431" t="s">
        <v>4649</v>
      </c>
      <c r="AF551" s="450" t="s">
        <v>123</v>
      </c>
      <c r="AG551" s="450" t="s">
        <v>123</v>
      </c>
      <c r="AH551" s="450" t="s">
        <v>124</v>
      </c>
      <c r="AI551" s="455">
        <v>46168</v>
      </c>
      <c r="AJ551" s="455">
        <v>46168</v>
      </c>
      <c r="AK551" s="455">
        <v>46168</v>
      </c>
      <c r="AL551" s="455">
        <v>46204</v>
      </c>
      <c r="AM551" s="455"/>
      <c r="AN551" s="455">
        <v>46204</v>
      </c>
      <c r="AO551" s="450" t="s">
        <v>402</v>
      </c>
      <c r="AP551" s="450" t="s">
        <v>4644</v>
      </c>
      <c r="AQ551" s="450" t="s">
        <v>80</v>
      </c>
      <c r="AR551" s="450" t="s">
        <v>4650</v>
      </c>
      <c r="AS551" s="450" t="s">
        <v>4651</v>
      </c>
      <c r="AT551" s="482" t="s">
        <v>4646</v>
      </c>
      <c r="AU5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5"/>
      <c r="AW551" s="455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5">
        <f>IF(ISERROR(PV_DATA[[#This Row],[New Ark PO status]]),"",_xlfn.XLOOKUP(PV_DATA[[#This Row],[SPTN-PVHK New Ark PO'#]],New_Ark_Data[Purchase order Number],New_Ark_Data[Estimated time of arrival],"",0))</f>
        <v>46218</v>
      </c>
      <c r="AZ551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5">
        <f>IFERROR(PV_DATA[[#This Row],[ODP ETA Port]]+PV_DATA[[#This Row],[Customs/Leg3 Assumption]],"n/a")</f>
        <v>46213</v>
      </c>
      <c r="BB551" s="452">
        <f>YEAR(PV_DATA[[#This Row],[ETA for New Ark update]])</f>
        <v>2026</v>
      </c>
      <c r="BC551" s="450">
        <f>MONTH(PV_DATA[[#This Row],[ETA for New Ark update]])</f>
        <v>7</v>
      </c>
      <c r="BD551" s="450">
        <f>IFERROR(_xlfn.ISOWEEKNUM(PV_DATA[[#This Row],[ETA for New Ark update]]),0)</f>
        <v>28</v>
      </c>
      <c r="BE551" s="450">
        <f>_xlfn.XLOOKUP(PV_DATA[[#This Row],[New Ark SKU]],Table9[New Ark SKU],Table9[Total PCS per Pallet],,0)</f>
        <v>36</v>
      </c>
      <c r="BF551" s="450">
        <f>_xlfn.XLOOKUP(PV_DATA[[#This Row],[New Ark SKU]],Table9[New Ark SKU],Table9[Total PCS per 40HQ Container],,0)</f>
        <v>864</v>
      </c>
      <c r="BG551" s="431" t="str">
        <f>_xlfn.XLOOKUP(PV_DATA[[#This Row],[New Ark SKU]],Table9[New Ark SKU],Table9[Back Glass],,0)</f>
        <v>White glazing</v>
      </c>
      <c r="BH551" s="450" t="str">
        <f>_xlfn.XLOOKUP(PV_DATA[[#This Row],[PORT DESTINATION]],Table12[PORT DESTINATION],Table12[Cosco Line],,0)</f>
        <v>AEM</v>
      </c>
    </row>
    <row r="552" spans="1:60" s="450" customFormat="1" ht="10.5">
      <c r="A552" s="446" t="s">
        <v>4652</v>
      </c>
      <c r="B552" s="446" t="s">
        <v>111</v>
      </c>
      <c r="C552" s="446" t="str">
        <f>IFERROR(LEFT(PV_DATA[[#This Row],[TCL REFERENCE]],FIND(".",PV_DATA[[#This Row],[TCL REFERENCE]],1)-1),"Main Line")</f>
        <v>26Apr009</v>
      </c>
      <c r="D552" s="446" t="s">
        <v>63</v>
      </c>
      <c r="E552" s="446" t="s">
        <v>64</v>
      </c>
      <c r="F552" s="446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6" t="s">
        <v>402</v>
      </c>
      <c r="H552" s="446" t="s">
        <v>115</v>
      </c>
      <c r="I552" s="446" t="s">
        <v>2004</v>
      </c>
      <c r="J552" s="450" t="s">
        <v>4648</v>
      </c>
      <c r="K552" s="537"/>
      <c r="M552" s="451" t="s">
        <v>68</v>
      </c>
      <c r="N552" s="451">
        <v>46146</v>
      </c>
      <c r="O552" s="450" t="s">
        <v>132</v>
      </c>
      <c r="P552" s="450" t="s">
        <v>189</v>
      </c>
      <c r="Q552" s="450" t="s">
        <v>190</v>
      </c>
      <c r="R552" s="450" t="str">
        <f>_xlfn.XLOOKUP(PV_DATA[[#This Row],[New Ark SKU]],Table9[New Ark SKU],Table9[Connector],,0)</f>
        <v>EVO2A</v>
      </c>
      <c r="S552" s="442" t="str">
        <f>_xlfn.XLOOKUP(PV_DATA[[#This Row],[New Ark SKU]],Table9[New Ark SKU],Table9[Cable],,0)</f>
        <v>±1200mm</v>
      </c>
      <c r="T552" s="452">
        <v>465</v>
      </c>
      <c r="U552" s="1089">
        <f>864*4</f>
        <v>3456</v>
      </c>
      <c r="V552" s="453">
        <f>PV_DATA[[#This Row],[QUANTITY]]*PV_DATA[[#This Row],[WATT]]/1000000</f>
        <v>1.60704</v>
      </c>
      <c r="W552" s="454">
        <f>PV_DATA[[#This Row],[QUANTITY]]/PV_DATA[[#This Row],[Qty/Pallet]]</f>
        <v>96</v>
      </c>
      <c r="X552" s="1045">
        <f>PV_DATA[[#This Row],[QUANTITY]]/PV_DATA[[#This Row],[Qty/CT]]</f>
        <v>4</v>
      </c>
      <c r="Y552" s="450" t="s">
        <v>951</v>
      </c>
      <c r="Z552" s="430" t="str">
        <f t="shared" si="5"/>
        <v>COMPLETED</v>
      </c>
      <c r="AA552" s="538" t="s">
        <v>4653</v>
      </c>
      <c r="AB552" s="455">
        <v>46162</v>
      </c>
      <c r="AC552" s="471">
        <f>IF(PV_DATA[[#This Row],[Pick- Up Date]]&lt;&gt;"",_xlfn.ISOWEEKNUM(PV_DATA[[#This Row],[Pick- Up Date]]),"")</f>
        <v>21</v>
      </c>
      <c r="AD552" s="431" t="s">
        <v>4654</v>
      </c>
      <c r="AF552" s="450" t="s">
        <v>123</v>
      </c>
      <c r="AG552" s="450" t="s">
        <v>123</v>
      </c>
      <c r="AH552" s="450" t="s">
        <v>124</v>
      </c>
      <c r="AI552" s="455">
        <v>46168</v>
      </c>
      <c r="AJ552" s="455">
        <v>46168</v>
      </c>
      <c r="AK552" s="455">
        <v>46168</v>
      </c>
      <c r="AL552" s="455">
        <v>46204</v>
      </c>
      <c r="AM552" s="455"/>
      <c r="AN552" s="455">
        <v>46204</v>
      </c>
      <c r="AO552" s="450" t="s">
        <v>402</v>
      </c>
      <c r="AP552" s="450" t="s">
        <v>4644</v>
      </c>
      <c r="AQ552" s="450" t="s">
        <v>80</v>
      </c>
      <c r="AR552" s="450" t="s">
        <v>4650</v>
      </c>
      <c r="AS552" s="450" t="s">
        <v>4651</v>
      </c>
      <c r="AT552" s="482" t="s">
        <v>4646</v>
      </c>
      <c r="AU5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5"/>
      <c r="AW552" s="455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5">
        <f>IF(ISERROR(PV_DATA[[#This Row],[New Ark PO status]]),"",_xlfn.XLOOKUP(PV_DATA[[#This Row],[SPTN-PVHK New Ark PO'#]],New_Ark_Data[Purchase order Number],New_Ark_Data[Estimated time of arrival],"",0))</f>
        <v>46218</v>
      </c>
      <c r="AZ55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5">
        <f>IFERROR(PV_DATA[[#This Row],[ODP ETA Port]]+PV_DATA[[#This Row],[Customs/Leg3 Assumption]],"n/a")</f>
        <v>46213</v>
      </c>
      <c r="BB552" s="452">
        <f>YEAR(PV_DATA[[#This Row],[ETA for New Ark update]])</f>
        <v>2026</v>
      </c>
      <c r="BC552" s="450">
        <f>MONTH(PV_DATA[[#This Row],[ETA for New Ark update]])</f>
        <v>7</v>
      </c>
      <c r="BD552" s="450">
        <f>IFERROR(_xlfn.ISOWEEKNUM(PV_DATA[[#This Row],[ETA for New Ark update]]),0)</f>
        <v>28</v>
      </c>
      <c r="BE552" s="450">
        <f>_xlfn.XLOOKUP(PV_DATA[[#This Row],[New Ark SKU]],Table9[New Ark SKU],Table9[Total PCS per Pallet],,0)</f>
        <v>36</v>
      </c>
      <c r="BF552" s="450">
        <f>_xlfn.XLOOKUP(PV_DATA[[#This Row],[New Ark SKU]],Table9[New Ark SKU],Table9[Total PCS per 40HQ Container],,0)</f>
        <v>864</v>
      </c>
      <c r="BG552" s="431" t="str">
        <f>_xlfn.XLOOKUP(PV_DATA[[#This Row],[New Ark SKU]],Table9[New Ark SKU],Table9[Back Glass],,0)</f>
        <v>White glazing</v>
      </c>
      <c r="BH552" s="450" t="str">
        <f>_xlfn.XLOOKUP(PV_DATA[[#This Row],[PORT DESTINATION]],Table12[PORT DESTINATION],Table12[Cosco Line],,0)</f>
        <v>AEM</v>
      </c>
    </row>
    <row r="553" spans="1:60" s="450" customFormat="1" ht="10.5">
      <c r="A553" s="446" t="s">
        <v>4655</v>
      </c>
      <c r="B553" s="446" t="s">
        <v>111</v>
      </c>
      <c r="C553" s="446" t="str">
        <f>IFERROR(LEFT(PV_DATA[[#This Row],[TCL REFERENCE]],FIND(".",PV_DATA[[#This Row],[TCL REFERENCE]],1)-1),"Main Line")</f>
        <v>26May005</v>
      </c>
      <c r="D553" s="446" t="s">
        <v>63</v>
      </c>
      <c r="E553" s="446" t="s">
        <v>64</v>
      </c>
      <c r="F553" s="446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6" t="s">
        <v>402</v>
      </c>
      <c r="H553" s="446" t="s">
        <v>115</v>
      </c>
      <c r="I553" s="446" t="s">
        <v>2004</v>
      </c>
      <c r="J553" s="450" t="s">
        <v>4648</v>
      </c>
      <c r="K553" s="537"/>
      <c r="M553" s="451" t="s">
        <v>68</v>
      </c>
      <c r="N553" s="451">
        <v>46160</v>
      </c>
      <c r="O553" s="450" t="s">
        <v>132</v>
      </c>
      <c r="P553" s="450" t="s">
        <v>189</v>
      </c>
      <c r="Q553" s="450" t="s">
        <v>190</v>
      </c>
      <c r="R553" s="450" t="str">
        <f>_xlfn.XLOOKUP(PV_DATA[[#This Row],[New Ark SKU]],Table9[New Ark SKU],Table9[Connector],,0)</f>
        <v>EVO2A</v>
      </c>
      <c r="S553" s="442" t="str">
        <f>_xlfn.XLOOKUP(PV_DATA[[#This Row],[New Ark SKU]],Table9[New Ark SKU],Table9[Cable],,0)</f>
        <v>±1200mm</v>
      </c>
      <c r="T553" s="452">
        <v>465</v>
      </c>
      <c r="U553" s="1089">
        <f>864*1</f>
        <v>864</v>
      </c>
      <c r="V553" s="453">
        <f>PV_DATA[[#This Row],[QUANTITY]]*PV_DATA[[#This Row],[WATT]]/1000000</f>
        <v>0.40176000000000001</v>
      </c>
      <c r="W553" s="454">
        <f>PV_DATA[[#This Row],[QUANTITY]]/PV_DATA[[#This Row],[Qty/Pallet]]</f>
        <v>24</v>
      </c>
      <c r="X553" s="1045">
        <f>PV_DATA[[#This Row],[QUANTITY]]/PV_DATA[[#This Row],[Qty/CT]]</f>
        <v>1</v>
      </c>
      <c r="Y553" s="450" t="s">
        <v>951</v>
      </c>
      <c r="Z553" s="430" t="str">
        <f t="shared" si="5"/>
        <v>COMPLETED</v>
      </c>
      <c r="AA553" s="538" t="s">
        <v>4653</v>
      </c>
      <c r="AB553" s="455">
        <v>46162</v>
      </c>
      <c r="AC553" s="471">
        <f>IF(PV_DATA[[#This Row],[Pick- Up Date]]&lt;&gt;"",_xlfn.ISOWEEKNUM(PV_DATA[[#This Row],[Pick- Up Date]]),"")</f>
        <v>21</v>
      </c>
      <c r="AD553" s="431" t="s">
        <v>4656</v>
      </c>
      <c r="AF553" s="450" t="s">
        <v>123</v>
      </c>
      <c r="AG553" s="450" t="s">
        <v>123</v>
      </c>
      <c r="AH553" s="450" t="s">
        <v>124</v>
      </c>
      <c r="AI553" s="455">
        <v>46168</v>
      </c>
      <c r="AJ553" s="455">
        <v>46168</v>
      </c>
      <c r="AK553" s="455">
        <v>46168</v>
      </c>
      <c r="AL553" s="455">
        <v>46204</v>
      </c>
      <c r="AM553" s="455"/>
      <c r="AN553" s="455">
        <v>46204</v>
      </c>
      <c r="AO553" s="450" t="s">
        <v>402</v>
      </c>
      <c r="AP553" s="450" t="s">
        <v>4644</v>
      </c>
      <c r="AQ553" s="450" t="s">
        <v>80</v>
      </c>
      <c r="AR553" s="450" t="s">
        <v>4650</v>
      </c>
      <c r="AS553" s="450" t="s">
        <v>4651</v>
      </c>
      <c r="AT553" s="482" t="s">
        <v>4646</v>
      </c>
      <c r="AU5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5"/>
      <c r="AW553" s="455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5">
        <f>IF(ISERROR(PV_DATA[[#This Row],[New Ark PO status]]),"",_xlfn.XLOOKUP(PV_DATA[[#This Row],[SPTN-PVHK New Ark PO'#]],New_Ark_Data[Purchase order Number],New_Ark_Data[Estimated time of arrival],"",0))</f>
        <v>46215</v>
      </c>
      <c r="AZ55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5">
        <f>IFERROR(PV_DATA[[#This Row],[ODP ETA Port]]+PV_DATA[[#This Row],[Customs/Leg3 Assumption]],"n/a")</f>
        <v>46213</v>
      </c>
      <c r="BB553" s="452">
        <f>YEAR(PV_DATA[[#This Row],[ETA for New Ark update]])</f>
        <v>2026</v>
      </c>
      <c r="BC553" s="450">
        <f>MONTH(PV_DATA[[#This Row],[ETA for New Ark update]])</f>
        <v>7</v>
      </c>
      <c r="BD553" s="450">
        <f>IFERROR(_xlfn.ISOWEEKNUM(PV_DATA[[#This Row],[ETA for New Ark update]]),0)</f>
        <v>28</v>
      </c>
      <c r="BE553" s="450">
        <f>_xlfn.XLOOKUP(PV_DATA[[#This Row],[New Ark SKU]],Table9[New Ark SKU],Table9[Total PCS per Pallet],,0)</f>
        <v>36</v>
      </c>
      <c r="BF553" s="450">
        <f>_xlfn.XLOOKUP(PV_DATA[[#This Row],[New Ark SKU]],Table9[New Ark SKU],Table9[Total PCS per 40HQ Container],,0)</f>
        <v>864</v>
      </c>
      <c r="BG553" s="431" t="str">
        <f>_xlfn.XLOOKUP(PV_DATA[[#This Row],[New Ark SKU]],Table9[New Ark SKU],Table9[Back Glass],,0)</f>
        <v>White glazing</v>
      </c>
      <c r="BH553" s="450" t="str">
        <f>_xlfn.XLOOKUP(PV_DATA[[#This Row],[PORT DESTINATION]],Table12[PORT DESTINATION],Table12[Cosco Line],,0)</f>
        <v>AEM</v>
      </c>
    </row>
    <row r="554" spans="1:60" s="431" customFormat="1" ht="10.5">
      <c r="A554" s="439" t="s">
        <v>4657</v>
      </c>
      <c r="B554" s="439" t="s">
        <v>61</v>
      </c>
      <c r="C554" s="439" t="str">
        <f>IFERROR(LEFT(PV_DATA[[#This Row],[TCL REFERENCE]],FIND(".",PV_DATA[[#This Row],[TCL REFERENCE]],1)-1),"Main Line")</f>
        <v>26May009</v>
      </c>
      <c r="D554" s="439" t="s">
        <v>63</v>
      </c>
      <c r="E554" s="439" t="s">
        <v>144</v>
      </c>
      <c r="F554" s="439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39" t="s">
        <v>402</v>
      </c>
      <c r="H554" s="439" t="s">
        <v>1029</v>
      </c>
      <c r="I554" s="439" t="s">
        <v>689</v>
      </c>
      <c r="J554" s="431" t="s">
        <v>4545</v>
      </c>
      <c r="K554" s="431" t="s">
        <v>2389</v>
      </c>
      <c r="L554" s="431">
        <v>2</v>
      </c>
      <c r="M554" s="431" t="s">
        <v>840</v>
      </c>
      <c r="N554" s="461">
        <v>46153</v>
      </c>
      <c r="O554" s="431" t="s">
        <v>4531</v>
      </c>
      <c r="P554" s="431" t="s">
        <v>71</v>
      </c>
      <c r="Q554" s="431" t="s">
        <v>72</v>
      </c>
      <c r="R554" s="431" t="str">
        <f>_xlfn.XLOOKUP(PV_DATA[[#This Row],[New Ark SKU]],Table9[New Ark SKU],Table9[Connector],,0)</f>
        <v>EVO2A</v>
      </c>
      <c r="S554" s="442" t="str">
        <f>_xlfn.XLOOKUP(PV_DATA[[#This Row],[New Ark SKU]],Table9[New Ark SKU],Table9[Cable],,0)</f>
        <v>±1200mm</v>
      </c>
      <c r="T554" s="442">
        <v>500</v>
      </c>
      <c r="U554" s="1093">
        <v>4320</v>
      </c>
      <c r="V554" s="448">
        <f>PV_DATA[[#This Row],[QUANTITY]]*PV_DATA[[#This Row],[WATT]]/1000000</f>
        <v>2.16</v>
      </c>
      <c r="W554" s="466">
        <f>PV_DATA[[#This Row],[QUANTITY]]/PV_DATA[[#This Row],[Qty/Pallet]]</f>
        <v>120</v>
      </c>
      <c r="X554" s="1044">
        <f>PV_DATA[[#This Row],[QUANTITY]]/PV_DATA[[#This Row],[Qty/CT]]</f>
        <v>5</v>
      </c>
      <c r="Y554" s="431" t="s">
        <v>951</v>
      </c>
      <c r="Z554" s="430" t="str">
        <f t="shared" si="5"/>
        <v>COMPLETED</v>
      </c>
      <c r="AA554" s="431" t="s">
        <v>4653</v>
      </c>
      <c r="AB554" s="441">
        <v>46160</v>
      </c>
      <c r="AC554" s="467">
        <f>IF(PV_DATA[[#This Row],[Pick- Up Date]]&lt;&gt;"",_xlfn.ISOWEEKNUM(PV_DATA[[#This Row],[Pick- Up Date]]),"")</f>
        <v>21</v>
      </c>
      <c r="AD554" s="431" t="s">
        <v>4658</v>
      </c>
      <c r="AF554" s="431" t="s">
        <v>77</v>
      </c>
      <c r="AG554" s="431" t="s">
        <v>61</v>
      </c>
      <c r="AH554" s="431" t="s">
        <v>888</v>
      </c>
      <c r="AI554" s="441">
        <v>46164</v>
      </c>
      <c r="AJ554" s="441">
        <v>46164</v>
      </c>
      <c r="AK554" s="441">
        <v>46164</v>
      </c>
      <c r="AL554" s="441">
        <v>46225</v>
      </c>
      <c r="AM554" s="441"/>
      <c r="AN554" s="441">
        <v>46225</v>
      </c>
      <c r="AO554" s="431" t="s">
        <v>402</v>
      </c>
      <c r="AP554" s="431" t="s">
        <v>4534</v>
      </c>
      <c r="AQ554" s="431" t="s">
        <v>80</v>
      </c>
      <c r="AR554" s="431" t="s">
        <v>4659</v>
      </c>
      <c r="AS554" s="431" t="s">
        <v>4660</v>
      </c>
      <c r="AT554" s="482" t="s">
        <v>4660</v>
      </c>
      <c r="AU5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1"/>
      <c r="AW554" s="441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1">
        <f>IF(ISERROR(PV_DATA[[#This Row],[New Ark PO status]]),"",_xlfn.XLOOKUP(PV_DATA[[#This Row],[SPTN-PVHK New Ark PO'#]],New_Ark_Data[Purchase order Number],New_Ark_Data[Estimated time of arrival],"",0))</f>
        <v>46225</v>
      </c>
      <c r="AZ55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1">
        <f>IFERROR(PV_DATA[[#This Row],[ODP ETA Port]]+PV_DATA[[#This Row],[Customs/Leg3 Assumption]],"n/a")</f>
        <v>46225</v>
      </c>
      <c r="BB554" s="442">
        <f>YEAR(PV_DATA[[#This Row],[ETA for New Ark update]])</f>
        <v>2026</v>
      </c>
      <c r="BC554" s="431">
        <f>MONTH(PV_DATA[[#This Row],[ETA for New Ark update]])</f>
        <v>7</v>
      </c>
      <c r="BD554" s="431">
        <f>IFERROR(_xlfn.ISOWEEKNUM(PV_DATA[[#This Row],[ETA for New Ark update]]),0)</f>
        <v>30</v>
      </c>
      <c r="BE554" s="431">
        <f>_xlfn.XLOOKUP(PV_DATA[[#This Row],[New Ark SKU]],Table9[New Ark SKU],Table9[Total PCS per Pallet],,0)</f>
        <v>36</v>
      </c>
      <c r="BF554" s="431">
        <f>_xlfn.XLOOKUP(PV_DATA[[#This Row],[New Ark SKU]],Table9[New Ark SKU],Table9[Total PCS per 40HQ Container],,0)</f>
        <v>864</v>
      </c>
      <c r="BG554" s="431" t="str">
        <f>_xlfn.XLOOKUP(PV_DATA[[#This Row],[New Ark SKU]],Table9[New Ark SKU],Table9[Back Glass],,0)</f>
        <v>Black glazing</v>
      </c>
      <c r="BH554" s="431" t="str">
        <f>_xlfn.XLOOKUP(PV_DATA[[#This Row],[PORT DESTINATION]],Table12[PORT DESTINATION],Table12[Cosco Line],,0)</f>
        <v>AEU</v>
      </c>
    </row>
    <row r="555" spans="1:60" s="431" customFormat="1" ht="10.5">
      <c r="A555" s="439" t="s">
        <v>4661</v>
      </c>
      <c r="B555" s="439" t="s">
        <v>61</v>
      </c>
      <c r="C555" s="439" t="str">
        <f>IFERROR(LEFT(PV_DATA[[#This Row],[TCL REFERENCE]],FIND(".",PV_DATA[[#This Row],[TCL REFERENCE]],1)-1),"Main Line")</f>
        <v>26May009</v>
      </c>
      <c r="D555" s="439" t="s">
        <v>63</v>
      </c>
      <c r="E555" s="439" t="s">
        <v>64</v>
      </c>
      <c r="F555" s="439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39" t="s">
        <v>402</v>
      </c>
      <c r="H555" s="439" t="s">
        <v>67</v>
      </c>
      <c r="I555" s="439" t="s">
        <v>689</v>
      </c>
      <c r="J555" s="431" t="s">
        <v>96</v>
      </c>
      <c r="M555" s="431" t="s">
        <v>68</v>
      </c>
      <c r="N555" s="461" t="s">
        <v>68</v>
      </c>
      <c r="O555" s="431" t="s">
        <v>4531</v>
      </c>
      <c r="P555" s="431" t="s">
        <v>71</v>
      </c>
      <c r="Q555" s="431" t="s">
        <v>72</v>
      </c>
      <c r="R555" s="431" t="str">
        <f>_xlfn.XLOOKUP(PV_DATA[[#This Row],[New Ark SKU]],Table9[New Ark SKU],Table9[Connector],,0)</f>
        <v>EVO2A</v>
      </c>
      <c r="S555" s="442" t="str">
        <f>_xlfn.XLOOKUP(PV_DATA[[#This Row],[New Ark SKU]],Table9[New Ark SKU],Table9[Cable],,0)</f>
        <v>±1200mm</v>
      </c>
      <c r="T555" s="442">
        <v>500</v>
      </c>
      <c r="U555" s="1093">
        <v>1728</v>
      </c>
      <c r="V555" s="448">
        <f>PV_DATA[[#This Row],[QUANTITY]]*PV_DATA[[#This Row],[WATT]]/1000000</f>
        <v>0.86399999999999999</v>
      </c>
      <c r="W555" s="466">
        <f>PV_DATA[[#This Row],[QUANTITY]]/PV_DATA[[#This Row],[Qty/Pallet]]</f>
        <v>48</v>
      </c>
      <c r="X555" s="1044">
        <f>PV_DATA[[#This Row],[QUANTITY]]/PV_DATA[[#This Row],[Qty/CT]]</f>
        <v>2</v>
      </c>
      <c r="Y555" s="431" t="s">
        <v>951</v>
      </c>
      <c r="Z555" s="430" t="str">
        <f t="shared" si="5"/>
        <v>COMPLETED</v>
      </c>
      <c r="AA555" s="480" t="s">
        <v>4653</v>
      </c>
      <c r="AB555" s="441">
        <v>46160</v>
      </c>
      <c r="AC555" s="467">
        <f>IF(PV_DATA[[#This Row],[Pick- Up Date]]&lt;&gt;"",_xlfn.ISOWEEKNUM(PV_DATA[[#This Row],[Pick- Up Date]]),"")</f>
        <v>21</v>
      </c>
      <c r="AD555" s="431" t="s">
        <v>4662</v>
      </c>
      <c r="AF555" s="431" t="s">
        <v>61</v>
      </c>
      <c r="AG555" s="431" t="s">
        <v>61</v>
      </c>
      <c r="AH555" s="431" t="s">
        <v>105</v>
      </c>
      <c r="AI555" s="441">
        <v>46164</v>
      </c>
      <c r="AJ555" s="441">
        <v>46164</v>
      </c>
      <c r="AK555" s="441">
        <v>46164</v>
      </c>
      <c r="AL555" s="441">
        <v>46214</v>
      </c>
      <c r="AM555" s="441"/>
      <c r="AN555" s="441">
        <v>46218</v>
      </c>
      <c r="AO555" s="431" t="s">
        <v>402</v>
      </c>
      <c r="AP555" s="431" t="s">
        <v>4534</v>
      </c>
      <c r="AQ555" s="431" t="s">
        <v>80</v>
      </c>
      <c r="AR555" s="431" t="s">
        <v>4663</v>
      </c>
      <c r="AS555" s="431" t="s">
        <v>4664</v>
      </c>
      <c r="AT555" s="482" t="s">
        <v>4664</v>
      </c>
      <c r="AU5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1"/>
      <c r="AW555" s="441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1">
        <f>IF(ISERROR(PV_DATA[[#This Row],[New Ark PO status]]),"",_xlfn.XLOOKUP(PV_DATA[[#This Row],[SPTN-PVHK New Ark PO'#]],New_Ark_Data[Purchase order Number],New_Ark_Data[Estimated time of arrival],"",0))</f>
        <v>46230</v>
      </c>
      <c r="AZ55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1">
        <f>IFERROR(PV_DATA[[#This Row],[ODP ETA Port]]+PV_DATA[[#This Row],[Customs/Leg3 Assumption]],"n/a")</f>
        <v>46225</v>
      </c>
      <c r="BB555" s="442">
        <f>YEAR(PV_DATA[[#This Row],[ETA for New Ark update]])</f>
        <v>2026</v>
      </c>
      <c r="BC555" s="431">
        <f>MONTH(PV_DATA[[#This Row],[ETA for New Ark update]])</f>
        <v>7</v>
      </c>
      <c r="BD555" s="431">
        <f>IFERROR(_xlfn.ISOWEEKNUM(PV_DATA[[#This Row],[ETA for New Ark update]]),0)</f>
        <v>30</v>
      </c>
      <c r="BE555" s="431">
        <f>_xlfn.XLOOKUP(PV_DATA[[#This Row],[New Ark SKU]],Table9[New Ark SKU],Table9[Total PCS per Pallet],,0)</f>
        <v>36</v>
      </c>
      <c r="BF555" s="431">
        <f>_xlfn.XLOOKUP(PV_DATA[[#This Row],[New Ark SKU]],Table9[New Ark SKU],Table9[Total PCS per 40HQ Container],,0)</f>
        <v>864</v>
      </c>
      <c r="BG555" s="431" t="str">
        <f>_xlfn.XLOOKUP(PV_DATA[[#This Row],[New Ark SKU]],Table9[New Ark SKU],Table9[Back Glass],,0)</f>
        <v>Black glazing</v>
      </c>
      <c r="BH555" s="431" t="str">
        <f>_xlfn.XLOOKUP(PV_DATA[[#This Row],[PORT DESTINATION]],Table12[PORT DESTINATION],Table12[Cosco Line],,0)</f>
        <v>AEU</v>
      </c>
    </row>
    <row r="556" spans="1:60" s="431" customFormat="1" ht="10.5">
      <c r="A556" s="439" t="s">
        <v>4665</v>
      </c>
      <c r="B556" s="439" t="s">
        <v>61</v>
      </c>
      <c r="C556" s="439" t="str">
        <f>IFERROR(LEFT(PV_DATA[[#This Row],[TCL REFERENCE]],FIND(".",PV_DATA[[#This Row],[TCL REFERENCE]],1)-1),"Main Line")</f>
        <v>26May010</v>
      </c>
      <c r="D556" s="439" t="s">
        <v>63</v>
      </c>
      <c r="E556" s="439" t="s">
        <v>64</v>
      </c>
      <c r="F556" s="439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39" t="s">
        <v>402</v>
      </c>
      <c r="H556" s="439" t="s">
        <v>67</v>
      </c>
      <c r="I556" s="439" t="s">
        <v>689</v>
      </c>
      <c r="J556" s="431" t="s">
        <v>96</v>
      </c>
      <c r="M556" s="431" t="s">
        <v>68</v>
      </c>
      <c r="N556" s="461" t="s">
        <v>68</v>
      </c>
      <c r="O556" s="431" t="s">
        <v>4531</v>
      </c>
      <c r="P556" s="431" t="s">
        <v>1151</v>
      </c>
      <c r="Q556" s="431" t="s">
        <v>421</v>
      </c>
      <c r="R556" s="431" t="str">
        <f>_xlfn.XLOOKUP(PV_DATA[[#This Row],[New Ark SKU]],Table9[New Ark SKU],Table9[Connector],,0)</f>
        <v>EVO2A</v>
      </c>
      <c r="S556" s="442" t="str">
        <f>_xlfn.XLOOKUP(PV_DATA[[#This Row],[New Ark SKU]],Table9[New Ark SKU],Table9[Cable],,0)</f>
        <v>±1200mm</v>
      </c>
      <c r="T556" s="442">
        <v>505</v>
      </c>
      <c r="U556" s="1093">
        <f>864*2</f>
        <v>1728</v>
      </c>
      <c r="V556" s="448">
        <f>PV_DATA[[#This Row],[QUANTITY]]*PV_DATA[[#This Row],[WATT]]/1000000</f>
        <v>0.87263999999999997</v>
      </c>
      <c r="W556" s="466">
        <f>PV_DATA[[#This Row],[QUANTITY]]/PV_DATA[[#This Row],[Qty/Pallet]]</f>
        <v>48</v>
      </c>
      <c r="X556" s="1044">
        <f>PV_DATA[[#This Row],[QUANTITY]]/PV_DATA[[#This Row],[Qty/CT]]</f>
        <v>2</v>
      </c>
      <c r="Y556" s="431" t="s">
        <v>951</v>
      </c>
      <c r="Z556" s="430" t="str">
        <f t="shared" si="5"/>
        <v>COMPLETED</v>
      </c>
      <c r="AA556" s="431" t="s">
        <v>4579</v>
      </c>
      <c r="AB556" s="441">
        <v>46160</v>
      </c>
      <c r="AC556" s="467">
        <f>IF(PV_DATA[[#This Row],[Pick- Up Date]]&lt;&gt;"",_xlfn.ISOWEEKNUM(PV_DATA[[#This Row],[Pick- Up Date]]),"")</f>
        <v>21</v>
      </c>
      <c r="AD556" s="431" t="s">
        <v>4666</v>
      </c>
      <c r="AF556" s="431" t="s">
        <v>61</v>
      </c>
      <c r="AG556" s="431" t="s">
        <v>61</v>
      </c>
      <c r="AH556" s="431" t="s">
        <v>105</v>
      </c>
      <c r="AI556" s="441">
        <v>46164</v>
      </c>
      <c r="AJ556" s="441">
        <v>46164</v>
      </c>
      <c r="AK556" s="441">
        <v>46164</v>
      </c>
      <c r="AL556" s="441">
        <v>46214</v>
      </c>
      <c r="AM556" s="441"/>
      <c r="AN556" s="441">
        <v>46218</v>
      </c>
      <c r="AO556" s="431" t="s">
        <v>402</v>
      </c>
      <c r="AP556" s="431" t="s">
        <v>4534</v>
      </c>
      <c r="AQ556" s="431" t="s">
        <v>80</v>
      </c>
      <c r="AR556" s="431" t="s">
        <v>4663</v>
      </c>
      <c r="AS556" s="431" t="s">
        <v>4664</v>
      </c>
      <c r="AT556" s="482" t="s">
        <v>4664</v>
      </c>
      <c r="AU5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1"/>
      <c r="AW556" s="441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1">
        <f>IF(ISERROR(PV_DATA[[#This Row],[New Ark PO status]]),"",_xlfn.XLOOKUP(PV_DATA[[#This Row],[SPTN-PVHK New Ark PO'#]],New_Ark_Data[Purchase order Number],New_Ark_Data[Estimated time of arrival],"",0))</f>
        <v>46230</v>
      </c>
      <c r="AZ55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1">
        <f>IFERROR(PV_DATA[[#This Row],[ODP ETA Port]]+PV_DATA[[#This Row],[Customs/Leg3 Assumption]],"n/a")</f>
        <v>46225</v>
      </c>
      <c r="BB556" s="442">
        <f>YEAR(PV_DATA[[#This Row],[ETA for New Ark update]])</f>
        <v>2026</v>
      </c>
      <c r="BC556" s="431">
        <f>MONTH(PV_DATA[[#This Row],[ETA for New Ark update]])</f>
        <v>7</v>
      </c>
      <c r="BD556" s="431">
        <f>IFERROR(_xlfn.ISOWEEKNUM(PV_DATA[[#This Row],[ETA for New Ark update]]),0)</f>
        <v>30</v>
      </c>
      <c r="BE556" s="431">
        <f>_xlfn.XLOOKUP(PV_DATA[[#This Row],[New Ark SKU]],Table9[New Ark SKU],Table9[Total PCS per Pallet],,0)</f>
        <v>36</v>
      </c>
      <c r="BF556" s="431">
        <f>_xlfn.XLOOKUP(PV_DATA[[#This Row],[New Ark SKU]],Table9[New Ark SKU],Table9[Total PCS per 40HQ Container],,0)</f>
        <v>864</v>
      </c>
      <c r="BG556" s="431" t="str">
        <f>_xlfn.XLOOKUP(PV_DATA[[#This Row],[New Ark SKU]],Table9[New Ark SKU],Table9[Back Glass],,0)</f>
        <v>Black glazing</v>
      </c>
      <c r="BH556" s="431" t="str">
        <f>_xlfn.XLOOKUP(PV_DATA[[#This Row],[PORT DESTINATION]],Table12[PORT DESTINATION],Table12[Cosco Line],,0)</f>
        <v>AEU</v>
      </c>
    </row>
    <row r="557" spans="1:60" s="431" customFormat="1" ht="10.5">
      <c r="A557" s="439" t="s">
        <v>4667</v>
      </c>
      <c r="B557" s="439" t="s">
        <v>61</v>
      </c>
      <c r="C557" s="439" t="str">
        <f>IFERROR(LEFT(PV_DATA[[#This Row],[TCL REFERENCE]],FIND(".",PV_DATA[[#This Row],[TCL REFERENCE]],1)-1),"Main Line")</f>
        <v>26May009</v>
      </c>
      <c r="D557" s="439" t="s">
        <v>63</v>
      </c>
      <c r="E557" s="439" t="s">
        <v>64</v>
      </c>
      <c r="F557" s="439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39" t="s">
        <v>402</v>
      </c>
      <c r="H557" s="439" t="s">
        <v>67</v>
      </c>
      <c r="I557" s="439" t="s">
        <v>689</v>
      </c>
      <c r="J557" s="431" t="s">
        <v>96</v>
      </c>
      <c r="M557" s="431" t="s">
        <v>68</v>
      </c>
      <c r="N557" s="461" t="s">
        <v>68</v>
      </c>
      <c r="O557" s="431" t="s">
        <v>4531</v>
      </c>
      <c r="P557" s="431" t="s">
        <v>71</v>
      </c>
      <c r="Q557" s="431" t="s">
        <v>72</v>
      </c>
      <c r="R557" s="431" t="str">
        <f>_xlfn.XLOOKUP(PV_DATA[[#This Row],[New Ark SKU]],Table9[New Ark SKU],Table9[Connector],,0)</f>
        <v>EVO2A</v>
      </c>
      <c r="S557" s="442" t="str">
        <f>_xlfn.XLOOKUP(PV_DATA[[#This Row],[New Ark SKU]],Table9[New Ark SKU],Table9[Cable],,0)</f>
        <v>±1200mm</v>
      </c>
      <c r="T557" s="442">
        <v>500</v>
      </c>
      <c r="U557" s="1093">
        <v>4320</v>
      </c>
      <c r="V557" s="448">
        <f>PV_DATA[[#This Row],[QUANTITY]]*PV_DATA[[#This Row],[WATT]]/1000000</f>
        <v>2.16</v>
      </c>
      <c r="W557" s="466">
        <f>PV_DATA[[#This Row],[QUANTITY]]/PV_DATA[[#This Row],[Qty/Pallet]]</f>
        <v>120</v>
      </c>
      <c r="X557" s="1044">
        <f>PV_DATA[[#This Row],[QUANTITY]]/PV_DATA[[#This Row],[Qty/CT]]</f>
        <v>5</v>
      </c>
      <c r="Y557" s="431" t="s">
        <v>951</v>
      </c>
      <c r="Z557" s="430" t="str">
        <f t="shared" si="5"/>
        <v>COMPLETED</v>
      </c>
      <c r="AA557" s="431" t="s">
        <v>4668</v>
      </c>
      <c r="AB557" s="441">
        <v>46164</v>
      </c>
      <c r="AC557" s="467">
        <f>IF(PV_DATA[[#This Row],[Pick- Up Date]]&lt;&gt;"",_xlfn.ISOWEEKNUM(PV_DATA[[#This Row],[Pick- Up Date]]),"")</f>
        <v>21</v>
      </c>
      <c r="AD557" s="431" t="s">
        <v>4669</v>
      </c>
      <c r="AF557" s="431" t="s">
        <v>61</v>
      </c>
      <c r="AG557" s="431" t="s">
        <v>61</v>
      </c>
      <c r="AH557" s="431" t="s">
        <v>105</v>
      </c>
      <c r="AI557" s="441">
        <v>46173</v>
      </c>
      <c r="AJ557" s="441">
        <v>46172</v>
      </c>
      <c r="AK557" s="441">
        <v>46172</v>
      </c>
      <c r="AL557" s="441">
        <v>46214</v>
      </c>
      <c r="AM557" s="441"/>
      <c r="AN557" s="441">
        <v>46218</v>
      </c>
      <c r="AO557" s="431" t="s">
        <v>402</v>
      </c>
      <c r="AP557" s="431" t="s">
        <v>4670</v>
      </c>
      <c r="AQ557" s="431" t="s">
        <v>80</v>
      </c>
      <c r="AR557" s="431" t="s">
        <v>4671</v>
      </c>
      <c r="AS557" s="431" t="s">
        <v>4672</v>
      </c>
      <c r="AT557" s="482" t="s">
        <v>4672</v>
      </c>
      <c r="AU5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1"/>
      <c r="AW557" s="441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1">
        <f>IF(ISERROR(PV_DATA[[#This Row],[New Ark PO status]]),"",_xlfn.XLOOKUP(PV_DATA[[#This Row],[SPTN-PVHK New Ark PO'#]],New_Ark_Data[Purchase order Number],New_Ark_Data[Estimated time of arrival],"",0))</f>
        <v>46230</v>
      </c>
      <c r="AZ55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1">
        <f>IFERROR(PV_DATA[[#This Row],[ODP ETA Port]]+PV_DATA[[#This Row],[Customs/Leg3 Assumption]],"n/a")</f>
        <v>46225</v>
      </c>
      <c r="BB557" s="442">
        <f>YEAR(PV_DATA[[#This Row],[ETA for New Ark update]])</f>
        <v>2026</v>
      </c>
      <c r="BC557" s="431">
        <f>MONTH(PV_DATA[[#This Row],[ETA for New Ark update]])</f>
        <v>7</v>
      </c>
      <c r="BD557" s="431">
        <f>IFERROR(_xlfn.ISOWEEKNUM(PV_DATA[[#This Row],[ETA for New Ark update]]),0)</f>
        <v>30</v>
      </c>
      <c r="BE557" s="431">
        <f>_xlfn.XLOOKUP(PV_DATA[[#This Row],[New Ark SKU]],Table9[New Ark SKU],Table9[Total PCS per Pallet],,0)</f>
        <v>36</v>
      </c>
      <c r="BF557" s="431">
        <f>_xlfn.XLOOKUP(PV_DATA[[#This Row],[New Ark SKU]],Table9[New Ark SKU],Table9[Total PCS per 40HQ Container],,0)</f>
        <v>864</v>
      </c>
      <c r="BG557" s="431" t="str">
        <f>_xlfn.XLOOKUP(PV_DATA[[#This Row],[New Ark SKU]],Table9[New Ark SKU],Table9[Back Glass],,0)</f>
        <v>Black glazing</v>
      </c>
      <c r="BH557" s="431" t="str">
        <f>_xlfn.XLOOKUP(PV_DATA[[#This Row],[PORT DESTINATION]],Table12[PORT DESTINATION],Table12[Cosco Line],,0)</f>
        <v>AEU</v>
      </c>
    </row>
    <row r="558" spans="1:60" s="431" customFormat="1" ht="10.5">
      <c r="A558" s="439" t="s">
        <v>4673</v>
      </c>
      <c r="B558" s="439" t="s">
        <v>61</v>
      </c>
      <c r="C558" s="439" t="str">
        <f>IFERROR(LEFT(PV_DATA[[#This Row],[TCL REFERENCE]],FIND(".",PV_DATA[[#This Row],[TCL REFERENCE]],1)-1),"Main Line")</f>
        <v>26Apr014</v>
      </c>
      <c r="D558" s="439" t="s">
        <v>63</v>
      </c>
      <c r="E558" s="439" t="s">
        <v>144</v>
      </c>
      <c r="F558" s="439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39" t="s">
        <v>402</v>
      </c>
      <c r="H558" s="439" t="s">
        <v>157</v>
      </c>
      <c r="I558" s="439" t="s">
        <v>689</v>
      </c>
      <c r="J558" s="431" t="s">
        <v>157</v>
      </c>
      <c r="K558" s="431" t="s">
        <v>4674</v>
      </c>
      <c r="M558" s="431" t="s">
        <v>840</v>
      </c>
      <c r="N558" s="461" t="s">
        <v>68</v>
      </c>
      <c r="O558" s="431" t="s">
        <v>70</v>
      </c>
      <c r="P558" s="431" t="s">
        <v>1151</v>
      </c>
      <c r="Q558" s="431" t="s">
        <v>421</v>
      </c>
      <c r="R558" s="431" t="str">
        <f>_xlfn.XLOOKUP(PV_DATA[[#This Row],[New Ark SKU]],Table9[New Ark SKU],Table9[Connector],,0)</f>
        <v>EVO2A</v>
      </c>
      <c r="S558" s="442" t="str">
        <f>_xlfn.XLOOKUP(PV_DATA[[#This Row],[New Ark SKU]],Table9[New Ark SKU],Table9[Cable],,0)</f>
        <v>±1200mm</v>
      </c>
      <c r="T558" s="442">
        <v>505</v>
      </c>
      <c r="U558" s="1093">
        <f>864*3</f>
        <v>2592</v>
      </c>
      <c r="V558" s="444">
        <f>PV_DATA[[#This Row],[QUANTITY]]*PV_DATA[[#This Row],[WATT]]/1000000</f>
        <v>1.3089599999999999</v>
      </c>
      <c r="W558" s="466">
        <f>PV_DATA[[#This Row],[QUANTITY]]/PV_DATA[[#This Row],[Qty/Pallet]]</f>
        <v>72</v>
      </c>
      <c r="X558" s="1044">
        <f>PV_DATA[[#This Row],[QUANTITY]]/PV_DATA[[#This Row],[Qty/CT]]</f>
        <v>3</v>
      </c>
      <c r="Y558" s="431" t="s">
        <v>951</v>
      </c>
      <c r="Z558" s="430" t="str">
        <f t="shared" si="5"/>
        <v>COMPLETED</v>
      </c>
      <c r="AA558" s="474" t="s">
        <v>4552</v>
      </c>
      <c r="AB558" s="441">
        <v>46157</v>
      </c>
      <c r="AC558" s="467">
        <f>IF(PV_DATA[[#This Row],[Pick- Up Date]]&lt;&gt;"",_xlfn.ISOWEEKNUM(PV_DATA[[#This Row],[Pick- Up Date]]),"")</f>
        <v>20</v>
      </c>
      <c r="AD558" s="431" t="s">
        <v>4675</v>
      </c>
      <c r="AF558" s="431" t="s">
        <v>77</v>
      </c>
      <c r="AG558" s="431" t="s">
        <v>61</v>
      </c>
      <c r="AH558" s="431" t="s">
        <v>159</v>
      </c>
      <c r="AI558" s="441">
        <v>46165</v>
      </c>
      <c r="AJ558" s="441">
        <v>46167</v>
      </c>
      <c r="AK558" s="441">
        <v>46167</v>
      </c>
      <c r="AL558" s="441">
        <v>46226</v>
      </c>
      <c r="AM558" s="441">
        <v>46231</v>
      </c>
      <c r="AN558" s="441">
        <v>46229</v>
      </c>
      <c r="AO558" s="431" t="s">
        <v>402</v>
      </c>
      <c r="AP558" s="431" t="s">
        <v>4676</v>
      </c>
      <c r="AQ558" s="431" t="s">
        <v>161</v>
      </c>
      <c r="AR558" s="431" t="s">
        <v>4677</v>
      </c>
      <c r="AS558" s="431" t="s">
        <v>4678</v>
      </c>
      <c r="AT558" s="482" t="s">
        <v>4679</v>
      </c>
      <c r="AU5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1"/>
      <c r="AW558" s="441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1">
        <f>IF(ISERROR(PV_DATA[[#This Row],[New Ark PO status]]),"",_xlfn.XLOOKUP(PV_DATA[[#This Row],[SPTN-PVHK New Ark PO'#]],New_Ark_Data[Purchase order Number],New_Ark_Data[Estimated time of arrival],"",0))</f>
        <v>46206</v>
      </c>
      <c r="AZ55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1">
        <f>IFERROR(PV_DATA[[#This Row],[ODP ETA Port]]+PV_DATA[[#This Row],[Customs/Leg3 Assumption]],"n/a")</f>
        <v>46229</v>
      </c>
      <c r="BB558" s="442">
        <f>YEAR(PV_DATA[[#This Row],[ETA for New Ark update]])</f>
        <v>2026</v>
      </c>
      <c r="BC558" s="431">
        <f>MONTH(PV_DATA[[#This Row],[ETA for New Ark update]])</f>
        <v>7</v>
      </c>
      <c r="BD558" s="431">
        <f>IFERROR(_xlfn.ISOWEEKNUM(PV_DATA[[#This Row],[ETA for New Ark update]]),0)</f>
        <v>30</v>
      </c>
      <c r="BE558" s="431">
        <f>_xlfn.XLOOKUP(PV_DATA[[#This Row],[New Ark SKU]],Table9[New Ark SKU],Table9[Total PCS per Pallet],,0)</f>
        <v>36</v>
      </c>
      <c r="BF558" s="431">
        <f>_xlfn.XLOOKUP(PV_DATA[[#This Row],[New Ark SKU]],Table9[New Ark SKU],Table9[Total PCS per 40HQ Container],,0)</f>
        <v>864</v>
      </c>
      <c r="BG558" s="431" t="str">
        <f>_xlfn.XLOOKUP(PV_DATA[[#This Row],[New Ark SKU]],Table9[New Ark SKU],Table9[Back Glass],,0)</f>
        <v>Black glazing</v>
      </c>
      <c r="BH558" s="431" t="str">
        <f>_xlfn.XLOOKUP(PV_DATA[[#This Row],[PORT DESTINATION]],Table12[PORT DESTINATION],Table12[Cosco Line],,0)</f>
        <v>AEU</v>
      </c>
    </row>
    <row r="559" spans="1:60" s="431" customFormat="1" ht="10.5">
      <c r="A559" s="439" t="s">
        <v>4680</v>
      </c>
      <c r="B559" s="439" t="s">
        <v>2132</v>
      </c>
      <c r="C559" s="439" t="str">
        <f>IFERROR(LEFT(PV_DATA[[#This Row],[TCL REFERENCE]],FIND(".",PV_DATA[[#This Row],[TCL REFERENCE]],1)-1),"Main Line")</f>
        <v>26Apr008</v>
      </c>
      <c r="D559" s="439" t="s">
        <v>63</v>
      </c>
      <c r="E559" s="439" t="s">
        <v>64</v>
      </c>
      <c r="F559" s="439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39" t="s">
        <v>402</v>
      </c>
      <c r="H559" s="439" t="s">
        <v>311</v>
      </c>
      <c r="I559" s="439" t="s">
        <v>689</v>
      </c>
      <c r="J559" s="431" t="s">
        <v>96</v>
      </c>
      <c r="M559" s="431" t="s">
        <v>68</v>
      </c>
      <c r="N559" s="461">
        <v>46146</v>
      </c>
      <c r="O559" s="431" t="s">
        <v>170</v>
      </c>
      <c r="P559" s="431" t="s">
        <v>1977</v>
      </c>
      <c r="Q559" s="431" t="s">
        <v>1978</v>
      </c>
      <c r="R559" s="431" t="str">
        <f>_xlfn.XLOOKUP(PV_DATA[[#This Row],[New Ark SKU]],Table9[New Ark SKU],Table9[Connector],,0)</f>
        <v>EVO2A</v>
      </c>
      <c r="S559" s="442" t="str">
        <f>_xlfn.XLOOKUP(PV_DATA[[#This Row],[New Ark SKU]],Table9[New Ark SKU],Table9[Cable],,0)</f>
        <v>±1400mm</v>
      </c>
      <c r="T559" s="442">
        <v>560</v>
      </c>
      <c r="U559" s="1093">
        <f>660*4</f>
        <v>2640</v>
      </c>
      <c r="V559" s="448">
        <f>PV_DATA[[#This Row],[QUANTITY]]*PV_DATA[[#This Row],[WATT]]/1000000</f>
        <v>1.4783999999999999</v>
      </c>
      <c r="W559" s="466">
        <f>PV_DATA[[#This Row],[QUANTITY]]/PV_DATA[[#This Row],[Qty/Pallet]]</f>
        <v>80</v>
      </c>
      <c r="X559" s="1044">
        <f>PV_DATA[[#This Row],[QUANTITY]]/PV_DATA[[#This Row],[Qty/CT]]</f>
        <v>4</v>
      </c>
      <c r="Y559" s="431" t="s">
        <v>951</v>
      </c>
      <c r="Z559" s="430" t="str">
        <f t="shared" si="5"/>
        <v>COMPLETED</v>
      </c>
      <c r="AA559" s="431" t="s">
        <v>4546</v>
      </c>
      <c r="AB559" s="441">
        <v>46163</v>
      </c>
      <c r="AC559" s="467">
        <f>IF(PV_DATA[[#This Row],[Pick- Up Date]]&lt;&gt;"",_xlfn.ISOWEEKNUM(PV_DATA[[#This Row],[Pick- Up Date]]),"")</f>
        <v>21</v>
      </c>
      <c r="AD559" s="431" t="s">
        <v>4681</v>
      </c>
      <c r="AF559" s="431" t="s">
        <v>77</v>
      </c>
      <c r="AG559" s="431" t="s">
        <v>61</v>
      </c>
      <c r="AH559" s="431" t="s">
        <v>314</v>
      </c>
      <c r="AI559" s="441">
        <v>46173</v>
      </c>
      <c r="AJ559" s="441">
        <v>46172</v>
      </c>
      <c r="AK559" s="441">
        <v>46172</v>
      </c>
      <c r="AL559" s="732">
        <v>46232</v>
      </c>
      <c r="AM559" s="586">
        <f>IFERROR(VLOOKUP(AT559, Vessel!A:H, 8, FALSE), "")</f>
        <v>46239.5</v>
      </c>
      <c r="AN559" s="586">
        <f>IFERROR(IF(VLOOKUP(AT559,Vessel!A:I,9,FALSE)=0,"",VLOOKUP(AT559,Vessel!A:I,9,FALSE)),"")</f>
        <v>46239.457638888889</v>
      </c>
      <c r="AO559" s="431" t="s">
        <v>402</v>
      </c>
      <c r="AP559" s="431" t="s">
        <v>4670</v>
      </c>
      <c r="AQ559" s="431" t="s">
        <v>80</v>
      </c>
      <c r="AR559" s="431" t="s">
        <v>4682</v>
      </c>
      <c r="AS559" s="431" t="s">
        <v>4683</v>
      </c>
      <c r="AT559" s="482" t="s">
        <v>4683</v>
      </c>
      <c r="AU5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67.457638888889051</v>
      </c>
      <c r="AV559" s="441"/>
      <c r="AW559" s="441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1">
        <f>IF(ISERROR(PV_DATA[[#This Row],[New Ark PO status]]),"",_xlfn.XLOOKUP(PV_DATA[[#This Row],[SPTN-PVHK New Ark PO'#]],New_Ark_Data[Purchase order Number],New_Ark_Data[Estimated time of arrival],"",0))</f>
        <v>46246</v>
      </c>
      <c r="AZ55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59" s="441">
        <f>IFERROR(PV_DATA[[#This Row],[ODP ETA Port]]+PV_DATA[[#This Row],[Customs/Leg3 Assumption]],"n/a")</f>
        <v>46249.457638888889</v>
      </c>
      <c r="BB559" s="442">
        <f>YEAR(PV_DATA[[#This Row],[ETA for New Ark update]])</f>
        <v>2026</v>
      </c>
      <c r="BC559" s="431">
        <f>MONTH(PV_DATA[[#This Row],[ETA for New Ark update]])</f>
        <v>8</v>
      </c>
      <c r="BD559" s="431">
        <f>IFERROR(_xlfn.ISOWEEKNUM(PV_DATA[[#This Row],[ETA for New Ark update]]),0)</f>
        <v>33</v>
      </c>
      <c r="BE559" s="431">
        <f>_xlfn.XLOOKUP(PV_DATA[[#This Row],[New Ark SKU]],Table9[New Ark SKU],Table9[Total PCS per Pallet],,0)</f>
        <v>33</v>
      </c>
      <c r="BF559" s="431">
        <f>_xlfn.XLOOKUP(PV_DATA[[#This Row],[New Ark SKU]],Table9[New Ark SKU],Table9[Total PCS per 40HQ Container],,0)</f>
        <v>660</v>
      </c>
      <c r="BG559" s="431" t="str">
        <f>_xlfn.XLOOKUP(PV_DATA[[#This Row],[New Ark SKU]],Table9[New Ark SKU],Table9[Back Glass],,0)</f>
        <v>White glazing</v>
      </c>
      <c r="BH559" s="431" t="str">
        <f>_xlfn.XLOOKUP(PV_DATA[[#This Row],[PORT DESTINATION]],Table12[PORT DESTINATION],Table12[Cosco Line],,0)</f>
        <v>AEM</v>
      </c>
    </row>
    <row r="560" spans="1:60" s="431" customFormat="1" ht="10.5">
      <c r="A560" s="439" t="s">
        <v>4684</v>
      </c>
      <c r="B560" s="439" t="s">
        <v>61</v>
      </c>
      <c r="C560" s="439" t="str">
        <f>IFERROR(LEFT(PV_DATA[[#This Row],[TCL REFERENCE]],FIND(".",PV_DATA[[#This Row],[TCL REFERENCE]],1)-1),"Main Line")</f>
        <v>26May009</v>
      </c>
      <c r="D560" s="439" t="s">
        <v>63</v>
      </c>
      <c r="E560" s="439" t="s">
        <v>64</v>
      </c>
      <c r="F560" s="439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39" t="s">
        <v>402</v>
      </c>
      <c r="H560" s="439" t="s">
        <v>67</v>
      </c>
      <c r="I560" s="439" t="s">
        <v>689</v>
      </c>
      <c r="J560" s="431" t="s">
        <v>96</v>
      </c>
      <c r="M560" s="431" t="s">
        <v>68</v>
      </c>
      <c r="N560" s="461">
        <v>46153</v>
      </c>
      <c r="O560" s="431" t="s">
        <v>4531</v>
      </c>
      <c r="P560" s="431" t="s">
        <v>71</v>
      </c>
      <c r="Q560" s="431" t="s">
        <v>72</v>
      </c>
      <c r="R560" s="431" t="str">
        <f>_xlfn.XLOOKUP(PV_DATA[[#This Row],[New Ark SKU]],Table9[New Ark SKU],Table9[Connector],,0)</f>
        <v>EVO2A</v>
      </c>
      <c r="S560" s="442" t="str">
        <f>_xlfn.XLOOKUP(PV_DATA[[#This Row],[New Ark SKU]],Table9[New Ark SKU],Table9[Cable],,0)</f>
        <v>±1200mm</v>
      </c>
      <c r="T560" s="442">
        <v>500</v>
      </c>
      <c r="U560" s="1089">
        <v>1728</v>
      </c>
      <c r="V560" s="448">
        <f>PV_DATA[[#This Row],[QUANTITY]]*PV_DATA[[#This Row],[WATT]]/1000000</f>
        <v>0.86399999999999999</v>
      </c>
      <c r="W560" s="466">
        <f>PV_DATA[[#This Row],[QUANTITY]]/PV_DATA[[#This Row],[Qty/Pallet]]</f>
        <v>48</v>
      </c>
      <c r="X560" s="1044">
        <f>PV_DATA[[#This Row],[QUANTITY]]/PV_DATA[[#This Row],[Qty/CT]]</f>
        <v>2</v>
      </c>
      <c r="Y560" s="431" t="s">
        <v>951</v>
      </c>
      <c r="Z560" s="430" t="str">
        <f t="shared" si="5"/>
        <v>COMPLETED</v>
      </c>
      <c r="AA560" s="431" t="s">
        <v>4685</v>
      </c>
      <c r="AB560" s="441">
        <v>46164</v>
      </c>
      <c r="AC560" s="467">
        <f>IF(PV_DATA[[#This Row],[Pick- Up Date]]&lt;&gt;"",_xlfn.ISOWEEKNUM(PV_DATA[[#This Row],[Pick- Up Date]]),"")</f>
        <v>21</v>
      </c>
      <c r="AD560" s="431" t="s">
        <v>4686</v>
      </c>
      <c r="AF560" s="431" t="s">
        <v>61</v>
      </c>
      <c r="AG560" s="431" t="s">
        <v>61</v>
      </c>
      <c r="AH560" s="431" t="s">
        <v>78</v>
      </c>
      <c r="AI560" s="441">
        <v>46173</v>
      </c>
      <c r="AJ560" s="441">
        <v>46172</v>
      </c>
      <c r="AK560" s="441">
        <v>46172</v>
      </c>
      <c r="AL560" s="441">
        <v>46231</v>
      </c>
      <c r="AM560" s="441">
        <v>46234</v>
      </c>
      <c r="AN560" s="586">
        <f>IFERROR(IF(VLOOKUP(AT560,Vessel!A:I,9,FALSE)=0,"",VLOOKUP(AT560,Vessel!A:I,9,FALSE)),"")</f>
        <v>46235.175381944442</v>
      </c>
      <c r="AO560" s="431" t="s">
        <v>402</v>
      </c>
      <c r="AP560" s="431" t="s">
        <v>4670</v>
      </c>
      <c r="AQ560" s="431" t="s">
        <v>80</v>
      </c>
      <c r="AR560" s="431" t="s">
        <v>4687</v>
      </c>
      <c r="AS560" s="431" t="s">
        <v>4688</v>
      </c>
      <c r="AT560" s="482" t="s">
        <v>4688</v>
      </c>
      <c r="AU5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63.175381944442051</v>
      </c>
      <c r="AV560" s="441"/>
      <c r="AW560" s="441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1">
        <f>IF(ISERROR(PV_DATA[[#This Row],[New Ark PO status]]),"",_xlfn.XLOOKUP(PV_DATA[[#This Row],[SPTN-PVHK New Ark PO'#]],New_Ark_Data[Purchase order Number],New_Ark_Data[Estimated time of arrival],"",0))</f>
        <v>46247</v>
      </c>
      <c r="AZ56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1">
        <f>IFERROR(PV_DATA[[#This Row],[ODP ETA Port]]+PV_DATA[[#This Row],[Customs/Leg3 Assumption]],"n/a")</f>
        <v>46243.175381944442</v>
      </c>
      <c r="BB560" s="442">
        <f>YEAR(PV_DATA[[#This Row],[ETA for New Ark update]])</f>
        <v>2026</v>
      </c>
      <c r="BC560" s="431">
        <f>MONTH(PV_DATA[[#This Row],[ETA for New Ark update]])</f>
        <v>8</v>
      </c>
      <c r="BD560" s="431">
        <f>IFERROR(_xlfn.ISOWEEKNUM(PV_DATA[[#This Row],[ETA for New Ark update]]),0)</f>
        <v>32</v>
      </c>
      <c r="BE560" s="431">
        <f>_xlfn.XLOOKUP(PV_DATA[[#This Row],[New Ark SKU]],Table9[New Ark SKU],Table9[Total PCS per Pallet],,0)</f>
        <v>36</v>
      </c>
      <c r="BF560" s="431">
        <f>_xlfn.XLOOKUP(PV_DATA[[#This Row],[New Ark SKU]],Table9[New Ark SKU],Table9[Total PCS per 40HQ Container],,0)</f>
        <v>864</v>
      </c>
      <c r="BG560" s="431" t="str">
        <f>_xlfn.XLOOKUP(PV_DATA[[#This Row],[New Ark SKU]],Table9[New Ark SKU],Table9[Back Glass],,0)</f>
        <v>Black glazing</v>
      </c>
      <c r="BH560" s="431" t="str">
        <f>_xlfn.XLOOKUP(PV_DATA[[#This Row],[PORT DESTINATION]],Table12[PORT DESTINATION],Table12[Cosco Line],,0)</f>
        <v>AEM</v>
      </c>
    </row>
    <row r="561" spans="1:60" s="431" customFormat="1" ht="10.5">
      <c r="A561" s="439" t="s">
        <v>4689</v>
      </c>
      <c r="B561" s="439" t="s">
        <v>61</v>
      </c>
      <c r="C561" s="439" t="str">
        <f>IFERROR(LEFT(PV_DATA[[#This Row],[TCL REFERENCE]],FIND(".",PV_DATA[[#This Row],[TCL REFERENCE]],1)-1),"Main Line")</f>
        <v>26May010</v>
      </c>
      <c r="D561" s="439" t="s">
        <v>63</v>
      </c>
      <c r="E561" s="439" t="s">
        <v>64</v>
      </c>
      <c r="F561" s="439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39" t="s">
        <v>402</v>
      </c>
      <c r="H561" s="439" t="s">
        <v>451</v>
      </c>
      <c r="I561" s="439" t="s">
        <v>689</v>
      </c>
      <c r="J561" s="431" t="s">
        <v>1832</v>
      </c>
      <c r="M561" s="431" t="s">
        <v>68</v>
      </c>
      <c r="N561" s="461">
        <v>46153</v>
      </c>
      <c r="O561" s="431" t="s">
        <v>4531</v>
      </c>
      <c r="P561" s="431" t="s">
        <v>1151</v>
      </c>
      <c r="Q561" s="431" t="s">
        <v>421</v>
      </c>
      <c r="R561" s="431" t="str">
        <f>_xlfn.XLOOKUP(PV_DATA[[#This Row],[New Ark SKU]],Table9[New Ark SKU],Table9[Connector],,0)</f>
        <v>EVO2A</v>
      </c>
      <c r="S561" s="442" t="str">
        <f>_xlfn.XLOOKUP(PV_DATA[[#This Row],[New Ark SKU]],Table9[New Ark SKU],Table9[Cable],,0)</f>
        <v>±1200mm</v>
      </c>
      <c r="T561" s="442">
        <v>505</v>
      </c>
      <c r="U561" s="1093">
        <v>864</v>
      </c>
      <c r="V561" s="448">
        <f>PV_DATA[[#This Row],[QUANTITY]]*PV_DATA[[#This Row],[WATT]]/1000000</f>
        <v>0.43631999999999999</v>
      </c>
      <c r="W561" s="466">
        <f>PV_DATA[[#This Row],[QUANTITY]]/PV_DATA[[#This Row],[Qty/Pallet]]</f>
        <v>24</v>
      </c>
      <c r="X561" s="1044">
        <f>PV_DATA[[#This Row],[QUANTITY]]/PV_DATA[[#This Row],[Qty/CT]]</f>
        <v>1</v>
      </c>
      <c r="Y561" s="431" t="s">
        <v>951</v>
      </c>
      <c r="Z561" s="430" t="str">
        <f t="shared" si="5"/>
        <v>COMPLETED</v>
      </c>
      <c r="AA561" s="431" t="s">
        <v>4579</v>
      </c>
      <c r="AB561" s="441">
        <v>46164</v>
      </c>
      <c r="AC561" s="467">
        <f>IF(PV_DATA[[#This Row],[Pick- Up Date]]&lt;&gt;"",_xlfn.ISOWEEKNUM(PV_DATA[[#This Row],[Pick- Up Date]]),"")</f>
        <v>21</v>
      </c>
      <c r="AD561" s="431" t="s">
        <v>4690</v>
      </c>
      <c r="AF561" s="431" t="s">
        <v>61</v>
      </c>
      <c r="AG561" s="431" t="s">
        <v>61</v>
      </c>
      <c r="AH561" s="431" t="s">
        <v>456</v>
      </c>
      <c r="AI561" s="441">
        <v>46173</v>
      </c>
      <c r="AJ561" s="441">
        <v>46172</v>
      </c>
      <c r="AK561" s="441">
        <v>46172</v>
      </c>
      <c r="AL561" s="441">
        <v>46222</v>
      </c>
      <c r="AM561" s="441">
        <v>46224</v>
      </c>
      <c r="AN561" s="441">
        <v>46224</v>
      </c>
      <c r="AO561" s="431" t="s">
        <v>402</v>
      </c>
      <c r="AP561" s="431" t="s">
        <v>4670</v>
      </c>
      <c r="AQ561" s="431" t="s">
        <v>80</v>
      </c>
      <c r="AR561" s="431" t="s">
        <v>4691</v>
      </c>
      <c r="AS561" s="431" t="s">
        <v>4692</v>
      </c>
      <c r="AT561" s="482" t="s">
        <v>4692</v>
      </c>
      <c r="AU5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1"/>
      <c r="AW561" s="441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1">
        <f>IF(ISERROR(PV_DATA[[#This Row],[New Ark PO status]]),"",_xlfn.XLOOKUP(PV_DATA[[#This Row],[SPTN-PVHK New Ark PO'#]],New_Ark_Data[Purchase order Number],New_Ark_Data[Estimated time of arrival],"",0))</f>
        <v>46238</v>
      </c>
      <c r="AZ5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1">
        <f>IFERROR(PV_DATA[[#This Row],[ODP ETA Port]]+PV_DATA[[#This Row],[Customs/Leg3 Assumption]],"n/a")</f>
        <v>46231</v>
      </c>
      <c r="BB561" s="442">
        <f>YEAR(PV_DATA[[#This Row],[ETA for New Ark update]])</f>
        <v>2026</v>
      </c>
      <c r="BC561" s="431">
        <f>MONTH(PV_DATA[[#This Row],[ETA for New Ark update]])</f>
        <v>7</v>
      </c>
      <c r="BD561" s="431">
        <f>IFERROR(_xlfn.ISOWEEKNUM(PV_DATA[[#This Row],[ETA for New Ark update]]),0)</f>
        <v>31</v>
      </c>
      <c r="BE561" s="431">
        <f>_xlfn.XLOOKUP(PV_DATA[[#This Row],[New Ark SKU]],Table9[New Ark SKU],Table9[Total PCS per Pallet],,0)</f>
        <v>36</v>
      </c>
      <c r="BF561" s="431">
        <f>_xlfn.XLOOKUP(PV_DATA[[#This Row],[New Ark SKU]],Table9[New Ark SKU],Table9[Total PCS per 40HQ Container],,0)</f>
        <v>864</v>
      </c>
      <c r="BG561" s="431" t="str">
        <f>_xlfn.XLOOKUP(PV_DATA[[#This Row],[New Ark SKU]],Table9[New Ark SKU],Table9[Back Glass],,0)</f>
        <v>Black glazing</v>
      </c>
      <c r="BH561" s="431" t="str">
        <f>_xlfn.XLOOKUP(PV_DATA[[#This Row],[PORT DESTINATION]],Table12[PORT DESTINATION],Table12[Cosco Line],,0)</f>
        <v>AEU</v>
      </c>
    </row>
    <row r="562" spans="1:60" s="431" customFormat="1" ht="10.5">
      <c r="A562" s="439" t="s">
        <v>4693</v>
      </c>
      <c r="B562" s="439" t="s">
        <v>61</v>
      </c>
      <c r="C562" s="439" t="str">
        <f>IFERROR(LEFT(PV_DATA[[#This Row],[TCL REFERENCE]],FIND(".",PV_DATA[[#This Row],[TCL REFERENCE]],1)-1),"Main Line")</f>
        <v>26May010</v>
      </c>
      <c r="D562" s="439" t="s">
        <v>63</v>
      </c>
      <c r="E562" s="439" t="s">
        <v>144</v>
      </c>
      <c r="F562" s="439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39" t="s">
        <v>402</v>
      </c>
      <c r="H562" s="439" t="s">
        <v>403</v>
      </c>
      <c r="I562" s="439" t="s">
        <v>822</v>
      </c>
      <c r="J562" s="431" t="s">
        <v>4694</v>
      </c>
      <c r="K562" s="431" t="s">
        <v>4695</v>
      </c>
      <c r="L562" s="431">
        <v>2</v>
      </c>
      <c r="M562" s="431" t="s">
        <v>840</v>
      </c>
      <c r="N562" s="461" t="s">
        <v>68</v>
      </c>
      <c r="O562" s="431" t="s">
        <v>4531</v>
      </c>
      <c r="P562" s="431" t="s">
        <v>1151</v>
      </c>
      <c r="Q562" s="431" t="s">
        <v>421</v>
      </c>
      <c r="R562" s="431" t="str">
        <f>_xlfn.XLOOKUP(PV_DATA[[#This Row],[New Ark SKU]],Table9[New Ark SKU],Table9[Connector],,0)</f>
        <v>EVO2A</v>
      </c>
      <c r="S562" s="442" t="str">
        <f>_xlfn.XLOOKUP(PV_DATA[[#This Row],[New Ark SKU]],Table9[New Ark SKU],Table9[Cable],,0)</f>
        <v>±1200mm</v>
      </c>
      <c r="T562" s="442">
        <v>505</v>
      </c>
      <c r="U562" s="1093">
        <f>864*1</f>
        <v>864</v>
      </c>
      <c r="V562" s="448">
        <f>PV_DATA[[#This Row],[QUANTITY]]*PV_DATA[[#This Row],[WATT]]/1000000</f>
        <v>0.43631999999999999</v>
      </c>
      <c r="W562" s="466">
        <f>PV_DATA[[#This Row],[QUANTITY]]/PV_DATA[[#This Row],[Qty/Pallet]]</f>
        <v>24</v>
      </c>
      <c r="X562" s="1044">
        <f>PV_DATA[[#This Row],[QUANTITY]]/PV_DATA[[#This Row],[Qty/CT]]</f>
        <v>1</v>
      </c>
      <c r="Y562" s="431" t="s">
        <v>951</v>
      </c>
      <c r="Z562" s="430" t="str">
        <f t="shared" si="5"/>
        <v>COMPLETED</v>
      </c>
      <c r="AA562" s="431" t="s">
        <v>4579</v>
      </c>
      <c r="AB562" s="441">
        <v>46164</v>
      </c>
      <c r="AC562" s="467">
        <f>IF(PV_DATA[[#This Row],[Pick- Up Date]]&lt;&gt;"",_xlfn.ISOWEEKNUM(PV_DATA[[#This Row],[Pick- Up Date]]),"")</f>
        <v>21</v>
      </c>
      <c r="AD562" s="431" t="s">
        <v>4696</v>
      </c>
      <c r="AF562" s="431" t="s">
        <v>61</v>
      </c>
      <c r="AG562" s="431" t="s">
        <v>61</v>
      </c>
      <c r="AH562" s="431" t="s">
        <v>124</v>
      </c>
      <c r="AI562" s="441">
        <v>46173</v>
      </c>
      <c r="AJ562" s="441">
        <v>46172</v>
      </c>
      <c r="AK562" s="441">
        <v>46172</v>
      </c>
      <c r="AL562" s="441">
        <v>46226</v>
      </c>
      <c r="AM562" s="441">
        <v>46229</v>
      </c>
      <c r="AN562" s="441">
        <v>46229</v>
      </c>
      <c r="AO562" s="431" t="s">
        <v>402</v>
      </c>
      <c r="AP562" s="431" t="s">
        <v>4670</v>
      </c>
      <c r="AQ562" s="431" t="s">
        <v>80</v>
      </c>
      <c r="AR562" s="431" t="s">
        <v>4697</v>
      </c>
      <c r="AS562" s="431" t="s">
        <v>4698</v>
      </c>
      <c r="AT562" s="482" t="s">
        <v>4698</v>
      </c>
      <c r="AU5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1"/>
      <c r="AW562" s="441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1">
        <f>IF(ISERROR(PV_DATA[[#This Row],[New Ark PO status]]),"",_xlfn.XLOOKUP(PV_DATA[[#This Row],[SPTN-PVHK New Ark PO'#]],New_Ark_Data[Purchase order Number],New_Ark_Data[Estimated time of arrival],"",0))</f>
        <v>46226</v>
      </c>
      <c r="AZ56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1">
        <f>IFERROR(PV_DATA[[#This Row],[ODP ETA Port]]+PV_DATA[[#This Row],[Customs/Leg3 Assumption]],"n/a")</f>
        <v>46229</v>
      </c>
      <c r="BB562" s="442">
        <f>YEAR(PV_DATA[[#This Row],[ETA for New Ark update]])</f>
        <v>2026</v>
      </c>
      <c r="BC562" s="431">
        <f>MONTH(PV_DATA[[#This Row],[ETA for New Ark update]])</f>
        <v>7</v>
      </c>
      <c r="BD562" s="431">
        <f>IFERROR(_xlfn.ISOWEEKNUM(PV_DATA[[#This Row],[ETA for New Ark update]]),0)</f>
        <v>30</v>
      </c>
      <c r="BE562" s="431">
        <f>_xlfn.XLOOKUP(PV_DATA[[#This Row],[New Ark SKU]],Table9[New Ark SKU],Table9[Total PCS per Pallet],,0)</f>
        <v>36</v>
      </c>
      <c r="BF562" s="431">
        <f>_xlfn.XLOOKUP(PV_DATA[[#This Row],[New Ark SKU]],Table9[New Ark SKU],Table9[Total PCS per 40HQ Container],,0)</f>
        <v>864</v>
      </c>
      <c r="BG562" s="431" t="str">
        <f>_xlfn.XLOOKUP(PV_DATA[[#This Row],[New Ark SKU]],Table9[New Ark SKU],Table9[Back Glass],,0)</f>
        <v>Black glazing</v>
      </c>
      <c r="BH562" s="431" t="str">
        <f>_xlfn.XLOOKUP(PV_DATA[[#This Row],[PORT DESTINATION]],Table12[PORT DESTINATION],Table12[Cosco Line],,0)</f>
        <v>AEM</v>
      </c>
    </row>
    <row r="563" spans="1:60" s="431" customFormat="1">
      <c r="A563" s="439" t="s">
        <v>4699</v>
      </c>
      <c r="B563" s="439" t="s">
        <v>111</v>
      </c>
      <c r="C563" s="439" t="str">
        <f>IFERROR(LEFT(PV_DATA[[#This Row],[TCL REFERENCE]],FIND(".",PV_DATA[[#This Row],[TCL REFERENCE]],1)-1),"Main Line")</f>
        <v>26May015</v>
      </c>
      <c r="D563" s="439" t="s">
        <v>63</v>
      </c>
      <c r="E563" s="439" t="s">
        <v>64</v>
      </c>
      <c r="F563" s="439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39" t="s">
        <v>402</v>
      </c>
      <c r="H563" s="439" t="s">
        <v>67</v>
      </c>
      <c r="I563" s="439" t="s">
        <v>2004</v>
      </c>
      <c r="J563" s="431" t="s">
        <v>96</v>
      </c>
      <c r="M563" s="431" t="s">
        <v>68</v>
      </c>
      <c r="N563" s="461" t="s">
        <v>68</v>
      </c>
      <c r="O563" s="431" t="s">
        <v>4486</v>
      </c>
      <c r="P563" s="431" t="s">
        <v>4487</v>
      </c>
      <c r="Q563" s="431" t="s">
        <v>4488</v>
      </c>
      <c r="R563" s="431" t="str">
        <f>_xlfn.XLOOKUP(PV_DATA[[#This Row],[New Ark SKU]],Table9[New Ark SKU],Table9[Connector],,0)</f>
        <v>EVO2A</v>
      </c>
      <c r="S563" s="442" t="str">
        <f>_xlfn.XLOOKUP(PV_DATA[[#This Row],[New Ark SKU]],Table9[New Ark SKU],Table9[Cable],,0)</f>
        <v>±1400mm</v>
      </c>
      <c r="T563" s="442">
        <v>640</v>
      </c>
      <c r="U563" s="1093">
        <f>720*2</f>
        <v>1440</v>
      </c>
      <c r="V563" s="448">
        <f>PV_DATA[[#This Row],[QUANTITY]]*PV_DATA[[#This Row],[WATT]]/1000000</f>
        <v>0.92159999999999997</v>
      </c>
      <c r="W563" s="466">
        <f>PV_DATA[[#This Row],[QUANTITY]]/PV_DATA[[#This Row],[Qty/Pallet]]</f>
        <v>40</v>
      </c>
      <c r="X563" s="1044">
        <f>PV_DATA[[#This Row],[QUANTITY]]/PV_DATA[[#This Row],[Qty/CT]]</f>
        <v>2</v>
      </c>
      <c r="Y563" s="431" t="s">
        <v>951</v>
      </c>
      <c r="Z563" s="430" t="str">
        <f t="shared" ref="Z563:Z626" si="6">IF(AN563&lt;&gt;"","COMPLETED",IF(AK563&lt;&gt;"","IN-TRANSIT",""))</f>
        <v>COMPLETED</v>
      </c>
      <c r="AA563" s="431" t="s">
        <v>4700</v>
      </c>
      <c r="AB563" s="441">
        <v>46172</v>
      </c>
      <c r="AC563" s="467">
        <f>IF(PV_DATA[[#This Row],[Pick- Up Date]]&lt;&gt;"",_xlfn.ISOWEEKNUM(PV_DATA[[#This Row],[Pick- Up Date]]),"")</f>
        <v>22</v>
      </c>
      <c r="AD563" s="431" t="s">
        <v>4701</v>
      </c>
      <c r="AF563" s="431" t="s">
        <v>4423</v>
      </c>
      <c r="AG563" s="431" t="s">
        <v>123</v>
      </c>
      <c r="AH563" s="431" t="s">
        <v>105</v>
      </c>
      <c r="AI563" s="441">
        <v>46179</v>
      </c>
      <c r="AJ563" s="441"/>
      <c r="AK563" s="441">
        <v>46179</v>
      </c>
      <c r="AL563" s="441">
        <v>46214</v>
      </c>
      <c r="AM563" s="441"/>
      <c r="AN563" s="441">
        <v>46218</v>
      </c>
      <c r="AO563" s="431" t="s">
        <v>402</v>
      </c>
      <c r="AP563" s="431" t="s">
        <v>4670</v>
      </c>
      <c r="AQ563" s="431" t="s">
        <v>80</v>
      </c>
      <c r="AR563" s="431" t="s">
        <v>4702</v>
      </c>
      <c r="AS563" s="431" t="s">
        <v>4703</v>
      </c>
      <c r="AT563" s="482" t="s">
        <v>4703</v>
      </c>
      <c r="AU5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1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1">
        <f>IF(ISERROR(PV_DATA[[#This Row],[New Ark PO status]]),"",_xlfn.XLOOKUP(PV_DATA[[#This Row],[SPTN-PVHK New Ark PO'#]],New_Ark_Data[Purchase order Number],New_Ark_Data[Estimated time of arrival],"",0))</f>
        <v>46232</v>
      </c>
      <c r="AZ56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1">
        <f>IFERROR(PV_DATA[[#This Row],[ODP ETA Port]]+PV_DATA[[#This Row],[Customs/Leg3 Assumption]],"n/a")</f>
        <v>46225</v>
      </c>
      <c r="BB563" s="442">
        <f>YEAR(PV_DATA[[#This Row],[ETA for New Ark update]])</f>
        <v>2026</v>
      </c>
      <c r="BC563" s="431">
        <f>MONTH(PV_DATA[[#This Row],[ETA for New Ark update]])</f>
        <v>7</v>
      </c>
      <c r="BD563" s="431">
        <f>IFERROR(_xlfn.ISOWEEKNUM(PV_DATA[[#This Row],[ETA for New Ark update]]),0)</f>
        <v>30</v>
      </c>
      <c r="BE563" s="431">
        <f>_xlfn.XLOOKUP(PV_DATA[[#This Row],[New Ark SKU]],Table9[New Ark SKU],Table9[Total PCS per Pallet],,0)</f>
        <v>36</v>
      </c>
      <c r="BF563" s="431">
        <f>_xlfn.XLOOKUP(PV_DATA[[#This Row],[New Ark SKU]],Table9[New Ark SKU],Table9[Total PCS per 40HQ Container],,0)</f>
        <v>720</v>
      </c>
      <c r="BG563" s="431" t="str">
        <f>_xlfn.XLOOKUP(PV_DATA[[#This Row],[New Ark SKU]],Table9[New Ark SKU],Table9[Back Glass],,0)</f>
        <v>Transparent</v>
      </c>
      <c r="BH563" s="431" t="str">
        <f>_xlfn.XLOOKUP(PV_DATA[[#This Row],[PORT DESTINATION]],Table12[PORT DESTINATION],Table12[Cosco Line],,0)</f>
        <v>AEU</v>
      </c>
    </row>
    <row r="564" spans="1:60" s="431" customFormat="1">
      <c r="A564" s="439" t="s">
        <v>4704</v>
      </c>
      <c r="B564" s="439" t="s">
        <v>111</v>
      </c>
      <c r="C564" s="439" t="str">
        <f>IFERROR(LEFT(PV_DATA[[#This Row],[TCL REFERENCE]],FIND(".",PV_DATA[[#This Row],[TCL REFERENCE]],1)-1),"Main Line")</f>
        <v>26May016</v>
      </c>
      <c r="D564" s="439" t="s">
        <v>63</v>
      </c>
      <c r="E564" s="439" t="s">
        <v>64</v>
      </c>
      <c r="F564" s="439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39" t="s">
        <v>402</v>
      </c>
      <c r="H564" s="439" t="s">
        <v>67</v>
      </c>
      <c r="I564" s="439" t="s">
        <v>2004</v>
      </c>
      <c r="J564" s="431" t="s">
        <v>96</v>
      </c>
      <c r="M564" s="431" t="s">
        <v>68</v>
      </c>
      <c r="N564" s="461" t="s">
        <v>68</v>
      </c>
      <c r="O564" s="431" t="s">
        <v>4486</v>
      </c>
      <c r="P564" s="431" t="s">
        <v>4520</v>
      </c>
      <c r="Q564" s="431" t="s">
        <v>4521</v>
      </c>
      <c r="R564" s="431" t="str">
        <f>_xlfn.XLOOKUP(PV_DATA[[#This Row],[New Ark SKU]],Table9[New Ark SKU],Table9[Connector],,0)</f>
        <v>EVO2A</v>
      </c>
      <c r="S564" s="442" t="str">
        <f>_xlfn.XLOOKUP(PV_DATA[[#This Row],[New Ark SKU]],Table9[New Ark SKU],Table9[Cable],,0)</f>
        <v>±1400mm</v>
      </c>
      <c r="T564" s="442">
        <v>645</v>
      </c>
      <c r="U564" s="1093">
        <f>720*6</f>
        <v>4320</v>
      </c>
      <c r="V564" s="448">
        <f>PV_DATA[[#This Row],[QUANTITY]]*PV_DATA[[#This Row],[WATT]]/1000000</f>
        <v>2.7864</v>
      </c>
      <c r="W564" s="466">
        <f>PV_DATA[[#This Row],[QUANTITY]]/PV_DATA[[#This Row],[Qty/Pallet]]</f>
        <v>120</v>
      </c>
      <c r="X564" s="1044">
        <f>PV_DATA[[#This Row],[QUANTITY]]/PV_DATA[[#This Row],[Qty/CT]]</f>
        <v>6</v>
      </c>
      <c r="Y564" s="431" t="s">
        <v>951</v>
      </c>
      <c r="Z564" s="430" t="str">
        <f t="shared" si="6"/>
        <v>COMPLETED</v>
      </c>
      <c r="AA564" s="431" t="s">
        <v>4700</v>
      </c>
      <c r="AB564" s="441">
        <v>46172</v>
      </c>
      <c r="AC564" s="467">
        <f>IF(PV_DATA[[#This Row],[Pick- Up Date]]&lt;&gt;"",_xlfn.ISOWEEKNUM(PV_DATA[[#This Row],[Pick- Up Date]]),"")</f>
        <v>22</v>
      </c>
      <c r="AD564" s="431" t="s">
        <v>4705</v>
      </c>
      <c r="AF564" s="431" t="s">
        <v>4423</v>
      </c>
      <c r="AG564" s="431" t="s">
        <v>123</v>
      </c>
      <c r="AH564" s="431" t="s">
        <v>105</v>
      </c>
      <c r="AI564" s="441">
        <v>46179</v>
      </c>
      <c r="AJ564" s="441"/>
      <c r="AK564" s="441">
        <v>46179</v>
      </c>
      <c r="AL564" s="441">
        <v>46214</v>
      </c>
      <c r="AM564" s="441"/>
      <c r="AN564" s="441">
        <v>46218</v>
      </c>
      <c r="AO564" s="431" t="s">
        <v>402</v>
      </c>
      <c r="AP564" s="431" t="s">
        <v>4670</v>
      </c>
      <c r="AQ564" s="431" t="s">
        <v>80</v>
      </c>
      <c r="AR564" s="431" t="s">
        <v>4702</v>
      </c>
      <c r="AS564" s="431" t="s">
        <v>4703</v>
      </c>
      <c r="AT564" s="482" t="s">
        <v>4703</v>
      </c>
      <c r="AU5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1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1">
        <f>IF(ISERROR(PV_DATA[[#This Row],[New Ark PO status]]),"",_xlfn.XLOOKUP(PV_DATA[[#This Row],[SPTN-PVHK New Ark PO'#]],New_Ark_Data[Purchase order Number],New_Ark_Data[Estimated time of arrival],"",0))</f>
        <v>46232</v>
      </c>
      <c r="AZ5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1">
        <f>IFERROR(PV_DATA[[#This Row],[ODP ETA Port]]+PV_DATA[[#This Row],[Customs/Leg3 Assumption]],"n/a")</f>
        <v>46225</v>
      </c>
      <c r="BB564" s="442">
        <f>YEAR(PV_DATA[[#This Row],[ETA for New Ark update]])</f>
        <v>2026</v>
      </c>
      <c r="BC564" s="431">
        <f>MONTH(PV_DATA[[#This Row],[ETA for New Ark update]])</f>
        <v>7</v>
      </c>
      <c r="BD564" s="431">
        <f>IFERROR(_xlfn.ISOWEEKNUM(PV_DATA[[#This Row],[ETA for New Ark update]]),0)</f>
        <v>30</v>
      </c>
      <c r="BE564" s="431">
        <f>_xlfn.XLOOKUP(PV_DATA[[#This Row],[New Ark SKU]],Table9[New Ark SKU],Table9[Total PCS per Pallet],,0)</f>
        <v>36</v>
      </c>
      <c r="BF564" s="431">
        <f>_xlfn.XLOOKUP(PV_DATA[[#This Row],[New Ark SKU]],Table9[New Ark SKU],Table9[Total PCS per 40HQ Container],,0)</f>
        <v>720</v>
      </c>
      <c r="BG564" s="431" t="str">
        <f>_xlfn.XLOOKUP(PV_DATA[[#This Row],[New Ark SKU]],Table9[New Ark SKU],Table9[Back Glass],,0)</f>
        <v>Transparent</v>
      </c>
      <c r="BH564" s="431" t="str">
        <f>_xlfn.XLOOKUP(PV_DATA[[#This Row],[PORT DESTINATION]],Table12[PORT DESTINATION],Table12[Cosco Line],,0)</f>
        <v>AEU</v>
      </c>
    </row>
    <row r="565" spans="1:60" s="431" customFormat="1" ht="10.5">
      <c r="A565" s="439" t="s">
        <v>4706</v>
      </c>
      <c r="B565" s="439" t="s">
        <v>111</v>
      </c>
      <c r="C565" s="439" t="str">
        <f>IFERROR(LEFT(PV_DATA[[#This Row],[TCL REFERENCE]],FIND(".",PV_DATA[[#This Row],[TCL REFERENCE]],1)-1),"Main Line")</f>
        <v>26May006</v>
      </c>
      <c r="D565" s="439" t="s">
        <v>63</v>
      </c>
      <c r="E565" s="439" t="s">
        <v>144</v>
      </c>
      <c r="F565" s="439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39" t="s">
        <v>402</v>
      </c>
      <c r="H565" s="719" t="s">
        <v>1449</v>
      </c>
      <c r="I565" s="439" t="s">
        <v>689</v>
      </c>
      <c r="J565" s="431" t="s">
        <v>4619</v>
      </c>
      <c r="K565" s="431" t="s">
        <v>4620</v>
      </c>
      <c r="L565" s="431">
        <v>3</v>
      </c>
      <c r="M565" s="431" t="s">
        <v>840</v>
      </c>
      <c r="N565" s="461">
        <v>46160</v>
      </c>
      <c r="O565" s="431" t="s">
        <v>132</v>
      </c>
      <c r="P565" s="431" t="s">
        <v>1062</v>
      </c>
      <c r="Q565" s="431" t="s">
        <v>1063</v>
      </c>
      <c r="R565" s="431" t="str">
        <f>_xlfn.XLOOKUP(PV_DATA[[#This Row],[New Ark SKU]],Table9[New Ark SKU],Table9[Connector],,0)</f>
        <v>EVO2A</v>
      </c>
      <c r="S565" s="442" t="str">
        <f>_xlfn.XLOOKUP(PV_DATA[[#This Row],[New Ark SKU]],Table9[New Ark SKU],Table9[Cable],,0)</f>
        <v>±1200mm</v>
      </c>
      <c r="T565" s="442">
        <v>470</v>
      </c>
      <c r="U565" s="1093">
        <f>864*3</f>
        <v>2592</v>
      </c>
      <c r="V565" s="444">
        <f>PV_DATA[[#This Row],[QUANTITY]]*PV_DATA[[#This Row],[WATT]]/1000000</f>
        <v>1.21824</v>
      </c>
      <c r="W565" s="466">
        <f>PV_DATA[[#This Row],[QUANTITY]]/PV_DATA[[#This Row],[Qty/Pallet]]</f>
        <v>72</v>
      </c>
      <c r="X565" s="1044">
        <f>PV_DATA[[#This Row],[QUANTITY]]/PV_DATA[[#This Row],[Qty/CT]]</f>
        <v>3</v>
      </c>
      <c r="Y565" s="431" t="s">
        <v>951</v>
      </c>
      <c r="Z565" s="430" t="str">
        <f t="shared" si="6"/>
        <v>COMPLETED</v>
      </c>
      <c r="AA565" s="478" t="s">
        <v>4700</v>
      </c>
      <c r="AB565" s="441">
        <v>46172</v>
      </c>
      <c r="AC565" s="467">
        <f>IF(PV_DATA[[#This Row],[Pick- Up Date]]&lt;&gt;"",_xlfn.ISOWEEKNUM(PV_DATA[[#This Row],[Pick- Up Date]]),"")</f>
        <v>22</v>
      </c>
      <c r="AD565" s="431" t="s">
        <v>4707</v>
      </c>
      <c r="AF565" s="431" t="s">
        <v>123</v>
      </c>
      <c r="AG565" s="431" t="s">
        <v>123</v>
      </c>
      <c r="AH565" s="431" t="s">
        <v>105</v>
      </c>
      <c r="AI565" s="441">
        <v>46179</v>
      </c>
      <c r="AJ565" s="441"/>
      <c r="AK565" s="441">
        <v>46179</v>
      </c>
      <c r="AL565" s="441">
        <v>46214</v>
      </c>
      <c r="AM565" s="441"/>
      <c r="AN565" s="441">
        <v>46218</v>
      </c>
      <c r="AO565" s="431" t="s">
        <v>402</v>
      </c>
      <c r="AP565" s="431" t="s">
        <v>4670</v>
      </c>
      <c r="AQ565" s="431" t="s">
        <v>80</v>
      </c>
      <c r="AR565" s="431" t="s">
        <v>4708</v>
      </c>
      <c r="AS565" s="431" t="s">
        <v>4709</v>
      </c>
      <c r="AT565" s="482" t="s">
        <v>4709</v>
      </c>
      <c r="AU5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1"/>
      <c r="AW565" s="441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1">
        <f>IF(ISERROR(PV_DATA[[#This Row],[New Ark PO status]]),"",_xlfn.XLOOKUP(PV_DATA[[#This Row],[SPTN-PVHK New Ark PO'#]],New_Ark_Data[Purchase order Number],New_Ark_Data[Estimated time of arrival],"",0))</f>
        <v>46214</v>
      </c>
      <c r="AZ56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1">
        <f>IFERROR(PV_DATA[[#This Row],[ODP ETA Port]]+PV_DATA[[#This Row],[Customs/Leg3 Assumption]],"n/a")</f>
        <v>46218</v>
      </c>
      <c r="BB565" s="442">
        <f>YEAR(PV_DATA[[#This Row],[ETA for New Ark update]])</f>
        <v>2026</v>
      </c>
      <c r="BC565" s="431">
        <f>MONTH(PV_DATA[[#This Row],[ETA for New Ark update]])</f>
        <v>7</v>
      </c>
      <c r="BD565" s="431">
        <f>IFERROR(_xlfn.ISOWEEKNUM(PV_DATA[[#This Row],[ETA for New Ark update]]),0)</f>
        <v>29</v>
      </c>
      <c r="BE565" s="431">
        <f>_xlfn.XLOOKUP(PV_DATA[[#This Row],[New Ark SKU]],Table9[New Ark SKU],Table9[Total PCS per Pallet],,0)</f>
        <v>36</v>
      </c>
      <c r="BF565" s="431">
        <f>_xlfn.XLOOKUP(PV_DATA[[#This Row],[New Ark SKU]],Table9[New Ark SKU],Table9[Total PCS per 40HQ Container],,0)</f>
        <v>864</v>
      </c>
      <c r="BG565" s="431" t="str">
        <f>_xlfn.XLOOKUP(PV_DATA[[#This Row],[New Ark SKU]],Table9[New Ark SKU],Table9[Back Glass],,0)</f>
        <v>White glazing</v>
      </c>
      <c r="BH565" s="431" t="str">
        <f>_xlfn.XLOOKUP(PV_DATA[[#This Row],[PORT DESTINATION]],Table12[PORT DESTINATION],Table12[Cosco Line],,0)</f>
        <v>AEU</v>
      </c>
    </row>
    <row r="566" spans="1:60" s="431" customFormat="1" ht="10.5">
      <c r="A566" s="439" t="s">
        <v>4710</v>
      </c>
      <c r="B566" s="439" t="s">
        <v>2132</v>
      </c>
      <c r="C566" s="439" t="str">
        <f>IFERROR(LEFT(PV_DATA[[#This Row],[TCL REFERENCE]],FIND(".",PV_DATA[[#This Row],[TCL REFERENCE]],1)-1),"Main Line")</f>
        <v>26Apr008</v>
      </c>
      <c r="D566" s="439" t="s">
        <v>63</v>
      </c>
      <c r="E566" s="439" t="s">
        <v>64</v>
      </c>
      <c r="F566" s="439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39" t="s">
        <v>402</v>
      </c>
      <c r="H566" s="439" t="s">
        <v>67</v>
      </c>
      <c r="I566" s="439" t="s">
        <v>689</v>
      </c>
      <c r="J566" s="431" t="s">
        <v>96</v>
      </c>
      <c r="M566" s="431" t="s">
        <v>68</v>
      </c>
      <c r="N566" s="461">
        <v>46146</v>
      </c>
      <c r="O566" s="431" t="s">
        <v>170</v>
      </c>
      <c r="P566" s="431" t="s">
        <v>1977</v>
      </c>
      <c r="Q566" s="431" t="s">
        <v>1978</v>
      </c>
      <c r="R566" s="431" t="str">
        <f>_xlfn.XLOOKUP(PV_DATA[[#This Row],[New Ark SKU]],Table9[New Ark SKU],Table9[Connector],,0)</f>
        <v>EVO2A</v>
      </c>
      <c r="S566" s="442" t="str">
        <f>_xlfn.XLOOKUP(PV_DATA[[#This Row],[New Ark SKU]],Table9[New Ark SKU],Table9[Cable],,0)</f>
        <v>±1400mm</v>
      </c>
      <c r="T566" s="442">
        <v>560</v>
      </c>
      <c r="U566" s="1093">
        <f>660*5</f>
        <v>3300</v>
      </c>
      <c r="V566" s="448">
        <f>PV_DATA[[#This Row],[QUANTITY]]*PV_DATA[[#This Row],[WATT]]/1000000</f>
        <v>1.8480000000000001</v>
      </c>
      <c r="W566" s="466">
        <f>PV_DATA[[#This Row],[QUANTITY]]/PV_DATA[[#This Row],[Qty/Pallet]]</f>
        <v>100</v>
      </c>
      <c r="X566" s="1044">
        <f>PV_DATA[[#This Row],[QUANTITY]]/PV_DATA[[#This Row],[Qty/CT]]</f>
        <v>5</v>
      </c>
      <c r="Y566" s="431" t="s">
        <v>951</v>
      </c>
      <c r="Z566" s="430" t="str">
        <f t="shared" si="6"/>
        <v>COMPLETED</v>
      </c>
      <c r="AA566" s="474" t="s">
        <v>4711</v>
      </c>
      <c r="AB566" s="441">
        <v>46169</v>
      </c>
      <c r="AC566" s="467">
        <f>IF(PV_DATA[[#This Row],[Pick- Up Date]]&lt;&gt;"",_xlfn.ISOWEEKNUM(PV_DATA[[#This Row],[Pick- Up Date]]),"")</f>
        <v>22</v>
      </c>
      <c r="AD566" s="431" t="s">
        <v>4712</v>
      </c>
      <c r="AF566" s="431" t="s">
        <v>123</v>
      </c>
      <c r="AG566" s="431" t="s">
        <v>123</v>
      </c>
      <c r="AH566" s="431" t="s">
        <v>105</v>
      </c>
      <c r="AI566" s="441">
        <v>46174</v>
      </c>
      <c r="AJ566" s="441">
        <v>46175</v>
      </c>
      <c r="AK566" s="441">
        <v>46175</v>
      </c>
      <c r="AL566" s="441">
        <v>46211</v>
      </c>
      <c r="AM566" s="441">
        <v>46221</v>
      </c>
      <c r="AN566" s="441">
        <v>46222</v>
      </c>
      <c r="AO566" s="431" t="s">
        <v>402</v>
      </c>
      <c r="AP566" s="431" t="s">
        <v>4713</v>
      </c>
      <c r="AQ566" s="431" t="s">
        <v>80</v>
      </c>
      <c r="AR566" s="431" t="s">
        <v>4714</v>
      </c>
      <c r="AS566" s="431" t="s">
        <v>4715</v>
      </c>
      <c r="AT566" s="482" t="s">
        <v>4715</v>
      </c>
      <c r="AU5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1"/>
      <c r="AW566" s="441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1">
        <f>IF(ISERROR(PV_DATA[[#This Row],[New Ark PO status]]),"",_xlfn.XLOOKUP(PV_DATA[[#This Row],[SPTN-PVHK New Ark PO'#]],New_Ark_Data[Purchase order Number],New_Ark_Data[Estimated time of arrival],"",0))</f>
        <v>46237</v>
      </c>
      <c r="AZ5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1">
        <f>IFERROR(PV_DATA[[#This Row],[ODP ETA Port]]+PV_DATA[[#This Row],[Customs/Leg3 Assumption]],"n/a")</f>
        <v>46229</v>
      </c>
      <c r="BB566" s="442">
        <f>YEAR(PV_DATA[[#This Row],[ETA for New Ark update]])</f>
        <v>2026</v>
      </c>
      <c r="BC566" s="431">
        <f>MONTH(PV_DATA[[#This Row],[ETA for New Ark update]])</f>
        <v>7</v>
      </c>
      <c r="BD566" s="431">
        <f>IFERROR(_xlfn.ISOWEEKNUM(PV_DATA[[#This Row],[ETA for New Ark update]]),0)</f>
        <v>30</v>
      </c>
      <c r="BE566" s="431">
        <f>_xlfn.XLOOKUP(PV_DATA[[#This Row],[New Ark SKU]],Table9[New Ark SKU],Table9[Total PCS per Pallet],,0)</f>
        <v>33</v>
      </c>
      <c r="BF566" s="431">
        <f>_xlfn.XLOOKUP(PV_DATA[[#This Row],[New Ark SKU]],Table9[New Ark SKU],Table9[Total PCS per 40HQ Container],,0)</f>
        <v>660</v>
      </c>
      <c r="BG566" s="431" t="str">
        <f>_xlfn.XLOOKUP(PV_DATA[[#This Row],[New Ark SKU]],Table9[New Ark SKU],Table9[Back Glass],,0)</f>
        <v>White glazing</v>
      </c>
      <c r="BH566" s="431" t="str">
        <f>_xlfn.XLOOKUP(PV_DATA[[#This Row],[PORT DESTINATION]],Table12[PORT DESTINATION],Table12[Cosco Line],,0)</f>
        <v>AEU</v>
      </c>
    </row>
    <row r="567" spans="1:60" s="431" customFormat="1" ht="10.5">
      <c r="A567" s="439" t="s">
        <v>4716</v>
      </c>
      <c r="B567" s="439" t="s">
        <v>111</v>
      </c>
      <c r="C567" s="439" t="str">
        <f>IFERROR(LEFT(PV_DATA[[#This Row],[TCL REFERENCE]],FIND(".",PV_DATA[[#This Row],[TCL REFERENCE]],1)-1),"Main Line")</f>
        <v>26May006</v>
      </c>
      <c r="D567" s="439" t="s">
        <v>63</v>
      </c>
      <c r="E567" s="722" t="s">
        <v>64</v>
      </c>
      <c r="F567" s="439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39" t="s">
        <v>402</v>
      </c>
      <c r="H567" s="439" t="s">
        <v>67</v>
      </c>
      <c r="I567" s="439" t="s">
        <v>689</v>
      </c>
      <c r="J567" s="431" t="s">
        <v>96</v>
      </c>
      <c r="M567" s="431" t="s">
        <v>68</v>
      </c>
      <c r="N567" s="461">
        <v>46160</v>
      </c>
      <c r="O567" s="431" t="s">
        <v>132</v>
      </c>
      <c r="P567" s="431" t="s">
        <v>1062</v>
      </c>
      <c r="Q567" s="431" t="s">
        <v>1063</v>
      </c>
      <c r="R567" s="431" t="str">
        <f>_xlfn.XLOOKUP(PV_DATA[[#This Row],[New Ark SKU]],Table9[New Ark SKU],Table9[Connector],,0)</f>
        <v>EVO2A</v>
      </c>
      <c r="S567" s="442" t="str">
        <f>_xlfn.XLOOKUP(PV_DATA[[#This Row],[New Ark SKU]],Table9[New Ark SKU],Table9[Cable],,0)</f>
        <v>±1200mm</v>
      </c>
      <c r="T567" s="442">
        <v>470</v>
      </c>
      <c r="U567" s="1093">
        <f>864*2</f>
        <v>1728</v>
      </c>
      <c r="V567" s="448">
        <f>PV_DATA[[#This Row],[QUANTITY]]*PV_DATA[[#This Row],[WATT]]/1000000</f>
        <v>0.81215999999999999</v>
      </c>
      <c r="W567" s="466">
        <f>PV_DATA[[#This Row],[QUANTITY]]/PV_DATA[[#This Row],[Qty/Pallet]]</f>
        <v>48</v>
      </c>
      <c r="X567" s="1044">
        <f>PV_DATA[[#This Row],[QUANTITY]]/PV_DATA[[#This Row],[Qty/CT]]</f>
        <v>2</v>
      </c>
      <c r="Y567" s="431" t="s">
        <v>951</v>
      </c>
      <c r="Z567" s="430" t="str">
        <f t="shared" si="6"/>
        <v>COMPLETED</v>
      </c>
      <c r="AA567" s="478" t="s">
        <v>4700</v>
      </c>
      <c r="AB567" s="441">
        <v>46174</v>
      </c>
      <c r="AC567" s="467">
        <f>IF(PV_DATA[[#This Row],[Pick- Up Date]]&lt;&gt;"",_xlfn.ISOWEEKNUM(PV_DATA[[#This Row],[Pick- Up Date]]),"")</f>
        <v>23</v>
      </c>
      <c r="AD567" s="431" t="s">
        <v>4717</v>
      </c>
      <c r="AF567" s="431" t="s">
        <v>123</v>
      </c>
      <c r="AG567" s="431" t="s">
        <v>123</v>
      </c>
      <c r="AH567" s="431" t="s">
        <v>105</v>
      </c>
      <c r="AI567" s="441">
        <v>46180</v>
      </c>
      <c r="AJ567" s="441">
        <v>46182</v>
      </c>
      <c r="AK567" s="441">
        <v>46182</v>
      </c>
      <c r="AL567" s="441">
        <v>46221</v>
      </c>
      <c r="AM567" s="441">
        <v>46229</v>
      </c>
      <c r="AN567" s="441">
        <v>46228</v>
      </c>
      <c r="AO567" s="431" t="s">
        <v>402</v>
      </c>
      <c r="AP567" s="431" t="s">
        <v>4718</v>
      </c>
      <c r="AQ567" s="431" t="s">
        <v>80</v>
      </c>
      <c r="AR567" s="431" t="s">
        <v>4719</v>
      </c>
      <c r="AS567" s="431" t="s">
        <v>4720</v>
      </c>
      <c r="AT567" s="482" t="s">
        <v>4720</v>
      </c>
      <c r="AU5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1"/>
      <c r="AW567" s="441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1">
        <f>IF(ISERROR(PV_DATA[[#This Row],[New Ark PO status]]),"",_xlfn.XLOOKUP(PV_DATA[[#This Row],[SPTN-PVHK New Ark PO'#]],New_Ark_Data[Purchase order Number],New_Ark_Data[Estimated time of arrival],"",0))</f>
        <v>46241</v>
      </c>
      <c r="AZ5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1">
        <f>IFERROR(PV_DATA[[#This Row],[ODP ETA Port]]+PV_DATA[[#This Row],[Customs/Leg3 Assumption]],"n/a")</f>
        <v>46235</v>
      </c>
      <c r="BB567" s="442">
        <f>YEAR(PV_DATA[[#This Row],[ETA for New Ark update]])</f>
        <v>2026</v>
      </c>
      <c r="BC567" s="431">
        <f>MONTH(PV_DATA[[#This Row],[ETA for New Ark update]])</f>
        <v>8</v>
      </c>
      <c r="BD567" s="431">
        <f>IFERROR(_xlfn.ISOWEEKNUM(PV_DATA[[#This Row],[ETA for New Ark update]]),0)</f>
        <v>31</v>
      </c>
      <c r="BE567" s="431">
        <f>_xlfn.XLOOKUP(PV_DATA[[#This Row],[New Ark SKU]],Table9[New Ark SKU],Table9[Total PCS per Pallet],,0)</f>
        <v>36</v>
      </c>
      <c r="BF567" s="431">
        <f>_xlfn.XLOOKUP(PV_DATA[[#This Row],[New Ark SKU]],Table9[New Ark SKU],Table9[Total PCS per 40HQ Container],,0)</f>
        <v>864</v>
      </c>
      <c r="BG567" s="431" t="str">
        <f>_xlfn.XLOOKUP(PV_DATA[[#This Row],[New Ark SKU]],Table9[New Ark SKU],Table9[Back Glass],,0)</f>
        <v>White glazing</v>
      </c>
      <c r="BH567" s="431" t="str">
        <f>_xlfn.XLOOKUP(PV_DATA[[#This Row],[PORT DESTINATION]],Table12[PORT DESTINATION],Table12[Cosco Line],,0)</f>
        <v>AEU</v>
      </c>
    </row>
    <row r="568" spans="1:60" s="431" customFormat="1" ht="10.5">
      <c r="A568" s="439" t="s">
        <v>4721</v>
      </c>
      <c r="B568" s="439" t="s">
        <v>2132</v>
      </c>
      <c r="C568" s="439" t="str">
        <f>IFERROR(LEFT(PV_DATA[[#This Row],[TCL REFERENCE]],FIND(".",PV_DATA[[#This Row],[TCL REFERENCE]],1)-1),"Main Line")</f>
        <v>26May003</v>
      </c>
      <c r="D568" s="439" t="s">
        <v>63</v>
      </c>
      <c r="E568" s="439" t="s">
        <v>64</v>
      </c>
      <c r="F568" s="439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39" t="s">
        <v>402</v>
      </c>
      <c r="H568" s="439" t="s">
        <v>67</v>
      </c>
      <c r="I568" s="439" t="s">
        <v>689</v>
      </c>
      <c r="J568" s="431" t="s">
        <v>96</v>
      </c>
      <c r="M568" s="431" t="s">
        <v>68</v>
      </c>
      <c r="N568" s="461">
        <v>46160</v>
      </c>
      <c r="O568" s="431" t="s">
        <v>170</v>
      </c>
      <c r="P568" s="431" t="s">
        <v>171</v>
      </c>
      <c r="Q568" s="431" t="s">
        <v>1731</v>
      </c>
      <c r="R568" s="431" t="str">
        <f>_xlfn.XLOOKUP(PV_DATA[[#This Row],[New Ark SKU]],Table9[New Ark SKU],Table9[Connector],,0)</f>
        <v>EVO2A</v>
      </c>
      <c r="S568" s="442" t="str">
        <f>_xlfn.XLOOKUP(PV_DATA[[#This Row],[New Ark SKU]],Table9[New Ark SKU],Table9[Cable],,0)</f>
        <v>±1400mm</v>
      </c>
      <c r="T568" s="442">
        <v>555</v>
      </c>
      <c r="U568" s="1093">
        <f>660*6</f>
        <v>3960</v>
      </c>
      <c r="V568" s="448">
        <f>PV_DATA[[#This Row],[QUANTITY]]*PV_DATA[[#This Row],[WATT]]/1000000</f>
        <v>2.1978</v>
      </c>
      <c r="W568" s="466">
        <f>PV_DATA[[#This Row],[QUANTITY]]/PV_DATA[[#This Row],[Qty/Pallet]]</f>
        <v>120</v>
      </c>
      <c r="X568" s="1044">
        <f>PV_DATA[[#This Row],[QUANTITY]]/PV_DATA[[#This Row],[Qty/CT]]</f>
        <v>6</v>
      </c>
      <c r="Y568" s="431" t="s">
        <v>951</v>
      </c>
      <c r="Z568" s="430" t="str">
        <f t="shared" si="6"/>
        <v>COMPLETED</v>
      </c>
      <c r="AA568" s="431" t="s">
        <v>4711</v>
      </c>
      <c r="AB568" s="441">
        <v>46174</v>
      </c>
      <c r="AC568" s="467">
        <f>IF(PV_DATA[[#This Row],[Pick- Up Date]]&lt;&gt;"",_xlfn.ISOWEEKNUM(PV_DATA[[#This Row],[Pick- Up Date]]),"")</f>
        <v>23</v>
      </c>
      <c r="AD568" s="431" t="s">
        <v>4722</v>
      </c>
      <c r="AF568" s="431" t="s">
        <v>123</v>
      </c>
      <c r="AG568" s="431" t="s">
        <v>123</v>
      </c>
      <c r="AH568" s="431" t="s">
        <v>105</v>
      </c>
      <c r="AI568" s="441">
        <v>46180</v>
      </c>
      <c r="AJ568" s="441">
        <v>46182</v>
      </c>
      <c r="AK568" s="441">
        <v>46182</v>
      </c>
      <c r="AL568" s="441">
        <v>46221</v>
      </c>
      <c r="AM568" s="441">
        <v>46229</v>
      </c>
      <c r="AN568" s="441">
        <v>46228</v>
      </c>
      <c r="AO568" s="431" t="s">
        <v>402</v>
      </c>
      <c r="AP568" s="431" t="s">
        <v>4718</v>
      </c>
      <c r="AQ568" s="431" t="s">
        <v>80</v>
      </c>
      <c r="AR568" s="431" t="s">
        <v>4719</v>
      </c>
      <c r="AS568" s="431" t="s">
        <v>4720</v>
      </c>
      <c r="AT568" s="482" t="s">
        <v>4720</v>
      </c>
      <c r="AU5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1"/>
      <c r="AW568" s="441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1">
        <f>IF(ISERROR(PV_DATA[[#This Row],[New Ark PO status]]),"",_xlfn.XLOOKUP(PV_DATA[[#This Row],[SPTN-PVHK New Ark PO'#]],New_Ark_Data[Purchase order Number],New_Ark_Data[Estimated time of arrival],"",0))</f>
        <v>46241</v>
      </c>
      <c r="AZ56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1">
        <f>IFERROR(PV_DATA[[#This Row],[ODP ETA Port]]+PV_DATA[[#This Row],[Customs/Leg3 Assumption]],"n/a")</f>
        <v>46235</v>
      </c>
      <c r="BB568" s="442">
        <f>YEAR(PV_DATA[[#This Row],[ETA for New Ark update]])</f>
        <v>2026</v>
      </c>
      <c r="BC568" s="431">
        <f>MONTH(PV_DATA[[#This Row],[ETA for New Ark update]])</f>
        <v>8</v>
      </c>
      <c r="BD568" s="431">
        <f>IFERROR(_xlfn.ISOWEEKNUM(PV_DATA[[#This Row],[ETA for New Ark update]]),0)</f>
        <v>31</v>
      </c>
      <c r="BE568" s="431">
        <f>_xlfn.XLOOKUP(PV_DATA[[#This Row],[New Ark SKU]],Table9[New Ark SKU],Table9[Total PCS per Pallet],,0)</f>
        <v>33</v>
      </c>
      <c r="BF568" s="431">
        <f>_xlfn.XLOOKUP(PV_DATA[[#This Row],[New Ark SKU]],Table9[New Ark SKU],Table9[Total PCS per 40HQ Container],,0)</f>
        <v>660</v>
      </c>
      <c r="BG568" s="431" t="str">
        <f>_xlfn.XLOOKUP(PV_DATA[[#This Row],[New Ark SKU]],Table9[New Ark SKU],Table9[Back Glass],,0)</f>
        <v>White glazing</v>
      </c>
      <c r="BH568" s="431" t="str">
        <f>_xlfn.XLOOKUP(PV_DATA[[#This Row],[PORT DESTINATION]],Table12[PORT DESTINATION],Table12[Cosco Line],,0)</f>
        <v>AEU</v>
      </c>
    </row>
    <row r="569" spans="1:60" s="431" customFormat="1" ht="10.5">
      <c r="A569" s="439" t="s">
        <v>4723</v>
      </c>
      <c r="B569" s="439" t="s">
        <v>111</v>
      </c>
      <c r="C569" s="439" t="str">
        <f>IFERROR(LEFT(PV_DATA[[#This Row],[TCL REFERENCE]],FIND(".",PV_DATA[[#This Row],[TCL REFERENCE]],1)-1),"Main Line")</f>
        <v>26May006</v>
      </c>
      <c r="D569" s="439" t="s">
        <v>63</v>
      </c>
      <c r="E569" s="722" t="s">
        <v>64</v>
      </c>
      <c r="F569" s="439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39" t="s">
        <v>402</v>
      </c>
      <c r="H569" s="439" t="s">
        <v>67</v>
      </c>
      <c r="I569" s="439" t="s">
        <v>689</v>
      </c>
      <c r="J569" s="431" t="s">
        <v>96</v>
      </c>
      <c r="M569" s="431" t="s">
        <v>68</v>
      </c>
      <c r="N569" s="461">
        <v>46160</v>
      </c>
      <c r="O569" s="431" t="s">
        <v>132</v>
      </c>
      <c r="P569" s="431" t="s">
        <v>1062</v>
      </c>
      <c r="Q569" s="431" t="s">
        <v>1063</v>
      </c>
      <c r="R569" s="431" t="str">
        <f>_xlfn.XLOOKUP(PV_DATA[[#This Row],[New Ark SKU]],Table9[New Ark SKU],Table9[Connector],,0)</f>
        <v>EVO2A</v>
      </c>
      <c r="S569" s="442" t="str">
        <f>_xlfn.XLOOKUP(PV_DATA[[#This Row],[New Ark SKU]],Table9[New Ark SKU],Table9[Cable],,0)</f>
        <v>±1200mm</v>
      </c>
      <c r="T569" s="442">
        <v>470</v>
      </c>
      <c r="U569" s="1093">
        <f>864*9</f>
        <v>7776</v>
      </c>
      <c r="V569" s="448">
        <f>PV_DATA[[#This Row],[QUANTITY]]*PV_DATA[[#This Row],[WATT]]/1000000</f>
        <v>3.6547200000000002</v>
      </c>
      <c r="W569" s="466">
        <f>PV_DATA[[#This Row],[QUANTITY]]/PV_DATA[[#This Row],[Qty/Pallet]]</f>
        <v>216</v>
      </c>
      <c r="X569" s="1044">
        <f>PV_DATA[[#This Row],[QUANTITY]]/PV_DATA[[#This Row],[Qty/CT]]</f>
        <v>9</v>
      </c>
      <c r="Y569" s="431" t="s">
        <v>951</v>
      </c>
      <c r="Z569" s="430" t="str">
        <f t="shared" si="6"/>
        <v>COMPLETED</v>
      </c>
      <c r="AA569" s="478" t="s">
        <v>4700</v>
      </c>
      <c r="AB569" s="441">
        <v>46171</v>
      </c>
      <c r="AC569" s="467">
        <f>IF(PV_DATA[[#This Row],[Pick- Up Date]]&lt;&gt;"",_xlfn.ISOWEEKNUM(PV_DATA[[#This Row],[Pick- Up Date]]),"")</f>
        <v>22</v>
      </c>
      <c r="AD569" s="431" t="s">
        <v>4724</v>
      </c>
      <c r="AF569" s="431" t="s">
        <v>123</v>
      </c>
      <c r="AG569" s="431" t="s">
        <v>123</v>
      </c>
      <c r="AH569" s="431" t="s">
        <v>78</v>
      </c>
      <c r="AI569" s="441">
        <v>46178</v>
      </c>
      <c r="AJ569" s="441">
        <v>46183</v>
      </c>
      <c r="AK569" s="441">
        <v>46183</v>
      </c>
      <c r="AL569" s="441">
        <v>46230</v>
      </c>
      <c r="AM569" s="441">
        <v>46235</v>
      </c>
      <c r="AN569" s="586">
        <f>IFERROR(IF(VLOOKUP(AT569,Vessel!A:I,9,FALSE)=0,"",VLOOKUP(AT569,Vessel!A:I,9,FALSE)),"")</f>
        <v>46236.239571759259</v>
      </c>
      <c r="AO569" s="431" t="s">
        <v>402</v>
      </c>
      <c r="AP569" s="431" t="s">
        <v>4725</v>
      </c>
      <c r="AQ569" s="431" t="s">
        <v>80</v>
      </c>
      <c r="AR569" s="431" t="s">
        <v>4726</v>
      </c>
      <c r="AS569" s="431" t="s">
        <v>4727</v>
      </c>
      <c r="AT569" s="482" t="s">
        <v>4727</v>
      </c>
      <c r="AU5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53.239571759258979</v>
      </c>
      <c r="AV569" s="441"/>
      <c r="AW569" s="441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1">
        <f>IF(ISERROR(PV_DATA[[#This Row],[New Ark PO status]]),"",_xlfn.XLOOKUP(PV_DATA[[#This Row],[SPTN-PVHK New Ark PO'#]],New_Ark_Data[Purchase order Number],New_Ark_Data[Estimated time of arrival],"",0))</f>
        <v>46248</v>
      </c>
      <c r="AZ56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1">
        <f>IFERROR(PV_DATA[[#This Row],[ODP ETA Port]]+PV_DATA[[#This Row],[Customs/Leg3 Assumption]],"n/a")</f>
        <v>46244.239571759259</v>
      </c>
      <c r="BB569" s="442">
        <f>YEAR(PV_DATA[[#This Row],[ETA for New Ark update]])</f>
        <v>2026</v>
      </c>
      <c r="BC569" s="431">
        <f>MONTH(PV_DATA[[#This Row],[ETA for New Ark update]])</f>
        <v>8</v>
      </c>
      <c r="BD569" s="431">
        <f>IFERROR(_xlfn.ISOWEEKNUM(PV_DATA[[#This Row],[ETA for New Ark update]]),0)</f>
        <v>33</v>
      </c>
      <c r="BE569" s="431">
        <f>_xlfn.XLOOKUP(PV_DATA[[#This Row],[New Ark SKU]],Table9[New Ark SKU],Table9[Total PCS per Pallet],,0)</f>
        <v>36</v>
      </c>
      <c r="BF569" s="431">
        <f>_xlfn.XLOOKUP(PV_DATA[[#This Row],[New Ark SKU]],Table9[New Ark SKU],Table9[Total PCS per 40HQ Container],,0)</f>
        <v>864</v>
      </c>
      <c r="BG569" s="431" t="str">
        <f>_xlfn.XLOOKUP(PV_DATA[[#This Row],[New Ark SKU]],Table9[New Ark SKU],Table9[Back Glass],,0)</f>
        <v>White glazing</v>
      </c>
      <c r="BH569" s="431" t="str">
        <f>_xlfn.XLOOKUP(PV_DATA[[#This Row],[PORT DESTINATION]],Table12[PORT DESTINATION],Table12[Cosco Line],,0)</f>
        <v>AEM</v>
      </c>
    </row>
    <row r="570" spans="1:60" s="431" customFormat="1" ht="10.5">
      <c r="A570" s="439" t="s">
        <v>4728</v>
      </c>
      <c r="B570" s="439" t="s">
        <v>2132</v>
      </c>
      <c r="C570" s="439" t="str">
        <f>IFERROR(LEFT(PV_DATA[[#This Row],[TCL REFERENCE]],FIND(".",PV_DATA[[#This Row],[TCL REFERENCE]],1)-1),"Main Line")</f>
        <v>26Apr007</v>
      </c>
      <c r="D570" s="439" t="s">
        <v>63</v>
      </c>
      <c r="E570" s="439" t="s">
        <v>64</v>
      </c>
      <c r="F570" s="439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39" t="s">
        <v>402</v>
      </c>
      <c r="H570" s="439" t="s">
        <v>311</v>
      </c>
      <c r="I570" s="439" t="s">
        <v>689</v>
      </c>
      <c r="J570" s="431" t="s">
        <v>96</v>
      </c>
      <c r="M570" s="431" t="s">
        <v>68</v>
      </c>
      <c r="N570" s="461">
        <v>46146</v>
      </c>
      <c r="O570" s="431" t="s">
        <v>170</v>
      </c>
      <c r="P570" s="431" t="s">
        <v>171</v>
      </c>
      <c r="Q570" s="431" t="s">
        <v>1731</v>
      </c>
      <c r="R570" s="431" t="str">
        <f>_xlfn.XLOOKUP(PV_DATA[[#This Row],[New Ark SKU]],Table9[New Ark SKU],Table9[Connector],,0)</f>
        <v>EVO2A</v>
      </c>
      <c r="S570" s="442" t="str">
        <f>_xlfn.XLOOKUP(PV_DATA[[#This Row],[New Ark SKU]],Table9[New Ark SKU],Table9[Cable],,0)</f>
        <v>±1400mm</v>
      </c>
      <c r="T570" s="442">
        <v>555</v>
      </c>
      <c r="U570" s="1093">
        <f>660*6</f>
        <v>3960</v>
      </c>
      <c r="V570" s="448">
        <f>PV_DATA[[#This Row],[QUANTITY]]*PV_DATA[[#This Row],[WATT]]/1000000</f>
        <v>2.1978</v>
      </c>
      <c r="W570" s="466">
        <f>PV_DATA[[#This Row],[QUANTITY]]/PV_DATA[[#This Row],[Qty/Pallet]]</f>
        <v>120</v>
      </c>
      <c r="X570" s="1044">
        <f>PV_DATA[[#This Row],[QUANTITY]]/PV_DATA[[#This Row],[Qty/CT]]</f>
        <v>6</v>
      </c>
      <c r="Y570" s="431" t="s">
        <v>951</v>
      </c>
      <c r="Z570" s="430" t="str">
        <f t="shared" si="6"/>
        <v>COMPLETED</v>
      </c>
      <c r="AA570" s="431" t="s">
        <v>4729</v>
      </c>
      <c r="AB570" s="441">
        <v>46171</v>
      </c>
      <c r="AC570" s="467">
        <f>IF(PV_DATA[[#This Row],[Pick- Up Date]]&lt;&gt;"",_xlfn.ISOWEEKNUM(PV_DATA[[#This Row],[Pick- Up Date]]),"")</f>
        <v>22</v>
      </c>
      <c r="AD570" s="431" t="s">
        <v>4730</v>
      </c>
      <c r="AF570" s="431" t="s">
        <v>123</v>
      </c>
      <c r="AG570" s="431" t="s">
        <v>123</v>
      </c>
      <c r="AH570" s="431" t="s">
        <v>314</v>
      </c>
      <c r="AI570" s="441">
        <v>46178</v>
      </c>
      <c r="AJ570" s="441">
        <v>46183</v>
      </c>
      <c r="AK570" s="441">
        <v>46183</v>
      </c>
      <c r="AL570" s="732">
        <v>46225</v>
      </c>
      <c r="AM570" s="441">
        <v>46236</v>
      </c>
      <c r="AN570" s="441">
        <v>46232</v>
      </c>
      <c r="AO570" s="431" t="s">
        <v>402</v>
      </c>
      <c r="AP570" s="431" t="s">
        <v>4725</v>
      </c>
      <c r="AQ570" s="431" t="s">
        <v>80</v>
      </c>
      <c r="AR570" s="431" t="s">
        <v>4731</v>
      </c>
      <c r="AS570" s="431" t="s">
        <v>4732</v>
      </c>
      <c r="AT570" s="482" t="s">
        <v>4732</v>
      </c>
      <c r="AU5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1"/>
      <c r="AW570" s="441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1">
        <f>IF(ISERROR(PV_DATA[[#This Row],[New Ark PO status]]),"",_xlfn.XLOOKUP(PV_DATA[[#This Row],[SPTN-PVHK New Ark PO'#]],New_Ark_Data[Purchase order Number],New_Ark_Data[Estimated time of arrival],"",0))</f>
        <v>46246</v>
      </c>
      <c r="AZ57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0" s="441">
        <f>IFERROR(PV_DATA[[#This Row],[ODP ETA Port]]+PV_DATA[[#This Row],[Customs/Leg3 Assumption]],"n/a")</f>
        <v>46242</v>
      </c>
      <c r="BB570" s="442">
        <f>YEAR(PV_DATA[[#This Row],[ETA for New Ark update]])</f>
        <v>2026</v>
      </c>
      <c r="BC570" s="431">
        <f>MONTH(PV_DATA[[#This Row],[ETA for New Ark update]])</f>
        <v>8</v>
      </c>
      <c r="BD570" s="431">
        <f>IFERROR(_xlfn.ISOWEEKNUM(PV_DATA[[#This Row],[ETA for New Ark update]]),0)</f>
        <v>32</v>
      </c>
      <c r="BE570" s="431">
        <f>_xlfn.XLOOKUP(PV_DATA[[#This Row],[New Ark SKU]],Table9[New Ark SKU],Table9[Total PCS per Pallet],,0)</f>
        <v>33</v>
      </c>
      <c r="BF570" s="431">
        <f>_xlfn.XLOOKUP(PV_DATA[[#This Row],[New Ark SKU]],Table9[New Ark SKU],Table9[Total PCS per 40HQ Container],,0)</f>
        <v>660</v>
      </c>
      <c r="BG570" s="431" t="str">
        <f>_xlfn.XLOOKUP(PV_DATA[[#This Row],[New Ark SKU]],Table9[New Ark SKU],Table9[Back Glass],,0)</f>
        <v>White glazing</v>
      </c>
      <c r="BH570" s="431" t="str">
        <f>_xlfn.XLOOKUP(PV_DATA[[#This Row],[PORT DESTINATION]],Table12[PORT DESTINATION],Table12[Cosco Line],,0)</f>
        <v>AEM</v>
      </c>
    </row>
    <row r="571" spans="1:60" s="431" customFormat="1" ht="10.5">
      <c r="A571" s="439" t="s">
        <v>4733</v>
      </c>
      <c r="B571" s="439" t="s">
        <v>2132</v>
      </c>
      <c r="C571" s="439" t="s">
        <v>4734</v>
      </c>
      <c r="D571" s="439" t="s">
        <v>63</v>
      </c>
      <c r="E571" s="439" t="s">
        <v>64</v>
      </c>
      <c r="F571" s="439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39" t="s">
        <v>402</v>
      </c>
      <c r="H571" s="439" t="s">
        <v>311</v>
      </c>
      <c r="I571" s="439" t="s">
        <v>689</v>
      </c>
      <c r="J571" s="431" t="s">
        <v>96</v>
      </c>
      <c r="M571" s="431" t="s">
        <v>68</v>
      </c>
      <c r="N571" s="461">
        <v>46160</v>
      </c>
      <c r="O571" s="431" t="s">
        <v>170</v>
      </c>
      <c r="P571" s="431" t="s">
        <v>171</v>
      </c>
      <c r="Q571" s="431" t="s">
        <v>1731</v>
      </c>
      <c r="R571" s="431" t="str">
        <f>_xlfn.XLOOKUP(PV_DATA[[#This Row],[New Ark SKU]],Table9[New Ark SKU],Table9[Connector],,0)</f>
        <v>EVO2A</v>
      </c>
      <c r="S571" s="442" t="str">
        <f>_xlfn.XLOOKUP(PV_DATA[[#This Row],[New Ark SKU]],Table9[New Ark SKU],Table9[Cable],,0)</f>
        <v>±1400mm</v>
      </c>
      <c r="T571" s="442">
        <v>555</v>
      </c>
      <c r="U571" s="1093">
        <v>1980</v>
      </c>
      <c r="V571" s="448">
        <f>PV_DATA[[#This Row],[QUANTITY]]*PV_DATA[[#This Row],[WATT]]/1000000</f>
        <v>1.0989</v>
      </c>
      <c r="W571" s="466">
        <f>PV_DATA[[#This Row],[QUANTITY]]/PV_DATA[[#This Row],[Qty/Pallet]]</f>
        <v>60</v>
      </c>
      <c r="X571" s="1044">
        <f>PV_DATA[[#This Row],[QUANTITY]]/PV_DATA[[#This Row],[Qty/CT]]</f>
        <v>3</v>
      </c>
      <c r="Y571" s="431" t="s">
        <v>951</v>
      </c>
      <c r="Z571" s="430" t="str">
        <f t="shared" si="6"/>
        <v>COMPLETED</v>
      </c>
      <c r="AA571" s="431" t="s">
        <v>4729</v>
      </c>
      <c r="AB571" s="441">
        <v>46171</v>
      </c>
      <c r="AC571" s="467">
        <f>IF(PV_DATA[[#This Row],[Pick- Up Date]]&lt;&gt;"",_xlfn.ISOWEEKNUM(PV_DATA[[#This Row],[Pick- Up Date]]),"")</f>
        <v>22</v>
      </c>
      <c r="AD571" s="431" t="s">
        <v>4735</v>
      </c>
      <c r="AF571" s="431" t="s">
        <v>123</v>
      </c>
      <c r="AG571" s="431" t="s">
        <v>123</v>
      </c>
      <c r="AH571" s="431" t="s">
        <v>314</v>
      </c>
      <c r="AI571" s="441">
        <v>46178</v>
      </c>
      <c r="AJ571" s="441">
        <v>46183</v>
      </c>
      <c r="AK571" s="441">
        <v>46183</v>
      </c>
      <c r="AL571" s="732">
        <v>46225</v>
      </c>
      <c r="AM571" s="441">
        <v>46236</v>
      </c>
      <c r="AN571" s="441">
        <v>46232</v>
      </c>
      <c r="AO571" s="431" t="s">
        <v>402</v>
      </c>
      <c r="AP571" s="431" t="s">
        <v>4725</v>
      </c>
      <c r="AQ571" s="431" t="s">
        <v>80</v>
      </c>
      <c r="AR571" s="431" t="s">
        <v>4731</v>
      </c>
      <c r="AS571" s="431" t="s">
        <v>4732</v>
      </c>
      <c r="AT571" s="482" t="s">
        <v>4732</v>
      </c>
      <c r="AU5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1"/>
      <c r="AW571" s="441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1">
        <f>IF(ISERROR(PV_DATA[[#This Row],[New Ark PO status]]),"",_xlfn.XLOOKUP(PV_DATA[[#This Row],[SPTN-PVHK New Ark PO'#]],New_Ark_Data[Purchase order Number],New_Ark_Data[Estimated time of arrival],"",0))</f>
        <v>46246</v>
      </c>
      <c r="AZ57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1" s="441">
        <f>IFERROR(PV_DATA[[#This Row],[ODP ETA Port]]+PV_DATA[[#This Row],[Customs/Leg3 Assumption]],"n/a")</f>
        <v>46242</v>
      </c>
      <c r="BB571" s="442">
        <f>YEAR(PV_DATA[[#This Row],[ETA for New Ark update]])</f>
        <v>2026</v>
      </c>
      <c r="BC571" s="431">
        <f>MONTH(PV_DATA[[#This Row],[ETA for New Ark update]])</f>
        <v>8</v>
      </c>
      <c r="BD571" s="431">
        <f>IFERROR(_xlfn.ISOWEEKNUM(PV_DATA[[#This Row],[ETA for New Ark update]]),0)</f>
        <v>32</v>
      </c>
      <c r="BE571" s="431">
        <f>_xlfn.XLOOKUP(PV_DATA[[#This Row],[New Ark SKU]],Table9[New Ark SKU],Table9[Total PCS per Pallet],,0)</f>
        <v>33</v>
      </c>
      <c r="BF571" s="431">
        <f>_xlfn.XLOOKUP(PV_DATA[[#This Row],[New Ark SKU]],Table9[New Ark SKU],Table9[Total PCS per 40HQ Container],,0)</f>
        <v>660</v>
      </c>
      <c r="BG571" s="431" t="str">
        <f>_xlfn.XLOOKUP(PV_DATA[[#This Row],[New Ark SKU]],Table9[New Ark SKU],Table9[Back Glass],,0)</f>
        <v>White glazing</v>
      </c>
      <c r="BH571" s="431" t="str">
        <f>_xlfn.XLOOKUP(PV_DATA[[#This Row],[PORT DESTINATION]],Table12[PORT DESTINATION],Table12[Cosco Line],,0)</f>
        <v>AEM</v>
      </c>
    </row>
    <row r="572" spans="1:60" s="431" customFormat="1" ht="10.5">
      <c r="A572" s="439" t="s">
        <v>4736</v>
      </c>
      <c r="B572" s="439" t="s">
        <v>111</v>
      </c>
      <c r="C572" s="439" t="str">
        <f>IFERROR(LEFT(PV_DATA[[#This Row],[TCL REFERENCE]],FIND(".",PV_DATA[[#This Row],[TCL REFERENCE]],1)-1),"Main Line")</f>
        <v>26May006</v>
      </c>
      <c r="D572" s="439" t="s">
        <v>63</v>
      </c>
      <c r="E572" s="439" t="s">
        <v>144</v>
      </c>
      <c r="F572" s="439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39" t="s">
        <v>402</v>
      </c>
      <c r="H572" s="439" t="s">
        <v>403</v>
      </c>
      <c r="I572" s="439" t="s">
        <v>2004</v>
      </c>
      <c r="J572" s="431" t="s">
        <v>4694</v>
      </c>
      <c r="K572" s="431" t="s">
        <v>4695</v>
      </c>
      <c r="L572" s="431">
        <v>3</v>
      </c>
      <c r="M572" s="431" t="s">
        <v>840</v>
      </c>
      <c r="N572" s="461">
        <v>46160</v>
      </c>
      <c r="O572" s="431" t="s">
        <v>132</v>
      </c>
      <c r="P572" s="431" t="s">
        <v>1062</v>
      </c>
      <c r="Q572" s="431" t="s">
        <v>1063</v>
      </c>
      <c r="R572" s="431" t="str">
        <f>_xlfn.XLOOKUP(PV_DATA[[#This Row],[New Ark SKU]],Table9[New Ark SKU],Table9[Connector],,0)</f>
        <v>EVO2A</v>
      </c>
      <c r="S572" s="442" t="str">
        <f>_xlfn.XLOOKUP(PV_DATA[[#This Row],[New Ark SKU]],Table9[New Ark SKU],Table9[Cable],,0)</f>
        <v>±1200mm</v>
      </c>
      <c r="T572" s="442">
        <v>470</v>
      </c>
      <c r="U572" s="1093">
        <f>864*2</f>
        <v>1728</v>
      </c>
      <c r="V572" s="448">
        <f>PV_DATA[[#This Row],[QUANTITY]]*PV_DATA[[#This Row],[WATT]]/1000000</f>
        <v>0.81215999999999999</v>
      </c>
      <c r="W572" s="466">
        <f>PV_DATA[[#This Row],[QUANTITY]]/PV_DATA[[#This Row],[Qty/Pallet]]</f>
        <v>48</v>
      </c>
      <c r="X572" s="1044">
        <f>PV_DATA[[#This Row],[QUANTITY]]/PV_DATA[[#This Row],[Qty/CT]]</f>
        <v>2</v>
      </c>
      <c r="Y572" s="431" t="s">
        <v>951</v>
      </c>
      <c r="Z572" s="430" t="str">
        <f t="shared" si="6"/>
        <v>COMPLETED</v>
      </c>
      <c r="AA572" s="478" t="s">
        <v>4700</v>
      </c>
      <c r="AB572" s="441">
        <v>46170</v>
      </c>
      <c r="AC572" s="467">
        <f>IF(PV_DATA[[#This Row],[Pick- Up Date]]&lt;&gt;"",_xlfn.ISOWEEKNUM(PV_DATA[[#This Row],[Pick- Up Date]]),"")</f>
        <v>22</v>
      </c>
      <c r="AD572" s="431" t="s">
        <v>4737</v>
      </c>
      <c r="AF572" s="431" t="s">
        <v>123</v>
      </c>
      <c r="AG572" s="431" t="s">
        <v>123</v>
      </c>
      <c r="AH572" s="431" t="s">
        <v>124</v>
      </c>
      <c r="AI572" s="441">
        <v>46175</v>
      </c>
      <c r="AJ572" s="441">
        <v>46177</v>
      </c>
      <c r="AK572" s="441">
        <v>46178</v>
      </c>
      <c r="AL572" s="441">
        <v>46219</v>
      </c>
      <c r="AM572" s="441"/>
      <c r="AN572" s="441">
        <v>46219</v>
      </c>
      <c r="AO572" s="431" t="s">
        <v>402</v>
      </c>
      <c r="AP572" s="431" t="s">
        <v>4738</v>
      </c>
      <c r="AQ572" s="431" t="s">
        <v>80</v>
      </c>
      <c r="AR572" s="431" t="s">
        <v>4739</v>
      </c>
      <c r="AS572" s="431" t="s">
        <v>4740</v>
      </c>
      <c r="AT572" s="482" t="s">
        <v>4740</v>
      </c>
      <c r="AU5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1"/>
      <c r="AW572" s="441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1">
        <f>IF(ISERROR(PV_DATA[[#This Row],[New Ark PO status]]),"",_xlfn.XLOOKUP(PV_DATA[[#This Row],[SPTN-PVHK New Ark PO'#]],New_Ark_Data[Purchase order Number],New_Ark_Data[Estimated time of arrival],"",0))</f>
        <v>46219</v>
      </c>
      <c r="AZ57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1">
        <f>IFERROR(PV_DATA[[#This Row],[ODP ETA Port]]+PV_DATA[[#This Row],[Customs/Leg3 Assumption]],"n/a")</f>
        <v>46219</v>
      </c>
      <c r="BB572" s="442">
        <f>YEAR(PV_DATA[[#This Row],[ETA for New Ark update]])</f>
        <v>2026</v>
      </c>
      <c r="BC572" s="431">
        <f>MONTH(PV_DATA[[#This Row],[ETA for New Ark update]])</f>
        <v>7</v>
      </c>
      <c r="BD572" s="431">
        <f>IFERROR(_xlfn.ISOWEEKNUM(PV_DATA[[#This Row],[ETA for New Ark update]]),0)</f>
        <v>29</v>
      </c>
      <c r="BE572" s="431">
        <f>_xlfn.XLOOKUP(PV_DATA[[#This Row],[New Ark SKU]],Table9[New Ark SKU],Table9[Total PCS per Pallet],,0)</f>
        <v>36</v>
      </c>
      <c r="BF572" s="431">
        <f>_xlfn.XLOOKUP(PV_DATA[[#This Row],[New Ark SKU]],Table9[New Ark SKU],Table9[Total PCS per 40HQ Container],,0)</f>
        <v>864</v>
      </c>
      <c r="BG572" s="431" t="str">
        <f>_xlfn.XLOOKUP(PV_DATA[[#This Row],[New Ark SKU]],Table9[New Ark SKU],Table9[Back Glass],,0)</f>
        <v>White glazing</v>
      </c>
      <c r="BH572" s="431" t="str">
        <f>_xlfn.XLOOKUP(PV_DATA[[#This Row],[PORT DESTINATION]],Table12[PORT DESTINATION],Table12[Cosco Line],,0)</f>
        <v>AEM</v>
      </c>
    </row>
    <row r="573" spans="1:60" s="431" customFormat="1">
      <c r="A573" s="439" t="s">
        <v>4741</v>
      </c>
      <c r="B573" s="439" t="s">
        <v>111</v>
      </c>
      <c r="C573" s="439" t="str">
        <f>IFERROR(LEFT(PV_DATA[[#This Row],[TCL REFERENCE]],FIND(".",PV_DATA[[#This Row],[TCL REFERENCE]],1)-1),"Main Line")</f>
        <v>26May015</v>
      </c>
      <c r="D573" s="439" t="s">
        <v>63</v>
      </c>
      <c r="E573" s="439" t="s">
        <v>64</v>
      </c>
      <c r="F573" s="439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39" t="s">
        <v>402</v>
      </c>
      <c r="H573" s="439" t="s">
        <v>115</v>
      </c>
      <c r="I573" s="439" t="s">
        <v>2004</v>
      </c>
      <c r="J573" s="431" t="s">
        <v>96</v>
      </c>
      <c r="M573" s="431" t="s">
        <v>68</v>
      </c>
      <c r="N573" s="461" t="s">
        <v>68</v>
      </c>
      <c r="O573" s="431" t="s">
        <v>4486</v>
      </c>
      <c r="P573" s="431" t="s">
        <v>4487</v>
      </c>
      <c r="Q573" s="431" t="s">
        <v>4488</v>
      </c>
      <c r="R573" s="431" t="str">
        <f>_xlfn.XLOOKUP(PV_DATA[[#This Row],[New Ark SKU]],Table9[New Ark SKU],Table9[Connector],,0)</f>
        <v>EVO2A</v>
      </c>
      <c r="S573" s="442" t="str">
        <f>_xlfn.XLOOKUP(PV_DATA[[#This Row],[New Ark SKU]],Table9[New Ark SKU],Table9[Cable],,0)</f>
        <v>±1400mm</v>
      </c>
      <c r="T573" s="442">
        <v>640</v>
      </c>
      <c r="U573" s="1093">
        <v>2160</v>
      </c>
      <c r="V573" s="448">
        <f>PV_DATA[[#This Row],[QUANTITY]]*PV_DATA[[#This Row],[WATT]]/1000000</f>
        <v>1.3824000000000001</v>
      </c>
      <c r="W573" s="466">
        <f>PV_DATA[[#This Row],[QUANTITY]]/PV_DATA[[#This Row],[Qty/Pallet]]</f>
        <v>60</v>
      </c>
      <c r="X573" s="1044">
        <f>PV_DATA[[#This Row],[QUANTITY]]/PV_DATA[[#This Row],[Qty/CT]]</f>
        <v>3</v>
      </c>
      <c r="Y573" s="431" t="s">
        <v>951</v>
      </c>
      <c r="Z573" s="430" t="str">
        <f t="shared" si="6"/>
        <v>COMPLETED</v>
      </c>
      <c r="AA573" s="431" t="s">
        <v>4700</v>
      </c>
      <c r="AB573" s="441">
        <v>46170</v>
      </c>
      <c r="AC573" s="467">
        <f>IF(PV_DATA[[#This Row],[Pick- Up Date]]&lt;&gt;"",_xlfn.ISOWEEKNUM(PV_DATA[[#This Row],[Pick- Up Date]]),"")</f>
        <v>22</v>
      </c>
      <c r="AD573" s="431" t="s">
        <v>4742</v>
      </c>
      <c r="AF573" s="481" t="s">
        <v>122</v>
      </c>
      <c r="AG573" s="481" t="s">
        <v>123</v>
      </c>
      <c r="AH573" s="431" t="s">
        <v>124</v>
      </c>
      <c r="AI573" s="441">
        <v>46175</v>
      </c>
      <c r="AJ573" s="441"/>
      <c r="AK573" s="441">
        <v>46178</v>
      </c>
      <c r="AL573" s="441">
        <v>46219</v>
      </c>
      <c r="AM573" s="441"/>
      <c r="AN573" s="441">
        <v>46219</v>
      </c>
      <c r="AO573" s="431" t="s">
        <v>402</v>
      </c>
      <c r="AP573" s="431" t="s">
        <v>4738</v>
      </c>
      <c r="AQ573" s="431" t="s">
        <v>80</v>
      </c>
      <c r="AR573" s="431" t="s">
        <v>4743</v>
      </c>
      <c r="AS573" s="431" t="s">
        <v>4744</v>
      </c>
      <c r="AT573" s="482" t="s">
        <v>4744</v>
      </c>
      <c r="AU5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1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1">
        <f>IF(ISERROR(PV_DATA[[#This Row],[New Ark PO status]]),"",_xlfn.XLOOKUP(PV_DATA[[#This Row],[SPTN-PVHK New Ark PO'#]],New_Ark_Data[Purchase order Number],New_Ark_Data[Estimated time of arrival],"",0))</f>
        <v>46233</v>
      </c>
      <c r="AZ57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1">
        <f>IFERROR(PV_DATA[[#This Row],[ODP ETA Port]]+PV_DATA[[#This Row],[Customs/Leg3 Assumption]],"n/a")</f>
        <v>46228</v>
      </c>
      <c r="BB573" s="442">
        <f>YEAR(PV_DATA[[#This Row],[ETA for New Ark update]])</f>
        <v>2026</v>
      </c>
      <c r="BC573" s="431">
        <f>MONTH(PV_DATA[[#This Row],[ETA for New Ark update]])</f>
        <v>7</v>
      </c>
      <c r="BD573" s="431">
        <f>IFERROR(_xlfn.ISOWEEKNUM(PV_DATA[[#This Row],[ETA for New Ark update]]),0)</f>
        <v>30</v>
      </c>
      <c r="BE573" s="431">
        <f>_xlfn.XLOOKUP(PV_DATA[[#This Row],[New Ark SKU]],Table9[New Ark SKU],Table9[Total PCS per Pallet],,0)</f>
        <v>36</v>
      </c>
      <c r="BF573" s="431">
        <f>_xlfn.XLOOKUP(PV_DATA[[#This Row],[New Ark SKU]],Table9[New Ark SKU],Table9[Total PCS per 40HQ Container],,0)</f>
        <v>720</v>
      </c>
      <c r="BG573" s="431" t="str">
        <f>_xlfn.XLOOKUP(PV_DATA[[#This Row],[New Ark SKU]],Table9[New Ark SKU],Table9[Back Glass],,0)</f>
        <v>Transparent</v>
      </c>
      <c r="BH573" s="431" t="str">
        <f>_xlfn.XLOOKUP(PV_DATA[[#This Row],[PORT DESTINATION]],Table12[PORT DESTINATION],Table12[Cosco Line],,0)</f>
        <v>AEM</v>
      </c>
    </row>
    <row r="574" spans="1:60" s="431" customFormat="1" ht="10.5">
      <c r="A574" s="439" t="s">
        <v>4745</v>
      </c>
      <c r="B574" s="439" t="s">
        <v>61</v>
      </c>
      <c r="C574" s="439" t="str">
        <f>IFERROR(LEFT(PV_DATA[[#This Row],[TCL REFERENCE]],FIND(".",PV_DATA[[#This Row],[TCL REFERENCE]],1)-1),"Main Line")</f>
        <v>26May010</v>
      </c>
      <c r="D574" s="439" t="s">
        <v>63</v>
      </c>
      <c r="E574" s="439" t="s">
        <v>64</v>
      </c>
      <c r="F574" s="439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39" t="s">
        <v>402</v>
      </c>
      <c r="H574" s="439" t="s">
        <v>451</v>
      </c>
      <c r="I574" s="439" t="s">
        <v>689</v>
      </c>
      <c r="J574" s="431" t="s">
        <v>1832</v>
      </c>
      <c r="M574" s="431" t="s">
        <v>68</v>
      </c>
      <c r="N574" s="461">
        <v>46153</v>
      </c>
      <c r="O574" s="431" t="s">
        <v>4531</v>
      </c>
      <c r="P574" s="431" t="s">
        <v>1151</v>
      </c>
      <c r="Q574" s="431" t="s">
        <v>421</v>
      </c>
      <c r="R574" s="431" t="str">
        <f>_xlfn.XLOOKUP(PV_DATA[[#This Row],[New Ark SKU]],Table9[New Ark SKU],Table9[Connector],,0)</f>
        <v>EVO2A</v>
      </c>
      <c r="S574" s="442" t="str">
        <f>_xlfn.XLOOKUP(PV_DATA[[#This Row],[New Ark SKU]],Table9[New Ark SKU],Table9[Cable],,0)</f>
        <v>±1200mm</v>
      </c>
      <c r="T574" s="442">
        <v>505</v>
      </c>
      <c r="U574" s="1093">
        <v>3456</v>
      </c>
      <c r="V574" s="448">
        <f>PV_DATA[[#This Row],[QUANTITY]]*PV_DATA[[#This Row],[WATT]]/1000000</f>
        <v>1.7452799999999999</v>
      </c>
      <c r="W574" s="466">
        <f>PV_DATA[[#This Row],[QUANTITY]]/PV_DATA[[#This Row],[Qty/Pallet]]</f>
        <v>96</v>
      </c>
      <c r="X574" s="1044">
        <f>PV_DATA[[#This Row],[QUANTITY]]/PV_DATA[[#This Row],[Qty/CT]]</f>
        <v>4</v>
      </c>
      <c r="Y574" s="431" t="s">
        <v>2453</v>
      </c>
      <c r="Z574" s="430" t="str">
        <f t="shared" si="6"/>
        <v>COMPLETED</v>
      </c>
      <c r="AA574" s="431" t="s">
        <v>4579</v>
      </c>
      <c r="AB574" s="441">
        <v>46182</v>
      </c>
      <c r="AC574" s="467">
        <f>IF(PV_DATA[[#This Row],[Pick- Up Date]]&lt;&gt;"",_xlfn.ISOWEEKNUM(PV_DATA[[#This Row],[Pick- Up Date]]),"")</f>
        <v>24</v>
      </c>
      <c r="AD574" s="431" t="s">
        <v>4746</v>
      </c>
      <c r="AF574" s="431" t="s">
        <v>61</v>
      </c>
      <c r="AG574" s="431" t="s">
        <v>61</v>
      </c>
      <c r="AH574" s="431" t="s">
        <v>456</v>
      </c>
      <c r="AI574" s="441">
        <v>46183</v>
      </c>
      <c r="AJ574" s="441">
        <v>46190</v>
      </c>
      <c r="AK574" s="441">
        <v>46189</v>
      </c>
      <c r="AL574" s="441">
        <v>46236</v>
      </c>
      <c r="AM574" s="441">
        <v>46253</v>
      </c>
      <c r="AN574" s="441">
        <v>46258</v>
      </c>
      <c r="AO574" s="431" t="s">
        <v>402</v>
      </c>
      <c r="AP574" s="431" t="s">
        <v>4747</v>
      </c>
      <c r="AQ574" s="431" t="s">
        <v>161</v>
      </c>
      <c r="AR574" s="431" t="s">
        <v>4748</v>
      </c>
      <c r="AS574" s="431" t="s">
        <v>4749</v>
      </c>
      <c r="AT574" s="482" t="s">
        <v>4749</v>
      </c>
      <c r="AU5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1"/>
      <c r="AW574" s="441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1">
        <f>IF(ISERROR(PV_DATA[[#This Row],[New Ark PO status]]),"",_xlfn.XLOOKUP(PV_DATA[[#This Row],[SPTN-PVHK New Ark PO'#]],New_Ark_Data[Purchase order Number],New_Ark_Data[Estimated time of arrival],"",0))</f>
        <v>46267</v>
      </c>
      <c r="AZ57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1">
        <f>IFERROR(PV_DATA[[#This Row],[ODP ETA Port]]+PV_DATA[[#This Row],[Customs/Leg3 Assumption]],"n/a")</f>
        <v>46265</v>
      </c>
      <c r="BB574" s="442">
        <f>YEAR(PV_DATA[[#This Row],[ETA for New Ark update]])</f>
        <v>2026</v>
      </c>
      <c r="BC574" s="431">
        <f>MONTH(PV_DATA[[#This Row],[ETA for New Ark update]])</f>
        <v>8</v>
      </c>
      <c r="BD574" s="431">
        <f>IFERROR(_xlfn.ISOWEEKNUM(PV_DATA[[#This Row],[ETA for New Ark update]]),0)</f>
        <v>36</v>
      </c>
      <c r="BE574" s="431">
        <f>_xlfn.XLOOKUP(PV_DATA[[#This Row],[New Ark SKU]],Table9[New Ark SKU],Table9[Total PCS per Pallet],,0)</f>
        <v>36</v>
      </c>
      <c r="BF574" s="431">
        <f>_xlfn.XLOOKUP(PV_DATA[[#This Row],[New Ark SKU]],Table9[New Ark SKU],Table9[Total PCS per 40HQ Container],,0)</f>
        <v>864</v>
      </c>
      <c r="BG574" s="431" t="str">
        <f>_xlfn.XLOOKUP(PV_DATA[[#This Row],[New Ark SKU]],Table9[New Ark SKU],Table9[Back Glass],,0)</f>
        <v>Black glazing</v>
      </c>
      <c r="BH574" s="431" t="str">
        <f>_xlfn.XLOOKUP(PV_DATA[[#This Row],[PORT DESTINATION]],Table12[PORT DESTINATION],Table12[Cosco Line],,0)</f>
        <v>AEU</v>
      </c>
    </row>
    <row r="575" spans="1:60" s="431" customFormat="1" ht="10.5">
      <c r="A575" s="439" t="s">
        <v>4750</v>
      </c>
      <c r="B575" s="439" t="s">
        <v>61</v>
      </c>
      <c r="C575" s="439" t="str">
        <f>IFERROR(LEFT(PV_DATA[[#This Row],[TCL REFERENCE]],FIND(".",PV_DATA[[#This Row],[TCL REFERENCE]],1)-1),"Main Line")</f>
        <v>26May009</v>
      </c>
      <c r="D575" s="439" t="s">
        <v>63</v>
      </c>
      <c r="E575" s="439" t="s">
        <v>64</v>
      </c>
      <c r="F575" s="439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39" t="s">
        <v>402</v>
      </c>
      <c r="H575" s="439" t="s">
        <v>67</v>
      </c>
      <c r="I575" s="439" t="s">
        <v>689</v>
      </c>
      <c r="J575" s="431" t="s">
        <v>96</v>
      </c>
      <c r="M575" s="431" t="s">
        <v>68</v>
      </c>
      <c r="N575" s="461" t="s">
        <v>68</v>
      </c>
      <c r="O575" s="431" t="s">
        <v>4531</v>
      </c>
      <c r="P575" s="431" t="s">
        <v>71</v>
      </c>
      <c r="Q575" s="431" t="s">
        <v>72</v>
      </c>
      <c r="R575" s="431" t="str">
        <f>_xlfn.XLOOKUP(PV_DATA[[#This Row],[New Ark SKU]],Table9[New Ark SKU],Table9[Connector],,0)</f>
        <v>EVO2A</v>
      </c>
      <c r="S575" s="442" t="str">
        <f>_xlfn.XLOOKUP(PV_DATA[[#This Row],[New Ark SKU]],Table9[New Ark SKU],Table9[Cable],,0)</f>
        <v>±1200mm</v>
      </c>
      <c r="T575" s="442">
        <v>500</v>
      </c>
      <c r="U575" s="1093">
        <v>2592</v>
      </c>
      <c r="V575" s="448">
        <f>PV_DATA[[#This Row],[QUANTITY]]*PV_DATA[[#This Row],[WATT]]/1000000</f>
        <v>1.296</v>
      </c>
      <c r="W575" s="466">
        <f>PV_DATA[[#This Row],[QUANTITY]]/PV_DATA[[#This Row],[Qty/Pallet]]</f>
        <v>72</v>
      </c>
      <c r="X575" s="1044">
        <f>PV_DATA[[#This Row],[QUANTITY]]/PV_DATA[[#This Row],[Qty/CT]]</f>
        <v>3</v>
      </c>
      <c r="Y575" s="431" t="s">
        <v>951</v>
      </c>
      <c r="Z575" s="430" t="str">
        <f t="shared" si="6"/>
        <v>COMPLETED</v>
      </c>
      <c r="AA575" s="431" t="s">
        <v>4668</v>
      </c>
      <c r="AB575" s="441">
        <v>46171</v>
      </c>
      <c r="AC575" s="467">
        <f>IF(PV_DATA[[#This Row],[Pick- Up Date]]&lt;&gt;"",_xlfn.ISOWEEKNUM(PV_DATA[[#This Row],[Pick- Up Date]]),"")</f>
        <v>22</v>
      </c>
      <c r="AD575" s="431" t="s">
        <v>4751</v>
      </c>
      <c r="AF575" s="431" t="s">
        <v>61</v>
      </c>
      <c r="AG575" s="431" t="s">
        <v>61</v>
      </c>
      <c r="AH575" s="431" t="s">
        <v>105</v>
      </c>
      <c r="AI575" s="441">
        <v>46177</v>
      </c>
      <c r="AJ575" s="441">
        <v>46178</v>
      </c>
      <c r="AK575" s="441">
        <v>46178</v>
      </c>
      <c r="AL575" s="441">
        <v>46217</v>
      </c>
      <c r="AM575" s="441">
        <v>46223</v>
      </c>
      <c r="AN575" s="441">
        <v>46223</v>
      </c>
      <c r="AO575" s="431" t="s">
        <v>402</v>
      </c>
      <c r="AP575" s="431" t="s">
        <v>4752</v>
      </c>
      <c r="AQ575" s="431" t="s">
        <v>80</v>
      </c>
      <c r="AR575" s="431" t="s">
        <v>4753</v>
      </c>
      <c r="AS575" s="431" t="s">
        <v>4754</v>
      </c>
      <c r="AT575" s="482" t="s">
        <v>4754</v>
      </c>
      <c r="AU5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1"/>
      <c r="AW575" s="441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1">
        <f>IF(ISERROR(PV_DATA[[#This Row],[New Ark PO status]]),"",_xlfn.XLOOKUP(PV_DATA[[#This Row],[SPTN-PVHK New Ark PO'#]],New_Ark_Data[Purchase order Number],New_Ark_Data[Estimated time of arrival],"",0))</f>
        <v>46237</v>
      </c>
      <c r="AZ57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1">
        <f>IFERROR(PV_DATA[[#This Row],[ODP ETA Port]]+PV_DATA[[#This Row],[Customs/Leg3 Assumption]],"n/a")</f>
        <v>46230</v>
      </c>
      <c r="BB575" s="442">
        <f>YEAR(PV_DATA[[#This Row],[ETA for New Ark update]])</f>
        <v>2026</v>
      </c>
      <c r="BC575" s="431">
        <f>MONTH(PV_DATA[[#This Row],[ETA for New Ark update]])</f>
        <v>7</v>
      </c>
      <c r="BD575" s="431">
        <f>IFERROR(_xlfn.ISOWEEKNUM(PV_DATA[[#This Row],[ETA for New Ark update]]),0)</f>
        <v>31</v>
      </c>
      <c r="BE575" s="431">
        <f>_xlfn.XLOOKUP(PV_DATA[[#This Row],[New Ark SKU]],Table9[New Ark SKU],Table9[Total PCS per Pallet],,0)</f>
        <v>36</v>
      </c>
      <c r="BF575" s="431">
        <f>_xlfn.XLOOKUP(PV_DATA[[#This Row],[New Ark SKU]],Table9[New Ark SKU],Table9[Total PCS per 40HQ Container],,0)</f>
        <v>864</v>
      </c>
      <c r="BG575" s="431" t="str">
        <f>_xlfn.XLOOKUP(PV_DATA[[#This Row],[New Ark SKU]],Table9[New Ark SKU],Table9[Back Glass],,0)</f>
        <v>Black glazing</v>
      </c>
      <c r="BH575" s="431" t="str">
        <f>_xlfn.XLOOKUP(PV_DATA[[#This Row],[PORT DESTINATION]],Table12[PORT DESTINATION],Table12[Cosco Line],,0)</f>
        <v>AEU</v>
      </c>
    </row>
    <row r="576" spans="1:60" s="431" customFormat="1" ht="10.5">
      <c r="A576" s="439" t="s">
        <v>4755</v>
      </c>
      <c r="B576" s="439" t="s">
        <v>61</v>
      </c>
      <c r="C576" s="439" t="str">
        <f>IFERROR(LEFT(PV_DATA[[#This Row],[TCL REFERENCE]],FIND(".",PV_DATA[[#This Row],[TCL REFERENCE]],1)-1),"Main Line")</f>
        <v>26May008</v>
      </c>
      <c r="D576" s="439" t="s">
        <v>63</v>
      </c>
      <c r="E576" s="439" t="s">
        <v>64</v>
      </c>
      <c r="F576" s="439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39" t="s">
        <v>402</v>
      </c>
      <c r="H576" s="439" t="s">
        <v>67</v>
      </c>
      <c r="I576" s="439" t="s">
        <v>689</v>
      </c>
      <c r="J576" s="431" t="s">
        <v>96</v>
      </c>
      <c r="M576" s="431" t="s">
        <v>68</v>
      </c>
      <c r="N576" s="461">
        <v>45809</v>
      </c>
      <c r="O576" s="431" t="s">
        <v>4531</v>
      </c>
      <c r="P576" s="431" t="s">
        <v>965</v>
      </c>
      <c r="Q576" s="431" t="s">
        <v>966</v>
      </c>
      <c r="R576" s="431" t="str">
        <f>_xlfn.XLOOKUP(PV_DATA[[#This Row],[New Ark SKU]],Table9[New Ark SKU],Table9[Connector],,0)</f>
        <v>EVO2A</v>
      </c>
      <c r="S576" s="442" t="str">
        <f>_xlfn.XLOOKUP(PV_DATA[[#This Row],[New Ark SKU]],Table9[New Ark SKU],Table9[Cable],,0)</f>
        <v>±1200mm</v>
      </c>
      <c r="T576" s="442">
        <v>455</v>
      </c>
      <c r="U576" s="1093">
        <v>1872</v>
      </c>
      <c r="V576" s="448">
        <f>PV_DATA[[#This Row],[QUANTITY]]*PV_DATA[[#This Row],[WATT]]/1000000</f>
        <v>0.85175999999999996</v>
      </c>
      <c r="W576" s="466">
        <f>PV_DATA[[#This Row],[QUANTITY]]/PV_DATA[[#This Row],[Qty/Pallet]]</f>
        <v>52</v>
      </c>
      <c r="X576" s="1044">
        <f>PV_DATA[[#This Row],[QUANTITY]]/PV_DATA[[#This Row],[Qty/CT]]</f>
        <v>2</v>
      </c>
      <c r="Y576" s="431" t="s">
        <v>951</v>
      </c>
      <c r="Z576" s="430" t="str">
        <f t="shared" si="6"/>
        <v>COMPLETED</v>
      </c>
      <c r="AA576" s="431" t="s">
        <v>4729</v>
      </c>
      <c r="AB576" s="441">
        <v>46171</v>
      </c>
      <c r="AC576" s="467">
        <f>IF(PV_DATA[[#This Row],[Pick- Up Date]]&lt;&gt;"",_xlfn.ISOWEEKNUM(PV_DATA[[#This Row],[Pick- Up Date]]),"")</f>
        <v>22</v>
      </c>
      <c r="AD576" s="431" t="s">
        <v>4756</v>
      </c>
      <c r="AF576" s="431" t="s">
        <v>61</v>
      </c>
      <c r="AG576" s="431" t="s">
        <v>61</v>
      </c>
      <c r="AH576" s="431" t="s">
        <v>105</v>
      </c>
      <c r="AI576" s="441">
        <v>46177</v>
      </c>
      <c r="AJ576" s="441">
        <v>46178</v>
      </c>
      <c r="AK576" s="441">
        <v>46178</v>
      </c>
      <c r="AL576" s="441">
        <v>46217</v>
      </c>
      <c r="AM576" s="441">
        <v>46223</v>
      </c>
      <c r="AN576" s="441">
        <v>46223</v>
      </c>
      <c r="AO576" s="431" t="s">
        <v>402</v>
      </c>
      <c r="AP576" s="431" t="s">
        <v>4752</v>
      </c>
      <c r="AQ576" s="431" t="s">
        <v>80</v>
      </c>
      <c r="AR576" s="431" t="s">
        <v>4753</v>
      </c>
      <c r="AS576" s="431" t="s">
        <v>4754</v>
      </c>
      <c r="AT576" s="482" t="s">
        <v>4754</v>
      </c>
      <c r="AU5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1"/>
      <c r="AW576" s="441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1">
        <f>IF(ISERROR(PV_DATA[[#This Row],[New Ark PO status]]),"",_xlfn.XLOOKUP(PV_DATA[[#This Row],[SPTN-PVHK New Ark PO'#]],New_Ark_Data[Purchase order Number],New_Ark_Data[Estimated time of arrival],"",0))</f>
        <v>46237</v>
      </c>
      <c r="AZ5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1">
        <f>IFERROR(PV_DATA[[#This Row],[ODP ETA Port]]+PV_DATA[[#This Row],[Customs/Leg3 Assumption]],"n/a")</f>
        <v>46230</v>
      </c>
      <c r="BB576" s="442">
        <f>YEAR(PV_DATA[[#This Row],[ETA for New Ark update]])</f>
        <v>2026</v>
      </c>
      <c r="BC576" s="431">
        <f>MONTH(PV_DATA[[#This Row],[ETA for New Ark update]])</f>
        <v>7</v>
      </c>
      <c r="BD576" s="431">
        <f>IFERROR(_xlfn.ISOWEEKNUM(PV_DATA[[#This Row],[ETA for New Ark update]]),0)</f>
        <v>31</v>
      </c>
      <c r="BE576" s="431">
        <f>_xlfn.XLOOKUP(PV_DATA[[#This Row],[New Ark SKU]],Table9[New Ark SKU],Table9[Total PCS per Pallet],,0)</f>
        <v>36</v>
      </c>
      <c r="BF576" s="431">
        <f>_xlfn.XLOOKUP(PV_DATA[[#This Row],[New Ark SKU]],Table9[New Ark SKU],Table9[Total PCS per 40HQ Container],,0)</f>
        <v>936</v>
      </c>
      <c r="BG576" s="431" t="str">
        <f>_xlfn.XLOOKUP(PV_DATA[[#This Row],[New Ark SKU]],Table9[New Ark SKU],Table9[Back Glass],,0)</f>
        <v>Black glazing</v>
      </c>
      <c r="BH576" s="431" t="str">
        <f>_xlfn.XLOOKUP(PV_DATA[[#This Row],[PORT DESTINATION]],Table12[PORT DESTINATION],Table12[Cosco Line],,0)</f>
        <v>AEU</v>
      </c>
    </row>
    <row r="577" spans="1:60" s="431" customFormat="1" ht="10.5">
      <c r="A577" s="439" t="s">
        <v>4757</v>
      </c>
      <c r="B577" s="439" t="s">
        <v>2132</v>
      </c>
      <c r="C577" s="439" t="str">
        <f>IFERROR(LEFT(PV_DATA[[#This Row],[TCL REFERENCE]],FIND(".",PV_DATA[[#This Row],[TCL REFERENCE]],1)-1),"Main Line")</f>
        <v>26Apr008</v>
      </c>
      <c r="D577" s="439" t="s">
        <v>63</v>
      </c>
      <c r="E577" s="439" t="s">
        <v>64</v>
      </c>
      <c r="F577" s="439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39" t="s">
        <v>402</v>
      </c>
      <c r="H577" s="439" t="s">
        <v>115</v>
      </c>
      <c r="I577" s="439" t="s">
        <v>689</v>
      </c>
      <c r="J577" s="431" t="s">
        <v>96</v>
      </c>
      <c r="M577" s="431" t="s">
        <v>68</v>
      </c>
      <c r="N577" s="461">
        <v>46146</v>
      </c>
      <c r="O577" s="431" t="s">
        <v>170</v>
      </c>
      <c r="P577" s="431" t="s">
        <v>1977</v>
      </c>
      <c r="Q577" s="431" t="s">
        <v>1978</v>
      </c>
      <c r="R577" s="431" t="str">
        <f>_xlfn.XLOOKUP(PV_DATA[[#This Row],[New Ark SKU]],Table9[New Ark SKU],Table9[Connector],,0)</f>
        <v>EVO2A</v>
      </c>
      <c r="S577" s="442" t="str">
        <f>_xlfn.XLOOKUP(PV_DATA[[#This Row],[New Ark SKU]],Table9[New Ark SKU],Table9[Cable],,0)</f>
        <v>±1400mm</v>
      </c>
      <c r="T577" s="442">
        <v>560</v>
      </c>
      <c r="U577" s="1093">
        <v>660</v>
      </c>
      <c r="V577" s="448">
        <f>PV_DATA[[#This Row],[QUANTITY]]*PV_DATA[[#This Row],[WATT]]/1000000</f>
        <v>0.36959999999999998</v>
      </c>
      <c r="W577" s="466">
        <f>PV_DATA[[#This Row],[QUANTITY]]/PV_DATA[[#This Row],[Qty/Pallet]]</f>
        <v>20</v>
      </c>
      <c r="X577" s="1044">
        <f>PV_DATA[[#This Row],[QUANTITY]]/PV_DATA[[#This Row],[Qty/CT]]</f>
        <v>1</v>
      </c>
      <c r="Y577" s="431" t="s">
        <v>951</v>
      </c>
      <c r="Z577" s="430" t="str">
        <f t="shared" si="6"/>
        <v>COMPLETED</v>
      </c>
      <c r="AB577" s="441">
        <v>46170</v>
      </c>
      <c r="AC577" s="467">
        <f>IF(PV_DATA[[#This Row],[Pick- Up Date]]&lt;&gt;"",_xlfn.ISOWEEKNUM(PV_DATA[[#This Row],[Pick- Up Date]]),"")</f>
        <v>22</v>
      </c>
      <c r="AD577" s="431" t="s">
        <v>4758</v>
      </c>
      <c r="AF577" s="431" t="s">
        <v>77</v>
      </c>
      <c r="AG577" s="431" t="s">
        <v>61</v>
      </c>
      <c r="AH577" s="431" t="s">
        <v>124</v>
      </c>
      <c r="AI577" s="441">
        <v>46177</v>
      </c>
      <c r="AJ577" s="441">
        <v>46178</v>
      </c>
      <c r="AK577" s="441">
        <v>46178</v>
      </c>
      <c r="AL577" s="732">
        <v>46233</v>
      </c>
      <c r="AM577" s="441"/>
      <c r="AN577" s="441">
        <v>46233</v>
      </c>
      <c r="AO577" s="431" t="s">
        <v>402</v>
      </c>
      <c r="AP577" s="431" t="s">
        <v>4752</v>
      </c>
      <c r="AQ577" s="431" t="s">
        <v>80</v>
      </c>
      <c r="AR577" s="431" t="s">
        <v>4759</v>
      </c>
      <c r="AS577" s="431" t="s">
        <v>4760</v>
      </c>
      <c r="AT577" s="482" t="s">
        <v>4760</v>
      </c>
      <c r="AU5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1"/>
      <c r="AW577" s="441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1">
        <f>IF(ISERROR(PV_DATA[[#This Row],[New Ark PO status]]),"",_xlfn.XLOOKUP(PV_DATA[[#This Row],[SPTN-PVHK New Ark PO'#]],New_Ark_Data[Purchase order Number],New_Ark_Data[Estimated time of arrival],"",0))</f>
        <v>46247</v>
      </c>
      <c r="AZ577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1">
        <f>IFERROR(PV_DATA[[#This Row],[ODP ETA Port]]+PV_DATA[[#This Row],[Customs/Leg3 Assumption]],"n/a")</f>
        <v>46242</v>
      </c>
      <c r="BB577" s="442">
        <f>YEAR(PV_DATA[[#This Row],[ETA for New Ark update]])</f>
        <v>2026</v>
      </c>
      <c r="BC577" s="431">
        <f>MONTH(PV_DATA[[#This Row],[ETA for New Ark update]])</f>
        <v>8</v>
      </c>
      <c r="BD577" s="431">
        <f>IFERROR(_xlfn.ISOWEEKNUM(PV_DATA[[#This Row],[ETA for New Ark update]]),0)</f>
        <v>32</v>
      </c>
      <c r="BE577" s="431">
        <f>_xlfn.XLOOKUP(PV_DATA[[#This Row],[New Ark SKU]],Table9[New Ark SKU],Table9[Total PCS per Pallet],,0)</f>
        <v>33</v>
      </c>
      <c r="BF577" s="431">
        <f>_xlfn.XLOOKUP(PV_DATA[[#This Row],[New Ark SKU]],Table9[New Ark SKU],Table9[Total PCS per 40HQ Container],,0)</f>
        <v>660</v>
      </c>
      <c r="BG577" s="431" t="str">
        <f>_xlfn.XLOOKUP(PV_DATA[[#This Row],[New Ark SKU]],Table9[New Ark SKU],Table9[Back Glass],,0)</f>
        <v>White glazing</v>
      </c>
      <c r="BH577" s="431" t="str">
        <f>_xlfn.XLOOKUP(PV_DATA[[#This Row],[PORT DESTINATION]],Table12[PORT DESTINATION],Table12[Cosco Line],,0)</f>
        <v>AEM</v>
      </c>
    </row>
    <row r="578" spans="1:60" s="431" customFormat="1" ht="10.5">
      <c r="A578" s="439" t="s">
        <v>4761</v>
      </c>
      <c r="B578" s="439" t="s">
        <v>2132</v>
      </c>
      <c r="C578" s="439" t="str">
        <f>IFERROR(LEFT(PV_DATA[[#This Row],[TCL REFERENCE]],FIND(".",PV_DATA[[#This Row],[TCL REFERENCE]],1)-1),"Main Line")</f>
        <v>26Apr008</v>
      </c>
      <c r="D578" s="439" t="s">
        <v>63</v>
      </c>
      <c r="E578" s="439" t="s">
        <v>64</v>
      </c>
      <c r="F578" s="439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39" t="s">
        <v>402</v>
      </c>
      <c r="H578" s="439" t="s">
        <v>115</v>
      </c>
      <c r="I578" s="439" t="s">
        <v>689</v>
      </c>
      <c r="J578" s="431" t="s">
        <v>96</v>
      </c>
      <c r="M578" s="431" t="s">
        <v>68</v>
      </c>
      <c r="N578" s="461">
        <v>46146</v>
      </c>
      <c r="O578" s="431" t="s">
        <v>170</v>
      </c>
      <c r="P578" s="431" t="s">
        <v>1977</v>
      </c>
      <c r="Q578" s="431" t="s">
        <v>1978</v>
      </c>
      <c r="R578" s="431" t="str">
        <f>_xlfn.XLOOKUP(PV_DATA[[#This Row],[New Ark SKU]],Table9[New Ark SKU],Table9[Connector],,0)</f>
        <v>EVO2A</v>
      </c>
      <c r="S578" s="442" t="str">
        <f>_xlfn.XLOOKUP(PV_DATA[[#This Row],[New Ark SKU]],Table9[New Ark SKU],Table9[Cable],,0)</f>
        <v>±1400mm</v>
      </c>
      <c r="T578" s="442">
        <v>560</v>
      </c>
      <c r="U578" s="1093">
        <v>2640</v>
      </c>
      <c r="V578" s="448">
        <f>PV_DATA[[#This Row],[QUANTITY]]*PV_DATA[[#This Row],[WATT]]/1000000</f>
        <v>1.4783999999999999</v>
      </c>
      <c r="W578" s="466">
        <f>PV_DATA[[#This Row],[QUANTITY]]/PV_DATA[[#This Row],[Qty/Pallet]]</f>
        <v>80</v>
      </c>
      <c r="X578" s="1044">
        <f>PV_DATA[[#This Row],[QUANTITY]]/PV_DATA[[#This Row],[Qty/CT]]</f>
        <v>4</v>
      </c>
      <c r="Y578" s="431" t="s">
        <v>951</v>
      </c>
      <c r="Z578" s="430" t="str">
        <f t="shared" si="6"/>
        <v>COMPLETED</v>
      </c>
      <c r="AB578" s="441">
        <v>46170</v>
      </c>
      <c r="AC578" s="467">
        <f>IF(PV_DATA[[#This Row],[Pick- Up Date]]&lt;&gt;"",_xlfn.ISOWEEKNUM(PV_DATA[[#This Row],[Pick- Up Date]]),"")</f>
        <v>22</v>
      </c>
      <c r="AD578" s="431" t="s">
        <v>4762</v>
      </c>
      <c r="AF578" s="431" t="s">
        <v>77</v>
      </c>
      <c r="AG578" s="431" t="s">
        <v>61</v>
      </c>
      <c r="AH578" s="431" t="s">
        <v>124</v>
      </c>
      <c r="AI578" s="441">
        <v>46177</v>
      </c>
      <c r="AJ578" s="441">
        <v>46178</v>
      </c>
      <c r="AK578" s="441">
        <v>46178</v>
      </c>
      <c r="AL578" s="732">
        <v>46247</v>
      </c>
      <c r="AM578" s="586">
        <v>46262</v>
      </c>
      <c r="AN578" s="586">
        <v>46262</v>
      </c>
      <c r="AO578" s="431" t="s">
        <v>402</v>
      </c>
      <c r="AP578" s="431" t="s">
        <v>4752</v>
      </c>
      <c r="AQ578" s="431" t="s">
        <v>80</v>
      </c>
      <c r="AR578" s="431" t="s">
        <v>4763</v>
      </c>
      <c r="AS578" s="431" t="s">
        <v>4764</v>
      </c>
      <c r="AT578" s="482" t="s">
        <v>4764</v>
      </c>
      <c r="AU5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1"/>
      <c r="AW578" s="441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8" s="441">
        <f>IF(ISERROR(PV_DATA[[#This Row],[New Ark PO status]]),"",_xlfn.XLOOKUP(PV_DATA[[#This Row],[SPTN-PVHK New Ark PO'#]],New_Ark_Data[Purchase order Number],New_Ark_Data[Estimated time of arrival],"",0))</f>
        <v>46274</v>
      </c>
      <c r="AZ578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1">
        <f>IFERROR(PV_DATA[[#This Row],[ODP ETA Port]]+PV_DATA[[#This Row],[Customs/Leg3 Assumption]],"n/a")</f>
        <v>46271</v>
      </c>
      <c r="BB578" s="442">
        <f>YEAR(PV_DATA[[#This Row],[ETA for New Ark update]])</f>
        <v>2026</v>
      </c>
      <c r="BC578" s="431">
        <f>MONTH(PV_DATA[[#This Row],[ETA for New Ark update]])</f>
        <v>9</v>
      </c>
      <c r="BD578" s="431">
        <f>IFERROR(_xlfn.ISOWEEKNUM(PV_DATA[[#This Row],[ETA for New Ark update]]),0)</f>
        <v>36</v>
      </c>
      <c r="BE578" s="431">
        <f>_xlfn.XLOOKUP(PV_DATA[[#This Row],[New Ark SKU]],Table9[New Ark SKU],Table9[Total PCS per Pallet],,0)</f>
        <v>33</v>
      </c>
      <c r="BF578" s="431">
        <f>_xlfn.XLOOKUP(PV_DATA[[#This Row],[New Ark SKU]],Table9[New Ark SKU],Table9[Total PCS per 40HQ Container],,0)</f>
        <v>660</v>
      </c>
      <c r="BG578" s="431" t="str">
        <f>_xlfn.XLOOKUP(PV_DATA[[#This Row],[New Ark SKU]],Table9[New Ark SKU],Table9[Back Glass],,0)</f>
        <v>White glazing</v>
      </c>
      <c r="BH578" s="431" t="str">
        <f>_xlfn.XLOOKUP(PV_DATA[[#This Row],[PORT DESTINATION]],Table12[PORT DESTINATION],Table12[Cosco Line],,0)</f>
        <v>AEM</v>
      </c>
    </row>
    <row r="579" spans="1:60" s="431" customFormat="1" ht="10.5">
      <c r="A579" s="439" t="s">
        <v>4765</v>
      </c>
      <c r="B579" s="439" t="s">
        <v>61</v>
      </c>
      <c r="C579" s="439" t="str">
        <f>IFERROR(LEFT(PV_DATA[[#This Row],[TCL REFERENCE]],FIND(".",PV_DATA[[#This Row],[TCL REFERENCE]],1)-1),"Main Line")</f>
        <v>26May010</v>
      </c>
      <c r="D579" s="439" t="s">
        <v>63</v>
      </c>
      <c r="E579" s="439" t="s">
        <v>144</v>
      </c>
      <c r="F579" s="439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39" t="s">
        <v>402</v>
      </c>
      <c r="H579" s="439" t="s">
        <v>593</v>
      </c>
      <c r="I579" s="439" t="s">
        <v>822</v>
      </c>
      <c r="J579" s="431" t="s">
        <v>4518</v>
      </c>
      <c r="K579" s="431" t="s">
        <v>4766</v>
      </c>
      <c r="L579" s="431">
        <v>1</v>
      </c>
      <c r="M579" s="431" t="s">
        <v>840</v>
      </c>
      <c r="N579" s="461" t="s">
        <v>68</v>
      </c>
      <c r="O579" s="431" t="s">
        <v>4531</v>
      </c>
      <c r="P579" s="431" t="s">
        <v>1151</v>
      </c>
      <c r="Q579" s="431" t="s">
        <v>421</v>
      </c>
      <c r="R579" s="431" t="str">
        <f>_xlfn.XLOOKUP(PV_DATA[[#This Row],[New Ark SKU]],Table9[New Ark SKU],Table9[Connector],,0)</f>
        <v>EVO2A</v>
      </c>
      <c r="S579" s="442" t="str">
        <f>_xlfn.XLOOKUP(PV_DATA[[#This Row],[New Ark SKU]],Table9[New Ark SKU],Table9[Cable],,0)</f>
        <v>±1200mm</v>
      </c>
      <c r="T579" s="442">
        <v>505</v>
      </c>
      <c r="U579" s="1093">
        <f>864*2</f>
        <v>1728</v>
      </c>
      <c r="V579" s="448">
        <f>PV_DATA[[#This Row],[QUANTITY]]*PV_DATA[[#This Row],[WATT]]/1000000</f>
        <v>0.87263999999999997</v>
      </c>
      <c r="W579" s="466">
        <f>PV_DATA[[#This Row],[QUANTITY]]/PV_DATA[[#This Row],[Qty/Pallet]]</f>
        <v>48</v>
      </c>
      <c r="X579" s="1044">
        <f>PV_DATA[[#This Row],[QUANTITY]]/PV_DATA[[#This Row],[Qty/CT]]</f>
        <v>2</v>
      </c>
      <c r="Y579" s="431" t="s">
        <v>951</v>
      </c>
      <c r="Z579" s="430" t="str">
        <f t="shared" si="6"/>
        <v>COMPLETED</v>
      </c>
      <c r="AA579" s="431" t="s">
        <v>4507</v>
      </c>
      <c r="AB579" s="441">
        <v>46170</v>
      </c>
      <c r="AC579" s="467">
        <f>IF(PV_DATA[[#This Row],[Pick- Up Date]]&lt;&gt;"",_xlfn.ISOWEEKNUM(PV_DATA[[#This Row],[Pick- Up Date]]),"")</f>
        <v>22</v>
      </c>
      <c r="AD579" s="431" t="s">
        <v>4767</v>
      </c>
      <c r="AF579" s="431" t="s">
        <v>61</v>
      </c>
      <c r="AG579" s="431" t="s">
        <v>61</v>
      </c>
      <c r="AH579" s="431" t="s">
        <v>124</v>
      </c>
      <c r="AI579" s="441">
        <v>46177</v>
      </c>
      <c r="AJ579" s="441">
        <v>46178</v>
      </c>
      <c r="AK579" s="441">
        <v>46178</v>
      </c>
      <c r="AL579" s="441">
        <v>46232</v>
      </c>
      <c r="AM579" s="441">
        <v>46235</v>
      </c>
      <c r="AN579" s="586">
        <f>IFERROR(IF(VLOOKUP(AT579,Vessel!A:I,9,FALSE)=0,"",VLOOKUP(AT579,Vessel!A:I,9,FALSE)),"")</f>
        <v>46236.419953703706</v>
      </c>
      <c r="AO579" s="431" t="s">
        <v>402</v>
      </c>
      <c r="AP579" s="431" t="s">
        <v>4752</v>
      </c>
      <c r="AQ579" s="431" t="s">
        <v>80</v>
      </c>
      <c r="AR579" s="431" t="s">
        <v>4768</v>
      </c>
      <c r="AS579" s="431" t="s">
        <v>4769</v>
      </c>
      <c r="AT579" s="482" t="s">
        <v>4769</v>
      </c>
      <c r="AU5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58.419953703705687</v>
      </c>
      <c r="AV579" s="441"/>
      <c r="AW579" s="441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46236.419953703706</v>
      </c>
      <c r="AX5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1">
        <f>IF(ISERROR(PV_DATA[[#This Row],[New Ark PO status]]),"",_xlfn.XLOOKUP(PV_DATA[[#This Row],[SPTN-PVHK New Ark PO'#]],New_Ark_Data[Purchase order Number],New_Ark_Data[Estimated time of arrival],"",0))</f>
        <v>46232</v>
      </c>
      <c r="AZ57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1">
        <f>IFERROR(PV_DATA[[#This Row],[ODP ETA Port]]+PV_DATA[[#This Row],[Customs/Leg3 Assumption]],"n/a")</f>
        <v>46236.419953703706</v>
      </c>
      <c r="BB579" s="442">
        <f>YEAR(PV_DATA[[#This Row],[ETA for New Ark update]])</f>
        <v>2026</v>
      </c>
      <c r="BC579" s="431">
        <f>MONTH(PV_DATA[[#This Row],[ETA for New Ark update]])</f>
        <v>8</v>
      </c>
      <c r="BD579" s="431">
        <f>IFERROR(_xlfn.ISOWEEKNUM(PV_DATA[[#This Row],[ETA for New Ark update]]),0)</f>
        <v>31</v>
      </c>
      <c r="BE579" s="431">
        <f>_xlfn.XLOOKUP(PV_DATA[[#This Row],[New Ark SKU]],Table9[New Ark SKU],Table9[Total PCS per Pallet],,0)</f>
        <v>36</v>
      </c>
      <c r="BF579" s="431">
        <f>_xlfn.XLOOKUP(PV_DATA[[#This Row],[New Ark SKU]],Table9[New Ark SKU],Table9[Total PCS per 40HQ Container],,0)</f>
        <v>864</v>
      </c>
      <c r="BG579" s="431" t="str">
        <f>_xlfn.XLOOKUP(PV_DATA[[#This Row],[New Ark SKU]],Table9[New Ark SKU],Table9[Back Glass],,0)</f>
        <v>Black glazing</v>
      </c>
      <c r="BH579" s="431" t="str">
        <f>_xlfn.XLOOKUP(PV_DATA[[#This Row],[PORT DESTINATION]],Table12[PORT DESTINATION],Table12[Cosco Line],,0)</f>
        <v>AEM</v>
      </c>
    </row>
    <row r="580" spans="1:60" s="431" customFormat="1" ht="12" customHeight="1">
      <c r="A580" s="439" t="s">
        <v>4770</v>
      </c>
      <c r="B580" s="439" t="s">
        <v>61</v>
      </c>
      <c r="C580" s="439" t="str">
        <f>IFERROR(LEFT(PV_DATA[[#This Row],[TCL REFERENCE]],FIND(".",PV_DATA[[#This Row],[TCL REFERENCE]],1)-1),"Main Line")</f>
        <v>26May009</v>
      </c>
      <c r="D580" s="439" t="s">
        <v>63</v>
      </c>
      <c r="E580" s="439" t="s">
        <v>144</v>
      </c>
      <c r="F580" s="439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39" t="s">
        <v>402</v>
      </c>
      <c r="H580" s="439" t="s">
        <v>1029</v>
      </c>
      <c r="I580" s="439" t="s">
        <v>689</v>
      </c>
      <c r="J580" s="431" t="s">
        <v>4771</v>
      </c>
      <c r="K580" s="431" t="s">
        <v>2389</v>
      </c>
      <c r="L580" s="431">
        <v>3</v>
      </c>
      <c r="M580" s="431" t="s">
        <v>840</v>
      </c>
      <c r="N580" s="461">
        <v>46153</v>
      </c>
      <c r="O580" s="431" t="s">
        <v>4531</v>
      </c>
      <c r="P580" s="431" t="s">
        <v>71</v>
      </c>
      <c r="Q580" s="431" t="s">
        <v>72</v>
      </c>
      <c r="R580" s="431" t="str">
        <f>_xlfn.XLOOKUP(PV_DATA[[#This Row],[New Ark SKU]],Table9[New Ark SKU],Table9[Connector],,0)</f>
        <v>EVO2A</v>
      </c>
      <c r="S580" s="442" t="str">
        <f>_xlfn.XLOOKUP(PV_DATA[[#This Row],[New Ark SKU]],Table9[New Ark SKU],Table9[Cable],,0)</f>
        <v>±1200mm</v>
      </c>
      <c r="T580" s="442">
        <v>500</v>
      </c>
      <c r="U580" s="1093">
        <f>864*6</f>
        <v>5184</v>
      </c>
      <c r="V580" s="448">
        <f>PV_DATA[[#This Row],[QUANTITY]]*PV_DATA[[#This Row],[WATT]]/1000000</f>
        <v>2.5920000000000001</v>
      </c>
      <c r="W580" s="466">
        <f>PV_DATA[[#This Row],[QUANTITY]]/PV_DATA[[#This Row],[Qty/Pallet]]</f>
        <v>144</v>
      </c>
      <c r="X580" s="1044">
        <f>PV_DATA[[#This Row],[QUANTITY]]/PV_DATA[[#This Row],[Qty/CT]]</f>
        <v>6</v>
      </c>
      <c r="Y580" s="431" t="s">
        <v>951</v>
      </c>
      <c r="Z580" s="430" t="str">
        <f t="shared" si="6"/>
        <v>COMPLETED</v>
      </c>
      <c r="AA580" s="431" t="s">
        <v>4772</v>
      </c>
      <c r="AB580" s="441">
        <v>46174</v>
      </c>
      <c r="AC580" s="467">
        <f>IF(PV_DATA[[#This Row],[Pick- Up Date]]&lt;&gt;"",_xlfn.ISOWEEKNUM(PV_DATA[[#This Row],[Pick- Up Date]]),"")</f>
        <v>23</v>
      </c>
      <c r="AD580" s="431" t="s">
        <v>4773</v>
      </c>
      <c r="AF580" s="431" t="s">
        <v>61</v>
      </c>
      <c r="AG580" s="431" t="s">
        <v>61</v>
      </c>
      <c r="AH580" s="431" t="s">
        <v>888</v>
      </c>
      <c r="AI580" s="441">
        <v>46178</v>
      </c>
      <c r="AJ580" s="441">
        <v>46180</v>
      </c>
      <c r="AK580" s="441">
        <v>46180</v>
      </c>
      <c r="AL580" s="441">
        <v>46237</v>
      </c>
      <c r="AM580" s="441">
        <v>46245</v>
      </c>
      <c r="AN580" s="441">
        <v>46247</v>
      </c>
      <c r="AO580" s="431" t="s">
        <v>402</v>
      </c>
      <c r="AP580" s="431" t="s">
        <v>4774</v>
      </c>
      <c r="AQ580" s="431" t="s">
        <v>161</v>
      </c>
      <c r="AR580" s="431" t="s">
        <v>4775</v>
      </c>
      <c r="AS580" s="431" t="s">
        <v>4776</v>
      </c>
      <c r="AT580" s="482" t="s">
        <v>4776</v>
      </c>
      <c r="AU5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1"/>
      <c r="AW580" s="441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1">
        <f>IF(ISERROR(PV_DATA[[#This Row],[New Ark PO status]]),"",_xlfn.XLOOKUP(PV_DATA[[#This Row],[SPTN-PVHK New Ark PO'#]],New_Ark_Data[Purchase order Number],New_Ark_Data[Estimated time of arrival],"",0))</f>
        <v>46237</v>
      </c>
      <c r="AZ58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1">
        <f>IFERROR(PV_DATA[[#This Row],[ODP ETA Port]]+PV_DATA[[#This Row],[Customs/Leg3 Assumption]],"n/a")</f>
        <v>46247</v>
      </c>
      <c r="BB580" s="442">
        <f>YEAR(PV_DATA[[#This Row],[ETA for New Ark update]])</f>
        <v>2026</v>
      </c>
      <c r="BC580" s="431">
        <f>MONTH(PV_DATA[[#This Row],[ETA for New Ark update]])</f>
        <v>8</v>
      </c>
      <c r="BD580" s="431">
        <f>IFERROR(_xlfn.ISOWEEKNUM(PV_DATA[[#This Row],[ETA for New Ark update]]),0)</f>
        <v>33</v>
      </c>
      <c r="BE580" s="431">
        <f>_xlfn.XLOOKUP(PV_DATA[[#This Row],[New Ark SKU]],Table9[New Ark SKU],Table9[Total PCS per Pallet],,0)</f>
        <v>36</v>
      </c>
      <c r="BF580" s="431">
        <f>_xlfn.XLOOKUP(PV_DATA[[#This Row],[New Ark SKU]],Table9[New Ark SKU],Table9[Total PCS per 40HQ Container],,0)</f>
        <v>864</v>
      </c>
      <c r="BG580" s="431" t="str">
        <f>_xlfn.XLOOKUP(PV_DATA[[#This Row],[New Ark SKU]],Table9[New Ark SKU],Table9[Back Glass],,0)</f>
        <v>Black glazing</v>
      </c>
      <c r="BH580" s="431" t="str">
        <f>_xlfn.XLOOKUP(PV_DATA[[#This Row],[PORT DESTINATION]],Table12[PORT DESTINATION],Table12[Cosco Line],,0)</f>
        <v>AEU</v>
      </c>
    </row>
    <row r="581" spans="1:60" s="431" customFormat="1" ht="10.5">
      <c r="A581" s="439" t="s">
        <v>4777</v>
      </c>
      <c r="B581" s="439" t="s">
        <v>111</v>
      </c>
      <c r="C581" s="439" t="str">
        <f>IFERROR(LEFT(PV_DATA[[#This Row],[TCL REFERENCE]],FIND(".",PV_DATA[[#This Row],[TCL REFERENCE]],1)-1),"Main Line")</f>
        <v>26May011</v>
      </c>
      <c r="D581" s="439" t="s">
        <v>63</v>
      </c>
      <c r="E581" s="439" t="s">
        <v>144</v>
      </c>
      <c r="F581" s="439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39" t="s">
        <v>68</v>
      </c>
      <c r="H581" s="439" t="s">
        <v>941</v>
      </c>
      <c r="I581" s="439" t="s">
        <v>68</v>
      </c>
      <c r="J581" s="431" t="s">
        <v>4778</v>
      </c>
      <c r="M581" s="431" t="s">
        <v>68</v>
      </c>
      <c r="N581" s="461">
        <v>46167</v>
      </c>
      <c r="O581" s="431" t="s">
        <v>4531</v>
      </c>
      <c r="P581" s="431" t="s">
        <v>4592</v>
      </c>
      <c r="Q581" s="431" t="s">
        <v>330</v>
      </c>
      <c r="R581" s="431" t="str">
        <f>_xlfn.XLOOKUP(PV_DATA[[#This Row],[New Ark SKU]],Table9[New Ark SKU],Table9[Connector],,0)</f>
        <v>H4(Com)</v>
      </c>
      <c r="S581" s="442" t="str">
        <f>_xlfn.XLOOKUP(PV_DATA[[#This Row],[New Ark SKU]],Table9[New Ark SKU],Table9[Cable],,0)</f>
        <v>+400mm/-200mm</v>
      </c>
      <c r="T581" s="442">
        <v>625</v>
      </c>
      <c r="U581" s="1093">
        <f>720*3</f>
        <v>2160</v>
      </c>
      <c r="V581" s="444">
        <f>PV_DATA[[#This Row],[QUANTITY]]*PV_DATA[[#This Row],[WATT]]/1000000</f>
        <v>1.35</v>
      </c>
      <c r="W581" s="466">
        <f>PV_DATA[[#This Row],[QUANTITY]]/PV_DATA[[#This Row],[Qty/Pallet]]</f>
        <v>60</v>
      </c>
      <c r="X581" s="1044">
        <f>PV_DATA[[#This Row],[QUANTITY]]/PV_DATA[[#This Row],[Qty/CT]]</f>
        <v>3</v>
      </c>
      <c r="Y581" s="430" t="s">
        <v>75</v>
      </c>
      <c r="Z581" s="430" t="str">
        <f t="shared" si="6"/>
        <v>COMPLETED</v>
      </c>
      <c r="AA581" s="431" t="s">
        <v>4779</v>
      </c>
      <c r="AB581" s="441">
        <v>46175</v>
      </c>
      <c r="AC581" s="467">
        <f>IF(PV_DATA[[#This Row],[Pick- Up Date]]&lt;&gt;"",_xlfn.ISOWEEKNUM(PV_DATA[[#This Row],[Pick- Up Date]]),"")</f>
        <v>23</v>
      </c>
      <c r="AD581" s="431" t="s">
        <v>4780</v>
      </c>
      <c r="AF581" s="431" t="s">
        <v>122</v>
      </c>
      <c r="AG581" s="431" t="s">
        <v>123</v>
      </c>
      <c r="AH581" s="447" t="s">
        <v>4781</v>
      </c>
      <c r="AI581" s="441">
        <v>46174</v>
      </c>
      <c r="AJ581" s="441">
        <v>46180</v>
      </c>
      <c r="AK581" s="441">
        <v>46179</v>
      </c>
      <c r="AL581" s="441">
        <v>46183</v>
      </c>
      <c r="AM581" s="441">
        <v>46187</v>
      </c>
      <c r="AN581" s="441">
        <v>46188</v>
      </c>
      <c r="AO581" s="431" t="s">
        <v>402</v>
      </c>
      <c r="AP581" s="431" t="s">
        <v>4782</v>
      </c>
      <c r="AQ581" s="431" t="s">
        <v>161</v>
      </c>
      <c r="AR581" s="431" t="s">
        <v>4783</v>
      </c>
      <c r="AS581" s="431" t="s">
        <v>4784</v>
      </c>
      <c r="AT581" s="482" t="s">
        <v>4784</v>
      </c>
      <c r="AU5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1"/>
      <c r="AW581" s="441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1" t="str">
        <f>IF(ISERROR(PV_DATA[[#This Row],[New Ark PO status]]),"",_xlfn.XLOOKUP(PV_DATA[[#This Row],[SPTN-PVHK New Ark PO'#]],New_Ark_Data[Purchase order Number],New_Ark_Data[Estimated time of arrival],"",0))</f>
        <v/>
      </c>
      <c r="AZ58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1">
        <f>IFERROR(PV_DATA[[#This Row],[ODP ETA Port]]+PV_DATA[[#This Row],[Customs/Leg3 Assumption]],"n/a")</f>
        <v>46188</v>
      </c>
      <c r="BB581" s="442">
        <f>YEAR(PV_DATA[[#This Row],[ETA for New Ark update]])</f>
        <v>2026</v>
      </c>
      <c r="BC581" s="431">
        <f>MONTH(PV_DATA[[#This Row],[ETA for New Ark update]])</f>
        <v>6</v>
      </c>
      <c r="BD581" s="431">
        <f>IFERROR(_xlfn.ISOWEEKNUM(PV_DATA[[#This Row],[ETA for New Ark update]]),0)</f>
        <v>25</v>
      </c>
      <c r="BE581" s="431">
        <f>_xlfn.XLOOKUP(PV_DATA[[#This Row],[New Ark SKU]],Table9[New Ark SKU],Table9[Total PCS per Pallet],,0)</f>
        <v>36</v>
      </c>
      <c r="BF581" s="431">
        <f>_xlfn.XLOOKUP(PV_DATA[[#This Row],[New Ark SKU]],Table9[New Ark SKU],Table9[Total PCS per 40HQ Container],,0)</f>
        <v>720</v>
      </c>
      <c r="BG581" s="431" t="str">
        <f>_xlfn.XLOOKUP(PV_DATA[[#This Row],[New Ark SKU]],Table9[New Ark SKU],Table9[Back Glass],,0)</f>
        <v>Transparent</v>
      </c>
      <c r="BH581" s="431" t="str">
        <f>_xlfn.XLOOKUP(PV_DATA[[#This Row],[PORT DESTINATION]],Table12[PORT DESTINATION],Table12[Cosco Line],,0)</f>
        <v>n/a</v>
      </c>
    </row>
    <row r="582" spans="1:60" s="431" customFormat="1" ht="10.5">
      <c r="A582" s="439" t="s">
        <v>4785</v>
      </c>
      <c r="B582" s="439" t="s">
        <v>111</v>
      </c>
      <c r="C582" s="439" t="str">
        <f>IFERROR(LEFT(PV_DATA[[#This Row],[TCL REFERENCE]],FIND(".",PV_DATA[[#This Row],[TCL REFERENCE]],1)-1),"Main Line")</f>
        <v>26May006</v>
      </c>
      <c r="D582" s="439" t="s">
        <v>63</v>
      </c>
      <c r="E582" s="439" t="s">
        <v>64</v>
      </c>
      <c r="F582" s="439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39" t="s">
        <v>402</v>
      </c>
      <c r="H582" s="439" t="s">
        <v>451</v>
      </c>
      <c r="I582" s="439" t="s">
        <v>822</v>
      </c>
      <c r="J582" s="431" t="s">
        <v>4786</v>
      </c>
      <c r="M582" s="431" t="s">
        <v>68</v>
      </c>
      <c r="N582" s="461">
        <v>46160</v>
      </c>
      <c r="O582" s="431" t="s">
        <v>132</v>
      </c>
      <c r="P582" s="431" t="s">
        <v>1062</v>
      </c>
      <c r="Q582" s="431" t="s">
        <v>1063</v>
      </c>
      <c r="R582" s="431" t="str">
        <f>_xlfn.XLOOKUP(PV_DATA[[#This Row],[New Ark SKU]],Table9[New Ark SKU],Table9[Connector],,0)</f>
        <v>EVO2A</v>
      </c>
      <c r="S582" s="442" t="str">
        <f>_xlfn.XLOOKUP(PV_DATA[[#This Row],[New Ark SKU]],Table9[New Ark SKU],Table9[Cable],,0)</f>
        <v>±1200mm</v>
      </c>
      <c r="T582" s="442">
        <v>470</v>
      </c>
      <c r="U582" s="1093">
        <f>864*2</f>
        <v>1728</v>
      </c>
      <c r="V582" s="448">
        <f>PV_DATA[[#This Row],[QUANTITY]]*PV_DATA[[#This Row],[WATT]]/1000000</f>
        <v>0.81215999999999999</v>
      </c>
      <c r="W582" s="466">
        <f>PV_DATA[[#This Row],[QUANTITY]]/PV_DATA[[#This Row],[Qty/Pallet]]</f>
        <v>48</v>
      </c>
      <c r="X582" s="1044">
        <f>PV_DATA[[#This Row],[QUANTITY]]/PV_DATA[[#This Row],[Qty/CT]]</f>
        <v>2</v>
      </c>
      <c r="Y582" s="439" t="s">
        <v>951</v>
      </c>
      <c r="Z582" s="430" t="str">
        <f t="shared" si="6"/>
        <v>COMPLETED</v>
      </c>
      <c r="AA582" s="478" t="s">
        <v>4700</v>
      </c>
      <c r="AB582" s="441">
        <v>46175</v>
      </c>
      <c r="AC582" s="467">
        <f>IF(PV_DATA[[#This Row],[Pick- Up Date]]&lt;&gt;"",_xlfn.ISOWEEKNUM(PV_DATA[[#This Row],[Pick- Up Date]]),"")</f>
        <v>23</v>
      </c>
      <c r="AD582" s="431" t="s">
        <v>4787</v>
      </c>
      <c r="AF582" s="431" t="s">
        <v>122</v>
      </c>
      <c r="AG582" s="431" t="s">
        <v>123</v>
      </c>
      <c r="AH582" s="431" t="s">
        <v>456</v>
      </c>
      <c r="AI582" s="441">
        <v>46181</v>
      </c>
      <c r="AJ582" s="441">
        <v>46183</v>
      </c>
      <c r="AK582" s="441">
        <v>46183</v>
      </c>
      <c r="AL582" s="441">
        <v>46222</v>
      </c>
      <c r="AM582" s="441">
        <v>46224</v>
      </c>
      <c r="AN582" s="441">
        <v>46224</v>
      </c>
      <c r="AO582" s="431" t="s">
        <v>402</v>
      </c>
      <c r="AP582" s="431" t="s">
        <v>4788</v>
      </c>
      <c r="AQ582" s="431" t="s">
        <v>80</v>
      </c>
      <c r="AR582" s="431" t="s">
        <v>4789</v>
      </c>
      <c r="AS582" s="431" t="s">
        <v>4790</v>
      </c>
      <c r="AT582" s="482" t="s">
        <v>4790</v>
      </c>
      <c r="AU5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1"/>
      <c r="AW582" s="441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1">
        <f>IF(ISERROR(PV_DATA[[#This Row],[New Ark PO status]]),"",_xlfn.XLOOKUP(PV_DATA[[#This Row],[SPTN-PVHK New Ark PO'#]],New_Ark_Data[Purchase order Number],New_Ark_Data[Estimated time of arrival],"",0))</f>
        <v>46238</v>
      </c>
      <c r="AZ58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1">
        <f>IFERROR(PV_DATA[[#This Row],[ODP ETA Port]]+PV_DATA[[#This Row],[Customs/Leg3 Assumption]],"n/a")</f>
        <v>46231</v>
      </c>
      <c r="BB582" s="442">
        <f>YEAR(PV_DATA[[#This Row],[ETA for New Ark update]])</f>
        <v>2026</v>
      </c>
      <c r="BC582" s="431">
        <f>MONTH(PV_DATA[[#This Row],[ETA for New Ark update]])</f>
        <v>7</v>
      </c>
      <c r="BD582" s="431">
        <f>IFERROR(_xlfn.ISOWEEKNUM(PV_DATA[[#This Row],[ETA for New Ark update]]),0)</f>
        <v>31</v>
      </c>
      <c r="BE582" s="431">
        <f>_xlfn.XLOOKUP(PV_DATA[[#This Row],[New Ark SKU]],Table9[New Ark SKU],Table9[Total PCS per Pallet],,0)</f>
        <v>36</v>
      </c>
      <c r="BF582" s="431">
        <f>_xlfn.XLOOKUP(PV_DATA[[#This Row],[New Ark SKU]],Table9[New Ark SKU],Table9[Total PCS per 40HQ Container],,0)</f>
        <v>864</v>
      </c>
      <c r="BG582" s="431" t="str">
        <f>_xlfn.XLOOKUP(PV_DATA[[#This Row],[New Ark SKU]],Table9[New Ark SKU],Table9[Back Glass],,0)</f>
        <v>White glazing</v>
      </c>
      <c r="BH582" s="431" t="str">
        <f>_xlfn.XLOOKUP(PV_DATA[[#This Row],[PORT DESTINATION]],Table12[PORT DESTINATION],Table12[Cosco Line],,0)</f>
        <v>AEU</v>
      </c>
    </row>
    <row r="583" spans="1:60" s="431" customFormat="1" ht="10.5">
      <c r="A583" s="439" t="s">
        <v>4791</v>
      </c>
      <c r="B583" s="439" t="s">
        <v>111</v>
      </c>
      <c r="C583" s="439" t="str">
        <f>IFERROR(LEFT(PV_DATA[[#This Row],[TCL REFERENCE]],FIND(".",PV_DATA[[#This Row],[TCL REFERENCE]],1)-1),"Main Line")</f>
        <v>26May011</v>
      </c>
      <c r="D583" s="439" t="s">
        <v>63</v>
      </c>
      <c r="E583" s="439" t="s">
        <v>144</v>
      </c>
      <c r="F583" s="439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39" t="s">
        <v>402</v>
      </c>
      <c r="H583" s="719" t="s">
        <v>1449</v>
      </c>
      <c r="I583" s="439" t="s">
        <v>689</v>
      </c>
      <c r="J583" s="431" t="s">
        <v>4591</v>
      </c>
      <c r="K583" s="431" t="s">
        <v>1451</v>
      </c>
      <c r="L583" s="450">
        <v>16</v>
      </c>
      <c r="M583" s="431" t="s">
        <v>840</v>
      </c>
      <c r="N583" s="461">
        <v>46160</v>
      </c>
      <c r="O583" s="431" t="s">
        <v>4531</v>
      </c>
      <c r="P583" s="431" t="s">
        <v>4592</v>
      </c>
      <c r="Q583" s="431" t="s">
        <v>330</v>
      </c>
      <c r="R583" s="431" t="str">
        <f>_xlfn.XLOOKUP(PV_DATA[[#This Row],[New Ark SKU]],Table9[New Ark SKU],Table9[Connector],,0)</f>
        <v>H4(Com)</v>
      </c>
      <c r="S583" s="442" t="str">
        <f>_xlfn.XLOOKUP(PV_DATA[[#This Row],[New Ark SKU]],Table9[New Ark SKU],Table9[Cable],,0)</f>
        <v>+400mm/-200mm</v>
      </c>
      <c r="T583" s="442">
        <v>625</v>
      </c>
      <c r="U583" s="1093">
        <f>720*9</f>
        <v>6480</v>
      </c>
      <c r="V583" s="444">
        <f>PV_DATA[[#This Row],[QUANTITY]]*PV_DATA[[#This Row],[WATT]]/1000000</f>
        <v>4.05</v>
      </c>
      <c r="W583" s="466">
        <f>PV_DATA[[#This Row],[QUANTITY]]/PV_DATA[[#This Row],[Qty/Pallet]]</f>
        <v>180</v>
      </c>
      <c r="X583" s="1044">
        <f>PV_DATA[[#This Row],[QUANTITY]]/PV_DATA[[#This Row],[Qty/CT]]</f>
        <v>9</v>
      </c>
      <c r="Y583" s="431" t="s">
        <v>2454</v>
      </c>
      <c r="Z583" s="430" t="str">
        <f t="shared" si="6"/>
        <v>COMPLETED</v>
      </c>
      <c r="AB583" s="441">
        <v>46176</v>
      </c>
      <c r="AC583" s="467">
        <f>IF(PV_DATA[[#This Row],[Pick- Up Date]]&lt;&gt;"",_xlfn.ISOWEEKNUM(PV_DATA[[#This Row],[Pick- Up Date]]),"")</f>
        <v>23</v>
      </c>
      <c r="AD583" s="431" t="s">
        <v>4792</v>
      </c>
      <c r="AF583" s="431" t="s">
        <v>122</v>
      </c>
      <c r="AG583" s="431" t="s">
        <v>123</v>
      </c>
      <c r="AH583" s="431" t="s">
        <v>105</v>
      </c>
      <c r="AI583" s="441">
        <v>46184</v>
      </c>
      <c r="AJ583" s="441"/>
      <c r="AK583" s="441">
        <v>46186</v>
      </c>
      <c r="AL583" s="441">
        <v>46217</v>
      </c>
      <c r="AM583" s="441">
        <v>46223</v>
      </c>
      <c r="AN583" s="441">
        <v>46223</v>
      </c>
      <c r="AO583" s="431" t="s">
        <v>402</v>
      </c>
      <c r="AP583" s="431" t="s">
        <v>4752</v>
      </c>
      <c r="AQ583" s="431" t="s">
        <v>80</v>
      </c>
      <c r="AR583" s="431" t="s">
        <v>4793</v>
      </c>
      <c r="AS583" s="431" t="s">
        <v>4794</v>
      </c>
      <c r="AT583" s="482" t="s">
        <v>4794</v>
      </c>
      <c r="AU5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1"/>
      <c r="AW583" s="441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1">
        <f>IF(ISERROR(PV_DATA[[#This Row],[New Ark PO status]]),"",_xlfn.XLOOKUP(PV_DATA[[#This Row],[SPTN-PVHK New Ark PO'#]],New_Ark_Data[Purchase order Number],New_Ark_Data[Estimated time of arrival],"",0))</f>
        <v>46217</v>
      </c>
      <c r="AZ58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1">
        <f>IFERROR(PV_DATA[[#This Row],[ODP ETA Port]]+PV_DATA[[#This Row],[Customs/Leg3 Assumption]],"n/a")</f>
        <v>46223</v>
      </c>
      <c r="BB583" s="442">
        <f>YEAR(PV_DATA[[#This Row],[ETA for New Ark update]])</f>
        <v>2026</v>
      </c>
      <c r="BC583" s="431">
        <f>MONTH(PV_DATA[[#This Row],[ETA for New Ark update]])</f>
        <v>7</v>
      </c>
      <c r="BD583" s="431">
        <f>IFERROR(_xlfn.ISOWEEKNUM(PV_DATA[[#This Row],[ETA for New Ark update]]),0)</f>
        <v>30</v>
      </c>
      <c r="BE583" s="431">
        <f>_xlfn.XLOOKUP(PV_DATA[[#This Row],[New Ark SKU]],Table9[New Ark SKU],Table9[Total PCS per Pallet],,0)</f>
        <v>36</v>
      </c>
      <c r="BF583" s="431">
        <f>_xlfn.XLOOKUP(PV_DATA[[#This Row],[New Ark SKU]],Table9[New Ark SKU],Table9[Total PCS per 40HQ Container],,0)</f>
        <v>720</v>
      </c>
      <c r="BG583" s="431" t="str">
        <f>_xlfn.XLOOKUP(PV_DATA[[#This Row],[New Ark SKU]],Table9[New Ark SKU],Table9[Back Glass],,0)</f>
        <v>Transparent</v>
      </c>
      <c r="BH583" s="431" t="str">
        <f>_xlfn.XLOOKUP(PV_DATA[[#This Row],[PORT DESTINATION]],Table12[PORT DESTINATION],Table12[Cosco Line],,0)</f>
        <v>AEU</v>
      </c>
    </row>
    <row r="584" spans="1:60" s="431" customFormat="1" ht="10.5">
      <c r="A584" s="439" t="s">
        <v>4795</v>
      </c>
      <c r="B584" s="439" t="s">
        <v>111</v>
      </c>
      <c r="C584" s="439" t="str">
        <f>IFERROR(LEFT(PV_DATA[[#This Row],[TCL REFERENCE]],FIND(".",PV_DATA[[#This Row],[TCL REFERENCE]],1)-1),"Main Line")</f>
        <v>26May011</v>
      </c>
      <c r="D584" s="439" t="s">
        <v>63</v>
      </c>
      <c r="E584" s="439" t="s">
        <v>144</v>
      </c>
      <c r="F584" s="439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39" t="s">
        <v>402</v>
      </c>
      <c r="H584" s="719" t="s">
        <v>1449</v>
      </c>
      <c r="I584" s="439" t="s">
        <v>689</v>
      </c>
      <c r="J584" s="431" t="s">
        <v>4591</v>
      </c>
      <c r="K584" s="431" t="s">
        <v>1451</v>
      </c>
      <c r="L584" s="450">
        <v>18</v>
      </c>
      <c r="M584" s="431" t="s">
        <v>840</v>
      </c>
      <c r="N584" s="461">
        <v>46160</v>
      </c>
      <c r="O584" s="431" t="s">
        <v>4531</v>
      </c>
      <c r="P584" s="431" t="s">
        <v>4592</v>
      </c>
      <c r="Q584" s="431" t="s">
        <v>330</v>
      </c>
      <c r="R584" s="431" t="str">
        <f>_xlfn.XLOOKUP(PV_DATA[[#This Row],[New Ark SKU]],Table9[New Ark SKU],Table9[Connector],,0)</f>
        <v>H4(Com)</v>
      </c>
      <c r="S584" s="442" t="str">
        <f>_xlfn.XLOOKUP(PV_DATA[[#This Row],[New Ark SKU]],Table9[New Ark SKU],Table9[Cable],,0)</f>
        <v>+400mm/-200mm</v>
      </c>
      <c r="T584" s="442">
        <v>625</v>
      </c>
      <c r="U584" s="1093">
        <f>720*1</f>
        <v>720</v>
      </c>
      <c r="V584" s="444">
        <f>PV_DATA[[#This Row],[QUANTITY]]*PV_DATA[[#This Row],[WATT]]/1000000</f>
        <v>0.45</v>
      </c>
      <c r="W584" s="466">
        <f>PV_DATA[[#This Row],[QUANTITY]]/PV_DATA[[#This Row],[Qty/Pallet]]</f>
        <v>20</v>
      </c>
      <c r="X584" s="1044">
        <f>PV_DATA[[#This Row],[QUANTITY]]/PV_DATA[[#This Row],[Qty/CT]]</f>
        <v>1</v>
      </c>
      <c r="Y584" s="431" t="s">
        <v>2454</v>
      </c>
      <c r="Z584" s="430" t="str">
        <f t="shared" si="6"/>
        <v>COMPLETED</v>
      </c>
      <c r="AB584" s="441">
        <v>46176</v>
      </c>
      <c r="AC584" s="467">
        <f>IF(PV_DATA[[#This Row],[Pick- Up Date]]&lt;&gt;"",_xlfn.ISOWEEKNUM(PV_DATA[[#This Row],[Pick- Up Date]]),"")</f>
        <v>23</v>
      </c>
      <c r="AD584" s="431" t="s">
        <v>4796</v>
      </c>
      <c r="AF584" s="431" t="s">
        <v>122</v>
      </c>
      <c r="AG584" s="431" t="s">
        <v>123</v>
      </c>
      <c r="AH584" s="431" t="s">
        <v>105</v>
      </c>
      <c r="AI584" s="441">
        <v>46184</v>
      </c>
      <c r="AJ584" s="441"/>
      <c r="AK584" s="441">
        <v>46185</v>
      </c>
      <c r="AL584" s="441">
        <v>46217</v>
      </c>
      <c r="AM584" s="441">
        <v>46226</v>
      </c>
      <c r="AN584" s="441">
        <v>46226</v>
      </c>
      <c r="AO584" s="431" t="s">
        <v>402</v>
      </c>
      <c r="AP584" s="431" t="s">
        <v>4752</v>
      </c>
      <c r="AQ584" s="431" t="s">
        <v>161</v>
      </c>
      <c r="AR584" s="431" t="s">
        <v>4797</v>
      </c>
      <c r="AT584" s="482" t="s">
        <v>4798</v>
      </c>
      <c r="AU5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1"/>
      <c r="AW584" s="441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1">
        <f>IF(ISERROR(PV_DATA[[#This Row],[New Ark PO status]]),"",_xlfn.XLOOKUP(PV_DATA[[#This Row],[SPTN-PVHK New Ark PO'#]],New_Ark_Data[Purchase order Number],New_Ark_Data[Estimated time of arrival],"",0))</f>
        <v>46217</v>
      </c>
      <c r="AZ58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1">
        <f>IFERROR(PV_DATA[[#This Row],[ODP ETA Port]]+PV_DATA[[#This Row],[Customs/Leg3 Assumption]],"n/a")</f>
        <v>46226</v>
      </c>
      <c r="BB584" s="442">
        <f>YEAR(PV_DATA[[#This Row],[ETA for New Ark update]])</f>
        <v>2026</v>
      </c>
      <c r="BC584" s="431">
        <f>MONTH(PV_DATA[[#This Row],[ETA for New Ark update]])</f>
        <v>7</v>
      </c>
      <c r="BD584" s="431">
        <f>IFERROR(_xlfn.ISOWEEKNUM(PV_DATA[[#This Row],[ETA for New Ark update]]),0)</f>
        <v>30</v>
      </c>
      <c r="BE584" s="431">
        <f>_xlfn.XLOOKUP(PV_DATA[[#This Row],[New Ark SKU]],Table9[New Ark SKU],Table9[Total PCS per Pallet],,0)</f>
        <v>36</v>
      </c>
      <c r="BF584" s="431">
        <f>_xlfn.XLOOKUP(PV_DATA[[#This Row],[New Ark SKU]],Table9[New Ark SKU],Table9[Total PCS per 40HQ Container],,0)</f>
        <v>720</v>
      </c>
      <c r="BG584" s="431" t="str">
        <f>_xlfn.XLOOKUP(PV_DATA[[#This Row],[New Ark SKU]],Table9[New Ark SKU],Table9[Back Glass],,0)</f>
        <v>Transparent</v>
      </c>
      <c r="BH584" s="431" t="str">
        <f>_xlfn.XLOOKUP(PV_DATA[[#This Row],[PORT DESTINATION]],Table12[PORT DESTINATION],Table12[Cosco Line],,0)</f>
        <v>AEU</v>
      </c>
    </row>
    <row r="585" spans="1:60" s="431" customFormat="1" ht="10.5">
      <c r="A585" s="439" t="s">
        <v>4799</v>
      </c>
      <c r="B585" s="439" t="s">
        <v>111</v>
      </c>
      <c r="C585" s="439" t="str">
        <f>IFERROR(LEFT(PV_DATA[[#This Row],[TCL REFERENCE]],FIND(".",PV_DATA[[#This Row],[TCL REFERENCE]],1)-1),"Main Line")</f>
        <v>26May012</v>
      </c>
      <c r="D585" s="439" t="s">
        <v>63</v>
      </c>
      <c r="E585" s="439" t="s">
        <v>144</v>
      </c>
      <c r="F585" s="439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39" t="s">
        <v>402</v>
      </c>
      <c r="H585" s="719" t="s">
        <v>1449</v>
      </c>
      <c r="I585" s="439" t="s">
        <v>689</v>
      </c>
      <c r="J585" s="431" t="s">
        <v>4591</v>
      </c>
      <c r="K585" s="431" t="s">
        <v>1451</v>
      </c>
      <c r="L585" s="450">
        <v>17</v>
      </c>
      <c r="M585" s="431" t="s">
        <v>840</v>
      </c>
      <c r="N585" s="461">
        <v>46160</v>
      </c>
      <c r="O585" s="431" t="s">
        <v>4531</v>
      </c>
      <c r="P585" s="431" t="s">
        <v>4597</v>
      </c>
      <c r="Q585" s="431" t="s">
        <v>4598</v>
      </c>
      <c r="R585" s="431" t="str">
        <f>_xlfn.XLOOKUP(PV_DATA[[#This Row],[New Ark SKU]],Table9[New Ark SKU],Table9[Connector],,0)</f>
        <v>H4(Com)</v>
      </c>
      <c r="S585" s="442" t="str">
        <f>_xlfn.XLOOKUP(PV_DATA[[#This Row],[New Ark SKU]],Table9[New Ark SKU],Table9[Cable],,0)</f>
        <v>+400mm/-200mm</v>
      </c>
      <c r="T585" s="442">
        <v>630</v>
      </c>
      <c r="U585" s="1093">
        <f>720*4</f>
        <v>2880</v>
      </c>
      <c r="V585" s="444">
        <f>PV_DATA[[#This Row],[QUANTITY]]*PV_DATA[[#This Row],[WATT]]/1000000</f>
        <v>1.8144</v>
      </c>
      <c r="W585" s="466">
        <f>PV_DATA[[#This Row],[QUANTITY]]/PV_DATA[[#This Row],[Qty/Pallet]]</f>
        <v>80</v>
      </c>
      <c r="X585" s="1044">
        <f>PV_DATA[[#This Row],[QUANTITY]]/PV_DATA[[#This Row],[Qty/CT]]</f>
        <v>4</v>
      </c>
      <c r="Y585" s="431" t="s">
        <v>2454</v>
      </c>
      <c r="Z585" s="430" t="str">
        <f t="shared" si="6"/>
        <v>COMPLETED</v>
      </c>
      <c r="AB585" s="441">
        <v>46177</v>
      </c>
      <c r="AC585" s="467">
        <f>IF(PV_DATA[[#This Row],[Pick- Up Date]]&lt;&gt;"",_xlfn.ISOWEEKNUM(PV_DATA[[#This Row],[Pick- Up Date]]),"")</f>
        <v>23</v>
      </c>
      <c r="AD585" s="431" t="s">
        <v>4800</v>
      </c>
      <c r="AF585" s="431" t="s">
        <v>122</v>
      </c>
      <c r="AG585" s="431" t="s">
        <v>123</v>
      </c>
      <c r="AH585" s="431" t="s">
        <v>105</v>
      </c>
      <c r="AI585" s="441">
        <v>46183</v>
      </c>
      <c r="AJ585" s="441">
        <v>46184</v>
      </c>
      <c r="AK585" s="441">
        <v>46186</v>
      </c>
      <c r="AL585" s="441">
        <v>46233</v>
      </c>
      <c r="AM585" s="441">
        <v>46235</v>
      </c>
      <c r="AN585" s="441">
        <v>46240</v>
      </c>
      <c r="AO585" s="431" t="s">
        <v>402</v>
      </c>
      <c r="AP585" s="431" t="s">
        <v>4801</v>
      </c>
      <c r="AQ585" s="431" t="s">
        <v>161</v>
      </c>
      <c r="AR585" s="431" t="s">
        <v>4802</v>
      </c>
      <c r="AT585" s="482" t="s">
        <v>4803</v>
      </c>
      <c r="AU5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1"/>
      <c r="AW585" s="441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1">
        <f>IF(ISERROR(PV_DATA[[#This Row],[New Ark PO status]]),"",_xlfn.XLOOKUP(PV_DATA[[#This Row],[SPTN-PVHK New Ark PO'#]],New_Ark_Data[Purchase order Number],New_Ark_Data[Estimated time of arrival],"",0))</f>
        <v>46233</v>
      </c>
      <c r="AZ58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1">
        <f>IFERROR(PV_DATA[[#This Row],[ODP ETA Port]]+PV_DATA[[#This Row],[Customs/Leg3 Assumption]],"n/a")</f>
        <v>46240</v>
      </c>
      <c r="BB585" s="442">
        <f>YEAR(PV_DATA[[#This Row],[ETA for New Ark update]])</f>
        <v>2026</v>
      </c>
      <c r="BC585" s="431">
        <f>MONTH(PV_DATA[[#This Row],[ETA for New Ark update]])</f>
        <v>8</v>
      </c>
      <c r="BD585" s="431">
        <f>IFERROR(_xlfn.ISOWEEKNUM(PV_DATA[[#This Row],[ETA for New Ark update]]),0)</f>
        <v>32</v>
      </c>
      <c r="BE585" s="431">
        <f>_xlfn.XLOOKUP(PV_DATA[[#This Row],[New Ark SKU]],Table9[New Ark SKU],Table9[Total PCS per Pallet],,0)</f>
        <v>36</v>
      </c>
      <c r="BF585" s="431">
        <f>_xlfn.XLOOKUP(PV_DATA[[#This Row],[New Ark SKU]],Table9[New Ark SKU],Table9[Total PCS per 40HQ Container],,0)</f>
        <v>720</v>
      </c>
      <c r="BG585" s="431" t="str">
        <f>_xlfn.XLOOKUP(PV_DATA[[#This Row],[New Ark SKU]],Table9[New Ark SKU],Table9[Back Glass],,0)</f>
        <v>Transparent</v>
      </c>
      <c r="BH585" s="431" t="str">
        <f>_xlfn.XLOOKUP(PV_DATA[[#This Row],[PORT DESTINATION]],Table12[PORT DESTINATION],Table12[Cosco Line],,0)</f>
        <v>AEU</v>
      </c>
    </row>
    <row r="586" spans="1:60" s="431" customFormat="1" ht="10.5">
      <c r="A586" s="439" t="s">
        <v>4804</v>
      </c>
      <c r="B586" s="439" t="s">
        <v>2132</v>
      </c>
      <c r="C586" s="439" t="str">
        <f>IFERROR(LEFT(PV_DATA[[#This Row],[TCL REFERENCE]],FIND(".",PV_DATA[[#This Row],[TCL REFERENCE]],1)-1),"Main Line")</f>
        <v>26May004</v>
      </c>
      <c r="D586" s="439" t="s">
        <v>63</v>
      </c>
      <c r="E586" s="439" t="s">
        <v>64</v>
      </c>
      <c r="F586" s="439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39" t="s">
        <v>402</v>
      </c>
      <c r="H586" s="439" t="s">
        <v>67</v>
      </c>
      <c r="I586" s="439" t="s">
        <v>689</v>
      </c>
      <c r="J586" s="431" t="s">
        <v>96</v>
      </c>
      <c r="M586" s="431" t="s">
        <v>68</v>
      </c>
      <c r="N586" s="461">
        <v>46160</v>
      </c>
      <c r="O586" s="431" t="s">
        <v>170</v>
      </c>
      <c r="P586" s="431" t="s">
        <v>1977</v>
      </c>
      <c r="Q586" s="431" t="s">
        <v>1978</v>
      </c>
      <c r="R586" s="431" t="str">
        <f>_xlfn.XLOOKUP(PV_DATA[[#This Row],[New Ark SKU]],Table9[New Ark SKU],Table9[Connector],,0)</f>
        <v>EVO2A</v>
      </c>
      <c r="S586" s="442" t="str">
        <f>_xlfn.XLOOKUP(PV_DATA[[#This Row],[New Ark SKU]],Table9[New Ark SKU],Table9[Cable],,0)</f>
        <v>±1400mm</v>
      </c>
      <c r="T586" s="442">
        <v>560</v>
      </c>
      <c r="U586" s="1093">
        <f>660*2</f>
        <v>1320</v>
      </c>
      <c r="V586" s="448">
        <f>PV_DATA[[#This Row],[QUANTITY]]*PV_DATA[[#This Row],[WATT]]/1000000</f>
        <v>0.73919999999999997</v>
      </c>
      <c r="W586" s="466">
        <f>PV_DATA[[#This Row],[QUANTITY]]/PV_DATA[[#This Row],[Qty/Pallet]]</f>
        <v>40</v>
      </c>
      <c r="X586" s="1044">
        <f>PV_DATA[[#This Row],[QUANTITY]]/PV_DATA[[#This Row],[Qty/CT]]</f>
        <v>2</v>
      </c>
      <c r="Y586" s="439" t="s">
        <v>951</v>
      </c>
      <c r="Z586" s="430" t="str">
        <f t="shared" si="6"/>
        <v>COMPLETED</v>
      </c>
      <c r="AA586" s="431" t="s">
        <v>4805</v>
      </c>
      <c r="AB586" s="441">
        <v>46178</v>
      </c>
      <c r="AC586" s="467">
        <f>IF(PV_DATA[[#This Row],[Pick- Up Date]]&lt;&gt;"",_xlfn.ISOWEEKNUM(PV_DATA[[#This Row],[Pick- Up Date]]),"")</f>
        <v>23</v>
      </c>
      <c r="AD586" s="431" t="s">
        <v>4806</v>
      </c>
      <c r="AF586" s="431" t="s">
        <v>122</v>
      </c>
      <c r="AG586" s="431" t="s">
        <v>123</v>
      </c>
      <c r="AH586" s="431" t="s">
        <v>78</v>
      </c>
      <c r="AI586" s="441">
        <v>46185</v>
      </c>
      <c r="AJ586" s="441"/>
      <c r="AK586" s="441">
        <v>46189</v>
      </c>
      <c r="AL586" s="732">
        <v>46237</v>
      </c>
      <c r="AM586" s="441">
        <f>IFERROR(IF(VLOOKUP(AT588, Vessel!A:H, 8, FALSE)=0, "", VLOOKUP(AT588, Vessel!A:H, 8, FALSE)), "")</f>
        <v>46239.5</v>
      </c>
      <c r="AN586" s="586">
        <v>46245.821898148148</v>
      </c>
      <c r="AO586" s="431" t="s">
        <v>402</v>
      </c>
      <c r="AP586" s="431" t="s">
        <v>4807</v>
      </c>
      <c r="AQ586" s="431" t="s">
        <v>80</v>
      </c>
      <c r="AR586" s="431" t="s">
        <v>4808</v>
      </c>
      <c r="AS586" s="431" t="s">
        <v>4809</v>
      </c>
      <c r="AT586" s="431" t="s">
        <v>4809</v>
      </c>
      <c r="AU5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56.821898148147739</v>
      </c>
      <c r="AV586" s="441"/>
      <c r="AW586" s="441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46245.821898148148</v>
      </c>
      <c r="AX5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1">
        <f>IF(ISERROR(PV_DATA[[#This Row],[New Ark PO status]]),"",_xlfn.XLOOKUP(PV_DATA[[#This Row],[SPTN-PVHK New Ark PO'#]],New_Ark_Data[Purchase order Number],New_Ark_Data[Estimated time of arrival],"",0))</f>
        <v>46259</v>
      </c>
      <c r="AZ58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1">
        <f>IFERROR(PV_DATA[[#This Row],[ODP ETA Port]]+PV_DATA[[#This Row],[Customs/Leg3 Assumption]],"n/a")</f>
        <v>46253.821898148148</v>
      </c>
      <c r="BB586" s="442">
        <f>YEAR(PV_DATA[[#This Row],[ETA for New Ark update]])</f>
        <v>2026</v>
      </c>
      <c r="BC586" s="431">
        <f>MONTH(PV_DATA[[#This Row],[ETA for New Ark update]])</f>
        <v>8</v>
      </c>
      <c r="BD586" s="431">
        <f>IFERROR(_xlfn.ISOWEEKNUM(PV_DATA[[#This Row],[ETA for New Ark update]]),0)</f>
        <v>34</v>
      </c>
      <c r="BE586" s="431">
        <f>_xlfn.XLOOKUP(PV_DATA[[#This Row],[New Ark SKU]],Table9[New Ark SKU],Table9[Total PCS per Pallet],,0)</f>
        <v>33</v>
      </c>
      <c r="BF586" s="431">
        <f>_xlfn.XLOOKUP(PV_DATA[[#This Row],[New Ark SKU]],Table9[New Ark SKU],Table9[Total PCS per 40HQ Container],,0)</f>
        <v>660</v>
      </c>
      <c r="BG586" s="431" t="str">
        <f>_xlfn.XLOOKUP(PV_DATA[[#This Row],[New Ark SKU]],Table9[New Ark SKU],Table9[Back Glass],,0)</f>
        <v>White glazing</v>
      </c>
      <c r="BH586" s="431" t="str">
        <f>_xlfn.XLOOKUP(PV_DATA[[#This Row],[PORT DESTINATION]],Table12[PORT DESTINATION],Table12[Cosco Line],,0)</f>
        <v>AEM</v>
      </c>
    </row>
    <row r="587" spans="1:60" s="431" customFormat="1" ht="10.5">
      <c r="A587" s="439" t="s">
        <v>4810</v>
      </c>
      <c r="B587" s="439" t="s">
        <v>111</v>
      </c>
      <c r="C587" s="439" t="str">
        <f>IFERROR(LEFT(PV_DATA[[#This Row],[TCL REFERENCE]],FIND(".",PV_DATA[[#This Row],[TCL REFERENCE]],1)-1),"Main Line")</f>
        <v>26May012</v>
      </c>
      <c r="D587" s="439" t="s">
        <v>63</v>
      </c>
      <c r="E587" s="439" t="s">
        <v>64</v>
      </c>
      <c r="F587" s="439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39" t="s">
        <v>402</v>
      </c>
      <c r="H587" s="719" t="s">
        <v>67</v>
      </c>
      <c r="I587" s="439" t="s">
        <v>689</v>
      </c>
      <c r="J587" s="431" t="s">
        <v>96</v>
      </c>
      <c r="M587" s="431" t="s">
        <v>68</v>
      </c>
      <c r="N587" s="461">
        <v>46167</v>
      </c>
      <c r="O587" s="431" t="s">
        <v>4531</v>
      </c>
      <c r="P587" s="431" t="s">
        <v>4597</v>
      </c>
      <c r="Q587" s="431" t="s">
        <v>4598</v>
      </c>
      <c r="R587" s="431" t="str">
        <f>_xlfn.XLOOKUP(PV_DATA[[#This Row],[New Ark SKU]],Table9[New Ark SKU],Table9[Connector],,0)</f>
        <v>H4(Com)</v>
      </c>
      <c r="S587" s="442" t="str">
        <f>_xlfn.XLOOKUP(PV_DATA[[#This Row],[New Ark SKU]],Table9[New Ark SKU],Table9[Cable],,0)</f>
        <v>+400mm/-200mm</v>
      </c>
      <c r="T587" s="442">
        <v>630</v>
      </c>
      <c r="U587" s="1093">
        <f>720*3</f>
        <v>2160</v>
      </c>
      <c r="V587" s="448">
        <f>PV_DATA[[#This Row],[QUANTITY]]*PV_DATA[[#This Row],[WATT]]/1000000</f>
        <v>1.3608</v>
      </c>
      <c r="W587" s="466">
        <f>PV_DATA[[#This Row],[QUANTITY]]/PV_DATA[[#This Row],[Qty/Pallet]]</f>
        <v>60</v>
      </c>
      <c r="X587" s="1044">
        <f>PV_DATA[[#This Row],[QUANTITY]]/PV_DATA[[#This Row],[Qty/CT]]</f>
        <v>3</v>
      </c>
      <c r="Y587" s="431" t="s">
        <v>2454</v>
      </c>
      <c r="Z587" s="430" t="str">
        <f t="shared" si="6"/>
        <v>COMPLETED</v>
      </c>
      <c r="AB587" s="441">
        <v>46175</v>
      </c>
      <c r="AC587" s="467">
        <f>IF(PV_DATA[[#This Row],[Pick- Up Date]]&lt;&gt;"",_xlfn.ISOWEEKNUM(PV_DATA[[#This Row],[Pick- Up Date]]),"")</f>
        <v>23</v>
      </c>
      <c r="AD587" s="431" t="s">
        <v>4811</v>
      </c>
      <c r="AF587" s="431" t="s">
        <v>122</v>
      </c>
      <c r="AG587" s="431" t="s">
        <v>123</v>
      </c>
      <c r="AH587" s="431" t="s">
        <v>78</v>
      </c>
      <c r="AI587" s="441">
        <v>46182</v>
      </c>
      <c r="AJ587" s="441">
        <v>46192</v>
      </c>
      <c r="AK587" s="441">
        <v>46192</v>
      </c>
      <c r="AL587" s="441">
        <v>46224</v>
      </c>
      <c r="AM587" s="441">
        <v>46234</v>
      </c>
      <c r="AN587" s="586">
        <v>46235.175381944442</v>
      </c>
      <c r="AO587" s="431" t="s">
        <v>402</v>
      </c>
      <c r="AP587" s="431" t="s">
        <v>4812</v>
      </c>
      <c r="AQ587" s="431" t="s">
        <v>80</v>
      </c>
      <c r="AR587" s="431" t="s">
        <v>4813</v>
      </c>
      <c r="AS587" s="431" t="s">
        <v>4814</v>
      </c>
      <c r="AT587" s="431" t="s">
        <v>4814</v>
      </c>
      <c r="AU5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587" s="441"/>
      <c r="AW587" s="441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1">
        <f>IF(ISERROR(PV_DATA[[#This Row],[New Ark PO status]]),"",_xlfn.XLOOKUP(PV_DATA[[#This Row],[SPTN-PVHK New Ark PO'#]],New_Ark_Data[Purchase order Number],New_Ark_Data[Estimated time of arrival],"",0))</f>
        <v>46246</v>
      </c>
      <c r="AZ58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1">
        <f>IFERROR(PV_DATA[[#This Row],[ODP ETA Port]]+PV_DATA[[#This Row],[Customs/Leg3 Assumption]],"n/a")</f>
        <v>46243.175381944442</v>
      </c>
      <c r="BB587" s="442">
        <f>YEAR(PV_DATA[[#This Row],[ETA for New Ark update]])</f>
        <v>2026</v>
      </c>
      <c r="BC587" s="431">
        <f>MONTH(PV_DATA[[#This Row],[ETA for New Ark update]])</f>
        <v>8</v>
      </c>
      <c r="BD587" s="431">
        <f>IFERROR(_xlfn.ISOWEEKNUM(PV_DATA[[#This Row],[ETA for New Ark update]]),0)</f>
        <v>32</v>
      </c>
      <c r="BE587" s="431">
        <f>_xlfn.XLOOKUP(PV_DATA[[#This Row],[New Ark SKU]],Table9[New Ark SKU],Table9[Total PCS per Pallet],,0)</f>
        <v>36</v>
      </c>
      <c r="BF587" s="431">
        <f>_xlfn.XLOOKUP(PV_DATA[[#This Row],[New Ark SKU]],Table9[New Ark SKU],Table9[Total PCS per 40HQ Container],,0)</f>
        <v>720</v>
      </c>
      <c r="BG587" s="431" t="str">
        <f>_xlfn.XLOOKUP(PV_DATA[[#This Row],[New Ark SKU]],Table9[New Ark SKU],Table9[Back Glass],,0)</f>
        <v>Transparent</v>
      </c>
      <c r="BH587" s="431" t="str">
        <f>_xlfn.XLOOKUP(PV_DATA[[#This Row],[PORT DESTINATION]],Table12[PORT DESTINATION],Table12[Cosco Line],,0)</f>
        <v>AEM</v>
      </c>
    </row>
    <row r="588" spans="1:60" s="431" customFormat="1" ht="10.5">
      <c r="A588" s="439" t="s">
        <v>4815</v>
      </c>
      <c r="B588" s="439" t="s">
        <v>2132</v>
      </c>
      <c r="C588" s="439" t="str">
        <f>IFERROR(LEFT(PV_DATA[[#This Row],[TCL REFERENCE]],FIND(".",PV_DATA[[#This Row],[TCL REFERENCE]],1)-1),"Main Line")</f>
        <v>26May003</v>
      </c>
      <c r="D588" s="439" t="s">
        <v>63</v>
      </c>
      <c r="E588" s="439" t="s">
        <v>64</v>
      </c>
      <c r="F588" s="439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39" t="s">
        <v>402</v>
      </c>
      <c r="H588" s="439" t="s">
        <v>311</v>
      </c>
      <c r="I588" s="439" t="s">
        <v>689</v>
      </c>
      <c r="J588" s="431" t="s">
        <v>96</v>
      </c>
      <c r="M588" s="431" t="s">
        <v>68</v>
      </c>
      <c r="N588" s="461">
        <v>46160</v>
      </c>
      <c r="O588" s="431" t="s">
        <v>170</v>
      </c>
      <c r="P588" s="431" t="s">
        <v>171</v>
      </c>
      <c r="Q588" s="431" t="s">
        <v>1731</v>
      </c>
      <c r="R588" s="431" t="str">
        <f>_xlfn.XLOOKUP(PV_DATA[[#This Row],[New Ark SKU]],Table9[New Ark SKU],Table9[Connector],,0)</f>
        <v>EVO2A</v>
      </c>
      <c r="S588" s="442" t="str">
        <f>_xlfn.XLOOKUP(PV_DATA[[#This Row],[New Ark SKU]],Table9[New Ark SKU],Table9[Cable],,0)</f>
        <v>±1400mm</v>
      </c>
      <c r="T588" s="442">
        <v>555</v>
      </c>
      <c r="U588" s="1093">
        <v>1980</v>
      </c>
      <c r="V588" s="448">
        <f>PV_DATA[[#This Row],[QUANTITY]]*PV_DATA[[#This Row],[WATT]]/1000000</f>
        <v>1.0989</v>
      </c>
      <c r="W588" s="466">
        <f>PV_DATA[[#This Row],[QUANTITY]]/PV_DATA[[#This Row],[Qty/Pallet]]</f>
        <v>60</v>
      </c>
      <c r="X588" s="1044">
        <f>PV_DATA[[#This Row],[QUANTITY]]/PV_DATA[[#This Row],[Qty/CT]]</f>
        <v>3</v>
      </c>
      <c r="Y588" s="439" t="s">
        <v>951</v>
      </c>
      <c r="Z588" s="430" t="str">
        <f t="shared" si="6"/>
        <v>COMPLETED</v>
      </c>
      <c r="AA588" s="431" t="s">
        <v>4729</v>
      </c>
      <c r="AB588" s="441">
        <v>46179</v>
      </c>
      <c r="AC588" s="467">
        <f>IF(PV_DATA[[#This Row],[Pick- Up Date]]&lt;&gt;"",_xlfn.ISOWEEKNUM(PV_DATA[[#This Row],[Pick- Up Date]]),"")</f>
        <v>23</v>
      </c>
      <c r="AD588" s="431" t="s">
        <v>4816</v>
      </c>
      <c r="AF588" s="431" t="s">
        <v>122</v>
      </c>
      <c r="AG588" s="431" t="s">
        <v>123</v>
      </c>
      <c r="AH588" s="431" t="s">
        <v>314</v>
      </c>
      <c r="AI588" s="441">
        <v>46185</v>
      </c>
      <c r="AJ588" s="441"/>
      <c r="AK588" s="441">
        <v>46189</v>
      </c>
      <c r="AL588" s="732">
        <v>46232</v>
      </c>
      <c r="AM588" s="441">
        <f>IFERROR(IF(VLOOKUP(AT588, Vessel!A:H, 8, FALSE)=0, "", VLOOKUP(AT588, Vessel!A:H, 8, FALSE)), "")</f>
        <v>46239.5</v>
      </c>
      <c r="AN588" s="586">
        <v>46239.457638888889</v>
      </c>
      <c r="AO588" s="431" t="s">
        <v>402</v>
      </c>
      <c r="AP588" s="431" t="s">
        <v>4807</v>
      </c>
      <c r="AQ588" s="431" t="s">
        <v>80</v>
      </c>
      <c r="AR588" s="431" t="s">
        <v>4817</v>
      </c>
      <c r="AS588" s="431" t="s">
        <v>4818</v>
      </c>
      <c r="AT588" s="431" t="s">
        <v>4818</v>
      </c>
      <c r="AU5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8" s="441"/>
      <c r="AW588" s="441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1">
        <f>IF(ISERROR(PV_DATA[[#This Row],[New Ark PO status]]),"",_xlfn.XLOOKUP(PV_DATA[[#This Row],[SPTN-PVHK New Ark PO'#]],New_Ark_Data[Purchase order Number],New_Ark_Data[Estimated time of arrival],"",0))</f>
        <v>46253</v>
      </c>
      <c r="AZ58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8" s="441">
        <f>IFERROR(PV_DATA[[#This Row],[ODP ETA Port]]+PV_DATA[[#This Row],[Customs/Leg3 Assumption]],"n/a")</f>
        <v>46249.457638888889</v>
      </c>
      <c r="BB588" s="442">
        <f>YEAR(PV_DATA[[#This Row],[ETA for New Ark update]])</f>
        <v>2026</v>
      </c>
      <c r="BC588" s="431">
        <f>MONTH(PV_DATA[[#This Row],[ETA for New Ark update]])</f>
        <v>8</v>
      </c>
      <c r="BD588" s="431">
        <f>IFERROR(_xlfn.ISOWEEKNUM(PV_DATA[[#This Row],[ETA for New Ark update]]),0)</f>
        <v>33</v>
      </c>
      <c r="BE588" s="431">
        <f>_xlfn.XLOOKUP(PV_DATA[[#This Row],[New Ark SKU]],Table9[New Ark SKU],Table9[Total PCS per Pallet],,0)</f>
        <v>33</v>
      </c>
      <c r="BF588" s="431">
        <f>_xlfn.XLOOKUP(PV_DATA[[#This Row],[New Ark SKU]],Table9[New Ark SKU],Table9[Total PCS per 40HQ Container],,0)</f>
        <v>660</v>
      </c>
      <c r="BG588" s="431" t="str">
        <f>_xlfn.XLOOKUP(PV_DATA[[#This Row],[New Ark SKU]],Table9[New Ark SKU],Table9[Back Glass],,0)</f>
        <v>White glazing</v>
      </c>
      <c r="BH588" s="431" t="str">
        <f>_xlfn.XLOOKUP(PV_DATA[[#This Row],[PORT DESTINATION]],Table12[PORT DESTINATION],Table12[Cosco Line],,0)</f>
        <v>AEM</v>
      </c>
    </row>
    <row r="589" spans="1:60" s="431" customFormat="1" ht="10.5">
      <c r="A589" s="439" t="s">
        <v>4819</v>
      </c>
      <c r="B589" s="439" t="s">
        <v>2132</v>
      </c>
      <c r="C589" s="439" t="str">
        <f>IFERROR(LEFT(PV_DATA[[#This Row],[TCL REFERENCE]],FIND(".",PV_DATA[[#This Row],[TCL REFERENCE]],1)-1),"Main Line")</f>
        <v>26May004</v>
      </c>
      <c r="D589" s="439" t="s">
        <v>63</v>
      </c>
      <c r="E589" s="439" t="s">
        <v>64</v>
      </c>
      <c r="F589" s="439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39" t="s">
        <v>402</v>
      </c>
      <c r="H589" s="439" t="s">
        <v>311</v>
      </c>
      <c r="I589" s="439" t="s">
        <v>689</v>
      </c>
      <c r="J589" s="431" t="s">
        <v>96</v>
      </c>
      <c r="M589" s="431" t="s">
        <v>68</v>
      </c>
      <c r="N589" s="461">
        <v>46160</v>
      </c>
      <c r="O589" s="431" t="s">
        <v>170</v>
      </c>
      <c r="P589" s="431" t="s">
        <v>1977</v>
      </c>
      <c r="Q589" s="431" t="s">
        <v>1978</v>
      </c>
      <c r="R589" s="431" t="str">
        <f>_xlfn.XLOOKUP(PV_DATA[[#This Row],[New Ark SKU]],Table9[New Ark SKU],Table9[Connector],,0)</f>
        <v>EVO2A</v>
      </c>
      <c r="S589" s="442" t="str">
        <f>_xlfn.XLOOKUP(PV_DATA[[#This Row],[New Ark SKU]],Table9[New Ark SKU],Table9[Cable],,0)</f>
        <v>±1400mm</v>
      </c>
      <c r="T589" s="442">
        <v>560</v>
      </c>
      <c r="U589" s="1093">
        <f>660*7</f>
        <v>4620</v>
      </c>
      <c r="V589" s="448">
        <f>PV_DATA[[#This Row],[QUANTITY]]*PV_DATA[[#This Row],[WATT]]/1000000</f>
        <v>2.5872000000000002</v>
      </c>
      <c r="W589" s="466">
        <f>PV_DATA[[#This Row],[QUANTITY]]/PV_DATA[[#This Row],[Qty/Pallet]]</f>
        <v>140</v>
      </c>
      <c r="X589" s="1044">
        <f>PV_DATA[[#This Row],[QUANTITY]]/PV_DATA[[#This Row],[Qty/CT]]</f>
        <v>7</v>
      </c>
      <c r="Y589" s="439" t="s">
        <v>951</v>
      </c>
      <c r="Z589" s="430" t="str">
        <f t="shared" si="6"/>
        <v>COMPLETED</v>
      </c>
      <c r="AA589" s="431" t="s">
        <v>4820</v>
      </c>
      <c r="AB589" s="441">
        <v>46179</v>
      </c>
      <c r="AC589" s="467">
        <f>IF(PV_DATA[[#This Row],[Pick- Up Date]]&lt;&gt;"",_xlfn.ISOWEEKNUM(PV_DATA[[#This Row],[Pick- Up Date]]),"")</f>
        <v>23</v>
      </c>
      <c r="AD589" s="431" t="s">
        <v>4821</v>
      </c>
      <c r="AF589" s="431" t="s">
        <v>122</v>
      </c>
      <c r="AG589" s="431" t="s">
        <v>123</v>
      </c>
      <c r="AH589" s="431" t="s">
        <v>314</v>
      </c>
      <c r="AI589" s="441">
        <v>46185</v>
      </c>
      <c r="AJ589" s="441"/>
      <c r="AK589" s="441">
        <v>46189</v>
      </c>
      <c r="AL589" s="732">
        <v>46232</v>
      </c>
      <c r="AM589" s="441">
        <f>IFERROR(IF(VLOOKUP(AT589, Vessel!A:H, 8, FALSE)=0, "", VLOOKUP(AT589, Vessel!A:H, 8, FALSE)), "")</f>
        <v>46239.5</v>
      </c>
      <c r="AN589" s="586">
        <v>46239.457638888889</v>
      </c>
      <c r="AO589" s="431" t="s">
        <v>402</v>
      </c>
      <c r="AP589" s="431" t="s">
        <v>4807</v>
      </c>
      <c r="AQ589" s="431" t="s">
        <v>80</v>
      </c>
      <c r="AR589" s="431" t="s">
        <v>4817</v>
      </c>
      <c r="AS589" s="431" t="s">
        <v>4818</v>
      </c>
      <c r="AT589" s="431" t="s">
        <v>4818</v>
      </c>
      <c r="AU5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9" s="441"/>
      <c r="AW589" s="441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1">
        <f>IF(ISERROR(PV_DATA[[#This Row],[New Ark PO status]]),"",_xlfn.XLOOKUP(PV_DATA[[#This Row],[SPTN-PVHK New Ark PO'#]],New_Ark_Data[Purchase order Number],New_Ark_Data[Estimated time of arrival],"",0))</f>
        <v>46253</v>
      </c>
      <c r="AZ58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9" s="441">
        <f>IFERROR(PV_DATA[[#This Row],[ODP ETA Port]]+PV_DATA[[#This Row],[Customs/Leg3 Assumption]],"n/a")</f>
        <v>46249.457638888889</v>
      </c>
      <c r="BB589" s="442">
        <f>YEAR(PV_DATA[[#This Row],[ETA for New Ark update]])</f>
        <v>2026</v>
      </c>
      <c r="BC589" s="431">
        <f>MONTH(PV_DATA[[#This Row],[ETA for New Ark update]])</f>
        <v>8</v>
      </c>
      <c r="BD589" s="431">
        <f>IFERROR(_xlfn.ISOWEEKNUM(PV_DATA[[#This Row],[ETA for New Ark update]]),0)</f>
        <v>33</v>
      </c>
      <c r="BE589" s="431">
        <f>_xlfn.XLOOKUP(PV_DATA[[#This Row],[New Ark SKU]],Table9[New Ark SKU],Table9[Total PCS per Pallet],,0)</f>
        <v>33</v>
      </c>
      <c r="BF589" s="431">
        <f>_xlfn.XLOOKUP(PV_DATA[[#This Row],[New Ark SKU]],Table9[New Ark SKU],Table9[Total PCS per 40HQ Container],,0)</f>
        <v>660</v>
      </c>
      <c r="BG589" s="431" t="str">
        <f>_xlfn.XLOOKUP(PV_DATA[[#This Row],[New Ark SKU]],Table9[New Ark SKU],Table9[Back Glass],,0)</f>
        <v>White glazing</v>
      </c>
      <c r="BH589" s="431" t="str">
        <f>_xlfn.XLOOKUP(PV_DATA[[#This Row],[PORT DESTINATION]],Table12[PORT DESTINATION],Table12[Cosco Line],,0)</f>
        <v>AEM</v>
      </c>
    </row>
    <row r="590" spans="1:60" s="431" customFormat="1" ht="10.5">
      <c r="A590" s="439" t="s">
        <v>4822</v>
      </c>
      <c r="B590" s="439" t="s">
        <v>2132</v>
      </c>
      <c r="C590" s="439" t="str">
        <f>IFERROR(LEFT(PV_DATA[[#This Row],[TCL REFERENCE]],FIND(".",PV_DATA[[#This Row],[TCL REFERENCE]],1)-1),"Main Line")</f>
        <v>26May004</v>
      </c>
      <c r="D590" s="439" t="s">
        <v>63</v>
      </c>
      <c r="E590" s="439" t="s">
        <v>64</v>
      </c>
      <c r="F590" s="439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39" t="s">
        <v>402</v>
      </c>
      <c r="H590" s="439" t="s">
        <v>311</v>
      </c>
      <c r="I590" s="439" t="s">
        <v>689</v>
      </c>
      <c r="J590" s="431" t="s">
        <v>96</v>
      </c>
      <c r="M590" s="431" t="s">
        <v>68</v>
      </c>
      <c r="N590" s="461">
        <v>46160</v>
      </c>
      <c r="O590" s="431" t="s">
        <v>170</v>
      </c>
      <c r="P590" s="431" t="s">
        <v>1977</v>
      </c>
      <c r="Q590" s="431" t="s">
        <v>1978</v>
      </c>
      <c r="R590" s="431" t="str">
        <f>_xlfn.XLOOKUP(PV_DATA[[#This Row],[New Ark SKU]],Table9[New Ark SKU],Table9[Connector],,0)</f>
        <v>EVO2A</v>
      </c>
      <c r="S590" s="442" t="str">
        <f>_xlfn.XLOOKUP(PV_DATA[[#This Row],[New Ark SKU]],Table9[New Ark SKU],Table9[Cable],,0)</f>
        <v>±1400mm</v>
      </c>
      <c r="T590" s="442">
        <v>560</v>
      </c>
      <c r="U590" s="1093">
        <f>660*4</f>
        <v>2640</v>
      </c>
      <c r="V590" s="448">
        <f>PV_DATA[[#This Row],[QUANTITY]]*PV_DATA[[#This Row],[WATT]]/1000000</f>
        <v>1.4783999999999999</v>
      </c>
      <c r="W590" s="466">
        <f>PV_DATA[[#This Row],[QUANTITY]]/PV_DATA[[#This Row],[Qty/Pallet]]</f>
        <v>80</v>
      </c>
      <c r="X590" s="1044">
        <f>PV_DATA[[#This Row],[QUANTITY]]/PV_DATA[[#This Row],[Qty/CT]]</f>
        <v>4</v>
      </c>
      <c r="Y590" s="439" t="s">
        <v>951</v>
      </c>
      <c r="Z590" s="430" t="str">
        <f t="shared" si="6"/>
        <v>COMPLETED</v>
      </c>
      <c r="AA590" s="431" t="s">
        <v>4805</v>
      </c>
      <c r="AB590" s="441">
        <v>46175</v>
      </c>
      <c r="AC590" s="467">
        <f>IF(PV_DATA[[#This Row],[Pick- Up Date]]&lt;&gt;"",_xlfn.ISOWEEKNUM(PV_DATA[[#This Row],[Pick- Up Date]]),"")</f>
        <v>23</v>
      </c>
      <c r="AD590" s="431" t="s">
        <v>4823</v>
      </c>
      <c r="AF590" s="431" t="s">
        <v>122</v>
      </c>
      <c r="AG590" s="431" t="s">
        <v>123</v>
      </c>
      <c r="AH590" s="431" t="s">
        <v>1561</v>
      </c>
      <c r="AI590" s="441">
        <v>46182</v>
      </c>
      <c r="AJ590" s="441">
        <v>46184</v>
      </c>
      <c r="AK590" s="441">
        <v>46186</v>
      </c>
      <c r="AL590" s="732">
        <v>46241</v>
      </c>
      <c r="AM590" s="441">
        <f>IFERROR(IF(VLOOKUP(AT590, Vessel!A:H, 8, FALSE)=0, "", VLOOKUP(AT590, Vessel!A:H, 8, FALSE)), "")</f>
        <v>46254.75</v>
      </c>
      <c r="AN590" s="586">
        <v>46254</v>
      </c>
      <c r="AO590" s="431" t="s">
        <v>402</v>
      </c>
      <c r="AP590" s="431" t="s">
        <v>4824</v>
      </c>
      <c r="AQ590" s="431" t="s">
        <v>80</v>
      </c>
      <c r="AR590" s="431" t="s">
        <v>4825</v>
      </c>
      <c r="AS590" s="431" t="s">
        <v>4826</v>
      </c>
      <c r="AT590" s="431" t="s">
        <v>4826</v>
      </c>
      <c r="AU5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1"/>
      <c r="AW590" s="441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1">
        <f>IF(ISERROR(PV_DATA[[#This Row],[New Ark PO status]]),"",_xlfn.XLOOKUP(PV_DATA[[#This Row],[SPTN-PVHK New Ark PO'#]],New_Ark_Data[Purchase order Number],New_Ark_Data[Estimated time of arrival],"",0))</f>
        <v>46268</v>
      </c>
      <c r="AZ59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90" s="441">
        <f>IFERROR(PV_DATA[[#This Row],[ODP ETA Port]]+PV_DATA[[#This Row],[Customs/Leg3 Assumption]],"n/a")</f>
        <v>46264</v>
      </c>
      <c r="BB590" s="442">
        <f>YEAR(PV_DATA[[#This Row],[ETA for New Ark update]])</f>
        <v>2026</v>
      </c>
      <c r="BC590" s="431">
        <f>MONTH(PV_DATA[[#This Row],[ETA for New Ark update]])</f>
        <v>8</v>
      </c>
      <c r="BD590" s="431">
        <f>IFERROR(_xlfn.ISOWEEKNUM(PV_DATA[[#This Row],[ETA for New Ark update]]),0)</f>
        <v>35</v>
      </c>
      <c r="BE590" s="431">
        <f>_xlfn.XLOOKUP(PV_DATA[[#This Row],[New Ark SKU]],Table9[New Ark SKU],Table9[Total PCS per Pallet],,0)</f>
        <v>33</v>
      </c>
      <c r="BF590" s="431">
        <f>_xlfn.XLOOKUP(PV_DATA[[#This Row],[New Ark SKU]],Table9[New Ark SKU],Table9[Total PCS per 40HQ Container],,0)</f>
        <v>660</v>
      </c>
      <c r="BG590" s="431" t="str">
        <f>_xlfn.XLOOKUP(PV_DATA[[#This Row],[New Ark SKU]],Table9[New Ark SKU],Table9[Back Glass],,0)</f>
        <v>White glazing</v>
      </c>
      <c r="BH590" s="431" t="str">
        <f>_xlfn.XLOOKUP(PV_DATA[[#This Row],[PORT DESTINATION]],Table12[PORT DESTINATION],Table12[Cosco Line],,0)</f>
        <v>AEM</v>
      </c>
    </row>
    <row r="591" spans="1:60" s="431" customFormat="1" ht="10.5">
      <c r="A591" s="439" t="s">
        <v>4827</v>
      </c>
      <c r="B591" s="439" t="s">
        <v>111</v>
      </c>
      <c r="C591" s="439" t="str">
        <f>IFERROR(LEFT(PV_DATA[[#This Row],[TCL REFERENCE]],FIND(".",PV_DATA[[#This Row],[TCL REFERENCE]],1)-1),"Main Line")</f>
        <v>26May016</v>
      </c>
      <c r="D591" s="439" t="s">
        <v>63</v>
      </c>
      <c r="E591" s="439" t="s">
        <v>64</v>
      </c>
      <c r="F591" s="439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39" t="s">
        <v>402</v>
      </c>
      <c r="H591" s="439" t="s">
        <v>115</v>
      </c>
      <c r="I591" s="439" t="s">
        <v>2004</v>
      </c>
      <c r="J591" s="431" t="s">
        <v>4828</v>
      </c>
      <c r="K591" s="479" t="s">
        <v>4829</v>
      </c>
      <c r="L591" s="431">
        <v>1</v>
      </c>
      <c r="M591" s="431" t="s">
        <v>840</v>
      </c>
      <c r="N591" s="461">
        <v>46153</v>
      </c>
      <c r="O591" s="431" t="s">
        <v>4486</v>
      </c>
      <c r="P591" s="431" t="s">
        <v>4520</v>
      </c>
      <c r="Q591" s="431" t="s">
        <v>4521</v>
      </c>
      <c r="R591" s="431" t="str">
        <f>_xlfn.XLOOKUP(PV_DATA[[#This Row],[New Ark SKU]],Table9[New Ark SKU],Table9[Connector],,0)</f>
        <v>EVO2A</v>
      </c>
      <c r="S591" s="442" t="str">
        <f>_xlfn.XLOOKUP(PV_DATA[[#This Row],[New Ark SKU]],Table9[New Ark SKU],Table9[Cable],,0)</f>
        <v>±1400mm</v>
      </c>
      <c r="T591" s="442">
        <v>645</v>
      </c>
      <c r="U591" s="1093">
        <f>720*3</f>
        <v>2160</v>
      </c>
      <c r="V591" s="448">
        <f>PV_DATA[[#This Row],[QUANTITY]]*PV_DATA[[#This Row],[WATT]]/1000000</f>
        <v>1.3932</v>
      </c>
      <c r="W591" s="466">
        <f>PV_DATA[[#This Row],[QUANTITY]]/PV_DATA[[#This Row],[Qty/Pallet]]</f>
        <v>60</v>
      </c>
      <c r="X591" s="1044">
        <f>PV_DATA[[#This Row],[QUANTITY]]/PV_DATA[[#This Row],[Qty/CT]]</f>
        <v>3</v>
      </c>
      <c r="Y591" s="439" t="s">
        <v>951</v>
      </c>
      <c r="Z591" s="430" t="str">
        <f t="shared" si="6"/>
        <v>COMPLETED</v>
      </c>
      <c r="AB591" s="441">
        <v>46176</v>
      </c>
      <c r="AC591" s="467">
        <f>IF(PV_DATA[[#This Row],[Pick- Up Date]]&lt;&gt;"",_xlfn.ISOWEEKNUM(PV_DATA[[#This Row],[Pick- Up Date]]),"")</f>
        <v>23</v>
      </c>
      <c r="AD591" s="431" t="s">
        <v>4830</v>
      </c>
      <c r="AF591" s="431" t="s">
        <v>122</v>
      </c>
      <c r="AG591" s="431" t="s">
        <v>123</v>
      </c>
      <c r="AH591" s="431" t="s">
        <v>124</v>
      </c>
      <c r="AI591" s="441">
        <v>46185</v>
      </c>
      <c r="AJ591" s="441"/>
      <c r="AK591" s="441">
        <v>46189</v>
      </c>
      <c r="AL591" s="441">
        <v>46240</v>
      </c>
      <c r="AM591" s="586"/>
      <c r="AN591" s="586">
        <v>46250.44736111111</v>
      </c>
      <c r="AO591" s="431" t="s">
        <v>402</v>
      </c>
      <c r="AP591" s="431" t="s">
        <v>4807</v>
      </c>
      <c r="AQ591" s="431" t="s">
        <v>80</v>
      </c>
      <c r="AR591" s="431" t="s">
        <v>4831</v>
      </c>
      <c r="AS591" s="431" t="s">
        <v>4832</v>
      </c>
      <c r="AT591" s="431" t="s">
        <v>4832</v>
      </c>
      <c r="AU5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W591" s="441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1">
        <f>IF(ISERROR(PV_DATA[[#This Row],[New Ark PO status]]),"",_xlfn.XLOOKUP(PV_DATA[[#This Row],[SPTN-PVHK New Ark PO'#]],New_Ark_Data[Purchase order Number],New_Ark_Data[Estimated time of arrival],"",0))</f>
        <v>46265</v>
      </c>
      <c r="AZ591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1">
        <f>IFERROR(PV_DATA[[#This Row],[ODP ETA Port]]+PV_DATA[[#This Row],[Customs/Leg3 Assumption]],"n/a")</f>
        <v>46259.44736111111</v>
      </c>
      <c r="BB591" s="442">
        <f>YEAR(PV_DATA[[#This Row],[ETA for New Ark update]])</f>
        <v>2026</v>
      </c>
      <c r="BC591" s="431">
        <f>MONTH(PV_DATA[[#This Row],[ETA for New Ark update]])</f>
        <v>8</v>
      </c>
      <c r="BD591" s="431">
        <f>IFERROR(_xlfn.ISOWEEKNUM(PV_DATA[[#This Row],[ETA for New Ark update]]),0)</f>
        <v>35</v>
      </c>
      <c r="BE591" s="431">
        <f>_xlfn.XLOOKUP(PV_DATA[[#This Row],[New Ark SKU]],Table9[New Ark SKU],Table9[Total PCS per Pallet],,0)</f>
        <v>36</v>
      </c>
      <c r="BF591" s="431">
        <f>_xlfn.XLOOKUP(PV_DATA[[#This Row],[New Ark SKU]],Table9[New Ark SKU],Table9[Total PCS per 40HQ Container],,0)</f>
        <v>720</v>
      </c>
      <c r="BG591" s="431" t="str">
        <f>_xlfn.XLOOKUP(PV_DATA[[#This Row],[New Ark SKU]],Table9[New Ark SKU],Table9[Back Glass],,0)</f>
        <v>Transparent</v>
      </c>
      <c r="BH591" s="431" t="str">
        <f>_xlfn.XLOOKUP(PV_DATA[[#This Row],[PORT DESTINATION]],Table12[PORT DESTINATION],Table12[Cosco Line],,0)</f>
        <v>AEM</v>
      </c>
    </row>
    <row r="592" spans="1:60" s="431" customFormat="1" ht="10.5">
      <c r="A592" s="439" t="s">
        <v>4833</v>
      </c>
      <c r="B592" s="439" t="s">
        <v>111</v>
      </c>
      <c r="C592" s="439" t="s">
        <v>4834</v>
      </c>
      <c r="D592" s="439" t="s">
        <v>63</v>
      </c>
      <c r="E592" s="439" t="s">
        <v>64</v>
      </c>
      <c r="F592" s="439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39" t="s">
        <v>402</v>
      </c>
      <c r="H592" s="439" t="s">
        <v>115</v>
      </c>
      <c r="I592" s="439" t="s">
        <v>2004</v>
      </c>
      <c r="J592" s="431" t="s">
        <v>96</v>
      </c>
      <c r="M592" s="431" t="s">
        <v>68</v>
      </c>
      <c r="N592" s="461">
        <v>46153</v>
      </c>
      <c r="O592" s="431" t="s">
        <v>4486</v>
      </c>
      <c r="P592" s="431" t="s">
        <v>4487</v>
      </c>
      <c r="Q592" s="431" t="s">
        <v>4488</v>
      </c>
      <c r="R592" s="431" t="str">
        <f>_xlfn.XLOOKUP(PV_DATA[[#This Row],[New Ark SKU]],Table9[New Ark SKU],Table9[Connector],,0)</f>
        <v>EVO2A</v>
      </c>
      <c r="S592" s="442" t="str">
        <f>_xlfn.XLOOKUP(PV_DATA[[#This Row],[New Ark SKU]],Table9[New Ark SKU],Table9[Cable],,0)</f>
        <v>±1400mm</v>
      </c>
      <c r="T592" s="442">
        <v>640</v>
      </c>
      <c r="U592" s="1093">
        <v>720</v>
      </c>
      <c r="V592" s="448">
        <f>PV_DATA[[#This Row],[QUANTITY]]*PV_DATA[[#This Row],[WATT]]/1000000</f>
        <v>0.46079999999999999</v>
      </c>
      <c r="W592" s="466">
        <f>PV_DATA[[#This Row],[QUANTITY]]/PV_DATA[[#This Row],[Qty/Pallet]]</f>
        <v>20</v>
      </c>
      <c r="X592" s="1044">
        <f>PV_DATA[[#This Row],[QUANTITY]]/PV_DATA[[#This Row],[Qty/CT]]</f>
        <v>1</v>
      </c>
      <c r="Y592" s="439" t="s">
        <v>951</v>
      </c>
      <c r="Z592" s="430" t="str">
        <f t="shared" si="6"/>
        <v>COMPLETED</v>
      </c>
      <c r="AB592" s="441">
        <v>46176</v>
      </c>
      <c r="AC592" s="467">
        <f>IF(PV_DATA[[#This Row],[Pick- Up Date]]&lt;&gt;"",_xlfn.ISOWEEKNUM(PV_DATA[[#This Row],[Pick- Up Date]]),"")</f>
        <v>23</v>
      </c>
      <c r="AD592" s="431" t="s">
        <v>4835</v>
      </c>
      <c r="AF592" s="431" t="s">
        <v>122</v>
      </c>
      <c r="AG592" s="431" t="s">
        <v>123</v>
      </c>
      <c r="AH592" s="431" t="s">
        <v>124</v>
      </c>
      <c r="AI592" s="441">
        <v>46185</v>
      </c>
      <c r="AJ592" s="441"/>
      <c r="AK592" s="441">
        <v>46189</v>
      </c>
      <c r="AL592" s="441">
        <v>46240</v>
      </c>
      <c r="AM592" s="586"/>
      <c r="AN592" s="586">
        <v>46250.44736111111</v>
      </c>
      <c r="AO592" s="431" t="s">
        <v>402</v>
      </c>
      <c r="AP592" s="431" t="s">
        <v>4807</v>
      </c>
      <c r="AQ592" s="431" t="s">
        <v>80</v>
      </c>
      <c r="AR592" s="431" t="s">
        <v>4836</v>
      </c>
      <c r="AS592" s="431" t="s">
        <v>4837</v>
      </c>
      <c r="AT592" s="431" t="s">
        <v>4837</v>
      </c>
      <c r="AU5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2" s="441"/>
      <c r="AW592" s="441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2" s="441">
        <f>IF(ISERROR(PV_DATA[[#This Row],[New Ark PO status]]),"",_xlfn.XLOOKUP(PV_DATA[[#This Row],[SPTN-PVHK New Ark PO'#]],New_Ark_Data[Purchase order Number],New_Ark_Data[Estimated time of arrival],"",0))</f>
        <v>46265</v>
      </c>
      <c r="AZ592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1">
        <f>IFERROR(PV_DATA[[#This Row],[ODP ETA Port]]+PV_DATA[[#This Row],[Customs/Leg3 Assumption]],"n/a")</f>
        <v>46259.44736111111</v>
      </c>
      <c r="BB592" s="442">
        <f>YEAR(PV_DATA[[#This Row],[ETA for New Ark update]])</f>
        <v>2026</v>
      </c>
      <c r="BC592" s="431">
        <f>MONTH(PV_DATA[[#This Row],[ETA for New Ark update]])</f>
        <v>8</v>
      </c>
      <c r="BD592" s="431">
        <f>IFERROR(_xlfn.ISOWEEKNUM(PV_DATA[[#This Row],[ETA for New Ark update]]),0)</f>
        <v>35</v>
      </c>
      <c r="BE592" s="431">
        <f>_xlfn.XLOOKUP(PV_DATA[[#This Row],[New Ark SKU]],Table9[New Ark SKU],Table9[Total PCS per Pallet],,0)</f>
        <v>36</v>
      </c>
      <c r="BF592" s="431">
        <f>_xlfn.XLOOKUP(PV_DATA[[#This Row],[New Ark SKU]],Table9[New Ark SKU],Table9[Total PCS per 40HQ Container],,0)</f>
        <v>720</v>
      </c>
      <c r="BG592" s="431" t="str">
        <f>_xlfn.XLOOKUP(PV_DATA[[#This Row],[New Ark SKU]],Table9[New Ark SKU],Table9[Back Glass],,0)</f>
        <v>Transparent</v>
      </c>
      <c r="BH592" s="431" t="str">
        <f>_xlfn.XLOOKUP(PV_DATA[[#This Row],[PORT DESTINATION]],Table12[PORT DESTINATION],Table12[Cosco Line],,0)</f>
        <v>AEM</v>
      </c>
    </row>
    <row r="593" spans="1:60" s="431" customFormat="1" ht="10.5">
      <c r="A593" s="439" t="s">
        <v>4838</v>
      </c>
      <c r="B593" s="439" t="s">
        <v>111</v>
      </c>
      <c r="C593" s="439" t="str">
        <f>IFERROR(LEFT(PV_DATA[[#This Row],[TCL REFERENCE]],FIND(".",PV_DATA[[#This Row],[TCL REFERENCE]],1)-1),"Main Line")</f>
        <v>26May006</v>
      </c>
      <c r="D593" s="439" t="s">
        <v>63</v>
      </c>
      <c r="E593" s="439" t="s">
        <v>64</v>
      </c>
      <c r="F593" s="439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39" t="s">
        <v>402</v>
      </c>
      <c r="H593" s="439" t="s">
        <v>115</v>
      </c>
      <c r="I593" s="439" t="s">
        <v>2004</v>
      </c>
      <c r="J593" s="431" t="s">
        <v>96</v>
      </c>
      <c r="M593" s="431" t="s">
        <v>68</v>
      </c>
      <c r="N593" s="461">
        <v>46160</v>
      </c>
      <c r="O593" s="431" t="s">
        <v>132</v>
      </c>
      <c r="P593" s="431" t="s">
        <v>1062</v>
      </c>
      <c r="Q593" s="431" t="s">
        <v>1063</v>
      </c>
      <c r="R593" s="431" t="str">
        <f>_xlfn.XLOOKUP(PV_DATA[[#This Row],[New Ark SKU]],Table9[New Ark SKU],Table9[Connector],,0)</f>
        <v>EVO2A</v>
      </c>
      <c r="S593" s="442" t="str">
        <f>_xlfn.XLOOKUP(PV_DATA[[#This Row],[New Ark SKU]],Table9[New Ark SKU],Table9[Cable],,0)</f>
        <v>±1200mm</v>
      </c>
      <c r="T593" s="442">
        <v>470</v>
      </c>
      <c r="U593" s="1093">
        <f>864*2</f>
        <v>1728</v>
      </c>
      <c r="V593" s="448">
        <f>PV_DATA[[#This Row],[QUANTITY]]*PV_DATA[[#This Row],[WATT]]/1000000</f>
        <v>0.81215999999999999</v>
      </c>
      <c r="W593" s="466">
        <f>PV_DATA[[#This Row],[QUANTITY]]/PV_DATA[[#This Row],[Qty/Pallet]]</f>
        <v>48</v>
      </c>
      <c r="X593" s="1044">
        <f>PV_DATA[[#This Row],[QUANTITY]]/PV_DATA[[#This Row],[Qty/CT]]</f>
        <v>2</v>
      </c>
      <c r="Y593" s="439" t="s">
        <v>951</v>
      </c>
      <c r="Z593" s="430" t="str">
        <f t="shared" si="6"/>
        <v>COMPLETED</v>
      </c>
      <c r="AA593" s="478" t="s">
        <v>4700</v>
      </c>
      <c r="AB593" s="441">
        <v>46180</v>
      </c>
      <c r="AC593" s="467">
        <f>IF(PV_DATA[[#This Row],[Pick- Up Date]]&lt;&gt;"",_xlfn.ISOWEEKNUM(PV_DATA[[#This Row],[Pick- Up Date]]),"")</f>
        <v>23</v>
      </c>
      <c r="AD593" s="431" t="s">
        <v>4839</v>
      </c>
      <c r="AF593" s="431" t="s">
        <v>122</v>
      </c>
      <c r="AG593" s="431" t="s">
        <v>123</v>
      </c>
      <c r="AH593" s="431" t="s">
        <v>124</v>
      </c>
      <c r="AI593" s="441">
        <v>46185</v>
      </c>
      <c r="AJ593" s="441"/>
      <c r="AK593" s="441">
        <v>46189</v>
      </c>
      <c r="AL593" s="441">
        <v>46240</v>
      </c>
      <c r="AM593" s="586"/>
      <c r="AN593" s="586">
        <v>46250.44736111111</v>
      </c>
      <c r="AO593" s="431" t="s">
        <v>402</v>
      </c>
      <c r="AP593" s="431" t="s">
        <v>4807</v>
      </c>
      <c r="AQ593" s="431" t="s">
        <v>80</v>
      </c>
      <c r="AR593" s="431" t="s">
        <v>4840</v>
      </c>
      <c r="AS593" s="431" t="s">
        <v>4841</v>
      </c>
      <c r="AT593" s="431" t="s">
        <v>4841</v>
      </c>
      <c r="AU5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3" s="441"/>
      <c r="AW593" s="441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1">
        <f>IF(ISERROR(PV_DATA[[#This Row],[New Ark PO status]]),"",_xlfn.XLOOKUP(PV_DATA[[#This Row],[SPTN-PVHK New Ark PO'#]],New_Ark_Data[Purchase order Number],New_Ark_Data[Estimated time of arrival],"",0))</f>
        <v>46265</v>
      </c>
      <c r="AZ59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1">
        <f>IFERROR(PV_DATA[[#This Row],[ODP ETA Port]]+PV_DATA[[#This Row],[Customs/Leg3 Assumption]],"n/a")</f>
        <v>46259.44736111111</v>
      </c>
      <c r="BB593" s="442">
        <f>YEAR(PV_DATA[[#This Row],[ETA for New Ark update]])</f>
        <v>2026</v>
      </c>
      <c r="BC593" s="431">
        <f>MONTH(PV_DATA[[#This Row],[ETA for New Ark update]])</f>
        <v>8</v>
      </c>
      <c r="BD593" s="431">
        <f>IFERROR(_xlfn.ISOWEEKNUM(PV_DATA[[#This Row],[ETA for New Ark update]]),0)</f>
        <v>35</v>
      </c>
      <c r="BE593" s="431">
        <f>_xlfn.XLOOKUP(PV_DATA[[#This Row],[New Ark SKU]],Table9[New Ark SKU],Table9[Total PCS per Pallet],,0)</f>
        <v>36</v>
      </c>
      <c r="BF593" s="431">
        <f>_xlfn.XLOOKUP(PV_DATA[[#This Row],[New Ark SKU]],Table9[New Ark SKU],Table9[Total PCS per 40HQ Container],,0)</f>
        <v>864</v>
      </c>
      <c r="BG593" s="431" t="str">
        <f>_xlfn.XLOOKUP(PV_DATA[[#This Row],[New Ark SKU]],Table9[New Ark SKU],Table9[Back Glass],,0)</f>
        <v>White glazing</v>
      </c>
      <c r="BH593" s="431" t="str">
        <f>_xlfn.XLOOKUP(PV_DATA[[#This Row],[PORT DESTINATION]],Table12[PORT DESTINATION],Table12[Cosco Line],,0)</f>
        <v>AEM</v>
      </c>
    </row>
    <row r="594" spans="1:60" s="431" customFormat="1" ht="11.25" customHeight="1">
      <c r="A594" s="439" t="s">
        <v>4842</v>
      </c>
      <c r="B594" s="439" t="s">
        <v>111</v>
      </c>
      <c r="C594" s="439" t="str">
        <f>IFERROR(LEFT(PV_DATA[[#This Row],[TCL REFERENCE]],FIND(".",PV_DATA[[#This Row],[TCL REFERENCE]],1)-1),"Main Line")</f>
        <v>26May006</v>
      </c>
      <c r="D594" s="439" t="s">
        <v>63</v>
      </c>
      <c r="E594" s="439" t="s">
        <v>64</v>
      </c>
      <c r="F594" s="439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39" t="s">
        <v>402</v>
      </c>
      <c r="H594" s="439" t="s">
        <v>115</v>
      </c>
      <c r="I594" s="439" t="s">
        <v>2004</v>
      </c>
      <c r="J594" s="431" t="s">
        <v>4694</v>
      </c>
      <c r="M594" s="431" t="s">
        <v>68</v>
      </c>
      <c r="N594" s="461">
        <v>46160</v>
      </c>
      <c r="O594" s="431" t="s">
        <v>132</v>
      </c>
      <c r="P594" s="431" t="s">
        <v>1062</v>
      </c>
      <c r="Q594" s="431" t="s">
        <v>1063</v>
      </c>
      <c r="R594" s="431" t="str">
        <f>_xlfn.XLOOKUP(PV_DATA[[#This Row],[New Ark SKU]],Table9[New Ark SKU],Table9[Connector],,0)</f>
        <v>EVO2A</v>
      </c>
      <c r="S594" s="442" t="str">
        <f>_xlfn.XLOOKUP(PV_DATA[[#This Row],[New Ark SKU]],Table9[New Ark SKU],Table9[Cable],,0)</f>
        <v>±1200mm</v>
      </c>
      <c r="T594" s="442">
        <v>470</v>
      </c>
      <c r="U594" s="1093">
        <f>864*2</f>
        <v>1728</v>
      </c>
      <c r="V594" s="448">
        <f>PV_DATA[[#This Row],[QUANTITY]]*PV_DATA[[#This Row],[WATT]]/1000000</f>
        <v>0.81215999999999999</v>
      </c>
      <c r="W594" s="466">
        <f>PV_DATA[[#This Row],[QUANTITY]]/PV_DATA[[#This Row],[Qty/Pallet]]</f>
        <v>48</v>
      </c>
      <c r="X594" s="1044">
        <f>PV_DATA[[#This Row],[QUANTITY]]/PV_DATA[[#This Row],[Qty/CT]]</f>
        <v>2</v>
      </c>
      <c r="Y594" s="439" t="s">
        <v>951</v>
      </c>
      <c r="Z594" s="430" t="str">
        <f t="shared" si="6"/>
        <v>COMPLETED</v>
      </c>
      <c r="AA594" s="478" t="s">
        <v>4700</v>
      </c>
      <c r="AB594" s="441">
        <v>46180</v>
      </c>
      <c r="AC594" s="467">
        <f>IF(PV_DATA[[#This Row],[Pick- Up Date]]&lt;&gt;"",_xlfn.ISOWEEKNUM(PV_DATA[[#This Row],[Pick- Up Date]]),"")</f>
        <v>23</v>
      </c>
      <c r="AD594" s="431" t="s">
        <v>4843</v>
      </c>
      <c r="AF594" s="431" t="s">
        <v>122</v>
      </c>
      <c r="AG594" s="431" t="s">
        <v>123</v>
      </c>
      <c r="AH594" s="431" t="s">
        <v>124</v>
      </c>
      <c r="AI594" s="441">
        <v>46185</v>
      </c>
      <c r="AJ594" s="441"/>
      <c r="AK594" s="441">
        <v>46189</v>
      </c>
      <c r="AL594" s="441">
        <v>46240</v>
      </c>
      <c r="AM594" s="586"/>
      <c r="AN594" s="586">
        <v>46250.44736111111</v>
      </c>
      <c r="AO594" s="431" t="s">
        <v>402</v>
      </c>
      <c r="AP594" s="431" t="s">
        <v>4807</v>
      </c>
      <c r="AQ594" s="431" t="s">
        <v>80</v>
      </c>
      <c r="AR594" s="431" t="s">
        <v>4840</v>
      </c>
      <c r="AS594" s="431" t="s">
        <v>4841</v>
      </c>
      <c r="AT594" s="431" t="s">
        <v>4841</v>
      </c>
      <c r="AU5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4" s="441"/>
      <c r="AW594" s="441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1">
        <f>IF(ISERROR(PV_DATA[[#This Row],[New Ark PO status]]),"",_xlfn.XLOOKUP(PV_DATA[[#This Row],[SPTN-PVHK New Ark PO'#]],New_Ark_Data[Purchase order Number],New_Ark_Data[Estimated time of arrival],"",0))</f>
        <v>46265</v>
      </c>
      <c r="AZ594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1">
        <f>IFERROR(PV_DATA[[#This Row],[ODP ETA Port]]+PV_DATA[[#This Row],[Customs/Leg3 Assumption]],"n/a")</f>
        <v>46259.44736111111</v>
      </c>
      <c r="BB594" s="442">
        <f>YEAR(PV_DATA[[#This Row],[ETA for New Ark update]])</f>
        <v>2026</v>
      </c>
      <c r="BC594" s="431">
        <f>MONTH(PV_DATA[[#This Row],[ETA for New Ark update]])</f>
        <v>8</v>
      </c>
      <c r="BD594" s="431">
        <f>IFERROR(_xlfn.ISOWEEKNUM(PV_DATA[[#This Row],[ETA for New Ark update]]),0)</f>
        <v>35</v>
      </c>
      <c r="BE594" s="431">
        <f>_xlfn.XLOOKUP(PV_DATA[[#This Row],[New Ark SKU]],Table9[New Ark SKU],Table9[Total PCS per Pallet],,0)</f>
        <v>36</v>
      </c>
      <c r="BF594" s="431">
        <f>_xlfn.XLOOKUP(PV_DATA[[#This Row],[New Ark SKU]],Table9[New Ark SKU],Table9[Total PCS per 40HQ Container],,0)</f>
        <v>864</v>
      </c>
      <c r="BG594" s="431" t="str">
        <f>_xlfn.XLOOKUP(PV_DATA[[#This Row],[New Ark SKU]],Table9[New Ark SKU],Table9[Back Glass],,0)</f>
        <v>White glazing</v>
      </c>
      <c r="BH594" s="431" t="str">
        <f>_xlfn.XLOOKUP(PV_DATA[[#This Row],[PORT DESTINATION]],Table12[PORT DESTINATION],Table12[Cosco Line],,0)</f>
        <v>AEM</v>
      </c>
    </row>
    <row r="595" spans="1:60" s="450" customFormat="1" ht="10.5">
      <c r="A595" s="446" t="s">
        <v>4844</v>
      </c>
      <c r="B595" s="446" t="s">
        <v>111</v>
      </c>
      <c r="C595" s="446" t="str">
        <f>IFERROR(LEFT(PV_DATA[[#This Row],[TCL REFERENCE]],FIND(".",PV_DATA[[#This Row],[TCL REFERENCE]],1)-1),"Main Line")</f>
        <v>26May006</v>
      </c>
      <c r="D595" s="446" t="s">
        <v>63</v>
      </c>
      <c r="E595" s="446" t="s">
        <v>64</v>
      </c>
      <c r="F595" s="446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6" t="s">
        <v>402</v>
      </c>
      <c r="H595" s="446" t="s">
        <v>115</v>
      </c>
      <c r="I595" s="446" t="s">
        <v>2004</v>
      </c>
      <c r="J595" s="450" t="s">
        <v>4648</v>
      </c>
      <c r="K595" s="537"/>
      <c r="L595" s="450">
        <v>1</v>
      </c>
      <c r="M595" s="451" t="s">
        <v>68</v>
      </c>
      <c r="N595" s="451">
        <v>46160</v>
      </c>
      <c r="O595" s="450" t="s">
        <v>132</v>
      </c>
      <c r="P595" s="450" t="s">
        <v>1062</v>
      </c>
      <c r="Q595" s="450" t="s">
        <v>1063</v>
      </c>
      <c r="R595" s="450" t="str">
        <f>_xlfn.XLOOKUP(PV_DATA[[#This Row],[New Ark SKU]],Table9[New Ark SKU],Table9[Connector],,0)</f>
        <v>EVO2A</v>
      </c>
      <c r="S595" s="442" t="str">
        <f>_xlfn.XLOOKUP(PV_DATA[[#This Row],[New Ark SKU]],Table9[New Ark SKU],Table9[Cable],,0)</f>
        <v>±1200mm</v>
      </c>
      <c r="T595" s="452">
        <v>470</v>
      </c>
      <c r="U595" s="1089">
        <f>864*4</f>
        <v>3456</v>
      </c>
      <c r="V595" s="453">
        <f>PV_DATA[[#This Row],[QUANTITY]]*PV_DATA[[#This Row],[WATT]]/1000000</f>
        <v>1.62432</v>
      </c>
      <c r="W595" s="454">
        <f>PV_DATA[[#This Row],[QUANTITY]]/PV_DATA[[#This Row],[Qty/Pallet]]</f>
        <v>96</v>
      </c>
      <c r="X595" s="1045">
        <f>PV_DATA[[#This Row],[QUANTITY]]/PV_DATA[[#This Row],[Qty/CT]]</f>
        <v>4</v>
      </c>
      <c r="Y595" s="446" t="s">
        <v>951</v>
      </c>
      <c r="Z595" s="430" t="str">
        <f t="shared" si="6"/>
        <v>COMPLETED</v>
      </c>
      <c r="AA595" s="538" t="s">
        <v>4700</v>
      </c>
      <c r="AB595" s="455">
        <v>46175</v>
      </c>
      <c r="AC595" s="471">
        <f>IF(PV_DATA[[#This Row],[Pick- Up Date]]&lt;&gt;"",_xlfn.ISOWEEKNUM(PV_DATA[[#This Row],[Pick- Up Date]]),"")</f>
        <v>23</v>
      </c>
      <c r="AD595" s="450" t="s">
        <v>4845</v>
      </c>
      <c r="AF595" s="450" t="s">
        <v>122</v>
      </c>
      <c r="AG595" s="450" t="s">
        <v>123</v>
      </c>
      <c r="AH595" s="450" t="s">
        <v>124</v>
      </c>
      <c r="AI595" s="455">
        <v>46182</v>
      </c>
      <c r="AJ595" s="455">
        <v>46185</v>
      </c>
      <c r="AK595" s="455">
        <v>46185</v>
      </c>
      <c r="AL595" s="455">
        <v>46218</v>
      </c>
      <c r="AM595" s="455">
        <v>46220</v>
      </c>
      <c r="AN595" s="587">
        <v>46221</v>
      </c>
      <c r="AO595" s="450" t="s">
        <v>402</v>
      </c>
      <c r="AP595" s="450" t="s">
        <v>4812</v>
      </c>
      <c r="AQ595" s="450" t="s">
        <v>80</v>
      </c>
      <c r="AR595" s="450" t="s">
        <v>4846</v>
      </c>
      <c r="AS595" s="450" t="s">
        <v>4847</v>
      </c>
      <c r="AT595" s="450" t="s">
        <v>4847</v>
      </c>
      <c r="AU5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5"/>
      <c r="AW595" s="455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5">
        <f>IF(ISERROR(PV_DATA[[#This Row],[New Ark PO status]]),"",_xlfn.XLOOKUP(PV_DATA[[#This Row],[SPTN-PVHK New Ark PO'#]],New_Ark_Data[Purchase order Number],New_Ark_Data[Estimated time of arrival],"",0))</f>
        <v>46238</v>
      </c>
      <c r="AZ59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5">
        <f>IFERROR(PV_DATA[[#This Row],[ODP ETA Port]]+PV_DATA[[#This Row],[Customs/Leg3 Assumption]],"n/a")</f>
        <v>46230</v>
      </c>
      <c r="BB595" s="452">
        <f>YEAR(PV_DATA[[#This Row],[ETA for New Ark update]])</f>
        <v>2026</v>
      </c>
      <c r="BC595" s="450">
        <f>MONTH(PV_DATA[[#This Row],[ETA for New Ark update]])</f>
        <v>7</v>
      </c>
      <c r="BD595" s="450">
        <f>IFERROR(_xlfn.ISOWEEKNUM(PV_DATA[[#This Row],[ETA for New Ark update]]),0)</f>
        <v>31</v>
      </c>
      <c r="BE595" s="450">
        <f>_xlfn.XLOOKUP(PV_DATA[[#This Row],[New Ark SKU]],Table9[New Ark SKU],Table9[Total PCS per Pallet],,0)</f>
        <v>36</v>
      </c>
      <c r="BF595" s="450">
        <f>_xlfn.XLOOKUP(PV_DATA[[#This Row],[New Ark SKU]],Table9[New Ark SKU],Table9[Total PCS per 40HQ Container],,0)</f>
        <v>864</v>
      </c>
      <c r="BG595" s="431" t="str">
        <f>_xlfn.XLOOKUP(PV_DATA[[#This Row],[New Ark SKU]],Table9[New Ark SKU],Table9[Back Glass],,0)</f>
        <v>White glazing</v>
      </c>
      <c r="BH595" s="450" t="str">
        <f>_xlfn.XLOOKUP(PV_DATA[[#This Row],[PORT DESTINATION]],Table12[PORT DESTINATION],Table12[Cosco Line],,0)</f>
        <v>AEM</v>
      </c>
    </row>
    <row r="596" spans="1:60" s="431" customFormat="1" ht="10.5">
      <c r="A596" s="439" t="s">
        <v>4848</v>
      </c>
      <c r="B596" s="439" t="s">
        <v>61</v>
      </c>
      <c r="C596" s="439" t="str">
        <f>IFERROR(LEFT(PV_DATA[[#This Row],[TCL REFERENCE]],FIND(".",PV_DATA[[#This Row],[TCL REFERENCE]],1)-1),"Main Line")</f>
        <v>26May009</v>
      </c>
      <c r="D596" s="439" t="s">
        <v>63</v>
      </c>
      <c r="E596" s="439" t="s">
        <v>144</v>
      </c>
      <c r="F596" s="439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39" t="s">
        <v>402</v>
      </c>
      <c r="H596" s="439" t="s">
        <v>881</v>
      </c>
      <c r="I596" s="439" t="s">
        <v>689</v>
      </c>
      <c r="J596" s="431" t="s">
        <v>2395</v>
      </c>
      <c r="K596" s="431" t="s">
        <v>4849</v>
      </c>
      <c r="L596" s="431">
        <v>1</v>
      </c>
      <c r="M596" s="431" t="s">
        <v>840</v>
      </c>
      <c r="N596" s="461">
        <v>46153</v>
      </c>
      <c r="O596" s="431" t="s">
        <v>4531</v>
      </c>
      <c r="P596" s="431" t="s">
        <v>71</v>
      </c>
      <c r="Q596" s="431" t="s">
        <v>72</v>
      </c>
      <c r="R596" s="431" t="str">
        <f>_xlfn.XLOOKUP(PV_DATA[[#This Row],[New Ark SKU]],Table9[New Ark SKU],Table9[Connector],,0)</f>
        <v>EVO2A</v>
      </c>
      <c r="S596" s="442" t="str">
        <f>_xlfn.XLOOKUP(PV_DATA[[#This Row],[New Ark SKU]],Table9[New Ark SKU],Table9[Cable],,0)</f>
        <v>±1200mm</v>
      </c>
      <c r="T596" s="442">
        <v>500</v>
      </c>
      <c r="U596" s="1093">
        <f>864*6</f>
        <v>5184</v>
      </c>
      <c r="V596" s="444">
        <f>PV_DATA[[#This Row],[QUANTITY]]*PV_DATA[[#This Row],[WATT]]/1000000</f>
        <v>2.5920000000000001</v>
      </c>
      <c r="W596" s="466">
        <f>PV_DATA[[#This Row],[QUANTITY]]/PV_DATA[[#This Row],[Qty/Pallet]]</f>
        <v>144</v>
      </c>
      <c r="X596" s="1044">
        <f>PV_DATA[[#This Row],[QUANTITY]]/PV_DATA[[#This Row],[Qty/CT]]</f>
        <v>6</v>
      </c>
      <c r="Y596" s="439" t="s">
        <v>951</v>
      </c>
      <c r="Z596" s="430" t="str">
        <f t="shared" si="6"/>
        <v>COMPLETED</v>
      </c>
      <c r="AA596" s="431" t="s">
        <v>4626</v>
      </c>
      <c r="AB596" s="441">
        <v>46176</v>
      </c>
      <c r="AC596" s="467">
        <f>IF(PV_DATA[[#This Row],[Pick- Up Date]]&lt;&gt;"",_xlfn.ISOWEEKNUM(PV_DATA[[#This Row],[Pick- Up Date]]),"")</f>
        <v>23</v>
      </c>
      <c r="AD596" s="431" t="s">
        <v>4850</v>
      </c>
      <c r="AF596" s="431" t="s">
        <v>77</v>
      </c>
      <c r="AG596" s="431" t="s">
        <v>61</v>
      </c>
      <c r="AH596" s="431" t="s">
        <v>888</v>
      </c>
      <c r="AI596" s="441">
        <v>46187</v>
      </c>
      <c r="AJ596" s="441"/>
      <c r="AK596" s="441">
        <v>46182</v>
      </c>
      <c r="AL596" s="441">
        <v>46240</v>
      </c>
      <c r="AM596" s="441">
        <v>46242</v>
      </c>
      <c r="AN596" s="441">
        <v>46240</v>
      </c>
      <c r="AO596" s="431" t="s">
        <v>402</v>
      </c>
      <c r="AP596" s="431" t="s">
        <v>4851</v>
      </c>
      <c r="AQ596" s="431" t="s">
        <v>161</v>
      </c>
      <c r="AR596" s="431" t="s">
        <v>4852</v>
      </c>
      <c r="AS596" s="431" t="s">
        <v>4853</v>
      </c>
      <c r="AT596" s="431">
        <v>271458329</v>
      </c>
      <c r="AU5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1"/>
      <c r="AW596" s="441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1">
        <f>IF(ISERROR(PV_DATA[[#This Row],[New Ark PO status]]),"",_xlfn.XLOOKUP(PV_DATA[[#This Row],[SPTN-PVHK New Ark PO'#]],New_Ark_Data[Purchase order Number],New_Ark_Data[Estimated time of arrival],"",0))</f>
        <v>46240</v>
      </c>
      <c r="AZ59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1">
        <f>IFERROR(PV_DATA[[#This Row],[ODP ETA Port]]+PV_DATA[[#This Row],[Customs/Leg3 Assumption]],"n/a")</f>
        <v>46240</v>
      </c>
      <c r="BB596" s="442">
        <f>YEAR(PV_DATA[[#This Row],[ETA for New Ark update]])</f>
        <v>2026</v>
      </c>
      <c r="BC596" s="431">
        <f>MONTH(PV_DATA[[#This Row],[ETA for New Ark update]])</f>
        <v>8</v>
      </c>
      <c r="BD596" s="431">
        <f>IFERROR(_xlfn.ISOWEEKNUM(PV_DATA[[#This Row],[ETA for New Ark update]]),0)</f>
        <v>32</v>
      </c>
      <c r="BE596" s="431">
        <f>_xlfn.XLOOKUP(PV_DATA[[#This Row],[New Ark SKU]],Table9[New Ark SKU],Table9[Total PCS per Pallet],,0)</f>
        <v>36</v>
      </c>
      <c r="BF596" s="431">
        <f>_xlfn.XLOOKUP(PV_DATA[[#This Row],[New Ark SKU]],Table9[New Ark SKU],Table9[Total PCS per 40HQ Container],,0)</f>
        <v>864</v>
      </c>
      <c r="BG596" s="431" t="str">
        <f>_xlfn.XLOOKUP(PV_DATA[[#This Row],[New Ark SKU]],Table9[New Ark SKU],Table9[Back Glass],,0)</f>
        <v>Black glazing</v>
      </c>
      <c r="BH596" s="431" t="str">
        <f>_xlfn.XLOOKUP(PV_DATA[[#This Row],[PORT DESTINATION]],Table12[PORT DESTINATION],Table12[Cosco Line],,0)</f>
        <v>AEU</v>
      </c>
    </row>
    <row r="597" spans="1:60" s="431" customFormat="1" ht="10.5">
      <c r="A597" s="439" t="s">
        <v>4854</v>
      </c>
      <c r="B597" s="439" t="s">
        <v>61</v>
      </c>
      <c r="C597" s="439" t="str">
        <f>IFERROR(LEFT(PV_DATA[[#This Row],[TCL REFERENCE]],FIND(".",PV_DATA[[#This Row],[TCL REFERENCE]],1)-1),"Main Line")</f>
        <v>26May009</v>
      </c>
      <c r="D597" s="439" t="s">
        <v>63</v>
      </c>
      <c r="E597" s="439" t="s">
        <v>144</v>
      </c>
      <c r="F597" s="439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39" t="s">
        <v>402</v>
      </c>
      <c r="H597" s="439" t="s">
        <v>2394</v>
      </c>
      <c r="I597" s="439" t="s">
        <v>689</v>
      </c>
      <c r="J597" s="431" t="s">
        <v>2395</v>
      </c>
      <c r="K597" s="431" t="s">
        <v>4855</v>
      </c>
      <c r="L597" s="431">
        <v>1</v>
      </c>
      <c r="M597" s="431" t="s">
        <v>840</v>
      </c>
      <c r="N597" s="461">
        <v>46153</v>
      </c>
      <c r="O597" s="431" t="s">
        <v>4531</v>
      </c>
      <c r="P597" s="431" t="s">
        <v>71</v>
      </c>
      <c r="Q597" s="431" t="s">
        <v>72</v>
      </c>
      <c r="R597" s="431" t="str">
        <f>_xlfn.XLOOKUP(PV_DATA[[#This Row],[New Ark SKU]],Table9[New Ark SKU],Table9[Connector],,0)</f>
        <v>EVO2A</v>
      </c>
      <c r="S597" s="442" t="str">
        <f>_xlfn.XLOOKUP(PV_DATA[[#This Row],[New Ark SKU]],Table9[New Ark SKU],Table9[Cable],,0)</f>
        <v>±1200mm</v>
      </c>
      <c r="T597" s="442">
        <v>500</v>
      </c>
      <c r="U597" s="1093">
        <f>864*6</f>
        <v>5184</v>
      </c>
      <c r="V597" s="444">
        <f>PV_DATA[[#This Row],[QUANTITY]]*PV_DATA[[#This Row],[WATT]]/1000000</f>
        <v>2.5920000000000001</v>
      </c>
      <c r="W597" s="466">
        <f>PV_DATA[[#This Row],[QUANTITY]]/PV_DATA[[#This Row],[Qty/Pallet]]</f>
        <v>144</v>
      </c>
      <c r="X597" s="1044">
        <f>PV_DATA[[#This Row],[QUANTITY]]/PV_DATA[[#This Row],[Qty/CT]]</f>
        <v>6</v>
      </c>
      <c r="Y597" s="439" t="s">
        <v>951</v>
      </c>
      <c r="Z597" s="430" t="str">
        <f t="shared" si="6"/>
        <v>COMPLETED</v>
      </c>
      <c r="AA597" s="431" t="s">
        <v>4729</v>
      </c>
      <c r="AB597" s="441">
        <v>46181</v>
      </c>
      <c r="AC597" s="467">
        <f>IF(PV_DATA[[#This Row],[Pick- Up Date]]&lt;&gt;"",_xlfn.ISOWEEKNUM(PV_DATA[[#This Row],[Pick- Up Date]]),"")</f>
        <v>24</v>
      </c>
      <c r="AD597" s="431" t="s">
        <v>4856</v>
      </c>
      <c r="AF597" s="431" t="s">
        <v>77</v>
      </c>
      <c r="AG597" s="431" t="s">
        <v>61</v>
      </c>
      <c r="AH597" s="431" t="s">
        <v>888</v>
      </c>
      <c r="AI597" s="441">
        <v>46187</v>
      </c>
      <c r="AJ597" s="441"/>
      <c r="AK597" s="441">
        <v>46187</v>
      </c>
      <c r="AL597" s="441">
        <v>46238</v>
      </c>
      <c r="AM597" s="441">
        <v>46240</v>
      </c>
      <c r="AN597" s="441">
        <v>46243</v>
      </c>
      <c r="AO597" s="431" t="s">
        <v>402</v>
      </c>
      <c r="AP597" s="431" t="s">
        <v>4857</v>
      </c>
      <c r="AQ597" s="431" t="s">
        <v>161</v>
      </c>
      <c r="AR597" s="431" t="s">
        <v>4858</v>
      </c>
      <c r="AS597" s="431" t="s">
        <v>4859</v>
      </c>
      <c r="AT597" s="431">
        <v>273285179</v>
      </c>
      <c r="AU5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1"/>
      <c r="AW597" s="441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1">
        <f>IF(ISERROR(PV_DATA[[#This Row],[New Ark PO status]]),"",_xlfn.XLOOKUP(PV_DATA[[#This Row],[SPTN-PVHK New Ark PO'#]],New_Ark_Data[Purchase order Number],New_Ark_Data[Estimated time of arrival],"",0))</f>
        <v>46238</v>
      </c>
      <c r="AZ5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1">
        <f>IFERROR(PV_DATA[[#This Row],[ODP ETA Port]]+PV_DATA[[#This Row],[Customs/Leg3 Assumption]],"n/a")</f>
        <v>46243</v>
      </c>
      <c r="BB597" s="442">
        <f>YEAR(PV_DATA[[#This Row],[ETA for New Ark update]])</f>
        <v>2026</v>
      </c>
      <c r="BC597" s="431">
        <f>MONTH(PV_DATA[[#This Row],[ETA for New Ark update]])</f>
        <v>8</v>
      </c>
      <c r="BD597" s="431">
        <f>IFERROR(_xlfn.ISOWEEKNUM(PV_DATA[[#This Row],[ETA for New Ark update]]),0)</f>
        <v>32</v>
      </c>
      <c r="BE597" s="431">
        <f>_xlfn.XLOOKUP(PV_DATA[[#This Row],[New Ark SKU]],Table9[New Ark SKU],Table9[Total PCS per Pallet],,0)</f>
        <v>36</v>
      </c>
      <c r="BF597" s="431">
        <f>_xlfn.XLOOKUP(PV_DATA[[#This Row],[New Ark SKU]],Table9[New Ark SKU],Table9[Total PCS per 40HQ Container],,0)</f>
        <v>864</v>
      </c>
      <c r="BG597" s="431" t="str">
        <f>_xlfn.XLOOKUP(PV_DATA[[#This Row],[New Ark SKU]],Table9[New Ark SKU],Table9[Back Glass],,0)</f>
        <v>Black glazing</v>
      </c>
      <c r="BH597" s="431" t="str">
        <f>_xlfn.XLOOKUP(PV_DATA[[#This Row],[PORT DESTINATION]],Table12[PORT DESTINATION],Table12[Cosco Line],,0)</f>
        <v>AEU</v>
      </c>
    </row>
    <row r="598" spans="1:60" s="431" customFormat="1" ht="11.5">
      <c r="A598" s="723" t="s">
        <v>4860</v>
      </c>
      <c r="B598" s="439" t="s">
        <v>61</v>
      </c>
      <c r="C598" s="439" t="str">
        <f>IFERROR(LEFT(PV_DATA[[#This Row],[TCL REFERENCE]],FIND(".",PV_DATA[[#This Row],[TCL REFERENCE]],1)-1),"Main Line")</f>
        <v>26May008</v>
      </c>
      <c r="D598" s="439" t="s">
        <v>63</v>
      </c>
      <c r="E598" s="439" t="s">
        <v>144</v>
      </c>
      <c r="F598" s="439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39" t="s">
        <v>402</v>
      </c>
      <c r="H598" s="439" t="s">
        <v>1080</v>
      </c>
      <c r="I598" s="439" t="s">
        <v>689</v>
      </c>
      <c r="J598" s="431" t="s">
        <v>4861</v>
      </c>
      <c r="K598" s="431" t="s">
        <v>2253</v>
      </c>
      <c r="L598" s="431">
        <v>6</v>
      </c>
      <c r="M598" s="431" t="s">
        <v>840</v>
      </c>
      <c r="N598" s="461">
        <v>46111</v>
      </c>
      <c r="O598" s="431" t="s">
        <v>70</v>
      </c>
      <c r="P598" s="431" t="s">
        <v>965</v>
      </c>
      <c r="Q598" s="431" t="s">
        <v>966</v>
      </c>
      <c r="R598" s="431" t="str">
        <f>_xlfn.XLOOKUP(PV_DATA[[#This Row],[New Ark SKU]],Table9[New Ark SKU],Table9[Connector],,0)</f>
        <v>EVO2A</v>
      </c>
      <c r="S598" s="442" t="str">
        <f>_xlfn.XLOOKUP(PV_DATA[[#This Row],[New Ark SKU]],Table9[New Ark SKU],Table9[Cable],,0)</f>
        <v>±1200mm</v>
      </c>
      <c r="T598" s="442">
        <v>455</v>
      </c>
      <c r="U598" s="1093">
        <f>936*2</f>
        <v>1872</v>
      </c>
      <c r="V598" s="444">
        <f>PV_DATA[[#This Row],[QUANTITY]]*PV_DATA[[#This Row],[WATT]]/1000000</f>
        <v>0.85175999999999996</v>
      </c>
      <c r="W598" s="466">
        <f>PV_DATA[[#This Row],[QUANTITY]]/PV_DATA[[#This Row],[Qty/Pallet]]</f>
        <v>52</v>
      </c>
      <c r="X598" s="1044">
        <f>PV_DATA[[#This Row],[QUANTITY]]/PV_DATA[[#This Row],[Qty/CT]]</f>
        <v>2</v>
      </c>
      <c r="Y598" s="431" t="s">
        <v>2454</v>
      </c>
      <c r="Z598" s="430" t="str">
        <f t="shared" si="6"/>
        <v>COMPLETED</v>
      </c>
      <c r="AA598" s="431" t="s">
        <v>4862</v>
      </c>
      <c r="AB598" s="441">
        <v>46182</v>
      </c>
      <c r="AC598" s="445">
        <f>IF(PV_DATA[[#This Row],[Pick- Up Date]]&lt;&gt;"",_xlfn.ISOWEEKNUM(PV_DATA[[#This Row],[Pick- Up Date]]),"")</f>
        <v>24</v>
      </c>
      <c r="AD598" s="1005" t="s">
        <v>4863</v>
      </c>
      <c r="AF598" s="431" t="s">
        <v>77</v>
      </c>
      <c r="AG598" s="431" t="s">
        <v>61</v>
      </c>
      <c r="AH598" s="431" t="s">
        <v>1084</v>
      </c>
      <c r="AI598" s="441">
        <v>46182</v>
      </c>
      <c r="AJ598" s="441">
        <v>46190</v>
      </c>
      <c r="AK598" s="441">
        <v>46189</v>
      </c>
      <c r="AL598" s="441">
        <v>46250</v>
      </c>
      <c r="AM598" s="441">
        <v>46260</v>
      </c>
      <c r="AN598" s="441">
        <v>46261</v>
      </c>
      <c r="AO598" s="431" t="s">
        <v>402</v>
      </c>
      <c r="AP598" s="431" t="s">
        <v>4747</v>
      </c>
      <c r="AQ598" s="431" t="s">
        <v>161</v>
      </c>
      <c r="AR598" s="431" t="s">
        <v>4864</v>
      </c>
      <c r="AS598" s="431" t="s">
        <v>4865</v>
      </c>
      <c r="AT598" s="431" t="s">
        <v>4865</v>
      </c>
      <c r="AU5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1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1">
        <f>IF(ISERROR(PV_DATA[[#This Row],[New Ark PO status]]),"",_xlfn.XLOOKUP(PV_DATA[[#This Row],[SPTN-PVHK New Ark PO'#]],New_Ark_Data[Purchase order Number],New_Ark_Data[Estimated time of arrival],"",0))</f>
        <v>46251</v>
      </c>
      <c r="AZ5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1">
        <f>IFERROR(PV_DATA[[#This Row],[ODP ETA Port]]+PV_DATA[[#This Row],[Customs/Leg3 Assumption]],"n/a")</f>
        <v>46261</v>
      </c>
      <c r="BB598" s="442">
        <f>YEAR(PV_DATA[[#This Row],[ETA for New Ark update]])</f>
        <v>2026</v>
      </c>
      <c r="BC598" s="431">
        <f>MONTH(PV_DATA[[#This Row],[ETA for New Ark update]])</f>
        <v>8</v>
      </c>
      <c r="BD598" s="431">
        <f>IFERROR(_xlfn.ISOWEEKNUM(PV_DATA[[#This Row],[ETA for New Ark update]]),0)</f>
        <v>35</v>
      </c>
      <c r="BE598" s="431">
        <f>_xlfn.XLOOKUP(PV_DATA[[#This Row],[New Ark SKU]],Table9[New Ark SKU],Table9[Total PCS per Pallet],,0)</f>
        <v>36</v>
      </c>
      <c r="BF598" s="431">
        <f>_xlfn.XLOOKUP(PV_DATA[[#This Row],[New Ark SKU]],Table9[New Ark SKU],Table9[Total PCS per 40HQ Container],,0)</f>
        <v>936</v>
      </c>
      <c r="BG598" s="431" t="str">
        <f>_xlfn.XLOOKUP(PV_DATA[[#This Row],[New Ark SKU]],Table9[New Ark SKU],Table9[Back Glass],,0)</f>
        <v>Black glazing</v>
      </c>
      <c r="BH598" s="431" t="str">
        <f>_xlfn.XLOOKUP(PV_DATA[[#This Row],[PORT DESTINATION]],Table12[PORT DESTINATION],Table12[Cosco Line],,0)</f>
        <v>AEU</v>
      </c>
    </row>
    <row r="599" spans="1:60" s="431" customFormat="1" ht="11.5">
      <c r="A599" s="439" t="s">
        <v>4866</v>
      </c>
      <c r="B599" s="439" t="s">
        <v>61</v>
      </c>
      <c r="C599" s="439" t="str">
        <f>IFERROR(LEFT(PV_DATA[[#This Row],[TCL REFERENCE]],FIND(".",PV_DATA[[#This Row],[TCL REFERENCE]],1)-1),"Main Line")</f>
        <v>26May007</v>
      </c>
      <c r="D599" s="439" t="s">
        <v>63</v>
      </c>
      <c r="E599" s="439" t="s">
        <v>64</v>
      </c>
      <c r="F599" s="439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39" t="s">
        <v>402</v>
      </c>
      <c r="H599" s="439" t="s">
        <v>451</v>
      </c>
      <c r="I599" s="439" t="s">
        <v>689</v>
      </c>
      <c r="J599" s="431" t="s">
        <v>96</v>
      </c>
      <c r="M599" s="431" t="s">
        <v>68</v>
      </c>
      <c r="N599" s="461">
        <v>45809</v>
      </c>
      <c r="O599" s="431" t="s">
        <v>4531</v>
      </c>
      <c r="P599" s="431" t="s">
        <v>195</v>
      </c>
      <c r="Q599" s="431" t="s">
        <v>196</v>
      </c>
      <c r="R599" s="431" t="str">
        <f>_xlfn.XLOOKUP(PV_DATA[[#This Row],[New Ark SKU]],Table9[New Ark SKU],Table9[Connector],,0)</f>
        <v>EVO2A</v>
      </c>
      <c r="S599" s="442" t="str">
        <f>_xlfn.XLOOKUP(PV_DATA[[#This Row],[New Ark SKU]],Table9[New Ark SKU],Table9[Cable],,0)</f>
        <v>±1200mm</v>
      </c>
      <c r="T599" s="442">
        <v>450</v>
      </c>
      <c r="U599" s="1093">
        <f>936*4</f>
        <v>3744</v>
      </c>
      <c r="V599" s="448">
        <f>PV_DATA[[#This Row],[QUANTITY]]*PV_DATA[[#This Row],[WATT]]/1000000</f>
        <v>1.6848000000000001</v>
      </c>
      <c r="W599" s="466">
        <f>PV_DATA[[#This Row],[QUANTITY]]/PV_DATA[[#This Row],[Qty/Pallet]]</f>
        <v>104</v>
      </c>
      <c r="X599" s="1044">
        <f>PV_DATA[[#This Row],[QUANTITY]]/PV_DATA[[#This Row],[Qty/CT]]</f>
        <v>4</v>
      </c>
      <c r="Y599" s="431" t="s">
        <v>2454</v>
      </c>
      <c r="Z599" s="430" t="str">
        <f t="shared" si="6"/>
        <v>COMPLETED</v>
      </c>
      <c r="AA599" s="431" t="s">
        <v>4820</v>
      </c>
      <c r="AB599" s="441">
        <v>46178</v>
      </c>
      <c r="AC599" s="467">
        <f>IF(PV_DATA[[#This Row],[Pick- Up Date]]&lt;&gt;"",_xlfn.ISOWEEKNUM(PV_DATA[[#This Row],[Pick- Up Date]]),"")</f>
        <v>23</v>
      </c>
      <c r="AD599" s="891" t="s">
        <v>4867</v>
      </c>
      <c r="AF599" s="431" t="s">
        <v>61</v>
      </c>
      <c r="AG599" s="431" t="s">
        <v>61</v>
      </c>
      <c r="AH599" s="431" t="s">
        <v>456</v>
      </c>
      <c r="AI599" s="441">
        <v>46184</v>
      </c>
      <c r="AJ599" s="441">
        <v>46192</v>
      </c>
      <c r="AK599" s="441">
        <v>46193</v>
      </c>
      <c r="AL599" s="441">
        <v>46231</v>
      </c>
      <c r="AM599" s="441">
        <v>46238</v>
      </c>
      <c r="AN599" s="441">
        <v>46248</v>
      </c>
      <c r="AO599" s="431" t="s">
        <v>402</v>
      </c>
      <c r="AP599" s="431" t="s">
        <v>4868</v>
      </c>
      <c r="AQ599" s="431" t="s">
        <v>161</v>
      </c>
      <c r="AR599" s="431" t="s">
        <v>4869</v>
      </c>
      <c r="AS599" s="431" t="s">
        <v>4870</v>
      </c>
      <c r="AT599" s="431" t="s">
        <v>4870</v>
      </c>
      <c r="AU5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1"/>
      <c r="AW599" s="441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1">
        <f>IF(ISERROR(PV_DATA[[#This Row],[New Ark PO status]]),"",_xlfn.XLOOKUP(PV_DATA[[#This Row],[SPTN-PVHK New Ark PO'#]],New_Ark_Data[Purchase order Number],New_Ark_Data[Estimated time of arrival],"",0))</f>
        <v>46262</v>
      </c>
      <c r="AZ59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1">
        <f>IFERROR(PV_DATA[[#This Row],[ODP ETA Port]]+PV_DATA[[#This Row],[Customs/Leg3 Assumption]],"n/a")</f>
        <v>46255</v>
      </c>
      <c r="BB599" s="442">
        <f>YEAR(PV_DATA[[#This Row],[ETA for New Ark update]])</f>
        <v>2026</v>
      </c>
      <c r="BC599" s="431">
        <f>MONTH(PV_DATA[[#This Row],[ETA for New Ark update]])</f>
        <v>8</v>
      </c>
      <c r="BD599" s="431">
        <f>IFERROR(_xlfn.ISOWEEKNUM(PV_DATA[[#This Row],[ETA for New Ark update]]),0)</f>
        <v>34</v>
      </c>
      <c r="BE599" s="431">
        <f>_xlfn.XLOOKUP(PV_DATA[[#This Row],[New Ark SKU]],Table9[New Ark SKU],Table9[Total PCS per Pallet],,0)</f>
        <v>36</v>
      </c>
      <c r="BF599" s="431">
        <f>_xlfn.XLOOKUP(PV_DATA[[#This Row],[New Ark SKU]],Table9[New Ark SKU],Table9[Total PCS per 40HQ Container],,0)</f>
        <v>936</v>
      </c>
      <c r="BG599" s="431" t="str">
        <f>_xlfn.XLOOKUP(PV_DATA[[#This Row],[New Ark SKU]],Table9[New Ark SKU],Table9[Back Glass],,0)</f>
        <v>Black glazing</v>
      </c>
      <c r="BH599" s="431" t="str">
        <f>_xlfn.XLOOKUP(PV_DATA[[#This Row],[PORT DESTINATION]],Table12[PORT DESTINATION],Table12[Cosco Line],,0)</f>
        <v>AEU</v>
      </c>
    </row>
    <row r="600" spans="1:60" s="431" customFormat="1" ht="10.5">
      <c r="A600" s="439" t="s">
        <v>4871</v>
      </c>
      <c r="B600" s="439" t="s">
        <v>61</v>
      </c>
      <c r="C600" s="439" t="str">
        <f>IFERROR(LEFT(PV_DATA[[#This Row],[TCL REFERENCE]],FIND(".",PV_DATA[[#This Row],[TCL REFERENCE]],1)-1),"Main Line")</f>
        <v>26May009</v>
      </c>
      <c r="D600" s="439" t="s">
        <v>63</v>
      </c>
      <c r="E600" s="439" t="s">
        <v>144</v>
      </c>
      <c r="F600" s="439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39" t="s">
        <v>402</v>
      </c>
      <c r="H600" s="439" t="s">
        <v>1029</v>
      </c>
      <c r="I600" s="439" t="s">
        <v>689</v>
      </c>
      <c r="J600" s="431" t="s">
        <v>4872</v>
      </c>
      <c r="K600" s="431" t="s">
        <v>2389</v>
      </c>
      <c r="L600" s="431">
        <v>4</v>
      </c>
      <c r="M600" s="431" t="s">
        <v>840</v>
      </c>
      <c r="N600" s="461">
        <v>46153</v>
      </c>
      <c r="O600" s="431" t="s">
        <v>4531</v>
      </c>
      <c r="P600" s="431" t="s">
        <v>71</v>
      </c>
      <c r="Q600" s="431" t="s">
        <v>72</v>
      </c>
      <c r="R600" s="431" t="str">
        <f>_xlfn.XLOOKUP(PV_DATA[[#This Row],[New Ark SKU]],Table9[New Ark SKU],Table9[Connector],,0)</f>
        <v>EVO2A</v>
      </c>
      <c r="S600" s="442" t="str">
        <f>_xlfn.XLOOKUP(PV_DATA[[#This Row],[New Ark SKU]],Table9[New Ark SKU],Table9[Cable],,0)</f>
        <v>±1200mm</v>
      </c>
      <c r="T600" s="442">
        <v>500</v>
      </c>
      <c r="U600" s="1093">
        <f>864*6</f>
        <v>5184</v>
      </c>
      <c r="V600" s="448">
        <f>PV_DATA[[#This Row],[QUANTITY]]*PV_DATA[[#This Row],[WATT]]/1000000</f>
        <v>2.5920000000000001</v>
      </c>
      <c r="W600" s="466">
        <f>PV_DATA[[#This Row],[QUANTITY]]/PV_DATA[[#This Row],[Qty/Pallet]]</f>
        <v>144</v>
      </c>
      <c r="X600" s="1044">
        <f>PV_DATA[[#This Row],[QUANTITY]]/PV_DATA[[#This Row],[Qty/CT]]</f>
        <v>6</v>
      </c>
      <c r="Y600" s="439" t="s">
        <v>951</v>
      </c>
      <c r="Z600" s="430" t="str">
        <f t="shared" si="6"/>
        <v>COMPLETED</v>
      </c>
      <c r="AA600" s="431" t="s">
        <v>4873</v>
      </c>
      <c r="AB600" s="441">
        <v>46181</v>
      </c>
      <c r="AC600" s="467">
        <f>IF(PV_DATA[[#This Row],[Pick- Up Date]]&lt;&gt;"",_xlfn.ISOWEEKNUM(PV_DATA[[#This Row],[Pick- Up Date]]),"")</f>
        <v>24</v>
      </c>
      <c r="AD600" s="431" t="s">
        <v>4874</v>
      </c>
      <c r="AF600" s="431" t="s">
        <v>77</v>
      </c>
      <c r="AG600" s="431" t="s">
        <v>61</v>
      </c>
      <c r="AH600" s="431" t="s">
        <v>888</v>
      </c>
      <c r="AI600" s="441">
        <v>46187</v>
      </c>
      <c r="AJ600" s="441"/>
      <c r="AK600" s="441">
        <v>46187</v>
      </c>
      <c r="AL600" s="441">
        <v>46238</v>
      </c>
      <c r="AM600" s="441">
        <v>46240</v>
      </c>
      <c r="AN600" s="441">
        <v>46243</v>
      </c>
      <c r="AO600" s="431" t="s">
        <v>402</v>
      </c>
      <c r="AP600" s="431" t="s">
        <v>4857</v>
      </c>
      <c r="AQ600" s="431" t="s">
        <v>161</v>
      </c>
      <c r="AR600" s="431" t="s">
        <v>4875</v>
      </c>
      <c r="AS600" s="431" t="s">
        <v>4876</v>
      </c>
      <c r="AT600" s="431">
        <v>273285179</v>
      </c>
      <c r="AU6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1"/>
      <c r="AW600" s="441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1">
        <f>IF(ISERROR(PV_DATA[[#This Row],[New Ark PO status]]),"",_xlfn.XLOOKUP(PV_DATA[[#This Row],[SPTN-PVHK New Ark PO'#]],New_Ark_Data[Purchase order Number],New_Ark_Data[Estimated time of arrival],"",0))</f>
        <v>46238</v>
      </c>
      <c r="AZ6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1">
        <f>IFERROR(PV_DATA[[#This Row],[ODP ETA Port]]+PV_DATA[[#This Row],[Customs/Leg3 Assumption]],"n/a")</f>
        <v>46243</v>
      </c>
      <c r="BB600" s="442">
        <f>YEAR(PV_DATA[[#This Row],[ETA for New Ark update]])</f>
        <v>2026</v>
      </c>
      <c r="BC600" s="431">
        <f>MONTH(PV_DATA[[#This Row],[ETA for New Ark update]])</f>
        <v>8</v>
      </c>
      <c r="BD600" s="431">
        <f>IFERROR(_xlfn.ISOWEEKNUM(PV_DATA[[#This Row],[ETA for New Ark update]]),0)</f>
        <v>32</v>
      </c>
      <c r="BE600" s="431">
        <f>_xlfn.XLOOKUP(PV_DATA[[#This Row],[New Ark SKU]],Table9[New Ark SKU],Table9[Total PCS per Pallet],,0)</f>
        <v>36</v>
      </c>
      <c r="BF600" s="431">
        <f>_xlfn.XLOOKUP(PV_DATA[[#This Row],[New Ark SKU]],Table9[New Ark SKU],Table9[Total PCS per 40HQ Container],,0)</f>
        <v>864</v>
      </c>
      <c r="BG600" s="431" t="str">
        <f>_xlfn.XLOOKUP(PV_DATA[[#This Row],[New Ark SKU]],Table9[New Ark SKU],Table9[Back Glass],,0)</f>
        <v>Black glazing</v>
      </c>
      <c r="BH600" s="431" t="str">
        <f>_xlfn.XLOOKUP(PV_DATA[[#This Row],[PORT DESTINATION]],Table12[PORT DESTINATION],Table12[Cosco Line],,0)</f>
        <v>AEU</v>
      </c>
    </row>
    <row r="601" spans="1:60" s="431" customFormat="1" ht="10.5">
      <c r="A601" s="439" t="s">
        <v>4877</v>
      </c>
      <c r="B601" s="439" t="s">
        <v>61</v>
      </c>
      <c r="C601" s="439" t="str">
        <f>IFERROR(LEFT(PV_DATA[[#This Row],[TCL REFERENCE]],FIND(".",PV_DATA[[#This Row],[TCL REFERENCE]],1)-1),"Main Line")</f>
        <v>26May009</v>
      </c>
      <c r="D601" s="439" t="s">
        <v>63</v>
      </c>
      <c r="E601" s="439" t="s">
        <v>144</v>
      </c>
      <c r="F601" s="439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39" t="s">
        <v>402</v>
      </c>
      <c r="H601" s="439" t="s">
        <v>1029</v>
      </c>
      <c r="I601" s="439" t="s">
        <v>689</v>
      </c>
      <c r="J601" s="431" t="s">
        <v>4878</v>
      </c>
      <c r="K601" s="431" t="s">
        <v>4879</v>
      </c>
      <c r="L601" s="431">
        <v>1</v>
      </c>
      <c r="M601" s="431" t="s">
        <v>840</v>
      </c>
      <c r="N601" s="461">
        <v>46153</v>
      </c>
      <c r="O601" s="431" t="s">
        <v>4531</v>
      </c>
      <c r="P601" s="431" t="s">
        <v>71</v>
      </c>
      <c r="Q601" s="431" t="s">
        <v>72</v>
      </c>
      <c r="R601" s="431" t="str">
        <f>_xlfn.XLOOKUP(PV_DATA[[#This Row],[New Ark SKU]],Table9[New Ark SKU],Table9[Connector],,0)</f>
        <v>EVO2A</v>
      </c>
      <c r="S601" s="442" t="str">
        <f>_xlfn.XLOOKUP(PV_DATA[[#This Row],[New Ark SKU]],Table9[New Ark SKU],Table9[Cable],,0)</f>
        <v>±1200mm</v>
      </c>
      <c r="T601" s="442">
        <v>500</v>
      </c>
      <c r="U601" s="1093">
        <f>864*8</f>
        <v>6912</v>
      </c>
      <c r="V601" s="448">
        <f>PV_DATA[[#This Row],[QUANTITY]]*PV_DATA[[#This Row],[WATT]]/1000000</f>
        <v>3.456</v>
      </c>
      <c r="W601" s="466">
        <f>PV_DATA[[#This Row],[QUANTITY]]/PV_DATA[[#This Row],[Qty/Pallet]]</f>
        <v>192</v>
      </c>
      <c r="X601" s="1044">
        <f>PV_DATA[[#This Row],[QUANTITY]]/PV_DATA[[#This Row],[Qty/CT]]</f>
        <v>8</v>
      </c>
      <c r="Y601" s="439" t="s">
        <v>951</v>
      </c>
      <c r="Z601" s="430" t="str">
        <f t="shared" si="6"/>
        <v>COMPLETED</v>
      </c>
      <c r="AA601" s="431" t="s">
        <v>4729</v>
      </c>
      <c r="AB601" s="441">
        <v>46181</v>
      </c>
      <c r="AC601" s="467">
        <f>IF(PV_DATA[[#This Row],[Pick- Up Date]]&lt;&gt;"",_xlfn.ISOWEEKNUM(PV_DATA[[#This Row],[Pick- Up Date]]),"")</f>
        <v>24</v>
      </c>
      <c r="AD601" s="431" t="s">
        <v>4880</v>
      </c>
      <c r="AF601" s="431" t="s">
        <v>61</v>
      </c>
      <c r="AG601" s="431" t="s">
        <v>61</v>
      </c>
      <c r="AH601" s="431" t="s">
        <v>888</v>
      </c>
      <c r="AI601" s="441">
        <v>46187</v>
      </c>
      <c r="AJ601" s="441"/>
      <c r="AK601" s="441">
        <v>46187</v>
      </c>
      <c r="AL601" s="441">
        <v>46238</v>
      </c>
      <c r="AM601" s="441">
        <v>46240</v>
      </c>
      <c r="AN601" s="441">
        <v>46243</v>
      </c>
      <c r="AO601" s="431" t="s">
        <v>402</v>
      </c>
      <c r="AP601" s="431" t="s">
        <v>4857</v>
      </c>
      <c r="AQ601" s="431" t="s">
        <v>161</v>
      </c>
      <c r="AR601" s="431" t="s">
        <v>4875</v>
      </c>
      <c r="AS601" s="431" t="s">
        <v>4876</v>
      </c>
      <c r="AT601" s="431">
        <v>273285179</v>
      </c>
      <c r="AU6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1"/>
      <c r="AW601" s="441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1">
        <f>IF(ISERROR(PV_DATA[[#This Row],[New Ark PO status]]),"",_xlfn.XLOOKUP(PV_DATA[[#This Row],[SPTN-PVHK New Ark PO'#]],New_Ark_Data[Purchase order Number],New_Ark_Data[Estimated time of arrival],"",0))</f>
        <v>46238</v>
      </c>
      <c r="AZ60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1">
        <f>IFERROR(PV_DATA[[#This Row],[ODP ETA Port]]+PV_DATA[[#This Row],[Customs/Leg3 Assumption]],"n/a")</f>
        <v>46243</v>
      </c>
      <c r="BB601" s="442">
        <f>YEAR(PV_DATA[[#This Row],[ETA for New Ark update]])</f>
        <v>2026</v>
      </c>
      <c r="BC601" s="431">
        <f>MONTH(PV_DATA[[#This Row],[ETA for New Ark update]])</f>
        <v>8</v>
      </c>
      <c r="BD601" s="431">
        <f>IFERROR(_xlfn.ISOWEEKNUM(PV_DATA[[#This Row],[ETA for New Ark update]]),0)</f>
        <v>32</v>
      </c>
      <c r="BE601" s="431">
        <f>_xlfn.XLOOKUP(PV_DATA[[#This Row],[New Ark SKU]],Table9[New Ark SKU],Table9[Total PCS per Pallet],,0)</f>
        <v>36</v>
      </c>
      <c r="BF601" s="431">
        <f>_xlfn.XLOOKUP(PV_DATA[[#This Row],[New Ark SKU]],Table9[New Ark SKU],Table9[Total PCS per 40HQ Container],,0)</f>
        <v>864</v>
      </c>
      <c r="BG601" s="431" t="str">
        <f>_xlfn.XLOOKUP(PV_DATA[[#This Row],[New Ark SKU]],Table9[New Ark SKU],Table9[Back Glass],,0)</f>
        <v>Black glazing</v>
      </c>
      <c r="BH601" s="431" t="str">
        <f>_xlfn.XLOOKUP(PV_DATA[[#This Row],[PORT DESTINATION]],Table12[PORT DESTINATION],Table12[Cosco Line],,0)</f>
        <v>AEU</v>
      </c>
    </row>
    <row r="602" spans="1:60" s="431" customFormat="1" ht="10.5">
      <c r="A602" s="439" t="s">
        <v>4881</v>
      </c>
      <c r="B602" s="439" t="s">
        <v>61</v>
      </c>
      <c r="C602" s="439" t="str">
        <f>IFERROR(LEFT(PV_DATA[[#This Row],[TCL REFERENCE]],FIND(".",PV_DATA[[#This Row],[TCL REFERENCE]],1)-1),"Main Line")</f>
        <v>26May007</v>
      </c>
      <c r="D602" s="439" t="s">
        <v>63</v>
      </c>
      <c r="E602" s="439" t="s">
        <v>144</v>
      </c>
      <c r="F602" s="439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39" t="s">
        <v>402</v>
      </c>
      <c r="H602" s="719" t="s">
        <v>1449</v>
      </c>
      <c r="I602" s="439" t="s">
        <v>689</v>
      </c>
      <c r="J602" s="431" t="s">
        <v>4619</v>
      </c>
      <c r="K602" s="431" t="s">
        <v>4620</v>
      </c>
      <c r="L602" s="431">
        <v>1</v>
      </c>
      <c r="M602" s="431" t="s">
        <v>840</v>
      </c>
      <c r="N602" s="461">
        <v>45809</v>
      </c>
      <c r="O602" s="431" t="s">
        <v>4531</v>
      </c>
      <c r="P602" s="431" t="s">
        <v>195</v>
      </c>
      <c r="Q602" s="431" t="s">
        <v>196</v>
      </c>
      <c r="R602" s="431" t="str">
        <f>_xlfn.XLOOKUP(PV_DATA[[#This Row],[New Ark SKU]],Table9[New Ark SKU],Table9[Connector],,0)</f>
        <v>EVO2A</v>
      </c>
      <c r="S602" s="442" t="str">
        <f>_xlfn.XLOOKUP(PV_DATA[[#This Row],[New Ark SKU]],Table9[New Ark SKU],Table9[Cable],,0)</f>
        <v>±1200mm</v>
      </c>
      <c r="T602" s="442">
        <v>450</v>
      </c>
      <c r="U602" s="1093">
        <v>936</v>
      </c>
      <c r="V602" s="448">
        <f>PV_DATA[[#This Row],[QUANTITY]]*PV_DATA[[#This Row],[WATT]]/1000000</f>
        <v>0.42120000000000002</v>
      </c>
      <c r="W602" s="466">
        <f>PV_DATA[[#This Row],[QUANTITY]]/PV_DATA[[#This Row],[Qty/Pallet]]</f>
        <v>26</v>
      </c>
      <c r="X602" s="1044">
        <v>1</v>
      </c>
      <c r="Y602" s="439" t="s">
        <v>951</v>
      </c>
      <c r="Z602" s="430" t="str">
        <f t="shared" si="6"/>
        <v>COMPLETED</v>
      </c>
      <c r="AA602" s="431" t="s">
        <v>4882</v>
      </c>
      <c r="AB602" s="441">
        <v>46180</v>
      </c>
      <c r="AC602" s="467">
        <f>IF(PV_DATA[[#This Row],[Pick- Up Date]]&lt;&gt;"",_xlfn.ISOWEEKNUM(PV_DATA[[#This Row],[Pick- Up Date]]),"")</f>
        <v>23</v>
      </c>
      <c r="AD602" s="431" t="s">
        <v>4883</v>
      </c>
      <c r="AF602" s="431" t="s">
        <v>61</v>
      </c>
      <c r="AG602" s="431" t="s">
        <v>61</v>
      </c>
      <c r="AH602" s="431" t="s">
        <v>105</v>
      </c>
      <c r="AI602" s="441">
        <v>46186</v>
      </c>
      <c r="AJ602" s="441"/>
      <c r="AK602" s="441">
        <v>46187</v>
      </c>
      <c r="AL602" s="441">
        <v>46235</v>
      </c>
      <c r="AM602" s="586">
        <f>IFERROR(VLOOKUP(AT602, Vessel!A:H, 8, FALSE), "")</f>
        <v>46242.041666666664</v>
      </c>
      <c r="AN602" s="586">
        <v>46241.871620370373</v>
      </c>
      <c r="AO602" s="431" t="s">
        <v>402</v>
      </c>
      <c r="AP602" s="431" t="s">
        <v>4884</v>
      </c>
      <c r="AQ602" s="431" t="s">
        <v>80</v>
      </c>
      <c r="AR602" s="431" t="s">
        <v>4885</v>
      </c>
      <c r="AS602" s="431" t="s">
        <v>4886</v>
      </c>
      <c r="AT602" s="431" t="s">
        <v>4886</v>
      </c>
      <c r="AU6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54.871620370373421</v>
      </c>
      <c r="AV602" s="441"/>
      <c r="AW602" s="441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46241.871620370373</v>
      </c>
      <c r="AX6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1">
        <f>IF(ISERROR(PV_DATA[[#This Row],[New Ark PO status]]),"",_xlfn.XLOOKUP(PV_DATA[[#This Row],[SPTN-PVHK New Ark PO'#]],New_Ark_Data[Purchase order Number],New_Ark_Data[Estimated time of arrival],"",0))</f>
        <v>46235</v>
      </c>
      <c r="AZ60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1">
        <f>IFERROR(PV_DATA[[#This Row],[ODP ETA Port]]+PV_DATA[[#This Row],[Customs/Leg3 Assumption]],"n/a")</f>
        <v>46241.871620370373</v>
      </c>
      <c r="BB602" s="442">
        <f>YEAR(PV_DATA[[#This Row],[ETA for New Ark update]])</f>
        <v>2026</v>
      </c>
      <c r="BC602" s="431">
        <f>MONTH(PV_DATA[[#This Row],[ETA for New Ark update]])</f>
        <v>8</v>
      </c>
      <c r="BD602" s="431">
        <f>IFERROR(_xlfn.ISOWEEKNUM(PV_DATA[[#This Row],[ETA for New Ark update]]),0)</f>
        <v>32</v>
      </c>
      <c r="BE602" s="431">
        <f>_xlfn.XLOOKUP(PV_DATA[[#This Row],[New Ark SKU]],Table9[New Ark SKU],Table9[Total PCS per Pallet],,0)</f>
        <v>36</v>
      </c>
      <c r="BF602" s="431">
        <f>_xlfn.XLOOKUP(PV_DATA[[#This Row],[New Ark SKU]],Table9[New Ark SKU],Table9[Total PCS per 40HQ Container],,0)</f>
        <v>936</v>
      </c>
      <c r="BG602" s="431" t="str">
        <f>_xlfn.XLOOKUP(PV_DATA[[#This Row],[New Ark SKU]],Table9[New Ark SKU],Table9[Back Glass],,0)</f>
        <v>Black glazing</v>
      </c>
      <c r="BH602" s="431" t="str">
        <f>_xlfn.XLOOKUP(PV_DATA[[#This Row],[PORT DESTINATION]],Table12[PORT DESTINATION],Table12[Cosco Line],,0)</f>
        <v>AEU</v>
      </c>
    </row>
    <row r="603" spans="1:60" s="431" customFormat="1" ht="10.5">
      <c r="A603" s="439" t="s">
        <v>4887</v>
      </c>
      <c r="B603" s="439" t="s">
        <v>61</v>
      </c>
      <c r="C603" s="439" t="s">
        <v>4888</v>
      </c>
      <c r="D603" s="439" t="s">
        <v>63</v>
      </c>
      <c r="E603" s="439" t="s">
        <v>144</v>
      </c>
      <c r="F603" s="439" t="s">
        <v>145</v>
      </c>
      <c r="G603" s="439" t="s">
        <v>402</v>
      </c>
      <c r="H603" s="719" t="s">
        <v>1449</v>
      </c>
      <c r="I603" s="439" t="s">
        <v>689</v>
      </c>
      <c r="J603" s="431" t="s">
        <v>4619</v>
      </c>
      <c r="K603" s="431" t="s">
        <v>4620</v>
      </c>
      <c r="L603" s="431">
        <v>1</v>
      </c>
      <c r="M603" s="431" t="s">
        <v>840</v>
      </c>
      <c r="N603" s="461">
        <v>45809</v>
      </c>
      <c r="O603" s="431" t="s">
        <v>4531</v>
      </c>
      <c r="P603" s="431" t="s">
        <v>195</v>
      </c>
      <c r="Q603" s="431" t="s">
        <v>196</v>
      </c>
      <c r="R603" s="431" t="str">
        <f>_xlfn.XLOOKUP(PV_DATA[[#This Row],[New Ark SKU]],Table9[New Ark SKU],Table9[Connector],,0)</f>
        <v>EVO2A</v>
      </c>
      <c r="S603" s="442" t="str">
        <f>_xlfn.XLOOKUP(PV_DATA[[#This Row],[New Ark SKU]],Table9[New Ark SKU],Table9[Cable],,0)</f>
        <v>±1200mm</v>
      </c>
      <c r="T603" s="442">
        <v>450</v>
      </c>
      <c r="U603" s="1093">
        <v>4680</v>
      </c>
      <c r="V603" s="448">
        <f>PV_DATA[[#This Row],[QUANTITY]]*PV_DATA[[#This Row],[WATT]]/1000000</f>
        <v>2.1059999999999999</v>
      </c>
      <c r="W603" s="466">
        <f>PV_DATA[[#This Row],[QUANTITY]]/PV_DATA[[#This Row],[Qty/Pallet]]</f>
        <v>130</v>
      </c>
      <c r="X603" s="1044">
        <v>5</v>
      </c>
      <c r="Y603" s="439" t="s">
        <v>951</v>
      </c>
      <c r="Z603" s="430" t="str">
        <f t="shared" si="6"/>
        <v>COMPLETED</v>
      </c>
      <c r="AA603" s="431" t="s">
        <v>4889</v>
      </c>
      <c r="AB603" s="441">
        <v>46180</v>
      </c>
      <c r="AC603" s="467">
        <f>IF(PV_DATA[[#This Row],[Pick- Up Date]]&lt;&gt;"",_xlfn.ISOWEEKNUM(PV_DATA[[#This Row],[Pick- Up Date]]),"")</f>
        <v>23</v>
      </c>
      <c r="AD603" s="431" t="s">
        <v>4890</v>
      </c>
      <c r="AF603" s="431" t="s">
        <v>61</v>
      </c>
      <c r="AG603" s="431" t="s">
        <v>61</v>
      </c>
      <c r="AH603" s="431" t="s">
        <v>105</v>
      </c>
      <c r="AI603" s="441">
        <v>46186</v>
      </c>
      <c r="AJ603" s="441"/>
      <c r="AK603" s="441">
        <v>46187</v>
      </c>
      <c r="AL603" s="441">
        <v>46226</v>
      </c>
      <c r="AM603" s="441">
        <v>46233</v>
      </c>
      <c r="AN603" s="441">
        <v>46233</v>
      </c>
      <c r="AO603" s="431" t="s">
        <v>402</v>
      </c>
      <c r="AP603" s="431" t="s">
        <v>4884</v>
      </c>
      <c r="AQ603" s="431" t="s">
        <v>80</v>
      </c>
      <c r="AR603" s="431" t="s">
        <v>4891</v>
      </c>
      <c r="AS603" s="431" t="s">
        <v>4892</v>
      </c>
      <c r="AT603" s="431" t="s">
        <v>4892</v>
      </c>
      <c r="AU6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1"/>
      <c r="AW603" s="441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1">
        <f>IF(ISERROR(PV_DATA[[#This Row],[New Ark PO status]]),"",_xlfn.XLOOKUP(PV_DATA[[#This Row],[SPTN-PVHK New Ark PO'#]],New_Ark_Data[Purchase order Number],New_Ark_Data[Estimated time of arrival],"",0))</f>
        <v>46226</v>
      </c>
      <c r="AZ60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1">
        <f>IFERROR(PV_DATA[[#This Row],[ODP ETA Port]]+PV_DATA[[#This Row],[Customs/Leg3 Assumption]],"n/a")</f>
        <v>46233</v>
      </c>
      <c r="BB603" s="442">
        <f>YEAR(PV_DATA[[#This Row],[ETA for New Ark update]])</f>
        <v>2026</v>
      </c>
      <c r="BC603" s="431">
        <f>MONTH(PV_DATA[[#This Row],[ETA for New Ark update]])</f>
        <v>7</v>
      </c>
      <c r="BD603" s="431">
        <f>IFERROR(_xlfn.ISOWEEKNUM(PV_DATA[[#This Row],[ETA for New Ark update]]),0)</f>
        <v>31</v>
      </c>
      <c r="BE603" s="431">
        <f>_xlfn.XLOOKUP(PV_DATA[[#This Row],[New Ark SKU]],Table9[New Ark SKU],Table9[Total PCS per Pallet],,0)</f>
        <v>36</v>
      </c>
      <c r="BF603" s="431">
        <f>_xlfn.XLOOKUP(PV_DATA[[#This Row],[New Ark SKU]],Table9[New Ark SKU],Table9[Total PCS per 40HQ Container],,0)</f>
        <v>936</v>
      </c>
      <c r="BG603" s="431" t="str">
        <f>_xlfn.XLOOKUP(PV_DATA[[#This Row],[New Ark SKU]],Table9[New Ark SKU],Table9[Back Glass],,0)</f>
        <v>Black glazing</v>
      </c>
      <c r="BH603" s="431" t="str">
        <f>_xlfn.XLOOKUP(PV_DATA[[#This Row],[PORT DESTINATION]],Table12[PORT DESTINATION],Table12[Cosco Line],,0)</f>
        <v>AEU</v>
      </c>
    </row>
    <row r="604" spans="1:60" s="431" customFormat="1" ht="11.5">
      <c r="A604" s="723" t="s">
        <v>4893</v>
      </c>
      <c r="B604" s="439" t="s">
        <v>61</v>
      </c>
      <c r="C604" s="439" t="str">
        <f>IFERROR(LEFT(PV_DATA[[#This Row],[TCL REFERENCE]],FIND(".",PV_DATA[[#This Row],[TCL REFERENCE]],1)-1),"Main Line")</f>
        <v>26May007</v>
      </c>
      <c r="D604" s="439" t="s">
        <v>63</v>
      </c>
      <c r="E604" s="439" t="s">
        <v>64</v>
      </c>
      <c r="F604" s="439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39" t="s">
        <v>402</v>
      </c>
      <c r="H604" s="439" t="s">
        <v>67</v>
      </c>
      <c r="I604" s="439" t="s">
        <v>689</v>
      </c>
      <c r="J604" s="431" t="s">
        <v>4894</v>
      </c>
      <c r="M604" s="431" t="s">
        <v>68</v>
      </c>
      <c r="N604" s="461">
        <v>45809</v>
      </c>
      <c r="O604" s="431" t="s">
        <v>4531</v>
      </c>
      <c r="P604" s="431" t="s">
        <v>195</v>
      </c>
      <c r="Q604" s="431" t="s">
        <v>196</v>
      </c>
      <c r="R604" s="431" t="str">
        <f>_xlfn.XLOOKUP(PV_DATA[[#This Row],[New Ark SKU]],Table9[New Ark SKU],Table9[Connector],,0)</f>
        <v>EVO2A</v>
      </c>
      <c r="S604" s="442" t="str">
        <f>_xlfn.XLOOKUP(PV_DATA[[#This Row],[New Ark SKU]],Table9[New Ark SKU],Table9[Cable],,0)</f>
        <v>±1200mm</v>
      </c>
      <c r="T604" s="442">
        <v>450</v>
      </c>
      <c r="U604" s="1093">
        <f>936*2</f>
        <v>1872</v>
      </c>
      <c r="V604" s="448">
        <f>PV_DATA[[#This Row],[QUANTITY]]*PV_DATA[[#This Row],[WATT]]/1000000</f>
        <v>0.84240000000000004</v>
      </c>
      <c r="W604" s="466">
        <f>PV_DATA[[#This Row],[QUANTITY]]/PV_DATA[[#This Row],[Qty/Pallet]]</f>
        <v>52</v>
      </c>
      <c r="X604" s="1044">
        <f>PV_DATA[[#This Row],[QUANTITY]]/PV_DATA[[#This Row],[Qty/CT]]</f>
        <v>2</v>
      </c>
      <c r="Y604" s="431" t="s">
        <v>2454</v>
      </c>
      <c r="Z604" s="430" t="str">
        <f t="shared" si="6"/>
        <v>COMPLETED</v>
      </c>
      <c r="AA604" s="431" t="s">
        <v>4862</v>
      </c>
      <c r="AB604" s="441">
        <v>46180</v>
      </c>
      <c r="AC604" s="467">
        <f>IF(PV_DATA[[#This Row],[Pick- Up Date]]&lt;&gt;"",_xlfn.ISOWEEKNUM(PV_DATA[[#This Row],[Pick- Up Date]]),"")</f>
        <v>23</v>
      </c>
      <c r="AD604" s="1005" t="s">
        <v>4895</v>
      </c>
      <c r="AF604" s="431" t="s">
        <v>61</v>
      </c>
      <c r="AG604" s="431" t="s">
        <v>61</v>
      </c>
      <c r="AH604" s="431" t="s">
        <v>105</v>
      </c>
      <c r="AI604" s="441">
        <v>46186</v>
      </c>
      <c r="AJ604" s="441">
        <v>46197</v>
      </c>
      <c r="AK604" s="441">
        <v>46197</v>
      </c>
      <c r="AL604" s="441">
        <v>46226</v>
      </c>
      <c r="AM604" s="441">
        <v>46243</v>
      </c>
      <c r="AN604" s="441">
        <v>46246</v>
      </c>
      <c r="AO604" s="431" t="s">
        <v>402</v>
      </c>
      <c r="AP604" s="431" t="s">
        <v>4896</v>
      </c>
      <c r="AQ604" s="431" t="s">
        <v>161</v>
      </c>
      <c r="AR604" s="431" t="s">
        <v>4897</v>
      </c>
      <c r="AS604" s="431" t="s">
        <v>4898</v>
      </c>
      <c r="AT604" s="431" t="s">
        <v>4898</v>
      </c>
      <c r="AU6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1"/>
      <c r="AW604" s="441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1">
        <f>IF(ISERROR(PV_DATA[[#This Row],[New Ark PO status]]),"",_xlfn.XLOOKUP(PV_DATA[[#This Row],[SPTN-PVHK New Ark PO'#]],New_Ark_Data[Purchase order Number],New_Ark_Data[Estimated time of arrival],"",0))</f>
        <v>46258</v>
      </c>
      <c r="AZ60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1">
        <f>IFERROR(PV_DATA[[#This Row],[ODP ETA Port]]+PV_DATA[[#This Row],[Customs/Leg3 Assumption]],"n/a")</f>
        <v>46253</v>
      </c>
      <c r="BB604" s="442">
        <f>YEAR(PV_DATA[[#This Row],[ETA for New Ark update]])</f>
        <v>2026</v>
      </c>
      <c r="BC604" s="431">
        <f>MONTH(PV_DATA[[#This Row],[ETA for New Ark update]])</f>
        <v>8</v>
      </c>
      <c r="BD604" s="431">
        <f>IFERROR(_xlfn.ISOWEEKNUM(PV_DATA[[#This Row],[ETA for New Ark update]]),0)</f>
        <v>34</v>
      </c>
      <c r="BE604" s="431">
        <f>_xlfn.XLOOKUP(PV_DATA[[#This Row],[New Ark SKU]],Table9[New Ark SKU],Table9[Total PCS per Pallet],,0)</f>
        <v>36</v>
      </c>
      <c r="BF604" s="431">
        <f>_xlfn.XLOOKUP(PV_DATA[[#This Row],[New Ark SKU]],Table9[New Ark SKU],Table9[Total PCS per 40HQ Container],,0)</f>
        <v>936</v>
      </c>
      <c r="BG604" s="431" t="str">
        <f>_xlfn.XLOOKUP(PV_DATA[[#This Row],[New Ark SKU]],Table9[New Ark SKU],Table9[Back Glass],,0)</f>
        <v>Black glazing</v>
      </c>
      <c r="BH604" s="431" t="str">
        <f>_xlfn.XLOOKUP(PV_DATA[[#This Row],[PORT DESTINATION]],Table12[PORT DESTINATION],Table12[Cosco Line],,0)</f>
        <v>AEU</v>
      </c>
    </row>
    <row r="605" spans="1:60" s="431" customFormat="1" ht="11.5">
      <c r="A605" s="723" t="s">
        <v>4899</v>
      </c>
      <c r="B605" s="439" t="s">
        <v>61</v>
      </c>
      <c r="C605" s="439" t="str">
        <f>IFERROR(LEFT(PV_DATA[[#This Row],[TCL REFERENCE]],FIND(".",PV_DATA[[#This Row],[TCL REFERENCE]],1)-1),"Main Line")</f>
        <v>26May008</v>
      </c>
      <c r="D605" s="439" t="s">
        <v>63</v>
      </c>
      <c r="E605" s="439" t="s">
        <v>64</v>
      </c>
      <c r="F605" s="439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39" t="s">
        <v>402</v>
      </c>
      <c r="H605" s="439" t="s">
        <v>67</v>
      </c>
      <c r="I605" s="439" t="s">
        <v>689</v>
      </c>
      <c r="J605" s="431" t="s">
        <v>4894</v>
      </c>
      <c r="M605" s="431" t="s">
        <v>68</v>
      </c>
      <c r="N605" s="461">
        <v>45809</v>
      </c>
      <c r="O605" s="431" t="s">
        <v>4531</v>
      </c>
      <c r="P605" s="431" t="s">
        <v>965</v>
      </c>
      <c r="Q605" s="431" t="s">
        <v>966</v>
      </c>
      <c r="R605" s="431" t="str">
        <f>_xlfn.XLOOKUP(PV_DATA[[#This Row],[New Ark SKU]],Table9[New Ark SKU],Table9[Connector],,0)</f>
        <v>EVO2A</v>
      </c>
      <c r="S605" s="442" t="str">
        <f>_xlfn.XLOOKUP(PV_DATA[[#This Row],[New Ark SKU]],Table9[New Ark SKU],Table9[Cable],,0)</f>
        <v>±1200mm</v>
      </c>
      <c r="T605" s="442">
        <v>455</v>
      </c>
      <c r="U605" s="1093">
        <f>936*2</f>
        <v>1872</v>
      </c>
      <c r="V605" s="448">
        <f>PV_DATA[[#This Row],[QUANTITY]]*PV_DATA[[#This Row],[WATT]]/1000000</f>
        <v>0.85175999999999996</v>
      </c>
      <c r="W605" s="466">
        <f>PV_DATA[[#This Row],[QUANTITY]]/PV_DATA[[#This Row],[Qty/Pallet]]</f>
        <v>52</v>
      </c>
      <c r="X605" s="1044">
        <f>PV_DATA[[#This Row],[QUANTITY]]/PV_DATA[[#This Row],[Qty/CT]]</f>
        <v>2</v>
      </c>
      <c r="Y605" s="431" t="s">
        <v>2454</v>
      </c>
      <c r="Z605" s="430" t="str">
        <f t="shared" si="6"/>
        <v>COMPLETED</v>
      </c>
      <c r="AA605" s="431" t="s">
        <v>4862</v>
      </c>
      <c r="AB605" s="441">
        <v>46180</v>
      </c>
      <c r="AC605" s="467">
        <f>IF(PV_DATA[[#This Row],[Pick- Up Date]]&lt;&gt;"",_xlfn.ISOWEEKNUM(PV_DATA[[#This Row],[Pick- Up Date]]),"")</f>
        <v>23</v>
      </c>
      <c r="AD605" s="1005" t="s">
        <v>4900</v>
      </c>
      <c r="AF605" s="431" t="s">
        <v>61</v>
      </c>
      <c r="AG605" s="431" t="s">
        <v>61</v>
      </c>
      <c r="AH605" s="431" t="s">
        <v>105</v>
      </c>
      <c r="AI605" s="441">
        <v>46186</v>
      </c>
      <c r="AJ605" s="441">
        <v>46197</v>
      </c>
      <c r="AK605" s="441">
        <v>46197</v>
      </c>
      <c r="AL605" s="441">
        <v>46226</v>
      </c>
      <c r="AM605" s="441">
        <v>46243</v>
      </c>
      <c r="AN605" s="441">
        <v>46246</v>
      </c>
      <c r="AO605" s="431" t="s">
        <v>402</v>
      </c>
      <c r="AP605" s="431" t="s">
        <v>4896</v>
      </c>
      <c r="AQ605" s="431" t="s">
        <v>161</v>
      </c>
      <c r="AR605" s="431" t="s">
        <v>4897</v>
      </c>
      <c r="AS605" s="431" t="s">
        <v>4898</v>
      </c>
      <c r="AT605" s="431" t="s">
        <v>4898</v>
      </c>
      <c r="AU6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1"/>
      <c r="AW605" s="441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1">
        <f>IF(ISERROR(PV_DATA[[#This Row],[New Ark PO status]]),"",_xlfn.XLOOKUP(PV_DATA[[#This Row],[SPTN-PVHK New Ark PO'#]],New_Ark_Data[Purchase order Number],New_Ark_Data[Estimated time of arrival],"",0))</f>
        <v>46258</v>
      </c>
      <c r="AZ60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1">
        <f>IFERROR(PV_DATA[[#This Row],[ODP ETA Port]]+PV_DATA[[#This Row],[Customs/Leg3 Assumption]],"n/a")</f>
        <v>46253</v>
      </c>
      <c r="BB605" s="442">
        <f>YEAR(PV_DATA[[#This Row],[ETA for New Ark update]])</f>
        <v>2026</v>
      </c>
      <c r="BC605" s="431">
        <f>MONTH(PV_DATA[[#This Row],[ETA for New Ark update]])</f>
        <v>8</v>
      </c>
      <c r="BD605" s="431">
        <f>IFERROR(_xlfn.ISOWEEKNUM(PV_DATA[[#This Row],[ETA for New Ark update]]),0)</f>
        <v>34</v>
      </c>
      <c r="BE605" s="431">
        <f>_xlfn.XLOOKUP(PV_DATA[[#This Row],[New Ark SKU]],Table9[New Ark SKU],Table9[Total PCS per Pallet],,0)</f>
        <v>36</v>
      </c>
      <c r="BF605" s="431">
        <f>_xlfn.XLOOKUP(PV_DATA[[#This Row],[New Ark SKU]],Table9[New Ark SKU],Table9[Total PCS per 40HQ Container],,0)</f>
        <v>936</v>
      </c>
      <c r="BG605" s="431" t="str">
        <f>_xlfn.XLOOKUP(PV_DATA[[#This Row],[New Ark SKU]],Table9[New Ark SKU],Table9[Back Glass],,0)</f>
        <v>Black glazing</v>
      </c>
      <c r="BH605" s="431" t="str">
        <f>_xlfn.XLOOKUP(PV_DATA[[#This Row],[PORT DESTINATION]],Table12[PORT DESTINATION],Table12[Cosco Line],,0)</f>
        <v>AEU</v>
      </c>
    </row>
    <row r="606" spans="1:60" s="431" customFormat="1" ht="10.5">
      <c r="A606" s="439" t="s">
        <v>4901</v>
      </c>
      <c r="B606" s="439" t="s">
        <v>61</v>
      </c>
      <c r="C606" s="439" t="s">
        <v>4902</v>
      </c>
      <c r="D606" s="439" t="s">
        <v>63</v>
      </c>
      <c r="E606" s="439" t="s">
        <v>64</v>
      </c>
      <c r="F606" s="439" t="s">
        <v>65</v>
      </c>
      <c r="G606" s="439" t="s">
        <v>402</v>
      </c>
      <c r="H606" s="439" t="s">
        <v>67</v>
      </c>
      <c r="I606" s="439" t="s">
        <v>689</v>
      </c>
      <c r="J606" s="431" t="s">
        <v>96</v>
      </c>
      <c r="M606" s="431" t="s">
        <v>68</v>
      </c>
      <c r="N606" s="461">
        <v>46153</v>
      </c>
      <c r="O606" s="431" t="s">
        <v>4531</v>
      </c>
      <c r="P606" s="431" t="s">
        <v>71</v>
      </c>
      <c r="Q606" s="431" t="s">
        <v>72</v>
      </c>
      <c r="R606" s="431" t="str">
        <f>_xlfn.XLOOKUP(PV_DATA[[#This Row],[New Ark SKU]],Table9[New Ark SKU],Table9[Connector],,0)</f>
        <v>EVO2A</v>
      </c>
      <c r="S606" s="442" t="str">
        <f>_xlfn.XLOOKUP(PV_DATA[[#This Row],[New Ark SKU]],Table9[New Ark SKU],Table9[Cable],,0)</f>
        <v>±1200mm</v>
      </c>
      <c r="T606" s="442">
        <v>500</v>
      </c>
      <c r="U606" s="1089">
        <v>3456</v>
      </c>
      <c r="V606" s="448">
        <f>PV_DATA[[#This Row],[QUANTITY]]*PV_DATA[[#This Row],[WATT]]/1000000</f>
        <v>1.728</v>
      </c>
      <c r="W606" s="466">
        <f>PV_DATA[[#This Row],[QUANTITY]]/PV_DATA[[#This Row],[Qty/Pallet]]</f>
        <v>96</v>
      </c>
      <c r="X606" s="1044">
        <v>4</v>
      </c>
      <c r="Y606" s="439" t="s">
        <v>951</v>
      </c>
      <c r="Z606" s="430" t="str">
        <f t="shared" si="6"/>
        <v>COMPLETED</v>
      </c>
      <c r="AA606" s="431" t="s">
        <v>4873</v>
      </c>
      <c r="AB606" s="441">
        <v>46178</v>
      </c>
      <c r="AC606" s="467">
        <f>IF(PV_DATA[[#This Row],[Pick- Up Date]]&lt;&gt;"",_xlfn.ISOWEEKNUM(PV_DATA[[#This Row],[Pick- Up Date]]),"")</f>
        <v>23</v>
      </c>
      <c r="AD606" s="431" t="s">
        <v>4903</v>
      </c>
      <c r="AF606" s="431" t="s">
        <v>61</v>
      </c>
      <c r="AG606" s="431" t="s">
        <v>61</v>
      </c>
      <c r="AH606" s="431" t="s">
        <v>78</v>
      </c>
      <c r="AI606" s="441">
        <v>46186</v>
      </c>
      <c r="AJ606" s="441"/>
      <c r="AK606" s="441">
        <v>46187</v>
      </c>
      <c r="AL606" s="441">
        <v>46251</v>
      </c>
      <c r="AM606" s="586">
        <f>IFERROR(VLOOKUP(AT606, Vessel!A:H, 8, FALSE), "")</f>
        <v>46259.25</v>
      </c>
      <c r="AN606" s="586">
        <f>IF(VLOOKUP(AT606, Vessel!A:I, 9, FALSE)=0, "", VLOOKUP(AT606, Vessel!A:I, 9, FALSE))</f>
        <v>46259.238761574074</v>
      </c>
      <c r="AO606" s="431" t="s">
        <v>402</v>
      </c>
      <c r="AP606" s="431" t="s">
        <v>4884</v>
      </c>
      <c r="AQ606" s="431" t="s">
        <v>80</v>
      </c>
      <c r="AR606" s="431" t="s">
        <v>4904</v>
      </c>
      <c r="AS606" s="431" t="s">
        <v>4905</v>
      </c>
      <c r="AT606" s="431" t="s">
        <v>4905</v>
      </c>
      <c r="AU6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72.238761574073578</v>
      </c>
      <c r="AV606" s="441"/>
      <c r="AW606" s="441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6" s="441">
        <f>IF(ISERROR(PV_DATA[[#This Row],[New Ark PO status]]),"",_xlfn.XLOOKUP(PV_DATA[[#This Row],[SPTN-PVHK New Ark PO'#]],New_Ark_Data[Purchase order Number],New_Ark_Data[Estimated time of arrival],"",0))</f>
        <v>46272</v>
      </c>
      <c r="AZ60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1">
        <f>IFERROR(PV_DATA[[#This Row],[ODP ETA Port]]+PV_DATA[[#This Row],[Customs/Leg3 Assumption]],"n/a")</f>
        <v>46267.238761574074</v>
      </c>
      <c r="BB606" s="442">
        <f>YEAR(PV_DATA[[#This Row],[ETA for New Ark update]])</f>
        <v>2026</v>
      </c>
      <c r="BC606" s="431">
        <f>MONTH(PV_DATA[[#This Row],[ETA for New Ark update]])</f>
        <v>9</v>
      </c>
      <c r="BD606" s="431">
        <f>IFERROR(_xlfn.ISOWEEKNUM(PV_DATA[[#This Row],[ETA for New Ark update]]),0)</f>
        <v>36</v>
      </c>
      <c r="BE606" s="431">
        <f>_xlfn.XLOOKUP(PV_DATA[[#This Row],[New Ark SKU]],Table9[New Ark SKU],Table9[Total PCS per Pallet],,0)</f>
        <v>36</v>
      </c>
      <c r="BF606" s="431">
        <f>_xlfn.XLOOKUP(PV_DATA[[#This Row],[New Ark SKU]],Table9[New Ark SKU],Table9[Total PCS per 40HQ Container],,0)</f>
        <v>864</v>
      </c>
      <c r="BG606" s="431" t="str">
        <f>_xlfn.XLOOKUP(PV_DATA[[#This Row],[New Ark SKU]],Table9[New Ark SKU],Table9[Back Glass],,0)</f>
        <v>Black glazing</v>
      </c>
      <c r="BH606" s="431" t="str">
        <f>_xlfn.XLOOKUP(PV_DATA[[#This Row],[PORT DESTINATION]],Table12[PORT DESTINATION],Table12[Cosco Line],,0)</f>
        <v>AEM</v>
      </c>
    </row>
    <row r="607" spans="1:60" s="431" customFormat="1" ht="10.5">
      <c r="A607" s="439" t="s">
        <v>4906</v>
      </c>
      <c r="B607" s="439" t="s">
        <v>61</v>
      </c>
      <c r="C607" s="439" t="str">
        <f>IFERROR(LEFT(PV_DATA[[#This Row],[TCL REFERENCE]],FIND(".",PV_DATA[[#This Row],[TCL REFERENCE]],1)-1),"Main Line")</f>
        <v>26May009</v>
      </c>
      <c r="D607" s="439" t="s">
        <v>63</v>
      </c>
      <c r="E607" s="439" t="s">
        <v>64</v>
      </c>
      <c r="F607" s="439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39" t="s">
        <v>402</v>
      </c>
      <c r="H607" s="439" t="s">
        <v>67</v>
      </c>
      <c r="I607" s="439" t="s">
        <v>689</v>
      </c>
      <c r="J607" s="431" t="s">
        <v>96</v>
      </c>
      <c r="M607" s="431" t="s">
        <v>68</v>
      </c>
      <c r="N607" s="461">
        <v>46153</v>
      </c>
      <c r="O607" s="431" t="s">
        <v>4531</v>
      </c>
      <c r="P607" s="431" t="s">
        <v>71</v>
      </c>
      <c r="Q607" s="431" t="s">
        <v>72</v>
      </c>
      <c r="R607" s="431" t="str">
        <f>_xlfn.XLOOKUP(PV_DATA[[#This Row],[New Ark SKU]],Table9[New Ark SKU],Table9[Connector],,0)</f>
        <v>EVO2A</v>
      </c>
      <c r="S607" s="442" t="str">
        <f>_xlfn.XLOOKUP(PV_DATA[[#This Row],[New Ark SKU]],Table9[New Ark SKU],Table9[Cable],,0)</f>
        <v>±1200mm</v>
      </c>
      <c r="T607" s="442">
        <v>500</v>
      </c>
      <c r="U607" s="1089">
        <v>864</v>
      </c>
      <c r="V607" s="448">
        <f>PV_DATA[[#This Row],[QUANTITY]]*PV_DATA[[#This Row],[WATT]]/1000000</f>
        <v>0.432</v>
      </c>
      <c r="W607" s="466">
        <f>PV_DATA[[#This Row],[QUANTITY]]/PV_DATA[[#This Row],[Qty/Pallet]]</f>
        <v>24</v>
      </c>
      <c r="X607" s="1044">
        <f>PV_DATA[[#This Row],[QUANTITY]]/PV_DATA[[#This Row],[Qty/CT]]</f>
        <v>1</v>
      </c>
      <c r="Y607" s="439" t="s">
        <v>951</v>
      </c>
      <c r="Z607" s="430" t="str">
        <f t="shared" si="6"/>
        <v>COMPLETED</v>
      </c>
      <c r="AA607" s="431" t="s">
        <v>4873</v>
      </c>
      <c r="AB607" s="441">
        <v>46178</v>
      </c>
      <c r="AC607" s="467">
        <f>IF(PV_DATA[[#This Row],[Pick- Up Date]]&lt;&gt;"",_xlfn.ISOWEEKNUM(PV_DATA[[#This Row],[Pick- Up Date]]),"")</f>
        <v>23</v>
      </c>
      <c r="AD607" s="431" t="s">
        <v>4907</v>
      </c>
      <c r="AF607" s="431" t="s">
        <v>61</v>
      </c>
      <c r="AG607" s="431" t="s">
        <v>61</v>
      </c>
      <c r="AH607" s="431" t="s">
        <v>78</v>
      </c>
      <c r="AI607" s="441">
        <v>46186</v>
      </c>
      <c r="AJ607" s="441"/>
      <c r="AK607" s="441">
        <v>46187</v>
      </c>
      <c r="AL607" s="441">
        <v>46245</v>
      </c>
      <c r="AM607" s="586">
        <f>IFERROR(VLOOKUP(AT607, Vessel!A:H, 8, FALSE), "")</f>
        <v>46253.541666666664</v>
      </c>
      <c r="AN607" s="586">
        <f>IFERROR(IF(VLOOKUP(AT607,Vessel!A:I,9,FALSE)=0,"",VLOOKUP(AT607,Vessel!A:I,9,FALSE)),"")</f>
        <v>46253.474305555559</v>
      </c>
      <c r="AO607" s="431" t="s">
        <v>402</v>
      </c>
      <c r="AP607" s="431" t="s">
        <v>4884</v>
      </c>
      <c r="AQ607" s="431" t="s">
        <v>80</v>
      </c>
      <c r="AR607" s="431" t="s">
        <v>4908</v>
      </c>
      <c r="AS607" s="431" t="s">
        <v>4909</v>
      </c>
      <c r="AT607" s="431" t="s">
        <v>4909</v>
      </c>
      <c r="AU6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66.474305555559113</v>
      </c>
      <c r="AV607" s="441"/>
      <c r="AW607" s="441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1">
        <f>IF(ISERROR(PV_DATA[[#This Row],[New Ark PO status]]),"",_xlfn.XLOOKUP(PV_DATA[[#This Row],[SPTN-PVHK New Ark PO'#]],New_Ark_Data[Purchase order Number],New_Ark_Data[Estimated time of arrival],"",0))</f>
        <v>46267</v>
      </c>
      <c r="AZ60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1">
        <f>IFERROR(PV_DATA[[#This Row],[ODP ETA Port]]+PV_DATA[[#This Row],[Customs/Leg3 Assumption]],"n/a")</f>
        <v>46261.474305555559</v>
      </c>
      <c r="BB607" s="442">
        <f>YEAR(PV_DATA[[#This Row],[ETA for New Ark update]])</f>
        <v>2026</v>
      </c>
      <c r="BC607" s="431">
        <f>MONTH(PV_DATA[[#This Row],[ETA for New Ark update]])</f>
        <v>8</v>
      </c>
      <c r="BD607" s="431">
        <f>IFERROR(_xlfn.ISOWEEKNUM(PV_DATA[[#This Row],[ETA for New Ark update]]),0)</f>
        <v>35</v>
      </c>
      <c r="BE607" s="431">
        <f>_xlfn.XLOOKUP(PV_DATA[[#This Row],[New Ark SKU]],Table9[New Ark SKU],Table9[Total PCS per Pallet],,0)</f>
        <v>36</v>
      </c>
      <c r="BF607" s="431">
        <f>_xlfn.XLOOKUP(PV_DATA[[#This Row],[New Ark SKU]],Table9[New Ark SKU],Table9[Total PCS per 40HQ Container],,0)</f>
        <v>864</v>
      </c>
      <c r="BG607" s="431" t="str">
        <f>_xlfn.XLOOKUP(PV_DATA[[#This Row],[New Ark SKU]],Table9[New Ark SKU],Table9[Back Glass],,0)</f>
        <v>Black glazing</v>
      </c>
      <c r="BH607" s="431" t="str">
        <f>_xlfn.XLOOKUP(PV_DATA[[#This Row],[PORT DESTINATION]],Table12[PORT DESTINATION],Table12[Cosco Line],,0)</f>
        <v>AEM</v>
      </c>
    </row>
    <row r="608" spans="1:60" s="431" customFormat="1" ht="10.5">
      <c r="A608" s="439" t="s">
        <v>4910</v>
      </c>
      <c r="B608" s="439" t="s">
        <v>61</v>
      </c>
      <c r="C608" s="439" t="str">
        <f>IFERROR(LEFT(PV_DATA[[#This Row],[TCL REFERENCE]],FIND(".",PV_DATA[[#This Row],[TCL REFERENCE]],1)-1),"Main Line")</f>
        <v>26May010</v>
      </c>
      <c r="D608" s="439" t="s">
        <v>63</v>
      </c>
      <c r="E608" s="439" t="s">
        <v>144</v>
      </c>
      <c r="F608" s="439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39" t="s">
        <v>402</v>
      </c>
      <c r="H608" s="439" t="s">
        <v>593</v>
      </c>
      <c r="I608" s="439" t="s">
        <v>689</v>
      </c>
      <c r="J608" s="431" t="s">
        <v>4518</v>
      </c>
      <c r="K608" s="431" t="s">
        <v>4911</v>
      </c>
      <c r="L608" s="431">
        <v>2</v>
      </c>
      <c r="M608" s="431" t="s">
        <v>840</v>
      </c>
      <c r="N608" s="461">
        <v>46153</v>
      </c>
      <c r="O608" s="431" t="s">
        <v>4531</v>
      </c>
      <c r="P608" s="431" t="s">
        <v>1151</v>
      </c>
      <c r="Q608" s="431" t="s">
        <v>421</v>
      </c>
      <c r="R608" s="431" t="str">
        <f>_xlfn.XLOOKUP(PV_DATA[[#This Row],[New Ark SKU]],Table9[New Ark SKU],Table9[Connector],,0)</f>
        <v>EVO2A</v>
      </c>
      <c r="S608" s="442" t="str">
        <f>_xlfn.XLOOKUP(PV_DATA[[#This Row],[New Ark SKU]],Table9[New Ark SKU],Table9[Cable],,0)</f>
        <v>±1200mm</v>
      </c>
      <c r="T608" s="442">
        <v>505</v>
      </c>
      <c r="U608" s="1093">
        <v>864</v>
      </c>
      <c r="V608" s="448">
        <f>PV_DATA[[#This Row],[QUANTITY]]*PV_DATA[[#This Row],[WATT]]/1000000</f>
        <v>0.43631999999999999</v>
      </c>
      <c r="W608" s="466">
        <f>PV_DATA[[#This Row],[QUANTITY]]/PV_DATA[[#This Row],[Qty/Pallet]]</f>
        <v>24</v>
      </c>
      <c r="X608" s="1044">
        <v>1</v>
      </c>
      <c r="Y608" s="439" t="s">
        <v>951</v>
      </c>
      <c r="Z608" s="430" t="str">
        <f t="shared" si="6"/>
        <v>COMPLETED</v>
      </c>
      <c r="AB608" s="441">
        <v>46178</v>
      </c>
      <c r="AC608" s="467">
        <f>IF(PV_DATA[[#This Row],[Pick- Up Date]]&lt;&gt;"",_xlfn.ISOWEEKNUM(PV_DATA[[#This Row],[Pick- Up Date]]),"")</f>
        <v>23</v>
      </c>
      <c r="AD608" s="431" t="s">
        <v>4912</v>
      </c>
      <c r="AF608" s="431" t="s">
        <v>61</v>
      </c>
      <c r="AG608" s="431" t="s">
        <v>61</v>
      </c>
      <c r="AH608" s="431" t="s">
        <v>124</v>
      </c>
      <c r="AI608" s="441">
        <v>46186</v>
      </c>
      <c r="AJ608" s="441"/>
      <c r="AK608" s="441">
        <v>46187</v>
      </c>
      <c r="AL608" s="441">
        <v>46239</v>
      </c>
      <c r="AM608" s="586">
        <f>IFERROR(VLOOKUP(AT608, Vessel!A:H, 8, FALSE), "")</f>
        <v>46247.083333333336</v>
      </c>
      <c r="AN608" s="586" t="s">
        <v>4913</v>
      </c>
      <c r="AO608" s="431" t="s">
        <v>402</v>
      </c>
      <c r="AP608" s="431" t="s">
        <v>4884</v>
      </c>
      <c r="AQ608" s="431" t="s">
        <v>80</v>
      </c>
      <c r="AR608" s="431" t="s">
        <v>4914</v>
      </c>
      <c r="AS608" s="431" t="s">
        <v>4915</v>
      </c>
      <c r="AT608" s="431" t="s">
        <v>4915</v>
      </c>
      <c r="AU6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1"/>
      <c r="AW608" s="441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1">
        <f>IF(ISERROR(PV_DATA[[#This Row],[New Ark PO status]]),"",_xlfn.XLOOKUP(PV_DATA[[#This Row],[SPTN-PVHK New Ark PO'#]],New_Ark_Data[Purchase order Number],New_Ark_Data[Estimated time of arrival],"",0))</f>
        <v>46239</v>
      </c>
      <c r="AZ6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1">
        <f>IFERROR(PV_DATA[[#This Row],[ODP ETA Port]]+PV_DATA[[#This Row],[Customs/Leg3 Assumption]],"n/a")</f>
        <v>46247</v>
      </c>
      <c r="BB608" s="442">
        <f>YEAR(PV_DATA[[#This Row],[ETA for New Ark update]])</f>
        <v>2026</v>
      </c>
      <c r="BC608" s="431">
        <f>MONTH(PV_DATA[[#This Row],[ETA for New Ark update]])</f>
        <v>8</v>
      </c>
      <c r="BD608" s="431">
        <f>IFERROR(_xlfn.ISOWEEKNUM(PV_DATA[[#This Row],[ETA for New Ark update]]),0)</f>
        <v>33</v>
      </c>
      <c r="BE608" s="431">
        <f>_xlfn.XLOOKUP(PV_DATA[[#This Row],[New Ark SKU]],Table9[New Ark SKU],Table9[Total PCS per Pallet],,0)</f>
        <v>36</v>
      </c>
      <c r="BF608" s="431">
        <f>_xlfn.XLOOKUP(PV_DATA[[#This Row],[New Ark SKU]],Table9[New Ark SKU],Table9[Total PCS per 40HQ Container],,0)</f>
        <v>864</v>
      </c>
      <c r="BG608" s="431" t="str">
        <f>_xlfn.XLOOKUP(PV_DATA[[#This Row],[New Ark SKU]],Table9[New Ark SKU],Table9[Back Glass],,0)</f>
        <v>Black glazing</v>
      </c>
      <c r="BH608" s="431" t="str">
        <f>_xlfn.XLOOKUP(PV_DATA[[#This Row],[PORT DESTINATION]],Table12[PORT DESTINATION],Table12[Cosco Line],,0)</f>
        <v>AEM</v>
      </c>
    </row>
    <row r="609" spans="1:60" s="431" customFormat="1" ht="10.5">
      <c r="A609" s="439" t="s">
        <v>4916</v>
      </c>
      <c r="B609" s="439" t="s">
        <v>61</v>
      </c>
      <c r="C609" s="439" t="str">
        <f>IFERROR(LEFT(PV_DATA[[#This Row],[TCL REFERENCE]],FIND(".",PV_DATA[[#This Row],[TCL REFERENCE]],1)-1),"Main Line")</f>
        <v>26May010</v>
      </c>
      <c r="D609" s="439" t="s">
        <v>63</v>
      </c>
      <c r="E609" s="439" t="s">
        <v>144</v>
      </c>
      <c r="F609" s="439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39" t="s">
        <v>402</v>
      </c>
      <c r="H609" s="439" t="s">
        <v>593</v>
      </c>
      <c r="I609" s="439" t="s">
        <v>689</v>
      </c>
      <c r="J609" s="431" t="s">
        <v>4518</v>
      </c>
      <c r="K609" s="431" t="s">
        <v>4911</v>
      </c>
      <c r="L609" s="431">
        <v>2</v>
      </c>
      <c r="M609" s="431" t="s">
        <v>840</v>
      </c>
      <c r="N609" s="461">
        <v>46153</v>
      </c>
      <c r="O609" s="431" t="s">
        <v>4531</v>
      </c>
      <c r="P609" s="431" t="s">
        <v>1151</v>
      </c>
      <c r="Q609" s="431" t="s">
        <v>421</v>
      </c>
      <c r="R609" s="431" t="str">
        <f>_xlfn.XLOOKUP(PV_DATA[[#This Row],[New Ark SKU]],Table9[New Ark SKU],Table9[Connector],,0)</f>
        <v>EVO2A</v>
      </c>
      <c r="S609" s="442" t="str">
        <f>_xlfn.XLOOKUP(PV_DATA[[#This Row],[New Ark SKU]],Table9[New Ark SKU],Table9[Cable],,0)</f>
        <v>±1200mm</v>
      </c>
      <c r="T609" s="442">
        <v>505</v>
      </c>
      <c r="U609" s="1093">
        <v>864</v>
      </c>
      <c r="V609" s="448">
        <f>PV_DATA[[#This Row],[QUANTITY]]*PV_DATA[[#This Row],[WATT]]/1000000</f>
        <v>0.43631999999999999</v>
      </c>
      <c r="W609" s="466">
        <f>PV_DATA[[#This Row],[QUANTITY]]/PV_DATA[[#This Row],[Qty/Pallet]]</f>
        <v>24</v>
      </c>
      <c r="X609" s="1044">
        <f>PV_DATA[[#This Row],[QUANTITY]]/PV_DATA[[#This Row],[Qty/CT]]</f>
        <v>1</v>
      </c>
      <c r="Y609" s="439" t="s">
        <v>951</v>
      </c>
      <c r="Z609" s="430" t="str">
        <f t="shared" si="6"/>
        <v>COMPLETED</v>
      </c>
      <c r="AB609" s="441">
        <v>46178</v>
      </c>
      <c r="AC609" s="467">
        <f>IF(PV_DATA[[#This Row],[Pick- Up Date]]&lt;&gt;"",_xlfn.ISOWEEKNUM(PV_DATA[[#This Row],[Pick- Up Date]]),"")</f>
        <v>23</v>
      </c>
      <c r="AD609" s="431" t="s">
        <v>4917</v>
      </c>
      <c r="AF609" s="431" t="s">
        <v>61</v>
      </c>
      <c r="AG609" s="431" t="s">
        <v>61</v>
      </c>
      <c r="AH609" s="431" t="s">
        <v>124</v>
      </c>
      <c r="AI609" s="441">
        <v>46186</v>
      </c>
      <c r="AJ609" s="441"/>
      <c r="AK609" s="441">
        <v>46187</v>
      </c>
      <c r="AL609" s="441">
        <v>46240</v>
      </c>
      <c r="AM609" s="586">
        <f>IFERROR(VLOOKUP(AT609, Vessel!A:H, 8, FALSE), "")</f>
        <v>46247.375</v>
      </c>
      <c r="AN609" s="586" t="s">
        <v>4913</v>
      </c>
      <c r="AO609" s="431" t="s">
        <v>402</v>
      </c>
      <c r="AP609" s="431" t="s">
        <v>4884</v>
      </c>
      <c r="AQ609" s="431" t="s">
        <v>80</v>
      </c>
      <c r="AR609" s="431" t="s">
        <v>4918</v>
      </c>
      <c r="AS609" s="431" t="s">
        <v>4919</v>
      </c>
      <c r="AT609" s="431" t="s">
        <v>4919</v>
      </c>
      <c r="AU6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1"/>
      <c r="AW609" s="441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1">
        <f>IF(ISERROR(PV_DATA[[#This Row],[New Ark PO status]]),"",_xlfn.XLOOKUP(PV_DATA[[#This Row],[SPTN-PVHK New Ark PO'#]],New_Ark_Data[Purchase order Number],New_Ark_Data[Estimated time of arrival],"",0))</f>
        <v>46240</v>
      </c>
      <c r="AZ6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1">
        <f>IFERROR(PV_DATA[[#This Row],[ODP ETA Port]]+PV_DATA[[#This Row],[Customs/Leg3 Assumption]],"n/a")</f>
        <v>46247</v>
      </c>
      <c r="BB609" s="442">
        <f>YEAR(PV_DATA[[#This Row],[ETA for New Ark update]])</f>
        <v>2026</v>
      </c>
      <c r="BC609" s="431">
        <f>MONTH(PV_DATA[[#This Row],[ETA for New Ark update]])</f>
        <v>8</v>
      </c>
      <c r="BD609" s="431">
        <f>IFERROR(_xlfn.ISOWEEKNUM(PV_DATA[[#This Row],[ETA for New Ark update]]),0)</f>
        <v>33</v>
      </c>
      <c r="BE609" s="431">
        <f>_xlfn.XLOOKUP(PV_DATA[[#This Row],[New Ark SKU]],Table9[New Ark SKU],Table9[Total PCS per Pallet],,0)</f>
        <v>36</v>
      </c>
      <c r="BF609" s="431">
        <f>_xlfn.XLOOKUP(PV_DATA[[#This Row],[New Ark SKU]],Table9[New Ark SKU],Table9[Total PCS per 40HQ Container],,0)</f>
        <v>864</v>
      </c>
      <c r="BG609" s="431" t="str">
        <f>_xlfn.XLOOKUP(PV_DATA[[#This Row],[New Ark SKU]],Table9[New Ark SKU],Table9[Back Glass],,0)</f>
        <v>Black glazing</v>
      </c>
      <c r="BH609" s="431" t="str">
        <f>_xlfn.XLOOKUP(PV_DATA[[#This Row],[PORT DESTINATION]],Table12[PORT DESTINATION],Table12[Cosco Line],,0)</f>
        <v>AEM</v>
      </c>
    </row>
    <row r="610" spans="1:60" s="431" customFormat="1" ht="10.5">
      <c r="A610" s="439" t="s">
        <v>4920</v>
      </c>
      <c r="B610" s="439" t="s">
        <v>4921</v>
      </c>
      <c r="C610" s="439" t="str">
        <f>IFERROR(LEFT(PV_DATA[[#This Row],[TCL REFERENCE]],FIND(".",PV_DATA[[#This Row],[TCL REFERENCE]],1)-1),"Main Line")</f>
        <v>26May010</v>
      </c>
      <c r="D610" s="439" t="s">
        <v>63</v>
      </c>
      <c r="E610" s="439" t="s">
        <v>64</v>
      </c>
      <c r="F610" s="439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39" t="s">
        <v>402</v>
      </c>
      <c r="H610" s="439" t="s">
        <v>451</v>
      </c>
      <c r="I610" s="439" t="s">
        <v>689</v>
      </c>
      <c r="J610" s="431" t="s">
        <v>1832</v>
      </c>
      <c r="M610" s="431" t="s">
        <v>68</v>
      </c>
      <c r="N610" s="461">
        <v>46153</v>
      </c>
      <c r="O610" s="431" t="s">
        <v>4531</v>
      </c>
      <c r="P610" s="431" t="s">
        <v>1151</v>
      </c>
      <c r="Q610" s="431" t="s">
        <v>421</v>
      </c>
      <c r="R610" s="431" t="str">
        <f>_xlfn.XLOOKUP(PV_DATA[[#This Row],[New Ark SKU]],Table9[New Ark SKU],Table9[Connector],,0)</f>
        <v>EVO2A</v>
      </c>
      <c r="S610" s="442" t="str">
        <f>_xlfn.XLOOKUP(PV_DATA[[#This Row],[New Ark SKU]],Table9[New Ark SKU],Table9[Cable],,0)</f>
        <v>±1200mm</v>
      </c>
      <c r="T610" s="442">
        <v>505</v>
      </c>
      <c r="U610" s="1093">
        <v>864</v>
      </c>
      <c r="V610" s="448">
        <f>PV_DATA[[#This Row],[QUANTITY]]*PV_DATA[[#This Row],[WATT]]/1000000</f>
        <v>0.43631999999999999</v>
      </c>
      <c r="W610" s="466">
        <f>PV_DATA[[#This Row],[QUANTITY]]/PV_DATA[[#This Row],[Qty/Pallet]]</f>
        <v>24</v>
      </c>
      <c r="X610" s="1044">
        <v>1</v>
      </c>
      <c r="Y610" s="431" t="s">
        <v>2455</v>
      </c>
      <c r="Z610" s="430" t="str">
        <f t="shared" si="6"/>
        <v>COMPLETED</v>
      </c>
      <c r="AB610" s="441">
        <v>46185</v>
      </c>
      <c r="AC610" s="467">
        <f>IF(PV_DATA[[#This Row],[Pick- Up Date]]&lt;&gt;"",_xlfn.ISOWEEKNUM(PV_DATA[[#This Row],[Pick- Up Date]]),"")</f>
        <v>24</v>
      </c>
      <c r="AD610" s="431" t="s">
        <v>4922</v>
      </c>
      <c r="AF610" s="447" t="s">
        <v>122</v>
      </c>
      <c r="AG610" s="447" t="s">
        <v>123</v>
      </c>
      <c r="AH610" s="431" t="s">
        <v>456</v>
      </c>
      <c r="AI610" s="441">
        <v>46188</v>
      </c>
      <c r="AJ610" s="441">
        <v>46190</v>
      </c>
      <c r="AK610" s="441">
        <v>46190</v>
      </c>
      <c r="AL610" s="441">
        <v>46229</v>
      </c>
      <c r="AM610" s="441">
        <v>46232</v>
      </c>
      <c r="AN610" s="441">
        <v>46232</v>
      </c>
      <c r="AO610" s="431" t="s">
        <v>402</v>
      </c>
      <c r="AP610" s="431" t="s">
        <v>4923</v>
      </c>
      <c r="AQ610" s="431" t="s">
        <v>80</v>
      </c>
      <c r="AR610" s="431" t="s">
        <v>4924</v>
      </c>
      <c r="AS610" s="431" t="s">
        <v>4925</v>
      </c>
      <c r="AT610" s="431" t="s">
        <v>4925</v>
      </c>
      <c r="AU6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1"/>
      <c r="AW610" s="441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1">
        <f>IF(ISERROR(PV_DATA[[#This Row],[New Ark PO status]]),"",_xlfn.XLOOKUP(PV_DATA[[#This Row],[SPTN-PVHK New Ark PO'#]],New_Ark_Data[Purchase order Number],New_Ark_Data[Estimated time of arrival],"",0))</f>
        <v>46245</v>
      </c>
      <c r="AZ61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1">
        <f>IFERROR(PV_DATA[[#This Row],[ODP ETA Port]]+PV_DATA[[#This Row],[Customs/Leg3 Assumption]],"n/a")</f>
        <v>46239</v>
      </c>
      <c r="BB610" s="442">
        <f>YEAR(PV_DATA[[#This Row],[ETA for New Ark update]])</f>
        <v>2026</v>
      </c>
      <c r="BC610" s="431">
        <f>MONTH(PV_DATA[[#This Row],[ETA for New Ark update]])</f>
        <v>8</v>
      </c>
      <c r="BD610" s="431">
        <f>IFERROR(_xlfn.ISOWEEKNUM(PV_DATA[[#This Row],[ETA for New Ark update]]),0)</f>
        <v>32</v>
      </c>
      <c r="BE610" s="431">
        <f>_xlfn.XLOOKUP(PV_DATA[[#This Row],[New Ark SKU]],Table9[New Ark SKU],Table9[Total PCS per Pallet],,0)</f>
        <v>36</v>
      </c>
      <c r="BF610" s="431">
        <f>_xlfn.XLOOKUP(PV_DATA[[#This Row],[New Ark SKU]],Table9[New Ark SKU],Table9[Total PCS per 40HQ Container],,0)</f>
        <v>864</v>
      </c>
      <c r="BG610" s="431" t="str">
        <f>_xlfn.XLOOKUP(PV_DATA[[#This Row],[New Ark SKU]],Table9[New Ark SKU],Table9[Back Glass],,0)</f>
        <v>Black glazing</v>
      </c>
      <c r="BH610" s="431" t="str">
        <f>_xlfn.XLOOKUP(PV_DATA[[#This Row],[PORT DESTINATION]],Table12[PORT DESTINATION],Table12[Cosco Line],,0)</f>
        <v>AEU</v>
      </c>
    </row>
    <row r="611" spans="1:60" s="431" customFormat="1" ht="10.5">
      <c r="A611" s="439" t="s">
        <v>4926</v>
      </c>
      <c r="B611" s="439" t="s">
        <v>111</v>
      </c>
      <c r="C611" s="439" t="str">
        <f>IFERROR(LEFT(PV_DATA[[#This Row],[TCL REFERENCE]],FIND(".",PV_DATA[[#This Row],[TCL REFERENCE]],1)-1),"Main Line")</f>
        <v>26May011</v>
      </c>
      <c r="D611" s="439" t="s">
        <v>63</v>
      </c>
      <c r="E611" s="439" t="s">
        <v>64</v>
      </c>
      <c r="F611" s="439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39" t="s">
        <v>402</v>
      </c>
      <c r="H611" s="439" t="s">
        <v>451</v>
      </c>
      <c r="I611" s="439" t="s">
        <v>689</v>
      </c>
      <c r="J611" s="431" t="s">
        <v>96</v>
      </c>
      <c r="M611" s="431" t="s">
        <v>68</v>
      </c>
      <c r="N611" s="461">
        <v>46167</v>
      </c>
      <c r="O611" s="431" t="s">
        <v>4531</v>
      </c>
      <c r="P611" s="431" t="s">
        <v>4592</v>
      </c>
      <c r="Q611" s="431" t="s">
        <v>330</v>
      </c>
      <c r="R611" s="431" t="str">
        <f>_xlfn.XLOOKUP(PV_DATA[[#This Row],[New Ark SKU]],Table9[New Ark SKU],Table9[Connector],,0)</f>
        <v>H4(Com)</v>
      </c>
      <c r="S611" s="442" t="str">
        <f>_xlfn.XLOOKUP(PV_DATA[[#This Row],[New Ark SKU]],Table9[New Ark SKU],Table9[Cable],,0)</f>
        <v>+400mm/-200mm</v>
      </c>
      <c r="T611" s="442">
        <v>625</v>
      </c>
      <c r="U611" s="1093">
        <f>720*2</f>
        <v>1440</v>
      </c>
      <c r="V611" s="444">
        <f>PV_DATA[[#This Row],[QUANTITY]]*PV_DATA[[#This Row],[WATT]]/1000000</f>
        <v>0.9</v>
      </c>
      <c r="W611" s="466">
        <f>PV_DATA[[#This Row],[QUANTITY]]/PV_DATA[[#This Row],[Qty/Pallet]]</f>
        <v>40</v>
      </c>
      <c r="X611" s="1044">
        <f>PV_DATA[[#This Row],[QUANTITY]]/PV_DATA[[#This Row],[Qty/CT]]</f>
        <v>2</v>
      </c>
      <c r="Y611" s="431" t="s">
        <v>2455</v>
      </c>
      <c r="Z611" s="430" t="str">
        <f t="shared" si="6"/>
        <v>COMPLETED</v>
      </c>
      <c r="AB611" s="441">
        <v>46181</v>
      </c>
      <c r="AC611" s="467">
        <f>IF(PV_DATA[[#This Row],[Pick- Up Date]]&lt;&gt;"",_xlfn.ISOWEEKNUM(PV_DATA[[#This Row],[Pick- Up Date]]),"")</f>
        <v>24</v>
      </c>
      <c r="AD611" s="431" t="s">
        <v>4927</v>
      </c>
      <c r="AF611" s="431" t="s">
        <v>122</v>
      </c>
      <c r="AG611" s="431" t="s">
        <v>123</v>
      </c>
      <c r="AH611" s="431" t="s">
        <v>456</v>
      </c>
      <c r="AI611" s="441">
        <v>46188</v>
      </c>
      <c r="AJ611" s="441">
        <v>46190</v>
      </c>
      <c r="AK611" s="441">
        <v>46190</v>
      </c>
      <c r="AL611" s="441">
        <v>46229</v>
      </c>
      <c r="AM611" s="441">
        <v>46232</v>
      </c>
      <c r="AN611" s="441">
        <v>46232</v>
      </c>
      <c r="AO611" s="431" t="s">
        <v>402</v>
      </c>
      <c r="AP611" s="431" t="s">
        <v>4923</v>
      </c>
      <c r="AQ611" s="431" t="s">
        <v>80</v>
      </c>
      <c r="AR611" s="431" t="s">
        <v>4928</v>
      </c>
      <c r="AS611" s="431" t="s">
        <v>4929</v>
      </c>
      <c r="AT611" s="431" t="s">
        <v>4929</v>
      </c>
      <c r="AU6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1"/>
      <c r="AW611" s="441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1">
        <f>IF(ISERROR(PV_DATA[[#This Row],[New Ark PO status]]),"",_xlfn.XLOOKUP(PV_DATA[[#This Row],[SPTN-PVHK New Ark PO'#]],New_Ark_Data[Purchase order Number],New_Ark_Data[Estimated time of arrival],"",0))</f>
        <v>46245</v>
      </c>
      <c r="AZ6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1">
        <f>IFERROR(PV_DATA[[#This Row],[ODP ETA Port]]+PV_DATA[[#This Row],[Customs/Leg3 Assumption]],"n/a")</f>
        <v>46239</v>
      </c>
      <c r="BB611" s="442">
        <f>YEAR(PV_DATA[[#This Row],[ETA for New Ark update]])</f>
        <v>2026</v>
      </c>
      <c r="BC611" s="431">
        <f>MONTH(PV_DATA[[#This Row],[ETA for New Ark update]])</f>
        <v>8</v>
      </c>
      <c r="BD611" s="431">
        <f>IFERROR(_xlfn.ISOWEEKNUM(PV_DATA[[#This Row],[ETA for New Ark update]]),0)</f>
        <v>32</v>
      </c>
      <c r="BE611" s="431">
        <f>_xlfn.XLOOKUP(PV_DATA[[#This Row],[New Ark SKU]],Table9[New Ark SKU],Table9[Total PCS per Pallet],,0)</f>
        <v>36</v>
      </c>
      <c r="BF611" s="431">
        <f>_xlfn.XLOOKUP(PV_DATA[[#This Row],[New Ark SKU]],Table9[New Ark SKU],Table9[Total PCS per 40HQ Container],,0)</f>
        <v>720</v>
      </c>
      <c r="BG611" s="431" t="str">
        <f>_xlfn.XLOOKUP(PV_DATA[[#This Row],[New Ark SKU]],Table9[New Ark SKU],Table9[Back Glass],,0)</f>
        <v>Transparent</v>
      </c>
      <c r="BH611" s="431" t="str">
        <f>_xlfn.XLOOKUP(PV_DATA[[#This Row],[PORT DESTINATION]],Table12[PORT DESTINATION],Table12[Cosco Line],,0)</f>
        <v>AEU</v>
      </c>
    </row>
    <row r="612" spans="1:60" s="431" customFormat="1" ht="10.5">
      <c r="A612" s="439" t="s">
        <v>4930</v>
      </c>
      <c r="B612" s="439" t="s">
        <v>111</v>
      </c>
      <c r="C612" s="439" t="str">
        <f>IFERROR(LEFT(PV_DATA[[#This Row],[TCL REFERENCE]],FIND(".",PV_DATA[[#This Row],[TCL REFERENCE]],1)-1),"Main Line")</f>
        <v>26May006</v>
      </c>
      <c r="D612" s="439" t="s">
        <v>63</v>
      </c>
      <c r="E612" s="439" t="s">
        <v>144</v>
      </c>
      <c r="F612" s="439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39" t="s">
        <v>402</v>
      </c>
      <c r="H612" s="719" t="s">
        <v>1449</v>
      </c>
      <c r="I612" s="439" t="s">
        <v>689</v>
      </c>
      <c r="J612" s="431" t="s">
        <v>4619</v>
      </c>
      <c r="K612" s="431" t="s">
        <v>4620</v>
      </c>
      <c r="L612" s="431">
        <v>3</v>
      </c>
      <c r="M612" s="431" t="s">
        <v>840</v>
      </c>
      <c r="N612" s="461">
        <v>46160</v>
      </c>
      <c r="O612" s="431" t="s">
        <v>132</v>
      </c>
      <c r="P612" s="431" t="s">
        <v>1062</v>
      </c>
      <c r="Q612" s="431" t="s">
        <v>1063</v>
      </c>
      <c r="R612" s="431" t="str">
        <f>_xlfn.XLOOKUP(PV_DATA[[#This Row],[New Ark SKU]],Table9[New Ark SKU],Table9[Connector],,0)</f>
        <v>EVO2A</v>
      </c>
      <c r="S612" s="442" t="str">
        <f>_xlfn.XLOOKUP(PV_DATA[[#This Row],[New Ark SKU]],Table9[New Ark SKU],Table9[Cable],,0)</f>
        <v>±1200mm</v>
      </c>
      <c r="T612" s="442">
        <v>470</v>
      </c>
      <c r="U612" s="1093">
        <f>864*7</f>
        <v>6048</v>
      </c>
      <c r="V612" s="444">
        <f>PV_DATA[[#This Row],[QUANTITY]]*PV_DATA[[#This Row],[WATT]]/1000000</f>
        <v>2.8425600000000002</v>
      </c>
      <c r="W612" s="466">
        <f>PV_DATA[[#This Row],[QUANTITY]]/PV_DATA[[#This Row],[Qty/Pallet]]</f>
        <v>168</v>
      </c>
      <c r="X612" s="1044">
        <f>PV_DATA[[#This Row],[QUANTITY]]/PV_DATA[[#This Row],[Qty/CT]]</f>
        <v>7</v>
      </c>
      <c r="Y612" s="431" t="s">
        <v>2455</v>
      </c>
      <c r="Z612" s="430" t="str">
        <f t="shared" si="6"/>
        <v>COMPLETED</v>
      </c>
      <c r="AA612" s="478" t="s">
        <v>4700</v>
      </c>
      <c r="AB612" s="441">
        <v>46182</v>
      </c>
      <c r="AC612" s="467">
        <f>IF(PV_DATA[[#This Row],[Pick- Up Date]]&lt;&gt;"",_xlfn.ISOWEEKNUM(PV_DATA[[#This Row],[Pick- Up Date]]),"")</f>
        <v>24</v>
      </c>
      <c r="AD612" s="431" t="s">
        <v>4931</v>
      </c>
      <c r="AF612" s="431" t="s">
        <v>122</v>
      </c>
      <c r="AG612" s="431" t="s">
        <v>123</v>
      </c>
      <c r="AH612" s="431" t="s">
        <v>105</v>
      </c>
      <c r="AI612" s="441">
        <v>46192</v>
      </c>
      <c r="AJ612" s="441"/>
      <c r="AK612" s="441">
        <v>46195</v>
      </c>
      <c r="AL612" s="441">
        <v>46226</v>
      </c>
      <c r="AM612" s="441">
        <v>46233</v>
      </c>
      <c r="AN612" s="441">
        <v>46233</v>
      </c>
      <c r="AO612" s="431" t="s">
        <v>402</v>
      </c>
      <c r="AP612" s="431" t="s">
        <v>4932</v>
      </c>
      <c r="AQ612" s="431" t="s">
        <v>80</v>
      </c>
      <c r="AR612" s="431" t="s">
        <v>4933</v>
      </c>
      <c r="AS612" s="431" t="s">
        <v>4934</v>
      </c>
      <c r="AT612" s="431" t="s">
        <v>4934</v>
      </c>
      <c r="AU6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1"/>
      <c r="AW612" s="441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1">
        <f>IF(ISERROR(PV_DATA[[#This Row],[New Ark PO status]]),"",_xlfn.XLOOKUP(PV_DATA[[#This Row],[SPTN-PVHK New Ark PO'#]],New_Ark_Data[Purchase order Number],New_Ark_Data[Estimated time of arrival],"",0))</f>
        <v>46226</v>
      </c>
      <c r="AZ61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1">
        <f>IFERROR(PV_DATA[[#This Row],[ODP ETA Port]]+PV_DATA[[#This Row],[Customs/Leg3 Assumption]],"n/a")</f>
        <v>46233</v>
      </c>
      <c r="BB612" s="442">
        <f>YEAR(PV_DATA[[#This Row],[ETA for New Ark update]])</f>
        <v>2026</v>
      </c>
      <c r="BC612" s="431">
        <f>MONTH(PV_DATA[[#This Row],[ETA for New Ark update]])</f>
        <v>7</v>
      </c>
      <c r="BD612" s="431">
        <f>IFERROR(_xlfn.ISOWEEKNUM(PV_DATA[[#This Row],[ETA for New Ark update]]),0)</f>
        <v>31</v>
      </c>
      <c r="BE612" s="431">
        <f>_xlfn.XLOOKUP(PV_DATA[[#This Row],[New Ark SKU]],Table9[New Ark SKU],Table9[Total PCS per Pallet],,0)</f>
        <v>36</v>
      </c>
      <c r="BF612" s="431">
        <f>_xlfn.XLOOKUP(PV_DATA[[#This Row],[New Ark SKU]],Table9[New Ark SKU],Table9[Total PCS per 40HQ Container],,0)</f>
        <v>864</v>
      </c>
      <c r="BG612" s="431" t="str">
        <f>_xlfn.XLOOKUP(PV_DATA[[#This Row],[New Ark SKU]],Table9[New Ark SKU],Table9[Back Glass],,0)</f>
        <v>White glazing</v>
      </c>
      <c r="BH612" s="431" t="str">
        <f>_xlfn.XLOOKUP(PV_DATA[[#This Row],[PORT DESTINATION]],Table12[PORT DESTINATION],Table12[Cosco Line],,0)</f>
        <v>AEU</v>
      </c>
    </row>
    <row r="613" spans="1:60" s="450" customFormat="1" ht="10.5">
      <c r="A613" s="446" t="s">
        <v>4935</v>
      </c>
      <c r="B613" s="446" t="s">
        <v>111</v>
      </c>
      <c r="C613" s="446" t="str">
        <f>IFERROR(LEFT(PV_DATA[[#This Row],[TCL REFERENCE]],FIND(".",PV_DATA[[#This Row],[TCL REFERENCE]],1)-1),"Main Line")</f>
        <v>26May011</v>
      </c>
      <c r="D613" s="446" t="s">
        <v>63</v>
      </c>
      <c r="E613" s="439" t="s">
        <v>144</v>
      </c>
      <c r="F613" s="439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39" t="s">
        <v>402</v>
      </c>
      <c r="H613" s="719" t="s">
        <v>1449</v>
      </c>
      <c r="I613" s="439" t="s">
        <v>689</v>
      </c>
      <c r="J613" s="431" t="s">
        <v>4591</v>
      </c>
      <c r="K613" s="431" t="s">
        <v>1451</v>
      </c>
      <c r="L613" s="450">
        <v>20</v>
      </c>
      <c r="M613" s="431" t="s">
        <v>840</v>
      </c>
      <c r="N613" s="461">
        <v>46167</v>
      </c>
      <c r="O613" s="450" t="s">
        <v>4531</v>
      </c>
      <c r="P613" s="450" t="s">
        <v>4592</v>
      </c>
      <c r="Q613" s="450" t="s">
        <v>330</v>
      </c>
      <c r="R613" s="450" t="str">
        <f>_xlfn.XLOOKUP(PV_DATA[[#This Row],[New Ark SKU]],Table9[New Ark SKU],Table9[Connector],,0)</f>
        <v>H4(Com)</v>
      </c>
      <c r="S613" s="442" t="str">
        <f>_xlfn.XLOOKUP(PV_DATA[[#This Row],[New Ark SKU]],Table9[New Ark SKU],Table9[Cable],,0)</f>
        <v>+400mm/-200mm</v>
      </c>
      <c r="T613" s="452">
        <v>625</v>
      </c>
      <c r="U613" s="1089">
        <f>720*5</f>
        <v>3600</v>
      </c>
      <c r="V613" s="483">
        <f>PV_DATA[[#This Row],[QUANTITY]]*PV_DATA[[#This Row],[WATT]]/1000000</f>
        <v>2.25</v>
      </c>
      <c r="W613" s="454">
        <f>PV_DATA[[#This Row],[QUANTITY]]/PV_DATA[[#This Row],[Qty/Pallet]]</f>
        <v>100</v>
      </c>
      <c r="X613" s="1045">
        <f>PV_DATA[[#This Row],[QUANTITY]]/PV_DATA[[#This Row],[Qty/CT]]</f>
        <v>5</v>
      </c>
      <c r="Y613" s="450" t="s">
        <v>2454</v>
      </c>
      <c r="Z613" s="430" t="str">
        <f t="shared" si="6"/>
        <v>COMPLETED</v>
      </c>
      <c r="AB613" s="455">
        <v>46180</v>
      </c>
      <c r="AC613" s="471">
        <f>IF(PV_DATA[[#This Row],[Pick- Up Date]]&lt;&gt;"",_xlfn.ISOWEEKNUM(PV_DATA[[#This Row],[Pick- Up Date]]),"")</f>
        <v>23</v>
      </c>
      <c r="AD613" s="450" t="s">
        <v>4936</v>
      </c>
      <c r="AF613" s="450" t="s">
        <v>122</v>
      </c>
      <c r="AG613" s="450" t="s">
        <v>123</v>
      </c>
      <c r="AH613" s="450" t="s">
        <v>105</v>
      </c>
      <c r="AI613" s="455">
        <v>46187</v>
      </c>
      <c r="AJ613" s="455">
        <v>46189</v>
      </c>
      <c r="AK613" s="455">
        <v>46189</v>
      </c>
      <c r="AL613" s="455">
        <v>46237</v>
      </c>
      <c r="AM613" s="455"/>
      <c r="AN613" s="587">
        <f>IFERROR(IF(VLOOKUP(AT613,Vessel!A:I,9,FALSE)=0,"",VLOOKUP(AT613,Vessel!A:I,9,FALSE)),"")</f>
        <v>46239.203981481478</v>
      </c>
      <c r="AO613" s="450" t="s">
        <v>402</v>
      </c>
      <c r="AP613" s="450" t="s">
        <v>4937</v>
      </c>
      <c r="AQ613" s="450" t="s">
        <v>80</v>
      </c>
      <c r="AR613" s="450" t="s">
        <v>4938</v>
      </c>
      <c r="AS613" s="450" t="s">
        <v>4939</v>
      </c>
      <c r="AT613" s="450" t="s">
        <v>4939</v>
      </c>
      <c r="AU6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50.203981481477967</v>
      </c>
      <c r="AV613" s="455"/>
      <c r="AW613" s="455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46239.203981481478</v>
      </c>
      <c r="AX6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5">
        <f>IF(ISERROR(PV_DATA[[#This Row],[New Ark PO status]]),"",_xlfn.XLOOKUP(PV_DATA[[#This Row],[SPTN-PVHK New Ark PO'#]],New_Ark_Data[Purchase order Number],New_Ark_Data[Estimated time of arrival],"",0))</f>
        <v>46237</v>
      </c>
      <c r="AZ61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5">
        <f>IFERROR(PV_DATA[[#This Row],[ODP ETA Port]]+PV_DATA[[#This Row],[Customs/Leg3 Assumption]],"n/a")</f>
        <v>46239.203981481478</v>
      </c>
      <c r="BB613" s="452">
        <f>YEAR(PV_DATA[[#This Row],[ETA for New Ark update]])</f>
        <v>2026</v>
      </c>
      <c r="BC613" s="450">
        <f>MONTH(PV_DATA[[#This Row],[ETA for New Ark update]])</f>
        <v>8</v>
      </c>
      <c r="BD613" s="450">
        <f>IFERROR(_xlfn.ISOWEEKNUM(PV_DATA[[#This Row],[ETA for New Ark update]]),0)</f>
        <v>32</v>
      </c>
      <c r="BE613" s="450">
        <f>_xlfn.XLOOKUP(PV_DATA[[#This Row],[New Ark SKU]],Table9[New Ark SKU],Table9[Total PCS per Pallet],,0)</f>
        <v>36</v>
      </c>
      <c r="BF613" s="450">
        <f>_xlfn.XLOOKUP(PV_DATA[[#This Row],[New Ark SKU]],Table9[New Ark SKU],Table9[Total PCS per 40HQ Container],,0)</f>
        <v>720</v>
      </c>
      <c r="BG613" s="431" t="str">
        <f>_xlfn.XLOOKUP(PV_DATA[[#This Row],[New Ark SKU]],Table9[New Ark SKU],Table9[Back Glass],,0)</f>
        <v>Transparent</v>
      </c>
      <c r="BH613" s="450" t="str">
        <f>_xlfn.XLOOKUP(PV_DATA[[#This Row],[PORT DESTINATION]],Table12[PORT DESTINATION],Table12[Cosco Line],,0)</f>
        <v>AEU</v>
      </c>
    </row>
    <row r="614" spans="1:60" s="450" customFormat="1" ht="10.5">
      <c r="A614" s="446" t="s">
        <v>4940</v>
      </c>
      <c r="B614" s="446" t="s">
        <v>111</v>
      </c>
      <c r="C614" s="446" t="str">
        <f>IFERROR(LEFT(PV_DATA[[#This Row],[TCL REFERENCE]],FIND(".",PV_DATA[[#This Row],[TCL REFERENCE]],1)-1),"Main Line")</f>
        <v>26May011</v>
      </c>
      <c r="D614" s="446" t="s">
        <v>63</v>
      </c>
      <c r="E614" s="439" t="s">
        <v>144</v>
      </c>
      <c r="F614" s="439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39" t="s">
        <v>402</v>
      </c>
      <c r="H614" s="719" t="s">
        <v>1449</v>
      </c>
      <c r="I614" s="439" t="s">
        <v>689</v>
      </c>
      <c r="J614" s="431" t="s">
        <v>4591</v>
      </c>
      <c r="K614" s="431" t="s">
        <v>1451</v>
      </c>
      <c r="L614" s="450">
        <v>21</v>
      </c>
      <c r="M614" s="431" t="s">
        <v>840</v>
      </c>
      <c r="N614" s="461">
        <v>46167</v>
      </c>
      <c r="O614" s="450" t="s">
        <v>4531</v>
      </c>
      <c r="P614" s="450" t="s">
        <v>4592</v>
      </c>
      <c r="Q614" s="450" t="s">
        <v>330</v>
      </c>
      <c r="R614" s="450" t="str">
        <f>_xlfn.XLOOKUP(PV_DATA[[#This Row],[New Ark SKU]],Table9[New Ark SKU],Table9[Connector],,0)</f>
        <v>H4(Com)</v>
      </c>
      <c r="S614" s="442" t="str">
        <f>_xlfn.XLOOKUP(PV_DATA[[#This Row],[New Ark SKU]],Table9[New Ark SKU],Table9[Cable],,0)</f>
        <v>+400mm/-200mm</v>
      </c>
      <c r="T614" s="452">
        <v>625</v>
      </c>
      <c r="U614" s="1089">
        <f>720*5</f>
        <v>3600</v>
      </c>
      <c r="V614" s="483">
        <f>PV_DATA[[#This Row],[QUANTITY]]*PV_DATA[[#This Row],[WATT]]/1000000</f>
        <v>2.25</v>
      </c>
      <c r="W614" s="454">
        <f>PV_DATA[[#This Row],[QUANTITY]]/PV_DATA[[#This Row],[Qty/Pallet]]</f>
        <v>100</v>
      </c>
      <c r="X614" s="1045">
        <f>PV_DATA[[#This Row],[QUANTITY]]/PV_DATA[[#This Row],[Qty/CT]]</f>
        <v>5</v>
      </c>
      <c r="Y614" s="450" t="s">
        <v>2454</v>
      </c>
      <c r="Z614" s="430" t="str">
        <f t="shared" si="6"/>
        <v>COMPLETED</v>
      </c>
      <c r="AB614" s="455">
        <v>46180</v>
      </c>
      <c r="AC614" s="471">
        <f>IF(PV_DATA[[#This Row],[Pick- Up Date]]&lt;&gt;"",_xlfn.ISOWEEKNUM(PV_DATA[[#This Row],[Pick- Up Date]]),"")</f>
        <v>23</v>
      </c>
      <c r="AD614" s="450" t="s">
        <v>4941</v>
      </c>
      <c r="AF614" s="450" t="s">
        <v>122</v>
      </c>
      <c r="AG614" s="450" t="s">
        <v>123</v>
      </c>
      <c r="AH614" s="450" t="s">
        <v>105</v>
      </c>
      <c r="AI614" s="455">
        <v>46188</v>
      </c>
      <c r="AJ614" s="455">
        <v>46190</v>
      </c>
      <c r="AK614" s="455">
        <v>46190</v>
      </c>
      <c r="AL614" s="455">
        <v>46225</v>
      </c>
      <c r="AM614" s="455">
        <v>46233</v>
      </c>
      <c r="AN614" s="455">
        <v>46234</v>
      </c>
      <c r="AO614" s="450" t="s">
        <v>402</v>
      </c>
      <c r="AP614" s="450" t="s">
        <v>4942</v>
      </c>
      <c r="AQ614" s="450" t="s">
        <v>80</v>
      </c>
      <c r="AR614" s="450" t="s">
        <v>4943</v>
      </c>
      <c r="AS614" s="450" t="s">
        <v>4944</v>
      </c>
      <c r="AT614" s="450" t="s">
        <v>4944</v>
      </c>
      <c r="AU6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5"/>
      <c r="AW614" s="455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5">
        <f>IF(ISERROR(PV_DATA[[#This Row],[New Ark PO status]]),"",_xlfn.XLOOKUP(PV_DATA[[#This Row],[SPTN-PVHK New Ark PO'#]],New_Ark_Data[Purchase order Number],New_Ark_Data[Estimated time of arrival],"",0))</f>
        <v>46225</v>
      </c>
      <c r="AZ614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5">
        <f>IFERROR(PV_DATA[[#This Row],[ODP ETA Port]]+PV_DATA[[#This Row],[Customs/Leg3 Assumption]],"n/a")</f>
        <v>46234</v>
      </c>
      <c r="BB614" s="452">
        <f>YEAR(PV_DATA[[#This Row],[ETA for New Ark update]])</f>
        <v>2026</v>
      </c>
      <c r="BC614" s="450">
        <f>MONTH(PV_DATA[[#This Row],[ETA for New Ark update]])</f>
        <v>7</v>
      </c>
      <c r="BD614" s="450">
        <f>IFERROR(_xlfn.ISOWEEKNUM(PV_DATA[[#This Row],[ETA for New Ark update]]),0)</f>
        <v>31</v>
      </c>
      <c r="BE614" s="450">
        <f>_xlfn.XLOOKUP(PV_DATA[[#This Row],[New Ark SKU]],Table9[New Ark SKU],Table9[Total PCS per Pallet],,0)</f>
        <v>36</v>
      </c>
      <c r="BF614" s="450">
        <f>_xlfn.XLOOKUP(PV_DATA[[#This Row],[New Ark SKU]],Table9[New Ark SKU],Table9[Total PCS per 40HQ Container],,0)</f>
        <v>720</v>
      </c>
      <c r="BG614" s="431" t="str">
        <f>_xlfn.XLOOKUP(PV_DATA[[#This Row],[New Ark SKU]],Table9[New Ark SKU],Table9[Back Glass],,0)</f>
        <v>Transparent</v>
      </c>
      <c r="BH614" s="450" t="str">
        <f>_xlfn.XLOOKUP(PV_DATA[[#This Row],[PORT DESTINATION]],Table12[PORT DESTINATION],Table12[Cosco Line],,0)</f>
        <v>AEU</v>
      </c>
    </row>
    <row r="615" spans="1:60" s="431" customFormat="1" ht="10.5">
      <c r="A615" s="439" t="s">
        <v>4945</v>
      </c>
      <c r="B615" s="439" t="s">
        <v>111</v>
      </c>
      <c r="C615" s="439" t="str">
        <f>IFERROR(LEFT(PV_DATA[[#This Row],[TCL REFERENCE]],FIND(".",PV_DATA[[#This Row],[TCL REFERENCE]],1)-1),"Main Line")</f>
        <v>26May012</v>
      </c>
      <c r="D615" s="439" t="s">
        <v>63</v>
      </c>
      <c r="E615" s="439" t="s">
        <v>144</v>
      </c>
      <c r="F615" s="439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39" t="s">
        <v>402</v>
      </c>
      <c r="H615" s="719" t="s">
        <v>1449</v>
      </c>
      <c r="I615" s="439" t="s">
        <v>689</v>
      </c>
      <c r="J615" s="431" t="s">
        <v>4591</v>
      </c>
      <c r="K615" s="431" t="s">
        <v>1451</v>
      </c>
      <c r="L615" s="450">
        <v>22</v>
      </c>
      <c r="M615" s="431" t="s">
        <v>840</v>
      </c>
      <c r="N615" s="461">
        <v>46167</v>
      </c>
      <c r="O615" s="431" t="s">
        <v>4531</v>
      </c>
      <c r="P615" s="431" t="s">
        <v>4597</v>
      </c>
      <c r="Q615" s="431" t="s">
        <v>4598</v>
      </c>
      <c r="R615" s="431" t="str">
        <f>_xlfn.XLOOKUP(PV_DATA[[#This Row],[New Ark SKU]],Table9[New Ark SKU],Table9[Connector],,0)</f>
        <v>H4(Com)</v>
      </c>
      <c r="S615" s="442" t="str">
        <f>_xlfn.XLOOKUP(PV_DATA[[#This Row],[New Ark SKU]],Table9[New Ark SKU],Table9[Cable],,0)</f>
        <v>+400mm/-200mm</v>
      </c>
      <c r="T615" s="442">
        <v>630</v>
      </c>
      <c r="U615" s="1093">
        <f>720*3</f>
        <v>2160</v>
      </c>
      <c r="V615" s="444">
        <f>PV_DATA[[#This Row],[QUANTITY]]*PV_DATA[[#This Row],[WATT]]/1000000</f>
        <v>1.3608</v>
      </c>
      <c r="W615" s="466">
        <f>PV_DATA[[#This Row],[QUANTITY]]/PV_DATA[[#This Row],[Qty/Pallet]]</f>
        <v>60</v>
      </c>
      <c r="X615" s="1044">
        <f>PV_DATA[[#This Row],[QUANTITY]]/PV_DATA[[#This Row],[Qty/CT]]</f>
        <v>3</v>
      </c>
      <c r="Y615" s="431" t="s">
        <v>2454</v>
      </c>
      <c r="Z615" s="430" t="str">
        <f t="shared" si="6"/>
        <v>COMPLETED</v>
      </c>
      <c r="AB615" s="441">
        <v>46182</v>
      </c>
      <c r="AC615" s="467">
        <f>IF(PV_DATA[[#This Row],[Pick- Up Date]]&lt;&gt;"",_xlfn.ISOWEEKNUM(PV_DATA[[#This Row],[Pick- Up Date]]),"")</f>
        <v>24</v>
      </c>
      <c r="AD615" s="431" t="s">
        <v>4946</v>
      </c>
      <c r="AF615" s="431" t="s">
        <v>122</v>
      </c>
      <c r="AG615" s="431" t="s">
        <v>123</v>
      </c>
      <c r="AH615" s="431" t="s">
        <v>105</v>
      </c>
      <c r="AI615" s="441">
        <v>46188</v>
      </c>
      <c r="AJ615" s="441">
        <v>46190</v>
      </c>
      <c r="AK615" s="441">
        <v>46190</v>
      </c>
      <c r="AL615" s="441">
        <v>46225</v>
      </c>
      <c r="AM615" s="441">
        <v>46233</v>
      </c>
      <c r="AN615" s="441">
        <v>46234</v>
      </c>
      <c r="AO615" s="431" t="s">
        <v>402</v>
      </c>
      <c r="AP615" s="431" t="s">
        <v>4942</v>
      </c>
      <c r="AQ615" s="431" t="s">
        <v>161</v>
      </c>
      <c r="AR615" s="431" t="s">
        <v>4947</v>
      </c>
      <c r="AS615" s="431" t="s">
        <v>4948</v>
      </c>
      <c r="AT615" s="431" t="s">
        <v>4948</v>
      </c>
      <c r="AU6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1"/>
      <c r="AW615" s="441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1">
        <f>IF(ISERROR(PV_DATA[[#This Row],[New Ark PO status]]),"",_xlfn.XLOOKUP(PV_DATA[[#This Row],[SPTN-PVHK New Ark PO'#]],New_Ark_Data[Purchase order Number],New_Ark_Data[Estimated time of arrival],"",0))</f>
        <v>46225</v>
      </c>
      <c r="AZ61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1">
        <f>IFERROR(PV_DATA[[#This Row],[ODP ETA Port]]+PV_DATA[[#This Row],[Customs/Leg3 Assumption]],"n/a")</f>
        <v>46234</v>
      </c>
      <c r="BB615" s="442">
        <f>YEAR(PV_DATA[[#This Row],[ETA for New Ark update]])</f>
        <v>2026</v>
      </c>
      <c r="BC615" s="431">
        <f>MONTH(PV_DATA[[#This Row],[ETA for New Ark update]])</f>
        <v>7</v>
      </c>
      <c r="BD615" s="431">
        <f>IFERROR(_xlfn.ISOWEEKNUM(PV_DATA[[#This Row],[ETA for New Ark update]]),0)</f>
        <v>31</v>
      </c>
      <c r="BE615" s="431">
        <f>_xlfn.XLOOKUP(PV_DATA[[#This Row],[New Ark SKU]],Table9[New Ark SKU],Table9[Total PCS per Pallet],,0)</f>
        <v>36</v>
      </c>
      <c r="BF615" s="431">
        <f>_xlfn.XLOOKUP(PV_DATA[[#This Row],[New Ark SKU]],Table9[New Ark SKU],Table9[Total PCS per 40HQ Container],,0)</f>
        <v>720</v>
      </c>
      <c r="BG615" s="431" t="str">
        <f>_xlfn.XLOOKUP(PV_DATA[[#This Row],[New Ark SKU]],Table9[New Ark SKU],Table9[Back Glass],,0)</f>
        <v>Transparent</v>
      </c>
      <c r="BH615" s="431" t="str">
        <f>_xlfn.XLOOKUP(PV_DATA[[#This Row],[PORT DESTINATION]],Table12[PORT DESTINATION],Table12[Cosco Line],,0)</f>
        <v>AEU</v>
      </c>
    </row>
    <row r="616" spans="1:60" s="431" customFormat="1" ht="10.5">
      <c r="A616" s="439" t="s">
        <v>4949</v>
      </c>
      <c r="B616" s="439" t="s">
        <v>111</v>
      </c>
      <c r="C616" s="439" t="str">
        <f>IFERROR(LEFT(PV_DATA[[#This Row],[TCL REFERENCE]],FIND(".",PV_DATA[[#This Row],[TCL REFERENCE]],1)-1),"Main Line")</f>
        <v>26May012</v>
      </c>
      <c r="D616" s="439" t="s">
        <v>63</v>
      </c>
      <c r="E616" s="439" t="s">
        <v>144</v>
      </c>
      <c r="F616" s="439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39" t="s">
        <v>402</v>
      </c>
      <c r="H616" s="719" t="s">
        <v>1449</v>
      </c>
      <c r="I616" s="439" t="s">
        <v>689</v>
      </c>
      <c r="J616" s="431" t="s">
        <v>4591</v>
      </c>
      <c r="K616" s="431" t="s">
        <v>1451</v>
      </c>
      <c r="L616" s="450">
        <v>36</v>
      </c>
      <c r="M616" s="431" t="s">
        <v>840</v>
      </c>
      <c r="N616" s="461">
        <v>46160</v>
      </c>
      <c r="O616" s="431" t="s">
        <v>4531</v>
      </c>
      <c r="P616" s="431" t="s">
        <v>4597</v>
      </c>
      <c r="Q616" s="431" t="s">
        <v>4598</v>
      </c>
      <c r="R616" s="431" t="str">
        <f>_xlfn.XLOOKUP(PV_DATA[[#This Row],[New Ark SKU]],Table9[New Ark SKU],Table9[Connector],,0)</f>
        <v>H4(Com)</v>
      </c>
      <c r="S616" s="442" t="str">
        <f>_xlfn.XLOOKUP(PV_DATA[[#This Row],[New Ark SKU]],Table9[New Ark SKU],Table9[Cable],,0)</f>
        <v>+400mm/-200mm</v>
      </c>
      <c r="T616" s="442">
        <v>630</v>
      </c>
      <c r="U616" s="1093">
        <f>720*6</f>
        <v>4320</v>
      </c>
      <c r="V616" s="444">
        <f>PV_DATA[[#This Row],[QUANTITY]]*PV_DATA[[#This Row],[WATT]]/1000000</f>
        <v>2.7216</v>
      </c>
      <c r="W616" s="466">
        <f>PV_DATA[[#This Row],[QUANTITY]]/PV_DATA[[#This Row],[Qty/Pallet]]</f>
        <v>120</v>
      </c>
      <c r="X616" s="1044">
        <f>PV_DATA[[#This Row],[QUANTITY]]/PV_DATA[[#This Row],[Qty/CT]]</f>
        <v>6</v>
      </c>
      <c r="Y616" s="431" t="s">
        <v>2454</v>
      </c>
      <c r="Z616" s="430" t="str">
        <f t="shared" si="6"/>
        <v>COMPLETED</v>
      </c>
      <c r="AB616" s="441">
        <v>46184</v>
      </c>
      <c r="AC616" s="467">
        <f>IF(PV_DATA[[#This Row],[Pick- Up Date]]&lt;&gt;"",_xlfn.ISOWEEKNUM(PV_DATA[[#This Row],[Pick- Up Date]]),"")</f>
        <v>24</v>
      </c>
      <c r="AD616" s="431" t="s">
        <v>4950</v>
      </c>
      <c r="AF616" s="431" t="s">
        <v>122</v>
      </c>
      <c r="AG616" s="431" t="s">
        <v>123</v>
      </c>
      <c r="AH616" s="431" t="s">
        <v>105</v>
      </c>
      <c r="AI616" s="441">
        <v>46188</v>
      </c>
      <c r="AJ616" s="441"/>
      <c r="AK616" s="441">
        <v>46189</v>
      </c>
      <c r="AL616" s="441">
        <v>46225</v>
      </c>
      <c r="AM616" s="441">
        <v>46234</v>
      </c>
      <c r="AN616" s="441">
        <v>46237</v>
      </c>
      <c r="AO616" s="431" t="s">
        <v>402</v>
      </c>
      <c r="AP616" s="431" t="s">
        <v>4942</v>
      </c>
      <c r="AQ616" s="431" t="s">
        <v>161</v>
      </c>
      <c r="AR616" s="431" t="s">
        <v>4951</v>
      </c>
      <c r="AS616" s="431" t="s">
        <v>4952</v>
      </c>
      <c r="AT616" s="431" t="s">
        <v>4952</v>
      </c>
      <c r="AU6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1"/>
      <c r="AW616" s="441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1">
        <f>IF(ISERROR(PV_DATA[[#This Row],[New Ark PO status]]),"",_xlfn.XLOOKUP(PV_DATA[[#This Row],[SPTN-PVHK New Ark PO'#]],New_Ark_Data[Purchase order Number],New_Ark_Data[Estimated time of arrival],"",0))</f>
        <v>46225</v>
      </c>
      <c r="AZ61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1">
        <f>IFERROR(PV_DATA[[#This Row],[ODP ETA Port]]+PV_DATA[[#This Row],[Customs/Leg3 Assumption]],"n/a")</f>
        <v>46237</v>
      </c>
      <c r="BB616" s="442">
        <f>YEAR(PV_DATA[[#This Row],[ETA for New Ark update]])</f>
        <v>2026</v>
      </c>
      <c r="BC616" s="431">
        <f>MONTH(PV_DATA[[#This Row],[ETA for New Ark update]])</f>
        <v>8</v>
      </c>
      <c r="BD616" s="431">
        <f>IFERROR(_xlfn.ISOWEEKNUM(PV_DATA[[#This Row],[ETA for New Ark update]]),0)</f>
        <v>32</v>
      </c>
      <c r="BE616" s="431">
        <f>_xlfn.XLOOKUP(PV_DATA[[#This Row],[New Ark SKU]],Table9[New Ark SKU],Table9[Total PCS per Pallet],,0)</f>
        <v>36</v>
      </c>
      <c r="BF616" s="431">
        <f>_xlfn.XLOOKUP(PV_DATA[[#This Row],[New Ark SKU]],Table9[New Ark SKU],Table9[Total PCS per 40HQ Container],,0)</f>
        <v>720</v>
      </c>
      <c r="BG616" s="431" t="str">
        <f>_xlfn.XLOOKUP(PV_DATA[[#This Row],[New Ark SKU]],Table9[New Ark SKU],Table9[Back Glass],,0)</f>
        <v>Transparent</v>
      </c>
      <c r="BH616" s="431" t="str">
        <f>_xlfn.XLOOKUP(PV_DATA[[#This Row],[PORT DESTINATION]],Table12[PORT DESTINATION],Table12[Cosco Line],,0)</f>
        <v>AEU</v>
      </c>
    </row>
    <row r="617" spans="1:60" s="431" customFormat="1" ht="10.5">
      <c r="A617" s="439" t="s">
        <v>4953</v>
      </c>
      <c r="B617" s="439" t="s">
        <v>111</v>
      </c>
      <c r="C617" s="439" t="str">
        <f>IFERROR(LEFT(PV_DATA[[#This Row],[TCL REFERENCE]],FIND(".",PV_DATA[[#This Row],[TCL REFERENCE]],1)-1),"Main Line")</f>
        <v>26May012</v>
      </c>
      <c r="D617" s="439" t="s">
        <v>63</v>
      </c>
      <c r="E617" s="439" t="s">
        <v>144</v>
      </c>
      <c r="F617" s="439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39" t="s">
        <v>402</v>
      </c>
      <c r="H617" s="719" t="s">
        <v>1449</v>
      </c>
      <c r="I617" s="439" t="s">
        <v>689</v>
      </c>
      <c r="J617" s="431" t="s">
        <v>4591</v>
      </c>
      <c r="K617" s="431" t="s">
        <v>1451</v>
      </c>
      <c r="L617" s="450">
        <v>37</v>
      </c>
      <c r="M617" s="431" t="s">
        <v>840</v>
      </c>
      <c r="N617" s="461">
        <v>46167</v>
      </c>
      <c r="O617" s="431" t="s">
        <v>4531</v>
      </c>
      <c r="P617" s="431" t="s">
        <v>4597</v>
      </c>
      <c r="Q617" s="431" t="s">
        <v>4598</v>
      </c>
      <c r="R617" s="431" t="str">
        <f>_xlfn.XLOOKUP(PV_DATA[[#This Row],[New Ark SKU]],Table9[New Ark SKU],Table9[Connector],,0)</f>
        <v>H4(Com)</v>
      </c>
      <c r="S617" s="442" t="str">
        <f>_xlfn.XLOOKUP(PV_DATA[[#This Row],[New Ark SKU]],Table9[New Ark SKU],Table9[Cable],,0)</f>
        <v>+400mm/-200mm</v>
      </c>
      <c r="T617" s="442">
        <v>630</v>
      </c>
      <c r="U617" s="1093">
        <f>720*1</f>
        <v>720</v>
      </c>
      <c r="V617" s="444">
        <f>PV_DATA[[#This Row],[QUANTITY]]*PV_DATA[[#This Row],[WATT]]/1000000</f>
        <v>0.4536</v>
      </c>
      <c r="W617" s="466">
        <f>PV_DATA[[#This Row],[QUANTITY]]/PV_DATA[[#This Row],[Qty/Pallet]]</f>
        <v>20</v>
      </c>
      <c r="X617" s="1044">
        <f>PV_DATA[[#This Row],[QUANTITY]]/PV_DATA[[#This Row],[Qty/CT]]</f>
        <v>1</v>
      </c>
      <c r="Y617" s="431" t="s">
        <v>2454</v>
      </c>
      <c r="Z617" s="430" t="str">
        <f t="shared" si="6"/>
        <v>COMPLETED</v>
      </c>
      <c r="AB617" s="441">
        <v>46184</v>
      </c>
      <c r="AC617" s="467">
        <f>IF(PV_DATA[[#This Row],[Pick- Up Date]]&lt;&gt;"",_xlfn.ISOWEEKNUM(PV_DATA[[#This Row],[Pick- Up Date]]),"")</f>
        <v>24</v>
      </c>
      <c r="AD617" s="431" t="s">
        <v>4954</v>
      </c>
      <c r="AF617" s="431" t="s">
        <v>122</v>
      </c>
      <c r="AG617" s="431" t="s">
        <v>123</v>
      </c>
      <c r="AH617" s="431" t="s">
        <v>105</v>
      </c>
      <c r="AI617" s="441">
        <v>46188</v>
      </c>
      <c r="AJ617" s="441"/>
      <c r="AK617" s="441">
        <v>46189</v>
      </c>
      <c r="AL617" s="441">
        <v>46225</v>
      </c>
      <c r="AM617" s="441">
        <v>46234</v>
      </c>
      <c r="AN617" s="441">
        <v>46237</v>
      </c>
      <c r="AO617" s="431" t="s">
        <v>402</v>
      </c>
      <c r="AP617" s="431" t="s">
        <v>4942</v>
      </c>
      <c r="AQ617" s="431" t="s">
        <v>161</v>
      </c>
      <c r="AR617" s="431" t="s">
        <v>4951</v>
      </c>
      <c r="AS617" s="431" t="s">
        <v>4952</v>
      </c>
      <c r="AT617" s="431" t="s">
        <v>4952</v>
      </c>
      <c r="AU6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1"/>
      <c r="AW617" s="441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1">
        <f>IF(ISERROR(PV_DATA[[#This Row],[New Ark PO status]]),"",_xlfn.XLOOKUP(PV_DATA[[#This Row],[SPTN-PVHK New Ark PO'#]],New_Ark_Data[Purchase order Number],New_Ark_Data[Estimated time of arrival],"",0))</f>
        <v>46225</v>
      </c>
      <c r="AZ61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1">
        <f>IFERROR(PV_DATA[[#This Row],[ODP ETA Port]]+PV_DATA[[#This Row],[Customs/Leg3 Assumption]],"n/a")</f>
        <v>46237</v>
      </c>
      <c r="BB617" s="442">
        <f>YEAR(PV_DATA[[#This Row],[ETA for New Ark update]])</f>
        <v>2026</v>
      </c>
      <c r="BC617" s="431">
        <f>MONTH(PV_DATA[[#This Row],[ETA for New Ark update]])</f>
        <v>8</v>
      </c>
      <c r="BD617" s="431">
        <f>IFERROR(_xlfn.ISOWEEKNUM(PV_DATA[[#This Row],[ETA for New Ark update]]),0)</f>
        <v>32</v>
      </c>
      <c r="BE617" s="431">
        <f>_xlfn.XLOOKUP(PV_DATA[[#This Row],[New Ark SKU]],Table9[New Ark SKU],Table9[Total PCS per Pallet],,0)</f>
        <v>36</v>
      </c>
      <c r="BF617" s="431">
        <f>_xlfn.XLOOKUP(PV_DATA[[#This Row],[New Ark SKU]],Table9[New Ark SKU],Table9[Total PCS per 40HQ Container],,0)</f>
        <v>720</v>
      </c>
      <c r="BG617" s="431" t="str">
        <f>_xlfn.XLOOKUP(PV_DATA[[#This Row],[New Ark SKU]],Table9[New Ark SKU],Table9[Back Glass],,0)</f>
        <v>Transparent</v>
      </c>
      <c r="BH617" s="431" t="str">
        <f>_xlfn.XLOOKUP(PV_DATA[[#This Row],[PORT DESTINATION]],Table12[PORT DESTINATION],Table12[Cosco Line],,0)</f>
        <v>AEU</v>
      </c>
    </row>
    <row r="618" spans="1:60" s="431" customFormat="1" ht="10.5">
      <c r="A618" s="439" t="s">
        <v>4955</v>
      </c>
      <c r="B618" s="439" t="s">
        <v>2132</v>
      </c>
      <c r="C618" s="439" t="str">
        <f>IFERROR(LEFT(PV_DATA[[#This Row],[TCL REFERENCE]],FIND(".",PV_DATA[[#This Row],[TCL REFERENCE]],1)-1),"Main Line")</f>
        <v>26May004</v>
      </c>
      <c r="D618" s="439" t="s">
        <v>63</v>
      </c>
      <c r="E618" s="439" t="s">
        <v>64</v>
      </c>
      <c r="F618" s="439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39" t="s">
        <v>402</v>
      </c>
      <c r="H618" s="439" t="s">
        <v>67</v>
      </c>
      <c r="I618" s="439" t="s">
        <v>689</v>
      </c>
      <c r="J618" s="431" t="s">
        <v>96</v>
      </c>
      <c r="M618" s="431" t="s">
        <v>68</v>
      </c>
      <c r="N618" s="461">
        <v>46160</v>
      </c>
      <c r="O618" s="431" t="s">
        <v>170</v>
      </c>
      <c r="P618" s="431" t="s">
        <v>1977</v>
      </c>
      <c r="Q618" s="431" t="s">
        <v>1978</v>
      </c>
      <c r="R618" s="431" t="str">
        <f>_xlfn.XLOOKUP(PV_DATA[[#This Row],[New Ark SKU]],Table9[New Ark SKU],Table9[Connector],,0)</f>
        <v>EVO2A</v>
      </c>
      <c r="S618" s="442" t="str">
        <f>_xlfn.XLOOKUP(PV_DATA[[#This Row],[New Ark SKU]],Table9[New Ark SKU],Table9[Cable],,0)</f>
        <v>±1400mm</v>
      </c>
      <c r="T618" s="442">
        <v>560</v>
      </c>
      <c r="U618" s="1093">
        <f>660*2</f>
        <v>1320</v>
      </c>
      <c r="V618" s="448">
        <f>PV_DATA[[#This Row],[QUANTITY]]*PV_DATA[[#This Row],[WATT]]/1000000</f>
        <v>0.73919999999999997</v>
      </c>
      <c r="W618" s="466">
        <f>PV_DATA[[#This Row],[QUANTITY]]/PV_DATA[[#This Row],[Qty/Pallet]]</f>
        <v>40</v>
      </c>
      <c r="X618" s="1044">
        <f>PV_DATA[[#This Row],[QUANTITY]]/PV_DATA[[#This Row],[Qty/CT]]</f>
        <v>2</v>
      </c>
      <c r="Y618" s="431" t="s">
        <v>2455</v>
      </c>
      <c r="Z618" s="430" t="str">
        <f t="shared" si="6"/>
        <v>COMPLETED</v>
      </c>
      <c r="AB618" s="441">
        <v>46181</v>
      </c>
      <c r="AC618" s="467">
        <f>IF(PV_DATA[[#This Row],[Pick- Up Date]]&lt;&gt;"",_xlfn.ISOWEEKNUM(PV_DATA[[#This Row],[Pick- Up Date]]),"")</f>
        <v>24</v>
      </c>
      <c r="AD618" s="431" t="s">
        <v>4956</v>
      </c>
      <c r="AF618" s="431" t="s">
        <v>122</v>
      </c>
      <c r="AG618" s="431" t="s">
        <v>123</v>
      </c>
      <c r="AH618" s="431" t="s">
        <v>78</v>
      </c>
      <c r="AI618" s="441">
        <v>46189</v>
      </c>
      <c r="AJ618" s="441">
        <v>46192</v>
      </c>
      <c r="AK618" s="441">
        <v>46192</v>
      </c>
      <c r="AL618" s="732">
        <v>46231</v>
      </c>
      <c r="AM618" s="441">
        <v>46234</v>
      </c>
      <c r="AN618" s="586">
        <f>IFERROR(IF(VLOOKUP(AT618,Vessel!A:I,9,FALSE)=0,"",VLOOKUP(AT618,Vessel!A:I,9,FALSE)),"")</f>
        <v>46235.175381944442</v>
      </c>
      <c r="AO618" s="431" t="s">
        <v>402</v>
      </c>
      <c r="AP618" s="431" t="s">
        <v>4957</v>
      </c>
      <c r="AQ618" s="431" t="s">
        <v>80</v>
      </c>
      <c r="AR618" s="431" t="s">
        <v>4958</v>
      </c>
      <c r="AS618" s="431" t="s">
        <v>4959</v>
      </c>
      <c r="AT618" s="431" t="s">
        <v>4959</v>
      </c>
      <c r="AU6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8" s="441"/>
      <c r="AW618" s="441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1">
        <f>IF(ISERROR(PV_DATA[[#This Row],[New Ark PO status]]),"",_xlfn.XLOOKUP(PV_DATA[[#This Row],[SPTN-PVHK New Ark PO'#]],New_Ark_Data[Purchase order Number],New_Ark_Data[Estimated time of arrival],"",0))</f>
        <v>46246</v>
      </c>
      <c r="AZ6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1">
        <f>IFERROR(PV_DATA[[#This Row],[ODP ETA Port]]+PV_DATA[[#This Row],[Customs/Leg3 Assumption]],"n/a")</f>
        <v>46243.175381944442</v>
      </c>
      <c r="BB618" s="442">
        <f>YEAR(PV_DATA[[#This Row],[ETA for New Ark update]])</f>
        <v>2026</v>
      </c>
      <c r="BC618" s="431">
        <f>MONTH(PV_DATA[[#This Row],[ETA for New Ark update]])</f>
        <v>8</v>
      </c>
      <c r="BD618" s="431">
        <f>IFERROR(_xlfn.ISOWEEKNUM(PV_DATA[[#This Row],[ETA for New Ark update]]),0)</f>
        <v>32</v>
      </c>
      <c r="BE618" s="431">
        <f>_xlfn.XLOOKUP(PV_DATA[[#This Row],[New Ark SKU]],Table9[New Ark SKU],Table9[Total PCS per Pallet],,0)</f>
        <v>33</v>
      </c>
      <c r="BF618" s="431">
        <f>_xlfn.XLOOKUP(PV_DATA[[#This Row],[New Ark SKU]],Table9[New Ark SKU],Table9[Total PCS per 40HQ Container],,0)</f>
        <v>660</v>
      </c>
      <c r="BG618" s="431" t="str">
        <f>_xlfn.XLOOKUP(PV_DATA[[#This Row],[New Ark SKU]],Table9[New Ark SKU],Table9[Back Glass],,0)</f>
        <v>White glazing</v>
      </c>
      <c r="BH618" s="431" t="str">
        <f>_xlfn.XLOOKUP(PV_DATA[[#This Row],[PORT DESTINATION]],Table12[PORT DESTINATION],Table12[Cosco Line],,0)</f>
        <v>AEM</v>
      </c>
    </row>
    <row r="619" spans="1:60" s="431" customFormat="1" ht="10.5">
      <c r="A619" s="439" t="s">
        <v>4960</v>
      </c>
      <c r="B619" s="439" t="s">
        <v>2132</v>
      </c>
      <c r="C619" s="439" t="str">
        <f>IFERROR(LEFT(PV_DATA[[#This Row],[TCL REFERENCE]],FIND(".",PV_DATA[[#This Row],[TCL REFERENCE]],1)-1),"Main Line")</f>
        <v>26May009</v>
      </c>
      <c r="D619" s="439" t="s">
        <v>63</v>
      </c>
      <c r="E619" s="439" t="s">
        <v>64</v>
      </c>
      <c r="F619" s="439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39" t="s">
        <v>402</v>
      </c>
      <c r="H619" s="439" t="s">
        <v>67</v>
      </c>
      <c r="I619" s="439" t="s">
        <v>689</v>
      </c>
      <c r="J619" s="431" t="s">
        <v>96</v>
      </c>
      <c r="M619" s="431" t="s">
        <v>68</v>
      </c>
      <c r="N619" s="461">
        <v>46153</v>
      </c>
      <c r="O619" s="431" t="s">
        <v>4531</v>
      </c>
      <c r="P619" s="431" t="s">
        <v>71</v>
      </c>
      <c r="Q619" s="431" t="s">
        <v>72</v>
      </c>
      <c r="R619" s="431" t="str">
        <f>_xlfn.XLOOKUP(PV_DATA[[#This Row],[New Ark SKU]],Table9[New Ark SKU],Table9[Connector],,0)</f>
        <v>EVO2A</v>
      </c>
      <c r="S619" s="442" t="str">
        <f>_xlfn.XLOOKUP(PV_DATA[[#This Row],[New Ark SKU]],Table9[New Ark SKU],Table9[Cable],,0)</f>
        <v>±1200mm</v>
      </c>
      <c r="T619" s="442">
        <v>500</v>
      </c>
      <c r="U619" s="1093">
        <f>864*4</f>
        <v>3456</v>
      </c>
      <c r="V619" s="448">
        <f>PV_DATA[[#This Row],[QUANTITY]]*PV_DATA[[#This Row],[WATT]]/1000000</f>
        <v>1.728</v>
      </c>
      <c r="W619" s="466">
        <f>PV_DATA[[#This Row],[QUANTITY]]/PV_DATA[[#This Row],[Qty/Pallet]]</f>
        <v>96</v>
      </c>
      <c r="X619" s="1044">
        <f>PV_DATA[[#This Row],[QUANTITY]]/PV_DATA[[#This Row],[Qty/CT]]</f>
        <v>4</v>
      </c>
      <c r="Y619" s="447" t="s">
        <v>2455</v>
      </c>
      <c r="Z619" s="430" t="str">
        <f t="shared" si="6"/>
        <v>COMPLETED</v>
      </c>
      <c r="AA619" s="431" t="s">
        <v>4961</v>
      </c>
      <c r="AB619" s="441">
        <v>46181</v>
      </c>
      <c r="AC619" s="467">
        <f>IF(PV_DATA[[#This Row],[Pick- Up Date]]&lt;&gt;"",_xlfn.ISOWEEKNUM(PV_DATA[[#This Row],[Pick- Up Date]]),"")</f>
        <v>24</v>
      </c>
      <c r="AD619" s="431" t="s">
        <v>4962</v>
      </c>
      <c r="AE619" s="450"/>
      <c r="AF619" s="447" t="s">
        <v>122</v>
      </c>
      <c r="AG619" s="447" t="s">
        <v>123</v>
      </c>
      <c r="AH619" s="431" t="s">
        <v>78</v>
      </c>
      <c r="AI619" s="441">
        <v>46189</v>
      </c>
      <c r="AJ619" s="441">
        <v>46192</v>
      </c>
      <c r="AK619" s="441">
        <v>46192</v>
      </c>
      <c r="AL619" s="441">
        <v>46231</v>
      </c>
      <c r="AM619" s="441">
        <v>46234</v>
      </c>
      <c r="AN619" s="586">
        <f>IFERROR(IF(VLOOKUP(AT619,Vessel!A:I,9,FALSE)=0,"",VLOOKUP(AT619,Vessel!A:I,9,FALSE)),"")</f>
        <v>46235.175381944442</v>
      </c>
      <c r="AO619" s="431" t="s">
        <v>402</v>
      </c>
      <c r="AP619" s="431" t="s">
        <v>4957</v>
      </c>
      <c r="AQ619" s="431" t="s">
        <v>80</v>
      </c>
      <c r="AR619" s="431" t="s">
        <v>4958</v>
      </c>
      <c r="AS619" s="431" t="s">
        <v>4959</v>
      </c>
      <c r="AT619" s="431" t="s">
        <v>4959</v>
      </c>
      <c r="AU6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9" s="441"/>
      <c r="AW619" s="441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9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1">
        <f>IF(ISERROR(PV_DATA[[#This Row],[New Ark PO status]]),"",_xlfn.XLOOKUP(PV_DATA[[#This Row],[SPTN-PVHK New Ark PO'#]],New_Ark_Data[Purchase order Number],New_Ark_Data[Estimated time of arrival],"",0))</f>
        <v>46246</v>
      </c>
      <c r="AZ61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1">
        <f>IFERROR(PV_DATA[[#This Row],[ODP ETA Port]]+PV_DATA[[#This Row],[Customs/Leg3 Assumption]],"n/a")</f>
        <v>46243.175381944442</v>
      </c>
      <c r="BB619" s="442">
        <f>YEAR(PV_DATA[[#This Row],[ETA for New Ark update]])</f>
        <v>2026</v>
      </c>
      <c r="BC619" s="431">
        <f>MONTH(PV_DATA[[#This Row],[ETA for New Ark update]])</f>
        <v>8</v>
      </c>
      <c r="BD619" s="431">
        <f>IFERROR(_xlfn.ISOWEEKNUM(PV_DATA[[#This Row],[ETA for New Ark update]]),0)</f>
        <v>32</v>
      </c>
      <c r="BE619" s="431">
        <f>_xlfn.XLOOKUP(PV_DATA[[#This Row],[New Ark SKU]],Table9[New Ark SKU],Table9[Total PCS per Pallet],,0)</f>
        <v>36</v>
      </c>
      <c r="BF619" s="431">
        <f>_xlfn.XLOOKUP(PV_DATA[[#This Row],[New Ark SKU]],Table9[New Ark SKU],Table9[Total PCS per 40HQ Container],,0)</f>
        <v>864</v>
      </c>
      <c r="BG619" s="431" t="str">
        <f>_xlfn.XLOOKUP(PV_DATA[[#This Row],[New Ark SKU]],Table9[New Ark SKU],Table9[Back Glass],,0)</f>
        <v>Black glazing</v>
      </c>
      <c r="BH619" s="431" t="str">
        <f>_xlfn.XLOOKUP(PV_DATA[[#This Row],[PORT DESTINATION]],Table12[PORT DESTINATION],Table12[Cosco Line],,0)</f>
        <v>AEM</v>
      </c>
    </row>
    <row r="620" spans="1:60" s="450" customFormat="1" ht="10.5">
      <c r="A620" s="446" t="s">
        <v>4963</v>
      </c>
      <c r="B620" s="446" t="s">
        <v>2132</v>
      </c>
      <c r="C620" s="446" t="str">
        <f>IFERROR(LEFT(PV_DATA[[#This Row],[TCL REFERENCE]],FIND(".",PV_DATA[[#This Row],[TCL REFERENCE]],1)-1),"Main Line")</f>
        <v>26May009</v>
      </c>
      <c r="D620" s="446" t="s">
        <v>63</v>
      </c>
      <c r="E620" s="446" t="s">
        <v>144</v>
      </c>
      <c r="F620" s="446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6" t="s">
        <v>146</v>
      </c>
      <c r="H620" s="446" t="s">
        <v>4964</v>
      </c>
      <c r="I620" s="446" t="s">
        <v>689</v>
      </c>
      <c r="J620" s="450" t="s">
        <v>4965</v>
      </c>
      <c r="K620" s="450" t="s">
        <v>4966</v>
      </c>
      <c r="L620" s="450">
        <v>1</v>
      </c>
      <c r="M620" s="450" t="s">
        <v>4967</v>
      </c>
      <c r="N620" s="451">
        <v>46153</v>
      </c>
      <c r="O620" s="450" t="s">
        <v>4531</v>
      </c>
      <c r="P620" s="450" t="s">
        <v>71</v>
      </c>
      <c r="Q620" s="450" t="s">
        <v>72</v>
      </c>
      <c r="R620" s="450" t="str">
        <f>_xlfn.XLOOKUP(PV_DATA[[#This Row],[New Ark SKU]],Table9[New Ark SKU],Table9[Connector],,0)</f>
        <v>EVO2A</v>
      </c>
      <c r="S620" s="452" t="str">
        <f>_xlfn.XLOOKUP(PV_DATA[[#This Row],[New Ark SKU]],Table9[New Ark SKU],Table9[Cable],,0)</f>
        <v>±1200mm</v>
      </c>
      <c r="T620" s="452">
        <v>500</v>
      </c>
      <c r="U620" s="1089">
        <f>864*1</f>
        <v>864</v>
      </c>
      <c r="V620" s="453">
        <f>PV_DATA[[#This Row],[QUANTITY]]*PV_DATA[[#This Row],[WATT]]/1000000</f>
        <v>0.432</v>
      </c>
      <c r="W620" s="454">
        <f>PV_DATA[[#This Row],[QUANTITY]]/PV_DATA[[#This Row],[Qty/Pallet]]</f>
        <v>24</v>
      </c>
      <c r="X620" s="1045">
        <f>PV_DATA[[#This Row],[QUANTITY]]/PV_DATA[[#This Row],[Qty/CT]]</f>
        <v>1</v>
      </c>
      <c r="Y620" s="470" t="s">
        <v>2455</v>
      </c>
      <c r="Z620" s="430" t="str">
        <f t="shared" si="6"/>
        <v>COMPLETED</v>
      </c>
      <c r="AA620" s="450" t="s">
        <v>4961</v>
      </c>
      <c r="AB620" s="455">
        <v>46181</v>
      </c>
      <c r="AC620" s="471">
        <f>IF(PV_DATA[[#This Row],[Pick- Up Date]]&lt;&gt;"",_xlfn.ISOWEEKNUM(PV_DATA[[#This Row],[Pick- Up Date]]),"")</f>
        <v>24</v>
      </c>
      <c r="AD620" s="450" t="s">
        <v>4968</v>
      </c>
      <c r="AF620" s="470" t="s">
        <v>122</v>
      </c>
      <c r="AG620" s="470" t="s">
        <v>123</v>
      </c>
      <c r="AH620" s="450" t="s">
        <v>78</v>
      </c>
      <c r="AI620" s="455">
        <v>46189</v>
      </c>
      <c r="AJ620" s="455">
        <v>46192</v>
      </c>
      <c r="AK620" s="455">
        <v>46192</v>
      </c>
      <c r="AL620" s="455">
        <v>46231</v>
      </c>
      <c r="AM620" s="455">
        <v>46234</v>
      </c>
      <c r="AN620" s="587">
        <f>IFERROR(IF(VLOOKUP(AT620,Vessel!A:I,9,FALSE)=0,"",VLOOKUP(AT620,Vessel!A:I,9,FALSE)),"")</f>
        <v>46235.175381944442</v>
      </c>
      <c r="AO620" s="450" t="s">
        <v>402</v>
      </c>
      <c r="AP620" s="450" t="s">
        <v>4957</v>
      </c>
      <c r="AQ620" s="450" t="s">
        <v>80</v>
      </c>
      <c r="AR620" s="450" t="s">
        <v>4969</v>
      </c>
      <c r="AS620" s="470" t="s">
        <v>4970</v>
      </c>
      <c r="AT620" s="450" t="s">
        <v>4959</v>
      </c>
      <c r="AU6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20" s="455"/>
      <c r="AW620" s="455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5">
        <f>IF(ISERROR(PV_DATA[[#This Row],[New Ark PO status]]),"",_xlfn.XLOOKUP(PV_DATA[[#This Row],[SPTN-PVHK New Ark PO'#]],New_Ark_Data[Purchase order Number],New_Ark_Data[Estimated time of arrival],"",0))</f>
        <v>46246</v>
      </c>
      <c r="AZ62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5">
        <f>IFERROR(PV_DATA[[#This Row],[ODP ETA Port]]+PV_DATA[[#This Row],[Customs/Leg3 Assumption]],"n/a")</f>
        <v>46235.175381944442</v>
      </c>
      <c r="BB620" s="452">
        <f>YEAR(PV_DATA[[#This Row],[ETA for New Ark update]])</f>
        <v>2026</v>
      </c>
      <c r="BC620" s="450">
        <f>MONTH(PV_DATA[[#This Row],[ETA for New Ark update]])</f>
        <v>8</v>
      </c>
      <c r="BD620" s="450">
        <f>IFERROR(_xlfn.ISOWEEKNUM(PV_DATA[[#This Row],[ETA for New Ark update]]),0)</f>
        <v>31</v>
      </c>
      <c r="BE620" s="450">
        <f>_xlfn.XLOOKUP(PV_DATA[[#This Row],[New Ark SKU]],Table9[New Ark SKU],Table9[Total PCS per Pallet],,0)</f>
        <v>36</v>
      </c>
      <c r="BF620" s="450">
        <f>_xlfn.XLOOKUP(PV_DATA[[#This Row],[New Ark SKU]],Table9[New Ark SKU],Table9[Total PCS per 40HQ Container],,0)</f>
        <v>864</v>
      </c>
      <c r="BG620" s="450" t="str">
        <f>_xlfn.XLOOKUP(PV_DATA[[#This Row],[New Ark SKU]],Table9[New Ark SKU],Table9[Back Glass],,0)</f>
        <v>Black glazing</v>
      </c>
      <c r="BH620" s="731" t="str">
        <f>_xlfn.XLOOKUP(PV_DATA[[#This Row],[PORT DESTINATION]],Table12[PORT DESTINATION],Table12[Cosco Line],,0)</f>
        <v>AEM</v>
      </c>
    </row>
    <row r="621" spans="1:60" s="431" customFormat="1" ht="10.5">
      <c r="A621" s="439" t="s">
        <v>4971</v>
      </c>
      <c r="B621" s="439" t="s">
        <v>2132</v>
      </c>
      <c r="C621" s="439" t="str">
        <f>IFERROR(LEFT(PV_DATA[[#This Row],[TCL REFERENCE]],FIND(".",PV_DATA[[#This Row],[TCL REFERENCE]],1)-1),"Main Line")</f>
        <v>26May010</v>
      </c>
      <c r="D621" s="439" t="s">
        <v>63</v>
      </c>
      <c r="E621" s="439" t="s">
        <v>64</v>
      </c>
      <c r="F621" s="439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39" t="s">
        <v>402</v>
      </c>
      <c r="H621" s="439" t="s">
        <v>67</v>
      </c>
      <c r="I621" s="439" t="s">
        <v>689</v>
      </c>
      <c r="J621" s="431" t="s">
        <v>96</v>
      </c>
      <c r="M621" s="431" t="s">
        <v>68</v>
      </c>
      <c r="N621" s="461">
        <v>46153</v>
      </c>
      <c r="O621" s="431" t="s">
        <v>4531</v>
      </c>
      <c r="P621" s="431" t="s">
        <v>1151</v>
      </c>
      <c r="Q621" s="431" t="s">
        <v>421</v>
      </c>
      <c r="R621" s="431" t="str">
        <f>_xlfn.XLOOKUP(PV_DATA[[#This Row],[New Ark SKU]],Table9[New Ark SKU],Table9[Connector],,0)</f>
        <v>EVO2A</v>
      </c>
      <c r="S621" s="442" t="str">
        <f>_xlfn.XLOOKUP(PV_DATA[[#This Row],[New Ark SKU]],Table9[New Ark SKU],Table9[Cable],,0)</f>
        <v>±1200mm</v>
      </c>
      <c r="T621" s="442">
        <v>505</v>
      </c>
      <c r="U621" s="1093">
        <f>864*4</f>
        <v>3456</v>
      </c>
      <c r="V621" s="448">
        <f>PV_DATA[[#This Row],[QUANTITY]]*PV_DATA[[#This Row],[WATT]]/1000000</f>
        <v>1.7452799999999999</v>
      </c>
      <c r="W621" s="466">
        <f>PV_DATA[[#This Row],[QUANTITY]]/PV_DATA[[#This Row],[Qty/Pallet]]</f>
        <v>96</v>
      </c>
      <c r="X621" s="1044">
        <f>PV_DATA[[#This Row],[QUANTITY]]/PV_DATA[[#This Row],[Qty/CT]]</f>
        <v>4</v>
      </c>
      <c r="Y621" s="447" t="s">
        <v>2455</v>
      </c>
      <c r="Z621" s="430" t="str">
        <f t="shared" si="6"/>
        <v>COMPLETED</v>
      </c>
      <c r="AA621" s="431" t="s">
        <v>4507</v>
      </c>
      <c r="AB621" s="441">
        <v>46185</v>
      </c>
      <c r="AC621" s="467">
        <f>IF(PV_DATA[[#This Row],[Pick- Up Date]]&lt;&gt;"",_xlfn.ISOWEEKNUM(PV_DATA[[#This Row],[Pick- Up Date]]),"")</f>
        <v>24</v>
      </c>
      <c r="AD621" s="431" t="s">
        <v>4972</v>
      </c>
      <c r="AF621" s="447" t="s">
        <v>122</v>
      </c>
      <c r="AG621" s="447" t="s">
        <v>123</v>
      </c>
      <c r="AH621" s="431" t="s">
        <v>78</v>
      </c>
      <c r="AI621" s="441">
        <v>46195</v>
      </c>
      <c r="AJ621" s="441">
        <v>46200</v>
      </c>
      <c r="AK621" s="441">
        <v>46200</v>
      </c>
      <c r="AL621" s="441">
        <v>46244</v>
      </c>
      <c r="AM621" s="586"/>
      <c r="AN621" s="586">
        <f>IFERROR(IF(VLOOKUP(AT621,Vessel!A:I,9,FALSE)=0,"",VLOOKUP(AT621,Vessel!A:I,9,FALSE)),"")</f>
        <v>46250.848819444444</v>
      </c>
      <c r="AO621" s="431" t="s">
        <v>402</v>
      </c>
      <c r="AP621" s="431" t="s">
        <v>4973</v>
      </c>
      <c r="AQ621" s="431" t="s">
        <v>80</v>
      </c>
      <c r="AR621" s="431" t="s">
        <v>4974</v>
      </c>
      <c r="AS621" s="431" t="s">
        <v>4975</v>
      </c>
      <c r="AT621" s="431" t="s">
        <v>4975</v>
      </c>
      <c r="AU6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1" s="441"/>
      <c r="AW621" s="441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1">
        <f>IF(ISERROR(PV_DATA[[#This Row],[New Ark PO status]]),"",_xlfn.XLOOKUP(PV_DATA[[#This Row],[SPTN-PVHK New Ark PO'#]],New_Ark_Data[Purchase order Number],New_Ark_Data[Estimated time of arrival],"",0))</f>
        <v>46265</v>
      </c>
      <c r="AZ62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1">
        <f>IFERROR(PV_DATA[[#This Row],[ODP ETA Port]]+PV_DATA[[#This Row],[Customs/Leg3 Assumption]],"n/a")</f>
        <v>46258.848819444444</v>
      </c>
      <c r="BB621" s="442">
        <f>YEAR(PV_DATA[[#This Row],[ETA for New Ark update]])</f>
        <v>2026</v>
      </c>
      <c r="BC621" s="431">
        <f>MONTH(PV_DATA[[#This Row],[ETA for New Ark update]])</f>
        <v>8</v>
      </c>
      <c r="BD621" s="431">
        <f>IFERROR(_xlfn.ISOWEEKNUM(PV_DATA[[#This Row],[ETA for New Ark update]]),0)</f>
        <v>35</v>
      </c>
      <c r="BE621" s="431">
        <f>_xlfn.XLOOKUP(PV_DATA[[#This Row],[New Ark SKU]],Table9[New Ark SKU],Table9[Total PCS per Pallet],,0)</f>
        <v>36</v>
      </c>
      <c r="BF621" s="431">
        <f>_xlfn.XLOOKUP(PV_DATA[[#This Row],[New Ark SKU]],Table9[New Ark SKU],Table9[Total PCS per 40HQ Container],,0)</f>
        <v>864</v>
      </c>
      <c r="BG621" s="431" t="str">
        <f>_xlfn.XLOOKUP(PV_DATA[[#This Row],[New Ark SKU]],Table9[New Ark SKU],Table9[Back Glass],,0)</f>
        <v>Black glazing</v>
      </c>
      <c r="BH621" s="431" t="str">
        <f>_xlfn.XLOOKUP(PV_DATA[[#This Row],[PORT DESTINATION]],Table12[PORT DESTINATION],Table12[Cosco Line],,0)</f>
        <v>AEM</v>
      </c>
    </row>
    <row r="622" spans="1:60" s="431" customFormat="1" ht="10.5">
      <c r="A622" s="439" t="s">
        <v>4976</v>
      </c>
      <c r="B622" s="439" t="s">
        <v>111</v>
      </c>
      <c r="C622" s="439" t="str">
        <f>IFERROR(LEFT(PV_DATA[[#This Row],[TCL REFERENCE]],FIND(".",PV_DATA[[#This Row],[TCL REFERENCE]],1)-1),"Main Line")</f>
        <v>26May012</v>
      </c>
      <c r="D622" s="439" t="s">
        <v>63</v>
      </c>
      <c r="E622" s="439" t="s">
        <v>64</v>
      </c>
      <c r="F622" s="439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39" t="s">
        <v>402</v>
      </c>
      <c r="H622" s="719" t="s">
        <v>67</v>
      </c>
      <c r="I622" s="439" t="s">
        <v>689</v>
      </c>
      <c r="J622" s="431" t="s">
        <v>96</v>
      </c>
      <c r="M622" s="431" t="s">
        <v>68</v>
      </c>
      <c r="N622" s="461">
        <v>46167</v>
      </c>
      <c r="O622" s="431" t="s">
        <v>4531</v>
      </c>
      <c r="P622" s="431" t="s">
        <v>4597</v>
      </c>
      <c r="Q622" s="431" t="s">
        <v>4598</v>
      </c>
      <c r="R622" s="431" t="str">
        <f>_xlfn.XLOOKUP(PV_DATA[[#This Row],[New Ark SKU]],Table9[New Ark SKU],Table9[Connector],,0)</f>
        <v>H4(Com)</v>
      </c>
      <c r="S622" s="442" t="str">
        <f>_xlfn.XLOOKUP(PV_DATA[[#This Row],[New Ark SKU]],Table9[New Ark SKU],Table9[Cable],,0)</f>
        <v>+400mm/-200mm</v>
      </c>
      <c r="T622" s="442">
        <v>630</v>
      </c>
      <c r="U622" s="1093">
        <f>720*9</f>
        <v>6480</v>
      </c>
      <c r="V622" s="448">
        <f>PV_DATA[[#This Row],[QUANTITY]]*PV_DATA[[#This Row],[WATT]]/1000000</f>
        <v>4.0823999999999998</v>
      </c>
      <c r="W622" s="466">
        <f>PV_DATA[[#This Row],[QUANTITY]]/PV_DATA[[#This Row],[Qty/Pallet]]</f>
        <v>180</v>
      </c>
      <c r="X622" s="1044">
        <f>PV_DATA[[#This Row],[QUANTITY]]/PV_DATA[[#This Row],[Qty/CT]]</f>
        <v>9</v>
      </c>
      <c r="Y622" s="431" t="s">
        <v>2455</v>
      </c>
      <c r="Z622" s="430" t="str">
        <f t="shared" si="6"/>
        <v>COMPLETED</v>
      </c>
      <c r="AA622" s="431" t="s">
        <v>4977</v>
      </c>
      <c r="AB622" s="441">
        <v>46186</v>
      </c>
      <c r="AC622" s="467">
        <f>IF(PV_DATA[[#This Row],[Pick- Up Date]]&lt;&gt;"",_xlfn.ISOWEEKNUM(PV_DATA[[#This Row],[Pick- Up Date]]),"")</f>
        <v>24</v>
      </c>
      <c r="AD622" s="431" t="s">
        <v>4978</v>
      </c>
      <c r="AF622" s="431" t="s">
        <v>122</v>
      </c>
      <c r="AG622" s="431" t="s">
        <v>123</v>
      </c>
      <c r="AH622" s="431" t="s">
        <v>78</v>
      </c>
      <c r="AI622" s="441">
        <v>46195</v>
      </c>
      <c r="AJ622" s="441">
        <v>46200</v>
      </c>
      <c r="AK622" s="441">
        <v>46200</v>
      </c>
      <c r="AL622" s="441">
        <v>46244</v>
      </c>
      <c r="AM622" s="586"/>
      <c r="AN622" s="586">
        <f>IFERROR(IF(VLOOKUP(AT622,Vessel!A:I,9,FALSE)=0,"",VLOOKUP(AT622,Vessel!A:I,9,FALSE)),"")</f>
        <v>46250.848819444444</v>
      </c>
      <c r="AO622" s="431" t="s">
        <v>402</v>
      </c>
      <c r="AP622" s="431" t="s">
        <v>4973</v>
      </c>
      <c r="AQ622" s="431" t="s">
        <v>80</v>
      </c>
      <c r="AR622" s="431" t="s">
        <v>4974</v>
      </c>
      <c r="AS622" s="431" t="s">
        <v>4975</v>
      </c>
      <c r="AT622" s="431" t="s">
        <v>4975</v>
      </c>
      <c r="AU6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2" s="441"/>
      <c r="AW622" s="441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1">
        <f>IF(ISERROR(PV_DATA[[#This Row],[New Ark PO status]]),"",_xlfn.XLOOKUP(PV_DATA[[#This Row],[SPTN-PVHK New Ark PO'#]],New_Ark_Data[Purchase order Number],New_Ark_Data[Estimated time of arrival],"",0))</f>
        <v>46265</v>
      </c>
      <c r="AZ62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1">
        <f>IFERROR(PV_DATA[[#This Row],[ODP ETA Port]]+PV_DATA[[#This Row],[Customs/Leg3 Assumption]],"n/a")</f>
        <v>46258.848819444444</v>
      </c>
      <c r="BB622" s="442">
        <f>YEAR(PV_DATA[[#This Row],[ETA for New Ark update]])</f>
        <v>2026</v>
      </c>
      <c r="BC622" s="431">
        <f>MONTH(PV_DATA[[#This Row],[ETA for New Ark update]])</f>
        <v>8</v>
      </c>
      <c r="BD622" s="431">
        <f>IFERROR(_xlfn.ISOWEEKNUM(PV_DATA[[#This Row],[ETA for New Ark update]]),0)</f>
        <v>35</v>
      </c>
      <c r="BE622" s="431">
        <f>_xlfn.XLOOKUP(PV_DATA[[#This Row],[New Ark SKU]],Table9[New Ark SKU],Table9[Total PCS per Pallet],,0)</f>
        <v>36</v>
      </c>
      <c r="BF622" s="431">
        <f>_xlfn.XLOOKUP(PV_DATA[[#This Row],[New Ark SKU]],Table9[New Ark SKU],Table9[Total PCS per 40HQ Container],,0)</f>
        <v>720</v>
      </c>
      <c r="BG622" s="431" t="str">
        <f>_xlfn.XLOOKUP(PV_DATA[[#This Row],[New Ark SKU]],Table9[New Ark SKU],Table9[Back Glass],,0)</f>
        <v>Transparent</v>
      </c>
      <c r="BH622" s="431" t="str">
        <f>_xlfn.XLOOKUP(PV_DATA[[#This Row],[PORT DESTINATION]],Table12[PORT DESTINATION],Table12[Cosco Line],,0)</f>
        <v>AEM</v>
      </c>
    </row>
    <row r="623" spans="1:60" s="431" customFormat="1" ht="10.5">
      <c r="A623" s="439" t="s">
        <v>4979</v>
      </c>
      <c r="B623" s="439" t="s">
        <v>111</v>
      </c>
      <c r="C623" s="439" t="str">
        <f>IFERROR(LEFT(PV_DATA[[#This Row],[TCL REFERENCE]],FIND(".",PV_DATA[[#This Row],[TCL REFERENCE]],1)-1),"Main Line")</f>
        <v>26May011</v>
      </c>
      <c r="D623" s="439" t="s">
        <v>63</v>
      </c>
      <c r="E623" s="439" t="s">
        <v>64</v>
      </c>
      <c r="F623" s="439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39" t="s">
        <v>402</v>
      </c>
      <c r="H623" s="719" t="s">
        <v>311</v>
      </c>
      <c r="I623" s="439" t="s">
        <v>689</v>
      </c>
      <c r="J623" s="431" t="s">
        <v>96</v>
      </c>
      <c r="M623" s="431" t="s">
        <v>68</v>
      </c>
      <c r="N623" s="461">
        <v>46167</v>
      </c>
      <c r="O623" s="431" t="s">
        <v>4531</v>
      </c>
      <c r="P623" s="431" t="s">
        <v>4592</v>
      </c>
      <c r="Q623" s="431" t="s">
        <v>330</v>
      </c>
      <c r="R623" s="431" t="str">
        <f>_xlfn.XLOOKUP(PV_DATA[[#This Row],[New Ark SKU]],Table9[New Ark SKU],Table9[Connector],,0)</f>
        <v>H4(Com)</v>
      </c>
      <c r="S623" s="442" t="str">
        <f>_xlfn.XLOOKUP(PV_DATA[[#This Row],[New Ark SKU]],Table9[New Ark SKU],Table9[Cable],,0)</f>
        <v>+400mm/-200mm</v>
      </c>
      <c r="T623" s="442">
        <v>625</v>
      </c>
      <c r="U623" s="1093">
        <f>720*3</f>
        <v>2160</v>
      </c>
      <c r="V623" s="444">
        <f>PV_DATA[[#This Row],[QUANTITY]]*PV_DATA[[#This Row],[WATT]]/1000000</f>
        <v>1.35</v>
      </c>
      <c r="W623" s="466">
        <f>PV_DATA[[#This Row],[QUANTITY]]/PV_DATA[[#This Row],[Qty/Pallet]]</f>
        <v>60</v>
      </c>
      <c r="X623" s="1044">
        <f>PV_DATA[[#This Row],[QUANTITY]]/PV_DATA[[#This Row],[Qty/CT]]</f>
        <v>3</v>
      </c>
      <c r="Y623" s="431" t="s">
        <v>2455</v>
      </c>
      <c r="Z623" s="430" t="str">
        <f t="shared" si="6"/>
        <v>COMPLETED</v>
      </c>
      <c r="AA623" s="431" t="s">
        <v>4980</v>
      </c>
      <c r="AB623" s="441">
        <v>46181</v>
      </c>
      <c r="AC623" s="467">
        <f>IF(PV_DATA[[#This Row],[Pick- Up Date]]&lt;&gt;"",_xlfn.ISOWEEKNUM(PV_DATA[[#This Row],[Pick- Up Date]]),"")</f>
        <v>24</v>
      </c>
      <c r="AD623" s="431" t="s">
        <v>4981</v>
      </c>
      <c r="AF623" s="431" t="s">
        <v>122</v>
      </c>
      <c r="AG623" s="431" t="s">
        <v>123</v>
      </c>
      <c r="AH623" s="431" t="s">
        <v>1561</v>
      </c>
      <c r="AI623" s="441">
        <v>46189</v>
      </c>
      <c r="AJ623" s="441">
        <v>46191</v>
      </c>
      <c r="AK623" s="441">
        <v>46191</v>
      </c>
      <c r="AL623" s="441">
        <v>46248</v>
      </c>
      <c r="AM623" s="586">
        <f>IFERROR(VLOOKUP(AT623, Vessel!A:H, 8, FALSE), "")</f>
        <v>46254.75</v>
      </c>
      <c r="AN623" s="586">
        <v>46254</v>
      </c>
      <c r="AO623" s="431" t="s">
        <v>402</v>
      </c>
      <c r="AP623" s="431" t="s">
        <v>4982</v>
      </c>
      <c r="AQ623" s="431" t="s">
        <v>80</v>
      </c>
      <c r="AR623" s="431" t="s">
        <v>4983</v>
      </c>
      <c r="AS623" s="431" t="s">
        <v>4984</v>
      </c>
      <c r="AT623" s="431" t="s">
        <v>4984</v>
      </c>
      <c r="AU6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1"/>
      <c r="AW623" s="441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3" s="441">
        <f>IF(ISERROR(PV_DATA[[#This Row],[New Ark PO status]]),"",_xlfn.XLOOKUP(PV_DATA[[#This Row],[SPTN-PVHK New Ark PO'#]],New_Ark_Data[Purchase order Number],New_Ark_Data[Estimated time of arrival],"",0))</f>
        <v>46268</v>
      </c>
      <c r="AZ62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3" s="441">
        <f>IFERROR(PV_DATA[[#This Row],[ODP ETA Port]]+PV_DATA[[#This Row],[Customs/Leg3 Assumption]],"n/a")</f>
        <v>46264</v>
      </c>
      <c r="BB623" s="442">
        <f>YEAR(PV_DATA[[#This Row],[ETA for New Ark update]])</f>
        <v>2026</v>
      </c>
      <c r="BC623" s="431">
        <f>MONTH(PV_DATA[[#This Row],[ETA for New Ark update]])</f>
        <v>8</v>
      </c>
      <c r="BD623" s="431">
        <f>IFERROR(_xlfn.ISOWEEKNUM(PV_DATA[[#This Row],[ETA for New Ark update]]),0)</f>
        <v>35</v>
      </c>
      <c r="BE623" s="431">
        <f>_xlfn.XLOOKUP(PV_DATA[[#This Row],[New Ark SKU]],Table9[New Ark SKU],Table9[Total PCS per Pallet],,0)</f>
        <v>36</v>
      </c>
      <c r="BF623" s="431">
        <f>_xlfn.XLOOKUP(PV_DATA[[#This Row],[New Ark SKU]],Table9[New Ark SKU],Table9[Total PCS per 40HQ Container],,0)</f>
        <v>720</v>
      </c>
      <c r="BG623" s="431" t="str">
        <f>_xlfn.XLOOKUP(PV_DATA[[#This Row],[New Ark SKU]],Table9[New Ark SKU],Table9[Back Glass],,0)</f>
        <v>Transparent</v>
      </c>
      <c r="BH623" s="431" t="str">
        <f>_xlfn.XLOOKUP(PV_DATA[[#This Row],[PORT DESTINATION]],Table12[PORT DESTINATION],Table12[Cosco Line],,0)</f>
        <v>AEM</v>
      </c>
    </row>
    <row r="624" spans="1:60" s="431" customFormat="1" ht="10.5">
      <c r="A624" s="439" t="s">
        <v>4985</v>
      </c>
      <c r="B624" s="439" t="s">
        <v>111</v>
      </c>
      <c r="C624" s="439" t="str">
        <f>IFERROR(LEFT(PV_DATA[[#This Row],[TCL REFERENCE]],FIND(".",PV_DATA[[#This Row],[TCL REFERENCE]],1)-1),"Main Line")</f>
        <v>26May011</v>
      </c>
      <c r="D624" s="439" t="s">
        <v>63</v>
      </c>
      <c r="E624" s="439" t="s">
        <v>64</v>
      </c>
      <c r="F624" s="439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39" t="s">
        <v>402</v>
      </c>
      <c r="H624" s="719" t="s">
        <v>311</v>
      </c>
      <c r="I624" s="439" t="s">
        <v>689</v>
      </c>
      <c r="J624" s="431" t="s">
        <v>96</v>
      </c>
      <c r="M624" s="431" t="s">
        <v>68</v>
      </c>
      <c r="N624" s="461">
        <v>46167</v>
      </c>
      <c r="O624" s="431" t="s">
        <v>4531</v>
      </c>
      <c r="P624" s="431" t="s">
        <v>4592</v>
      </c>
      <c r="Q624" s="431" t="s">
        <v>330</v>
      </c>
      <c r="R624" s="431" t="str">
        <f>_xlfn.XLOOKUP(PV_DATA[[#This Row],[New Ark SKU]],Table9[New Ark SKU],Table9[Connector],,0)</f>
        <v>H4(Com)</v>
      </c>
      <c r="S624" s="442" t="str">
        <f>_xlfn.XLOOKUP(PV_DATA[[#This Row],[New Ark SKU]],Table9[New Ark SKU],Table9[Cable],,0)</f>
        <v>+400mm/-200mm</v>
      </c>
      <c r="T624" s="442">
        <v>625</v>
      </c>
      <c r="U624" s="1094">
        <f>720*1</f>
        <v>720</v>
      </c>
      <c r="V624" s="444">
        <f>PV_DATA[[#This Row],[QUANTITY]]*PV_DATA[[#This Row],[WATT]]/1000000</f>
        <v>0.45</v>
      </c>
      <c r="W624" s="466">
        <f>PV_DATA[[#This Row],[QUANTITY]]/PV_DATA[[#This Row],[Qty/Pallet]]</f>
        <v>20</v>
      </c>
      <c r="X624" s="1044">
        <f>PV_DATA[[#This Row],[QUANTITY]]/PV_DATA[[#This Row],[Qty/CT]]</f>
        <v>1</v>
      </c>
      <c r="Y624" s="431" t="s">
        <v>2455</v>
      </c>
      <c r="Z624" s="430" t="str">
        <f t="shared" si="6"/>
        <v>COMPLETED</v>
      </c>
      <c r="AA624" s="431" t="s">
        <v>4980</v>
      </c>
      <c r="AB624" s="441">
        <v>46182</v>
      </c>
      <c r="AC624" s="467">
        <f>IF(PV_DATA[[#This Row],[Pick- Up Date]]&lt;&gt;"",_xlfn.ISOWEEKNUM(PV_DATA[[#This Row],[Pick- Up Date]]),"")</f>
        <v>24</v>
      </c>
      <c r="AD624" s="431" t="s">
        <v>4986</v>
      </c>
      <c r="AF624" s="431" t="s">
        <v>122</v>
      </c>
      <c r="AG624" s="431" t="s">
        <v>123</v>
      </c>
      <c r="AH624" s="431" t="s">
        <v>1561</v>
      </c>
      <c r="AI624" s="441">
        <v>46189</v>
      </c>
      <c r="AJ624" s="441">
        <v>46191</v>
      </c>
      <c r="AK624" s="441">
        <v>46191</v>
      </c>
      <c r="AL624" s="441">
        <v>46248</v>
      </c>
      <c r="AM624" s="586">
        <f>IFERROR(VLOOKUP(AT624, Vessel!A:H, 8, FALSE), "")</f>
        <v>46254.75</v>
      </c>
      <c r="AN624" s="586">
        <v>46254</v>
      </c>
      <c r="AO624" s="431" t="s">
        <v>402</v>
      </c>
      <c r="AP624" s="431" t="s">
        <v>4982</v>
      </c>
      <c r="AQ624" s="431" t="s">
        <v>80</v>
      </c>
      <c r="AR624" s="431" t="s">
        <v>4987</v>
      </c>
      <c r="AS624" s="431" t="s">
        <v>4988</v>
      </c>
      <c r="AT624" s="431" t="s">
        <v>4984</v>
      </c>
      <c r="AU6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1"/>
      <c r="AW624" s="441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1" t="str">
        <f>IF(ISERROR(PV_DATA[[#This Row],[New Ark PO status]]),"",_xlfn.XLOOKUP(PV_DATA[[#This Row],[SPTN-PVHK New Ark PO'#]],New_Ark_Data[Purchase order Number],New_Ark_Data[Estimated time of arrival],"",0))</f>
        <v/>
      </c>
      <c r="AZ62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4" s="441">
        <f>IFERROR(PV_DATA[[#This Row],[ODP ETA Port]]+PV_DATA[[#This Row],[Customs/Leg3 Assumption]],"n/a")</f>
        <v>46264</v>
      </c>
      <c r="BB624" s="442">
        <f>YEAR(PV_DATA[[#This Row],[ETA for New Ark update]])</f>
        <v>2026</v>
      </c>
      <c r="BC624" s="431">
        <f>MONTH(PV_DATA[[#This Row],[ETA for New Ark update]])</f>
        <v>8</v>
      </c>
      <c r="BD624" s="431">
        <f>IFERROR(_xlfn.ISOWEEKNUM(PV_DATA[[#This Row],[ETA for New Ark update]]),0)</f>
        <v>35</v>
      </c>
      <c r="BE624" s="431">
        <f>_xlfn.XLOOKUP(PV_DATA[[#This Row],[New Ark SKU]],Table9[New Ark SKU],Table9[Total PCS per Pallet],,0)</f>
        <v>36</v>
      </c>
      <c r="BF624" s="431">
        <f>_xlfn.XLOOKUP(PV_DATA[[#This Row],[New Ark SKU]],Table9[New Ark SKU],Table9[Total PCS per 40HQ Container],,0)</f>
        <v>720</v>
      </c>
      <c r="BG624" s="431" t="str">
        <f>_xlfn.XLOOKUP(PV_DATA[[#This Row],[New Ark SKU]],Table9[New Ark SKU],Table9[Back Glass],,0)</f>
        <v>Transparent</v>
      </c>
      <c r="BH624" s="431" t="str">
        <f>_xlfn.XLOOKUP(PV_DATA[[#This Row],[PORT DESTINATION]],Table12[PORT DESTINATION],Table12[Cosco Line],,0)</f>
        <v>AEM</v>
      </c>
    </row>
    <row r="625" spans="1:62" s="431" customFormat="1" ht="10.5">
      <c r="A625" s="439" t="s">
        <v>4989</v>
      </c>
      <c r="B625" s="439" t="s">
        <v>111</v>
      </c>
      <c r="C625" s="439" t="str">
        <f>IFERROR(LEFT(PV_DATA[[#This Row],[TCL REFERENCE]],FIND(".",PV_DATA[[#This Row],[TCL REFERENCE]],1)-1),"Main Line")</f>
        <v>Main Line</v>
      </c>
      <c r="D625" s="439" t="s">
        <v>63</v>
      </c>
      <c r="E625" s="439" t="s">
        <v>64</v>
      </c>
      <c r="F625" s="439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39" t="s">
        <v>402</v>
      </c>
      <c r="H625" s="439" t="s">
        <v>311</v>
      </c>
      <c r="I625" s="439" t="s">
        <v>689</v>
      </c>
      <c r="J625" s="431" t="s">
        <v>96</v>
      </c>
      <c r="M625" s="431" t="s">
        <v>68</v>
      </c>
      <c r="N625" s="461">
        <v>46174</v>
      </c>
      <c r="O625" s="431" t="s">
        <v>170</v>
      </c>
      <c r="P625" s="431" t="s">
        <v>1221</v>
      </c>
      <c r="Q625" s="431" t="s">
        <v>1222</v>
      </c>
      <c r="R625" s="431" t="str">
        <f>_xlfn.XLOOKUP(PV_DATA[[#This Row],[New Ark SKU]],Table9[New Ark SKU],Table9[Connector],,0)</f>
        <v>EVO2A</v>
      </c>
      <c r="S625" s="442" t="str">
        <f>_xlfn.XLOOKUP(PV_DATA[[#This Row],[New Ark SKU]],Table9[New Ark SKU],Table9[Cable],,0)</f>
        <v>±1500mm</v>
      </c>
      <c r="T625" s="442">
        <v>545</v>
      </c>
      <c r="U625" s="1093">
        <v>660</v>
      </c>
      <c r="V625" s="448">
        <f>PV_DATA[[#This Row],[QUANTITY]]*PV_DATA[[#This Row],[WATT]]/1000000</f>
        <v>0.35970000000000002</v>
      </c>
      <c r="W625" s="466">
        <f>PV_DATA[[#This Row],[QUANTITY]]/PV_DATA[[#This Row],[Qty/Pallet]]</f>
        <v>20</v>
      </c>
      <c r="X625" s="1044">
        <f>PV_DATA[[#This Row],[QUANTITY]]/PV_DATA[[#This Row],[Qty/CT]]</f>
        <v>1</v>
      </c>
      <c r="Y625" s="431" t="s">
        <v>2455</v>
      </c>
      <c r="Z625" s="430" t="str">
        <f t="shared" si="6"/>
        <v>COMPLETED</v>
      </c>
      <c r="AA625" s="431" t="s">
        <v>4990</v>
      </c>
      <c r="AB625" s="441">
        <v>46182</v>
      </c>
      <c r="AC625" s="467">
        <f>IF(PV_DATA[[#This Row],[Pick- Up Date]]&lt;&gt;"",_xlfn.ISOWEEKNUM(PV_DATA[[#This Row],[Pick- Up Date]]),"")</f>
        <v>24</v>
      </c>
      <c r="AD625" s="431" t="s">
        <v>4991</v>
      </c>
      <c r="AF625" s="431" t="s">
        <v>122</v>
      </c>
      <c r="AG625" s="431" t="s">
        <v>123</v>
      </c>
      <c r="AH625" s="431" t="s">
        <v>1561</v>
      </c>
      <c r="AI625" s="441">
        <v>46189</v>
      </c>
      <c r="AJ625" s="441">
        <v>46191</v>
      </c>
      <c r="AK625" s="441">
        <v>46191</v>
      </c>
      <c r="AL625" s="732">
        <v>46248</v>
      </c>
      <c r="AM625" s="586">
        <f>IFERROR(VLOOKUP(AT625, Vessel!A:H, 8, FALSE), "")</f>
        <v>46254.75</v>
      </c>
      <c r="AN625" s="586">
        <v>46254</v>
      </c>
      <c r="AO625" s="431" t="s">
        <v>402</v>
      </c>
      <c r="AP625" s="431" t="s">
        <v>4982</v>
      </c>
      <c r="AQ625" s="445" t="s">
        <v>80</v>
      </c>
      <c r="AR625" s="431" t="s">
        <v>4987</v>
      </c>
      <c r="AS625" s="431" t="s">
        <v>4988</v>
      </c>
      <c r="AT625" s="431" t="s">
        <v>4984</v>
      </c>
      <c r="AU6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1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1">
        <f>IF(ISERROR(PV_DATA[[#This Row],[New Ark PO status]]),"",_xlfn.XLOOKUP(PV_DATA[[#This Row],[SPTN-PVHK New Ark PO'#]],New_Ark_Data[Purchase order Number],New_Ark_Data[Estimated time of arrival],"",0))</f>
        <v>46268</v>
      </c>
      <c r="AZ62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5" s="441">
        <f>IFERROR(PV_DATA[[#This Row],[ODP ETA Port]]+PV_DATA[[#This Row],[Customs/Leg3 Assumption]],"n/a")</f>
        <v>46264</v>
      </c>
      <c r="BB625" s="442">
        <f>YEAR(PV_DATA[[#This Row],[ETA for New Ark update]])</f>
        <v>2026</v>
      </c>
      <c r="BC625" s="431">
        <f>MONTH(PV_DATA[[#This Row],[ETA for New Ark update]])</f>
        <v>8</v>
      </c>
      <c r="BD625" s="431">
        <f>IFERROR(_xlfn.ISOWEEKNUM(PV_DATA[[#This Row],[ETA for New Ark update]]),0)</f>
        <v>35</v>
      </c>
      <c r="BE625" s="431">
        <f>_xlfn.XLOOKUP(PV_DATA[[#This Row],[New Ark SKU]],Table9[New Ark SKU],Table9[Total PCS per Pallet],,0)</f>
        <v>33</v>
      </c>
      <c r="BF625" s="431">
        <f>_xlfn.XLOOKUP(PV_DATA[[#This Row],[New Ark SKU]],Table9[New Ark SKU],Table9[Total PCS per 40HQ Container],,0)</f>
        <v>660</v>
      </c>
      <c r="BG625" s="431" t="str">
        <f>_xlfn.XLOOKUP(PV_DATA[[#This Row],[New Ark SKU]],Table9[New Ark SKU],Table9[Back Glass],,0)</f>
        <v>White glazing</v>
      </c>
      <c r="BH625" s="431" t="str">
        <f>_xlfn.XLOOKUP(PV_DATA[[#This Row],[PORT DESTINATION]],Table12[PORT DESTINATION],Table12[Cosco Line],,0)</f>
        <v>AEM</v>
      </c>
    </row>
    <row r="626" spans="1:62" s="431" customFormat="1" ht="10.5">
      <c r="A626" s="439" t="s">
        <v>4992</v>
      </c>
      <c r="B626" s="439" t="s">
        <v>61</v>
      </c>
      <c r="C626" s="439" t="s">
        <v>4902</v>
      </c>
      <c r="D626" s="439" t="s">
        <v>63</v>
      </c>
      <c r="E626" s="439" t="s">
        <v>64</v>
      </c>
      <c r="F626" s="439" t="s">
        <v>65</v>
      </c>
      <c r="G626" s="439" t="s">
        <v>402</v>
      </c>
      <c r="H626" s="439" t="s">
        <v>67</v>
      </c>
      <c r="I626" s="439" t="s">
        <v>689</v>
      </c>
      <c r="J626" s="431" t="s">
        <v>96</v>
      </c>
      <c r="M626" s="431" t="s">
        <v>68</v>
      </c>
      <c r="N626" s="461">
        <v>46153</v>
      </c>
      <c r="O626" s="431" t="s">
        <v>4531</v>
      </c>
      <c r="P626" s="431" t="s">
        <v>71</v>
      </c>
      <c r="Q626" s="431" t="s">
        <v>72</v>
      </c>
      <c r="R626" s="431" t="str">
        <f>_xlfn.XLOOKUP(PV_DATA[[#This Row],[New Ark SKU]],Table9[New Ark SKU],Table9[Connector],,0)</f>
        <v>EVO2A</v>
      </c>
      <c r="S626" s="442" t="str">
        <f>_xlfn.XLOOKUP(PV_DATA[[#This Row],[New Ark SKU]],Table9[New Ark SKU],Table9[Cable],,0)</f>
        <v>±1200mm</v>
      </c>
      <c r="T626" s="442">
        <v>500</v>
      </c>
      <c r="U626" s="1093">
        <v>1728</v>
      </c>
      <c r="V626" s="448">
        <f>PV_DATA[[#This Row],[QUANTITY]]*PV_DATA[[#This Row],[WATT]]/1000000</f>
        <v>0.86399999999999999</v>
      </c>
      <c r="W626" s="466">
        <f>PV_DATA[[#This Row],[QUANTITY]]/PV_DATA[[#This Row],[Qty/Pallet]]</f>
        <v>48</v>
      </c>
      <c r="X626" s="1044">
        <v>2</v>
      </c>
      <c r="Y626" s="431" t="s">
        <v>2455</v>
      </c>
      <c r="Z626" s="430" t="str">
        <f t="shared" si="6"/>
        <v>COMPLETED</v>
      </c>
      <c r="AA626" s="431" t="s">
        <v>4873</v>
      </c>
      <c r="AB626" s="441">
        <v>46185</v>
      </c>
      <c r="AC626" s="467">
        <f>IF(PV_DATA[[#This Row],[Pick- Up Date]]&lt;&gt;"",_xlfn.ISOWEEKNUM(PV_DATA[[#This Row],[Pick- Up Date]]),"")</f>
        <v>24</v>
      </c>
      <c r="AD626" s="431" t="s">
        <v>4993</v>
      </c>
      <c r="AF626" s="431" t="s">
        <v>61</v>
      </c>
      <c r="AG626" s="431" t="s">
        <v>61</v>
      </c>
      <c r="AH626" s="431" t="s">
        <v>78</v>
      </c>
      <c r="AI626" s="441">
        <v>46193</v>
      </c>
      <c r="AJ626" s="441"/>
      <c r="AK626" s="441">
        <v>46195</v>
      </c>
      <c r="AL626" s="441">
        <v>46252</v>
      </c>
      <c r="AM626" s="586">
        <f>IFERROR(VLOOKUP(AT626, Vessel!A:H, 8, FALSE), "")</f>
        <v>46261.25</v>
      </c>
      <c r="AN626" s="586">
        <v>46261</v>
      </c>
      <c r="AO626" s="431" t="s">
        <v>402</v>
      </c>
      <c r="AP626" s="431" t="s">
        <v>4994</v>
      </c>
      <c r="AQ626" s="431" t="s">
        <v>80</v>
      </c>
      <c r="AR626" s="431" t="s">
        <v>4995</v>
      </c>
      <c r="AS626" s="431" t="s">
        <v>4996</v>
      </c>
      <c r="AT626" s="431" t="s">
        <v>4996</v>
      </c>
      <c r="AU6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1"/>
      <c r="AW626" s="441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1">
        <f>IF(ISERROR(PV_DATA[[#This Row],[New Ark PO status]]),"",_xlfn.XLOOKUP(PV_DATA[[#This Row],[SPTN-PVHK New Ark PO'#]],New_Ark_Data[Purchase order Number],New_Ark_Data[Estimated time of arrival],"",0))</f>
        <v>46273</v>
      </c>
      <c r="AZ62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1">
        <f>IFERROR(PV_DATA[[#This Row],[ODP ETA Port]]+PV_DATA[[#This Row],[Customs/Leg3 Assumption]],"n/a")</f>
        <v>46269</v>
      </c>
      <c r="BB626" s="442">
        <f>YEAR(PV_DATA[[#This Row],[ETA for New Ark update]])</f>
        <v>2026</v>
      </c>
      <c r="BC626" s="431">
        <f>MONTH(PV_DATA[[#This Row],[ETA for New Ark update]])</f>
        <v>9</v>
      </c>
      <c r="BD626" s="431">
        <f>IFERROR(_xlfn.ISOWEEKNUM(PV_DATA[[#This Row],[ETA for New Ark update]]),0)</f>
        <v>36</v>
      </c>
      <c r="BE626" s="431">
        <f>_xlfn.XLOOKUP(PV_DATA[[#This Row],[New Ark SKU]],Table9[New Ark SKU],Table9[Total PCS per Pallet],,0)</f>
        <v>36</v>
      </c>
      <c r="BF626" s="431">
        <f>_xlfn.XLOOKUP(PV_DATA[[#This Row],[New Ark SKU]],Table9[New Ark SKU],Table9[Total PCS per 40HQ Container],,0)</f>
        <v>864</v>
      </c>
      <c r="BG626" s="431" t="str">
        <f>_xlfn.XLOOKUP(PV_DATA[[#This Row],[New Ark SKU]],Table9[New Ark SKU],Table9[Back Glass],,0)</f>
        <v>Black glazing</v>
      </c>
      <c r="BH626" s="431" t="str">
        <f>_xlfn.XLOOKUP(PV_DATA[[#This Row],[PORT DESTINATION]],Table12[PORT DESTINATION],Table12[Cosco Line],,0)</f>
        <v>AEM</v>
      </c>
    </row>
    <row r="627" spans="1:62" s="431" customFormat="1" ht="10.5">
      <c r="A627" s="439" t="s">
        <v>4997</v>
      </c>
      <c r="B627" s="439" t="s">
        <v>61</v>
      </c>
      <c r="C627" s="439" t="str">
        <f>IFERROR(LEFT(PV_DATA[[#This Row],[TCL REFERENCE]],FIND(".",PV_DATA[[#This Row],[TCL REFERENCE]],1)-1),"Main Line")</f>
        <v>26May009</v>
      </c>
      <c r="D627" s="439" t="s">
        <v>63</v>
      </c>
      <c r="E627" s="439" t="s">
        <v>64</v>
      </c>
      <c r="F627" s="439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39" t="s">
        <v>402</v>
      </c>
      <c r="H627" s="439" t="s">
        <v>67</v>
      </c>
      <c r="I627" s="439" t="s">
        <v>689</v>
      </c>
      <c r="J627" s="431" t="s">
        <v>96</v>
      </c>
      <c r="M627" s="431" t="s">
        <v>68</v>
      </c>
      <c r="N627" s="461">
        <v>46153</v>
      </c>
      <c r="O627" s="431" t="s">
        <v>4531</v>
      </c>
      <c r="P627" s="431" t="s">
        <v>71</v>
      </c>
      <c r="Q627" s="431" t="s">
        <v>72</v>
      </c>
      <c r="R627" s="431" t="str">
        <f>_xlfn.XLOOKUP(PV_DATA[[#This Row],[New Ark SKU]],Table9[New Ark SKU],Table9[Connector],,0)</f>
        <v>EVO2A</v>
      </c>
      <c r="S627" s="442" t="str">
        <f>_xlfn.XLOOKUP(PV_DATA[[#This Row],[New Ark SKU]],Table9[New Ark SKU],Table9[Cable],,0)</f>
        <v>±1200mm</v>
      </c>
      <c r="T627" s="442">
        <v>500</v>
      </c>
      <c r="U627" s="1093">
        <f>864*3</f>
        <v>2592</v>
      </c>
      <c r="V627" s="448">
        <f>PV_DATA[[#This Row],[QUANTITY]]*PV_DATA[[#This Row],[WATT]]/1000000</f>
        <v>1.296</v>
      </c>
      <c r="W627" s="466">
        <f>PV_DATA[[#This Row],[QUANTITY]]/PV_DATA[[#This Row],[Qty/Pallet]]</f>
        <v>72</v>
      </c>
      <c r="X627" s="1044">
        <f>PV_DATA[[#This Row],[QUANTITY]]/PV_DATA[[#This Row],[Qty/CT]]</f>
        <v>3</v>
      </c>
      <c r="Y627" s="447" t="s">
        <v>2455</v>
      </c>
      <c r="Z627" s="430" t="str">
        <f t="shared" ref="Z627:Z690" si="7">IF(AN627&lt;&gt;"","COMPLETED",IF(AK627&lt;&gt;"","IN-TRANSIT",""))</f>
        <v>COMPLETED</v>
      </c>
      <c r="AA627" s="431" t="s">
        <v>4961</v>
      </c>
      <c r="AB627" s="441">
        <v>46185</v>
      </c>
      <c r="AC627" s="467">
        <f>IF(PV_DATA[[#This Row],[Pick- Up Date]]&lt;&gt;"",_xlfn.ISOWEEKNUM(PV_DATA[[#This Row],[Pick- Up Date]]),"")</f>
        <v>24</v>
      </c>
      <c r="AD627" s="431" t="s">
        <v>4998</v>
      </c>
      <c r="AF627" s="447" t="s">
        <v>61</v>
      </c>
      <c r="AG627" s="447" t="s">
        <v>61</v>
      </c>
      <c r="AH627" s="431" t="s">
        <v>78</v>
      </c>
      <c r="AI627" s="441">
        <v>46193</v>
      </c>
      <c r="AJ627" s="441"/>
      <c r="AK627" s="441">
        <v>46195</v>
      </c>
      <c r="AL627" s="441">
        <v>46258</v>
      </c>
      <c r="AM627" s="586">
        <f>IFERROR(VLOOKUP(AT627, Vessel!A:H, 8, FALSE), "")</f>
        <v>46271.25</v>
      </c>
      <c r="AN627" s="586">
        <f>IF(VLOOKUP(AT627, Vessel!A:I, 9, FALSE)=0, "", VLOOKUP(AT627, Vessel!A:I, 9, FALSE))</f>
        <v>46271.279085648152</v>
      </c>
      <c r="AO627" s="431" t="s">
        <v>402</v>
      </c>
      <c r="AP627" s="431" t="s">
        <v>4994</v>
      </c>
      <c r="AQ627" s="431" t="s">
        <v>80</v>
      </c>
      <c r="AR627" s="431" t="s">
        <v>4999</v>
      </c>
      <c r="AS627" s="431" t="s">
        <v>5000</v>
      </c>
      <c r="AT627" s="431" t="s">
        <v>5000</v>
      </c>
      <c r="AU6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76.279085648151522</v>
      </c>
      <c r="AV627" s="441"/>
      <c r="AW627" s="441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1">
        <f>IF(ISERROR(PV_DATA[[#This Row],[New Ark PO status]]),"",_xlfn.XLOOKUP(PV_DATA[[#This Row],[SPTN-PVHK New Ark PO'#]],New_Ark_Data[Purchase order Number],New_Ark_Data[Estimated time of arrival],"",0))</f>
        <v>46283</v>
      </c>
      <c r="AZ62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1">
        <f>IFERROR(PV_DATA[[#This Row],[ODP ETA Port]]+PV_DATA[[#This Row],[Customs/Leg3 Assumption]],"n/a")</f>
        <v>46279.279085648152</v>
      </c>
      <c r="BB627" s="442">
        <f>YEAR(PV_DATA[[#This Row],[ETA for New Ark update]])</f>
        <v>2026</v>
      </c>
      <c r="BC627" s="431">
        <f>MONTH(PV_DATA[[#This Row],[ETA for New Ark update]])</f>
        <v>9</v>
      </c>
      <c r="BD627" s="431">
        <f>IFERROR(_xlfn.ISOWEEKNUM(PV_DATA[[#This Row],[ETA for New Ark update]]),0)</f>
        <v>38</v>
      </c>
      <c r="BE627" s="431">
        <f>_xlfn.XLOOKUP(PV_DATA[[#This Row],[New Ark SKU]],Table9[New Ark SKU],Table9[Total PCS per Pallet],,0)</f>
        <v>36</v>
      </c>
      <c r="BF627" s="431">
        <f>_xlfn.XLOOKUP(PV_DATA[[#This Row],[New Ark SKU]],Table9[New Ark SKU],Table9[Total PCS per 40HQ Container],,0)</f>
        <v>864</v>
      </c>
      <c r="BG627" s="431" t="str">
        <f>_xlfn.XLOOKUP(PV_DATA[[#This Row],[New Ark SKU]],Table9[New Ark SKU],Table9[Back Glass],,0)</f>
        <v>Black glazing</v>
      </c>
      <c r="BH627" s="431" t="str">
        <f>_xlfn.XLOOKUP(PV_DATA[[#This Row],[PORT DESTINATION]],Table12[PORT DESTINATION],Table12[Cosco Line],,0)</f>
        <v>AEM</v>
      </c>
    </row>
    <row r="628" spans="1:62" s="431" customFormat="1" ht="10.5">
      <c r="A628" s="439" t="s">
        <v>5001</v>
      </c>
      <c r="B628" s="439" t="s">
        <v>61</v>
      </c>
      <c r="C628" s="439" t="s">
        <v>4888</v>
      </c>
      <c r="D628" s="439" t="s">
        <v>63</v>
      </c>
      <c r="E628" s="439" t="s">
        <v>144</v>
      </c>
      <c r="F628" s="439" t="s">
        <v>145</v>
      </c>
      <c r="G628" s="439" t="s">
        <v>402</v>
      </c>
      <c r="H628" s="439" t="s">
        <v>1449</v>
      </c>
      <c r="I628" s="439" t="s">
        <v>689</v>
      </c>
      <c r="J628" s="431" t="s">
        <v>4619</v>
      </c>
      <c r="K628" s="431" t="s">
        <v>4620</v>
      </c>
      <c r="L628" s="431">
        <v>1</v>
      </c>
      <c r="M628" s="431" t="s">
        <v>840</v>
      </c>
      <c r="N628" s="461">
        <v>45809</v>
      </c>
      <c r="O628" s="431" t="s">
        <v>4531</v>
      </c>
      <c r="P628" s="431" t="s">
        <v>195</v>
      </c>
      <c r="Q628" s="431" t="s">
        <v>196</v>
      </c>
      <c r="R628" s="431" t="str">
        <f>_xlfn.XLOOKUP(PV_DATA[[#This Row],[New Ark SKU]],Table9[New Ark SKU],Table9[Connector],,0)</f>
        <v>EVO2A</v>
      </c>
      <c r="S628" s="442" t="str">
        <f>_xlfn.XLOOKUP(PV_DATA[[#This Row],[New Ark SKU]],Table9[New Ark SKU],Table9[Cable],,0)</f>
        <v>±1200mm</v>
      </c>
      <c r="T628" s="442">
        <v>450</v>
      </c>
      <c r="U628" s="1093">
        <v>4680</v>
      </c>
      <c r="V628" s="448">
        <f>PV_DATA[[#This Row],[QUANTITY]]*PV_DATA[[#This Row],[WATT]]/1000000</f>
        <v>2.1059999999999999</v>
      </c>
      <c r="W628" s="466">
        <f>PV_DATA[[#This Row],[QUANTITY]]/PV_DATA[[#This Row],[Qty/Pallet]]</f>
        <v>130</v>
      </c>
      <c r="X628" s="1044">
        <v>5</v>
      </c>
      <c r="Y628" s="431" t="s">
        <v>951</v>
      </c>
      <c r="Z628" s="430" t="str">
        <f t="shared" si="7"/>
        <v>COMPLETED</v>
      </c>
      <c r="AA628" s="431" t="s">
        <v>4889</v>
      </c>
      <c r="AB628" s="441">
        <v>46182</v>
      </c>
      <c r="AC628" s="467">
        <f>IF(PV_DATA[[#This Row],[Pick- Up Date]]&lt;&gt;"",_xlfn.ISOWEEKNUM(PV_DATA[[#This Row],[Pick- Up Date]]),"")</f>
        <v>24</v>
      </c>
      <c r="AD628" s="431" t="s">
        <v>5002</v>
      </c>
      <c r="AF628" s="431" t="s">
        <v>61</v>
      </c>
      <c r="AG628" s="431" t="s">
        <v>61</v>
      </c>
      <c r="AH628" s="431" t="s">
        <v>105</v>
      </c>
      <c r="AI628" s="441">
        <v>46186</v>
      </c>
      <c r="AJ628" s="441"/>
      <c r="AK628" s="441">
        <v>46187</v>
      </c>
      <c r="AL628" s="441">
        <v>46238</v>
      </c>
      <c r="AM628" s="586" t="str">
        <f>IFERROR(VLOOKUP(AT628, Vessel!A:H, 8, FALSE), "")</f>
        <v/>
      </c>
      <c r="AN628" s="441">
        <v>46244</v>
      </c>
      <c r="AO628" s="431" t="s">
        <v>402</v>
      </c>
      <c r="AP628" s="431" t="s">
        <v>4932</v>
      </c>
      <c r="AQ628" s="431" t="s">
        <v>161</v>
      </c>
      <c r="AR628" s="431" t="s">
        <v>5003</v>
      </c>
      <c r="AS628" s="431" t="s">
        <v>5004</v>
      </c>
      <c r="AT628" s="431" t="s">
        <v>5004</v>
      </c>
      <c r="AU6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1"/>
      <c r="AW628" s="441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1">
        <f>IF(ISERROR(PV_DATA[[#This Row],[New Ark PO status]]),"",_xlfn.XLOOKUP(PV_DATA[[#This Row],[SPTN-PVHK New Ark PO'#]],New_Ark_Data[Purchase order Number],New_Ark_Data[Estimated time of arrival],"",0))</f>
        <v>46238</v>
      </c>
      <c r="AZ62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1">
        <f>IFERROR(PV_DATA[[#This Row],[ODP ETA Port]]+PV_DATA[[#This Row],[Customs/Leg3 Assumption]],"n/a")</f>
        <v>46244</v>
      </c>
      <c r="BB628" s="442">
        <f>YEAR(PV_DATA[[#This Row],[ETA for New Ark update]])</f>
        <v>2026</v>
      </c>
      <c r="BC628" s="431">
        <f>MONTH(PV_DATA[[#This Row],[ETA for New Ark update]])</f>
        <v>8</v>
      </c>
      <c r="BD628" s="431">
        <f>IFERROR(_xlfn.ISOWEEKNUM(PV_DATA[[#This Row],[ETA for New Ark update]]),0)</f>
        <v>33</v>
      </c>
      <c r="BE628" s="431">
        <f>_xlfn.XLOOKUP(PV_DATA[[#This Row],[New Ark SKU]],Table9[New Ark SKU],Table9[Total PCS per Pallet],,0)</f>
        <v>36</v>
      </c>
      <c r="BF628" s="431">
        <f>_xlfn.XLOOKUP(PV_DATA[[#This Row],[New Ark SKU]],Table9[New Ark SKU],Table9[Total PCS per 40HQ Container],,0)</f>
        <v>936</v>
      </c>
      <c r="BG628" s="431" t="str">
        <f>_xlfn.XLOOKUP(PV_DATA[[#This Row],[New Ark SKU]],Table9[New Ark SKU],Table9[Back Glass],,0)</f>
        <v>Black glazing</v>
      </c>
      <c r="BH628" s="431" t="str">
        <f>_xlfn.XLOOKUP(PV_DATA[[#This Row],[PORT DESTINATION]],Table12[PORT DESTINATION],Table12[Cosco Line],,0)</f>
        <v>AEU</v>
      </c>
    </row>
    <row r="629" spans="1:62" s="431" customFormat="1" ht="10.5">
      <c r="A629" s="439" t="s">
        <v>5005</v>
      </c>
      <c r="B629" s="439" t="s">
        <v>61</v>
      </c>
      <c r="C629" s="439" t="str">
        <f>IFERROR(LEFT(PV_DATA[[#This Row],[TCL REFERENCE]],FIND(".",PV_DATA[[#This Row],[TCL REFERENCE]],1)-1),"Main Line")</f>
        <v>26May007</v>
      </c>
      <c r="D629" s="439" t="s">
        <v>63</v>
      </c>
      <c r="E629" s="439" t="s">
        <v>64</v>
      </c>
      <c r="F629" s="439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39" t="s">
        <v>402</v>
      </c>
      <c r="H629" s="439" t="s">
        <v>451</v>
      </c>
      <c r="I629" s="439" t="s">
        <v>689</v>
      </c>
      <c r="J629" s="431" t="s">
        <v>96</v>
      </c>
      <c r="M629" s="431" t="s">
        <v>68</v>
      </c>
      <c r="N629" s="461">
        <v>45809</v>
      </c>
      <c r="O629" s="431" t="s">
        <v>4531</v>
      </c>
      <c r="P629" s="431" t="s">
        <v>195</v>
      </c>
      <c r="Q629" s="431" t="s">
        <v>196</v>
      </c>
      <c r="R629" s="431" t="str">
        <f>_xlfn.XLOOKUP(PV_DATA[[#This Row],[New Ark SKU]],Table9[New Ark SKU],Table9[Connector],,0)</f>
        <v>EVO2A</v>
      </c>
      <c r="S629" s="442" t="str">
        <f>_xlfn.XLOOKUP(PV_DATA[[#This Row],[New Ark SKU]],Table9[New Ark SKU],Table9[Cable],,0)</f>
        <v>±1200mm</v>
      </c>
      <c r="T629" s="442">
        <v>450</v>
      </c>
      <c r="U629" s="1093">
        <v>936</v>
      </c>
      <c r="V629" s="448">
        <f>PV_DATA[[#This Row],[QUANTITY]]*PV_DATA[[#This Row],[WATT]]/1000000</f>
        <v>0.42120000000000002</v>
      </c>
      <c r="W629" s="466">
        <f>PV_DATA[[#This Row],[QUANTITY]]/PV_DATA[[#This Row],[Qty/Pallet]]</f>
        <v>26</v>
      </c>
      <c r="X629" s="1044">
        <f>PV_DATA[[#This Row],[QUANTITY]]/PV_DATA[[#This Row],[Qty/CT]]</f>
        <v>1</v>
      </c>
      <c r="Y629" s="431" t="s">
        <v>2455</v>
      </c>
      <c r="Z629" s="430" t="str">
        <f t="shared" si="7"/>
        <v>COMPLETED</v>
      </c>
      <c r="AA629" s="431" t="s">
        <v>4889</v>
      </c>
      <c r="AB629" s="441">
        <v>46184</v>
      </c>
      <c r="AC629" s="467">
        <f>IF(PV_DATA[[#This Row],[Pick- Up Date]]&lt;&gt;"",_xlfn.ISOWEEKNUM(PV_DATA[[#This Row],[Pick- Up Date]]),"")</f>
        <v>24</v>
      </c>
      <c r="AD629" s="431" t="s">
        <v>5006</v>
      </c>
      <c r="AF629" s="431" t="s">
        <v>61</v>
      </c>
      <c r="AG629" s="431" t="s">
        <v>61</v>
      </c>
      <c r="AH629" s="431" t="s">
        <v>456</v>
      </c>
      <c r="AI629" s="441">
        <v>46193</v>
      </c>
      <c r="AJ629" s="441"/>
      <c r="AK629" s="441">
        <v>46195</v>
      </c>
      <c r="AL629" s="441">
        <v>46243</v>
      </c>
      <c r="AM629" s="586">
        <f>IFERROR(VLOOKUP(AT629, Vessel!A:H, 8, FALSE), "")</f>
        <v>46244.40625</v>
      </c>
      <c r="AN629" s="586">
        <v>46244.405787037038</v>
      </c>
      <c r="AO629" s="431" t="s">
        <v>402</v>
      </c>
      <c r="AP629" s="431" t="s">
        <v>4994</v>
      </c>
      <c r="AQ629" s="445" t="s">
        <v>80</v>
      </c>
      <c r="AR629" s="431" t="s">
        <v>5007</v>
      </c>
      <c r="AS629" s="431" t="s">
        <v>5008</v>
      </c>
      <c r="AT629" s="431" t="s">
        <v>5008</v>
      </c>
      <c r="AU6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49.405787037037953</v>
      </c>
      <c r="AW629" s="441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46244.405787037038</v>
      </c>
      <c r="AX6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1">
        <f>IF(ISERROR(PV_DATA[[#This Row],[New Ark PO status]]),"",_xlfn.XLOOKUP(PV_DATA[[#This Row],[SPTN-PVHK New Ark PO'#]],New_Ark_Data[Purchase order Number],New_Ark_Data[Estimated time of arrival],"",0))</f>
        <v>46258</v>
      </c>
      <c r="AZ62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1">
        <f>IFERROR(PV_DATA[[#This Row],[ODP ETA Port]]+PV_DATA[[#This Row],[Customs/Leg3 Assumption]],"n/a")</f>
        <v>46251.405787037038</v>
      </c>
      <c r="BB629" s="442">
        <f>YEAR(PV_DATA[[#This Row],[ETA for New Ark update]])</f>
        <v>2026</v>
      </c>
      <c r="BC629" s="431">
        <f>MONTH(PV_DATA[[#This Row],[ETA for New Ark update]])</f>
        <v>8</v>
      </c>
      <c r="BD629" s="431">
        <f>IFERROR(_xlfn.ISOWEEKNUM(PV_DATA[[#This Row],[ETA for New Ark update]]),0)</f>
        <v>34</v>
      </c>
      <c r="BE629" s="431">
        <f>_xlfn.XLOOKUP(PV_DATA[[#This Row],[New Ark SKU]],Table9[New Ark SKU],Table9[Total PCS per Pallet],,0)</f>
        <v>36</v>
      </c>
      <c r="BF629" s="431">
        <f>_xlfn.XLOOKUP(PV_DATA[[#This Row],[New Ark SKU]],Table9[New Ark SKU],Table9[Total PCS per 40HQ Container],,0)</f>
        <v>936</v>
      </c>
      <c r="BG629" s="431" t="str">
        <f>_xlfn.XLOOKUP(PV_DATA[[#This Row],[New Ark SKU]],Table9[New Ark SKU],Table9[Back Glass],,0)</f>
        <v>Black glazing</v>
      </c>
      <c r="BH629" s="431" t="str">
        <f>_xlfn.XLOOKUP(PV_DATA[[#This Row],[PORT DESTINATION]],Table12[PORT DESTINATION],Table12[Cosco Line],,0)</f>
        <v>AEU</v>
      </c>
    </row>
    <row r="630" spans="1:62" s="431" customFormat="1" ht="10.5">
      <c r="A630" s="439" t="s">
        <v>5009</v>
      </c>
      <c r="B630" s="439" t="s">
        <v>61</v>
      </c>
      <c r="C630" s="439" t="str">
        <f>IFERROR(LEFT(PV_DATA[[#This Row],[TCL REFERENCE]],FIND(".",PV_DATA[[#This Row],[TCL REFERENCE]],1)-1),"Main Line")</f>
        <v>26May007</v>
      </c>
      <c r="D630" s="439" t="s">
        <v>63</v>
      </c>
      <c r="E630" s="439" t="s">
        <v>144</v>
      </c>
      <c r="F630" s="439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39" t="s">
        <v>402</v>
      </c>
      <c r="H630" s="719" t="s">
        <v>1449</v>
      </c>
      <c r="I630" s="439" t="s">
        <v>689</v>
      </c>
      <c r="J630" s="431" t="s">
        <v>4619</v>
      </c>
      <c r="K630" s="431" t="s">
        <v>4620</v>
      </c>
      <c r="L630" s="431">
        <v>1</v>
      </c>
      <c r="M630" s="431" t="s">
        <v>840</v>
      </c>
      <c r="N630" s="461">
        <v>45809</v>
      </c>
      <c r="O630" s="431" t="s">
        <v>4531</v>
      </c>
      <c r="P630" s="431" t="s">
        <v>195</v>
      </c>
      <c r="Q630" s="431" t="s">
        <v>196</v>
      </c>
      <c r="R630" s="431" t="str">
        <f>_xlfn.XLOOKUP(PV_DATA[[#This Row],[New Ark SKU]],Table9[New Ark SKU],Table9[Connector],,0)</f>
        <v>EVO2A</v>
      </c>
      <c r="S630" s="442" t="str">
        <f>_xlfn.XLOOKUP(PV_DATA[[#This Row],[New Ark SKU]],Table9[New Ark SKU],Table9[Cable],,0)</f>
        <v>±1200mm</v>
      </c>
      <c r="T630" s="442">
        <v>450</v>
      </c>
      <c r="U630" s="1093">
        <v>3744</v>
      </c>
      <c r="V630" s="444">
        <f>PV_DATA[[#This Row],[QUANTITY]]*PV_DATA[[#This Row],[WATT]]/1000000</f>
        <v>1.6848000000000001</v>
      </c>
      <c r="W630" s="466">
        <f>PV_DATA[[#This Row],[QUANTITY]]/PV_DATA[[#This Row],[Qty/Pallet]]</f>
        <v>104</v>
      </c>
      <c r="X630" s="1044">
        <f>PV_DATA[[#This Row],[QUANTITY]]/PV_DATA[[#This Row],[Qty/CT]]</f>
        <v>4</v>
      </c>
      <c r="Y630" s="431" t="s">
        <v>2454</v>
      </c>
      <c r="Z630" s="430" t="str">
        <f t="shared" si="7"/>
        <v>COMPLETED</v>
      </c>
      <c r="AA630" s="431" t="s">
        <v>4889</v>
      </c>
      <c r="AB630" s="441">
        <v>46184</v>
      </c>
      <c r="AC630" s="467">
        <f>IF(PV_DATA[[#This Row],[Pick- Up Date]]&lt;&gt;"",_xlfn.ISOWEEKNUM(PV_DATA[[#This Row],[Pick- Up Date]]),"")</f>
        <v>24</v>
      </c>
      <c r="AD630" s="431" t="s">
        <v>5010</v>
      </c>
      <c r="AF630" s="431" t="s">
        <v>61</v>
      </c>
      <c r="AG630" s="431" t="s">
        <v>61</v>
      </c>
      <c r="AH630" s="431" t="s">
        <v>105</v>
      </c>
      <c r="AI630" s="441">
        <v>46193</v>
      </c>
      <c r="AJ630" s="441"/>
      <c r="AK630" s="441">
        <v>46195</v>
      </c>
      <c r="AL630" s="441">
        <v>46232</v>
      </c>
      <c r="AM630" s="441">
        <f>IFERROR(IF(VLOOKUP(AT630, Vessel!A:H, 8, FALSE)=0, "", VLOOKUP(AT630, Vessel!A:H, 8, FALSE)), "")</f>
        <v>46240.020833333336</v>
      </c>
      <c r="AN630" s="586">
        <v>46240.041226851848</v>
      </c>
      <c r="AO630" s="431" t="s">
        <v>402</v>
      </c>
      <c r="AP630" s="431" t="s">
        <v>4994</v>
      </c>
      <c r="AQ630" s="445" t="s">
        <v>80</v>
      </c>
      <c r="AR630" s="431" t="s">
        <v>5011</v>
      </c>
      <c r="AS630" s="431" t="s">
        <v>5012</v>
      </c>
      <c r="AT630" s="431" t="s">
        <v>5012</v>
      </c>
      <c r="AU6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0" s="441"/>
      <c r="AW630" s="441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1">
        <f>IF(ISERROR(PV_DATA[[#This Row],[New Ark PO status]]),"",_xlfn.XLOOKUP(PV_DATA[[#This Row],[SPTN-PVHK New Ark PO'#]],New_Ark_Data[Purchase order Number],New_Ark_Data[Estimated time of arrival],"",0))</f>
        <v>46232</v>
      </c>
      <c r="AZ63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1">
        <f>IFERROR(PV_DATA[[#This Row],[ODP ETA Port]]+PV_DATA[[#This Row],[Customs/Leg3 Assumption]],"n/a")</f>
        <v>46240.041226851848</v>
      </c>
      <c r="BB630" s="442">
        <f>YEAR(PV_DATA[[#This Row],[ETA for New Ark update]])</f>
        <v>2026</v>
      </c>
      <c r="BC630" s="431">
        <f>MONTH(PV_DATA[[#This Row],[ETA for New Ark update]])</f>
        <v>8</v>
      </c>
      <c r="BD630" s="431">
        <f>IFERROR(_xlfn.ISOWEEKNUM(PV_DATA[[#This Row],[ETA for New Ark update]]),0)</f>
        <v>32</v>
      </c>
      <c r="BE630" s="431">
        <f>_xlfn.XLOOKUP(PV_DATA[[#This Row],[New Ark SKU]],Table9[New Ark SKU],Table9[Total PCS per Pallet],,0)</f>
        <v>36</v>
      </c>
      <c r="BF630" s="431">
        <f>_xlfn.XLOOKUP(PV_DATA[[#This Row],[New Ark SKU]],Table9[New Ark SKU],Table9[Total PCS per 40HQ Container],,0)</f>
        <v>936</v>
      </c>
      <c r="BG630" s="431" t="str">
        <f>_xlfn.XLOOKUP(PV_DATA[[#This Row],[New Ark SKU]],Table9[New Ark SKU],Table9[Back Glass],,0)</f>
        <v>Black glazing</v>
      </c>
      <c r="BH630" s="431" t="str">
        <f>_xlfn.XLOOKUP(PV_DATA[[#This Row],[PORT DESTINATION]],Table12[PORT DESTINATION],Table12[Cosco Line],,0)</f>
        <v>AEU</v>
      </c>
    </row>
    <row r="631" spans="1:62" s="431" customFormat="1" ht="10.5">
      <c r="A631" s="439" t="s">
        <v>5013</v>
      </c>
      <c r="B631" s="439" t="s">
        <v>61</v>
      </c>
      <c r="C631" s="439" t="s">
        <v>4888</v>
      </c>
      <c r="D631" s="439" t="s">
        <v>63</v>
      </c>
      <c r="E631" s="439" t="s">
        <v>64</v>
      </c>
      <c r="F631" s="439" t="s">
        <v>100</v>
      </c>
      <c r="G631" s="439" t="s">
        <v>402</v>
      </c>
      <c r="H631" s="439" t="s">
        <v>67</v>
      </c>
      <c r="I631" s="439" t="s">
        <v>689</v>
      </c>
      <c r="J631" s="431" t="s">
        <v>96</v>
      </c>
      <c r="M631" s="431" t="s">
        <v>68</v>
      </c>
      <c r="N631" s="461"/>
      <c r="O631" s="431" t="s">
        <v>4531</v>
      </c>
      <c r="P631" s="431" t="s">
        <v>195</v>
      </c>
      <c r="Q631" s="431" t="s">
        <v>196</v>
      </c>
      <c r="R631" s="431" t="str">
        <f>_xlfn.XLOOKUP(PV_DATA[[#This Row],[New Ark SKU]],Table9[New Ark SKU],Table9[Connector],,0)</f>
        <v>EVO2A</v>
      </c>
      <c r="S631" s="442" t="str">
        <f>_xlfn.XLOOKUP(PV_DATA[[#This Row],[New Ark SKU]],Table9[New Ark SKU],Table9[Cable],,0)</f>
        <v>±1200mm</v>
      </c>
      <c r="T631" s="442">
        <v>450</v>
      </c>
      <c r="U631" s="1093">
        <v>936</v>
      </c>
      <c r="V631" s="444">
        <v>0.42120000000000002</v>
      </c>
      <c r="W631" s="466">
        <v>26</v>
      </c>
      <c r="X631" s="1044">
        <v>1</v>
      </c>
      <c r="Y631" s="431" t="s">
        <v>2454</v>
      </c>
      <c r="Z631" s="430" t="str">
        <f t="shared" si="7"/>
        <v>COMPLETED</v>
      </c>
      <c r="AA631" s="431" t="s">
        <v>4889</v>
      </c>
      <c r="AB631" s="441">
        <v>46184</v>
      </c>
      <c r="AC631" s="467">
        <f>IF(PV_DATA[[#This Row],[Pick- Up Date]]&lt;&gt;"",_xlfn.ISOWEEKNUM(PV_DATA[[#This Row],[Pick- Up Date]]),"")</f>
        <v>24</v>
      </c>
      <c r="AD631" s="431" t="s">
        <v>5014</v>
      </c>
      <c r="AF631" s="431" t="s">
        <v>61</v>
      </c>
      <c r="AG631" s="431" t="s">
        <v>61</v>
      </c>
      <c r="AH631" s="431" t="s">
        <v>105</v>
      </c>
      <c r="AI631" s="441">
        <v>46193</v>
      </c>
      <c r="AJ631" s="441"/>
      <c r="AK631" s="441">
        <v>46195</v>
      </c>
      <c r="AL631" s="441">
        <v>46232</v>
      </c>
      <c r="AM631" s="441">
        <f>IFERROR(IF(VLOOKUP(AT631, Vessel!A:H, 8, FALSE)=0, "", VLOOKUP(AT631, Vessel!A:H, 8, FALSE)), "")</f>
        <v>46240.020833333336</v>
      </c>
      <c r="AN631" s="586">
        <v>46240.041226851848</v>
      </c>
      <c r="AO631" s="431" t="s">
        <v>402</v>
      </c>
      <c r="AP631" s="431" t="s">
        <v>4994</v>
      </c>
      <c r="AQ631" s="445" t="s">
        <v>80</v>
      </c>
      <c r="AR631" s="431" t="s">
        <v>5015</v>
      </c>
      <c r="AS631" s="431" t="s">
        <v>5016</v>
      </c>
      <c r="AT631" s="431" t="s">
        <v>5016</v>
      </c>
      <c r="AU6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1" s="441"/>
      <c r="AW631" s="441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1">
        <f>IF(ISERROR(PV_DATA[[#This Row],[New Ark PO status]]),"",_xlfn.XLOOKUP(PV_DATA[[#This Row],[SPTN-PVHK New Ark PO'#]],New_Ark_Data[Purchase order Number],New_Ark_Data[Estimated time of arrival],"",0))</f>
        <v>46253</v>
      </c>
      <c r="AZ6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1">
        <f>IFERROR(PV_DATA[[#This Row],[ODP ETA Port]]+PV_DATA[[#This Row],[Customs/Leg3 Assumption]],"n/a")</f>
        <v>46247.041226851848</v>
      </c>
      <c r="BB631" s="442">
        <f>YEAR(PV_DATA[[#This Row],[ETA for New Ark update]])</f>
        <v>2026</v>
      </c>
      <c r="BC631" s="431">
        <f>MONTH(PV_DATA[[#This Row],[ETA for New Ark update]])</f>
        <v>8</v>
      </c>
      <c r="BD631" s="431">
        <f>IFERROR(_xlfn.ISOWEEKNUM(PV_DATA[[#This Row],[ETA for New Ark update]]),0)</f>
        <v>33</v>
      </c>
      <c r="BE631" s="431">
        <f>_xlfn.XLOOKUP(PV_DATA[[#This Row],[New Ark SKU]],Table9[New Ark SKU],Table9[Total PCS per Pallet],,0)</f>
        <v>36</v>
      </c>
      <c r="BF631" s="431">
        <f>_xlfn.XLOOKUP(PV_DATA[[#This Row],[New Ark SKU]],Table9[New Ark SKU],Table9[Total PCS per 40HQ Container],,0)</f>
        <v>936</v>
      </c>
      <c r="BG631" s="431" t="str">
        <f>_xlfn.XLOOKUP(PV_DATA[[#This Row],[New Ark SKU]],Table9[New Ark SKU],Table9[Back Glass],,0)</f>
        <v>Black glazing</v>
      </c>
      <c r="BH631" s="431" t="str">
        <f>_xlfn.XLOOKUP(PV_DATA[[#This Row],[PORT DESTINATION]],Table12[PORT DESTINATION],Table12[Cosco Line],,0)</f>
        <v>AEU</v>
      </c>
    </row>
    <row r="632" spans="1:62" s="450" customFormat="1" ht="10.5">
      <c r="A632" s="446" t="s">
        <v>5017</v>
      </c>
      <c r="B632" s="446" t="s">
        <v>61</v>
      </c>
      <c r="C632" s="446" t="str">
        <f>IFERROR(LEFT(PV_DATA[[#This Row],[TCL REFERENCE]],FIND(".",PV_DATA[[#This Row],[TCL REFERENCE]],1)-1),"Main Line")</f>
        <v>26May010</v>
      </c>
      <c r="D632" s="446" t="s">
        <v>63</v>
      </c>
      <c r="E632" s="446" t="s">
        <v>64</v>
      </c>
      <c r="F632" s="446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6" t="s">
        <v>402</v>
      </c>
      <c r="H632" s="446" t="s">
        <v>115</v>
      </c>
      <c r="I632" s="446" t="s">
        <v>822</v>
      </c>
      <c r="J632" s="450" t="s">
        <v>5018</v>
      </c>
      <c r="K632" s="537"/>
      <c r="M632" s="451" t="s">
        <v>68</v>
      </c>
      <c r="N632" s="451"/>
      <c r="O632" s="450" t="s">
        <v>4531</v>
      </c>
      <c r="P632" s="450" t="s">
        <v>1151</v>
      </c>
      <c r="Q632" s="450" t="s">
        <v>421</v>
      </c>
      <c r="R632" s="450" t="str">
        <f>_xlfn.XLOOKUP(PV_DATA[[#This Row],[New Ark SKU]],Table9[New Ark SKU],Table9[Connector],,0)</f>
        <v>EVO2A</v>
      </c>
      <c r="S632" s="442" t="str">
        <f>_xlfn.XLOOKUP(PV_DATA[[#This Row],[New Ark SKU]],Table9[New Ark SKU],Table9[Cable],,0)</f>
        <v>±1200mm</v>
      </c>
      <c r="T632" s="452">
        <v>505</v>
      </c>
      <c r="U632" s="1089">
        <v>864</v>
      </c>
      <c r="V632" s="453">
        <f>PV_DATA[[#This Row],[QUANTITY]]*PV_DATA[[#This Row],[WATT]]/1000000</f>
        <v>0.43631999999999999</v>
      </c>
      <c r="W632" s="454">
        <f>PV_DATA[[#This Row],[QUANTITY]]/PV_DATA[[#This Row],[Qty/Pallet]]</f>
        <v>24</v>
      </c>
      <c r="X632" s="1045">
        <f>PV_DATA[[#This Row],[QUANTITY]]/PV_DATA[[#This Row],[Qty/CT]]</f>
        <v>1</v>
      </c>
      <c r="Y632" s="450" t="s">
        <v>2455</v>
      </c>
      <c r="Z632" s="430" t="str">
        <f t="shared" si="7"/>
        <v>COMPLETED</v>
      </c>
      <c r="AA632" s="450" t="s">
        <v>4579</v>
      </c>
      <c r="AB632" s="455">
        <v>46185</v>
      </c>
      <c r="AC632" s="471">
        <f>IF(PV_DATA[[#This Row],[Pick- Up Date]]&lt;&gt;"",_xlfn.ISOWEEKNUM(PV_DATA[[#This Row],[Pick- Up Date]]),"")</f>
        <v>24</v>
      </c>
      <c r="AD632" s="431" t="s">
        <v>5019</v>
      </c>
      <c r="AF632" s="450" t="s">
        <v>61</v>
      </c>
      <c r="AG632" s="450" t="s">
        <v>61</v>
      </c>
      <c r="AH632" s="450" t="s">
        <v>124</v>
      </c>
      <c r="AI632" s="455">
        <v>46193</v>
      </c>
      <c r="AJ632" s="455"/>
      <c r="AK632" s="455">
        <v>46195</v>
      </c>
      <c r="AL632" s="455">
        <v>46249</v>
      </c>
      <c r="AM632" s="587">
        <f>IFERROR(VLOOKUP(AT632, Vessel!A:H, 8, FALSE), "")</f>
        <v>46258.375</v>
      </c>
      <c r="AN632" s="587">
        <f>IF(VLOOKUP(AT632, Vessel!A:I, 9, FALSE)=0, "", VLOOKUP(AT632, Vessel!A:I, 9, FALSE))</f>
        <v>46258.289537037039</v>
      </c>
      <c r="AO632" s="450" t="s">
        <v>402</v>
      </c>
      <c r="AP632" s="450" t="s">
        <v>4994</v>
      </c>
      <c r="AQ632" s="456" t="s">
        <v>80</v>
      </c>
      <c r="AR632" s="450" t="s">
        <v>5020</v>
      </c>
      <c r="AS632" s="450" t="s">
        <v>5021</v>
      </c>
      <c r="AT632" s="450" t="s">
        <v>5021</v>
      </c>
      <c r="AU6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63.289537037038826</v>
      </c>
      <c r="AV632" s="455"/>
      <c r="AW632" s="455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2" s="455">
        <f>IF(ISERROR(PV_DATA[[#This Row],[New Ark PO status]]),"",_xlfn.XLOOKUP(PV_DATA[[#This Row],[SPTN-PVHK New Ark PO'#]],New_Ark_Data[Purchase order Number],New_Ark_Data[Estimated time of arrival],"",0))</f>
        <v>46272</v>
      </c>
      <c r="AZ63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5">
        <f>IFERROR(PV_DATA[[#This Row],[ODP ETA Port]]+PV_DATA[[#This Row],[Customs/Leg3 Assumption]],"n/a")</f>
        <v>46267.289537037039</v>
      </c>
      <c r="BB632" s="452">
        <f>YEAR(PV_DATA[[#This Row],[ETA for New Ark update]])</f>
        <v>2026</v>
      </c>
      <c r="BC632" s="450">
        <f>MONTH(PV_DATA[[#This Row],[ETA for New Ark update]])</f>
        <v>9</v>
      </c>
      <c r="BD632" s="450">
        <f>IFERROR(_xlfn.ISOWEEKNUM(PV_DATA[[#This Row],[ETA for New Ark update]]),0)</f>
        <v>36</v>
      </c>
      <c r="BE632" s="450">
        <f>_xlfn.XLOOKUP(PV_DATA[[#This Row],[New Ark SKU]],Table9[New Ark SKU],Table9[Total PCS per Pallet],,0)</f>
        <v>36</v>
      </c>
      <c r="BF632" s="450">
        <f>_xlfn.XLOOKUP(PV_DATA[[#This Row],[New Ark SKU]],Table9[New Ark SKU],Table9[Total PCS per 40HQ Container],,0)</f>
        <v>864</v>
      </c>
      <c r="BG632" s="431" t="str">
        <f>_xlfn.XLOOKUP(PV_DATA[[#This Row],[New Ark SKU]],Table9[New Ark SKU],Table9[Back Glass],,0)</f>
        <v>Black glazing</v>
      </c>
      <c r="BH632" s="450" t="str">
        <f>_xlfn.XLOOKUP(PV_DATA[[#This Row],[PORT DESTINATION]],Table12[PORT DESTINATION],Table12[Cosco Line],,0)</f>
        <v>AEM</v>
      </c>
    </row>
    <row r="633" spans="1:62" s="450" customFormat="1" ht="10.5">
      <c r="A633" s="446" t="s">
        <v>5022</v>
      </c>
      <c r="B633" s="446" t="s">
        <v>61</v>
      </c>
      <c r="C633" s="446" t="str">
        <f>IFERROR(LEFT(PV_DATA[[#This Row],[TCL REFERENCE]],FIND(".",PV_DATA[[#This Row],[TCL REFERENCE]],1)-1),"Main Line")</f>
        <v>26May010</v>
      </c>
      <c r="D633" s="446" t="s">
        <v>63</v>
      </c>
      <c r="E633" s="446" t="s">
        <v>64</v>
      </c>
      <c r="F633" s="446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6" t="s">
        <v>402</v>
      </c>
      <c r="H633" s="446" t="s">
        <v>115</v>
      </c>
      <c r="I633" s="446" t="s">
        <v>822</v>
      </c>
      <c r="J633" s="450" t="s">
        <v>5018</v>
      </c>
      <c r="K633" s="537"/>
      <c r="M633" s="451" t="s">
        <v>68</v>
      </c>
      <c r="N633" s="451"/>
      <c r="O633" s="450" t="s">
        <v>4531</v>
      </c>
      <c r="P633" s="450" t="s">
        <v>1151</v>
      </c>
      <c r="Q633" s="450" t="s">
        <v>421</v>
      </c>
      <c r="R633" s="450" t="str">
        <f>_xlfn.XLOOKUP(PV_DATA[[#This Row],[New Ark SKU]],Table9[New Ark SKU],Table9[Connector],,0)</f>
        <v>EVO2A</v>
      </c>
      <c r="S633" s="442" t="str">
        <f>_xlfn.XLOOKUP(PV_DATA[[#This Row],[New Ark SKU]],Table9[New Ark SKU],Table9[Cable],,0)</f>
        <v>±1200mm</v>
      </c>
      <c r="T633" s="452">
        <v>505</v>
      </c>
      <c r="U633" s="1089">
        <v>864</v>
      </c>
      <c r="V633" s="453">
        <f>PV_DATA[[#This Row],[QUANTITY]]*PV_DATA[[#This Row],[WATT]]/1000000</f>
        <v>0.43631999999999999</v>
      </c>
      <c r="W633" s="454">
        <f>PV_DATA[[#This Row],[QUANTITY]]/PV_DATA[[#This Row],[Qty/Pallet]]</f>
        <v>24</v>
      </c>
      <c r="X633" s="1045">
        <f>PV_DATA[[#This Row],[QUANTITY]]/PV_DATA[[#This Row],[Qty/CT]]</f>
        <v>1</v>
      </c>
      <c r="Y633" s="450" t="s">
        <v>2455</v>
      </c>
      <c r="Z633" s="430" t="str">
        <f t="shared" si="7"/>
        <v>COMPLETED</v>
      </c>
      <c r="AA633" s="450" t="s">
        <v>4579</v>
      </c>
      <c r="AB633" s="455">
        <v>46184</v>
      </c>
      <c r="AC633" s="471">
        <f>IF(PV_DATA[[#This Row],[Pick- Up Date]]&lt;&gt;"",_xlfn.ISOWEEKNUM(PV_DATA[[#This Row],[Pick- Up Date]]),"")</f>
        <v>24</v>
      </c>
      <c r="AD633" s="431" t="s">
        <v>5023</v>
      </c>
      <c r="AF633" s="450" t="s">
        <v>61</v>
      </c>
      <c r="AG633" s="450" t="s">
        <v>61</v>
      </c>
      <c r="AH633" s="450" t="s">
        <v>124</v>
      </c>
      <c r="AI633" s="455">
        <v>46193</v>
      </c>
      <c r="AJ633" s="455"/>
      <c r="AK633" s="455">
        <v>46195</v>
      </c>
      <c r="AL633" s="455">
        <v>46255</v>
      </c>
      <c r="AM633" s="587">
        <f>IFERROR(VLOOKUP(AT633, Vessel!A:H, 8, FALSE), "")</f>
        <v>46275.083333333336</v>
      </c>
      <c r="AN633" s="587">
        <f>IF(VLOOKUP(AT633, Vessel!A:I, 9, FALSE)=0, "", VLOOKUP(AT633, Vessel!A:I, 9, FALSE))</f>
        <v>46275.045995370368</v>
      </c>
      <c r="AO633" s="450" t="s">
        <v>402</v>
      </c>
      <c r="AP633" s="450" t="s">
        <v>4994</v>
      </c>
      <c r="AQ633" s="456" t="s">
        <v>80</v>
      </c>
      <c r="AR633" s="450" t="s">
        <v>5024</v>
      </c>
      <c r="AS633" s="450" t="s">
        <v>5025</v>
      </c>
      <c r="AT633" s="450" t="s">
        <v>5025</v>
      </c>
      <c r="AU6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80.045995370368473</v>
      </c>
      <c r="AV633" s="455"/>
      <c r="AW633" s="455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46275.045995370368</v>
      </c>
      <c r="AX6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5">
        <f>IF(ISERROR(PV_DATA[[#This Row],[New Ark PO status]]),"",_xlfn.XLOOKUP(PV_DATA[[#This Row],[SPTN-PVHK New Ark PO'#]],New_Ark_Data[Purchase order Number],New_Ark_Data[Estimated time of arrival],"",0))</f>
        <v>46283</v>
      </c>
      <c r="AZ63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5">
        <f>IFERROR(PV_DATA[[#This Row],[ODP ETA Port]]+PV_DATA[[#This Row],[Customs/Leg3 Assumption]],"n/a")</f>
        <v>46284.045995370368</v>
      </c>
      <c r="BB633" s="452">
        <f>YEAR(PV_DATA[[#This Row],[ETA for New Ark update]])</f>
        <v>2026</v>
      </c>
      <c r="BC633" s="450">
        <f>MONTH(PV_DATA[[#This Row],[ETA for New Ark update]])</f>
        <v>9</v>
      </c>
      <c r="BD633" s="450">
        <f>IFERROR(_xlfn.ISOWEEKNUM(PV_DATA[[#This Row],[ETA for New Ark update]]),0)</f>
        <v>38</v>
      </c>
      <c r="BE633" s="450">
        <f>_xlfn.XLOOKUP(PV_DATA[[#This Row],[New Ark SKU]],Table9[New Ark SKU],Table9[Total PCS per Pallet],,0)</f>
        <v>36</v>
      </c>
      <c r="BF633" s="450">
        <f>_xlfn.XLOOKUP(PV_DATA[[#This Row],[New Ark SKU]],Table9[New Ark SKU],Table9[Total PCS per 40HQ Container],,0)</f>
        <v>864</v>
      </c>
      <c r="BG633" s="431" t="str">
        <f>_xlfn.XLOOKUP(PV_DATA[[#This Row],[New Ark SKU]],Table9[New Ark SKU],Table9[Back Glass],,0)</f>
        <v>Black glazing</v>
      </c>
      <c r="BH633" s="450" t="str">
        <f>_xlfn.XLOOKUP(PV_DATA[[#This Row],[PORT DESTINATION]],Table12[PORT DESTINATION],Table12[Cosco Line],,0)</f>
        <v>AEM</v>
      </c>
    </row>
    <row r="634" spans="1:62" ht="10.5">
      <c r="A634" s="462" t="s">
        <v>5026</v>
      </c>
      <c r="B634" s="462" t="s">
        <v>111</v>
      </c>
      <c r="C634" s="462" t="str">
        <f>IFERROR(LEFT(PV_DATA[[#This Row],[TCL REFERENCE]],FIND(".",PV_DATA[[#This Row],[TCL REFERENCE]],1)-1),"Main Line")</f>
        <v>Main Line</v>
      </c>
      <c r="D634" s="462" t="s">
        <v>63</v>
      </c>
      <c r="E634" s="462" t="s">
        <v>144</v>
      </c>
      <c r="F634" s="462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2" t="s">
        <v>68</v>
      </c>
      <c r="H634" s="462" t="s">
        <v>68</v>
      </c>
      <c r="I634" s="462" t="s">
        <v>68</v>
      </c>
      <c r="J634" s="430" t="s">
        <v>949</v>
      </c>
      <c r="K634" s="430"/>
      <c r="L634" s="430"/>
      <c r="M634" s="430" t="s">
        <v>68</v>
      </c>
      <c r="N634" s="432" t="s">
        <v>68</v>
      </c>
      <c r="O634" s="430" t="s">
        <v>70</v>
      </c>
      <c r="P634" s="430" t="s">
        <v>5027</v>
      </c>
      <c r="Q634" s="430" t="s">
        <v>886</v>
      </c>
      <c r="R634" s="430" t="str">
        <f>_xlfn.XLOOKUP(PV_DATA[[#This Row],[New Ark SKU]],Table9[New Ark SKU],Table9[Connector],,0)</f>
        <v>EVO2A</v>
      </c>
      <c r="S634" s="442" t="str">
        <f>_xlfn.XLOOKUP(PV_DATA[[#This Row],[New Ark SKU]],Table9[New Ark SKU],Table9[Cable],,0)</f>
        <v>±1400mm</v>
      </c>
      <c r="T634" s="433">
        <v>615</v>
      </c>
      <c r="U634" s="1088" cm="1">
        <f t="array" ref="U634">720-fx_qty</f>
        <v>720</v>
      </c>
      <c r="V634" s="434">
        <f>PV_DATA[[#This Row],[QUANTITY]]*PV_DATA[[#This Row],[WATT]]/1000000</f>
        <v>0.44280000000000003</v>
      </c>
      <c r="W634" s="435">
        <f>PV_DATA[[#This Row],[QUANTITY]]/PV_DATA[[#This Row],[Qty/Pallet]]</f>
        <v>20</v>
      </c>
      <c r="X634" s="1040">
        <f>PV_DATA[[#This Row],[QUANTITY]]/PV_DATA[[#This Row],[Qty/CT]]</f>
        <v>1</v>
      </c>
      <c r="Y634" s="430" t="s">
        <v>75</v>
      </c>
      <c r="Z634" s="430" t="str">
        <f t="shared" si="7"/>
        <v>COMPLETED</v>
      </c>
      <c r="AA634" s="430"/>
      <c r="AB634" s="437">
        <v>46124</v>
      </c>
      <c r="AC634" s="485">
        <f>IF(PV_DATA[[#This Row],[Pick- Up Date]]&lt;&gt;"",_xlfn.ISOWEEKNUM(PV_DATA[[#This Row],[Pick- Up Date]]),"")</f>
        <v>15</v>
      </c>
      <c r="AD634" s="430" t="s">
        <v>5028</v>
      </c>
      <c r="AE634" s="430" t="s">
        <v>5028</v>
      </c>
      <c r="AF634" s="430" t="s">
        <v>122</v>
      </c>
      <c r="AG634" s="430" t="s">
        <v>123</v>
      </c>
      <c r="AH634" s="430" t="s">
        <v>5029</v>
      </c>
      <c r="AI634" s="437">
        <v>46128</v>
      </c>
      <c r="AJ634" s="437">
        <v>46131</v>
      </c>
      <c r="AK634" s="437">
        <v>46130</v>
      </c>
      <c r="AL634" s="437">
        <v>46163</v>
      </c>
      <c r="AM634" s="437">
        <v>46163</v>
      </c>
      <c r="AN634" s="437">
        <v>46166</v>
      </c>
      <c r="AO634" s="430" t="s">
        <v>156</v>
      </c>
      <c r="AP634" s="430" t="s">
        <v>5030</v>
      </c>
      <c r="AQ634" s="430" t="s">
        <v>161</v>
      </c>
      <c r="AR634" s="430" t="s">
        <v>5028</v>
      </c>
      <c r="AS634" s="430">
        <v>269217776</v>
      </c>
      <c r="AT634" s="430">
        <v>269217776</v>
      </c>
      <c r="AU6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7"/>
      <c r="AW634" s="437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7" t="str">
        <f>IF(ISERROR(PV_DATA[[#This Row],[New Ark PO status]]),"",_xlfn.XLOOKUP(PV_DATA[[#This Row],[SPTN-PVHK New Ark PO'#]],New_Ark_Data[Purchase order Number],New_Ark_Data[Estimated time of arrival],"",0))</f>
        <v/>
      </c>
      <c r="AZ63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7">
        <f>IFERROR(PV_DATA[[#This Row],[ODP ETA Port]]+PV_DATA[[#This Row],[Customs/Leg3 Assumption]],"n/a")</f>
        <v>46166</v>
      </c>
      <c r="BB634" s="433">
        <f>YEAR(PV_DATA[[#This Row],[ETA for New Ark update]])</f>
        <v>2026</v>
      </c>
      <c r="BC634" s="430">
        <f>MONTH(PV_DATA[[#This Row],[ETA for New Ark update]])</f>
        <v>5</v>
      </c>
      <c r="BD634" s="430">
        <f>IFERROR(_xlfn.ISOWEEKNUM(PV_DATA[[#This Row],[ETA for New Ark update]]),0)</f>
        <v>21</v>
      </c>
      <c r="BE634" s="430">
        <f>_xlfn.XLOOKUP(PV_DATA[[#This Row],[New Ark SKU]],Table9[New Ark SKU],Table9[Total PCS per Pallet],,0)</f>
        <v>36</v>
      </c>
      <c r="BF634" s="430">
        <f>_xlfn.XLOOKUP(PV_DATA[[#This Row],[New Ark SKU]],Table9[New Ark SKU],Table9[Total PCS per 40HQ Container],,0)</f>
        <v>720</v>
      </c>
      <c r="BG634" s="431" t="str">
        <f>_xlfn.XLOOKUP(PV_DATA[[#This Row],[New Ark SKU]],Table9[New Ark SKU],Table9[Back Glass],,0)</f>
        <v>Transparent</v>
      </c>
      <c r="BH634" s="430" t="str">
        <f>_xlfn.XLOOKUP(PV_DATA[[#This Row],[PORT DESTINATION]],Table12[PORT DESTINATION],Table12[Cosco Line],,0)</f>
        <v>n/a</v>
      </c>
      <c r="BJ634" s="430"/>
    </row>
    <row r="635" spans="1:62" ht="10.5">
      <c r="A635" s="462" t="s">
        <v>5031</v>
      </c>
      <c r="B635" s="462" t="s">
        <v>1757</v>
      </c>
      <c r="C635" s="462" t="str">
        <f>IFERROR(LEFT(PV_DATA[[#This Row],[TCL REFERENCE]],FIND(".",PV_DATA[[#This Row],[TCL REFERENCE]],1)-1),"Main Line")</f>
        <v>26Jun011</v>
      </c>
      <c r="D635" s="462" t="s">
        <v>63</v>
      </c>
      <c r="E635" s="462" t="s">
        <v>64</v>
      </c>
      <c r="F635" s="462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2" t="s">
        <v>402</v>
      </c>
      <c r="H635" s="462" t="s">
        <v>67</v>
      </c>
      <c r="I635" s="462" t="s">
        <v>689</v>
      </c>
      <c r="J635" s="430" t="s">
        <v>96</v>
      </c>
      <c r="K635" s="430"/>
      <c r="L635" s="430"/>
      <c r="M635" s="430" t="s">
        <v>68</v>
      </c>
      <c r="N635" s="432">
        <v>46195</v>
      </c>
      <c r="O635" s="430" t="s">
        <v>4531</v>
      </c>
      <c r="P635" s="430" t="s">
        <v>71</v>
      </c>
      <c r="Q635" s="430" t="s">
        <v>72</v>
      </c>
      <c r="R635" s="430" t="str">
        <f>_xlfn.XLOOKUP(PV_DATA[[#This Row],[New Ark SKU]],Table9[New Ark SKU],Table9[Connector],,0)</f>
        <v>EVO2A</v>
      </c>
      <c r="S635" s="442" t="str">
        <f>_xlfn.XLOOKUP(PV_DATA[[#This Row],[New Ark SKU]],Table9[New Ark SKU],Table9[Cable],,0)</f>
        <v>±1200mm</v>
      </c>
      <c r="T635" s="433">
        <v>500</v>
      </c>
      <c r="U635" s="1088">
        <v>5184</v>
      </c>
      <c r="V635" s="434">
        <f>PV_DATA[[#This Row],[QUANTITY]]*PV_DATA[[#This Row],[WATT]]/1000000</f>
        <v>2.5920000000000001</v>
      </c>
      <c r="W635" s="435">
        <f>PV_DATA[[#This Row],[QUANTITY]]/PV_DATA[[#This Row],[Qty/Pallet]]</f>
        <v>144</v>
      </c>
      <c r="X635" s="1040">
        <f>PV_DATA[[#This Row],[QUANTITY]]/PV_DATA[[#This Row],[Qty/CT]]</f>
        <v>6</v>
      </c>
      <c r="Y635" s="430" t="s">
        <v>2456</v>
      </c>
      <c r="Z635" s="430" t="str">
        <f t="shared" si="7"/>
        <v>COMPLETED</v>
      </c>
      <c r="AA635" s="430" t="s">
        <v>5032</v>
      </c>
      <c r="AB635" s="543">
        <v>46194</v>
      </c>
      <c r="AC635" s="485">
        <f>IF(PV_DATA[[#This Row],[Pick- Up Date]]&lt;&gt;"",_xlfn.ISOWEEKNUM(PV_DATA[[#This Row],[Pick- Up Date]]),"")</f>
        <v>25</v>
      </c>
      <c r="AD635" s="430" t="s">
        <v>5033</v>
      </c>
      <c r="AE635" s="430"/>
      <c r="AF635" s="459" t="s">
        <v>5034</v>
      </c>
      <c r="AG635" s="459" t="s">
        <v>123</v>
      </c>
      <c r="AH635" s="430" t="s">
        <v>78</v>
      </c>
      <c r="AI635" s="437">
        <v>46198</v>
      </c>
      <c r="AK635" s="437">
        <v>46199</v>
      </c>
      <c r="AL635" s="437">
        <v>46246</v>
      </c>
      <c r="AN635" s="437">
        <v>46246</v>
      </c>
      <c r="AO635" s="430" t="s">
        <v>402</v>
      </c>
      <c r="AP635" s="430" t="s">
        <v>5035</v>
      </c>
      <c r="AQ635" s="430" t="s">
        <v>161</v>
      </c>
      <c r="AR635" s="430" t="s">
        <v>5036</v>
      </c>
      <c r="AS635" s="430">
        <v>271866464</v>
      </c>
      <c r="AT635" s="430">
        <v>271866464</v>
      </c>
      <c r="AU6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7"/>
      <c r="AW635" s="437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7">
        <f>IF(ISERROR(PV_DATA[[#This Row],[New Ark PO status]]),"",_xlfn.XLOOKUP(PV_DATA[[#This Row],[SPTN-PVHK New Ark PO'#]],New_Ark_Data[Purchase order Number],New_Ark_Data[Estimated time of arrival],"",0))</f>
        <v>46260</v>
      </c>
      <c r="AZ63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7">
        <f>IFERROR(PV_DATA[[#This Row],[ODP ETA Port]]+PV_DATA[[#This Row],[Customs/Leg3 Assumption]],"n/a")</f>
        <v>46254</v>
      </c>
      <c r="BB635" s="433">
        <f>YEAR(PV_DATA[[#This Row],[ETA for New Ark update]])</f>
        <v>2026</v>
      </c>
      <c r="BC635" s="430">
        <f>MONTH(PV_DATA[[#This Row],[ETA for New Ark update]])</f>
        <v>8</v>
      </c>
      <c r="BD635" s="430">
        <f>IFERROR(_xlfn.ISOWEEKNUM(PV_DATA[[#This Row],[ETA for New Ark update]]),0)</f>
        <v>34</v>
      </c>
      <c r="BE635" s="430">
        <f>_xlfn.XLOOKUP(PV_DATA[[#This Row],[New Ark SKU]],Table9[New Ark SKU],Table9[Total PCS per Pallet],,0)</f>
        <v>36</v>
      </c>
      <c r="BF635" s="430">
        <f>_xlfn.XLOOKUP(PV_DATA[[#This Row],[New Ark SKU]],Table9[New Ark SKU],Table9[Total PCS per 40HQ Container],,0)</f>
        <v>864</v>
      </c>
      <c r="BG635" s="431" t="str">
        <f>_xlfn.XLOOKUP(PV_DATA[[#This Row],[New Ark SKU]],Table9[New Ark SKU],Table9[Back Glass],,0)</f>
        <v>Black glazing</v>
      </c>
      <c r="BH635" s="430" t="str">
        <f>_xlfn.XLOOKUP(PV_DATA[[#This Row],[PORT DESTINATION]],Table12[PORT DESTINATION],Table12[Cosco Line],,0)</f>
        <v>AEM</v>
      </c>
      <c r="BJ635" s="430"/>
    </row>
    <row r="636" spans="1:62" ht="10.5">
      <c r="A636" s="462" t="s">
        <v>5037</v>
      </c>
      <c r="B636" s="462" t="s">
        <v>1757</v>
      </c>
      <c r="C636" s="462" t="str">
        <f>IFERROR(LEFT(PV_DATA[[#This Row],[TCL REFERENCE]],FIND(".",PV_DATA[[#This Row],[TCL REFERENCE]],1)-1),"Main Line")</f>
        <v>26Jun012</v>
      </c>
      <c r="D636" s="462" t="s">
        <v>63</v>
      </c>
      <c r="E636" s="462" t="s">
        <v>64</v>
      </c>
      <c r="F636" s="462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2" t="s">
        <v>402</v>
      </c>
      <c r="H636" s="462" t="s">
        <v>67</v>
      </c>
      <c r="I636" s="462" t="s">
        <v>689</v>
      </c>
      <c r="J636" s="430" t="s">
        <v>96</v>
      </c>
      <c r="K636" s="430"/>
      <c r="L636" s="430"/>
      <c r="M636" s="430" t="s">
        <v>68</v>
      </c>
      <c r="N636" s="432">
        <v>46195</v>
      </c>
      <c r="O636" s="430" t="s">
        <v>4531</v>
      </c>
      <c r="P636" s="430" t="s">
        <v>1151</v>
      </c>
      <c r="Q636" s="430" t="s">
        <v>421</v>
      </c>
      <c r="R636" s="430" t="str">
        <f>_xlfn.XLOOKUP(PV_DATA[[#This Row],[New Ark SKU]],Table9[New Ark SKU],Table9[Connector],,0)</f>
        <v>EVO2A</v>
      </c>
      <c r="S636" s="442" t="str">
        <f>_xlfn.XLOOKUP(PV_DATA[[#This Row],[New Ark SKU]],Table9[New Ark SKU],Table9[Cable],,0)</f>
        <v>±1200mm</v>
      </c>
      <c r="T636" s="433">
        <v>505</v>
      </c>
      <c r="U636" s="1088">
        <f>864*6</f>
        <v>5184</v>
      </c>
      <c r="V636" s="434">
        <f>PV_DATA[[#This Row],[QUANTITY]]*PV_DATA[[#This Row],[WATT]]/1000000</f>
        <v>2.6179199999999998</v>
      </c>
      <c r="W636" s="435">
        <f>PV_DATA[[#This Row],[QUANTITY]]/PV_DATA[[#This Row],[Qty/Pallet]]</f>
        <v>144</v>
      </c>
      <c r="X636" s="1040">
        <f>PV_DATA[[#This Row],[QUANTITY]]/PV_DATA[[#This Row],[Qty/CT]]</f>
        <v>6</v>
      </c>
      <c r="Y636" s="430" t="s">
        <v>2457</v>
      </c>
      <c r="Z636" s="430" t="str">
        <f t="shared" si="7"/>
        <v>COMPLETED</v>
      </c>
      <c r="AA636" s="430" t="s">
        <v>5038</v>
      </c>
      <c r="AB636" s="543">
        <v>46194</v>
      </c>
      <c r="AC636" s="485">
        <f>IF(PV_DATA[[#This Row],[Pick- Up Date]]&lt;&gt;"",_xlfn.ISOWEEKNUM(PV_DATA[[#This Row],[Pick- Up Date]]),"")</f>
        <v>25</v>
      </c>
      <c r="AD636" s="430" t="s">
        <v>5039</v>
      </c>
      <c r="AE636" s="430"/>
      <c r="AF636" s="459" t="s">
        <v>5034</v>
      </c>
      <c r="AG636" s="459" t="s">
        <v>123</v>
      </c>
      <c r="AH636" s="430" t="s">
        <v>78</v>
      </c>
      <c r="AI636" s="437">
        <v>46198</v>
      </c>
      <c r="AK636" s="437">
        <v>46199</v>
      </c>
      <c r="AL636" s="437">
        <v>46246</v>
      </c>
      <c r="AN636" s="437">
        <v>46246</v>
      </c>
      <c r="AO636" s="430" t="s">
        <v>402</v>
      </c>
      <c r="AP636" s="430" t="s">
        <v>5035</v>
      </c>
      <c r="AQ636" s="430" t="s">
        <v>161</v>
      </c>
      <c r="AR636" s="430" t="s">
        <v>5036</v>
      </c>
      <c r="AS636" s="430">
        <v>271866464</v>
      </c>
      <c r="AT636" s="430">
        <v>271866464</v>
      </c>
      <c r="AU6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7"/>
      <c r="AW636" s="437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7">
        <f>IF(ISERROR(PV_DATA[[#This Row],[New Ark PO status]]),"",_xlfn.XLOOKUP(PV_DATA[[#This Row],[SPTN-PVHK New Ark PO'#]],New_Ark_Data[Purchase order Number],New_Ark_Data[Estimated time of arrival],"",0))</f>
        <v>46260</v>
      </c>
      <c r="AZ6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7">
        <f>IFERROR(PV_DATA[[#This Row],[ODP ETA Port]]+PV_DATA[[#This Row],[Customs/Leg3 Assumption]],"n/a")</f>
        <v>46254</v>
      </c>
      <c r="BB636" s="433">
        <f>YEAR(PV_DATA[[#This Row],[ETA for New Ark update]])</f>
        <v>2026</v>
      </c>
      <c r="BC636" s="430">
        <f>MONTH(PV_DATA[[#This Row],[ETA for New Ark update]])</f>
        <v>8</v>
      </c>
      <c r="BD636" s="430">
        <f>IFERROR(_xlfn.ISOWEEKNUM(PV_DATA[[#This Row],[ETA for New Ark update]]),0)</f>
        <v>34</v>
      </c>
      <c r="BE636" s="430">
        <f>_xlfn.XLOOKUP(PV_DATA[[#This Row],[New Ark SKU]],Table9[New Ark SKU],Table9[Total PCS per Pallet],,0)</f>
        <v>36</v>
      </c>
      <c r="BF636" s="430">
        <f>_xlfn.XLOOKUP(PV_DATA[[#This Row],[New Ark SKU]],Table9[New Ark SKU],Table9[Total PCS per 40HQ Container],,0)</f>
        <v>864</v>
      </c>
      <c r="BG636" s="431" t="str">
        <f>_xlfn.XLOOKUP(PV_DATA[[#This Row],[New Ark SKU]],Table9[New Ark SKU],Table9[Back Glass],,0)</f>
        <v>Black glazing</v>
      </c>
      <c r="BH636" s="430" t="str">
        <f>_xlfn.XLOOKUP(PV_DATA[[#This Row],[PORT DESTINATION]],Table12[PORT DESTINATION],Table12[Cosco Line],,0)</f>
        <v>AEM</v>
      </c>
      <c r="BJ636" s="430"/>
    </row>
    <row r="637" spans="1:62" ht="10.5">
      <c r="A637" s="462" t="s">
        <v>5040</v>
      </c>
      <c r="B637" s="462" t="s">
        <v>111</v>
      </c>
      <c r="C637" s="462" t="str">
        <f>IFERROR(LEFT(PV_DATA[[#This Row],[TCL REFERENCE]],FIND(".",PV_DATA[[#This Row],[TCL REFERENCE]],1)-1),"Main Line")</f>
        <v>26May013</v>
      </c>
      <c r="D637" s="462" t="s">
        <v>63</v>
      </c>
      <c r="E637" s="462" t="s">
        <v>144</v>
      </c>
      <c r="F637" s="462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2" t="s">
        <v>402</v>
      </c>
      <c r="H637" s="713" t="s">
        <v>1449</v>
      </c>
      <c r="I637" s="462" t="s">
        <v>822</v>
      </c>
      <c r="J637" s="430" t="s">
        <v>4591</v>
      </c>
      <c r="K637" s="430" t="s">
        <v>1451</v>
      </c>
      <c r="L637" s="430">
        <v>24</v>
      </c>
      <c r="M637" s="430" t="s">
        <v>840</v>
      </c>
      <c r="N637" s="432">
        <v>46181</v>
      </c>
      <c r="O637" s="430" t="s">
        <v>4531</v>
      </c>
      <c r="P637" s="430" t="s">
        <v>5041</v>
      </c>
      <c r="Q637" s="430" t="s">
        <v>1807</v>
      </c>
      <c r="R637" s="430" t="str">
        <f>_xlfn.XLOOKUP(PV_DATA[[#This Row],[New Ark SKU]],Table9[New Ark SKU],Table9[Connector],,0)</f>
        <v>H4(Com)</v>
      </c>
      <c r="S637" s="442" t="str">
        <f>_xlfn.XLOOKUP(PV_DATA[[#This Row],[New Ark SKU]],Table9[New Ark SKU],Table9[Cable],,0)</f>
        <v>+400mm/-200mm</v>
      </c>
      <c r="T637" s="433">
        <v>720</v>
      </c>
      <c r="U637" s="1088">
        <f>594*5</f>
        <v>2970</v>
      </c>
      <c r="V637" s="544">
        <f>PV_DATA[[#This Row],[QUANTITY]]*PV_DATA[[#This Row],[WATT]]/1000000</f>
        <v>2.1383999999999999</v>
      </c>
      <c r="W637" s="435">
        <f>PV_DATA[[#This Row],[QUANTITY]]/PV_DATA[[#This Row],[Qty/Pallet]]</f>
        <v>90</v>
      </c>
      <c r="X637" s="1040">
        <f>PV_DATA[[#This Row],[QUANTITY]]/PV_DATA[[#This Row],[Qty/CT]]</f>
        <v>5</v>
      </c>
      <c r="Y637" s="430" t="s">
        <v>2455</v>
      </c>
      <c r="Z637" s="430" t="str">
        <f t="shared" si="7"/>
        <v>COMPLETED</v>
      </c>
      <c r="AA637" s="430" t="s">
        <v>5042</v>
      </c>
      <c r="AB637" s="437">
        <v>46190</v>
      </c>
      <c r="AC637" s="485">
        <f>IF(PV_DATA[[#This Row],[Pick- Up Date]]&lt;&gt;"",_xlfn.ISOWEEKNUM(PV_DATA[[#This Row],[Pick- Up Date]]),"")</f>
        <v>25</v>
      </c>
      <c r="AD637" s="430" t="s">
        <v>5043</v>
      </c>
      <c r="AE637" s="435"/>
      <c r="AF637" s="430" t="s">
        <v>122</v>
      </c>
      <c r="AG637" s="430" t="s">
        <v>123</v>
      </c>
      <c r="AH637" s="430" t="s">
        <v>105</v>
      </c>
      <c r="AI637" s="437">
        <v>46194</v>
      </c>
      <c r="AJ637" s="437">
        <v>46197</v>
      </c>
      <c r="AK637" s="437">
        <v>46197</v>
      </c>
      <c r="AL637" s="437">
        <v>46232</v>
      </c>
      <c r="AM637" s="437">
        <v>46241</v>
      </c>
      <c r="AN637" s="437">
        <v>46245</v>
      </c>
      <c r="AO637" s="430" t="s">
        <v>402</v>
      </c>
      <c r="AP637" s="430" t="s">
        <v>4942</v>
      </c>
      <c r="AQ637" s="430" t="s">
        <v>161</v>
      </c>
      <c r="AR637" s="430" t="s">
        <v>5044</v>
      </c>
      <c r="AS637" s="430" t="s">
        <v>5045</v>
      </c>
      <c r="AT637" s="430" t="s">
        <v>5045</v>
      </c>
      <c r="AU6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7"/>
      <c r="AW637" s="437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7">
        <f>IF(ISERROR(PV_DATA[[#This Row],[New Ark PO status]]),"",_xlfn.XLOOKUP(PV_DATA[[#This Row],[SPTN-PVHK New Ark PO'#]],New_Ark_Data[Purchase order Number],New_Ark_Data[Estimated time of arrival],"",0))</f>
        <v>46232</v>
      </c>
      <c r="AZ63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7">
        <f>IFERROR(PV_DATA[[#This Row],[ODP ETA Port]]+PV_DATA[[#This Row],[Customs/Leg3 Assumption]],"n/a")</f>
        <v>46245</v>
      </c>
      <c r="BB637" s="433">
        <f>YEAR(PV_DATA[[#This Row],[ETA for New Ark update]])</f>
        <v>2026</v>
      </c>
      <c r="BC637" s="430">
        <f>MONTH(PV_DATA[[#This Row],[ETA for New Ark update]])</f>
        <v>8</v>
      </c>
      <c r="BD637" s="430">
        <f>IFERROR(_xlfn.ISOWEEKNUM(PV_DATA[[#This Row],[ETA for New Ark update]]),0)</f>
        <v>33</v>
      </c>
      <c r="BE637" s="430">
        <f>_xlfn.XLOOKUP(PV_DATA[[#This Row],[New Ark SKU]],Table9[New Ark SKU],Table9[Total PCS per Pallet],,0)</f>
        <v>33</v>
      </c>
      <c r="BF637" s="430">
        <f>_xlfn.XLOOKUP(PV_DATA[[#This Row],[New Ark SKU]],Table9[New Ark SKU],Table9[Total PCS per 40HQ Container],,0)</f>
        <v>594</v>
      </c>
      <c r="BG637" s="431" t="str">
        <f>_xlfn.XLOOKUP(PV_DATA[[#This Row],[New Ark SKU]],Table9[New Ark SKU],Table9[Back Glass],,0)</f>
        <v>Transparent</v>
      </c>
      <c r="BH637" s="430" t="str">
        <f>_xlfn.XLOOKUP(PV_DATA[[#This Row],[PORT DESTINATION]],Table12[PORT DESTINATION],Table12[Cosco Line],,0)</f>
        <v>AEU</v>
      </c>
      <c r="BJ637" s="430"/>
    </row>
    <row r="638" spans="1:62" ht="10.5">
      <c r="A638" s="462" t="s">
        <v>5046</v>
      </c>
      <c r="B638" s="462" t="s">
        <v>111</v>
      </c>
      <c r="C638" s="462" t="str">
        <f>IFERROR(LEFT(PV_DATA[[#This Row],[TCL REFERENCE]],FIND(".",PV_DATA[[#This Row],[TCL REFERENCE]],1)-1),"Main Line")</f>
        <v>26May013</v>
      </c>
      <c r="D638" s="462" t="s">
        <v>63</v>
      </c>
      <c r="E638" s="462" t="s">
        <v>144</v>
      </c>
      <c r="F638" s="462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2" t="s">
        <v>402</v>
      </c>
      <c r="H638" s="713" t="s">
        <v>1449</v>
      </c>
      <c r="I638" s="462" t="s">
        <v>822</v>
      </c>
      <c r="J638" s="430" t="s">
        <v>4591</v>
      </c>
      <c r="K638" s="430" t="s">
        <v>1451</v>
      </c>
      <c r="L638" s="430">
        <v>25</v>
      </c>
      <c r="M638" s="430" t="s">
        <v>840</v>
      </c>
      <c r="N638" s="432">
        <v>46181</v>
      </c>
      <c r="O638" s="430" t="s">
        <v>4531</v>
      </c>
      <c r="P638" s="430" t="s">
        <v>5041</v>
      </c>
      <c r="Q638" s="430" t="s">
        <v>1807</v>
      </c>
      <c r="R638" s="430" t="str">
        <f>_xlfn.XLOOKUP(PV_DATA[[#This Row],[New Ark SKU]],Table9[New Ark SKU],Table9[Connector],,0)</f>
        <v>H4(Com)</v>
      </c>
      <c r="S638" s="442" t="str">
        <f>_xlfn.XLOOKUP(PV_DATA[[#This Row],[New Ark SKU]],Table9[New Ark SKU],Table9[Cable],,0)</f>
        <v>+400mm/-200mm</v>
      </c>
      <c r="T638" s="433">
        <v>720</v>
      </c>
      <c r="U638" s="1088">
        <f>594*2</f>
        <v>1188</v>
      </c>
      <c r="V638" s="544">
        <f>PV_DATA[[#This Row],[QUANTITY]]*PV_DATA[[#This Row],[WATT]]/1000000</f>
        <v>0.85536000000000001</v>
      </c>
      <c r="W638" s="435">
        <f>PV_DATA[[#This Row],[QUANTITY]]/PV_DATA[[#This Row],[Qty/Pallet]]</f>
        <v>36</v>
      </c>
      <c r="X638" s="1040">
        <f>PV_DATA[[#This Row],[QUANTITY]]/PV_DATA[[#This Row],[Qty/CT]]</f>
        <v>2</v>
      </c>
      <c r="Y638" s="430" t="s">
        <v>2455</v>
      </c>
      <c r="Z638" s="430" t="str">
        <f t="shared" si="7"/>
        <v>COMPLETED</v>
      </c>
      <c r="AA638" s="433" t="s">
        <v>5047</v>
      </c>
      <c r="AB638" s="437">
        <v>46190</v>
      </c>
      <c r="AC638" s="485">
        <f>IF(PV_DATA[[#This Row],[Pick- Up Date]]&lt;&gt;"",_xlfn.ISOWEEKNUM(PV_DATA[[#This Row],[Pick- Up Date]]),"")</f>
        <v>25</v>
      </c>
      <c r="AD638" s="430" t="s">
        <v>5048</v>
      </c>
      <c r="AE638" s="435"/>
      <c r="AF638" s="430" t="s">
        <v>122</v>
      </c>
      <c r="AG638" s="430" t="s">
        <v>123</v>
      </c>
      <c r="AH638" s="430" t="s">
        <v>105</v>
      </c>
      <c r="AI638" s="437">
        <v>46194</v>
      </c>
      <c r="AJ638" s="437">
        <v>46197</v>
      </c>
      <c r="AK638" s="437">
        <v>46197</v>
      </c>
      <c r="AL638" s="437">
        <v>46232</v>
      </c>
      <c r="AM638" s="437">
        <v>46241</v>
      </c>
      <c r="AN638" s="437">
        <v>46245</v>
      </c>
      <c r="AO638" s="430" t="s">
        <v>402</v>
      </c>
      <c r="AP638" s="430" t="s">
        <v>4942</v>
      </c>
      <c r="AQ638" s="430" t="s">
        <v>161</v>
      </c>
      <c r="AR638" s="430" t="s">
        <v>5044</v>
      </c>
      <c r="AS638" s="430" t="s">
        <v>5045</v>
      </c>
      <c r="AT638" s="430" t="s">
        <v>5045</v>
      </c>
      <c r="AU6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7"/>
      <c r="AW638" s="437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7">
        <f>IF(ISERROR(PV_DATA[[#This Row],[New Ark PO status]]),"",_xlfn.XLOOKUP(PV_DATA[[#This Row],[SPTN-PVHK New Ark PO'#]],New_Ark_Data[Purchase order Number],New_Ark_Data[Estimated time of arrival],"",0))</f>
        <v>46232</v>
      </c>
      <c r="AZ63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7">
        <f>IFERROR(PV_DATA[[#This Row],[ODP ETA Port]]+PV_DATA[[#This Row],[Customs/Leg3 Assumption]],"n/a")</f>
        <v>46245</v>
      </c>
      <c r="BB638" s="433">
        <f>YEAR(PV_DATA[[#This Row],[ETA for New Ark update]])</f>
        <v>2026</v>
      </c>
      <c r="BC638" s="430">
        <f>MONTH(PV_DATA[[#This Row],[ETA for New Ark update]])</f>
        <v>8</v>
      </c>
      <c r="BD638" s="430">
        <f>IFERROR(_xlfn.ISOWEEKNUM(PV_DATA[[#This Row],[ETA for New Ark update]]),0)</f>
        <v>33</v>
      </c>
      <c r="BE638" s="430">
        <f>_xlfn.XLOOKUP(PV_DATA[[#This Row],[New Ark SKU]],Table9[New Ark SKU],Table9[Total PCS per Pallet],,0)</f>
        <v>33</v>
      </c>
      <c r="BF638" s="430">
        <f>_xlfn.XLOOKUP(PV_DATA[[#This Row],[New Ark SKU]],Table9[New Ark SKU],Table9[Total PCS per 40HQ Container],,0)</f>
        <v>594</v>
      </c>
      <c r="BG638" s="431" t="str">
        <f>_xlfn.XLOOKUP(PV_DATA[[#This Row],[New Ark SKU]],Table9[New Ark SKU],Table9[Back Glass],,0)</f>
        <v>Transparent</v>
      </c>
      <c r="BH638" s="430" t="str">
        <f>_xlfn.XLOOKUP(PV_DATA[[#This Row],[PORT DESTINATION]],Table12[PORT DESTINATION],Table12[Cosco Line],,0)</f>
        <v>AEU</v>
      </c>
      <c r="BJ638" s="430"/>
    </row>
    <row r="639" spans="1:62" ht="14.25" customHeight="1">
      <c r="A639" s="462" t="s">
        <v>5049</v>
      </c>
      <c r="B639" s="462" t="s">
        <v>111</v>
      </c>
      <c r="C639" s="462" t="str">
        <f>IFERROR(LEFT(PV_DATA[[#This Row],[TCL REFERENCE]],FIND(".",PV_DATA[[#This Row],[TCL REFERENCE]],1)-1),"Main Line")</f>
        <v>26May013</v>
      </c>
      <c r="D639" s="462" t="s">
        <v>63</v>
      </c>
      <c r="E639" s="462" t="s">
        <v>144</v>
      </c>
      <c r="F639" s="462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2" t="s">
        <v>402</v>
      </c>
      <c r="H639" s="713" t="s">
        <v>1449</v>
      </c>
      <c r="I639" s="462" t="s">
        <v>822</v>
      </c>
      <c r="J639" s="430" t="s">
        <v>4591</v>
      </c>
      <c r="K639" s="430" t="s">
        <v>1451</v>
      </c>
      <c r="L639" s="430">
        <v>26</v>
      </c>
      <c r="M639" s="430" t="s">
        <v>840</v>
      </c>
      <c r="N639" s="432">
        <v>46181</v>
      </c>
      <c r="O639" s="430" t="s">
        <v>4531</v>
      </c>
      <c r="P639" s="430" t="s">
        <v>5041</v>
      </c>
      <c r="Q639" s="430" t="s">
        <v>1807</v>
      </c>
      <c r="R639" s="430" t="str">
        <f>_xlfn.XLOOKUP(PV_DATA[[#This Row],[New Ark SKU]],Table9[New Ark SKU],Table9[Connector],,0)</f>
        <v>H4(Com)</v>
      </c>
      <c r="S639" s="442" t="str">
        <f>_xlfn.XLOOKUP(PV_DATA[[#This Row],[New Ark SKU]],Table9[New Ark SKU],Table9[Cable],,0)</f>
        <v>+400mm/-200mm</v>
      </c>
      <c r="T639" s="433">
        <v>720</v>
      </c>
      <c r="U639" s="1088">
        <f>594*2</f>
        <v>1188</v>
      </c>
      <c r="V639" s="544">
        <f>PV_DATA[[#This Row],[QUANTITY]]*PV_DATA[[#This Row],[WATT]]/1000000</f>
        <v>0.85536000000000001</v>
      </c>
      <c r="W639" s="435">
        <f>PV_DATA[[#This Row],[QUANTITY]]/PV_DATA[[#This Row],[Qty/Pallet]]</f>
        <v>36</v>
      </c>
      <c r="X639" s="1040">
        <f>PV_DATA[[#This Row],[QUANTITY]]/PV_DATA[[#This Row],[Qty/CT]]</f>
        <v>2</v>
      </c>
      <c r="Y639" s="430" t="s">
        <v>2455</v>
      </c>
      <c r="Z639" s="430" t="str">
        <f t="shared" si="7"/>
        <v>COMPLETED</v>
      </c>
      <c r="AA639" s="430" t="s">
        <v>5050</v>
      </c>
      <c r="AB639" s="437">
        <v>46185</v>
      </c>
      <c r="AC639" s="485">
        <f>IF(PV_DATA[[#This Row],[Pick- Up Date]]&lt;&gt;"",_xlfn.ISOWEEKNUM(PV_DATA[[#This Row],[Pick- Up Date]]),"")</f>
        <v>24</v>
      </c>
      <c r="AD639" s="430" t="s">
        <v>5051</v>
      </c>
      <c r="AE639" s="435"/>
      <c r="AF639" s="430" t="s">
        <v>122</v>
      </c>
      <c r="AG639" s="430" t="s">
        <v>123</v>
      </c>
      <c r="AH639" s="430" t="s">
        <v>105</v>
      </c>
      <c r="AI639" s="437">
        <v>46194</v>
      </c>
      <c r="AJ639" s="437">
        <v>46196</v>
      </c>
      <c r="AK639" s="437">
        <v>46196</v>
      </c>
      <c r="AL639" s="437">
        <v>46237</v>
      </c>
      <c r="AM639" s="586"/>
      <c r="AN639" s="441">
        <v>46249</v>
      </c>
      <c r="AO639" s="430" t="s">
        <v>402</v>
      </c>
      <c r="AP639" s="430" t="s">
        <v>5052</v>
      </c>
      <c r="AQ639" s="430" t="s">
        <v>161</v>
      </c>
      <c r="AR639" s="430" t="s">
        <v>5053</v>
      </c>
      <c r="AS639" s="430" t="s">
        <v>5054</v>
      </c>
      <c r="AT639" s="430" t="s">
        <v>5054</v>
      </c>
      <c r="AU6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7"/>
      <c r="AW639" s="437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7">
        <f>IF(ISERROR(PV_DATA[[#This Row],[New Ark PO status]]),"",_xlfn.XLOOKUP(PV_DATA[[#This Row],[SPTN-PVHK New Ark PO'#]],New_Ark_Data[Purchase order Number],New_Ark_Data[Estimated time of arrival],"",0))</f>
        <v>46237</v>
      </c>
      <c r="AZ63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7">
        <f>IFERROR(PV_DATA[[#This Row],[ODP ETA Port]]+PV_DATA[[#This Row],[Customs/Leg3 Assumption]],"n/a")</f>
        <v>46249</v>
      </c>
      <c r="BB639" s="433">
        <f>YEAR(PV_DATA[[#This Row],[ETA for New Ark update]])</f>
        <v>2026</v>
      </c>
      <c r="BC639" s="430">
        <f>MONTH(PV_DATA[[#This Row],[ETA for New Ark update]])</f>
        <v>8</v>
      </c>
      <c r="BD639" s="430">
        <f>IFERROR(_xlfn.ISOWEEKNUM(PV_DATA[[#This Row],[ETA for New Ark update]]),0)</f>
        <v>33</v>
      </c>
      <c r="BE639" s="430">
        <f>_xlfn.XLOOKUP(PV_DATA[[#This Row],[New Ark SKU]],Table9[New Ark SKU],Table9[Total PCS per Pallet],,0)</f>
        <v>33</v>
      </c>
      <c r="BF639" s="430">
        <f>_xlfn.XLOOKUP(PV_DATA[[#This Row],[New Ark SKU]],Table9[New Ark SKU],Table9[Total PCS per 40HQ Container],,0)</f>
        <v>594</v>
      </c>
      <c r="BG639" s="431" t="str">
        <f>_xlfn.XLOOKUP(PV_DATA[[#This Row],[New Ark SKU]],Table9[New Ark SKU],Table9[Back Glass],,0)</f>
        <v>Transparent</v>
      </c>
      <c r="BH639" s="430" t="str">
        <f>_xlfn.XLOOKUP(PV_DATA[[#This Row],[PORT DESTINATION]],Table12[PORT DESTINATION],Table12[Cosco Line],,0)</f>
        <v>AEU</v>
      </c>
      <c r="BJ639" s="430"/>
    </row>
    <row r="640" spans="1:62" ht="10.5">
      <c r="A640" s="462" t="s">
        <v>5055</v>
      </c>
      <c r="B640" s="462" t="s">
        <v>111</v>
      </c>
      <c r="C640" s="462" t="s">
        <v>5056</v>
      </c>
      <c r="D640" s="462" t="s">
        <v>63</v>
      </c>
      <c r="E640" s="462" t="s">
        <v>144</v>
      </c>
      <c r="F640" s="462" t="s">
        <v>145</v>
      </c>
      <c r="G640" s="462" t="s">
        <v>402</v>
      </c>
      <c r="H640" s="713" t="s">
        <v>1449</v>
      </c>
      <c r="I640" s="462" t="s">
        <v>689</v>
      </c>
      <c r="J640" s="430" t="s">
        <v>4591</v>
      </c>
      <c r="K640" s="430" t="s">
        <v>1451</v>
      </c>
      <c r="L640" s="430">
        <v>30</v>
      </c>
      <c r="M640" s="430" t="s">
        <v>840</v>
      </c>
      <c r="N640" s="432">
        <v>46181</v>
      </c>
      <c r="O640" s="430" t="s">
        <v>4531</v>
      </c>
      <c r="P640" s="430" t="s">
        <v>5057</v>
      </c>
      <c r="Q640" s="430" t="s">
        <v>1484</v>
      </c>
      <c r="R640" s="430" t="str">
        <f>_xlfn.XLOOKUP(PV_DATA[[#This Row],[New Ark SKU]],Table9[New Ark SKU],Table9[Connector],,0)</f>
        <v>H4(Com)</v>
      </c>
      <c r="S640" s="442" t="str">
        <f>_xlfn.XLOOKUP(PV_DATA[[#This Row],[New Ark SKU]],Table9[New Ark SKU],Table9[Cable],,0)</f>
        <v>+400mm/-200mm</v>
      </c>
      <c r="T640" s="433">
        <v>725</v>
      </c>
      <c r="U640" s="1088">
        <v>1782</v>
      </c>
      <c r="V640" s="544">
        <f>PV_DATA[[#This Row],[QUANTITY]]*PV_DATA[[#This Row],[WATT]]/1000000</f>
        <v>1.2919499999999999</v>
      </c>
      <c r="W640" s="435">
        <f>PV_DATA[[#This Row],[QUANTITY]]/PV_DATA[[#This Row],[Qty/Pallet]]</f>
        <v>54</v>
      </c>
      <c r="X640" s="1040">
        <v>3</v>
      </c>
      <c r="Y640" s="430" t="s">
        <v>2456</v>
      </c>
      <c r="Z640" s="430" t="str">
        <f t="shared" si="7"/>
        <v>COMPLETED</v>
      </c>
      <c r="AA640" s="430" t="s">
        <v>5058</v>
      </c>
      <c r="AB640" s="437">
        <v>46189</v>
      </c>
      <c r="AC640" s="485">
        <f>IF(PV_DATA[[#This Row],[Pick- Up Date]]&lt;&gt;"",_xlfn.ISOWEEKNUM(PV_DATA[[#This Row],[Pick- Up Date]]),"")</f>
        <v>25</v>
      </c>
      <c r="AD640" s="430" t="s">
        <v>5059</v>
      </c>
      <c r="AE640" s="435"/>
      <c r="AF640" s="430" t="s">
        <v>122</v>
      </c>
      <c r="AG640" s="430" t="s">
        <v>123</v>
      </c>
      <c r="AH640" s="430" t="s">
        <v>105</v>
      </c>
      <c r="AI640" s="437">
        <v>46198</v>
      </c>
      <c r="AJ640" s="437">
        <v>46203</v>
      </c>
      <c r="AK640" s="437">
        <v>46203</v>
      </c>
      <c r="AL640" s="437">
        <v>46232</v>
      </c>
      <c r="AM640" s="441">
        <f>IFERROR(IF(VLOOKUP(AT640, Vessel!A:H, 8, FALSE)=0, "", VLOOKUP(AT640, Vessel!A:H, 8, FALSE)), "")</f>
        <v>46240.020833333336</v>
      </c>
      <c r="AN640" s="437">
        <v>46240</v>
      </c>
      <c r="AO640" s="430" t="s">
        <v>402</v>
      </c>
      <c r="AP640" s="430" t="s">
        <v>5060</v>
      </c>
      <c r="AQ640" s="430" t="s">
        <v>80</v>
      </c>
      <c r="AR640" s="430" t="s">
        <v>5061</v>
      </c>
      <c r="AS640" s="430" t="s">
        <v>5062</v>
      </c>
      <c r="AT640" s="430" t="s">
        <v>5062</v>
      </c>
      <c r="AU6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7"/>
      <c r="AW640" s="437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7">
        <f>IF(ISERROR(PV_DATA[[#This Row],[New Ark PO status]]),"",_xlfn.XLOOKUP(PV_DATA[[#This Row],[SPTN-PVHK New Ark PO'#]],New_Ark_Data[Purchase order Number],New_Ark_Data[Estimated time of arrival],"",0))</f>
        <v>46232</v>
      </c>
      <c r="AZ64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7">
        <f>IFERROR(PV_DATA[[#This Row],[ODP ETA Port]]+PV_DATA[[#This Row],[Customs/Leg3 Assumption]],"n/a")</f>
        <v>46240</v>
      </c>
      <c r="BB640" s="433">
        <f>YEAR(PV_DATA[[#This Row],[ETA for New Ark update]])</f>
        <v>2026</v>
      </c>
      <c r="BC640" s="430">
        <f>MONTH(PV_DATA[[#This Row],[ETA for New Ark update]])</f>
        <v>8</v>
      </c>
      <c r="BD640" s="430">
        <f>IFERROR(_xlfn.ISOWEEKNUM(PV_DATA[[#This Row],[ETA for New Ark update]]),0)</f>
        <v>32</v>
      </c>
      <c r="BE640" s="430">
        <f>_xlfn.XLOOKUP(PV_DATA[[#This Row],[New Ark SKU]],Table9[New Ark SKU],Table9[Total PCS per Pallet],,0)</f>
        <v>33</v>
      </c>
      <c r="BF640" s="430">
        <f>_xlfn.XLOOKUP(PV_DATA[[#This Row],[New Ark SKU]],Table9[New Ark SKU],Table9[Total PCS per 40HQ Container],,0)</f>
        <v>594</v>
      </c>
      <c r="BG640" s="431" t="str">
        <f>_xlfn.XLOOKUP(PV_DATA[[#This Row],[New Ark SKU]],Table9[New Ark SKU],Table9[Back Glass],,0)</f>
        <v>Transparent</v>
      </c>
      <c r="BH640" s="430" t="str">
        <f>_xlfn.XLOOKUP(PV_DATA[[#This Row],[PORT DESTINATION]],Table12[PORT DESTINATION],Table12[Cosco Line],,0)</f>
        <v>AEU</v>
      </c>
      <c r="BJ640" s="430"/>
    </row>
    <row r="641" spans="1:62" ht="10.5">
      <c r="A641" s="462" t="s">
        <v>5063</v>
      </c>
      <c r="B641" s="462" t="s">
        <v>111</v>
      </c>
      <c r="C641" s="462" t="str">
        <f>IFERROR(LEFT(PV_DATA[[#This Row],[TCL REFERENCE]],FIND(".",PV_DATA[[#This Row],[TCL REFERENCE]],1)-1),"Main Line")</f>
        <v>26May014</v>
      </c>
      <c r="D641" s="462" t="s">
        <v>63</v>
      </c>
      <c r="E641" s="462" t="s">
        <v>144</v>
      </c>
      <c r="F641" s="462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2" t="s">
        <v>402</v>
      </c>
      <c r="H641" s="713" t="s">
        <v>1449</v>
      </c>
      <c r="I641" s="462" t="s">
        <v>689</v>
      </c>
      <c r="J641" s="430" t="s">
        <v>4591</v>
      </c>
      <c r="K641" s="430" t="s">
        <v>1451</v>
      </c>
      <c r="L641" s="430">
        <v>31</v>
      </c>
      <c r="M641" s="430" t="s">
        <v>840</v>
      </c>
      <c r="N641" s="432">
        <v>46181</v>
      </c>
      <c r="O641" s="430" t="s">
        <v>4531</v>
      </c>
      <c r="P641" s="430" t="s">
        <v>5057</v>
      </c>
      <c r="Q641" s="430" t="s">
        <v>1484</v>
      </c>
      <c r="R641" s="430" t="str">
        <f>_xlfn.XLOOKUP(PV_DATA[[#This Row],[New Ark SKU]],Table9[New Ark SKU],Table9[Connector],,0)</f>
        <v>H4(Com)</v>
      </c>
      <c r="S641" s="442" t="str">
        <f>_xlfn.XLOOKUP(PV_DATA[[#This Row],[New Ark SKU]],Table9[New Ark SKU],Table9[Cable],,0)</f>
        <v>+400mm/-200mm</v>
      </c>
      <c r="T641" s="433">
        <v>725</v>
      </c>
      <c r="U641" s="1088">
        <v>4158</v>
      </c>
      <c r="V641" s="544">
        <f>PV_DATA[[#This Row],[QUANTITY]]*PV_DATA[[#This Row],[WATT]]/1000000</f>
        <v>3.0145499999999998</v>
      </c>
      <c r="W641" s="435">
        <f>PV_DATA[[#This Row],[QUANTITY]]/PV_DATA[[#This Row],[Qty/Pallet]]</f>
        <v>126</v>
      </c>
      <c r="X641" s="1040">
        <f>PV_DATA[[#This Row],[QUANTITY]]/PV_DATA[[#This Row],[Qty/CT]]</f>
        <v>7</v>
      </c>
      <c r="Y641" s="430" t="s">
        <v>2456</v>
      </c>
      <c r="Z641" s="430" t="str">
        <f t="shared" si="7"/>
        <v>COMPLETED</v>
      </c>
      <c r="AA641" s="430" t="s">
        <v>5058</v>
      </c>
      <c r="AB641" s="437">
        <v>46189</v>
      </c>
      <c r="AC641" s="485">
        <f>IF(PV_DATA[[#This Row],[Pick- Up Date]]&lt;&gt;"",_xlfn.ISOWEEKNUM(PV_DATA[[#This Row],[Pick- Up Date]]),"")</f>
        <v>25</v>
      </c>
      <c r="AD641" s="430" t="s">
        <v>5064</v>
      </c>
      <c r="AE641" s="435"/>
      <c r="AF641" s="430" t="s">
        <v>122</v>
      </c>
      <c r="AG641" s="430" t="s">
        <v>123</v>
      </c>
      <c r="AH641" s="430" t="s">
        <v>105</v>
      </c>
      <c r="AI641" s="437">
        <v>46198</v>
      </c>
      <c r="AJ641" s="437">
        <v>46203</v>
      </c>
      <c r="AK641" s="437">
        <v>46203</v>
      </c>
      <c r="AL641" s="437">
        <v>46232</v>
      </c>
      <c r="AM641" s="441">
        <f>IFERROR(IF(VLOOKUP(AT641, Vessel!A:H, 8, FALSE)=0, "", VLOOKUP(AT641, Vessel!A:H, 8, FALSE)), "")</f>
        <v>46240.020833333336</v>
      </c>
      <c r="AN641" s="586">
        <v>46240.041226851848</v>
      </c>
      <c r="AO641" s="430" t="s">
        <v>402</v>
      </c>
      <c r="AP641" s="430" t="s">
        <v>5060</v>
      </c>
      <c r="AQ641" s="430" t="s">
        <v>80</v>
      </c>
      <c r="AR641" s="430" t="s">
        <v>5061</v>
      </c>
      <c r="AS641" s="430" t="s">
        <v>5062</v>
      </c>
      <c r="AT641" s="430" t="s">
        <v>5062</v>
      </c>
      <c r="AU6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37.041226851848478</v>
      </c>
      <c r="AV641" s="437"/>
      <c r="AW641" s="437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7">
        <f>IF(ISERROR(PV_DATA[[#This Row],[New Ark PO status]]),"",_xlfn.XLOOKUP(PV_DATA[[#This Row],[SPTN-PVHK New Ark PO'#]],New_Ark_Data[Purchase order Number],New_Ark_Data[Estimated time of arrival],"",0))</f>
        <v>46232</v>
      </c>
      <c r="AZ64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7">
        <f>IFERROR(PV_DATA[[#This Row],[ODP ETA Port]]+PV_DATA[[#This Row],[Customs/Leg3 Assumption]],"n/a")</f>
        <v>46240.041226851848</v>
      </c>
      <c r="BB641" s="433">
        <f>YEAR(PV_DATA[[#This Row],[ETA for New Ark update]])</f>
        <v>2026</v>
      </c>
      <c r="BC641" s="430">
        <f>MONTH(PV_DATA[[#This Row],[ETA for New Ark update]])</f>
        <v>8</v>
      </c>
      <c r="BD641" s="430">
        <f>IFERROR(_xlfn.ISOWEEKNUM(PV_DATA[[#This Row],[ETA for New Ark update]]),0)</f>
        <v>32</v>
      </c>
      <c r="BE641" s="430">
        <f>_xlfn.XLOOKUP(PV_DATA[[#This Row],[New Ark SKU]],Table9[New Ark SKU],Table9[Total PCS per Pallet],,0)</f>
        <v>33</v>
      </c>
      <c r="BF641" s="430">
        <f>_xlfn.XLOOKUP(PV_DATA[[#This Row],[New Ark SKU]],Table9[New Ark SKU],Table9[Total PCS per 40HQ Container],,0)</f>
        <v>594</v>
      </c>
      <c r="BG641" s="431" t="str">
        <f>_xlfn.XLOOKUP(PV_DATA[[#This Row],[New Ark SKU]],Table9[New Ark SKU],Table9[Back Glass],,0)</f>
        <v>Transparent</v>
      </c>
      <c r="BH641" s="430" t="str">
        <f>_xlfn.XLOOKUP(PV_DATA[[#This Row],[PORT DESTINATION]],Table12[PORT DESTINATION],Table12[Cosco Line],,0)</f>
        <v>AEU</v>
      </c>
      <c r="BJ641" s="430"/>
    </row>
    <row r="642" spans="1:62" ht="10.5">
      <c r="A642" s="462" t="s">
        <v>5065</v>
      </c>
      <c r="B642" s="462" t="s">
        <v>111</v>
      </c>
      <c r="C642" s="462" t="s">
        <v>5066</v>
      </c>
      <c r="D642" s="462" t="s">
        <v>63</v>
      </c>
      <c r="E642" s="462" t="s">
        <v>144</v>
      </c>
      <c r="F642" s="462" t="s">
        <v>145</v>
      </c>
      <c r="G642" s="462" t="s">
        <v>402</v>
      </c>
      <c r="H642" s="713" t="s">
        <v>1449</v>
      </c>
      <c r="I642" s="462" t="s">
        <v>689</v>
      </c>
      <c r="J642" s="430" t="s">
        <v>4591</v>
      </c>
      <c r="K642" s="430" t="s">
        <v>1451</v>
      </c>
      <c r="L642" s="430">
        <v>45</v>
      </c>
      <c r="M642" s="430" t="s">
        <v>840</v>
      </c>
      <c r="N642" s="432">
        <v>46167</v>
      </c>
      <c r="O642" s="430" t="s">
        <v>4531</v>
      </c>
      <c r="P642" s="430" t="s">
        <v>4592</v>
      </c>
      <c r="Q642" s="430" t="s">
        <v>330</v>
      </c>
      <c r="R642" s="430" t="str">
        <f>_xlfn.XLOOKUP(PV_DATA[[#This Row],[New Ark SKU]],Table9[New Ark SKU],Table9[Connector],,0)</f>
        <v>H4(Com)</v>
      </c>
      <c r="S642" s="442" t="str">
        <f>_xlfn.XLOOKUP(PV_DATA[[#This Row],[New Ark SKU]],Table9[New Ark SKU],Table9[Cable],,0)</f>
        <v>+400mm/-200mm</v>
      </c>
      <c r="T642" s="433">
        <v>625</v>
      </c>
      <c r="U642" s="1088">
        <v>720</v>
      </c>
      <c r="V642" s="544">
        <f>PV_DATA[[#This Row],[QUANTITY]]*PV_DATA[[#This Row],[WATT]]/1000000</f>
        <v>0.45</v>
      </c>
      <c r="W642" s="435">
        <f>PV_DATA[[#This Row],[QUANTITY]]/PV_DATA[[#This Row],[Qty/Pallet]]</f>
        <v>20</v>
      </c>
      <c r="X642" s="1040">
        <v>1</v>
      </c>
      <c r="Y642" s="430" t="s">
        <v>2456</v>
      </c>
      <c r="Z642" s="430" t="str">
        <f t="shared" si="7"/>
        <v>COMPLETED</v>
      </c>
      <c r="AA642" s="430"/>
      <c r="AB642" s="437">
        <v>46187</v>
      </c>
      <c r="AC642" s="485">
        <f>IF(PV_DATA[[#This Row],[Pick- Up Date]]&lt;&gt;"",_xlfn.ISOWEEKNUM(PV_DATA[[#This Row],[Pick- Up Date]]),"")</f>
        <v>24</v>
      </c>
      <c r="AD642" s="430" t="s">
        <v>5067</v>
      </c>
      <c r="AE642" s="430"/>
      <c r="AF642" s="430" t="s">
        <v>122</v>
      </c>
      <c r="AG642" s="430" t="s">
        <v>123</v>
      </c>
      <c r="AH642" s="430" t="s">
        <v>105</v>
      </c>
      <c r="AI642" s="437">
        <v>46195</v>
      </c>
      <c r="AJ642" s="437">
        <v>46197</v>
      </c>
      <c r="AK642" s="437">
        <v>46197</v>
      </c>
      <c r="AL642" s="437">
        <v>46232</v>
      </c>
      <c r="AM642" s="441">
        <f>IFERROR(IF(VLOOKUP(AT642, Vessel!A:H, 8, FALSE)=0, "", VLOOKUP(AT642, Vessel!A:H, 8, FALSE)), "")</f>
        <v>46242.416666666664</v>
      </c>
      <c r="AN642" s="586">
        <v>46242.416134259256</v>
      </c>
      <c r="AO642" s="430" t="s">
        <v>402</v>
      </c>
      <c r="AP642" s="430" t="s">
        <v>5068</v>
      </c>
      <c r="AQ642" s="430" t="s">
        <v>80</v>
      </c>
      <c r="AR642" s="430" t="s">
        <v>5069</v>
      </c>
      <c r="AS642" s="430" t="s">
        <v>5070</v>
      </c>
      <c r="AT642" s="430" t="s">
        <v>5070</v>
      </c>
      <c r="AU6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45.416134259256069</v>
      </c>
      <c r="AV642" s="437"/>
      <c r="AW642" s="437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46242.416134259256</v>
      </c>
      <c r="AX6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7">
        <f>IF(ISERROR(PV_DATA[[#This Row],[New Ark PO status]]),"",_xlfn.XLOOKUP(PV_DATA[[#This Row],[SPTN-PVHK New Ark PO'#]],New_Ark_Data[Purchase order Number],New_Ark_Data[Estimated time of arrival],"",0))</f>
        <v>46232</v>
      </c>
      <c r="AZ64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7">
        <f>IFERROR(PV_DATA[[#This Row],[ODP ETA Port]]+PV_DATA[[#This Row],[Customs/Leg3 Assumption]],"n/a")</f>
        <v>46242.416134259256</v>
      </c>
      <c r="BB642" s="433">
        <f>YEAR(PV_DATA[[#This Row],[ETA for New Ark update]])</f>
        <v>2026</v>
      </c>
      <c r="BC642" s="430">
        <f>MONTH(PV_DATA[[#This Row],[ETA for New Ark update]])</f>
        <v>8</v>
      </c>
      <c r="BD642" s="430">
        <f>IFERROR(_xlfn.ISOWEEKNUM(PV_DATA[[#This Row],[ETA for New Ark update]]),0)</f>
        <v>32</v>
      </c>
      <c r="BE642" s="430">
        <f>_xlfn.XLOOKUP(PV_DATA[[#This Row],[New Ark SKU]],Table9[New Ark SKU],Table9[Total PCS per Pallet],,0)</f>
        <v>36</v>
      </c>
      <c r="BF642" s="430">
        <f>_xlfn.XLOOKUP(PV_DATA[[#This Row],[New Ark SKU]],Table9[New Ark SKU],Table9[Total PCS per 40HQ Container],,0)</f>
        <v>720</v>
      </c>
      <c r="BG642" s="431" t="str">
        <f>_xlfn.XLOOKUP(PV_DATA[[#This Row],[New Ark SKU]],Table9[New Ark SKU],Table9[Back Glass],,0)</f>
        <v>Transparent</v>
      </c>
      <c r="BH642" s="430" t="str">
        <f>_xlfn.XLOOKUP(PV_DATA[[#This Row],[PORT DESTINATION]],Table12[PORT DESTINATION],Table12[Cosco Line],,0)</f>
        <v>AEU</v>
      </c>
      <c r="BJ642" s="430"/>
    </row>
    <row r="643" spans="1:62" ht="10.5">
      <c r="A643" s="462" t="s">
        <v>5071</v>
      </c>
      <c r="B643" s="462" t="s">
        <v>111</v>
      </c>
      <c r="C643" s="462" t="str">
        <f>IFERROR(LEFT(PV_DATA[[#This Row],[TCL REFERENCE]],FIND(".",PV_DATA[[#This Row],[TCL REFERENCE]],1)-1),"Main Line")</f>
        <v>26May011</v>
      </c>
      <c r="D643" s="462" t="s">
        <v>63</v>
      </c>
      <c r="E643" s="462" t="s">
        <v>144</v>
      </c>
      <c r="F643" s="462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2" t="s">
        <v>402</v>
      </c>
      <c r="H643" s="713" t="s">
        <v>1449</v>
      </c>
      <c r="I643" s="462" t="s">
        <v>689</v>
      </c>
      <c r="J643" s="430" t="s">
        <v>4591</v>
      </c>
      <c r="K643" s="430" t="s">
        <v>1451</v>
      </c>
      <c r="L643" s="430">
        <v>46</v>
      </c>
      <c r="M643" s="430" t="s">
        <v>840</v>
      </c>
      <c r="N643" s="432">
        <v>46167</v>
      </c>
      <c r="O643" s="430" t="s">
        <v>4531</v>
      </c>
      <c r="P643" s="430" t="s">
        <v>4592</v>
      </c>
      <c r="Q643" s="430" t="s">
        <v>330</v>
      </c>
      <c r="R643" s="430" t="str">
        <f>_xlfn.XLOOKUP(PV_DATA[[#This Row],[New Ark SKU]],Table9[New Ark SKU],Table9[Connector],,0)</f>
        <v>H4(Com)</v>
      </c>
      <c r="S643" s="442" t="str">
        <f>_xlfn.XLOOKUP(PV_DATA[[#This Row],[New Ark SKU]],Table9[New Ark SKU],Table9[Cable],,0)</f>
        <v>+400mm/-200mm</v>
      </c>
      <c r="T643" s="433">
        <v>625</v>
      </c>
      <c r="U643" s="1088">
        <v>5760</v>
      </c>
      <c r="V643" s="544">
        <f>PV_DATA[[#This Row],[QUANTITY]]*PV_DATA[[#This Row],[WATT]]/1000000</f>
        <v>3.6</v>
      </c>
      <c r="W643" s="435">
        <f>PV_DATA[[#This Row],[QUANTITY]]/PV_DATA[[#This Row],[Qty/Pallet]]</f>
        <v>160</v>
      </c>
      <c r="X643" s="1040">
        <f>PV_DATA[[#This Row],[QUANTITY]]/PV_DATA[[#This Row],[Qty/CT]]</f>
        <v>8</v>
      </c>
      <c r="Y643" s="430" t="s">
        <v>2456</v>
      </c>
      <c r="Z643" s="430" t="str">
        <f t="shared" si="7"/>
        <v>COMPLETED</v>
      </c>
      <c r="AA643" s="430"/>
      <c r="AB643" s="437">
        <v>46185</v>
      </c>
      <c r="AC643" s="485">
        <f>IF(PV_DATA[[#This Row],[Pick- Up Date]]&lt;&gt;"",_xlfn.ISOWEEKNUM(PV_DATA[[#This Row],[Pick- Up Date]]),"")</f>
        <v>24</v>
      </c>
      <c r="AD643" s="430" t="s">
        <v>5072</v>
      </c>
      <c r="AE643" s="430"/>
      <c r="AF643" s="430" t="s">
        <v>122</v>
      </c>
      <c r="AG643" s="430" t="s">
        <v>123</v>
      </c>
      <c r="AH643" s="430" t="s">
        <v>105</v>
      </c>
      <c r="AI643" s="437">
        <v>46194</v>
      </c>
      <c r="AJ643" s="437">
        <v>46196</v>
      </c>
      <c r="AK643" s="437">
        <v>46196</v>
      </c>
      <c r="AL643" s="437">
        <v>46244</v>
      </c>
      <c r="AM643" s="586"/>
      <c r="AN643" s="586">
        <v>46249.489212962966</v>
      </c>
      <c r="AO643" s="430" t="s">
        <v>402</v>
      </c>
      <c r="AP643" s="430" t="s">
        <v>5073</v>
      </c>
      <c r="AQ643" s="430" t="s">
        <v>80</v>
      </c>
      <c r="AR643" s="430" t="s">
        <v>5074</v>
      </c>
      <c r="AS643" s="430" t="s">
        <v>5075</v>
      </c>
      <c r="AT643" s="430" t="s">
        <v>5075</v>
      </c>
      <c r="AU6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53.489212962966121</v>
      </c>
      <c r="AV643" s="437"/>
      <c r="AW643" s="437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46249.489212962966</v>
      </c>
      <c r="AX6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7">
        <f>IF(ISERROR(PV_DATA[[#This Row],[New Ark PO status]]),"",_xlfn.XLOOKUP(PV_DATA[[#This Row],[SPTN-PVHK New Ark PO'#]],New_Ark_Data[Purchase order Number],New_Ark_Data[Estimated time of arrival],"",0))</f>
        <v>46244</v>
      </c>
      <c r="AZ64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7">
        <f>IFERROR(PV_DATA[[#This Row],[ODP ETA Port]]+PV_DATA[[#This Row],[Customs/Leg3 Assumption]],"n/a")</f>
        <v>46249.489212962966</v>
      </c>
      <c r="BB643" s="433">
        <f>YEAR(PV_DATA[[#This Row],[ETA for New Ark update]])</f>
        <v>2026</v>
      </c>
      <c r="BC643" s="430">
        <f>MONTH(PV_DATA[[#This Row],[ETA for New Ark update]])</f>
        <v>8</v>
      </c>
      <c r="BD643" s="430">
        <f>IFERROR(_xlfn.ISOWEEKNUM(PV_DATA[[#This Row],[ETA for New Ark update]]),0)</f>
        <v>33</v>
      </c>
      <c r="BE643" s="430">
        <f>_xlfn.XLOOKUP(PV_DATA[[#This Row],[New Ark SKU]],Table9[New Ark SKU],Table9[Total PCS per Pallet],,0)</f>
        <v>36</v>
      </c>
      <c r="BF643" s="430">
        <f>_xlfn.XLOOKUP(PV_DATA[[#This Row],[New Ark SKU]],Table9[New Ark SKU],Table9[Total PCS per 40HQ Container],,0)</f>
        <v>720</v>
      </c>
      <c r="BG643" s="431" t="str">
        <f>_xlfn.XLOOKUP(PV_DATA[[#This Row],[New Ark SKU]],Table9[New Ark SKU],Table9[Back Glass],,0)</f>
        <v>Transparent</v>
      </c>
      <c r="BH643" s="430" t="str">
        <f>_xlfn.XLOOKUP(PV_DATA[[#This Row],[PORT DESTINATION]],Table12[PORT DESTINATION],Table12[Cosco Line],,0)</f>
        <v>AEU</v>
      </c>
      <c r="BJ643" s="430"/>
    </row>
    <row r="644" spans="1:62" ht="10.5">
      <c r="A644" s="462" t="s">
        <v>5076</v>
      </c>
      <c r="B644" s="462" t="s">
        <v>111</v>
      </c>
      <c r="C644" s="462" t="str">
        <f>IFERROR(LEFT(PV_DATA[[#This Row],[TCL REFERENCE]],FIND(".",PV_DATA[[#This Row],[TCL REFERENCE]],1)-1),"Main Line")</f>
        <v>26May012</v>
      </c>
      <c r="D644" s="462" t="s">
        <v>63</v>
      </c>
      <c r="E644" s="462" t="s">
        <v>64</v>
      </c>
      <c r="F644" s="462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2" t="s">
        <v>402</v>
      </c>
      <c r="H644" s="462" t="s">
        <v>67</v>
      </c>
      <c r="I644" s="462" t="s">
        <v>689</v>
      </c>
      <c r="J644" s="430" t="s">
        <v>96</v>
      </c>
      <c r="K644" s="430"/>
      <c r="L644" s="430"/>
      <c r="M644" s="430" t="s">
        <v>68</v>
      </c>
      <c r="N644" s="432">
        <v>46167</v>
      </c>
      <c r="O644" s="430" t="s">
        <v>4531</v>
      </c>
      <c r="P644" s="430" t="s">
        <v>4597</v>
      </c>
      <c r="Q644" s="430" t="s">
        <v>4598</v>
      </c>
      <c r="R644" s="430" t="str">
        <f>_xlfn.XLOOKUP(PV_DATA[[#This Row],[New Ark SKU]],Table9[New Ark SKU],Table9[Connector],,0)</f>
        <v>H4(Com)</v>
      </c>
      <c r="S644" s="442" t="str">
        <f>_xlfn.XLOOKUP(PV_DATA[[#This Row],[New Ark SKU]],Table9[New Ark SKU],Table9[Cable],,0)</f>
        <v>+400mm/-200mm</v>
      </c>
      <c r="T644" s="433">
        <v>630</v>
      </c>
      <c r="U644" s="1088">
        <f>720*4</f>
        <v>2880</v>
      </c>
      <c r="V644" s="434">
        <f>PV_DATA[[#This Row],[QUANTITY]]*PV_DATA[[#This Row],[WATT]]/1000000</f>
        <v>1.8144</v>
      </c>
      <c r="W644" s="435">
        <f>PV_DATA[[#This Row],[QUANTITY]]/PV_DATA[[#This Row],[Qty/Pallet]]</f>
        <v>80</v>
      </c>
      <c r="X644" s="1040">
        <f>PV_DATA[[#This Row],[QUANTITY]]/PV_DATA[[#This Row],[Qty/CT]]</f>
        <v>4</v>
      </c>
      <c r="Y644" s="430" t="s">
        <v>2456</v>
      </c>
      <c r="Z644" s="430" t="str">
        <f t="shared" si="7"/>
        <v>COMPLETED</v>
      </c>
      <c r="AA644" s="430" t="s">
        <v>4977</v>
      </c>
      <c r="AB644" s="437">
        <v>46187</v>
      </c>
      <c r="AC644" s="485">
        <f>IF(PV_DATA[[#This Row],[Pick- Up Date]]&lt;&gt;"",_xlfn.ISOWEEKNUM(PV_DATA[[#This Row],[Pick- Up Date]]),"")</f>
        <v>24</v>
      </c>
      <c r="AD644" s="430" t="s">
        <v>5077</v>
      </c>
      <c r="AE644" s="430"/>
      <c r="AF644" s="430" t="s">
        <v>122</v>
      </c>
      <c r="AG644" s="430" t="s">
        <v>123</v>
      </c>
      <c r="AH644" s="430" t="s">
        <v>78</v>
      </c>
      <c r="AI644" s="437">
        <v>46196</v>
      </c>
      <c r="AK644" s="437">
        <v>46198</v>
      </c>
      <c r="AL644" s="437">
        <v>46238</v>
      </c>
      <c r="AM644" s="441">
        <f>IFERROR(IF(VLOOKUP(AT644, Vessel!A:H, 8, FALSE)=0, "", VLOOKUP(AT644, Vessel!A:H, 8, FALSE)), "")</f>
        <v>46242.25</v>
      </c>
      <c r="AN644" s="586">
        <v>46242.239039351851</v>
      </c>
      <c r="AO644" s="430" t="s">
        <v>402</v>
      </c>
      <c r="AP644" s="430" t="s">
        <v>5078</v>
      </c>
      <c r="AQ644" s="430" t="s">
        <v>80</v>
      </c>
      <c r="AR644" s="430" t="s">
        <v>5079</v>
      </c>
      <c r="AS644" s="430" t="s">
        <v>5080</v>
      </c>
      <c r="AT644" s="430" t="s">
        <v>5080</v>
      </c>
      <c r="AU6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4" s="437"/>
      <c r="AW644" s="437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7">
        <f>IF(ISERROR(PV_DATA[[#This Row],[New Ark PO status]]),"",_xlfn.XLOOKUP(PV_DATA[[#This Row],[SPTN-PVHK New Ark PO'#]],New_Ark_Data[Purchase order Number],New_Ark_Data[Estimated time of arrival],"",0))</f>
        <v>46254</v>
      </c>
      <c r="AZ64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7">
        <f>IFERROR(PV_DATA[[#This Row],[ODP ETA Port]]+PV_DATA[[#This Row],[Customs/Leg3 Assumption]],"n/a")</f>
        <v>46250.239039351851</v>
      </c>
      <c r="BB644" s="433">
        <f>YEAR(PV_DATA[[#This Row],[ETA for New Ark update]])</f>
        <v>2026</v>
      </c>
      <c r="BC644" s="430">
        <f>MONTH(PV_DATA[[#This Row],[ETA for New Ark update]])</f>
        <v>8</v>
      </c>
      <c r="BD644" s="430">
        <f>IFERROR(_xlfn.ISOWEEKNUM(PV_DATA[[#This Row],[ETA for New Ark update]]),0)</f>
        <v>33</v>
      </c>
      <c r="BE644" s="430">
        <f>_xlfn.XLOOKUP(PV_DATA[[#This Row],[New Ark SKU]],Table9[New Ark SKU],Table9[Total PCS per Pallet],,0)</f>
        <v>36</v>
      </c>
      <c r="BF644" s="430">
        <f>_xlfn.XLOOKUP(PV_DATA[[#This Row],[New Ark SKU]],Table9[New Ark SKU],Table9[Total PCS per 40HQ Container],,0)</f>
        <v>720</v>
      </c>
      <c r="BG644" s="431" t="str">
        <f>_xlfn.XLOOKUP(PV_DATA[[#This Row],[New Ark SKU]],Table9[New Ark SKU],Table9[Back Glass],,0)</f>
        <v>Transparent</v>
      </c>
      <c r="BH644" s="430" t="str">
        <f>_xlfn.XLOOKUP(PV_DATA[[#This Row],[PORT DESTINATION]],Table12[PORT DESTINATION],Table12[Cosco Line],,0)</f>
        <v>AEM</v>
      </c>
      <c r="BJ644" s="430"/>
    </row>
    <row r="645" spans="1:62" ht="10.5">
      <c r="A645" s="462" t="s">
        <v>5081</v>
      </c>
      <c r="B645" s="462" t="s">
        <v>111</v>
      </c>
      <c r="C645" s="462" t="str">
        <f>IFERROR(LEFT(PV_DATA[[#This Row],[TCL REFERENCE]],FIND(".",PV_DATA[[#This Row],[TCL REFERENCE]],1)-1),"Main Line")</f>
        <v>26May012</v>
      </c>
      <c r="D645" s="462" t="s">
        <v>63</v>
      </c>
      <c r="E645" s="462" t="s">
        <v>64</v>
      </c>
      <c r="F645" s="462" t="s">
        <v>65</v>
      </c>
      <c r="G645" s="462" t="s">
        <v>402</v>
      </c>
      <c r="H645" s="462" t="s">
        <v>67</v>
      </c>
      <c r="I645" s="462" t="s">
        <v>689</v>
      </c>
      <c r="J645" s="430" t="s">
        <v>96</v>
      </c>
      <c r="K645" s="430"/>
      <c r="L645" s="430"/>
      <c r="M645" s="430" t="s">
        <v>68</v>
      </c>
      <c r="N645" s="432">
        <v>46167</v>
      </c>
      <c r="O645" s="430" t="s">
        <v>4531</v>
      </c>
      <c r="P645" s="430" t="s">
        <v>4597</v>
      </c>
      <c r="Q645" s="430" t="s">
        <v>4598</v>
      </c>
      <c r="R645" s="430" t="str">
        <f>_xlfn.XLOOKUP(PV_DATA[[#This Row],[New Ark SKU]],Table9[New Ark SKU],Table9[Connector],,0)</f>
        <v>H4(Com)</v>
      </c>
      <c r="S645" s="442" t="str">
        <f>_xlfn.XLOOKUP(PV_DATA[[#This Row],[New Ark SKU]],Table9[New Ark SKU],Table9[Cable],,0)</f>
        <v>+400mm/-200mm</v>
      </c>
      <c r="T645" s="433">
        <v>630</v>
      </c>
      <c r="U645" s="1088">
        <v>2160</v>
      </c>
      <c r="V645" s="434">
        <f>PV_DATA[[#This Row],[QUANTITY]]*PV_DATA[[#This Row],[WATT]]/1000000</f>
        <v>1.3608</v>
      </c>
      <c r="W645" s="435">
        <f>PV_DATA[[#This Row],[QUANTITY]]/PV_DATA[[#This Row],[Qty/Pallet]]</f>
        <v>60</v>
      </c>
      <c r="X645" s="1040">
        <v>3</v>
      </c>
      <c r="Y645" s="430" t="s">
        <v>2455</v>
      </c>
      <c r="Z645" s="430" t="str">
        <f t="shared" si="7"/>
        <v>COMPLETED</v>
      </c>
      <c r="AA645" s="545" t="s">
        <v>5082</v>
      </c>
      <c r="AB645" s="437">
        <v>46187</v>
      </c>
      <c r="AC645" s="485">
        <f>IF(PV_DATA[[#This Row],[Pick- Up Date]]&lt;&gt;"",_xlfn.ISOWEEKNUM(PV_DATA[[#This Row],[Pick- Up Date]]),"")</f>
        <v>24</v>
      </c>
      <c r="AD645" s="430" t="s">
        <v>5083</v>
      </c>
      <c r="AE645" s="430"/>
      <c r="AF645" s="430" t="s">
        <v>122</v>
      </c>
      <c r="AG645" s="430" t="s">
        <v>123</v>
      </c>
      <c r="AH645" s="430" t="s">
        <v>78</v>
      </c>
      <c r="AI645" s="437">
        <v>46196</v>
      </c>
      <c r="AK645" s="437">
        <v>46198</v>
      </c>
      <c r="AL645" s="437">
        <v>46238</v>
      </c>
      <c r="AM645" s="441">
        <f>IFERROR(IF(VLOOKUP(AT645, Vessel!A:H, 8, FALSE)=0, "", VLOOKUP(AT645, Vessel!A:H, 8, FALSE)), "")</f>
        <v>46242.25</v>
      </c>
      <c r="AN645" s="586">
        <v>46242.239039351851</v>
      </c>
      <c r="AO645" s="430" t="s">
        <v>402</v>
      </c>
      <c r="AP645" s="430" t="s">
        <v>5078</v>
      </c>
      <c r="AQ645" s="430" t="s">
        <v>80</v>
      </c>
      <c r="AR645" s="430" t="s">
        <v>5079</v>
      </c>
      <c r="AS645" s="430" t="s">
        <v>5080</v>
      </c>
      <c r="AT645" s="430" t="s">
        <v>5080</v>
      </c>
      <c r="AU6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5" s="437"/>
      <c r="AW645" s="437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7">
        <f>IF(ISERROR(PV_DATA[[#This Row],[New Ark PO status]]),"",_xlfn.XLOOKUP(PV_DATA[[#This Row],[SPTN-PVHK New Ark PO'#]],New_Ark_Data[Purchase order Number],New_Ark_Data[Estimated time of arrival],"",0))</f>
        <v>46254</v>
      </c>
      <c r="AZ6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7">
        <f>IFERROR(PV_DATA[[#This Row],[ODP ETA Port]]+PV_DATA[[#This Row],[Customs/Leg3 Assumption]],"n/a")</f>
        <v>46250.239039351851</v>
      </c>
      <c r="BB645" s="433">
        <f>YEAR(PV_DATA[[#This Row],[ETA for New Ark update]])</f>
        <v>2026</v>
      </c>
      <c r="BC645" s="430">
        <f>MONTH(PV_DATA[[#This Row],[ETA for New Ark update]])</f>
        <v>8</v>
      </c>
      <c r="BD645" s="430">
        <f>IFERROR(_xlfn.ISOWEEKNUM(PV_DATA[[#This Row],[ETA for New Ark update]]),0)</f>
        <v>33</v>
      </c>
      <c r="BE645" s="430">
        <f>_xlfn.XLOOKUP(PV_DATA[[#This Row],[New Ark SKU]],Table9[New Ark SKU],Table9[Total PCS per Pallet],,0)</f>
        <v>36</v>
      </c>
      <c r="BF645" s="430">
        <f>_xlfn.XLOOKUP(PV_DATA[[#This Row],[New Ark SKU]],Table9[New Ark SKU],Table9[Total PCS per 40HQ Container],,0)</f>
        <v>720</v>
      </c>
      <c r="BG645" s="431" t="str">
        <f>_xlfn.XLOOKUP(PV_DATA[[#This Row],[New Ark SKU]],Table9[New Ark SKU],Table9[Back Glass],,0)</f>
        <v>Transparent</v>
      </c>
      <c r="BH645" s="430" t="str">
        <f>_xlfn.XLOOKUP(PV_DATA[[#This Row],[PORT DESTINATION]],Table12[PORT DESTINATION],Table12[Cosco Line],,0)</f>
        <v>AEM</v>
      </c>
      <c r="BJ645" s="430"/>
    </row>
    <row r="646" spans="1:62" ht="12" customHeight="1">
      <c r="A646" s="462" t="s">
        <v>5084</v>
      </c>
      <c r="B646" s="462" t="s">
        <v>111</v>
      </c>
      <c r="C646" s="462" t="str">
        <f>IFERROR(LEFT(PV_DATA[[#This Row],[TCL REFERENCE]],FIND(".",PV_DATA[[#This Row],[TCL REFERENCE]],1)-1),"Main Line")</f>
        <v>26May012</v>
      </c>
      <c r="D646" s="462" t="s">
        <v>63</v>
      </c>
      <c r="E646" s="462" t="s">
        <v>64</v>
      </c>
      <c r="F646" s="462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2" t="s">
        <v>402</v>
      </c>
      <c r="H646" s="713" t="s">
        <v>67</v>
      </c>
      <c r="I646" s="462" t="s">
        <v>689</v>
      </c>
      <c r="J646" s="430" t="s">
        <v>96</v>
      </c>
      <c r="K646" s="430"/>
      <c r="L646" s="430"/>
      <c r="M646" s="430" t="s">
        <v>68</v>
      </c>
      <c r="N646" s="432">
        <v>46167</v>
      </c>
      <c r="O646" s="430" t="s">
        <v>4531</v>
      </c>
      <c r="P646" s="430" t="s">
        <v>4597</v>
      </c>
      <c r="Q646" s="430" t="s">
        <v>4598</v>
      </c>
      <c r="R646" s="430" t="str">
        <f>_xlfn.XLOOKUP(PV_DATA[[#This Row],[New Ark SKU]],Table9[New Ark SKU],Table9[Connector],,0)</f>
        <v>H4(Com)</v>
      </c>
      <c r="S646" s="442" t="str">
        <f>_xlfn.XLOOKUP(PV_DATA[[#This Row],[New Ark SKU]],Table9[New Ark SKU],Table9[Cable],,0)</f>
        <v>+400mm/-200mm</v>
      </c>
      <c r="T646" s="433">
        <v>630</v>
      </c>
      <c r="U646" s="1088">
        <v>2160</v>
      </c>
      <c r="V646" s="434">
        <f>PV_DATA[[#This Row],[QUANTITY]]*PV_DATA[[#This Row],[WATT]]/1000000</f>
        <v>1.3608</v>
      </c>
      <c r="W646" s="435">
        <f>PV_DATA[[#This Row],[QUANTITY]]/PV_DATA[[#This Row],[Qty/Pallet]]</f>
        <v>60</v>
      </c>
      <c r="X646" s="1040">
        <f>PV_DATA[[#This Row],[QUANTITY]]/PV_DATA[[#This Row],[Qty/CT]]</f>
        <v>3</v>
      </c>
      <c r="Y646" s="430" t="s">
        <v>2455</v>
      </c>
      <c r="Z646" s="430" t="str">
        <f t="shared" si="7"/>
        <v>COMPLETED</v>
      </c>
      <c r="AA646" s="430" t="s">
        <v>5082</v>
      </c>
      <c r="AB646" s="437">
        <v>46187</v>
      </c>
      <c r="AC646" s="485">
        <f>IF(PV_DATA[[#This Row],[Pick- Up Date]]&lt;&gt;"",_xlfn.ISOWEEKNUM(PV_DATA[[#This Row],[Pick- Up Date]]),"")</f>
        <v>24</v>
      </c>
      <c r="AD646" s="430" t="s">
        <v>5085</v>
      </c>
      <c r="AE646" s="430"/>
      <c r="AF646" s="430" t="s">
        <v>122</v>
      </c>
      <c r="AG646" s="430" t="s">
        <v>123</v>
      </c>
      <c r="AH646" s="430" t="s">
        <v>78</v>
      </c>
      <c r="AI646" s="437">
        <v>46199</v>
      </c>
      <c r="AJ646" s="437">
        <v>46201</v>
      </c>
      <c r="AK646" s="437">
        <v>46201</v>
      </c>
      <c r="AL646" s="437">
        <v>46251</v>
      </c>
      <c r="AM646" s="586"/>
      <c r="AN646" s="586">
        <v>46259.238761574074</v>
      </c>
      <c r="AO646" s="430" t="s">
        <v>402</v>
      </c>
      <c r="AP646" s="430" t="s">
        <v>5086</v>
      </c>
      <c r="AQ646" s="430" t="s">
        <v>80</v>
      </c>
      <c r="AR646" s="430" t="s">
        <v>5087</v>
      </c>
      <c r="AS646" s="430" t="s">
        <v>5088</v>
      </c>
      <c r="AT646" s="430" t="s">
        <v>5088</v>
      </c>
      <c r="AU6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6" s="437"/>
      <c r="AW646" s="437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6" s="437">
        <f>IF(ISERROR(PV_DATA[[#This Row],[New Ark PO status]]),"",_xlfn.XLOOKUP(PV_DATA[[#This Row],[SPTN-PVHK New Ark PO'#]],New_Ark_Data[Purchase order Number],New_Ark_Data[Estimated time of arrival],"",0))</f>
        <v>46272</v>
      </c>
      <c r="AZ64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7">
        <f>IFERROR(PV_DATA[[#This Row],[ODP ETA Port]]+PV_DATA[[#This Row],[Customs/Leg3 Assumption]],"n/a")</f>
        <v>46267.238761574074</v>
      </c>
      <c r="BB646" s="433">
        <f>YEAR(PV_DATA[[#This Row],[ETA for New Ark update]])</f>
        <v>2026</v>
      </c>
      <c r="BC646" s="430">
        <f>MONTH(PV_DATA[[#This Row],[ETA for New Ark update]])</f>
        <v>9</v>
      </c>
      <c r="BD646" s="430">
        <f>IFERROR(_xlfn.ISOWEEKNUM(PV_DATA[[#This Row],[ETA for New Ark update]]),0)</f>
        <v>36</v>
      </c>
      <c r="BE646" s="430">
        <f>_xlfn.XLOOKUP(PV_DATA[[#This Row],[New Ark SKU]],Table9[New Ark SKU],Table9[Total PCS per Pallet],,0)</f>
        <v>36</v>
      </c>
      <c r="BF646" s="430">
        <f>_xlfn.XLOOKUP(PV_DATA[[#This Row],[New Ark SKU]],Table9[New Ark SKU],Table9[Total PCS per 40HQ Container],,0)</f>
        <v>720</v>
      </c>
      <c r="BG646" s="431" t="str">
        <f>_xlfn.XLOOKUP(PV_DATA[[#This Row],[New Ark SKU]],Table9[New Ark SKU],Table9[Back Glass],,0)</f>
        <v>Transparent</v>
      </c>
      <c r="BH646" s="430" t="str">
        <f>_xlfn.XLOOKUP(PV_DATA[[#This Row],[PORT DESTINATION]],Table12[PORT DESTINATION],Table12[Cosco Line],,0)</f>
        <v>AEM</v>
      </c>
      <c r="BJ646" s="430"/>
    </row>
    <row r="647" spans="1:62" ht="12.5">
      <c r="A647" s="462" t="s">
        <v>5089</v>
      </c>
      <c r="B647" s="462" t="s">
        <v>4921</v>
      </c>
      <c r="C647" s="462" t="str">
        <f>IFERROR(LEFT(PV_DATA[[#This Row],[TCL REFERENCE]],FIND(".",PV_DATA[[#This Row],[TCL REFERENCE]],1)-1),"Main Line")</f>
        <v>26Jun008</v>
      </c>
      <c r="D647" s="462" t="s">
        <v>63</v>
      </c>
      <c r="E647" s="462" t="s">
        <v>64</v>
      </c>
      <c r="F647" s="462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2" t="s">
        <v>402</v>
      </c>
      <c r="H647" s="462" t="s">
        <v>67</v>
      </c>
      <c r="I647" s="462" t="s">
        <v>689</v>
      </c>
      <c r="J647" s="430" t="s">
        <v>1047</v>
      </c>
      <c r="K647" s="1020"/>
      <c r="L647" s="430"/>
      <c r="M647" s="430" t="s">
        <v>68</v>
      </c>
      <c r="N647" s="432">
        <v>46188</v>
      </c>
      <c r="O647" s="430" t="s">
        <v>4531</v>
      </c>
      <c r="P647" s="430" t="s">
        <v>5090</v>
      </c>
      <c r="Q647" s="430" t="s">
        <v>330</v>
      </c>
      <c r="R647" s="430" t="str">
        <f>_xlfn.XLOOKUP(PV_DATA[[#This Row],[New Ark SKU]],Table9[New Ark SKU],Table9[Connector],,0)</f>
        <v>H4(Com)</v>
      </c>
      <c r="S647" s="442" t="str">
        <f>_xlfn.XLOOKUP(PV_DATA[[#This Row],[New Ark SKU]],Table9[New Ark SKU],Table9[Cable],,0)</f>
        <v>±1400mm</v>
      </c>
      <c r="T647" s="433">
        <v>625</v>
      </c>
      <c r="U647" s="1088">
        <f>720*1</f>
        <v>720</v>
      </c>
      <c r="V647" s="434">
        <f>PV_DATA[[#This Row],[QUANTITY]]*PV_DATA[[#This Row],[WATT]]/1000000</f>
        <v>0.45</v>
      </c>
      <c r="W647" s="435">
        <f>PV_DATA[[#This Row],[QUANTITY]]/PV_DATA[[#This Row],[Qty/Pallet]]</f>
        <v>20</v>
      </c>
      <c r="X647" s="1040">
        <f>PV_DATA[[#This Row],[QUANTITY]]/PV_DATA[[#This Row],[Qty/CT]]</f>
        <v>1</v>
      </c>
      <c r="Y647" s="430" t="s">
        <v>2456</v>
      </c>
      <c r="Z647" s="430" t="str">
        <f t="shared" si="7"/>
        <v>COMPLETED</v>
      </c>
      <c r="AA647" s="430" t="s">
        <v>5091</v>
      </c>
      <c r="AB647" s="437">
        <v>46193</v>
      </c>
      <c r="AC647" s="485">
        <f>IF(PV_DATA[[#This Row],[Pick- Up Date]]&lt;&gt;"",_xlfn.ISOWEEKNUM(PV_DATA[[#This Row],[Pick- Up Date]]),"")</f>
        <v>25</v>
      </c>
      <c r="AD647" s="430" t="s">
        <v>5092</v>
      </c>
      <c r="AE647" s="430"/>
      <c r="AF647" s="430" t="s">
        <v>122</v>
      </c>
      <c r="AG647" s="430" t="s">
        <v>123</v>
      </c>
      <c r="AH647" s="430" t="s">
        <v>78</v>
      </c>
      <c r="AI647" s="437">
        <v>46199</v>
      </c>
      <c r="AJ647" s="437">
        <v>46201</v>
      </c>
      <c r="AK647" s="437">
        <v>46201</v>
      </c>
      <c r="AL647" s="437">
        <v>46251</v>
      </c>
      <c r="AM647" s="586"/>
      <c r="AN647" s="586">
        <v>46259.238761574074</v>
      </c>
      <c r="AO647" s="430" t="s">
        <v>402</v>
      </c>
      <c r="AP647" s="430" t="s">
        <v>5086</v>
      </c>
      <c r="AQ647" s="430" t="s">
        <v>80</v>
      </c>
      <c r="AR647" s="430" t="s">
        <v>5093</v>
      </c>
      <c r="AS647" s="430" t="s">
        <v>5094</v>
      </c>
      <c r="AT647" s="430" t="s">
        <v>5094</v>
      </c>
      <c r="AU6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7" s="437"/>
      <c r="AW647" s="437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7" s="437">
        <f>IF(ISERROR(PV_DATA[[#This Row],[New Ark PO status]]),"",_xlfn.XLOOKUP(PV_DATA[[#This Row],[SPTN-PVHK New Ark PO'#]],New_Ark_Data[Purchase order Number],New_Ark_Data[Estimated time of arrival],"",0))</f>
        <v>46272</v>
      </c>
      <c r="AZ6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7">
        <f>IFERROR(PV_DATA[[#This Row],[ODP ETA Port]]+PV_DATA[[#This Row],[Customs/Leg3 Assumption]],"n/a")</f>
        <v>46267.238761574074</v>
      </c>
      <c r="BB647" s="433">
        <f>YEAR(PV_DATA[[#This Row],[ETA for New Ark update]])</f>
        <v>2026</v>
      </c>
      <c r="BC647" s="430">
        <f>MONTH(PV_DATA[[#This Row],[ETA for New Ark update]])</f>
        <v>9</v>
      </c>
      <c r="BD647" s="430">
        <f>IFERROR(_xlfn.ISOWEEKNUM(PV_DATA[[#This Row],[ETA for New Ark update]]),0)</f>
        <v>36</v>
      </c>
      <c r="BE647" s="430">
        <f>_xlfn.XLOOKUP(PV_DATA[[#This Row],[New Ark SKU]],Table9[New Ark SKU],Table9[Total PCS per Pallet],,0)</f>
        <v>36</v>
      </c>
      <c r="BF647" s="430">
        <f>_xlfn.XLOOKUP(PV_DATA[[#This Row],[New Ark SKU]],Table9[New Ark SKU],Table9[Total PCS per 40HQ Container],,0)</f>
        <v>720</v>
      </c>
      <c r="BG647" s="431" t="str">
        <f>_xlfn.XLOOKUP(PV_DATA[[#This Row],[New Ark SKU]],Table9[New Ark SKU],Table9[Back Glass],,0)</f>
        <v>Transparent</v>
      </c>
      <c r="BH647" s="430" t="str">
        <f>_xlfn.XLOOKUP(PV_DATA[[#This Row],[PORT DESTINATION]],Table12[PORT DESTINATION],Table12[Cosco Line],,0)</f>
        <v>AEM</v>
      </c>
      <c r="BJ647" s="430"/>
    </row>
    <row r="648" spans="1:62" ht="10.5">
      <c r="A648" s="462" t="s">
        <v>5095</v>
      </c>
      <c r="B648" s="462" t="s">
        <v>5096</v>
      </c>
      <c r="C648" s="462" t="str">
        <f>IFERROR(LEFT(PV_DATA[[#This Row],[TCL REFERENCE]],FIND(".",PV_DATA[[#This Row],[TCL REFERENCE]],1)-1),"Main Line")</f>
        <v>26Jun008</v>
      </c>
      <c r="D648" s="462" t="s">
        <v>63</v>
      </c>
      <c r="E648" s="462" t="s">
        <v>64</v>
      </c>
      <c r="F648" s="462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2" t="s">
        <v>402</v>
      </c>
      <c r="H648" s="462" t="s">
        <v>67</v>
      </c>
      <c r="I648" s="462" t="s">
        <v>689</v>
      </c>
      <c r="J648" s="430" t="s">
        <v>1047</v>
      </c>
      <c r="K648" s="430"/>
      <c r="L648" s="430"/>
      <c r="M648" s="430" t="s">
        <v>68</v>
      </c>
      <c r="N648" s="432">
        <v>46188</v>
      </c>
      <c r="O648" s="430" t="s">
        <v>4531</v>
      </c>
      <c r="P648" s="430" t="s">
        <v>5090</v>
      </c>
      <c r="Q648" s="430" t="s">
        <v>330</v>
      </c>
      <c r="R648" s="430" t="str">
        <f>_xlfn.XLOOKUP(PV_DATA[[#This Row],[New Ark SKU]],Table9[New Ark SKU],Table9[Connector],,0)</f>
        <v>H4(Com)</v>
      </c>
      <c r="S648" s="442" t="str">
        <f>_xlfn.XLOOKUP(PV_DATA[[#This Row],[New Ark SKU]],Table9[New Ark SKU],Table9[Cable],,0)</f>
        <v>±1400mm</v>
      </c>
      <c r="T648" s="433">
        <v>625</v>
      </c>
      <c r="U648" s="1088">
        <f>720*2</f>
        <v>1440</v>
      </c>
      <c r="V648" s="434">
        <f>PV_DATA[[#This Row],[QUANTITY]]*PV_DATA[[#This Row],[WATT]]/1000000</f>
        <v>0.9</v>
      </c>
      <c r="W648" s="435">
        <f>PV_DATA[[#This Row],[QUANTITY]]/PV_DATA[[#This Row],[Qty/Pallet]]</f>
        <v>40</v>
      </c>
      <c r="X648" s="1040">
        <f>PV_DATA[[#This Row],[QUANTITY]]/PV_DATA[[#This Row],[Qty/CT]]</f>
        <v>2</v>
      </c>
      <c r="Y648" s="430" t="s">
        <v>2456</v>
      </c>
      <c r="Z648" s="430" t="str">
        <f t="shared" si="7"/>
        <v>COMPLETED</v>
      </c>
      <c r="AA648" s="430" t="s">
        <v>5097</v>
      </c>
      <c r="AB648" s="437">
        <v>46193</v>
      </c>
      <c r="AC648" s="485">
        <f>IF(PV_DATA[[#This Row],[Pick- Up Date]]&lt;&gt;"",_xlfn.ISOWEEKNUM(PV_DATA[[#This Row],[Pick- Up Date]]),"")</f>
        <v>25</v>
      </c>
      <c r="AD648" s="430" t="s">
        <v>5098</v>
      </c>
      <c r="AE648" s="430"/>
      <c r="AF648" s="430" t="s">
        <v>122</v>
      </c>
      <c r="AG648" s="430" t="s">
        <v>123</v>
      </c>
      <c r="AH648" s="430" t="s">
        <v>78</v>
      </c>
      <c r="AI648" s="437">
        <v>46199</v>
      </c>
      <c r="AJ648" s="437">
        <v>46201</v>
      </c>
      <c r="AK648" s="437">
        <v>46201</v>
      </c>
      <c r="AL648" s="437">
        <v>46251</v>
      </c>
      <c r="AM648" s="586"/>
      <c r="AN648" s="586">
        <v>46259.238761574074</v>
      </c>
      <c r="AO648" s="430" t="s">
        <v>402</v>
      </c>
      <c r="AP648" s="430" t="s">
        <v>5086</v>
      </c>
      <c r="AQ648" s="430" t="s">
        <v>80</v>
      </c>
      <c r="AR648" s="430" t="s">
        <v>5093</v>
      </c>
      <c r="AS648" s="430" t="s">
        <v>5094</v>
      </c>
      <c r="AT648" s="430" t="s">
        <v>5094</v>
      </c>
      <c r="AU6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8" s="437"/>
      <c r="AW648" s="437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8" s="437">
        <f>IF(ISERROR(PV_DATA[[#This Row],[New Ark PO status]]),"",_xlfn.XLOOKUP(PV_DATA[[#This Row],[SPTN-PVHK New Ark PO'#]],New_Ark_Data[Purchase order Number],New_Ark_Data[Estimated time of arrival],"",0))</f>
        <v>46272</v>
      </c>
      <c r="AZ64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7">
        <f>IFERROR(PV_DATA[[#This Row],[ODP ETA Port]]+PV_DATA[[#This Row],[Customs/Leg3 Assumption]],"n/a")</f>
        <v>46267.238761574074</v>
      </c>
      <c r="BB648" s="433">
        <f>YEAR(PV_DATA[[#This Row],[ETA for New Ark update]])</f>
        <v>2026</v>
      </c>
      <c r="BC648" s="430">
        <f>MONTH(PV_DATA[[#This Row],[ETA for New Ark update]])</f>
        <v>9</v>
      </c>
      <c r="BD648" s="430">
        <f>IFERROR(_xlfn.ISOWEEKNUM(PV_DATA[[#This Row],[ETA for New Ark update]]),0)</f>
        <v>36</v>
      </c>
      <c r="BE648" s="430">
        <f>_xlfn.XLOOKUP(PV_DATA[[#This Row],[New Ark SKU]],Table9[New Ark SKU],Table9[Total PCS per Pallet],,0)</f>
        <v>36</v>
      </c>
      <c r="BF648" s="430">
        <f>_xlfn.XLOOKUP(PV_DATA[[#This Row],[New Ark SKU]],Table9[New Ark SKU],Table9[Total PCS per 40HQ Container],,0)</f>
        <v>720</v>
      </c>
      <c r="BG648" s="431" t="str">
        <f>_xlfn.XLOOKUP(PV_DATA[[#This Row],[New Ark SKU]],Table9[New Ark SKU],Table9[Back Glass],,0)</f>
        <v>Transparent</v>
      </c>
      <c r="BH648" s="430" t="str">
        <f>_xlfn.XLOOKUP(PV_DATA[[#This Row],[PORT DESTINATION]],Table12[PORT DESTINATION],Table12[Cosco Line],,0)</f>
        <v>AEM</v>
      </c>
      <c r="BJ648" s="430"/>
    </row>
    <row r="649" spans="1:62" ht="10.5">
      <c r="A649" s="462" t="s">
        <v>5099</v>
      </c>
      <c r="B649" s="462" t="s">
        <v>111</v>
      </c>
      <c r="C649" s="462" t="str">
        <f>IFERROR(LEFT(PV_DATA[[#This Row],[TCL REFERENCE]],FIND(".",PV_DATA[[#This Row],[TCL REFERENCE]],1)-1),"Main Line")</f>
        <v>26Jun003</v>
      </c>
      <c r="D649" s="462" t="s">
        <v>63</v>
      </c>
      <c r="E649" s="462" t="s">
        <v>64</v>
      </c>
      <c r="F649" s="462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2" t="s">
        <v>402</v>
      </c>
      <c r="H649" s="462" t="s">
        <v>67</v>
      </c>
      <c r="I649" s="462" t="s">
        <v>689</v>
      </c>
      <c r="J649" s="430" t="s">
        <v>96</v>
      </c>
      <c r="K649" s="430"/>
      <c r="L649" s="430"/>
      <c r="M649" s="430" t="s">
        <v>68</v>
      </c>
      <c r="N649" s="432">
        <v>46188</v>
      </c>
      <c r="O649" s="430" t="s">
        <v>132</v>
      </c>
      <c r="P649" s="430" t="s">
        <v>189</v>
      </c>
      <c r="Q649" s="430" t="s">
        <v>190</v>
      </c>
      <c r="R649" s="430" t="str">
        <f>_xlfn.XLOOKUP(PV_DATA[[#This Row],[New Ark SKU]],Table9[New Ark SKU],Table9[Connector],,0)</f>
        <v>EVO2A</v>
      </c>
      <c r="S649" s="442" t="str">
        <f>_xlfn.XLOOKUP(PV_DATA[[#This Row],[New Ark SKU]],Table9[New Ark SKU],Table9[Cable],,0)</f>
        <v>±1200mm</v>
      </c>
      <c r="T649" s="433">
        <v>465</v>
      </c>
      <c r="U649" s="1088">
        <f>864*5</f>
        <v>4320</v>
      </c>
      <c r="V649" s="434">
        <f>PV_DATA[[#This Row],[QUANTITY]]*PV_DATA[[#This Row],[WATT]]/1000000</f>
        <v>2.0087999999999999</v>
      </c>
      <c r="W649" s="435">
        <f>PV_DATA[[#This Row],[QUANTITY]]/PV_DATA[[#This Row],[Qty/Pallet]]</f>
        <v>120</v>
      </c>
      <c r="X649" s="1040">
        <f>PV_DATA[[#This Row],[QUANTITY]]/PV_DATA[[#This Row],[Qty/CT]]</f>
        <v>5</v>
      </c>
      <c r="Y649" s="430" t="s">
        <v>2456</v>
      </c>
      <c r="Z649" s="430" t="str">
        <f t="shared" si="7"/>
        <v>COMPLETED</v>
      </c>
      <c r="AA649" s="430" t="s">
        <v>5038</v>
      </c>
      <c r="AB649" s="437">
        <v>46192</v>
      </c>
      <c r="AC649" s="485">
        <f>IF(PV_DATA[[#This Row],[Pick- Up Date]]&lt;&gt;"",_xlfn.ISOWEEKNUM(PV_DATA[[#This Row],[Pick- Up Date]]),"")</f>
        <v>25</v>
      </c>
      <c r="AD649" s="430" t="s">
        <v>5100</v>
      </c>
      <c r="AE649" s="430"/>
      <c r="AF649" s="430" t="s">
        <v>122</v>
      </c>
      <c r="AG649" s="430" t="s">
        <v>123</v>
      </c>
      <c r="AH649" s="430" t="s">
        <v>78</v>
      </c>
      <c r="AI649" s="437">
        <v>46199</v>
      </c>
      <c r="AJ649" s="437">
        <v>46201</v>
      </c>
      <c r="AK649" s="437">
        <v>46201</v>
      </c>
      <c r="AL649" s="437">
        <v>46251</v>
      </c>
      <c r="AM649" s="586"/>
      <c r="AN649" s="586">
        <v>46259.238761574074</v>
      </c>
      <c r="AO649" s="430" t="s">
        <v>402</v>
      </c>
      <c r="AP649" s="430" t="s">
        <v>5086</v>
      </c>
      <c r="AQ649" s="430" t="s">
        <v>80</v>
      </c>
      <c r="AR649" s="430" t="s">
        <v>5093</v>
      </c>
      <c r="AS649" s="430" t="s">
        <v>5094</v>
      </c>
      <c r="AT649" s="430" t="s">
        <v>5094</v>
      </c>
      <c r="AU6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9" s="437"/>
      <c r="AW649" s="437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9" s="437">
        <f>IF(ISERROR(PV_DATA[[#This Row],[New Ark PO status]]),"",_xlfn.XLOOKUP(PV_DATA[[#This Row],[SPTN-PVHK New Ark PO'#]],New_Ark_Data[Purchase order Number],New_Ark_Data[Estimated time of arrival],"",0))</f>
        <v>46272</v>
      </c>
      <c r="AZ64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7">
        <f>IFERROR(PV_DATA[[#This Row],[ODP ETA Port]]+PV_DATA[[#This Row],[Customs/Leg3 Assumption]],"n/a")</f>
        <v>46267.238761574074</v>
      </c>
      <c r="BB649" s="433">
        <f>YEAR(PV_DATA[[#This Row],[ETA for New Ark update]])</f>
        <v>2026</v>
      </c>
      <c r="BC649" s="430">
        <f>MONTH(PV_DATA[[#This Row],[ETA for New Ark update]])</f>
        <v>9</v>
      </c>
      <c r="BD649" s="430">
        <f>IFERROR(_xlfn.ISOWEEKNUM(PV_DATA[[#This Row],[ETA for New Ark update]]),0)</f>
        <v>36</v>
      </c>
      <c r="BE649" s="430">
        <f>_xlfn.XLOOKUP(PV_DATA[[#This Row],[New Ark SKU]],Table9[New Ark SKU],Table9[Total PCS per Pallet],,0)</f>
        <v>36</v>
      </c>
      <c r="BF649" s="430">
        <f>_xlfn.XLOOKUP(PV_DATA[[#This Row],[New Ark SKU]],Table9[New Ark SKU],Table9[Total PCS per 40HQ Container],,0)</f>
        <v>864</v>
      </c>
      <c r="BG649" s="431" t="str">
        <f>_xlfn.XLOOKUP(PV_DATA[[#This Row],[New Ark SKU]],Table9[New Ark SKU],Table9[Back Glass],,0)</f>
        <v>White glazing</v>
      </c>
      <c r="BH649" s="430" t="str">
        <f>_xlfn.XLOOKUP(PV_DATA[[#This Row],[PORT DESTINATION]],Table12[PORT DESTINATION],Table12[Cosco Line],,0)</f>
        <v>AEM</v>
      </c>
      <c r="BJ649" s="430"/>
    </row>
    <row r="650" spans="1:62" ht="10.5">
      <c r="A650" s="462" t="s">
        <v>5101</v>
      </c>
      <c r="B650" s="462" t="s">
        <v>2132</v>
      </c>
      <c r="C650" s="462" t="str">
        <f>IFERROR(LEFT(PV_DATA[[#This Row],[TCL REFERENCE]],FIND(".",PV_DATA[[#This Row],[TCL REFERENCE]],1)-1),"Main Line")</f>
        <v>26Jun007</v>
      </c>
      <c r="D650" s="462" t="s">
        <v>63</v>
      </c>
      <c r="E650" s="462" t="s">
        <v>64</v>
      </c>
      <c r="F650" s="462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2" t="s">
        <v>402</v>
      </c>
      <c r="H650" s="462" t="s">
        <v>67</v>
      </c>
      <c r="I650" s="462" t="s">
        <v>689</v>
      </c>
      <c r="J650" s="430" t="s">
        <v>1047</v>
      </c>
      <c r="K650" s="430"/>
      <c r="L650" s="430"/>
      <c r="M650" s="430" t="s">
        <v>68</v>
      </c>
      <c r="N650" s="432">
        <v>46188</v>
      </c>
      <c r="O650" s="430" t="s">
        <v>4531</v>
      </c>
      <c r="P650" s="430" t="s">
        <v>5102</v>
      </c>
      <c r="Q650" s="430" t="s">
        <v>103</v>
      </c>
      <c r="R650" s="430" t="str">
        <f>_xlfn.XLOOKUP(PV_DATA[[#This Row],[New Ark SKU]],Table9[New Ark SKU],Table9[Connector],,0)</f>
        <v>H4(Com)</v>
      </c>
      <c r="S650" s="442" t="str">
        <f>_xlfn.XLOOKUP(PV_DATA[[#This Row],[New Ark SKU]],Table9[New Ark SKU],Table9[Cable],,0)</f>
        <v>±1400mm</v>
      </c>
      <c r="T650" s="433">
        <v>620</v>
      </c>
      <c r="U650" s="1088">
        <f>720*6</f>
        <v>4320</v>
      </c>
      <c r="V650" s="434">
        <f>PV_DATA[[#This Row],[QUANTITY]]*PV_DATA[[#This Row],[WATT]]/1000000</f>
        <v>2.6783999999999999</v>
      </c>
      <c r="W650" s="435">
        <f>PV_DATA[[#This Row],[QUANTITY]]/PV_DATA[[#This Row],[Qty/Pallet]]</f>
        <v>120</v>
      </c>
      <c r="X650" s="1040">
        <f>PV_DATA[[#This Row],[QUANTITY]]/PV_DATA[[#This Row],[Qty/CT]]</f>
        <v>6</v>
      </c>
      <c r="Y650" s="430" t="s">
        <v>2456</v>
      </c>
      <c r="Z650" s="430" t="str">
        <f t="shared" si="7"/>
        <v>COMPLETED</v>
      </c>
      <c r="AA650" s="430" t="s">
        <v>5038</v>
      </c>
      <c r="AB650" s="437">
        <v>46194</v>
      </c>
      <c r="AC650" s="485">
        <f>IF(PV_DATA[[#This Row],[Pick- Up Date]]&lt;&gt;"",_xlfn.ISOWEEKNUM(PV_DATA[[#This Row],[Pick- Up Date]]),"")</f>
        <v>25</v>
      </c>
      <c r="AD650" s="430" t="s">
        <v>5103</v>
      </c>
      <c r="AE650" s="430"/>
      <c r="AF650" s="430" t="s">
        <v>122</v>
      </c>
      <c r="AG650" s="430" t="s">
        <v>123</v>
      </c>
      <c r="AH650" s="430" t="s">
        <v>78</v>
      </c>
      <c r="AI650" s="437">
        <v>46199</v>
      </c>
      <c r="AJ650" s="437">
        <v>46201</v>
      </c>
      <c r="AK650" s="437">
        <v>46201</v>
      </c>
      <c r="AL650" s="437">
        <v>46251</v>
      </c>
      <c r="AM650" s="586"/>
      <c r="AN650" s="586">
        <v>46259.238761574074</v>
      </c>
      <c r="AO650" s="430" t="s">
        <v>402</v>
      </c>
      <c r="AP650" s="430" t="s">
        <v>5086</v>
      </c>
      <c r="AQ650" s="430" t="s">
        <v>80</v>
      </c>
      <c r="AR650" s="430" t="s">
        <v>5104</v>
      </c>
      <c r="AS650" s="430" t="s">
        <v>5105</v>
      </c>
      <c r="AT650" s="430" t="s">
        <v>5105</v>
      </c>
      <c r="AU6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0" s="437"/>
      <c r="AW650" s="437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0" s="437">
        <f>IF(ISERROR(PV_DATA[[#This Row],[New Ark PO status]]),"",_xlfn.XLOOKUP(PV_DATA[[#This Row],[SPTN-PVHK New Ark PO'#]],New_Ark_Data[Purchase order Number],New_Ark_Data[Estimated time of arrival],"",0))</f>
        <v>46272</v>
      </c>
      <c r="AZ65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7">
        <f>IFERROR(PV_DATA[[#This Row],[ODP ETA Port]]+PV_DATA[[#This Row],[Customs/Leg3 Assumption]],"n/a")</f>
        <v>46267.238761574074</v>
      </c>
      <c r="BB650" s="433">
        <f>YEAR(PV_DATA[[#This Row],[ETA for New Ark update]])</f>
        <v>2026</v>
      </c>
      <c r="BC650" s="430">
        <f>MONTH(PV_DATA[[#This Row],[ETA for New Ark update]])</f>
        <v>9</v>
      </c>
      <c r="BD650" s="430">
        <f>IFERROR(_xlfn.ISOWEEKNUM(PV_DATA[[#This Row],[ETA for New Ark update]]),0)</f>
        <v>36</v>
      </c>
      <c r="BE650" s="430">
        <f>_xlfn.XLOOKUP(PV_DATA[[#This Row],[New Ark SKU]],Table9[New Ark SKU],Table9[Total PCS per Pallet],,0)</f>
        <v>36</v>
      </c>
      <c r="BF650" s="430">
        <f>_xlfn.XLOOKUP(PV_DATA[[#This Row],[New Ark SKU]],Table9[New Ark SKU],Table9[Total PCS per 40HQ Container],,0)</f>
        <v>720</v>
      </c>
      <c r="BG650" s="431" t="str">
        <f>_xlfn.XLOOKUP(PV_DATA[[#This Row],[New Ark SKU]],Table9[New Ark SKU],Table9[Back Glass],,0)</f>
        <v>Transparent</v>
      </c>
      <c r="BH650" s="430" t="str">
        <f>_xlfn.XLOOKUP(PV_DATA[[#This Row],[PORT DESTINATION]],Table12[PORT DESTINATION],Table12[Cosco Line],,0)</f>
        <v>AEM</v>
      </c>
      <c r="BJ650" s="430"/>
    </row>
    <row r="651" spans="1:62" ht="10.5">
      <c r="A651" s="462" t="s">
        <v>5106</v>
      </c>
      <c r="B651" s="462" t="s">
        <v>111</v>
      </c>
      <c r="C651" s="462" t="str">
        <f>IFERROR(LEFT(PV_DATA[[#This Row],[TCL REFERENCE]],FIND(".",PV_DATA[[#This Row],[TCL REFERENCE]],1)-1),"Main Line")</f>
        <v>26Jun004</v>
      </c>
      <c r="D651" s="462" t="s">
        <v>63</v>
      </c>
      <c r="E651" s="462" t="s">
        <v>64</v>
      </c>
      <c r="F651" s="462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2" t="s">
        <v>402</v>
      </c>
      <c r="H651" s="462" t="s">
        <v>67</v>
      </c>
      <c r="I651" s="462" t="s">
        <v>689</v>
      </c>
      <c r="J651" s="430" t="s">
        <v>96</v>
      </c>
      <c r="K651" s="430"/>
      <c r="L651" s="430"/>
      <c r="M651" s="430" t="s">
        <v>68</v>
      </c>
      <c r="N651" s="432">
        <v>46188</v>
      </c>
      <c r="O651" s="430" t="s">
        <v>132</v>
      </c>
      <c r="P651" s="430" t="s">
        <v>1062</v>
      </c>
      <c r="Q651" s="430" t="s">
        <v>1063</v>
      </c>
      <c r="R651" s="430" t="str">
        <f>_xlfn.XLOOKUP(PV_DATA[[#This Row],[New Ark SKU]],Table9[New Ark SKU],Table9[Connector],,0)</f>
        <v>EVO2A</v>
      </c>
      <c r="S651" s="442" t="str">
        <f>_xlfn.XLOOKUP(PV_DATA[[#This Row],[New Ark SKU]],Table9[New Ark SKU],Table9[Cable],,0)</f>
        <v>±1200mm</v>
      </c>
      <c r="T651" s="433">
        <v>470</v>
      </c>
      <c r="U651" s="1088">
        <v>2592</v>
      </c>
      <c r="V651" s="434">
        <f>PV_DATA[[#This Row],[QUANTITY]]*PV_DATA[[#This Row],[WATT]]/1000000</f>
        <v>1.21824</v>
      </c>
      <c r="W651" s="435">
        <f>PV_DATA[[#This Row],[QUANTITY]]/PV_DATA[[#This Row],[Qty/Pallet]]</f>
        <v>72</v>
      </c>
      <c r="X651" s="1040">
        <f>PV_DATA[[#This Row],[QUANTITY]]/PV_DATA[[#This Row],[Qty/CT]]</f>
        <v>3</v>
      </c>
      <c r="Y651" s="459" t="s">
        <v>2456</v>
      </c>
      <c r="Z651" s="430" t="str">
        <f t="shared" si="7"/>
        <v>COMPLETED</v>
      </c>
      <c r="AA651" s="430" t="s">
        <v>5107</v>
      </c>
      <c r="AB651" s="437">
        <v>46191</v>
      </c>
      <c r="AC651" s="485">
        <f>IF(PV_DATA[[#This Row],[Pick- Up Date]]&lt;&gt;"",_xlfn.ISOWEEKNUM(PV_DATA[[#This Row],[Pick- Up Date]]),"")</f>
        <v>25</v>
      </c>
      <c r="AD651" s="430" t="s">
        <v>5108</v>
      </c>
      <c r="AE651" s="430"/>
      <c r="AF651" s="430" t="s">
        <v>122</v>
      </c>
      <c r="AG651" s="430" t="s">
        <v>123</v>
      </c>
      <c r="AH651" s="430" t="s">
        <v>78</v>
      </c>
      <c r="AI651" s="437">
        <v>46199</v>
      </c>
      <c r="AJ651" s="437">
        <v>46201</v>
      </c>
      <c r="AK651" s="437">
        <v>46201</v>
      </c>
      <c r="AL651" s="437">
        <v>46251</v>
      </c>
      <c r="AM651" s="586"/>
      <c r="AN651" s="586">
        <v>46259.238761574074</v>
      </c>
      <c r="AO651" s="430" t="s">
        <v>402</v>
      </c>
      <c r="AP651" s="430" t="s">
        <v>5086</v>
      </c>
      <c r="AQ651" s="430" t="s">
        <v>80</v>
      </c>
      <c r="AR651" s="430" t="s">
        <v>5109</v>
      </c>
      <c r="AS651" s="430" t="s">
        <v>5110</v>
      </c>
      <c r="AT651" s="430" t="s">
        <v>5110</v>
      </c>
      <c r="AU6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1" s="437"/>
      <c r="AW651" s="437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1" s="437">
        <f>IF(ISERROR(PV_DATA[[#This Row],[New Ark PO status]]),"",_xlfn.XLOOKUP(PV_DATA[[#This Row],[SPTN-PVHK New Ark PO'#]],New_Ark_Data[Purchase order Number],New_Ark_Data[Estimated time of arrival],"",0))</f>
        <v>46272</v>
      </c>
      <c r="AZ65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7">
        <f>IFERROR(PV_DATA[[#This Row],[ODP ETA Port]]+PV_DATA[[#This Row],[Customs/Leg3 Assumption]],"n/a")</f>
        <v>46267.238761574074</v>
      </c>
      <c r="BB651" s="433">
        <f>YEAR(PV_DATA[[#This Row],[ETA for New Ark update]])</f>
        <v>2026</v>
      </c>
      <c r="BC651" s="430">
        <f>MONTH(PV_DATA[[#This Row],[ETA for New Ark update]])</f>
        <v>9</v>
      </c>
      <c r="BD651" s="430">
        <f>IFERROR(_xlfn.ISOWEEKNUM(PV_DATA[[#This Row],[ETA for New Ark update]]),0)</f>
        <v>36</v>
      </c>
      <c r="BE651" s="430">
        <f>_xlfn.XLOOKUP(PV_DATA[[#This Row],[New Ark SKU]],Table9[New Ark SKU],Table9[Total PCS per Pallet],,0)</f>
        <v>36</v>
      </c>
      <c r="BF651" s="430">
        <f>_xlfn.XLOOKUP(PV_DATA[[#This Row],[New Ark SKU]],Table9[New Ark SKU],Table9[Total PCS per 40HQ Container],,0)</f>
        <v>864</v>
      </c>
      <c r="BG651" s="431" t="str">
        <f>_xlfn.XLOOKUP(PV_DATA[[#This Row],[New Ark SKU]],Table9[New Ark SKU],Table9[Back Glass],,0)</f>
        <v>White glazing</v>
      </c>
      <c r="BH651" s="430" t="str">
        <f>_xlfn.XLOOKUP(PV_DATA[[#This Row],[PORT DESTINATION]],Table12[PORT DESTINATION],Table12[Cosco Line],,0)</f>
        <v>AEM</v>
      </c>
      <c r="BJ651" s="430"/>
    </row>
    <row r="652" spans="1:62" ht="10.5">
      <c r="A652" s="462" t="s">
        <v>5111</v>
      </c>
      <c r="B652" s="462" t="s">
        <v>111</v>
      </c>
      <c r="C652" s="462" t="str">
        <f>IFERROR(LEFT(PV_DATA[[#This Row],[TCL REFERENCE]],FIND(".",PV_DATA[[#This Row],[TCL REFERENCE]],1)-1),"Main Line")</f>
        <v>26May011</v>
      </c>
      <c r="D652" s="462" t="s">
        <v>63</v>
      </c>
      <c r="E652" s="462" t="s">
        <v>64</v>
      </c>
      <c r="F652" s="462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2" t="s">
        <v>402</v>
      </c>
      <c r="H652" s="719" t="s">
        <v>311</v>
      </c>
      <c r="I652" s="462" t="s">
        <v>689</v>
      </c>
      <c r="J652" s="430" t="s">
        <v>96</v>
      </c>
      <c r="K652" s="430"/>
      <c r="L652" s="430"/>
      <c r="M652" s="430" t="s">
        <v>68</v>
      </c>
      <c r="N652" s="432">
        <v>46167</v>
      </c>
      <c r="O652" s="430" t="s">
        <v>4531</v>
      </c>
      <c r="P652" s="430" t="s">
        <v>4592</v>
      </c>
      <c r="Q652" s="430" t="s">
        <v>330</v>
      </c>
      <c r="R652" s="430" t="str">
        <f>_xlfn.XLOOKUP(PV_DATA[[#This Row],[New Ark SKU]],Table9[New Ark SKU],Table9[Connector],,0)</f>
        <v>H4(Com)</v>
      </c>
      <c r="S652" s="442" t="str">
        <f>_xlfn.XLOOKUP(PV_DATA[[#This Row],[New Ark SKU]],Table9[New Ark SKU],Table9[Cable],,0)</f>
        <v>+400mm/-200mm</v>
      </c>
      <c r="T652" s="433">
        <v>625</v>
      </c>
      <c r="U652" s="1088">
        <f>720*3</f>
        <v>2160</v>
      </c>
      <c r="V652" s="544">
        <f>PV_DATA[[#This Row],[QUANTITY]]*PV_DATA[[#This Row],[WATT]]/1000000</f>
        <v>1.35</v>
      </c>
      <c r="W652" s="435">
        <f>PV_DATA[[#This Row],[QUANTITY]]/PV_DATA[[#This Row],[Qty/Pallet]]</f>
        <v>60</v>
      </c>
      <c r="X652" s="1040">
        <f>PV_DATA[[#This Row],[QUANTITY]]/PV_DATA[[#This Row],[Qty/CT]]</f>
        <v>3</v>
      </c>
      <c r="Y652" s="430" t="s">
        <v>2456</v>
      </c>
      <c r="Z652" s="430" t="str">
        <f t="shared" si="7"/>
        <v>COMPLETED</v>
      </c>
      <c r="AA652" s="430" t="s">
        <v>4980</v>
      </c>
      <c r="AB652" s="437">
        <v>46192</v>
      </c>
      <c r="AC652" s="485">
        <f>IF(PV_DATA[[#This Row],[Pick- Up Date]]&lt;&gt;"",_xlfn.ISOWEEKNUM(PV_DATA[[#This Row],[Pick- Up Date]]),"")</f>
        <v>25</v>
      </c>
      <c r="AD652" s="430" t="s">
        <v>5112</v>
      </c>
      <c r="AE652" s="430"/>
      <c r="AF652" s="430" t="s">
        <v>122</v>
      </c>
      <c r="AG652" s="430" t="s">
        <v>123</v>
      </c>
      <c r="AH652" s="431" t="s">
        <v>1561</v>
      </c>
      <c r="AI652" s="437">
        <v>46201</v>
      </c>
      <c r="AJ652" s="437">
        <v>46205</v>
      </c>
      <c r="AK652" s="437">
        <v>46205</v>
      </c>
      <c r="AL652" s="437">
        <v>46250</v>
      </c>
      <c r="AM652" s="586">
        <v>46264</v>
      </c>
      <c r="AN652" s="586">
        <v>46264</v>
      </c>
      <c r="AO652" s="430" t="s">
        <v>402</v>
      </c>
      <c r="AP652" s="430" t="s">
        <v>5113</v>
      </c>
      <c r="AQ652" s="438" t="s">
        <v>80</v>
      </c>
      <c r="AR652" s="430" t="s">
        <v>5114</v>
      </c>
      <c r="AS652" s="430" t="s">
        <v>5115</v>
      </c>
      <c r="AT652" s="430" t="s">
        <v>5115</v>
      </c>
      <c r="AU6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7"/>
      <c r="AW652" s="437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7">
        <f>IF(ISERROR(PV_DATA[[#This Row],[New Ark PO status]]),"",_xlfn.XLOOKUP(PV_DATA[[#This Row],[SPTN-PVHK New Ark PO'#]],New_Ark_Data[Purchase order Number],New_Ark_Data[Estimated time of arrival],"",0))</f>
        <v>46279</v>
      </c>
      <c r="AZ65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2" s="437">
        <f>IFERROR(PV_DATA[[#This Row],[ODP ETA Port]]+PV_DATA[[#This Row],[Customs/Leg3 Assumption]],"n/a")</f>
        <v>46274</v>
      </c>
      <c r="BB652" s="433">
        <f>YEAR(PV_DATA[[#This Row],[ETA for New Ark update]])</f>
        <v>2026</v>
      </c>
      <c r="BC652" s="430">
        <f>MONTH(PV_DATA[[#This Row],[ETA for New Ark update]])</f>
        <v>9</v>
      </c>
      <c r="BD652" s="430">
        <f>IFERROR(_xlfn.ISOWEEKNUM(PV_DATA[[#This Row],[ETA for New Ark update]]),0)</f>
        <v>37</v>
      </c>
      <c r="BE652" s="430">
        <f>_xlfn.XLOOKUP(PV_DATA[[#This Row],[New Ark SKU]],Table9[New Ark SKU],Table9[Total PCS per Pallet],,0)</f>
        <v>36</v>
      </c>
      <c r="BF652" s="430">
        <f>_xlfn.XLOOKUP(PV_DATA[[#This Row],[New Ark SKU]],Table9[New Ark SKU],Table9[Total PCS per 40HQ Container],,0)</f>
        <v>720</v>
      </c>
      <c r="BG652" s="431" t="str">
        <f>_xlfn.XLOOKUP(PV_DATA[[#This Row],[New Ark SKU]],Table9[New Ark SKU],Table9[Back Glass],,0)</f>
        <v>Transparent</v>
      </c>
      <c r="BH652" s="430" t="str">
        <f>_xlfn.XLOOKUP(PV_DATA[[#This Row],[PORT DESTINATION]],Table12[PORT DESTINATION],Table12[Cosco Line],,0)</f>
        <v>AEM</v>
      </c>
      <c r="BJ652" s="430"/>
    </row>
    <row r="653" spans="1:62" ht="10.5">
      <c r="A653" s="462" t="s">
        <v>5116</v>
      </c>
      <c r="B653" s="462" t="s">
        <v>111</v>
      </c>
      <c r="C653" s="462" t="str">
        <f>IFERROR(LEFT(PV_DATA[[#This Row],[TCL REFERENCE]],FIND(".",PV_DATA[[#This Row],[TCL REFERENCE]],1)-1),"Main Line")</f>
        <v>26Jun028</v>
      </c>
      <c r="D653" s="462" t="s">
        <v>63</v>
      </c>
      <c r="E653" s="462" t="s">
        <v>64</v>
      </c>
      <c r="F653" s="462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2" t="s">
        <v>402</v>
      </c>
      <c r="H653" s="462" t="s">
        <v>311</v>
      </c>
      <c r="I653" s="462" t="s">
        <v>689</v>
      </c>
      <c r="J653" s="430" t="s">
        <v>96</v>
      </c>
      <c r="K653" s="430"/>
      <c r="L653" s="430"/>
      <c r="M653" s="430"/>
      <c r="N653" s="432">
        <v>46174</v>
      </c>
      <c r="O653" s="430" t="s">
        <v>132</v>
      </c>
      <c r="P653" s="430" t="s">
        <v>133</v>
      </c>
      <c r="Q653" s="430" t="s">
        <v>134</v>
      </c>
      <c r="R653" s="430" t="str">
        <f>_xlfn.XLOOKUP(PV_DATA[[#This Row],[New Ark SKU]],Table9[New Ark SKU],Table9[Connector],,0)</f>
        <v>EVO2A</v>
      </c>
      <c r="S653" s="442" t="str">
        <f>_xlfn.XLOOKUP(PV_DATA[[#This Row],[New Ark SKU]],Table9[New Ark SKU],Table9[Cable],,0)</f>
        <v>±1400mm</v>
      </c>
      <c r="T653" s="433">
        <v>720</v>
      </c>
      <c r="U653" s="1088">
        <f>594*2</f>
        <v>1188</v>
      </c>
      <c r="V653" s="434">
        <f>PV_DATA[[#This Row],[QUANTITY]]*PV_DATA[[#This Row],[WATT]]/1000000</f>
        <v>0.85536000000000001</v>
      </c>
      <c r="W653" s="435">
        <f>PV_DATA[[#This Row],[QUANTITY]]/PV_DATA[[#This Row],[Qty/Pallet]]</f>
        <v>36</v>
      </c>
      <c r="X653" s="1040">
        <f>PV_DATA[[#This Row],[QUANTITY]]/PV_DATA[[#This Row],[Qty/CT]]</f>
        <v>2</v>
      </c>
      <c r="Y653" s="430" t="s">
        <v>2456</v>
      </c>
      <c r="Z653" s="430" t="str">
        <f t="shared" si="7"/>
        <v>COMPLETED</v>
      </c>
      <c r="AA653" s="430" t="s">
        <v>5117</v>
      </c>
      <c r="AB653" s="437">
        <v>46192</v>
      </c>
      <c r="AC653" s="485">
        <f>IF(PV_DATA[[#This Row],[Pick- Up Date]]&lt;&gt;"",_xlfn.ISOWEEKNUM(PV_DATA[[#This Row],[Pick- Up Date]]),"")</f>
        <v>25</v>
      </c>
      <c r="AD653" s="430" t="s">
        <v>5118</v>
      </c>
      <c r="AE653" s="430"/>
      <c r="AF653" s="430" t="s">
        <v>122</v>
      </c>
      <c r="AG653" s="430" t="s">
        <v>123</v>
      </c>
      <c r="AH653" s="430" t="s">
        <v>1561</v>
      </c>
      <c r="AI653" s="437">
        <v>46201</v>
      </c>
      <c r="AJ653" s="437">
        <v>46205</v>
      </c>
      <c r="AK653" s="437">
        <v>46205</v>
      </c>
      <c r="AL653" s="437">
        <v>46250</v>
      </c>
      <c r="AM653" s="586">
        <f>IFERROR(VLOOKUP(AT653, Vessel!A:H, 8, FALSE), "")</f>
        <v>46264.25</v>
      </c>
      <c r="AN653" s="586">
        <v>46264</v>
      </c>
      <c r="AO653" s="430" t="s">
        <v>402</v>
      </c>
      <c r="AP653" s="430" t="s">
        <v>5113</v>
      </c>
      <c r="AQ653" s="438" t="s">
        <v>80</v>
      </c>
      <c r="AR653" s="430" t="s">
        <v>5114</v>
      </c>
      <c r="AS653" s="430" t="s">
        <v>5115</v>
      </c>
      <c r="AT653" s="430" t="s">
        <v>5115</v>
      </c>
      <c r="AU6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7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7">
        <f>IF(ISERROR(PV_DATA[[#This Row],[New Ark PO status]]),"",_xlfn.XLOOKUP(PV_DATA[[#This Row],[SPTN-PVHK New Ark PO'#]],New_Ark_Data[Purchase order Number],New_Ark_Data[Estimated time of arrival],"",0))</f>
        <v>46279</v>
      </c>
      <c r="AZ65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3" s="437">
        <f>IFERROR(PV_DATA[[#This Row],[ODP ETA Port]]+PV_DATA[[#This Row],[Customs/Leg3 Assumption]],"n/a")</f>
        <v>46274</v>
      </c>
      <c r="BB653" s="433">
        <f>YEAR(PV_DATA[[#This Row],[ETA for New Ark update]])</f>
        <v>2026</v>
      </c>
      <c r="BC653" s="430">
        <f>MONTH(PV_DATA[[#This Row],[ETA for New Ark update]])</f>
        <v>9</v>
      </c>
      <c r="BD653" s="430">
        <f>IFERROR(_xlfn.ISOWEEKNUM(PV_DATA[[#This Row],[ETA for New Ark update]]),0)</f>
        <v>37</v>
      </c>
      <c r="BE653" s="430">
        <f>_xlfn.XLOOKUP(PV_DATA[[#This Row],[New Ark SKU]],Table9[New Ark SKU],Table9[Total PCS per Pallet],,0)</f>
        <v>33</v>
      </c>
      <c r="BF653" s="430">
        <f>_xlfn.XLOOKUP(PV_DATA[[#This Row],[New Ark SKU]],Table9[New Ark SKU],Table9[Total PCS per 40HQ Container],,0)</f>
        <v>594</v>
      </c>
      <c r="BG653" s="431" t="str">
        <f>_xlfn.XLOOKUP(PV_DATA[[#This Row],[New Ark SKU]],Table9[New Ark SKU],Table9[Back Glass],,0)</f>
        <v>White glazing</v>
      </c>
      <c r="BH653" s="430" t="str">
        <f>_xlfn.XLOOKUP(PV_DATA[[#This Row],[PORT DESTINATION]],Table12[PORT DESTINATION],Table12[Cosco Line],,0)</f>
        <v>AEM</v>
      </c>
      <c r="BJ653" s="430"/>
    </row>
    <row r="654" spans="1:62" ht="10.5">
      <c r="A654" s="462" t="s">
        <v>5119</v>
      </c>
      <c r="B654" s="462" t="s">
        <v>61</v>
      </c>
      <c r="C654" s="462" t="s">
        <v>4888</v>
      </c>
      <c r="D654" s="462" t="s">
        <v>63</v>
      </c>
      <c r="E654" s="462" t="s">
        <v>64</v>
      </c>
      <c r="F654" s="462" t="s">
        <v>100</v>
      </c>
      <c r="G654" s="462" t="s">
        <v>402</v>
      </c>
      <c r="H654" s="462" t="s">
        <v>67</v>
      </c>
      <c r="I654" s="462" t="s">
        <v>689</v>
      </c>
      <c r="J654" s="430" t="s">
        <v>96</v>
      </c>
      <c r="K654" s="430"/>
      <c r="L654" s="430"/>
      <c r="M654" s="430" t="s">
        <v>68</v>
      </c>
      <c r="N654" s="432">
        <v>45809</v>
      </c>
      <c r="O654" s="430" t="s">
        <v>4531</v>
      </c>
      <c r="P654" s="430" t="s">
        <v>195</v>
      </c>
      <c r="Q654" s="430" t="s">
        <v>196</v>
      </c>
      <c r="R654" s="430" t="str">
        <f>_xlfn.XLOOKUP(PV_DATA[[#This Row],[New Ark SKU]],Table9[New Ark SKU],Table9[Connector],,0)</f>
        <v>EVO2A</v>
      </c>
      <c r="S654" s="442" t="str">
        <f>_xlfn.XLOOKUP(PV_DATA[[#This Row],[New Ark SKU]],Table9[New Ark SKU],Table9[Cable],,0)</f>
        <v>±1200mm</v>
      </c>
      <c r="T654" s="433">
        <v>450</v>
      </c>
      <c r="U654" s="1088">
        <v>936</v>
      </c>
      <c r="V654" s="434">
        <f>PV_DATA[[#This Row],[QUANTITY]]*PV_DATA[[#This Row],[WATT]]/1000000</f>
        <v>0.42120000000000002</v>
      </c>
      <c r="W654" s="435">
        <f>PV_DATA[[#This Row],[QUANTITY]]/PV_DATA[[#This Row],[Qty/Pallet]]</f>
        <v>26</v>
      </c>
      <c r="X654" s="1040">
        <v>1</v>
      </c>
      <c r="Y654" s="430" t="s">
        <v>2454</v>
      </c>
      <c r="Z654" s="430" t="str">
        <f t="shared" si="7"/>
        <v>COMPLETED</v>
      </c>
      <c r="AA654" s="430" t="s">
        <v>4889</v>
      </c>
      <c r="AB654" s="437">
        <v>46190</v>
      </c>
      <c r="AC654" s="485">
        <f>IF(PV_DATA[[#This Row],[Pick- Up Date]]&lt;&gt;"",_xlfn.ISOWEEKNUM(PV_DATA[[#This Row],[Pick- Up Date]]),"")</f>
        <v>25</v>
      </c>
      <c r="AD654" s="430" t="s">
        <v>5120</v>
      </c>
      <c r="AE654" s="430"/>
      <c r="AF654" s="430" t="s">
        <v>77</v>
      </c>
      <c r="AG654" s="430" t="s">
        <v>61</v>
      </c>
      <c r="AH654" s="430" t="s">
        <v>105</v>
      </c>
      <c r="AI654" s="437">
        <v>46197</v>
      </c>
      <c r="AK654" s="437">
        <v>46197</v>
      </c>
      <c r="AL654" s="437">
        <v>46256</v>
      </c>
      <c r="AM654" s="586">
        <f>IFERROR(VLOOKUP(AT654, Vessel!A:H, 8, FALSE), "")</f>
        <v>46262.1875</v>
      </c>
      <c r="AN654" s="586">
        <v>46262</v>
      </c>
      <c r="AO654" s="430" t="s">
        <v>402</v>
      </c>
      <c r="AP654" s="430" t="s">
        <v>5121</v>
      </c>
      <c r="AQ654" s="430" t="s">
        <v>80</v>
      </c>
      <c r="AR654" s="430" t="s">
        <v>5122</v>
      </c>
      <c r="AS654" s="430" t="s">
        <v>5123</v>
      </c>
      <c r="AT654" s="430" t="s">
        <v>5123</v>
      </c>
      <c r="AU6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7"/>
      <c r="AW654" s="437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4" s="437">
        <f>IF(ISERROR(PV_DATA[[#This Row],[New Ark PO status]]),"",_xlfn.XLOOKUP(PV_DATA[[#This Row],[SPTN-PVHK New Ark PO'#]],New_Ark_Data[Purchase order Number],New_Ark_Data[Estimated time of arrival],"",0))</f>
        <v>46276</v>
      </c>
      <c r="AZ65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7">
        <f>IFERROR(PV_DATA[[#This Row],[ODP ETA Port]]+PV_DATA[[#This Row],[Customs/Leg3 Assumption]],"n/a")</f>
        <v>46269</v>
      </c>
      <c r="BB654" s="433">
        <f>YEAR(PV_DATA[[#This Row],[ETA for New Ark update]])</f>
        <v>2026</v>
      </c>
      <c r="BC654" s="430">
        <f>MONTH(PV_DATA[[#This Row],[ETA for New Ark update]])</f>
        <v>9</v>
      </c>
      <c r="BD654" s="430">
        <f>IFERROR(_xlfn.ISOWEEKNUM(PV_DATA[[#This Row],[ETA for New Ark update]]),0)</f>
        <v>36</v>
      </c>
      <c r="BE654" s="430">
        <f>_xlfn.XLOOKUP(PV_DATA[[#This Row],[New Ark SKU]],Table9[New Ark SKU],Table9[Total PCS per Pallet],,0)</f>
        <v>36</v>
      </c>
      <c r="BF654" s="430">
        <f>_xlfn.XLOOKUP(PV_DATA[[#This Row],[New Ark SKU]],Table9[New Ark SKU],Table9[Total PCS per 40HQ Container],,0)</f>
        <v>936</v>
      </c>
      <c r="BG654" s="431" t="str">
        <f>_xlfn.XLOOKUP(PV_DATA[[#This Row],[New Ark SKU]],Table9[New Ark SKU],Table9[Back Glass],,0)</f>
        <v>Black glazing</v>
      </c>
      <c r="BH654" s="430" t="str">
        <f>_xlfn.XLOOKUP(PV_DATA[[#This Row],[PORT DESTINATION]],Table12[PORT DESTINATION],Table12[Cosco Line],,0)</f>
        <v>AEU</v>
      </c>
      <c r="BJ654" s="430"/>
    </row>
    <row r="655" spans="1:62" ht="10.5">
      <c r="A655" s="462" t="s">
        <v>5124</v>
      </c>
      <c r="B655" s="462" t="s">
        <v>61</v>
      </c>
      <c r="C655" s="462" t="str">
        <f>IFERROR(LEFT(PV_DATA[[#This Row],[TCL REFERENCE]],FIND(".",PV_DATA[[#This Row],[TCL REFERENCE]],1)-1),"Main Line")</f>
        <v>26May007</v>
      </c>
      <c r="D655" s="462" t="s">
        <v>63</v>
      </c>
      <c r="E655" s="462" t="s">
        <v>64</v>
      </c>
      <c r="F655" s="462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2" t="s">
        <v>402</v>
      </c>
      <c r="H655" s="462" t="s">
        <v>67</v>
      </c>
      <c r="I655" s="462" t="s">
        <v>689</v>
      </c>
      <c r="J655" s="430" t="s">
        <v>96</v>
      </c>
      <c r="K655" s="430"/>
      <c r="L655" s="430"/>
      <c r="M655" s="430" t="s">
        <v>68</v>
      </c>
      <c r="N655" s="432">
        <v>45809</v>
      </c>
      <c r="O655" s="430" t="s">
        <v>4531</v>
      </c>
      <c r="P655" s="430" t="s">
        <v>195</v>
      </c>
      <c r="Q655" s="430" t="s">
        <v>196</v>
      </c>
      <c r="R655" s="430" t="str">
        <f>_xlfn.XLOOKUP(PV_DATA[[#This Row],[New Ark SKU]],Table9[New Ark SKU],Table9[Connector],,0)</f>
        <v>EVO2A</v>
      </c>
      <c r="S655" s="442" t="str">
        <f>_xlfn.XLOOKUP(PV_DATA[[#This Row],[New Ark SKU]],Table9[New Ark SKU],Table9[Cable],,0)</f>
        <v>±1200mm</v>
      </c>
      <c r="T655" s="433">
        <v>450</v>
      </c>
      <c r="U655" s="1088">
        <f>936*5</f>
        <v>4680</v>
      </c>
      <c r="V655" s="434">
        <f>PV_DATA[[#This Row],[QUANTITY]]*PV_DATA[[#This Row],[WATT]]/1000000</f>
        <v>2.1059999999999999</v>
      </c>
      <c r="W655" s="435">
        <f>PV_DATA[[#This Row],[QUANTITY]]/PV_DATA[[#This Row],[Qty/Pallet]]</f>
        <v>130</v>
      </c>
      <c r="X655" s="1040">
        <f>PV_DATA[[#This Row],[QUANTITY]]/PV_DATA[[#This Row],[Qty/CT]]</f>
        <v>5</v>
      </c>
      <c r="Y655" s="430" t="s">
        <v>2456</v>
      </c>
      <c r="Z655" s="430" t="str">
        <f t="shared" si="7"/>
        <v>COMPLETED</v>
      </c>
      <c r="AA655" s="430" t="s">
        <v>5125</v>
      </c>
      <c r="AB655" s="437">
        <v>46189</v>
      </c>
      <c r="AC655" s="485">
        <f>IF(PV_DATA[[#This Row],[Pick- Up Date]]&lt;&gt;"",_xlfn.ISOWEEKNUM(PV_DATA[[#This Row],[Pick- Up Date]]),"")</f>
        <v>25</v>
      </c>
      <c r="AD655" s="430" t="s">
        <v>5126</v>
      </c>
      <c r="AE655" s="430"/>
      <c r="AF655" s="430" t="s">
        <v>61</v>
      </c>
      <c r="AG655" s="430" t="s">
        <v>61</v>
      </c>
      <c r="AH655" s="430" t="s">
        <v>105</v>
      </c>
      <c r="AI655" s="437">
        <v>46197</v>
      </c>
      <c r="AK655" s="437">
        <v>46197</v>
      </c>
      <c r="AL655" s="437">
        <v>46238</v>
      </c>
      <c r="AM655" s="441">
        <f>IFERROR(IF(VLOOKUP(AT655, Vessel!A:H, 8, FALSE)=0, "", VLOOKUP(AT655, Vessel!A:H, 8, FALSE)), "")</f>
        <v>46244.291666666664</v>
      </c>
      <c r="AN655" s="586">
        <v>46244.348958333336</v>
      </c>
      <c r="AO655" s="430" t="s">
        <v>402</v>
      </c>
      <c r="AP655" s="430" t="s">
        <v>5121</v>
      </c>
      <c r="AQ655" s="430" t="s">
        <v>80</v>
      </c>
      <c r="AR655" s="430" t="s">
        <v>5127</v>
      </c>
      <c r="AS655" s="430" t="s">
        <v>5128</v>
      </c>
      <c r="AT655" s="430" t="s">
        <v>5128</v>
      </c>
      <c r="AU6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47.348958333335759</v>
      </c>
      <c r="AV655" s="437"/>
      <c r="AW655" s="437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7">
        <f>IF(ISERROR(PV_DATA[[#This Row],[New Ark PO status]]),"",_xlfn.XLOOKUP(PV_DATA[[#This Row],[SPTN-PVHK New Ark PO'#]],New_Ark_Data[Purchase order Number],New_Ark_Data[Estimated time of arrival],"",0))</f>
        <v>46259</v>
      </c>
      <c r="AZ65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7">
        <f>IFERROR(PV_DATA[[#This Row],[ODP ETA Port]]+PV_DATA[[#This Row],[Customs/Leg3 Assumption]],"n/a")</f>
        <v>46251.348958333336</v>
      </c>
      <c r="BB655" s="433">
        <f>YEAR(PV_DATA[[#This Row],[ETA for New Ark update]])</f>
        <v>2026</v>
      </c>
      <c r="BC655" s="430">
        <f>MONTH(PV_DATA[[#This Row],[ETA for New Ark update]])</f>
        <v>8</v>
      </c>
      <c r="BD655" s="430">
        <f>IFERROR(_xlfn.ISOWEEKNUM(PV_DATA[[#This Row],[ETA for New Ark update]]),0)</f>
        <v>34</v>
      </c>
      <c r="BE655" s="430">
        <f>_xlfn.XLOOKUP(PV_DATA[[#This Row],[New Ark SKU]],Table9[New Ark SKU],Table9[Total PCS per Pallet],,0)</f>
        <v>36</v>
      </c>
      <c r="BF655" s="430">
        <f>_xlfn.XLOOKUP(PV_DATA[[#This Row],[New Ark SKU]],Table9[New Ark SKU],Table9[Total PCS per 40HQ Container],,0)</f>
        <v>936</v>
      </c>
      <c r="BG655" s="431" t="str">
        <f>_xlfn.XLOOKUP(PV_DATA[[#This Row],[New Ark SKU]],Table9[New Ark SKU],Table9[Back Glass],,0)</f>
        <v>Black glazing</v>
      </c>
      <c r="BH655" s="430" t="str">
        <f>_xlfn.XLOOKUP(PV_DATA[[#This Row],[PORT DESTINATION]],Table12[PORT DESTINATION],Table12[Cosco Line],,0)</f>
        <v>AEU</v>
      </c>
      <c r="BJ655" s="430"/>
    </row>
    <row r="656" spans="1:62" ht="10.5">
      <c r="A656" s="462" t="s">
        <v>5129</v>
      </c>
      <c r="B656" s="462" t="s">
        <v>61</v>
      </c>
      <c r="C656" s="462" t="str">
        <f>IFERROR(LEFT(PV_DATA[[#This Row],[TCL REFERENCE]],FIND(".",PV_DATA[[#This Row],[TCL REFERENCE]],1)-1),"Main Line")</f>
        <v>Main Line</v>
      </c>
      <c r="D656" s="462" t="s">
        <v>63</v>
      </c>
      <c r="E656" s="462" t="s">
        <v>64</v>
      </c>
      <c r="F656" s="462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2" t="s">
        <v>402</v>
      </c>
      <c r="H656" s="462" t="s">
        <v>67</v>
      </c>
      <c r="I656" s="462" t="s">
        <v>689</v>
      </c>
      <c r="J656" s="430" t="s">
        <v>96</v>
      </c>
      <c r="K656" s="430"/>
      <c r="L656" s="430"/>
      <c r="M656" s="430" t="s">
        <v>68</v>
      </c>
      <c r="N656" s="432">
        <v>46174</v>
      </c>
      <c r="O656" s="430" t="s">
        <v>550</v>
      </c>
      <c r="P656" s="430" t="s">
        <v>551</v>
      </c>
      <c r="Q656" s="430" t="s">
        <v>2151</v>
      </c>
      <c r="R656" s="430" t="str">
        <f>_xlfn.XLOOKUP(PV_DATA[[#This Row],[New Ark SKU]],Table9[New Ark SKU],Table9[Connector],,0)</f>
        <v>EVO2A</v>
      </c>
      <c r="S656" s="442" t="str">
        <f>_xlfn.XLOOKUP(PV_DATA[[#This Row],[New Ark SKU]],Table9[New Ark SKU],Table9[Cable],,0)</f>
        <v>±1350mm</v>
      </c>
      <c r="T656" s="433">
        <v>510</v>
      </c>
      <c r="U656" s="1088">
        <f>1584*2</f>
        <v>3168</v>
      </c>
      <c r="V656" s="434">
        <f>PV_DATA[[#This Row],[QUANTITY]]*PV_DATA[[#This Row],[WATT]]/1000000</f>
        <v>1.61568</v>
      </c>
      <c r="W656" s="435">
        <f>PV_DATA[[#This Row],[QUANTITY]]/PV_DATA[[#This Row],[Qty/Pallet]]</f>
        <v>88</v>
      </c>
      <c r="X656" s="1040">
        <f>PV_DATA[[#This Row],[QUANTITY]]/PV_DATA[[#This Row],[Qty/CT]]</f>
        <v>4</v>
      </c>
      <c r="Y656" s="430" t="s">
        <v>2456</v>
      </c>
      <c r="Z656" s="430" t="str">
        <f t="shared" si="7"/>
        <v>COMPLETED</v>
      </c>
      <c r="AA656" s="430" t="s">
        <v>4990</v>
      </c>
      <c r="AB656" s="437">
        <v>46190</v>
      </c>
      <c r="AC656" s="485">
        <f>IF(PV_DATA[[#This Row],[Pick- Up Date]]&lt;&gt;"",_xlfn.ISOWEEKNUM(PV_DATA[[#This Row],[Pick- Up Date]]),"")</f>
        <v>25</v>
      </c>
      <c r="AD656" s="430" t="s">
        <v>5130</v>
      </c>
      <c r="AE656" s="430"/>
      <c r="AF656" s="430" t="s">
        <v>77</v>
      </c>
      <c r="AG656" s="430" t="s">
        <v>61</v>
      </c>
      <c r="AH656" s="430" t="s">
        <v>78</v>
      </c>
      <c r="AI656" s="437">
        <v>46197</v>
      </c>
      <c r="AK656" s="437">
        <v>46197</v>
      </c>
      <c r="AL656" s="968">
        <v>46265</v>
      </c>
      <c r="AM656" s="1189">
        <f>IFERROR(VLOOKUP(AT656, Vessel!A:H, 8, FALSE), "")</f>
        <v>46278.083333333336</v>
      </c>
      <c r="AN656" s="586">
        <f>IF(VLOOKUP(AT656, Vessel!A:I, 9, FALSE)=0, "", VLOOKUP(AT656, Vessel!A:I, 9, FALSE))</f>
        <v>46278.186840277776</v>
      </c>
      <c r="AO656" s="430" t="s">
        <v>402</v>
      </c>
      <c r="AP656" s="430" t="s">
        <v>5121</v>
      </c>
      <c r="AQ656" s="430" t="s">
        <v>80</v>
      </c>
      <c r="AR656" s="430" t="s">
        <v>5131</v>
      </c>
      <c r="AS656" s="430" t="s">
        <v>5132</v>
      </c>
      <c r="AT656" s="430" t="s">
        <v>5132</v>
      </c>
      <c r="AU6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81.186840277776355</v>
      </c>
      <c r="AW656" s="437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7">
        <f>IF(ISERROR(PV_DATA[[#This Row],[New Ark PO status]]),"",_xlfn.XLOOKUP(PV_DATA[[#This Row],[SPTN-PVHK New Ark PO'#]],New_Ark_Data[Purchase order Number],New_Ark_Data[Estimated time of arrival],"",0))</f>
        <v>46290</v>
      </c>
      <c r="AZ65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7">
        <f>IFERROR(PV_DATA[[#This Row],[ODP ETA Port]]+PV_DATA[[#This Row],[Customs/Leg3 Assumption]],"n/a")</f>
        <v>46286.186840277776</v>
      </c>
      <c r="BB656" s="433">
        <f>YEAR(PV_DATA[[#This Row],[ETA for New Ark update]])</f>
        <v>2026</v>
      </c>
      <c r="BC656" s="430">
        <f>MONTH(PV_DATA[[#This Row],[ETA for New Ark update]])</f>
        <v>9</v>
      </c>
      <c r="BD656" s="430">
        <f>IFERROR(_xlfn.ISOWEEKNUM(PV_DATA[[#This Row],[ETA for New Ark update]]),0)</f>
        <v>39</v>
      </c>
      <c r="BE656" s="430">
        <f>_xlfn.XLOOKUP(PV_DATA[[#This Row],[New Ark SKU]],Table9[New Ark SKU],Table9[Total PCS per Pallet],,0)</f>
        <v>36</v>
      </c>
      <c r="BF656" s="430">
        <f>_xlfn.XLOOKUP(PV_DATA[[#This Row],[New Ark SKU]],Table9[New Ark SKU],Table9[Total PCS per 40HQ Container],,0)</f>
        <v>792</v>
      </c>
      <c r="BG656" s="431" t="str">
        <f>_xlfn.XLOOKUP(PV_DATA[[#This Row],[New Ark SKU]],Table9[New Ark SKU],Table9[Back Glass],,0)</f>
        <v>Black glazing</v>
      </c>
      <c r="BH656" s="430" t="str">
        <f>_xlfn.XLOOKUP(PV_DATA[[#This Row],[PORT DESTINATION]],Table12[PORT DESTINATION],Table12[Cosco Line],,0)</f>
        <v>AEM</v>
      </c>
      <c r="BJ656" s="430"/>
    </row>
    <row r="657" spans="1:62" ht="10.5">
      <c r="A657" s="462" t="s">
        <v>5133</v>
      </c>
      <c r="B657" s="462" t="s">
        <v>61</v>
      </c>
      <c r="C657" s="462" t="str">
        <f>IFERROR(LEFT(PV_DATA[[#This Row],[TCL REFERENCE]],FIND(".",PV_DATA[[#This Row],[TCL REFERENCE]],1)-1),"Main Line")</f>
        <v>Main Line</v>
      </c>
      <c r="D657" s="462" t="s">
        <v>63</v>
      </c>
      <c r="E657" s="462" t="s">
        <v>64</v>
      </c>
      <c r="F657" s="462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2" t="s">
        <v>402</v>
      </c>
      <c r="H657" s="462" t="s">
        <v>67</v>
      </c>
      <c r="I657" s="462" t="s">
        <v>689</v>
      </c>
      <c r="J657" s="430" t="s">
        <v>96</v>
      </c>
      <c r="K657" s="430"/>
      <c r="L657" s="430"/>
      <c r="M657" s="430" t="s">
        <v>68</v>
      </c>
      <c r="N657" s="432">
        <v>46174</v>
      </c>
      <c r="O657" s="430" t="s">
        <v>70</v>
      </c>
      <c r="P657" s="430" t="s">
        <v>1077</v>
      </c>
      <c r="Q657" s="430" t="s">
        <v>103</v>
      </c>
      <c r="R657" s="430" t="str">
        <f>_xlfn.XLOOKUP(PV_DATA[[#This Row],[New Ark SKU]],Table9[New Ark SKU],Table9[Connector],,0)</f>
        <v>EVO2A</v>
      </c>
      <c r="S657" s="442" t="str">
        <f>_xlfn.XLOOKUP(PV_DATA[[#This Row],[New Ark SKU]],Table9[New Ark SKU],Table9[Cable],,0)</f>
        <v>±1400mm</v>
      </c>
      <c r="T657" s="433">
        <v>620</v>
      </c>
      <c r="U657" s="1088">
        <v>1440</v>
      </c>
      <c r="V657" s="434">
        <f>PV_DATA[[#This Row],[QUANTITY]]*PV_DATA[[#This Row],[WATT]]/1000000</f>
        <v>0.89280000000000004</v>
      </c>
      <c r="W657" s="435">
        <f>PV_DATA[[#This Row],[QUANTITY]]/PV_DATA[[#This Row],[Qty/Pallet]]</f>
        <v>40</v>
      </c>
      <c r="X657" s="1040">
        <f>PV_DATA[[#This Row],[QUANTITY]]/PV_DATA[[#This Row],[Qty/CT]]</f>
        <v>2</v>
      </c>
      <c r="Y657" s="430" t="s">
        <v>2456</v>
      </c>
      <c r="Z657" s="430" t="str">
        <f t="shared" si="7"/>
        <v>COMPLETED</v>
      </c>
      <c r="AA657" s="430" t="s">
        <v>4990</v>
      </c>
      <c r="AB657" s="437">
        <v>46190</v>
      </c>
      <c r="AC657" s="485">
        <f>IF(PV_DATA[[#This Row],[Pick- Up Date]]&lt;&gt;"",_xlfn.ISOWEEKNUM(PV_DATA[[#This Row],[Pick- Up Date]]),"")</f>
        <v>25</v>
      </c>
      <c r="AD657" s="430" t="s">
        <v>5134</v>
      </c>
      <c r="AE657" s="430"/>
      <c r="AF657" s="430" t="s">
        <v>77</v>
      </c>
      <c r="AG657" s="430" t="s">
        <v>61</v>
      </c>
      <c r="AH657" s="430" t="s">
        <v>78</v>
      </c>
      <c r="AI657" s="437">
        <v>46197</v>
      </c>
      <c r="AK657" s="437">
        <v>46197</v>
      </c>
      <c r="AL657" s="437">
        <v>46259</v>
      </c>
      <c r="AM657" s="586">
        <f>IFERROR(VLOOKUP(AT657, Vessel!A:H, 8, FALSE), "")</f>
        <v>46272.833333333336</v>
      </c>
      <c r="AN657" s="441">
        <v>46272</v>
      </c>
      <c r="AO657" s="430" t="s">
        <v>402</v>
      </c>
      <c r="AP657" s="430" t="s">
        <v>5121</v>
      </c>
      <c r="AQ657" s="430" t="s">
        <v>80</v>
      </c>
      <c r="AR657" s="430" t="s">
        <v>5135</v>
      </c>
      <c r="AS657" s="430" t="s">
        <v>5136</v>
      </c>
      <c r="AT657" s="430" t="s">
        <v>5136</v>
      </c>
      <c r="AU6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7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7">
        <f>IF(ISERROR(PV_DATA[[#This Row],[New Ark PO status]]),"",_xlfn.XLOOKUP(PV_DATA[[#This Row],[SPTN-PVHK New Ark PO'#]],New_Ark_Data[Purchase order Number],New_Ark_Data[Estimated time of arrival],"",0))</f>
        <v>46289</v>
      </c>
      <c r="AZ65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7">
        <f>IFERROR(PV_DATA[[#This Row],[ODP ETA Port]]+PV_DATA[[#This Row],[Customs/Leg3 Assumption]],"n/a")</f>
        <v>46280</v>
      </c>
      <c r="BB657" s="433">
        <f>YEAR(PV_DATA[[#This Row],[ETA for New Ark update]])</f>
        <v>2026</v>
      </c>
      <c r="BC657" s="430">
        <f>MONTH(PV_DATA[[#This Row],[ETA for New Ark update]])</f>
        <v>9</v>
      </c>
      <c r="BD657" s="430">
        <f>IFERROR(_xlfn.ISOWEEKNUM(PV_DATA[[#This Row],[ETA for New Ark update]]),0)</f>
        <v>38</v>
      </c>
      <c r="BE657" s="430">
        <f>_xlfn.XLOOKUP(PV_DATA[[#This Row],[New Ark SKU]],Table9[New Ark SKU],Table9[Total PCS per Pallet],,0)</f>
        <v>36</v>
      </c>
      <c r="BF657" s="430">
        <f>_xlfn.XLOOKUP(PV_DATA[[#This Row],[New Ark SKU]],Table9[New Ark SKU],Table9[Total PCS per 40HQ Container],,0)</f>
        <v>720</v>
      </c>
      <c r="BG657" s="431" t="str">
        <f>_xlfn.XLOOKUP(PV_DATA[[#This Row],[New Ark SKU]],Table9[New Ark SKU],Table9[Back Glass],,0)</f>
        <v>White glazing</v>
      </c>
      <c r="BH657" s="430" t="str">
        <f>_xlfn.XLOOKUP(PV_DATA[[#This Row],[PORT DESTINATION]],Table12[PORT DESTINATION],Table12[Cosco Line],,0)</f>
        <v>AEM</v>
      </c>
      <c r="BJ657" s="430"/>
    </row>
    <row r="658" spans="1:62" ht="10.5">
      <c r="A658" s="462" t="s">
        <v>5137</v>
      </c>
      <c r="B658" s="462" t="s">
        <v>61</v>
      </c>
      <c r="C658" s="462" t="s">
        <v>5138</v>
      </c>
      <c r="D658" s="462" t="s">
        <v>63</v>
      </c>
      <c r="E658" s="462" t="s">
        <v>64</v>
      </c>
      <c r="F658" s="462" t="s">
        <v>450</v>
      </c>
      <c r="G658" s="462" t="s">
        <v>402</v>
      </c>
      <c r="H658" s="462" t="s">
        <v>451</v>
      </c>
      <c r="I658" s="462" t="s">
        <v>689</v>
      </c>
      <c r="J658" s="430" t="s">
        <v>1832</v>
      </c>
      <c r="K658" s="430"/>
      <c r="L658" s="430"/>
      <c r="M658" s="430" t="s">
        <v>68</v>
      </c>
      <c r="N658" s="432">
        <v>46153</v>
      </c>
      <c r="O658" s="430" t="s">
        <v>4531</v>
      </c>
      <c r="P658" s="430" t="s">
        <v>1151</v>
      </c>
      <c r="Q658" s="430" t="s">
        <v>421</v>
      </c>
      <c r="R658" s="430" t="str">
        <f>_xlfn.XLOOKUP(PV_DATA[[#This Row],[New Ark SKU]],Table9[New Ark SKU],Table9[Connector],,0)</f>
        <v>EVO2A</v>
      </c>
      <c r="S658" s="442" t="str">
        <f>_xlfn.XLOOKUP(PV_DATA[[#This Row],[New Ark SKU]],Table9[New Ark SKU],Table9[Cable],,0)</f>
        <v>±1200mm</v>
      </c>
      <c r="T658" s="433">
        <v>505</v>
      </c>
      <c r="U658" s="1088">
        <v>864</v>
      </c>
      <c r="V658" s="434">
        <f>PV_DATA[[#This Row],[QUANTITY]]*PV_DATA[[#This Row],[WATT]]/1000000</f>
        <v>0.43631999999999999</v>
      </c>
      <c r="W658" s="435">
        <f>PV_DATA[[#This Row],[QUANTITY]]/PV_DATA[[#This Row],[Qty/Pallet]]</f>
        <v>24</v>
      </c>
      <c r="X658" s="1040">
        <v>1</v>
      </c>
      <c r="Y658" s="430" t="s">
        <v>2456</v>
      </c>
      <c r="Z658" s="430" t="str">
        <f t="shared" si="7"/>
        <v>COMPLETED</v>
      </c>
      <c r="AA658" s="430"/>
      <c r="AB658" s="437">
        <v>46190</v>
      </c>
      <c r="AC658" s="485">
        <f>IF(PV_DATA[[#This Row],[Pick- Up Date]]&lt;&gt;"",_xlfn.ISOWEEKNUM(PV_DATA[[#This Row],[Pick- Up Date]]),"")</f>
        <v>25</v>
      </c>
      <c r="AD658" s="430" t="s">
        <v>5139</v>
      </c>
      <c r="AE658" s="430"/>
      <c r="AF658" s="430" t="s">
        <v>61</v>
      </c>
      <c r="AG658" s="430" t="s">
        <v>61</v>
      </c>
      <c r="AH658" s="430" t="s">
        <v>456</v>
      </c>
      <c r="AI658" s="437">
        <v>46197</v>
      </c>
      <c r="AK658" s="437">
        <v>46197</v>
      </c>
      <c r="AL658" s="437">
        <v>46250</v>
      </c>
      <c r="AM658" s="586">
        <f>IFERROR(VLOOKUP(AT658, Vessel!A:H, 8, FALSE), "")</f>
        <v>46253.75</v>
      </c>
      <c r="AN658" s="586" cm="1">
        <f t="array" ref="AN658">_xlfn.LET(_xlpm.v,IFERROR(VLOOKUP(AT658,Vessel!A:I,9,FALSE),""),IF(OR(_xlpm.v="",_xlpm.v=0),"",_xlpm.v))</f>
        <v>46253.739166666666</v>
      </c>
      <c r="AO658" s="430" t="s">
        <v>402</v>
      </c>
      <c r="AP658" s="430" t="s">
        <v>5121</v>
      </c>
      <c r="AQ658" s="430" t="s">
        <v>80</v>
      </c>
      <c r="AR658" s="430" t="s">
        <v>5140</v>
      </c>
      <c r="AS658" s="430" t="s">
        <v>5141</v>
      </c>
      <c r="AT658" s="430" t="s">
        <v>5141</v>
      </c>
      <c r="AU6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56.739166666666279</v>
      </c>
      <c r="AV658" s="437"/>
      <c r="AW658" s="437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6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8" s="437">
        <f>IF(ISERROR(PV_DATA[[#This Row],[New Ark PO status]]),"",_xlfn.XLOOKUP(PV_DATA[[#This Row],[SPTN-PVHK New Ark PO'#]],New_Ark_Data[Purchase order Number],New_Ark_Data[Estimated time of arrival],"",0))</f>
        <v>46267</v>
      </c>
      <c r="AZ65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7">
        <f>IFERROR(PV_DATA[[#This Row],[ODP ETA Port]]+PV_DATA[[#This Row],[Customs/Leg3 Assumption]],"n/a")</f>
        <v>46260.739166666666</v>
      </c>
      <c r="BB658" s="433">
        <f>YEAR(PV_DATA[[#This Row],[ETA for New Ark update]])</f>
        <v>2026</v>
      </c>
      <c r="BC658" s="430">
        <f>MONTH(PV_DATA[[#This Row],[ETA for New Ark update]])</f>
        <v>8</v>
      </c>
      <c r="BD658" s="430">
        <f>IFERROR(_xlfn.ISOWEEKNUM(PV_DATA[[#This Row],[ETA for New Ark update]]),0)</f>
        <v>35</v>
      </c>
      <c r="BE658" s="430">
        <f>_xlfn.XLOOKUP(PV_DATA[[#This Row],[New Ark SKU]],Table9[New Ark SKU],Table9[Total PCS per Pallet],,0)</f>
        <v>36</v>
      </c>
      <c r="BF658" s="430">
        <f>_xlfn.XLOOKUP(PV_DATA[[#This Row],[New Ark SKU]],Table9[New Ark SKU],Table9[Total PCS per 40HQ Container],,0)</f>
        <v>864</v>
      </c>
      <c r="BG658" s="431" t="str">
        <f>_xlfn.XLOOKUP(PV_DATA[[#This Row],[New Ark SKU]],Table9[New Ark SKU],Table9[Back Glass],,0)</f>
        <v>Black glazing</v>
      </c>
      <c r="BH658" s="430" t="str">
        <f>_xlfn.XLOOKUP(PV_DATA[[#This Row],[PORT DESTINATION]],Table12[PORT DESTINATION],Table12[Cosco Line],,0)</f>
        <v>AEU</v>
      </c>
      <c r="BJ658" s="430"/>
    </row>
    <row r="659" spans="1:62" ht="10.5">
      <c r="A659" s="462" t="s">
        <v>5142</v>
      </c>
      <c r="B659" s="462" t="s">
        <v>61</v>
      </c>
      <c r="C659" s="462" t="str">
        <f>IFERROR(LEFT(PV_DATA[[#This Row],[TCL REFERENCE]],FIND(".",PV_DATA[[#This Row],[TCL REFERENCE]],1)-1),"Main Line")</f>
        <v>26Jun007</v>
      </c>
      <c r="D659" s="462" t="s">
        <v>63</v>
      </c>
      <c r="E659" s="462" t="s">
        <v>64</v>
      </c>
      <c r="F659" s="462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2" t="s">
        <v>402</v>
      </c>
      <c r="H659" s="462" t="s">
        <v>67</v>
      </c>
      <c r="I659" s="462" t="s">
        <v>689</v>
      </c>
      <c r="J659" s="430" t="s">
        <v>1047</v>
      </c>
      <c r="K659" s="430"/>
      <c r="L659" s="430"/>
      <c r="M659" s="430" t="s">
        <v>68</v>
      </c>
      <c r="N659" s="432">
        <v>46188</v>
      </c>
      <c r="O659" s="430" t="s">
        <v>4531</v>
      </c>
      <c r="P659" s="430" t="s">
        <v>5102</v>
      </c>
      <c r="Q659" s="430" t="s">
        <v>103</v>
      </c>
      <c r="R659" s="430" t="str">
        <f>_xlfn.XLOOKUP(PV_DATA[[#This Row],[New Ark SKU]],Table9[New Ark SKU],Table9[Connector],,0)</f>
        <v>H4(Com)</v>
      </c>
      <c r="S659" s="442" t="str">
        <f>_xlfn.XLOOKUP(PV_DATA[[#This Row],[New Ark SKU]],Table9[New Ark SKU],Table9[Cable],,0)</f>
        <v>±1400mm</v>
      </c>
      <c r="T659" s="433">
        <v>620</v>
      </c>
      <c r="U659" s="1088">
        <v>720</v>
      </c>
      <c r="V659" s="434">
        <f>PV_DATA[[#This Row],[QUANTITY]]*PV_DATA[[#This Row],[WATT]]/1000000</f>
        <v>0.44640000000000002</v>
      </c>
      <c r="W659" s="435">
        <f>PV_DATA[[#This Row],[QUANTITY]]/PV_DATA[[#This Row],[Qty/Pallet]]</f>
        <v>20</v>
      </c>
      <c r="X659" s="1040">
        <v>1</v>
      </c>
      <c r="Y659" s="430" t="s">
        <v>2456</v>
      </c>
      <c r="Z659" s="430" t="str">
        <f t="shared" si="7"/>
        <v>COMPLETED</v>
      </c>
      <c r="AA659" s="430"/>
      <c r="AB659" s="437">
        <v>46191</v>
      </c>
      <c r="AC659" s="485">
        <f>IF(PV_DATA[[#This Row],[Pick- Up Date]]&lt;&gt;"",_xlfn.ISOWEEKNUM(PV_DATA[[#This Row],[Pick- Up Date]]),"")</f>
        <v>25</v>
      </c>
      <c r="AD659" s="430" t="s">
        <v>5143</v>
      </c>
      <c r="AE659" s="430"/>
      <c r="AF659" s="430" t="s">
        <v>77</v>
      </c>
      <c r="AG659" s="430" t="s">
        <v>61</v>
      </c>
      <c r="AH659" s="430" t="s">
        <v>78</v>
      </c>
      <c r="AI659" s="437">
        <v>46197</v>
      </c>
      <c r="AK659" s="437">
        <v>46197</v>
      </c>
      <c r="AL659" s="437">
        <v>46254</v>
      </c>
      <c r="AM659" s="586">
        <f>IFERROR(VLOOKUP(AT659, Vessel!A:H, 8, FALSE), "")</f>
        <v>46272.833333333336</v>
      </c>
      <c r="AN659" s="441">
        <v>46272</v>
      </c>
      <c r="AO659" s="430" t="s">
        <v>402</v>
      </c>
      <c r="AP659" s="430" t="s">
        <v>5121</v>
      </c>
      <c r="AQ659" s="430" t="s">
        <v>80</v>
      </c>
      <c r="AR659" s="430" t="s">
        <v>5144</v>
      </c>
      <c r="AS659" s="430" t="s">
        <v>5145</v>
      </c>
      <c r="AT659" s="430" t="s">
        <v>5145</v>
      </c>
      <c r="AU6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7"/>
      <c r="AW659" s="437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7">
        <f>IF(ISERROR(PV_DATA[[#This Row],[New Ark PO status]]),"",_xlfn.XLOOKUP(PV_DATA[[#This Row],[SPTN-PVHK New Ark PO'#]],New_Ark_Data[Purchase order Number],New_Ark_Data[Estimated time of arrival],"",0))</f>
        <v>46286</v>
      </c>
      <c r="AZ65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7">
        <f>IFERROR(PV_DATA[[#This Row],[ODP ETA Port]]+PV_DATA[[#This Row],[Customs/Leg3 Assumption]],"n/a")</f>
        <v>46280</v>
      </c>
      <c r="BB659" s="433">
        <f>YEAR(PV_DATA[[#This Row],[ETA for New Ark update]])</f>
        <v>2026</v>
      </c>
      <c r="BC659" s="430">
        <f>MONTH(PV_DATA[[#This Row],[ETA for New Ark update]])</f>
        <v>9</v>
      </c>
      <c r="BD659" s="430">
        <f>IFERROR(_xlfn.ISOWEEKNUM(PV_DATA[[#This Row],[ETA for New Ark update]]),0)</f>
        <v>38</v>
      </c>
      <c r="BE659" s="430">
        <f>_xlfn.XLOOKUP(PV_DATA[[#This Row],[New Ark SKU]],Table9[New Ark SKU],Table9[Total PCS per Pallet],,0)</f>
        <v>36</v>
      </c>
      <c r="BF659" s="430">
        <f>_xlfn.XLOOKUP(PV_DATA[[#This Row],[New Ark SKU]],Table9[New Ark SKU],Table9[Total PCS per 40HQ Container],,0)</f>
        <v>720</v>
      </c>
      <c r="BG659" s="431" t="str">
        <f>_xlfn.XLOOKUP(PV_DATA[[#This Row],[New Ark SKU]],Table9[New Ark SKU],Table9[Back Glass],,0)</f>
        <v>Transparent</v>
      </c>
      <c r="BH659" s="430" t="str">
        <f>_xlfn.XLOOKUP(PV_DATA[[#This Row],[PORT DESTINATION]],Table12[PORT DESTINATION],Table12[Cosco Line],,0)</f>
        <v>AEM</v>
      </c>
      <c r="BJ659" s="430"/>
    </row>
    <row r="660" spans="1:62" ht="10.5">
      <c r="A660" s="462" t="s">
        <v>5146</v>
      </c>
      <c r="B660" s="462" t="s">
        <v>1757</v>
      </c>
      <c r="C660" s="462" t="str">
        <f>IFERROR(LEFT(PV_DATA[[#This Row],[TCL REFERENCE]],FIND(".",PV_DATA[[#This Row],[TCL REFERENCE]],1)-1),"Main Line")</f>
        <v>26Jun011</v>
      </c>
      <c r="D660" s="462" t="s">
        <v>63</v>
      </c>
      <c r="E660" s="462" t="s">
        <v>144</v>
      </c>
      <c r="F660" s="462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2" t="s">
        <v>402</v>
      </c>
      <c r="H660" s="462" t="s">
        <v>1029</v>
      </c>
      <c r="I660" s="462" t="s">
        <v>689</v>
      </c>
      <c r="J660" s="430" t="s">
        <v>5147</v>
      </c>
      <c r="K660" s="430" t="s">
        <v>4879</v>
      </c>
      <c r="L660" s="430">
        <v>2</v>
      </c>
      <c r="M660" s="430" t="s">
        <v>840</v>
      </c>
      <c r="N660" s="432">
        <v>46195</v>
      </c>
      <c r="O660" s="430" t="s">
        <v>4531</v>
      </c>
      <c r="P660" s="430" t="s">
        <v>71</v>
      </c>
      <c r="Q660" s="430" t="s">
        <v>72</v>
      </c>
      <c r="R660" s="430" t="str">
        <f>_xlfn.XLOOKUP(PV_DATA[[#This Row],[New Ark SKU]],Table9[New Ark SKU],Table9[Connector],,0)</f>
        <v>EVO2A</v>
      </c>
      <c r="S660" s="442" t="str">
        <f>_xlfn.XLOOKUP(PV_DATA[[#This Row],[New Ark SKU]],Table9[New Ark SKU],Table9[Cable],,0)</f>
        <v>±1200mm</v>
      </c>
      <c r="T660" s="433">
        <v>500</v>
      </c>
      <c r="U660" s="1088">
        <f>864*4</f>
        <v>3456</v>
      </c>
      <c r="V660" s="434">
        <f>PV_DATA[[#This Row],[QUANTITY]]*PV_DATA[[#This Row],[WATT]]/1000000</f>
        <v>1.728</v>
      </c>
      <c r="W660" s="435">
        <f>PV_DATA[[#This Row],[QUANTITY]]/PV_DATA[[#This Row],[Qty/Pallet]]</f>
        <v>96</v>
      </c>
      <c r="X660" s="1040">
        <f>PV_DATA[[#This Row],[QUANTITY]]/PV_DATA[[#This Row],[Qty/CT]]</f>
        <v>4</v>
      </c>
      <c r="Y660" s="430" t="s">
        <v>2457</v>
      </c>
      <c r="Z660" s="430" t="str">
        <f t="shared" si="7"/>
        <v>COMPLETED</v>
      </c>
      <c r="AA660" s="430" t="s">
        <v>5148</v>
      </c>
      <c r="AB660" s="437">
        <v>46196</v>
      </c>
      <c r="AC660" s="485">
        <f>IF(PV_DATA[[#This Row],[Pick- Up Date]]&lt;&gt;"",_xlfn.ISOWEEKNUM(PV_DATA[[#This Row],[Pick- Up Date]]),"")</f>
        <v>26</v>
      </c>
      <c r="AD660" s="430" t="s">
        <v>5149</v>
      </c>
      <c r="AE660" s="430"/>
      <c r="AF660" s="459" t="s">
        <v>5150</v>
      </c>
      <c r="AG660" s="459" t="s">
        <v>1525</v>
      </c>
      <c r="AH660" s="430" t="s">
        <v>888</v>
      </c>
      <c r="AI660" s="437">
        <v>46201</v>
      </c>
      <c r="AJ660" s="437">
        <v>46202</v>
      </c>
      <c r="AK660" s="437">
        <v>46203</v>
      </c>
      <c r="AL660" s="437">
        <v>46257</v>
      </c>
      <c r="AN660" s="437">
        <v>46260</v>
      </c>
      <c r="AP660" s="430" t="s">
        <v>5151</v>
      </c>
      <c r="AQ660" s="430" t="s">
        <v>161</v>
      </c>
      <c r="AR660" s="430" t="s">
        <v>5152</v>
      </c>
      <c r="AS660" s="430" t="s">
        <v>5153</v>
      </c>
      <c r="AT660" s="430" t="s">
        <v>5154</v>
      </c>
      <c r="AU6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60" s="437"/>
      <c r="AW660" s="437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7">
        <f>IF(ISERROR(PV_DATA[[#This Row],[New Ark PO status]]),"",_xlfn.XLOOKUP(PV_DATA[[#This Row],[SPTN-PVHK New Ark PO'#]],New_Ark_Data[Purchase order Number],New_Ark_Data[Estimated time of arrival],"",0))</f>
        <v>46257</v>
      </c>
      <c r="AZ66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7">
        <f>IFERROR(PV_DATA[[#This Row],[ODP ETA Port]]+PV_DATA[[#This Row],[Customs/Leg3 Assumption]],"n/a")</f>
        <v>46260</v>
      </c>
      <c r="BB660" s="433">
        <f>YEAR(PV_DATA[[#This Row],[ETA for New Ark update]])</f>
        <v>2026</v>
      </c>
      <c r="BC660" s="430">
        <f>MONTH(PV_DATA[[#This Row],[ETA for New Ark update]])</f>
        <v>8</v>
      </c>
      <c r="BD660" s="430">
        <f>IFERROR(_xlfn.ISOWEEKNUM(PV_DATA[[#This Row],[ETA for New Ark update]]),0)</f>
        <v>35</v>
      </c>
      <c r="BE660" s="430">
        <f>_xlfn.XLOOKUP(PV_DATA[[#This Row],[New Ark SKU]],Table9[New Ark SKU],Table9[Total PCS per Pallet],,0)</f>
        <v>36</v>
      </c>
      <c r="BF660" s="430">
        <f>_xlfn.XLOOKUP(PV_DATA[[#This Row],[New Ark SKU]],Table9[New Ark SKU],Table9[Total PCS per 40HQ Container],,0)</f>
        <v>864</v>
      </c>
      <c r="BG660" s="431" t="str">
        <f>_xlfn.XLOOKUP(PV_DATA[[#This Row],[New Ark SKU]],Table9[New Ark SKU],Table9[Back Glass],,0)</f>
        <v>Black glazing</v>
      </c>
      <c r="BH660" s="430" t="str">
        <f>_xlfn.XLOOKUP(PV_DATA[[#This Row],[PORT DESTINATION]],Table12[PORT DESTINATION],Table12[Cosco Line],,0)</f>
        <v>AEU</v>
      </c>
      <c r="BJ660" s="430"/>
    </row>
    <row r="661" spans="1:62" ht="10.5">
      <c r="A661" s="462" t="s">
        <v>5155</v>
      </c>
      <c r="B661" s="462" t="s">
        <v>1757</v>
      </c>
      <c r="C661" s="462" t="str">
        <f>IFERROR(LEFT(PV_DATA[[#This Row],[TCL REFERENCE]],FIND(".",PV_DATA[[#This Row],[TCL REFERENCE]],1)-1),"Main Line")</f>
        <v>26Jun011</v>
      </c>
      <c r="D661" s="462" t="s">
        <v>63</v>
      </c>
      <c r="E661" s="462" t="s">
        <v>144</v>
      </c>
      <c r="F661" s="462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2" t="s">
        <v>402</v>
      </c>
      <c r="H661" s="462" t="s">
        <v>1029</v>
      </c>
      <c r="I661" s="462" t="s">
        <v>689</v>
      </c>
      <c r="J661" s="430" t="s">
        <v>5156</v>
      </c>
      <c r="K661" s="430" t="s">
        <v>4879</v>
      </c>
      <c r="L661" s="430">
        <v>3</v>
      </c>
      <c r="M661" s="430" t="s">
        <v>840</v>
      </c>
      <c r="N661" s="432">
        <v>46195</v>
      </c>
      <c r="O661" s="430" t="s">
        <v>4531</v>
      </c>
      <c r="P661" s="430" t="s">
        <v>71</v>
      </c>
      <c r="Q661" s="430" t="s">
        <v>72</v>
      </c>
      <c r="R661" s="430" t="str">
        <f>_xlfn.XLOOKUP(PV_DATA[[#This Row],[New Ark SKU]],Table9[New Ark SKU],Table9[Connector],,0)</f>
        <v>EVO2A</v>
      </c>
      <c r="S661" s="442" t="str">
        <f>_xlfn.XLOOKUP(PV_DATA[[#This Row],[New Ark SKU]],Table9[New Ark SKU],Table9[Cable],,0)</f>
        <v>±1200mm</v>
      </c>
      <c r="T661" s="433">
        <v>500</v>
      </c>
      <c r="U661" s="1088">
        <v>4320</v>
      </c>
      <c r="V661" s="434">
        <f>PV_DATA[[#This Row],[QUANTITY]]*PV_DATA[[#This Row],[WATT]]/1000000</f>
        <v>2.16</v>
      </c>
      <c r="W661" s="435">
        <f>PV_DATA[[#This Row],[QUANTITY]]/PV_DATA[[#This Row],[Qty/Pallet]]</f>
        <v>120</v>
      </c>
      <c r="X661" s="1040">
        <f>PV_DATA[[#This Row],[QUANTITY]]/PV_DATA[[#This Row],[Qty/CT]]</f>
        <v>5</v>
      </c>
      <c r="Y661" s="430" t="s">
        <v>2457</v>
      </c>
      <c r="Z661" s="430" t="str">
        <f t="shared" si="7"/>
        <v>COMPLETED</v>
      </c>
      <c r="AA661" s="430" t="s">
        <v>5148</v>
      </c>
      <c r="AB661" s="437">
        <v>46198</v>
      </c>
      <c r="AC661" s="485">
        <f>IF(PV_DATA[[#This Row],[Pick- Up Date]]&lt;&gt;"",_xlfn.ISOWEEKNUM(PV_DATA[[#This Row],[Pick- Up Date]]),"")</f>
        <v>26</v>
      </c>
      <c r="AD661" s="430" t="s">
        <v>5157</v>
      </c>
      <c r="AE661" s="430"/>
      <c r="AF661" s="459" t="s">
        <v>5150</v>
      </c>
      <c r="AG661" s="459" t="s">
        <v>1525</v>
      </c>
      <c r="AH661" s="430" t="s">
        <v>888</v>
      </c>
      <c r="AI661" s="437">
        <v>46203</v>
      </c>
      <c r="AK661" s="437">
        <v>46203</v>
      </c>
      <c r="AL661" s="437">
        <v>46249</v>
      </c>
      <c r="AM661" s="437">
        <v>46257</v>
      </c>
      <c r="AN661" s="437">
        <v>46252</v>
      </c>
      <c r="AP661" s="430" t="s">
        <v>5158</v>
      </c>
      <c r="AQ661" s="430" t="s">
        <v>161</v>
      </c>
      <c r="AR661" s="430" t="s">
        <v>5159</v>
      </c>
      <c r="AS661" s="430" t="s">
        <v>5160</v>
      </c>
      <c r="AT661" s="430" t="s">
        <v>5161</v>
      </c>
      <c r="AU6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61" s="437"/>
      <c r="AW661" s="437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6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7">
        <f>IF(ISERROR(PV_DATA[[#This Row],[New Ark PO status]]),"",_xlfn.XLOOKUP(PV_DATA[[#This Row],[SPTN-PVHK New Ark PO'#]],New_Ark_Data[Purchase order Number],New_Ark_Data[Estimated time of arrival],"",0))</f>
        <v>46249</v>
      </c>
      <c r="AZ66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7">
        <f>IFERROR(PV_DATA[[#This Row],[ODP ETA Port]]+PV_DATA[[#This Row],[Customs/Leg3 Assumption]],"n/a")</f>
        <v>46252</v>
      </c>
      <c r="BB661" s="433">
        <f>YEAR(PV_DATA[[#This Row],[ETA for New Ark update]])</f>
        <v>2026</v>
      </c>
      <c r="BC661" s="430">
        <f>MONTH(PV_DATA[[#This Row],[ETA for New Ark update]])</f>
        <v>8</v>
      </c>
      <c r="BD661" s="430">
        <f>IFERROR(_xlfn.ISOWEEKNUM(PV_DATA[[#This Row],[ETA for New Ark update]]),0)</f>
        <v>34</v>
      </c>
      <c r="BE661" s="430">
        <f>_xlfn.XLOOKUP(PV_DATA[[#This Row],[New Ark SKU]],Table9[New Ark SKU],Table9[Total PCS per Pallet],,0)</f>
        <v>36</v>
      </c>
      <c r="BF661" s="430">
        <f>_xlfn.XLOOKUP(PV_DATA[[#This Row],[New Ark SKU]],Table9[New Ark SKU],Table9[Total PCS per 40HQ Container],,0)</f>
        <v>864</v>
      </c>
      <c r="BG661" s="431" t="str">
        <f>_xlfn.XLOOKUP(PV_DATA[[#This Row],[New Ark SKU]],Table9[New Ark SKU],Table9[Back Glass],,0)</f>
        <v>Black glazing</v>
      </c>
      <c r="BH661" s="430" t="str">
        <f>_xlfn.XLOOKUP(PV_DATA[[#This Row],[PORT DESTINATION]],Table12[PORT DESTINATION],Table12[Cosco Line],,0)</f>
        <v>AEU</v>
      </c>
      <c r="BJ661" s="430"/>
    </row>
    <row r="662" spans="1:62" ht="10.5">
      <c r="A662" s="462" t="s">
        <v>5162</v>
      </c>
      <c r="B662" s="462" t="s">
        <v>1757</v>
      </c>
      <c r="C662" s="462" t="str">
        <f>IFERROR(LEFT(PV_DATA[[#This Row],[TCL REFERENCE]],FIND(".",PV_DATA[[#This Row],[TCL REFERENCE]],1)-1),"Main Line")</f>
        <v>26Jun012</v>
      </c>
      <c r="D662" s="462" t="s">
        <v>63</v>
      </c>
      <c r="E662" s="462" t="s">
        <v>64</v>
      </c>
      <c r="F662" s="462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2" t="s">
        <v>402</v>
      </c>
      <c r="H662" s="462" t="s">
        <v>451</v>
      </c>
      <c r="I662" s="462" t="s">
        <v>689</v>
      </c>
      <c r="J662" s="430" t="s">
        <v>1832</v>
      </c>
      <c r="K662" s="430"/>
      <c r="L662" s="430"/>
      <c r="M662" s="430" t="s">
        <v>68</v>
      </c>
      <c r="N662" s="432">
        <v>46195</v>
      </c>
      <c r="O662" s="430" t="s">
        <v>4531</v>
      </c>
      <c r="P662" s="430" t="s">
        <v>1151</v>
      </c>
      <c r="Q662" s="430" t="s">
        <v>421</v>
      </c>
      <c r="R662" s="430" t="str">
        <f>_xlfn.XLOOKUP(PV_DATA[[#This Row],[New Ark SKU]],Table9[New Ark SKU],Table9[Connector],,0)</f>
        <v>EVO2A</v>
      </c>
      <c r="S662" s="442" t="str">
        <f>_xlfn.XLOOKUP(PV_DATA[[#This Row],[New Ark SKU]],Table9[New Ark SKU],Table9[Cable],,0)</f>
        <v>±1200mm</v>
      </c>
      <c r="T662" s="433">
        <v>505</v>
      </c>
      <c r="U662" s="1088">
        <f>864*1</f>
        <v>864</v>
      </c>
      <c r="V662" s="434">
        <f>PV_DATA[[#This Row],[QUANTITY]]*PV_DATA[[#This Row],[WATT]]/1000000</f>
        <v>0.43631999999999999</v>
      </c>
      <c r="W662" s="435">
        <f>PV_DATA[[#This Row],[QUANTITY]]/PV_DATA[[#This Row],[Qty/Pallet]]</f>
        <v>24</v>
      </c>
      <c r="X662" s="1040">
        <f>PV_DATA[[#This Row],[QUANTITY]]/PV_DATA[[#This Row],[Qty/CT]]</f>
        <v>1</v>
      </c>
      <c r="Y662" s="430" t="s">
        <v>2457</v>
      </c>
      <c r="Z662" s="430" t="str">
        <f t="shared" si="7"/>
        <v>COMPLETED</v>
      </c>
      <c r="AA662" s="430" t="s">
        <v>5148</v>
      </c>
      <c r="AB662" s="437">
        <v>46198</v>
      </c>
      <c r="AC662" s="485">
        <f>IF(PV_DATA[[#This Row],[Pick- Up Date]]&lt;&gt;"",_xlfn.ISOWEEKNUM(PV_DATA[[#This Row],[Pick- Up Date]]),"")</f>
        <v>26</v>
      </c>
      <c r="AD662" s="430" t="s">
        <v>5163</v>
      </c>
      <c r="AE662" s="430"/>
      <c r="AF662" s="459" t="s">
        <v>5034</v>
      </c>
      <c r="AG662" s="459" t="s">
        <v>123</v>
      </c>
      <c r="AH662" s="430" t="s">
        <v>456</v>
      </c>
      <c r="AI662" s="437">
        <v>46202</v>
      </c>
      <c r="AJ662" s="437">
        <v>46204</v>
      </c>
      <c r="AK662" s="437">
        <v>46204</v>
      </c>
      <c r="AL662" s="437">
        <v>46243</v>
      </c>
      <c r="AM662" s="586"/>
      <c r="AN662" s="586">
        <v>46256.481874999998</v>
      </c>
      <c r="AP662" s="430" t="s">
        <v>5164</v>
      </c>
      <c r="AQ662" s="438" t="s">
        <v>80</v>
      </c>
      <c r="AR662" s="430" t="s">
        <v>5165</v>
      </c>
      <c r="AS662" s="430" t="s">
        <v>5166</v>
      </c>
      <c r="AT662" s="430" t="s">
        <v>5166</v>
      </c>
      <c r="AU6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V662" s="437"/>
      <c r="AW662" s="437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2" s="437">
        <f>IF(ISERROR(PV_DATA[[#This Row],[New Ark PO status]]),"",_xlfn.XLOOKUP(PV_DATA[[#This Row],[SPTN-PVHK New Ark PO'#]],New_Ark_Data[Purchase order Number],New_Ark_Data[Estimated time of arrival],"",0))</f>
        <v>46269</v>
      </c>
      <c r="AZ66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7">
        <f>IFERROR(PV_DATA[[#This Row],[ODP ETA Port]]+PV_DATA[[#This Row],[Customs/Leg3 Assumption]],"n/a")</f>
        <v>46263.481874999998</v>
      </c>
      <c r="BB662" s="433">
        <f>YEAR(PV_DATA[[#This Row],[ETA for New Ark update]])</f>
        <v>2026</v>
      </c>
      <c r="BC662" s="430">
        <f>MONTH(PV_DATA[[#This Row],[ETA for New Ark update]])</f>
        <v>8</v>
      </c>
      <c r="BD662" s="430">
        <f>IFERROR(_xlfn.ISOWEEKNUM(PV_DATA[[#This Row],[ETA for New Ark update]]),0)</f>
        <v>35</v>
      </c>
      <c r="BE662" s="430">
        <f>_xlfn.XLOOKUP(PV_DATA[[#This Row],[New Ark SKU]],Table9[New Ark SKU],Table9[Total PCS per Pallet],,0)</f>
        <v>36</v>
      </c>
      <c r="BF662" s="430">
        <f>_xlfn.XLOOKUP(PV_DATA[[#This Row],[New Ark SKU]],Table9[New Ark SKU],Table9[Total PCS per 40HQ Container],,0)</f>
        <v>864</v>
      </c>
      <c r="BG662" s="431" t="str">
        <f>_xlfn.XLOOKUP(PV_DATA[[#This Row],[New Ark SKU]],Table9[New Ark SKU],Table9[Back Glass],,0)</f>
        <v>Black glazing</v>
      </c>
      <c r="BH662" s="430" t="str">
        <f>_xlfn.XLOOKUP(PV_DATA[[#This Row],[PORT DESTINATION]],Table12[PORT DESTINATION],Table12[Cosco Line],,0)</f>
        <v>AEU</v>
      </c>
      <c r="BJ662" s="430"/>
    </row>
    <row r="663" spans="1:62" ht="10.5">
      <c r="A663" s="462" t="s">
        <v>5167</v>
      </c>
      <c r="B663" s="462" t="s">
        <v>111</v>
      </c>
      <c r="C663" s="462" t="str">
        <f>IFERROR(LEFT(PV_DATA[[#This Row],[TCL REFERENCE]],FIND(".",PV_DATA[[#This Row],[TCL REFERENCE]],1)-1),"Main Line")</f>
        <v>26Jun002</v>
      </c>
      <c r="D663" s="462" t="s">
        <v>63</v>
      </c>
      <c r="E663" s="462" t="s">
        <v>64</v>
      </c>
      <c r="F663" s="462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2" t="s">
        <v>402</v>
      </c>
      <c r="H663" s="462" t="s">
        <v>451</v>
      </c>
      <c r="I663" s="462" t="s">
        <v>689</v>
      </c>
      <c r="J663" s="430" t="s">
        <v>96</v>
      </c>
      <c r="K663" s="430"/>
      <c r="L663" s="430"/>
      <c r="M663" s="430" t="s">
        <v>68</v>
      </c>
      <c r="N663" s="432">
        <v>46192</v>
      </c>
      <c r="O663" s="430" t="s">
        <v>550</v>
      </c>
      <c r="P663" s="430" t="s">
        <v>2134</v>
      </c>
      <c r="Q663" s="430" t="s">
        <v>2135</v>
      </c>
      <c r="R663" s="430" t="str">
        <f>_xlfn.XLOOKUP(PV_DATA[[#This Row],[New Ark SKU]],Table9[New Ark SKU],Table9[Connector],,0)</f>
        <v>EVO2A</v>
      </c>
      <c r="S663" s="442" t="str">
        <f>_xlfn.XLOOKUP(PV_DATA[[#This Row],[New Ark SKU]],Table9[New Ark SKU],Table9[Cable],,0)</f>
        <v>±1350mm</v>
      </c>
      <c r="T663" s="433">
        <v>515</v>
      </c>
      <c r="U663" s="1088">
        <f>792*2</f>
        <v>1584</v>
      </c>
      <c r="V663" s="434">
        <f>PV_DATA[[#This Row],[QUANTITY]]*PV_DATA[[#This Row],[WATT]]/1000000</f>
        <v>0.81576000000000004</v>
      </c>
      <c r="W663" s="435">
        <f>PV_DATA[[#This Row],[QUANTITY]]/PV_DATA[[#This Row],[Qty/Pallet]]</f>
        <v>44</v>
      </c>
      <c r="X663" s="1040">
        <f>PV_DATA[[#This Row],[QUANTITY]]/PV_DATA[[#This Row],[Qty/CT]]</f>
        <v>2</v>
      </c>
      <c r="Y663" s="430" t="s">
        <v>2457</v>
      </c>
      <c r="Z663" s="430" t="str">
        <f t="shared" si="7"/>
        <v>COMPLETED</v>
      </c>
      <c r="AA663" s="430" t="s">
        <v>5168</v>
      </c>
      <c r="AB663" s="437">
        <v>46198</v>
      </c>
      <c r="AC663" s="485">
        <f>IF(PV_DATA[[#This Row],[Pick- Up Date]]&lt;&gt;"",_xlfn.ISOWEEKNUM(PV_DATA[[#This Row],[Pick- Up Date]]),"")</f>
        <v>26</v>
      </c>
      <c r="AD663" s="430" t="s">
        <v>5169</v>
      </c>
      <c r="AE663" s="430"/>
      <c r="AF663" s="430" t="s">
        <v>122</v>
      </c>
      <c r="AG663" s="430" t="s">
        <v>123</v>
      </c>
      <c r="AH663" s="430" t="s">
        <v>456</v>
      </c>
      <c r="AI663" s="437">
        <v>46202</v>
      </c>
      <c r="AJ663" s="437">
        <v>46204</v>
      </c>
      <c r="AK663" s="437">
        <v>46204</v>
      </c>
      <c r="AL663" s="732">
        <v>46243</v>
      </c>
      <c r="AM663" s="588"/>
      <c r="AN663" s="586">
        <v>46256.481874999998</v>
      </c>
      <c r="AP663" s="430" t="s">
        <v>5164</v>
      </c>
      <c r="AQ663" s="438" t="s">
        <v>80</v>
      </c>
      <c r="AR663" s="430" t="s">
        <v>5170</v>
      </c>
      <c r="AS663" s="430" t="s">
        <v>5171</v>
      </c>
      <c r="AT663" s="430" t="s">
        <v>5171</v>
      </c>
      <c r="AU6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W663" s="437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3" s="437">
        <f>IF(ISERROR(PV_DATA[[#This Row],[New Ark PO status]]),"",_xlfn.XLOOKUP(PV_DATA[[#This Row],[SPTN-PVHK New Ark PO'#]],New_Ark_Data[Purchase order Number],New_Ark_Data[Estimated time of arrival],"",0))</f>
        <v>46269</v>
      </c>
      <c r="AZ66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7">
        <f>IFERROR(PV_DATA[[#This Row],[ODP ETA Port]]+PV_DATA[[#This Row],[Customs/Leg3 Assumption]],"n/a")</f>
        <v>46263.481874999998</v>
      </c>
      <c r="BB663" s="433">
        <f>YEAR(PV_DATA[[#This Row],[ETA for New Ark update]])</f>
        <v>2026</v>
      </c>
      <c r="BC663" s="430">
        <f>MONTH(PV_DATA[[#This Row],[ETA for New Ark update]])</f>
        <v>8</v>
      </c>
      <c r="BD663" s="430">
        <f>IFERROR(_xlfn.ISOWEEKNUM(PV_DATA[[#This Row],[ETA for New Ark update]]),0)</f>
        <v>35</v>
      </c>
      <c r="BE663" s="430">
        <f>_xlfn.XLOOKUP(PV_DATA[[#This Row],[New Ark SKU]],Table9[New Ark SKU],Table9[Total PCS per Pallet],,0)</f>
        <v>36</v>
      </c>
      <c r="BF663" s="430">
        <f>_xlfn.XLOOKUP(PV_DATA[[#This Row],[New Ark SKU]],Table9[New Ark SKU],Table9[Total PCS per 40HQ Container],,0)</f>
        <v>792</v>
      </c>
      <c r="BG663" s="431" t="str">
        <f>_xlfn.XLOOKUP(PV_DATA[[#This Row],[New Ark SKU]],Table9[New Ark SKU],Table9[Back Glass],,0)</f>
        <v>Black glazing</v>
      </c>
      <c r="BH663" s="430" t="str">
        <f>_xlfn.XLOOKUP(PV_DATA[[#This Row],[PORT DESTINATION]],Table12[PORT DESTINATION],Table12[Cosco Line],,0)</f>
        <v>AEU</v>
      </c>
      <c r="BJ663" s="430"/>
    </row>
    <row r="664" spans="1:62" ht="10.5">
      <c r="A664" s="462" t="s">
        <v>5172</v>
      </c>
      <c r="B664" s="462" t="s">
        <v>111</v>
      </c>
      <c r="C664" s="462" t="s">
        <v>5173</v>
      </c>
      <c r="D664" s="462" t="s">
        <v>63</v>
      </c>
      <c r="E664" s="462" t="s">
        <v>144</v>
      </c>
      <c r="F664" s="462" t="s">
        <v>145</v>
      </c>
      <c r="G664" s="462" t="s">
        <v>402</v>
      </c>
      <c r="H664" s="713" t="s">
        <v>1449</v>
      </c>
      <c r="I664" s="462" t="s">
        <v>822</v>
      </c>
      <c r="J664" s="430" t="s">
        <v>4591</v>
      </c>
      <c r="K664" s="430" t="s">
        <v>1451</v>
      </c>
      <c r="L664" s="430">
        <v>27</v>
      </c>
      <c r="M664" s="430" t="s">
        <v>840</v>
      </c>
      <c r="N664" s="432">
        <v>46181</v>
      </c>
      <c r="O664" s="430" t="s">
        <v>4531</v>
      </c>
      <c r="P664" s="430" t="s">
        <v>5041</v>
      </c>
      <c r="Q664" s="430" t="s">
        <v>1807</v>
      </c>
      <c r="R664" s="430" t="str">
        <f>_xlfn.XLOOKUP(PV_DATA[[#This Row],[New Ark SKU]],Table9[New Ark SKU],Table9[Connector],,0)</f>
        <v>H4(Com)</v>
      </c>
      <c r="S664" s="442" t="str">
        <f>_xlfn.XLOOKUP(PV_DATA[[#This Row],[New Ark SKU]],Table9[New Ark SKU],Table9[Cable],,0)</f>
        <v>+400mm/-200mm</v>
      </c>
      <c r="T664" s="433">
        <v>720</v>
      </c>
      <c r="U664" s="1088">
        <v>594</v>
      </c>
      <c r="V664" s="544">
        <f>PV_DATA[[#This Row],[QUANTITY]]*PV_DATA[[#This Row],[WATT]]/1000000</f>
        <v>0.42768</v>
      </c>
      <c r="W664" s="435">
        <f>PV_DATA[[#This Row],[QUANTITY]]/PV_DATA[[#This Row],[Qty/Pallet]]</f>
        <v>18</v>
      </c>
      <c r="X664" s="1040">
        <v>1</v>
      </c>
      <c r="Y664" s="430" t="s">
        <v>2455</v>
      </c>
      <c r="Z664" s="430" t="str">
        <f t="shared" si="7"/>
        <v>COMPLETED</v>
      </c>
      <c r="AA664" s="430" t="s">
        <v>5038</v>
      </c>
      <c r="AB664" s="437">
        <v>46199</v>
      </c>
      <c r="AC664" s="485">
        <f>IF(PV_DATA[[#This Row],[Pick- Up Date]]&lt;&gt;"",_xlfn.ISOWEEKNUM(PV_DATA[[#This Row],[Pick- Up Date]]),"")</f>
        <v>26</v>
      </c>
      <c r="AD664" s="430" t="s">
        <v>5174</v>
      </c>
      <c r="AE664" s="435"/>
      <c r="AF664" s="430" t="s">
        <v>122</v>
      </c>
      <c r="AG664" s="430" t="s">
        <v>123</v>
      </c>
      <c r="AH664" s="430" t="s">
        <v>105</v>
      </c>
      <c r="AI664" s="437">
        <v>46204</v>
      </c>
      <c r="AJ664" s="437">
        <v>46206</v>
      </c>
      <c r="AK664" s="437">
        <v>46206</v>
      </c>
      <c r="AL664" s="437">
        <v>46238</v>
      </c>
      <c r="AM664" s="441">
        <f>IFERROR(IF(VLOOKUP(AT664, Vessel!A:H, 8, FALSE)=0, "", VLOOKUP(AT664, Vessel!A:H, 8, FALSE)), "")</f>
        <v>46244.291666666664</v>
      </c>
      <c r="AN664" s="586">
        <v>46244.348958333336</v>
      </c>
      <c r="AP664" s="430" t="s">
        <v>5121</v>
      </c>
      <c r="AQ664" s="438" t="s">
        <v>80</v>
      </c>
      <c r="AR664" s="430" t="s">
        <v>5175</v>
      </c>
      <c r="AS664" s="430" t="s">
        <v>5176</v>
      </c>
      <c r="AT664" s="430" t="s">
        <v>5176</v>
      </c>
      <c r="AU6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4" s="437"/>
      <c r="AW664" s="437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7">
        <f>IF(ISERROR(PV_DATA[[#This Row],[New Ark PO status]]),"",_xlfn.XLOOKUP(PV_DATA[[#This Row],[SPTN-PVHK New Ark PO'#]],New_Ark_Data[Purchase order Number],New_Ark_Data[Estimated time of arrival],"",0))</f>
        <v>46238</v>
      </c>
      <c r="AZ66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7">
        <f>IFERROR(PV_DATA[[#This Row],[ODP ETA Port]]+PV_DATA[[#This Row],[Customs/Leg3 Assumption]],"n/a")</f>
        <v>46244.348958333336</v>
      </c>
      <c r="BB664" s="433">
        <f>YEAR(PV_DATA[[#This Row],[ETA for New Ark update]])</f>
        <v>2026</v>
      </c>
      <c r="BC664" s="430">
        <f>MONTH(PV_DATA[[#This Row],[ETA for New Ark update]])</f>
        <v>8</v>
      </c>
      <c r="BD664" s="430">
        <f>IFERROR(_xlfn.ISOWEEKNUM(PV_DATA[[#This Row],[ETA for New Ark update]]),0)</f>
        <v>33</v>
      </c>
      <c r="BE664" s="430">
        <f>_xlfn.XLOOKUP(PV_DATA[[#This Row],[New Ark SKU]],Table9[New Ark SKU],Table9[Total PCS per Pallet],,0)</f>
        <v>33</v>
      </c>
      <c r="BF664" s="430">
        <f>_xlfn.XLOOKUP(PV_DATA[[#This Row],[New Ark SKU]],Table9[New Ark SKU],Table9[Total PCS per 40HQ Container],,0)</f>
        <v>594</v>
      </c>
      <c r="BG664" s="431" t="str">
        <f>_xlfn.XLOOKUP(PV_DATA[[#This Row],[New Ark SKU]],Table9[New Ark SKU],Table9[Back Glass],,0)</f>
        <v>Transparent</v>
      </c>
      <c r="BH664" s="430" t="str">
        <f>_xlfn.XLOOKUP(PV_DATA[[#This Row],[PORT DESTINATION]],Table12[PORT DESTINATION],Table12[Cosco Line],,0)</f>
        <v>AEU</v>
      </c>
      <c r="BJ664" s="430"/>
    </row>
    <row r="665" spans="1:62" ht="10.5">
      <c r="A665" s="462" t="s">
        <v>5177</v>
      </c>
      <c r="B665" s="462" t="s">
        <v>111</v>
      </c>
      <c r="C665" s="462" t="str">
        <f>IFERROR(LEFT(PV_DATA[[#This Row],[TCL REFERENCE]],FIND(".",PV_DATA[[#This Row],[TCL REFERENCE]],1)-1),"Main Line")</f>
        <v>26May013</v>
      </c>
      <c r="D665" s="462" t="s">
        <v>63</v>
      </c>
      <c r="E665" s="462" t="s">
        <v>144</v>
      </c>
      <c r="F665" s="462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2" t="s">
        <v>402</v>
      </c>
      <c r="H665" s="713" t="s">
        <v>1449</v>
      </c>
      <c r="I665" s="462" t="s">
        <v>822</v>
      </c>
      <c r="J665" s="430" t="s">
        <v>4591</v>
      </c>
      <c r="K665" s="430" t="s">
        <v>1451</v>
      </c>
      <c r="L665" s="430">
        <v>28</v>
      </c>
      <c r="M665" s="430" t="s">
        <v>840</v>
      </c>
      <c r="N665" s="432">
        <v>46181</v>
      </c>
      <c r="O665" s="430" t="s">
        <v>4531</v>
      </c>
      <c r="P665" s="430" t="s">
        <v>5041</v>
      </c>
      <c r="Q665" s="430" t="s">
        <v>1807</v>
      </c>
      <c r="R665" s="430" t="str">
        <f>_xlfn.XLOOKUP(PV_DATA[[#This Row],[New Ark SKU]],Table9[New Ark SKU],Table9[Connector],,0)</f>
        <v>H4(Com)</v>
      </c>
      <c r="S665" s="442" t="str">
        <f>_xlfn.XLOOKUP(PV_DATA[[#This Row],[New Ark SKU]],Table9[New Ark SKU],Table9[Cable],,0)</f>
        <v>+400mm/-200mm</v>
      </c>
      <c r="T665" s="433">
        <v>720</v>
      </c>
      <c r="U665" s="1088">
        <f>594*10</f>
        <v>5940</v>
      </c>
      <c r="V665" s="544">
        <f>PV_DATA[[#This Row],[QUANTITY]]*PV_DATA[[#This Row],[WATT]]/1000000</f>
        <v>4.2767999999999997</v>
      </c>
      <c r="W665" s="435">
        <f>PV_DATA[[#This Row],[QUANTITY]]/PV_DATA[[#This Row],[Qty/Pallet]]</f>
        <v>180</v>
      </c>
      <c r="X665" s="1040">
        <f>PV_DATA[[#This Row],[QUANTITY]]/PV_DATA[[#This Row],[Qty/CT]]</f>
        <v>10</v>
      </c>
      <c r="Y665" s="430" t="s">
        <v>2456</v>
      </c>
      <c r="Z665" s="430" t="str">
        <f t="shared" si="7"/>
        <v>COMPLETED</v>
      </c>
      <c r="AA665" s="430" t="s">
        <v>5038</v>
      </c>
      <c r="AB665" s="437">
        <v>46199</v>
      </c>
      <c r="AC665" s="485">
        <f>IF(PV_DATA[[#This Row],[Pick- Up Date]]&lt;&gt;"",_xlfn.ISOWEEKNUM(PV_DATA[[#This Row],[Pick- Up Date]]),"")</f>
        <v>26</v>
      </c>
      <c r="AD665" s="435" t="s">
        <v>5178</v>
      </c>
      <c r="AE665" s="435"/>
      <c r="AF665" s="430" t="s">
        <v>122</v>
      </c>
      <c r="AG665" s="430" t="s">
        <v>123</v>
      </c>
      <c r="AH665" s="430" t="s">
        <v>105</v>
      </c>
      <c r="AI665" s="437">
        <v>46204</v>
      </c>
      <c r="AJ665" s="437">
        <v>46206</v>
      </c>
      <c r="AK665" s="437">
        <v>46206</v>
      </c>
      <c r="AL665" s="437">
        <v>46238</v>
      </c>
      <c r="AM665" s="441">
        <f>IFERROR(IF(VLOOKUP(AT665, Vessel!A:H, 8, FALSE)=0, "", VLOOKUP(AT665, Vessel!A:H, 8, FALSE)), "")</f>
        <v>46244.291666666664</v>
      </c>
      <c r="AN665" s="586">
        <v>46244.348958333336</v>
      </c>
      <c r="AP665" s="430" t="s">
        <v>5121</v>
      </c>
      <c r="AQ665" s="438" t="s">
        <v>80</v>
      </c>
      <c r="AR665" s="430" t="s">
        <v>5175</v>
      </c>
      <c r="AS665" s="430" t="s">
        <v>5176</v>
      </c>
      <c r="AT665" s="430" t="s">
        <v>5176</v>
      </c>
      <c r="AU6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5" s="437"/>
      <c r="AW665" s="437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7">
        <f>IF(ISERROR(PV_DATA[[#This Row],[New Ark PO status]]),"",_xlfn.XLOOKUP(PV_DATA[[#This Row],[SPTN-PVHK New Ark PO'#]],New_Ark_Data[Purchase order Number],New_Ark_Data[Estimated time of arrival],"",0))</f>
        <v>46238</v>
      </c>
      <c r="AZ66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7">
        <f>IFERROR(PV_DATA[[#This Row],[ODP ETA Port]]+PV_DATA[[#This Row],[Customs/Leg3 Assumption]],"n/a")</f>
        <v>46244.348958333336</v>
      </c>
      <c r="BB665" s="433">
        <f>YEAR(PV_DATA[[#This Row],[ETA for New Ark update]])</f>
        <v>2026</v>
      </c>
      <c r="BC665" s="430">
        <f>MONTH(PV_DATA[[#This Row],[ETA for New Ark update]])</f>
        <v>8</v>
      </c>
      <c r="BD665" s="430">
        <f>IFERROR(_xlfn.ISOWEEKNUM(PV_DATA[[#This Row],[ETA for New Ark update]]),0)</f>
        <v>33</v>
      </c>
      <c r="BE665" s="430">
        <f>_xlfn.XLOOKUP(PV_DATA[[#This Row],[New Ark SKU]],Table9[New Ark SKU],Table9[Total PCS per Pallet],,0)</f>
        <v>33</v>
      </c>
      <c r="BF665" s="430">
        <f>_xlfn.XLOOKUP(PV_DATA[[#This Row],[New Ark SKU]],Table9[New Ark SKU],Table9[Total PCS per 40HQ Container],,0)</f>
        <v>594</v>
      </c>
      <c r="BG665" s="431" t="str">
        <f>_xlfn.XLOOKUP(PV_DATA[[#This Row],[New Ark SKU]],Table9[New Ark SKU],Table9[Back Glass],,0)</f>
        <v>Transparent</v>
      </c>
      <c r="BH665" s="430" t="str">
        <f>_xlfn.XLOOKUP(PV_DATA[[#This Row],[PORT DESTINATION]],Table12[PORT DESTINATION],Table12[Cosco Line],,0)</f>
        <v>AEU</v>
      </c>
      <c r="BJ665" s="430"/>
    </row>
    <row r="666" spans="1:62" ht="10.5">
      <c r="A666" s="462" t="s">
        <v>5179</v>
      </c>
      <c r="B666" s="462" t="s">
        <v>111</v>
      </c>
      <c r="C666" s="462" t="str">
        <f>IFERROR(LEFT(PV_DATA[[#This Row],[TCL REFERENCE]],FIND(".",PV_DATA[[#This Row],[TCL REFERENCE]],1)-1),"Main Line")</f>
        <v>26May014</v>
      </c>
      <c r="D666" s="462" t="s">
        <v>63</v>
      </c>
      <c r="E666" s="462" t="s">
        <v>144</v>
      </c>
      <c r="F666" s="462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2" t="s">
        <v>402</v>
      </c>
      <c r="H666" s="713" t="s">
        <v>1449</v>
      </c>
      <c r="I666" s="462" t="s">
        <v>689</v>
      </c>
      <c r="J666" s="430" t="s">
        <v>4591</v>
      </c>
      <c r="K666" s="430" t="s">
        <v>1451</v>
      </c>
      <c r="L666" s="430">
        <v>32</v>
      </c>
      <c r="M666" s="430" t="s">
        <v>840</v>
      </c>
      <c r="N666" s="432">
        <v>46181</v>
      </c>
      <c r="O666" s="430" t="s">
        <v>4531</v>
      </c>
      <c r="P666" s="430" t="s">
        <v>5057</v>
      </c>
      <c r="Q666" s="430" t="s">
        <v>1484</v>
      </c>
      <c r="R666" s="430" t="str">
        <f>_xlfn.XLOOKUP(PV_DATA[[#This Row],[New Ark SKU]],Table9[New Ark SKU],Table9[Connector],,0)</f>
        <v>H4(Com)</v>
      </c>
      <c r="S666" s="442" t="str">
        <f>_xlfn.XLOOKUP(PV_DATA[[#This Row],[New Ark SKU]],Table9[New Ark SKU],Table9[Cable],,0)</f>
        <v>+400mm/-200mm</v>
      </c>
      <c r="T666" s="433">
        <v>725</v>
      </c>
      <c r="U666" s="1088">
        <f>594*5</f>
        <v>2970</v>
      </c>
      <c r="V666" s="544">
        <f>PV_DATA[[#This Row],[QUANTITY]]*PV_DATA[[#This Row],[WATT]]/1000000</f>
        <v>2.1532499999999999</v>
      </c>
      <c r="W666" s="435">
        <f>PV_DATA[[#This Row],[QUANTITY]]/PV_DATA[[#This Row],[Qty/Pallet]]</f>
        <v>90</v>
      </c>
      <c r="X666" s="1040">
        <f>PV_DATA[[#This Row],[QUANTITY]]/PV_DATA[[#This Row],[Qty/CT]]</f>
        <v>5</v>
      </c>
      <c r="Y666" s="430" t="s">
        <v>2455</v>
      </c>
      <c r="Z666" s="430" t="str">
        <f t="shared" si="7"/>
        <v>COMPLETED</v>
      </c>
      <c r="AA666" s="430" t="s">
        <v>5058</v>
      </c>
      <c r="AB666" s="437">
        <v>46194</v>
      </c>
      <c r="AC666" s="485">
        <f>IF(PV_DATA[[#This Row],[Pick- Up Date]]&lt;&gt;"",_xlfn.ISOWEEKNUM(PV_DATA[[#This Row],[Pick- Up Date]]),"")</f>
        <v>25</v>
      </c>
      <c r="AD666" s="430" t="s">
        <v>5180</v>
      </c>
      <c r="AE666" s="435"/>
      <c r="AF666" s="430" t="s">
        <v>122</v>
      </c>
      <c r="AG666" s="430" t="s">
        <v>123</v>
      </c>
      <c r="AH666" s="430" t="s">
        <v>105</v>
      </c>
      <c r="AI666" s="437">
        <v>46203</v>
      </c>
      <c r="AJ666" s="437">
        <v>46220</v>
      </c>
      <c r="AK666" s="437">
        <v>46220</v>
      </c>
      <c r="AL666" s="437">
        <v>46239</v>
      </c>
      <c r="AM666" s="586">
        <f>IFERROR(VLOOKUP(AT666, Vessel!A:H, 8, FALSE), "")</f>
        <v>46260.5</v>
      </c>
      <c r="AN666" s="586">
        <v>46260</v>
      </c>
      <c r="AP666" s="430" t="s">
        <v>5181</v>
      </c>
      <c r="AQ666" s="438" t="s">
        <v>80</v>
      </c>
      <c r="AR666" s="430" t="s">
        <v>5182</v>
      </c>
      <c r="AS666" s="430" t="s">
        <v>5183</v>
      </c>
      <c r="AT666" s="430" t="s">
        <v>5183</v>
      </c>
      <c r="AU6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7"/>
      <c r="AW666" s="437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7">
        <f>IF(ISERROR(PV_DATA[[#This Row],[New Ark PO status]]),"",_xlfn.XLOOKUP(PV_DATA[[#This Row],[SPTN-PVHK New Ark PO'#]],New_Ark_Data[Purchase order Number],New_Ark_Data[Estimated time of arrival],"",0))</f>
        <v>46239</v>
      </c>
      <c r="AZ66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7">
        <f>IFERROR(PV_DATA[[#This Row],[ODP ETA Port]]+PV_DATA[[#This Row],[Customs/Leg3 Assumption]],"n/a")</f>
        <v>46260</v>
      </c>
      <c r="BB666" s="433">
        <f>YEAR(PV_DATA[[#This Row],[ETA for New Ark update]])</f>
        <v>2026</v>
      </c>
      <c r="BC666" s="430">
        <f>MONTH(PV_DATA[[#This Row],[ETA for New Ark update]])</f>
        <v>8</v>
      </c>
      <c r="BD666" s="430">
        <f>IFERROR(_xlfn.ISOWEEKNUM(PV_DATA[[#This Row],[ETA for New Ark update]]),0)</f>
        <v>35</v>
      </c>
      <c r="BE666" s="430">
        <f>_xlfn.XLOOKUP(PV_DATA[[#This Row],[New Ark SKU]],Table9[New Ark SKU],Table9[Total PCS per Pallet],,0)</f>
        <v>33</v>
      </c>
      <c r="BF666" s="430">
        <f>_xlfn.XLOOKUP(PV_DATA[[#This Row],[New Ark SKU]],Table9[New Ark SKU],Table9[Total PCS per 40HQ Container],,0)</f>
        <v>594</v>
      </c>
      <c r="BG666" s="431" t="str">
        <f>_xlfn.XLOOKUP(PV_DATA[[#This Row],[New Ark SKU]],Table9[New Ark SKU],Table9[Back Glass],,0)</f>
        <v>Transparent</v>
      </c>
      <c r="BH666" s="430" t="str">
        <f>_xlfn.XLOOKUP(PV_DATA[[#This Row],[PORT DESTINATION]],Table12[PORT DESTINATION],Table12[Cosco Line],,0)</f>
        <v>AEU</v>
      </c>
      <c r="BJ666" s="430"/>
    </row>
    <row r="667" spans="1:62" ht="10.5">
      <c r="A667" s="462" t="s">
        <v>5184</v>
      </c>
      <c r="B667" s="462" t="s">
        <v>111</v>
      </c>
      <c r="C667" s="462" t="str">
        <f>IFERROR(LEFT(PV_DATA[[#This Row],[TCL REFERENCE]],FIND(".",PV_DATA[[#This Row],[TCL REFERENCE]],1)-1),"Main Line")</f>
        <v>26May014</v>
      </c>
      <c r="D667" s="462" t="s">
        <v>63</v>
      </c>
      <c r="E667" s="462" t="s">
        <v>144</v>
      </c>
      <c r="F667" s="462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2" t="s">
        <v>402</v>
      </c>
      <c r="H667" s="713" t="s">
        <v>1449</v>
      </c>
      <c r="I667" s="462" t="s">
        <v>689</v>
      </c>
      <c r="J667" s="430" t="s">
        <v>4591</v>
      </c>
      <c r="K667" s="430" t="s">
        <v>1451</v>
      </c>
      <c r="L667" s="430">
        <v>33</v>
      </c>
      <c r="M667" s="430" t="s">
        <v>840</v>
      </c>
      <c r="N667" s="432">
        <v>46181</v>
      </c>
      <c r="O667" s="430" t="s">
        <v>4531</v>
      </c>
      <c r="P667" s="430" t="s">
        <v>5057</v>
      </c>
      <c r="Q667" s="430" t="s">
        <v>1484</v>
      </c>
      <c r="R667" s="430" t="str">
        <f>_xlfn.XLOOKUP(PV_DATA[[#This Row],[New Ark SKU]],Table9[New Ark SKU],Table9[Connector],,0)</f>
        <v>H4(Com)</v>
      </c>
      <c r="S667" s="442" t="str">
        <f>_xlfn.XLOOKUP(PV_DATA[[#This Row],[New Ark SKU]],Table9[New Ark SKU],Table9[Cable],,0)</f>
        <v>+400mm/-200mm</v>
      </c>
      <c r="T667" s="433">
        <v>725</v>
      </c>
      <c r="U667" s="1088">
        <v>594</v>
      </c>
      <c r="V667" s="544">
        <f>PV_DATA[[#This Row],[QUANTITY]]*PV_DATA[[#This Row],[WATT]]/1000000</f>
        <v>0.43064999999999998</v>
      </c>
      <c r="W667" s="435">
        <f>PV_DATA[[#This Row],[QUANTITY]]/PV_DATA[[#This Row],[Qty/Pallet]]</f>
        <v>18</v>
      </c>
      <c r="X667" s="1040">
        <f>PV_DATA[[#This Row],[QUANTITY]]/PV_DATA[[#This Row],[Qty/CT]]</f>
        <v>1</v>
      </c>
      <c r="Y667" s="430" t="s">
        <v>2457</v>
      </c>
      <c r="Z667" s="430" t="str">
        <f t="shared" si="7"/>
        <v>COMPLETED</v>
      </c>
      <c r="AA667" s="430" t="s">
        <v>5058</v>
      </c>
      <c r="AB667" s="437">
        <v>46196</v>
      </c>
      <c r="AC667" s="485">
        <f>IF(PV_DATA[[#This Row],[Pick- Up Date]]&lt;&gt;"",_xlfn.ISOWEEKNUM(PV_DATA[[#This Row],[Pick- Up Date]]),"")</f>
        <v>26</v>
      </c>
      <c r="AD667" s="430" t="s">
        <v>5185</v>
      </c>
      <c r="AE667" s="430"/>
      <c r="AF667" s="430" t="s">
        <v>122</v>
      </c>
      <c r="AG667" s="430" t="s">
        <v>123</v>
      </c>
      <c r="AH667" s="430" t="s">
        <v>105</v>
      </c>
      <c r="AI667" s="437">
        <v>46204</v>
      </c>
      <c r="AJ667" s="437">
        <v>46206</v>
      </c>
      <c r="AK667" s="437">
        <v>46206</v>
      </c>
      <c r="AL667" s="437">
        <v>46249</v>
      </c>
      <c r="AM667" s="441">
        <f>IFERROR(IF(VLOOKUP(AT667, Vessel!A:H, 8, FALSE)=0, "", VLOOKUP(AT667, Vessel!A:H, 8, FALSE)), "")</f>
        <v>46244.291666666664</v>
      </c>
      <c r="AN667" s="586">
        <v>46244.348958333336</v>
      </c>
      <c r="AP667" s="430" t="s">
        <v>5164</v>
      </c>
      <c r="AQ667" s="438" t="s">
        <v>80</v>
      </c>
      <c r="AR667" s="430" t="s">
        <v>5186</v>
      </c>
      <c r="AS667" s="430" t="s">
        <v>5187</v>
      </c>
      <c r="AT667" s="430" t="s">
        <v>5187</v>
      </c>
      <c r="AU6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7" s="437"/>
      <c r="AW667" s="437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7">
        <f>IF(ISERROR(PV_DATA[[#This Row],[New Ark PO status]]),"",_xlfn.XLOOKUP(PV_DATA[[#This Row],[SPTN-PVHK New Ark PO'#]],New_Ark_Data[Purchase order Number],New_Ark_Data[Estimated time of arrival],"",0))</f>
        <v>46249</v>
      </c>
      <c r="AZ66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7">
        <f>IFERROR(PV_DATA[[#This Row],[ODP ETA Port]]+PV_DATA[[#This Row],[Customs/Leg3 Assumption]],"n/a")</f>
        <v>46244.348958333336</v>
      </c>
      <c r="BB667" s="433">
        <f>YEAR(PV_DATA[[#This Row],[ETA for New Ark update]])</f>
        <v>2026</v>
      </c>
      <c r="BC667" s="430">
        <f>MONTH(PV_DATA[[#This Row],[ETA for New Ark update]])</f>
        <v>8</v>
      </c>
      <c r="BD667" s="430">
        <f>IFERROR(_xlfn.ISOWEEKNUM(PV_DATA[[#This Row],[ETA for New Ark update]]),0)</f>
        <v>33</v>
      </c>
      <c r="BE667" s="430">
        <f>_xlfn.XLOOKUP(PV_DATA[[#This Row],[New Ark SKU]],Table9[New Ark SKU],Table9[Total PCS per Pallet],,0)</f>
        <v>33</v>
      </c>
      <c r="BF667" s="430">
        <f>_xlfn.XLOOKUP(PV_DATA[[#This Row],[New Ark SKU]],Table9[New Ark SKU],Table9[Total PCS per 40HQ Container],,0)</f>
        <v>594</v>
      </c>
      <c r="BG667" s="431" t="str">
        <f>_xlfn.XLOOKUP(PV_DATA[[#This Row],[New Ark SKU]],Table9[New Ark SKU],Table9[Back Glass],,0)</f>
        <v>Transparent</v>
      </c>
      <c r="BH667" s="430" t="str">
        <f>_xlfn.XLOOKUP(PV_DATA[[#This Row],[PORT DESTINATION]],Table12[PORT DESTINATION],Table12[Cosco Line],,0)</f>
        <v>AEU</v>
      </c>
      <c r="BJ667" s="430"/>
    </row>
    <row r="668" spans="1:62" ht="10.5">
      <c r="A668" s="462" t="s">
        <v>5188</v>
      </c>
      <c r="B668" s="462" t="s">
        <v>111</v>
      </c>
      <c r="C668" s="462" t="str">
        <f>IFERROR(LEFT(PV_DATA[[#This Row],[TCL REFERENCE]],FIND(".",PV_DATA[[#This Row],[TCL REFERENCE]],1)-1),"Main Line")</f>
        <v>26May014</v>
      </c>
      <c r="D668" s="462" t="s">
        <v>63</v>
      </c>
      <c r="E668" s="462" t="s">
        <v>144</v>
      </c>
      <c r="F668" s="462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2" t="s">
        <v>402</v>
      </c>
      <c r="H668" s="713" t="s">
        <v>1449</v>
      </c>
      <c r="I668" s="462" t="s">
        <v>689</v>
      </c>
      <c r="J668" s="430" t="s">
        <v>4591</v>
      </c>
      <c r="K668" s="430" t="s">
        <v>1451</v>
      </c>
      <c r="L668" s="430">
        <v>34</v>
      </c>
      <c r="M668" s="430" t="s">
        <v>840</v>
      </c>
      <c r="N668" s="432">
        <v>46181</v>
      </c>
      <c r="O668" s="430" t="s">
        <v>4531</v>
      </c>
      <c r="P668" s="430" t="s">
        <v>5057</v>
      </c>
      <c r="Q668" s="430" t="s">
        <v>1484</v>
      </c>
      <c r="R668" s="430" t="str">
        <f>_xlfn.XLOOKUP(PV_DATA[[#This Row],[New Ark SKU]],Table9[New Ark SKU],Table9[Connector],,0)</f>
        <v>H4(Com)</v>
      </c>
      <c r="S668" s="442" t="str">
        <f>_xlfn.XLOOKUP(PV_DATA[[#This Row],[New Ark SKU]],Table9[New Ark SKU],Table9[Cable],,0)</f>
        <v>+400mm/-200mm</v>
      </c>
      <c r="T668" s="433">
        <v>725</v>
      </c>
      <c r="U668" s="1088">
        <f>594*5</f>
        <v>2970</v>
      </c>
      <c r="V668" s="544">
        <f>PV_DATA[[#This Row],[QUANTITY]]*PV_DATA[[#This Row],[WATT]]/1000000</f>
        <v>2.1532499999999999</v>
      </c>
      <c r="W668" s="435">
        <f>PV_DATA[[#This Row],[QUANTITY]]/PV_DATA[[#This Row],[Qty/Pallet]]</f>
        <v>90</v>
      </c>
      <c r="X668" s="1040">
        <f>PV_DATA[[#This Row],[QUANTITY]]/PV_DATA[[#This Row],[Qty/CT]]</f>
        <v>5</v>
      </c>
      <c r="Y668" s="430" t="s">
        <v>2455</v>
      </c>
      <c r="Z668" s="430" t="str">
        <f t="shared" si="7"/>
        <v>COMPLETED</v>
      </c>
      <c r="AA668" s="430" t="s">
        <v>5058</v>
      </c>
      <c r="AB668" s="437">
        <v>46196</v>
      </c>
      <c r="AC668" s="485">
        <f>IF(PV_DATA[[#This Row],[Pick- Up Date]]&lt;&gt;"",_xlfn.ISOWEEKNUM(PV_DATA[[#This Row],[Pick- Up Date]]),"")</f>
        <v>26</v>
      </c>
      <c r="AD668" s="430" t="s">
        <v>5189</v>
      </c>
      <c r="AE668" s="435"/>
      <c r="AF668" s="430" t="s">
        <v>122</v>
      </c>
      <c r="AG668" s="430" t="s">
        <v>123</v>
      </c>
      <c r="AH668" s="430" t="s">
        <v>105</v>
      </c>
      <c r="AI668" s="437">
        <v>46204</v>
      </c>
      <c r="AJ668" s="437">
        <v>46206</v>
      </c>
      <c r="AK668" s="437">
        <v>46206</v>
      </c>
      <c r="AL668" s="437">
        <v>46249</v>
      </c>
      <c r="AM668" s="441">
        <f>IFERROR(IF(VLOOKUP(AT668, Vessel!A:H, 8, FALSE)=0, "", VLOOKUP(AT668, Vessel!A:H, 8, FALSE)), "")</f>
        <v>46244.291666666664</v>
      </c>
      <c r="AN668" s="586">
        <v>46244.348958333336</v>
      </c>
      <c r="AP668" s="430" t="s">
        <v>5164</v>
      </c>
      <c r="AQ668" s="438" t="s">
        <v>80</v>
      </c>
      <c r="AR668" s="430" t="s">
        <v>5186</v>
      </c>
      <c r="AS668" s="430" t="s">
        <v>5187</v>
      </c>
      <c r="AT668" s="430" t="s">
        <v>5187</v>
      </c>
      <c r="AU6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8" s="437"/>
      <c r="AW668" s="437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7">
        <f>IF(ISERROR(PV_DATA[[#This Row],[New Ark PO status]]),"",_xlfn.XLOOKUP(PV_DATA[[#This Row],[SPTN-PVHK New Ark PO'#]],New_Ark_Data[Purchase order Number],New_Ark_Data[Estimated time of arrival],"",0))</f>
        <v>46249</v>
      </c>
      <c r="AZ66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7">
        <f>IFERROR(PV_DATA[[#This Row],[ODP ETA Port]]+PV_DATA[[#This Row],[Customs/Leg3 Assumption]],"n/a")</f>
        <v>46244.348958333336</v>
      </c>
      <c r="BB668" s="433">
        <f>YEAR(PV_DATA[[#This Row],[ETA for New Ark update]])</f>
        <v>2026</v>
      </c>
      <c r="BC668" s="430">
        <f>MONTH(PV_DATA[[#This Row],[ETA for New Ark update]])</f>
        <v>8</v>
      </c>
      <c r="BD668" s="430">
        <f>IFERROR(_xlfn.ISOWEEKNUM(PV_DATA[[#This Row],[ETA for New Ark update]]),0)</f>
        <v>33</v>
      </c>
      <c r="BE668" s="430">
        <f>_xlfn.XLOOKUP(PV_DATA[[#This Row],[New Ark SKU]],Table9[New Ark SKU],Table9[Total PCS per Pallet],,0)</f>
        <v>33</v>
      </c>
      <c r="BF668" s="430">
        <f>_xlfn.XLOOKUP(PV_DATA[[#This Row],[New Ark SKU]],Table9[New Ark SKU],Table9[Total PCS per 40HQ Container],,0)</f>
        <v>594</v>
      </c>
      <c r="BG668" s="431" t="str">
        <f>_xlfn.XLOOKUP(PV_DATA[[#This Row],[New Ark SKU]],Table9[New Ark SKU],Table9[Back Glass],,0)</f>
        <v>Transparent</v>
      </c>
      <c r="BH668" s="430" t="str">
        <f>_xlfn.XLOOKUP(PV_DATA[[#This Row],[PORT DESTINATION]],Table12[PORT DESTINATION],Table12[Cosco Line],,0)</f>
        <v>AEU</v>
      </c>
      <c r="BJ668" s="430"/>
    </row>
    <row r="669" spans="1:62" ht="10.5">
      <c r="A669" s="462" t="s">
        <v>5190</v>
      </c>
      <c r="B669" s="462" t="s">
        <v>111</v>
      </c>
      <c r="C669" s="462" t="str">
        <f>IFERROR(LEFT(PV_DATA[[#This Row],[TCL REFERENCE]],FIND(".",PV_DATA[[#This Row],[TCL REFERENCE]],1)-1),"Main Line")</f>
        <v>26May013</v>
      </c>
      <c r="D669" s="462" t="s">
        <v>63</v>
      </c>
      <c r="E669" s="462" t="s">
        <v>144</v>
      </c>
      <c r="F669" s="462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2" t="s">
        <v>402</v>
      </c>
      <c r="H669" s="713" t="s">
        <v>1449</v>
      </c>
      <c r="I669" s="462" t="s">
        <v>822</v>
      </c>
      <c r="J669" s="430" t="s">
        <v>4591</v>
      </c>
      <c r="K669" s="430" t="s">
        <v>1451</v>
      </c>
      <c r="L669" s="430">
        <v>50</v>
      </c>
      <c r="M669" s="430" t="s">
        <v>840</v>
      </c>
      <c r="N669" s="432">
        <v>46181</v>
      </c>
      <c r="O669" s="430" t="s">
        <v>4531</v>
      </c>
      <c r="P669" s="430" t="s">
        <v>5041</v>
      </c>
      <c r="Q669" s="430" t="s">
        <v>1807</v>
      </c>
      <c r="R669" s="430" t="str">
        <f>_xlfn.XLOOKUP(PV_DATA[[#This Row],[New Ark SKU]],Table9[New Ark SKU],Table9[Connector],,0)</f>
        <v>H4(Com)</v>
      </c>
      <c r="S669" s="442" t="str">
        <f>_xlfn.XLOOKUP(PV_DATA[[#This Row],[New Ark SKU]],Table9[New Ark SKU],Table9[Cable],,0)</f>
        <v>+400mm/-200mm</v>
      </c>
      <c r="T669" s="433">
        <v>720</v>
      </c>
      <c r="U669" s="1088">
        <v>1188</v>
      </c>
      <c r="V669" s="544">
        <f>PV_DATA[[#This Row],[QUANTITY]]*PV_DATA[[#This Row],[WATT]]/1000000</f>
        <v>0.85536000000000001</v>
      </c>
      <c r="W669" s="435">
        <f>PV_DATA[[#This Row],[QUANTITY]]/PV_DATA[[#This Row],[Qty/Pallet]]</f>
        <v>36</v>
      </c>
      <c r="X669" s="1040">
        <f>PV_DATA[[#This Row],[QUANTITY]]/PV_DATA[[#This Row],[Qty/CT]]</f>
        <v>2</v>
      </c>
      <c r="Y669" s="430" t="s">
        <v>2457</v>
      </c>
      <c r="Z669" s="430" t="str">
        <f t="shared" si="7"/>
        <v>COMPLETED</v>
      </c>
      <c r="AA669" s="430" t="s">
        <v>5038</v>
      </c>
      <c r="AB669" s="437">
        <v>46199</v>
      </c>
      <c r="AC669" s="485">
        <f>IF(PV_DATA[[#This Row],[Pick- Up Date]]&lt;&gt;"",_xlfn.ISOWEEKNUM(PV_DATA[[#This Row],[Pick- Up Date]]),"")</f>
        <v>26</v>
      </c>
      <c r="AD669" s="430" t="s">
        <v>5191</v>
      </c>
      <c r="AE669" s="435"/>
      <c r="AF669" s="430" t="s">
        <v>122</v>
      </c>
      <c r="AG669" s="430" t="s">
        <v>123</v>
      </c>
      <c r="AH669" s="430" t="s">
        <v>105</v>
      </c>
      <c r="AI669" s="437">
        <v>46204</v>
      </c>
      <c r="AJ669" s="437">
        <v>46206</v>
      </c>
      <c r="AK669" s="437">
        <v>46206</v>
      </c>
      <c r="AL669" s="437">
        <v>46238</v>
      </c>
      <c r="AM669" s="441">
        <f>IFERROR(IF(VLOOKUP(AT669, Vessel!A:H, 8, FALSE)=0, "", VLOOKUP(AT669, Vessel!A:H, 8, FALSE)), "")</f>
        <v>46244.291666666664</v>
      </c>
      <c r="AN669" s="586">
        <v>46244.348958333336</v>
      </c>
      <c r="AP669" s="430" t="s">
        <v>5121</v>
      </c>
      <c r="AQ669" s="430" t="s">
        <v>80</v>
      </c>
      <c r="AR669" s="430" t="s">
        <v>5192</v>
      </c>
      <c r="AS669" s="430" t="s">
        <v>5193</v>
      </c>
      <c r="AT669" s="430" t="s">
        <v>5193</v>
      </c>
      <c r="AU6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9" s="437"/>
      <c r="AW669" s="437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7">
        <f>IF(ISERROR(PV_DATA[[#This Row],[New Ark PO status]]),"",_xlfn.XLOOKUP(PV_DATA[[#This Row],[SPTN-PVHK New Ark PO'#]],New_Ark_Data[Purchase order Number],New_Ark_Data[Estimated time of arrival],"",0))</f>
        <v>46238</v>
      </c>
      <c r="AZ66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7">
        <f>IFERROR(PV_DATA[[#This Row],[ODP ETA Port]]+PV_DATA[[#This Row],[Customs/Leg3 Assumption]],"n/a")</f>
        <v>46244.348958333336</v>
      </c>
      <c r="BB669" s="433">
        <f>YEAR(PV_DATA[[#This Row],[ETA for New Ark update]])</f>
        <v>2026</v>
      </c>
      <c r="BC669" s="430">
        <f>MONTH(PV_DATA[[#This Row],[ETA for New Ark update]])</f>
        <v>8</v>
      </c>
      <c r="BD669" s="430">
        <f>IFERROR(_xlfn.ISOWEEKNUM(PV_DATA[[#This Row],[ETA for New Ark update]]),0)</f>
        <v>33</v>
      </c>
      <c r="BE669" s="430">
        <f>_xlfn.XLOOKUP(PV_DATA[[#This Row],[New Ark SKU]],Table9[New Ark SKU],Table9[Total PCS per Pallet],,0)</f>
        <v>33</v>
      </c>
      <c r="BF669" s="430">
        <f>_xlfn.XLOOKUP(PV_DATA[[#This Row],[New Ark SKU]],Table9[New Ark SKU],Table9[Total PCS per 40HQ Container],,0)</f>
        <v>594</v>
      </c>
      <c r="BG669" s="431" t="str">
        <f>_xlfn.XLOOKUP(PV_DATA[[#This Row],[New Ark SKU]],Table9[New Ark SKU],Table9[Back Glass],,0)</f>
        <v>Transparent</v>
      </c>
      <c r="BH669" s="610" t="str">
        <f>_xlfn.XLOOKUP(PV_DATA[[#This Row],[PORT DESTINATION]],Table12[PORT DESTINATION],Table12[Cosco Line],,0)</f>
        <v>AEU</v>
      </c>
      <c r="BJ669" s="430"/>
    </row>
    <row r="670" spans="1:62" ht="10.5">
      <c r="A670" s="462" t="s">
        <v>5194</v>
      </c>
      <c r="B670" s="462" t="s">
        <v>111</v>
      </c>
      <c r="C670" s="462" t="str">
        <f>IFERROR(LEFT(PV_DATA[[#This Row],[TCL REFERENCE]],FIND(".",PV_DATA[[#This Row],[TCL REFERENCE]],1)-1),"Main Line")</f>
        <v>26Jun004</v>
      </c>
      <c r="D670" s="462" t="s">
        <v>63</v>
      </c>
      <c r="E670" s="462" t="s">
        <v>64</v>
      </c>
      <c r="F670" s="462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2" t="s">
        <v>402</v>
      </c>
      <c r="H670" s="462" t="s">
        <v>67</v>
      </c>
      <c r="I670" s="462" t="s">
        <v>689</v>
      </c>
      <c r="J670" s="430" t="s">
        <v>96</v>
      </c>
      <c r="K670" s="430"/>
      <c r="L670" s="430"/>
      <c r="M670" s="430" t="s">
        <v>68</v>
      </c>
      <c r="N670" s="432">
        <v>46188</v>
      </c>
      <c r="O670" s="430" t="s">
        <v>132</v>
      </c>
      <c r="P670" s="430" t="s">
        <v>1062</v>
      </c>
      <c r="Q670" s="430" t="s">
        <v>1063</v>
      </c>
      <c r="R670" s="430" t="str">
        <f>_xlfn.XLOOKUP(PV_DATA[[#This Row],[New Ark SKU]],Table9[New Ark SKU],Table9[Connector],,0)</f>
        <v>EVO2A</v>
      </c>
      <c r="S670" s="442" t="str">
        <f>_xlfn.XLOOKUP(PV_DATA[[#This Row],[New Ark SKU]],Table9[New Ark SKU],Table9[Cable],,0)</f>
        <v>±1200mm</v>
      </c>
      <c r="T670" s="433">
        <v>470</v>
      </c>
      <c r="U670" s="1088">
        <v>1728</v>
      </c>
      <c r="V670" s="434">
        <f>PV_DATA[[#This Row],[QUANTITY]]*PV_DATA[[#This Row],[WATT]]/1000000</f>
        <v>0.81215999999999999</v>
      </c>
      <c r="W670" s="435">
        <f>PV_DATA[[#This Row],[QUANTITY]]/PV_DATA[[#This Row],[Qty/Pallet]]</f>
        <v>48</v>
      </c>
      <c r="X670" s="1040">
        <f>PV_DATA[[#This Row],[QUANTITY]]/PV_DATA[[#This Row],[Qty/CT]]</f>
        <v>2</v>
      </c>
      <c r="Y670" s="459" t="s">
        <v>2457</v>
      </c>
      <c r="Z670" s="430" t="str">
        <f t="shared" si="7"/>
        <v>COMPLETED</v>
      </c>
      <c r="AA670" s="430" t="s">
        <v>5195</v>
      </c>
      <c r="AB670" s="437">
        <v>46197</v>
      </c>
      <c r="AC670" s="485">
        <f>IF(PV_DATA[[#This Row],[Pick- Up Date]]&lt;&gt;"",_xlfn.ISOWEEKNUM(PV_DATA[[#This Row],[Pick- Up Date]]),"")</f>
        <v>26</v>
      </c>
      <c r="AD670" s="430" t="s">
        <v>5196</v>
      </c>
      <c r="AE670" s="430"/>
      <c r="AF670" s="430" t="s">
        <v>122</v>
      </c>
      <c r="AG670" s="430" t="s">
        <v>123</v>
      </c>
      <c r="AH670" s="430" t="s">
        <v>78</v>
      </c>
      <c r="AI670" s="437">
        <v>46203</v>
      </c>
      <c r="AJ670" s="437">
        <v>46209</v>
      </c>
      <c r="AK670" s="437">
        <v>46209</v>
      </c>
      <c r="AL670" s="437">
        <v>46246</v>
      </c>
      <c r="AM670" s="586"/>
      <c r="AN670" s="586">
        <v>46253.474305555559</v>
      </c>
      <c r="AP670" s="430" t="s">
        <v>5197</v>
      </c>
      <c r="AQ670" s="438" t="s">
        <v>80</v>
      </c>
      <c r="AR670" s="430" t="s">
        <v>5198</v>
      </c>
      <c r="AS670" s="430" t="s">
        <v>5199</v>
      </c>
      <c r="AT670" s="430" t="s">
        <v>5199</v>
      </c>
      <c r="AU6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0" s="437"/>
      <c r="AW670" s="437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7">
        <f>IF(ISERROR(PV_DATA[[#This Row],[New Ark PO status]]),"",_xlfn.XLOOKUP(PV_DATA[[#This Row],[SPTN-PVHK New Ark PO'#]],New_Ark_Data[Purchase order Number],New_Ark_Data[Estimated time of arrival],"",0))</f>
        <v>46267</v>
      </c>
      <c r="AZ67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7">
        <f>IFERROR(PV_DATA[[#This Row],[ODP ETA Port]]+PV_DATA[[#This Row],[Customs/Leg3 Assumption]],"n/a")</f>
        <v>46261.474305555559</v>
      </c>
      <c r="BB670" s="433">
        <f>YEAR(PV_DATA[[#This Row],[ETA for New Ark update]])</f>
        <v>2026</v>
      </c>
      <c r="BC670" s="430">
        <f>MONTH(PV_DATA[[#This Row],[ETA for New Ark update]])</f>
        <v>8</v>
      </c>
      <c r="BD670" s="430">
        <f>IFERROR(_xlfn.ISOWEEKNUM(PV_DATA[[#This Row],[ETA for New Ark update]]),0)</f>
        <v>35</v>
      </c>
      <c r="BE670" s="430">
        <f>_xlfn.XLOOKUP(PV_DATA[[#This Row],[New Ark SKU]],Table9[New Ark SKU],Table9[Total PCS per Pallet],,0)</f>
        <v>36</v>
      </c>
      <c r="BF670" s="430">
        <f>_xlfn.XLOOKUP(PV_DATA[[#This Row],[New Ark SKU]],Table9[New Ark SKU],Table9[Total PCS per 40HQ Container],,0)</f>
        <v>864</v>
      </c>
      <c r="BG670" s="431" t="str">
        <f>_xlfn.XLOOKUP(PV_DATA[[#This Row],[New Ark SKU]],Table9[New Ark SKU],Table9[Back Glass],,0)</f>
        <v>White glazing</v>
      </c>
      <c r="BH670" s="430" t="str">
        <f>_xlfn.XLOOKUP(PV_DATA[[#This Row],[PORT DESTINATION]],Table12[PORT DESTINATION],Table12[Cosco Line],,0)</f>
        <v>AEM</v>
      </c>
      <c r="BJ670" s="430"/>
    </row>
    <row r="671" spans="1:62" ht="10.5">
      <c r="A671" s="462" t="s">
        <v>5200</v>
      </c>
      <c r="B671" s="462" t="s">
        <v>111</v>
      </c>
      <c r="C671" s="462" t="str">
        <f>IFERROR(LEFT(PV_DATA[[#This Row],[TCL REFERENCE]],FIND(".",PV_DATA[[#This Row],[TCL REFERENCE]],1)-1),"Main Line")</f>
        <v>26Jun004</v>
      </c>
      <c r="D671" s="462" t="s">
        <v>63</v>
      </c>
      <c r="E671" s="462" t="s">
        <v>64</v>
      </c>
      <c r="F671" s="462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2" t="s">
        <v>402</v>
      </c>
      <c r="H671" s="462" t="s">
        <v>67</v>
      </c>
      <c r="I671" s="462" t="s">
        <v>689</v>
      </c>
      <c r="J671" s="430" t="s">
        <v>96</v>
      </c>
      <c r="K671" s="430"/>
      <c r="L671" s="430"/>
      <c r="M671" s="430" t="s">
        <v>68</v>
      </c>
      <c r="N671" s="432">
        <v>46188</v>
      </c>
      <c r="O671" s="430" t="s">
        <v>132</v>
      </c>
      <c r="P671" s="430" t="s">
        <v>1062</v>
      </c>
      <c r="Q671" s="430" t="s">
        <v>1063</v>
      </c>
      <c r="R671" s="430" t="str">
        <f>_xlfn.XLOOKUP(PV_DATA[[#This Row],[New Ark SKU]],Table9[New Ark SKU],Table9[Connector],,0)</f>
        <v>EVO2A</v>
      </c>
      <c r="S671" s="442" t="str">
        <f>_xlfn.XLOOKUP(PV_DATA[[#This Row],[New Ark SKU]],Table9[New Ark SKU],Table9[Cable],,0)</f>
        <v>±1200mm</v>
      </c>
      <c r="T671" s="433">
        <v>470</v>
      </c>
      <c r="U671" s="1088">
        <f>864*5</f>
        <v>4320</v>
      </c>
      <c r="V671" s="434">
        <f>PV_DATA[[#This Row],[QUANTITY]]*PV_DATA[[#This Row],[WATT]]/1000000</f>
        <v>2.0304000000000002</v>
      </c>
      <c r="W671" s="435">
        <f>PV_DATA[[#This Row],[QUANTITY]]/PV_DATA[[#This Row],[Qty/Pallet]]</f>
        <v>120</v>
      </c>
      <c r="X671" s="1040">
        <f>PV_DATA[[#This Row],[QUANTITY]]/PV_DATA[[#This Row],[Qty/CT]]</f>
        <v>5</v>
      </c>
      <c r="Y671" s="430" t="s">
        <v>2457</v>
      </c>
      <c r="Z671" s="430" t="str">
        <f t="shared" si="7"/>
        <v>COMPLETED</v>
      </c>
      <c r="AA671" s="430" t="s">
        <v>5038</v>
      </c>
      <c r="AB671" s="437">
        <v>46197</v>
      </c>
      <c r="AC671" s="485">
        <f>IF(PV_DATA[[#This Row],[Pick- Up Date]]&lt;&gt;"",_xlfn.ISOWEEKNUM(PV_DATA[[#This Row],[Pick- Up Date]]),"")</f>
        <v>26</v>
      </c>
      <c r="AD671" s="430" t="s">
        <v>5201</v>
      </c>
      <c r="AE671" s="430"/>
      <c r="AF671" s="430" t="s">
        <v>122</v>
      </c>
      <c r="AG671" s="430" t="s">
        <v>123</v>
      </c>
      <c r="AH671" s="430" t="s">
        <v>78</v>
      </c>
      <c r="AI671" s="437">
        <v>46203</v>
      </c>
      <c r="AJ671" s="437">
        <v>46209</v>
      </c>
      <c r="AK671" s="437">
        <v>46209</v>
      </c>
      <c r="AL671" s="437">
        <v>46246</v>
      </c>
      <c r="AM671" s="586"/>
      <c r="AN671" s="586">
        <v>46253.474305555559</v>
      </c>
      <c r="AP671" s="430" t="s">
        <v>5197</v>
      </c>
      <c r="AQ671" s="438" t="s">
        <v>80</v>
      </c>
      <c r="AR671" s="430" t="s">
        <v>5198</v>
      </c>
      <c r="AS671" s="430" t="s">
        <v>5199</v>
      </c>
      <c r="AT671" s="430" t="s">
        <v>5199</v>
      </c>
      <c r="AU6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1" s="437"/>
      <c r="AW671" s="437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7">
        <f>IF(ISERROR(PV_DATA[[#This Row],[New Ark PO status]]),"",_xlfn.XLOOKUP(PV_DATA[[#This Row],[SPTN-PVHK New Ark PO'#]],New_Ark_Data[Purchase order Number],New_Ark_Data[Estimated time of arrival],"",0))</f>
        <v>46267</v>
      </c>
      <c r="AZ67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7">
        <f>IFERROR(PV_DATA[[#This Row],[ODP ETA Port]]+PV_DATA[[#This Row],[Customs/Leg3 Assumption]],"n/a")</f>
        <v>46261.474305555559</v>
      </c>
      <c r="BB671" s="433">
        <f>YEAR(PV_DATA[[#This Row],[ETA for New Ark update]])</f>
        <v>2026</v>
      </c>
      <c r="BC671" s="430">
        <f>MONTH(PV_DATA[[#This Row],[ETA for New Ark update]])</f>
        <v>8</v>
      </c>
      <c r="BD671" s="430">
        <f>IFERROR(_xlfn.ISOWEEKNUM(PV_DATA[[#This Row],[ETA for New Ark update]]),0)</f>
        <v>35</v>
      </c>
      <c r="BE671" s="430">
        <f>_xlfn.XLOOKUP(PV_DATA[[#This Row],[New Ark SKU]],Table9[New Ark SKU],Table9[Total PCS per Pallet],,0)</f>
        <v>36</v>
      </c>
      <c r="BF671" s="430">
        <f>_xlfn.XLOOKUP(PV_DATA[[#This Row],[New Ark SKU]],Table9[New Ark SKU],Table9[Total PCS per 40HQ Container],,0)</f>
        <v>864</v>
      </c>
      <c r="BG671" s="431" t="str">
        <f>_xlfn.XLOOKUP(PV_DATA[[#This Row],[New Ark SKU]],Table9[New Ark SKU],Table9[Back Glass],,0)</f>
        <v>White glazing</v>
      </c>
      <c r="BH671" s="430" t="str">
        <f>_xlfn.XLOOKUP(PV_DATA[[#This Row],[PORT DESTINATION]],Table12[PORT DESTINATION],Table12[Cosco Line],,0)</f>
        <v>AEM</v>
      </c>
      <c r="BJ671" s="430"/>
    </row>
    <row r="672" spans="1:62" ht="10.5">
      <c r="A672" s="462" t="s">
        <v>5202</v>
      </c>
      <c r="B672" s="462" t="s">
        <v>5203</v>
      </c>
      <c r="C672" s="462" t="str">
        <f>IFERROR(LEFT(PV_DATA[[#This Row],[TCL REFERENCE]],FIND(".",PV_DATA[[#This Row],[TCL REFERENCE]],1)-1),"Main Line")</f>
        <v>26Jun008</v>
      </c>
      <c r="D672" s="462" t="s">
        <v>63</v>
      </c>
      <c r="E672" s="462" t="s">
        <v>64</v>
      </c>
      <c r="F672" s="462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2" t="s">
        <v>402</v>
      </c>
      <c r="H672" s="462" t="s">
        <v>67</v>
      </c>
      <c r="I672" s="462" t="s">
        <v>689</v>
      </c>
      <c r="J672" s="430" t="s">
        <v>1047</v>
      </c>
      <c r="K672" s="430"/>
      <c r="L672" s="430"/>
      <c r="M672" s="430" t="s">
        <v>68</v>
      </c>
      <c r="N672" s="432">
        <v>46188</v>
      </c>
      <c r="O672" s="430" t="s">
        <v>4531</v>
      </c>
      <c r="P672" s="430" t="s">
        <v>5090</v>
      </c>
      <c r="Q672" s="430" t="s">
        <v>330</v>
      </c>
      <c r="R672" s="430" t="str">
        <f>_xlfn.XLOOKUP(PV_DATA[[#This Row],[New Ark SKU]],Table9[New Ark SKU],Table9[Connector],,0)</f>
        <v>H4(Com)</v>
      </c>
      <c r="S672" s="442" t="str">
        <f>_xlfn.XLOOKUP(PV_DATA[[#This Row],[New Ark SKU]],Table9[New Ark SKU],Table9[Cable],,0)</f>
        <v>±1400mm</v>
      </c>
      <c r="T672" s="433">
        <v>625</v>
      </c>
      <c r="U672" s="1088">
        <f>720*2</f>
        <v>1440</v>
      </c>
      <c r="V672" s="434">
        <f>PV_DATA[[#This Row],[QUANTITY]]*PV_DATA[[#This Row],[WATT]]/1000000</f>
        <v>0.9</v>
      </c>
      <c r="W672" s="435">
        <f>PV_DATA[[#This Row],[QUANTITY]]/PV_DATA[[#This Row],[Qty/Pallet]]</f>
        <v>40</v>
      </c>
      <c r="X672" s="1040">
        <f>PV_DATA[[#This Row],[QUANTITY]]/PV_DATA[[#This Row],[Qty/CT]]</f>
        <v>2</v>
      </c>
      <c r="Y672" s="430" t="s">
        <v>2457</v>
      </c>
      <c r="Z672" s="430" t="str">
        <f t="shared" si="7"/>
        <v>COMPLETED</v>
      </c>
      <c r="AA672" s="430" t="s">
        <v>5204</v>
      </c>
      <c r="AB672" s="437">
        <v>46201</v>
      </c>
      <c r="AC672" s="485">
        <f>IF(PV_DATA[[#This Row],[Pick- Up Date]]&lt;&gt;"",_xlfn.ISOWEEKNUM(PV_DATA[[#This Row],[Pick- Up Date]]),"")</f>
        <v>26</v>
      </c>
      <c r="AD672" s="430" t="s">
        <v>5205</v>
      </c>
      <c r="AE672" s="430"/>
      <c r="AF672" s="430" t="s">
        <v>122</v>
      </c>
      <c r="AG672" s="430" t="s">
        <v>123</v>
      </c>
      <c r="AH672" s="430" t="s">
        <v>78</v>
      </c>
      <c r="AI672" s="437">
        <v>46207</v>
      </c>
      <c r="AJ672" s="437">
        <v>46211</v>
      </c>
      <c r="AK672" s="437">
        <v>46211</v>
      </c>
      <c r="AL672" s="437">
        <v>46258</v>
      </c>
      <c r="AM672" s="586">
        <f>IFERROR(VLOOKUP(AT672, Vessel!A:H, 8, FALSE), "")</f>
        <v>46271.25</v>
      </c>
      <c r="AN672" s="586">
        <f>IF(VLOOKUP(AT672, Vessel!A:I, 9, FALSE)=0, "", VLOOKUP(AT672, Vessel!A:I, 9, FALSE))</f>
        <v>46271.279085648152</v>
      </c>
      <c r="AP672" s="430" t="s">
        <v>5206</v>
      </c>
      <c r="AQ672" s="438" t="s">
        <v>80</v>
      </c>
      <c r="AR672" s="430" t="s">
        <v>5207</v>
      </c>
      <c r="AS672" s="430" t="s">
        <v>5208</v>
      </c>
      <c r="AT672" s="430" t="s">
        <v>5208</v>
      </c>
      <c r="AU6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2" s="437"/>
      <c r="AW672" s="437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7">
        <f>IF(ISERROR(PV_DATA[[#This Row],[New Ark PO status]]),"",_xlfn.XLOOKUP(PV_DATA[[#This Row],[SPTN-PVHK New Ark PO'#]],New_Ark_Data[Purchase order Number],New_Ark_Data[Estimated time of arrival],"",0))</f>
        <v>46283</v>
      </c>
      <c r="AZ67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7">
        <f>IFERROR(PV_DATA[[#This Row],[ODP ETA Port]]+PV_DATA[[#This Row],[Customs/Leg3 Assumption]],"n/a")</f>
        <v>46279.279085648152</v>
      </c>
      <c r="BB672" s="433">
        <f>YEAR(PV_DATA[[#This Row],[ETA for New Ark update]])</f>
        <v>2026</v>
      </c>
      <c r="BC672" s="430">
        <f>MONTH(PV_DATA[[#This Row],[ETA for New Ark update]])</f>
        <v>9</v>
      </c>
      <c r="BD672" s="430">
        <f>IFERROR(_xlfn.ISOWEEKNUM(PV_DATA[[#This Row],[ETA for New Ark update]]),0)</f>
        <v>38</v>
      </c>
      <c r="BE672" s="430">
        <f>_xlfn.XLOOKUP(PV_DATA[[#This Row],[New Ark SKU]],Table9[New Ark SKU],Table9[Total PCS per Pallet],,0)</f>
        <v>36</v>
      </c>
      <c r="BF672" s="430">
        <f>_xlfn.XLOOKUP(PV_DATA[[#This Row],[New Ark SKU]],Table9[New Ark SKU],Table9[Total PCS per 40HQ Container],,0)</f>
        <v>720</v>
      </c>
      <c r="BG672" s="431" t="str">
        <f>_xlfn.XLOOKUP(PV_DATA[[#This Row],[New Ark SKU]],Table9[New Ark SKU],Table9[Back Glass],,0)</f>
        <v>Transparent</v>
      </c>
      <c r="BH672" s="430" t="str">
        <f>_xlfn.XLOOKUP(PV_DATA[[#This Row],[PORT DESTINATION]],Table12[PORT DESTINATION],Table12[Cosco Line],,0)</f>
        <v>AEM</v>
      </c>
      <c r="BJ672" s="430"/>
    </row>
    <row r="673" spans="1:62" ht="10.5">
      <c r="A673" s="462" t="s">
        <v>5209</v>
      </c>
      <c r="B673" s="462" t="s">
        <v>111</v>
      </c>
      <c r="C673" s="462" t="str">
        <f>IFERROR(LEFT(PV_DATA[[#This Row],[TCL REFERENCE]],FIND(".",PV_DATA[[#This Row],[TCL REFERENCE]],1)-1),"Main Line")</f>
        <v>26Jun001</v>
      </c>
      <c r="D673" s="462" t="s">
        <v>63</v>
      </c>
      <c r="E673" s="462" t="s">
        <v>64</v>
      </c>
      <c r="F673" s="462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2" t="s">
        <v>402</v>
      </c>
      <c r="H673" s="462" t="s">
        <v>67</v>
      </c>
      <c r="I673" s="462" t="s">
        <v>689</v>
      </c>
      <c r="J673" s="430" t="s">
        <v>96</v>
      </c>
      <c r="K673" s="430"/>
      <c r="L673" s="430"/>
      <c r="M673" s="430" t="s">
        <v>68</v>
      </c>
      <c r="N673" s="432">
        <v>46189</v>
      </c>
      <c r="O673" s="430" t="s">
        <v>550</v>
      </c>
      <c r="P673" s="430" t="s">
        <v>551</v>
      </c>
      <c r="Q673" s="430" t="s">
        <v>2151</v>
      </c>
      <c r="R673" s="430" t="str">
        <f>_xlfn.XLOOKUP(PV_DATA[[#This Row],[New Ark SKU]],Table9[New Ark SKU],Table9[Connector],,0)</f>
        <v>EVO2A</v>
      </c>
      <c r="S673" s="442" t="str">
        <f>_xlfn.XLOOKUP(PV_DATA[[#This Row],[New Ark SKU]],Table9[New Ark SKU],Table9[Cable],,0)</f>
        <v>±1350mm</v>
      </c>
      <c r="T673" s="433">
        <v>510</v>
      </c>
      <c r="U673" s="1088">
        <v>1584</v>
      </c>
      <c r="V673" s="434">
        <f>PV_DATA[[#This Row],[QUANTITY]]*PV_DATA[[#This Row],[WATT]]/1000000</f>
        <v>0.80784</v>
      </c>
      <c r="W673" s="435">
        <f>PV_DATA[[#This Row],[QUANTITY]]/PV_DATA[[#This Row],[Qty/Pallet]]</f>
        <v>44</v>
      </c>
      <c r="X673" s="1040">
        <f>PV_DATA[[#This Row],[QUANTITY]]/PV_DATA[[#This Row],[Qty/CT]]</f>
        <v>2</v>
      </c>
      <c r="Y673" s="430" t="s">
        <v>2457</v>
      </c>
      <c r="Z673" s="430" t="str">
        <f t="shared" si="7"/>
        <v>COMPLETED</v>
      </c>
      <c r="AA673" s="430" t="s">
        <v>5204</v>
      </c>
      <c r="AB673" s="437">
        <v>46201</v>
      </c>
      <c r="AC673" s="485">
        <f>IF(PV_DATA[[#This Row],[Pick- Up Date]]&lt;&gt;"",_xlfn.ISOWEEKNUM(PV_DATA[[#This Row],[Pick- Up Date]]),"")</f>
        <v>26</v>
      </c>
      <c r="AD673" s="430" t="s">
        <v>5210</v>
      </c>
      <c r="AE673" s="430"/>
      <c r="AF673" s="430" t="s">
        <v>122</v>
      </c>
      <c r="AG673" s="430" t="s">
        <v>123</v>
      </c>
      <c r="AH673" s="430" t="s">
        <v>78</v>
      </c>
      <c r="AI673" s="437">
        <v>46207</v>
      </c>
      <c r="AJ673" s="437">
        <v>46211</v>
      </c>
      <c r="AK673" s="437">
        <v>46211</v>
      </c>
      <c r="AL673" s="968">
        <v>46258</v>
      </c>
      <c r="AM673" s="1189">
        <f>IFERROR(VLOOKUP(AT673, Vessel!A:H, 8, FALSE), "")</f>
        <v>46271.25</v>
      </c>
      <c r="AN673" s="586">
        <f>IF(VLOOKUP(AT673, Vessel!A:I, 9, FALSE)=0, "", VLOOKUP(AT673, Vessel!A:I, 9, FALSE))</f>
        <v>46271.279085648152</v>
      </c>
      <c r="AP673" s="430" t="s">
        <v>5211</v>
      </c>
      <c r="AQ673" s="438" t="s">
        <v>80</v>
      </c>
      <c r="AR673" s="430" t="s">
        <v>5207</v>
      </c>
      <c r="AS673" s="430" t="s">
        <v>5208</v>
      </c>
      <c r="AT673" s="430" t="s">
        <v>5208</v>
      </c>
      <c r="AU6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3" s="437"/>
      <c r="AW673" s="437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7">
        <f>IF(ISERROR(PV_DATA[[#This Row],[New Ark PO status]]),"",_xlfn.XLOOKUP(PV_DATA[[#This Row],[SPTN-PVHK New Ark PO'#]],New_Ark_Data[Purchase order Number],New_Ark_Data[Estimated time of arrival],"",0))</f>
        <v>46283</v>
      </c>
      <c r="AZ67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7">
        <f>IFERROR(PV_DATA[[#This Row],[ODP ETA Port]]+PV_DATA[[#This Row],[Customs/Leg3 Assumption]],"n/a")</f>
        <v>46279.279085648152</v>
      </c>
      <c r="BB673" s="433">
        <f>YEAR(PV_DATA[[#This Row],[ETA for New Ark update]])</f>
        <v>2026</v>
      </c>
      <c r="BC673" s="430">
        <f>MONTH(PV_DATA[[#This Row],[ETA for New Ark update]])</f>
        <v>9</v>
      </c>
      <c r="BD673" s="430">
        <f>IFERROR(_xlfn.ISOWEEKNUM(PV_DATA[[#This Row],[ETA for New Ark update]]),0)</f>
        <v>38</v>
      </c>
      <c r="BE673" s="430">
        <f>_xlfn.XLOOKUP(PV_DATA[[#This Row],[New Ark SKU]],Table9[New Ark SKU],Table9[Total PCS per Pallet],,0)</f>
        <v>36</v>
      </c>
      <c r="BF673" s="430">
        <f>_xlfn.XLOOKUP(PV_DATA[[#This Row],[New Ark SKU]],Table9[New Ark SKU],Table9[Total PCS per 40HQ Container],,0)</f>
        <v>792</v>
      </c>
      <c r="BG673" s="431" t="str">
        <f>_xlfn.XLOOKUP(PV_DATA[[#This Row],[New Ark SKU]],Table9[New Ark SKU],Table9[Back Glass],,0)</f>
        <v>Black glazing</v>
      </c>
      <c r="BH673" s="430" t="str">
        <f>_xlfn.XLOOKUP(PV_DATA[[#This Row],[PORT DESTINATION]],Table12[PORT DESTINATION],Table12[Cosco Line],,0)</f>
        <v>AEM</v>
      </c>
      <c r="BJ673" s="430"/>
    </row>
    <row r="674" spans="1:62" ht="10.5">
      <c r="A674" s="462" t="s">
        <v>5212</v>
      </c>
      <c r="B674" s="462" t="s">
        <v>1757</v>
      </c>
      <c r="C674" s="462" t="str">
        <f>IFERROR(LEFT(PV_DATA[[#This Row],[TCL REFERENCE]],FIND(".",PV_DATA[[#This Row],[TCL REFERENCE]],1)-1),"Main Line")</f>
        <v>26Jun011</v>
      </c>
      <c r="D674" s="462" t="s">
        <v>63</v>
      </c>
      <c r="E674" s="462" t="s">
        <v>64</v>
      </c>
      <c r="F674" s="462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2" t="s">
        <v>402</v>
      </c>
      <c r="H674" s="462" t="s">
        <v>67</v>
      </c>
      <c r="I674" s="462" t="s">
        <v>689</v>
      </c>
      <c r="J674" s="430" t="s">
        <v>96</v>
      </c>
      <c r="K674" s="611"/>
      <c r="L674" s="430"/>
      <c r="M674" s="430" t="s">
        <v>68</v>
      </c>
      <c r="N674" s="432">
        <v>46195</v>
      </c>
      <c r="O674" s="430" t="s">
        <v>4531</v>
      </c>
      <c r="P674" s="430" t="s">
        <v>71</v>
      </c>
      <c r="Q674" s="430" t="s">
        <v>72</v>
      </c>
      <c r="R674" s="430" t="str">
        <f>_xlfn.XLOOKUP(PV_DATA[[#This Row],[New Ark SKU]],Table9[New Ark SKU],Table9[Connector],,0)</f>
        <v>EVO2A</v>
      </c>
      <c r="S674" s="442" t="str">
        <f>_xlfn.XLOOKUP(PV_DATA[[#This Row],[New Ark SKU]],Table9[New Ark SKU],Table9[Cable],,0)</f>
        <v>±1200mm</v>
      </c>
      <c r="T674" s="433">
        <v>500</v>
      </c>
      <c r="U674" s="1088">
        <v>2592</v>
      </c>
      <c r="V674" s="434">
        <f>PV_DATA[[#This Row],[QUANTITY]]*PV_DATA[[#This Row],[WATT]]/1000000</f>
        <v>1.296</v>
      </c>
      <c r="W674" s="435">
        <f>PV_DATA[[#This Row],[QUANTITY]]/PV_DATA[[#This Row],[Qty/Pallet]]</f>
        <v>72</v>
      </c>
      <c r="X674" s="1040">
        <f>PV_DATA[[#This Row],[QUANTITY]]/PV_DATA[[#This Row],[Qty/CT]]</f>
        <v>3</v>
      </c>
      <c r="Y674" s="459" t="s">
        <v>2457</v>
      </c>
      <c r="Z674" s="430" t="str">
        <f t="shared" si="7"/>
        <v>COMPLETED</v>
      </c>
      <c r="AA674" s="430" t="s">
        <v>5148</v>
      </c>
      <c r="AB674" s="437">
        <v>46202</v>
      </c>
      <c r="AC674" s="485">
        <f>IF(PV_DATA[[#This Row],[Pick- Up Date]]&lt;&gt;"",_xlfn.ISOWEEKNUM(PV_DATA[[#This Row],[Pick- Up Date]]),"")</f>
        <v>27</v>
      </c>
      <c r="AD674" s="430" t="s">
        <v>5213</v>
      </c>
      <c r="AE674" s="430"/>
      <c r="AF674" s="459" t="s">
        <v>5034</v>
      </c>
      <c r="AG674" s="459" t="s">
        <v>123</v>
      </c>
      <c r="AH674" s="430" t="s">
        <v>78</v>
      </c>
      <c r="AI674" s="437">
        <v>46207</v>
      </c>
      <c r="AJ674" s="437">
        <v>46211</v>
      </c>
      <c r="AK674" s="437">
        <v>46211</v>
      </c>
      <c r="AL674" s="437">
        <v>46258</v>
      </c>
      <c r="AM674" s="586">
        <f>IFERROR(VLOOKUP(AT674, Vessel!A:H, 8, FALSE), "")</f>
        <v>46271.25</v>
      </c>
      <c r="AN674" s="586">
        <f>IF(VLOOKUP(AT674, Vessel!A:I, 9, FALSE)=0, "", VLOOKUP(AT674, Vessel!A:I, 9, FALSE))</f>
        <v>46271.279085648152</v>
      </c>
      <c r="AP674" s="430" t="s">
        <v>5211</v>
      </c>
      <c r="AQ674" s="438" t="s">
        <v>80</v>
      </c>
      <c r="AR674" s="430" t="s">
        <v>5214</v>
      </c>
      <c r="AS674" s="430" t="s">
        <v>5215</v>
      </c>
      <c r="AT674" s="430" t="s">
        <v>5215</v>
      </c>
      <c r="AU6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4" s="437"/>
      <c r="AW674" s="437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7">
        <f>IF(ISERROR(PV_DATA[[#This Row],[New Ark PO status]]),"",_xlfn.XLOOKUP(PV_DATA[[#This Row],[SPTN-PVHK New Ark PO'#]],New_Ark_Data[Purchase order Number],New_Ark_Data[Estimated time of arrival],"",0))</f>
        <v>46283</v>
      </c>
      <c r="AZ67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7">
        <f>IFERROR(PV_DATA[[#This Row],[ODP ETA Port]]+PV_DATA[[#This Row],[Customs/Leg3 Assumption]],"n/a")</f>
        <v>46279.279085648152</v>
      </c>
      <c r="BB674" s="433">
        <f>YEAR(PV_DATA[[#This Row],[ETA for New Ark update]])</f>
        <v>2026</v>
      </c>
      <c r="BC674" s="430">
        <f>MONTH(PV_DATA[[#This Row],[ETA for New Ark update]])</f>
        <v>9</v>
      </c>
      <c r="BD674" s="430">
        <f>IFERROR(_xlfn.ISOWEEKNUM(PV_DATA[[#This Row],[ETA for New Ark update]]),0)</f>
        <v>38</v>
      </c>
      <c r="BE674" s="430">
        <f>_xlfn.XLOOKUP(PV_DATA[[#This Row],[New Ark SKU]],Table9[New Ark SKU],Table9[Total PCS per Pallet],,0)</f>
        <v>36</v>
      </c>
      <c r="BF674" s="430">
        <f>_xlfn.XLOOKUP(PV_DATA[[#This Row],[New Ark SKU]],Table9[New Ark SKU],Table9[Total PCS per 40HQ Container],,0)</f>
        <v>864</v>
      </c>
      <c r="BG674" s="431" t="str">
        <f>_xlfn.XLOOKUP(PV_DATA[[#This Row],[New Ark SKU]],Table9[New Ark SKU],Table9[Back Glass],,0)</f>
        <v>Black glazing</v>
      </c>
      <c r="BH674" s="430" t="str">
        <f>_xlfn.XLOOKUP(PV_DATA[[#This Row],[PORT DESTINATION]],Table12[PORT DESTINATION],Table12[Cosco Line],,0)</f>
        <v>AEM</v>
      </c>
      <c r="BJ674" s="430"/>
    </row>
    <row r="675" spans="1:62" ht="10.5">
      <c r="A675" s="462" t="s">
        <v>5216</v>
      </c>
      <c r="B675" s="462" t="s">
        <v>1757</v>
      </c>
      <c r="C675" s="462" t="str">
        <f>IFERROR(LEFT(PV_DATA[[#This Row],[TCL REFERENCE]],FIND(".",PV_DATA[[#This Row],[TCL REFERENCE]],1)-1),"Main Line")</f>
        <v>26Jun012</v>
      </c>
      <c r="D675" s="462" t="s">
        <v>63</v>
      </c>
      <c r="E675" s="462" t="s">
        <v>64</v>
      </c>
      <c r="F675" s="462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2" t="s">
        <v>402</v>
      </c>
      <c r="H675" s="462" t="s">
        <v>67</v>
      </c>
      <c r="I675" s="462" t="s">
        <v>689</v>
      </c>
      <c r="J675" s="430" t="s">
        <v>96</v>
      </c>
      <c r="K675" s="430"/>
      <c r="L675" s="430"/>
      <c r="M675" s="430" t="s">
        <v>68</v>
      </c>
      <c r="N675" s="432">
        <v>46195</v>
      </c>
      <c r="O675" s="430" t="s">
        <v>4531</v>
      </c>
      <c r="P675" s="430" t="s">
        <v>1151</v>
      </c>
      <c r="Q675" s="430" t="s">
        <v>421</v>
      </c>
      <c r="R675" s="430" t="str">
        <f>_xlfn.XLOOKUP(PV_DATA[[#This Row],[New Ark SKU]],Table9[New Ark SKU],Table9[Connector],,0)</f>
        <v>EVO2A</v>
      </c>
      <c r="S675" s="442" t="str">
        <f>_xlfn.XLOOKUP(PV_DATA[[#This Row],[New Ark SKU]],Table9[New Ark SKU],Table9[Cable],,0)</f>
        <v>±1200mm</v>
      </c>
      <c r="T675" s="433">
        <v>505</v>
      </c>
      <c r="U675" s="1088">
        <f>864*6</f>
        <v>5184</v>
      </c>
      <c r="V675" s="434">
        <f>PV_DATA[[#This Row],[QUANTITY]]*PV_DATA[[#This Row],[WATT]]/1000000</f>
        <v>2.6179199999999998</v>
      </c>
      <c r="W675" s="435">
        <f>PV_DATA[[#This Row],[QUANTITY]]/PV_DATA[[#This Row],[Qty/Pallet]]</f>
        <v>144</v>
      </c>
      <c r="X675" s="1040">
        <f>PV_DATA[[#This Row],[QUANTITY]]/PV_DATA[[#This Row],[Qty/CT]]</f>
        <v>6</v>
      </c>
      <c r="Y675" s="459" t="s">
        <v>2457</v>
      </c>
      <c r="Z675" s="430" t="str">
        <f t="shared" si="7"/>
        <v>COMPLETED</v>
      </c>
      <c r="AA675" s="430" t="s">
        <v>5148</v>
      </c>
      <c r="AB675" s="437">
        <v>46202</v>
      </c>
      <c r="AC675" s="485">
        <f>IF(PV_DATA[[#This Row],[Pick- Up Date]]&lt;&gt;"",_xlfn.ISOWEEKNUM(PV_DATA[[#This Row],[Pick- Up Date]]),"")</f>
        <v>27</v>
      </c>
      <c r="AD675" s="430" t="s">
        <v>5217</v>
      </c>
      <c r="AE675" s="430"/>
      <c r="AF675" s="459" t="s">
        <v>5034</v>
      </c>
      <c r="AG675" s="459" t="s">
        <v>123</v>
      </c>
      <c r="AH675" s="430" t="s">
        <v>78</v>
      </c>
      <c r="AI675" s="437">
        <v>46207</v>
      </c>
      <c r="AJ675" s="437">
        <v>46211</v>
      </c>
      <c r="AK675" s="437">
        <v>46211</v>
      </c>
      <c r="AL675" s="437">
        <v>46258</v>
      </c>
      <c r="AM675" s="586">
        <f>IFERROR(VLOOKUP(AT675, Vessel!A:H, 8, FALSE), "")</f>
        <v>46271.25</v>
      </c>
      <c r="AN675" s="586">
        <f>IF(VLOOKUP(AT675, Vessel!A:I, 9, FALSE)=0, "", VLOOKUP(AT675, Vessel!A:I, 9, FALSE))</f>
        <v>46271.279085648152</v>
      </c>
      <c r="AP675" s="430" t="s">
        <v>5211</v>
      </c>
      <c r="AQ675" s="438" t="s">
        <v>80</v>
      </c>
      <c r="AR675" s="430" t="s">
        <v>5214</v>
      </c>
      <c r="AS675" s="430" t="s">
        <v>5215</v>
      </c>
      <c r="AT675" s="430" t="s">
        <v>5215</v>
      </c>
      <c r="AU6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5" s="437"/>
      <c r="AW675" s="437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7">
        <f>IF(ISERROR(PV_DATA[[#This Row],[New Ark PO status]]),"",_xlfn.XLOOKUP(PV_DATA[[#This Row],[SPTN-PVHK New Ark PO'#]],New_Ark_Data[Purchase order Number],New_Ark_Data[Estimated time of arrival],"",0))</f>
        <v>46283</v>
      </c>
      <c r="AZ67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7">
        <f>IFERROR(PV_DATA[[#This Row],[ODP ETA Port]]+PV_DATA[[#This Row],[Customs/Leg3 Assumption]],"n/a")</f>
        <v>46279.279085648152</v>
      </c>
      <c r="BB675" s="433">
        <f>YEAR(PV_DATA[[#This Row],[ETA for New Ark update]])</f>
        <v>2026</v>
      </c>
      <c r="BC675" s="430">
        <f>MONTH(PV_DATA[[#This Row],[ETA for New Ark update]])</f>
        <v>9</v>
      </c>
      <c r="BD675" s="430">
        <f>IFERROR(_xlfn.ISOWEEKNUM(PV_DATA[[#This Row],[ETA for New Ark update]]),0)</f>
        <v>38</v>
      </c>
      <c r="BE675" s="430">
        <f>_xlfn.XLOOKUP(PV_DATA[[#This Row],[New Ark SKU]],Table9[New Ark SKU],Table9[Total PCS per Pallet],,0)</f>
        <v>36</v>
      </c>
      <c r="BF675" s="430">
        <f>_xlfn.XLOOKUP(PV_DATA[[#This Row],[New Ark SKU]],Table9[New Ark SKU],Table9[Total PCS per 40HQ Container],,0)</f>
        <v>864</v>
      </c>
      <c r="BG675" s="431" t="str">
        <f>_xlfn.XLOOKUP(PV_DATA[[#This Row],[New Ark SKU]],Table9[New Ark SKU],Table9[Back Glass],,0)</f>
        <v>Black glazing</v>
      </c>
      <c r="BH675" s="430" t="str">
        <f>_xlfn.XLOOKUP(PV_DATA[[#This Row],[PORT DESTINATION]],Table12[PORT DESTINATION],Table12[Cosco Line],,0)</f>
        <v>AEM</v>
      </c>
      <c r="BJ675" s="430"/>
    </row>
    <row r="676" spans="1:62" ht="10.5">
      <c r="A676" s="462" t="s">
        <v>5218</v>
      </c>
      <c r="B676" s="462" t="s">
        <v>1757</v>
      </c>
      <c r="C676" s="462" t="str">
        <f>IFERROR(LEFT(PV_DATA[[#This Row],[TCL REFERENCE]],FIND(".",PV_DATA[[#This Row],[TCL REFERENCE]],1)-1),"Main Line")</f>
        <v>26Jun011</v>
      </c>
      <c r="D676" s="462" t="s">
        <v>63</v>
      </c>
      <c r="E676" s="462" t="s">
        <v>64</v>
      </c>
      <c r="F676" s="462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2" t="s">
        <v>402</v>
      </c>
      <c r="H676" s="462" t="s">
        <v>67</v>
      </c>
      <c r="I676" s="462" t="s">
        <v>689</v>
      </c>
      <c r="J676" s="430" t="s">
        <v>96</v>
      </c>
      <c r="K676" s="430"/>
      <c r="L676" s="430"/>
      <c r="M676" s="430" t="s">
        <v>68</v>
      </c>
      <c r="N676" s="432">
        <v>46195</v>
      </c>
      <c r="O676" s="430" t="s">
        <v>4531</v>
      </c>
      <c r="P676" s="430" t="s">
        <v>71</v>
      </c>
      <c r="Q676" s="430" t="s">
        <v>72</v>
      </c>
      <c r="R676" s="430" t="str">
        <f>_xlfn.XLOOKUP(PV_DATA[[#This Row],[New Ark SKU]],Table9[New Ark SKU],Table9[Connector],,0)</f>
        <v>EVO2A</v>
      </c>
      <c r="S676" s="442" t="str">
        <f>_xlfn.XLOOKUP(PV_DATA[[#This Row],[New Ark SKU]],Table9[New Ark SKU],Table9[Cable],,0)</f>
        <v>±1200mm</v>
      </c>
      <c r="T676" s="433">
        <v>500</v>
      </c>
      <c r="U676" s="1088">
        <v>2592</v>
      </c>
      <c r="V676" s="434">
        <f>PV_DATA[[#This Row],[QUANTITY]]*PV_DATA[[#This Row],[WATT]]/1000000</f>
        <v>1.296</v>
      </c>
      <c r="W676" s="435">
        <f>PV_DATA[[#This Row],[QUANTITY]]/PV_DATA[[#This Row],[Qty/Pallet]]</f>
        <v>72</v>
      </c>
      <c r="X676" s="1040">
        <v>3</v>
      </c>
      <c r="Y676" s="459" t="s">
        <v>2457</v>
      </c>
      <c r="Z676" s="430" t="str">
        <f t="shared" si="7"/>
        <v>COMPLETED</v>
      </c>
      <c r="AA676" s="430" t="s">
        <v>5148</v>
      </c>
      <c r="AB676" s="437">
        <v>46201</v>
      </c>
      <c r="AC676" s="485">
        <f>IF(PV_DATA[[#This Row],[Pick- Up Date]]&lt;&gt;"",_xlfn.ISOWEEKNUM(PV_DATA[[#This Row],[Pick- Up Date]]),"")</f>
        <v>26</v>
      </c>
      <c r="AD676" s="430" t="s">
        <v>5219</v>
      </c>
      <c r="AE676" s="430"/>
      <c r="AF676" s="459" t="s">
        <v>5034</v>
      </c>
      <c r="AG676" s="459" t="s">
        <v>123</v>
      </c>
      <c r="AH676" s="430" t="s">
        <v>78</v>
      </c>
      <c r="AI676" s="437">
        <v>46207</v>
      </c>
      <c r="AJ676" s="437">
        <v>46211</v>
      </c>
      <c r="AK676" s="437">
        <v>46211</v>
      </c>
      <c r="AL676" s="437">
        <v>46258</v>
      </c>
      <c r="AM676" s="586">
        <f>IFERROR(VLOOKUP(AT676, Vessel!A:H, 8, FALSE), "")</f>
        <v>46271.25</v>
      </c>
      <c r="AN676" s="586">
        <f>IF(VLOOKUP(AT676, Vessel!A:I, 9, FALSE)=0, "", VLOOKUP(AT676, Vessel!A:I, 9, FALSE))</f>
        <v>46271.279085648152</v>
      </c>
      <c r="AP676" s="430" t="s">
        <v>5211</v>
      </c>
      <c r="AQ676" s="438" t="s">
        <v>80</v>
      </c>
      <c r="AR676" s="430" t="s">
        <v>5220</v>
      </c>
      <c r="AS676" s="430" t="s">
        <v>5221</v>
      </c>
      <c r="AT676" s="430" t="s">
        <v>5221</v>
      </c>
      <c r="AU6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6" s="437"/>
      <c r="AW676" s="437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7">
        <f>IF(ISERROR(PV_DATA[[#This Row],[New Ark PO status]]),"",_xlfn.XLOOKUP(PV_DATA[[#This Row],[SPTN-PVHK New Ark PO'#]],New_Ark_Data[Purchase order Number],New_Ark_Data[Estimated time of arrival],"",0))</f>
        <v>46283</v>
      </c>
      <c r="AZ67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7">
        <f>IFERROR(PV_DATA[[#This Row],[ODP ETA Port]]+PV_DATA[[#This Row],[Customs/Leg3 Assumption]],"n/a")</f>
        <v>46279.279085648152</v>
      </c>
      <c r="BB676" s="433">
        <f>YEAR(PV_DATA[[#This Row],[ETA for New Ark update]])</f>
        <v>2026</v>
      </c>
      <c r="BC676" s="430">
        <f>MONTH(PV_DATA[[#This Row],[ETA for New Ark update]])</f>
        <v>9</v>
      </c>
      <c r="BD676" s="430">
        <f>IFERROR(_xlfn.ISOWEEKNUM(PV_DATA[[#This Row],[ETA for New Ark update]]),0)</f>
        <v>38</v>
      </c>
      <c r="BE676" s="430">
        <f>_xlfn.XLOOKUP(PV_DATA[[#This Row],[New Ark SKU]],Table9[New Ark SKU],Table9[Total PCS per Pallet],,0)</f>
        <v>36</v>
      </c>
      <c r="BF676" s="430">
        <f>_xlfn.XLOOKUP(PV_DATA[[#This Row],[New Ark SKU]],Table9[New Ark SKU],Table9[Total PCS per 40HQ Container],,0)</f>
        <v>864</v>
      </c>
      <c r="BG676" s="431" t="str">
        <f>_xlfn.XLOOKUP(PV_DATA[[#This Row],[New Ark SKU]],Table9[New Ark SKU],Table9[Back Glass],,0)</f>
        <v>Black glazing</v>
      </c>
      <c r="BH676" s="430" t="str">
        <f>_xlfn.XLOOKUP(PV_DATA[[#This Row],[PORT DESTINATION]],Table12[PORT DESTINATION],Table12[Cosco Line],,0)</f>
        <v>AEM</v>
      </c>
      <c r="BJ676" s="430"/>
    </row>
    <row r="677" spans="1:62" ht="10.5">
      <c r="A677" s="462" t="s">
        <v>5222</v>
      </c>
      <c r="B677" s="462" t="s">
        <v>1757</v>
      </c>
      <c r="C677" s="462" t="str">
        <f>IFERROR(LEFT(PV_DATA[[#This Row],[TCL REFERENCE]],FIND(".",PV_DATA[[#This Row],[TCL REFERENCE]],1)-1),"Main Line")</f>
        <v>26Jun012</v>
      </c>
      <c r="D677" s="462" t="s">
        <v>63</v>
      </c>
      <c r="E677" s="462" t="s">
        <v>64</v>
      </c>
      <c r="F677" s="462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2" t="s">
        <v>402</v>
      </c>
      <c r="H677" s="462" t="s">
        <v>67</v>
      </c>
      <c r="I677" s="462" t="s">
        <v>689</v>
      </c>
      <c r="J677" s="430" t="s">
        <v>96</v>
      </c>
      <c r="K677" s="430"/>
      <c r="L677" s="430"/>
      <c r="M677" s="430" t="s">
        <v>68</v>
      </c>
      <c r="N677" s="432">
        <v>46195</v>
      </c>
      <c r="O677" s="430" t="s">
        <v>4531</v>
      </c>
      <c r="P677" s="430" t="s">
        <v>1151</v>
      </c>
      <c r="Q677" s="430" t="s">
        <v>421</v>
      </c>
      <c r="R677" s="430" t="str">
        <f>_xlfn.XLOOKUP(PV_DATA[[#This Row],[New Ark SKU]],Table9[New Ark SKU],Table9[Connector],,0)</f>
        <v>EVO2A</v>
      </c>
      <c r="S677" s="442" t="str">
        <f>_xlfn.XLOOKUP(PV_DATA[[#This Row],[New Ark SKU]],Table9[New Ark SKU],Table9[Cable],,0)</f>
        <v>±1200mm</v>
      </c>
      <c r="T677" s="433">
        <v>505</v>
      </c>
      <c r="U677" s="1088">
        <v>2592</v>
      </c>
      <c r="V677" s="434">
        <f>PV_DATA[[#This Row],[QUANTITY]]*PV_DATA[[#This Row],[WATT]]/1000000</f>
        <v>1.3089599999999999</v>
      </c>
      <c r="W677" s="435">
        <f>PV_DATA[[#This Row],[QUANTITY]]/PV_DATA[[#This Row],[Qty/Pallet]]</f>
        <v>72</v>
      </c>
      <c r="X677" s="1040">
        <f>PV_DATA[[#This Row],[QUANTITY]]/PV_DATA[[#This Row],[Qty/CT]]</f>
        <v>3</v>
      </c>
      <c r="Y677" s="459" t="s">
        <v>2457</v>
      </c>
      <c r="Z677" s="430" t="str">
        <f t="shared" si="7"/>
        <v>COMPLETED</v>
      </c>
      <c r="AA677" s="430" t="s">
        <v>5223</v>
      </c>
      <c r="AB677" s="437">
        <v>46201</v>
      </c>
      <c r="AC677" s="485">
        <f>IF(PV_DATA[[#This Row],[Pick- Up Date]]&lt;&gt;"",_xlfn.ISOWEEKNUM(PV_DATA[[#This Row],[Pick- Up Date]]),"")</f>
        <v>26</v>
      </c>
      <c r="AD677" s="430" t="s">
        <v>5224</v>
      </c>
      <c r="AE677" s="430"/>
      <c r="AF677" s="459" t="s">
        <v>5034</v>
      </c>
      <c r="AG677" s="459" t="s">
        <v>123</v>
      </c>
      <c r="AH677" s="430" t="s">
        <v>78</v>
      </c>
      <c r="AI677" s="437">
        <v>46207</v>
      </c>
      <c r="AJ677" s="437">
        <v>46211</v>
      </c>
      <c r="AK677" s="437">
        <v>46211</v>
      </c>
      <c r="AL677" s="437">
        <v>46258</v>
      </c>
      <c r="AM677" s="586">
        <f>IFERROR(VLOOKUP(AT677, Vessel!A:H, 8, FALSE), "")</f>
        <v>46271.25</v>
      </c>
      <c r="AN677" s="586">
        <f>IF(VLOOKUP(AT677, Vessel!A:I, 9, FALSE)=0, "", VLOOKUP(AT677, Vessel!A:I, 9, FALSE))</f>
        <v>46271.279085648152</v>
      </c>
      <c r="AP677" s="430" t="s">
        <v>5211</v>
      </c>
      <c r="AQ677" s="438" t="s">
        <v>80</v>
      </c>
      <c r="AR677" s="430" t="s">
        <v>5220</v>
      </c>
      <c r="AS677" s="430" t="s">
        <v>5221</v>
      </c>
      <c r="AT677" s="430" t="s">
        <v>5221</v>
      </c>
      <c r="AU6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7" s="437"/>
      <c r="AW677" s="437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7">
        <f>IF(ISERROR(PV_DATA[[#This Row],[New Ark PO status]]),"",_xlfn.XLOOKUP(PV_DATA[[#This Row],[SPTN-PVHK New Ark PO'#]],New_Ark_Data[Purchase order Number],New_Ark_Data[Estimated time of arrival],"",0))</f>
        <v>46283</v>
      </c>
      <c r="AZ67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7">
        <f>IFERROR(PV_DATA[[#This Row],[ODP ETA Port]]+PV_DATA[[#This Row],[Customs/Leg3 Assumption]],"n/a")</f>
        <v>46279.279085648152</v>
      </c>
      <c r="BB677" s="433">
        <f>YEAR(PV_DATA[[#This Row],[ETA for New Ark update]])</f>
        <v>2026</v>
      </c>
      <c r="BC677" s="430">
        <f>MONTH(PV_DATA[[#This Row],[ETA for New Ark update]])</f>
        <v>9</v>
      </c>
      <c r="BD677" s="430">
        <f>IFERROR(_xlfn.ISOWEEKNUM(PV_DATA[[#This Row],[ETA for New Ark update]]),0)</f>
        <v>38</v>
      </c>
      <c r="BE677" s="430">
        <f>_xlfn.XLOOKUP(PV_DATA[[#This Row],[New Ark SKU]],Table9[New Ark SKU],Table9[Total PCS per Pallet],,0)</f>
        <v>36</v>
      </c>
      <c r="BF677" s="430">
        <f>_xlfn.XLOOKUP(PV_DATA[[#This Row],[New Ark SKU]],Table9[New Ark SKU],Table9[Total PCS per 40HQ Container],,0)</f>
        <v>864</v>
      </c>
      <c r="BG677" s="431" t="str">
        <f>_xlfn.XLOOKUP(PV_DATA[[#This Row],[New Ark SKU]],Table9[New Ark SKU],Table9[Back Glass],,0)</f>
        <v>Black glazing</v>
      </c>
      <c r="BH677" s="430" t="str">
        <f>_xlfn.XLOOKUP(PV_DATA[[#This Row],[PORT DESTINATION]],Table12[PORT DESTINATION],Table12[Cosco Line],,0)</f>
        <v>AEM</v>
      </c>
      <c r="BJ677" s="430"/>
    </row>
    <row r="678" spans="1:62" ht="10.5">
      <c r="A678" s="462" t="s">
        <v>5225</v>
      </c>
      <c r="B678" s="462" t="s">
        <v>1757</v>
      </c>
      <c r="C678" s="462" t="str">
        <f>IFERROR(LEFT(PV_DATA[[#This Row],[TCL REFERENCE]],FIND(".",PV_DATA[[#This Row],[TCL REFERENCE]],1)-1),"Main Line")</f>
        <v>26Jun012</v>
      </c>
      <c r="D678" s="462" t="s">
        <v>63</v>
      </c>
      <c r="E678" s="462" t="s">
        <v>64</v>
      </c>
      <c r="F678" s="462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2" t="s">
        <v>402</v>
      </c>
      <c r="H678" s="462" t="s">
        <v>67</v>
      </c>
      <c r="I678" s="462" t="s">
        <v>689</v>
      </c>
      <c r="J678" s="430" t="s">
        <v>96</v>
      </c>
      <c r="K678" s="430"/>
      <c r="L678" s="430"/>
      <c r="M678" s="430" t="s">
        <v>68</v>
      </c>
      <c r="N678" s="432">
        <v>46195</v>
      </c>
      <c r="O678" s="430" t="s">
        <v>4531</v>
      </c>
      <c r="P678" s="430" t="s">
        <v>1151</v>
      </c>
      <c r="Q678" s="430" t="s">
        <v>421</v>
      </c>
      <c r="R678" s="430" t="str">
        <f>_xlfn.XLOOKUP(PV_DATA[[#This Row],[New Ark SKU]],Table9[New Ark SKU],Table9[Connector],,0)</f>
        <v>EVO2A</v>
      </c>
      <c r="S678" s="442" t="str">
        <f>_xlfn.XLOOKUP(PV_DATA[[#This Row],[New Ark SKU]],Table9[New Ark SKU],Table9[Cable],,0)</f>
        <v>±1200mm</v>
      </c>
      <c r="T678" s="433">
        <v>505</v>
      </c>
      <c r="U678" s="1088">
        <v>864</v>
      </c>
      <c r="V678" s="434">
        <f>PV_DATA[[#This Row],[QUANTITY]]*PV_DATA[[#This Row],[WATT]]/1000000</f>
        <v>0.43631999999999999</v>
      </c>
      <c r="W678" s="435">
        <f>PV_DATA[[#This Row],[QUANTITY]]/PV_DATA[[#This Row],[Qty/Pallet]]</f>
        <v>24</v>
      </c>
      <c r="X678" s="1040">
        <f>PV_DATA[[#This Row],[QUANTITY]]/PV_DATA[[#This Row],[Qty/CT]]</f>
        <v>1</v>
      </c>
      <c r="Y678" s="459" t="s">
        <v>2457</v>
      </c>
      <c r="Z678" s="430" t="str">
        <f t="shared" si="7"/>
        <v>COMPLETED</v>
      </c>
      <c r="AA678" s="430"/>
      <c r="AB678" s="437">
        <v>46201</v>
      </c>
      <c r="AC678" s="485">
        <f>IF(PV_DATA[[#This Row],[Pick- Up Date]]&lt;&gt;"",_xlfn.ISOWEEKNUM(PV_DATA[[#This Row],[Pick- Up Date]]),"")</f>
        <v>26</v>
      </c>
      <c r="AD678" s="430" t="s">
        <v>5226</v>
      </c>
      <c r="AE678" s="430"/>
      <c r="AF678" s="459" t="s">
        <v>5034</v>
      </c>
      <c r="AG678" s="459" t="s">
        <v>123</v>
      </c>
      <c r="AH678" s="430" t="s">
        <v>78</v>
      </c>
      <c r="AI678" s="437">
        <v>46207</v>
      </c>
      <c r="AJ678" s="437">
        <v>46211</v>
      </c>
      <c r="AK678" s="437">
        <v>46211</v>
      </c>
      <c r="AL678" s="437">
        <v>46258</v>
      </c>
      <c r="AM678" s="586">
        <f>IFERROR(VLOOKUP(AT678, Vessel!A:H, 8, FALSE), "")</f>
        <v>46271.25</v>
      </c>
      <c r="AN678" s="586">
        <f>IF(VLOOKUP(AT678, Vessel!A:I, 9, FALSE)=0, "", VLOOKUP(AT678, Vessel!A:I, 9, FALSE))</f>
        <v>46271.279085648152</v>
      </c>
      <c r="AP678" s="430" t="s">
        <v>5211</v>
      </c>
      <c r="AQ678" s="438" t="s">
        <v>80</v>
      </c>
      <c r="AR678" s="430" t="s">
        <v>5220</v>
      </c>
      <c r="AS678" s="430" t="s">
        <v>5221</v>
      </c>
      <c r="AT678" s="430" t="s">
        <v>5221</v>
      </c>
      <c r="AU6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8" s="437"/>
      <c r="AW678" s="437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7">
        <f>IF(ISERROR(PV_DATA[[#This Row],[New Ark PO status]]),"",_xlfn.XLOOKUP(PV_DATA[[#This Row],[SPTN-PVHK New Ark PO'#]],New_Ark_Data[Purchase order Number],New_Ark_Data[Estimated time of arrival],"",0))</f>
        <v>46283</v>
      </c>
      <c r="AZ67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7">
        <f>IFERROR(PV_DATA[[#This Row],[ODP ETA Port]]+PV_DATA[[#This Row],[Customs/Leg3 Assumption]],"n/a")</f>
        <v>46279.279085648152</v>
      </c>
      <c r="BB678" s="433">
        <f>YEAR(PV_DATA[[#This Row],[ETA for New Ark update]])</f>
        <v>2026</v>
      </c>
      <c r="BC678" s="430">
        <f>MONTH(PV_DATA[[#This Row],[ETA for New Ark update]])</f>
        <v>9</v>
      </c>
      <c r="BD678" s="430">
        <f>IFERROR(_xlfn.ISOWEEKNUM(PV_DATA[[#This Row],[ETA for New Ark update]]),0)</f>
        <v>38</v>
      </c>
      <c r="BE678" s="430">
        <f>_xlfn.XLOOKUP(PV_DATA[[#This Row],[New Ark SKU]],Table9[New Ark SKU],Table9[Total PCS per Pallet],,0)</f>
        <v>36</v>
      </c>
      <c r="BF678" s="430">
        <f>_xlfn.XLOOKUP(PV_DATA[[#This Row],[New Ark SKU]],Table9[New Ark SKU],Table9[Total PCS per 40HQ Container],,0)</f>
        <v>864</v>
      </c>
      <c r="BG678" s="431" t="str">
        <f>_xlfn.XLOOKUP(PV_DATA[[#This Row],[New Ark SKU]],Table9[New Ark SKU],Table9[Back Glass],,0)</f>
        <v>Black glazing</v>
      </c>
      <c r="BH678" s="430" t="str">
        <f>_xlfn.XLOOKUP(PV_DATA[[#This Row],[PORT DESTINATION]],Table12[PORT DESTINATION],Table12[Cosco Line],,0)</f>
        <v>AEM</v>
      </c>
      <c r="BJ678" s="430"/>
    </row>
    <row r="679" spans="1:62" ht="10.5">
      <c r="A679" s="462" t="s">
        <v>5227</v>
      </c>
      <c r="B679" s="462" t="s">
        <v>111</v>
      </c>
      <c r="C679" s="462" t="str">
        <f>IFERROR(LEFT(PV_DATA[[#This Row],[TCL REFERENCE]],FIND(".",PV_DATA[[#This Row],[TCL REFERENCE]],1)-1),"Main Line")</f>
        <v>26Jun002</v>
      </c>
      <c r="D679" s="462" t="s">
        <v>63</v>
      </c>
      <c r="E679" s="462" t="s">
        <v>64</v>
      </c>
      <c r="F679" s="462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2" t="s">
        <v>402</v>
      </c>
      <c r="H679" s="462" t="s">
        <v>115</v>
      </c>
      <c r="I679" s="462" t="s">
        <v>689</v>
      </c>
      <c r="J679" s="430" t="s">
        <v>96</v>
      </c>
      <c r="K679" s="430"/>
      <c r="L679" s="430"/>
      <c r="M679" s="430" t="s">
        <v>68</v>
      </c>
      <c r="N679" s="432">
        <v>46194</v>
      </c>
      <c r="O679" s="430" t="s">
        <v>550</v>
      </c>
      <c r="P679" s="430" t="s">
        <v>2134</v>
      </c>
      <c r="Q679" s="430" t="s">
        <v>2135</v>
      </c>
      <c r="R679" s="430" t="str">
        <f>_xlfn.XLOOKUP(PV_DATA[[#This Row],[New Ark SKU]],Table9[New Ark SKU],Table9[Connector],,0)</f>
        <v>EVO2A</v>
      </c>
      <c r="S679" s="442" t="str">
        <f>_xlfn.XLOOKUP(PV_DATA[[#This Row],[New Ark SKU]],Table9[New Ark SKU],Table9[Cable],,0)</f>
        <v>±1350mm</v>
      </c>
      <c r="T679" s="433">
        <v>515</v>
      </c>
      <c r="U679" s="1088">
        <v>792</v>
      </c>
      <c r="V679" s="434">
        <f>PV_DATA[[#This Row],[QUANTITY]]*PV_DATA[[#This Row],[WATT]]/1000000</f>
        <v>0.40788000000000002</v>
      </c>
      <c r="W679" s="435">
        <f>PV_DATA[[#This Row],[QUANTITY]]/PV_DATA[[#This Row],[Qty/Pallet]]</f>
        <v>22</v>
      </c>
      <c r="X679" s="1084">
        <f>PV_DATA[[#This Row],[QUANTITY]]/PV_DATA[[#This Row],[Qty/CT]]</f>
        <v>1</v>
      </c>
      <c r="Y679" s="459" t="s">
        <v>2457</v>
      </c>
      <c r="Z679" s="430" t="str">
        <f t="shared" si="7"/>
        <v>COMPLETED</v>
      </c>
      <c r="AA679" s="430" t="s">
        <v>5223</v>
      </c>
      <c r="AB679" s="437">
        <v>46199</v>
      </c>
      <c r="AC679" s="485">
        <f>IF(PV_DATA[[#This Row],[Pick- Up Date]]&lt;&gt;"",_xlfn.ISOWEEKNUM(PV_DATA[[#This Row],[Pick- Up Date]]),"")</f>
        <v>26</v>
      </c>
      <c r="AD679" s="430" t="s">
        <v>5228</v>
      </c>
      <c r="AE679" s="430"/>
      <c r="AF679" s="430" t="s">
        <v>122</v>
      </c>
      <c r="AG679" s="430" t="s">
        <v>123</v>
      </c>
      <c r="AH679" s="430" t="s">
        <v>124</v>
      </c>
      <c r="AI679" s="437">
        <v>46204</v>
      </c>
      <c r="AJ679" s="437">
        <v>46207</v>
      </c>
      <c r="AK679" s="437">
        <v>46207</v>
      </c>
      <c r="AL679" s="732">
        <v>46249</v>
      </c>
      <c r="AM679" s="588"/>
      <c r="AN679" s="586">
        <f>IF(VLOOKUP(AT679, Vessel!A:I, 9, FALSE)=0, "", VLOOKUP(AT679, Vessel!A:I, 9, FALSE))</f>
        <v>46258.289537037039</v>
      </c>
      <c r="AP679" s="430" t="s">
        <v>5229</v>
      </c>
      <c r="AQ679" s="430" t="s">
        <v>80</v>
      </c>
      <c r="AR679" s="430" t="s">
        <v>5230</v>
      </c>
      <c r="AS679" s="430" t="s">
        <v>5231</v>
      </c>
      <c r="AT679" s="430" t="s">
        <v>5231</v>
      </c>
      <c r="AU6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79" s="437"/>
      <c r="AW679" s="437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9" s="437">
        <f>IF(ISERROR(PV_DATA[[#This Row],[New Ark PO status]]),"",_xlfn.XLOOKUP(PV_DATA[[#This Row],[SPTN-PVHK New Ark PO'#]],New_Ark_Data[Purchase order Number],New_Ark_Data[Estimated time of arrival],"",0))</f>
        <v>46272</v>
      </c>
      <c r="AZ679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7">
        <f>IFERROR(PV_DATA[[#This Row],[ODP ETA Port]]+PV_DATA[[#This Row],[Customs/Leg3 Assumption]],"n/a")</f>
        <v>46267.289537037039</v>
      </c>
      <c r="BB679" s="433">
        <f>YEAR(PV_DATA[[#This Row],[ETA for New Ark update]])</f>
        <v>2026</v>
      </c>
      <c r="BC679" s="430">
        <f>MONTH(PV_DATA[[#This Row],[ETA for New Ark update]])</f>
        <v>9</v>
      </c>
      <c r="BD679" s="430">
        <f>IFERROR(_xlfn.ISOWEEKNUM(PV_DATA[[#This Row],[ETA for New Ark update]]),0)</f>
        <v>36</v>
      </c>
      <c r="BE679" s="430">
        <f>_xlfn.XLOOKUP(PV_DATA[[#This Row],[New Ark SKU]],Table9[New Ark SKU],Table9[Total PCS per Pallet],,0)</f>
        <v>36</v>
      </c>
      <c r="BF679" s="430">
        <f>_xlfn.XLOOKUP(PV_DATA[[#This Row],[New Ark SKU]],Table9[New Ark SKU],Table9[Total PCS per 40HQ Container],,0)</f>
        <v>792</v>
      </c>
      <c r="BG679" s="431" t="str">
        <f>_xlfn.XLOOKUP(PV_DATA[[#This Row],[New Ark SKU]],Table9[New Ark SKU],Table9[Back Glass],,0)</f>
        <v>Black glazing</v>
      </c>
      <c r="BH679" s="430" t="str">
        <f>_xlfn.XLOOKUP(PV_DATA[[#This Row],[PORT DESTINATION]],Table12[PORT DESTINATION],Table12[Cosco Line],,0)</f>
        <v>AEM</v>
      </c>
      <c r="BJ679" s="430"/>
    </row>
    <row r="680" spans="1:62" ht="10.5">
      <c r="A680" s="462" t="s">
        <v>5232</v>
      </c>
      <c r="B680" s="462" t="s">
        <v>111</v>
      </c>
      <c r="C680" s="462" t="str">
        <f>IFERROR(LEFT(PV_DATA[[#This Row],[TCL REFERENCE]],FIND(".",PV_DATA[[#This Row],[TCL REFERENCE]],1)-1),"Main Line")</f>
        <v>26Jun002</v>
      </c>
      <c r="D680" s="462" t="s">
        <v>63</v>
      </c>
      <c r="E680" s="462" t="s">
        <v>64</v>
      </c>
      <c r="F680" s="462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2" t="s">
        <v>402</v>
      </c>
      <c r="H680" s="462" t="s">
        <v>115</v>
      </c>
      <c r="I680" s="462" t="s">
        <v>689</v>
      </c>
      <c r="J680" s="430" t="s">
        <v>96</v>
      </c>
      <c r="K680" s="430"/>
      <c r="L680" s="430"/>
      <c r="M680" s="430" t="s">
        <v>68</v>
      </c>
      <c r="N680" s="432">
        <v>46194</v>
      </c>
      <c r="O680" s="430" t="s">
        <v>550</v>
      </c>
      <c r="P680" s="430" t="s">
        <v>2134</v>
      </c>
      <c r="Q680" s="430" t="s">
        <v>2135</v>
      </c>
      <c r="R680" s="430" t="str">
        <f>_xlfn.XLOOKUP(PV_DATA[[#This Row],[New Ark SKU]],Table9[New Ark SKU],Table9[Connector],,0)</f>
        <v>EVO2A</v>
      </c>
      <c r="S680" s="442" t="str">
        <f>_xlfn.XLOOKUP(PV_DATA[[#This Row],[New Ark SKU]],Table9[New Ark SKU],Table9[Cable],,0)</f>
        <v>±1350mm</v>
      </c>
      <c r="T680" s="433">
        <v>515</v>
      </c>
      <c r="U680" s="1088">
        <v>648</v>
      </c>
      <c r="V680" s="434">
        <f>PV_DATA[[#This Row],[QUANTITY]]*PV_DATA[[#This Row],[WATT]]/1000000</f>
        <v>0.33372000000000002</v>
      </c>
      <c r="W680" s="435">
        <f>PV_DATA[[#This Row],[QUANTITY]]/PV_DATA[[#This Row],[Qty/Pallet]]</f>
        <v>18</v>
      </c>
      <c r="X680" s="1084">
        <v>0.82</v>
      </c>
      <c r="Y680" s="459" t="s">
        <v>2457</v>
      </c>
      <c r="Z680" s="430" t="str">
        <f t="shared" si="7"/>
        <v>COMPLETED</v>
      </c>
      <c r="AA680" s="430" t="s">
        <v>5223</v>
      </c>
      <c r="AB680" s="437">
        <v>46199</v>
      </c>
      <c r="AC680" s="485">
        <f>IF(PV_DATA[[#This Row],[Pick- Up Date]]&lt;&gt;"",_xlfn.ISOWEEKNUM(PV_DATA[[#This Row],[Pick- Up Date]]),"")</f>
        <v>26</v>
      </c>
      <c r="AD680" s="430" t="s">
        <v>5233</v>
      </c>
      <c r="AE680" s="430"/>
      <c r="AF680" s="430" t="s">
        <v>122</v>
      </c>
      <c r="AG680" s="430" t="s">
        <v>123</v>
      </c>
      <c r="AH680" s="430" t="s">
        <v>124</v>
      </c>
      <c r="AI680" s="437">
        <v>46204</v>
      </c>
      <c r="AJ680" s="437">
        <v>46207</v>
      </c>
      <c r="AK680" s="437">
        <v>46207</v>
      </c>
      <c r="AL680" s="732">
        <v>46249</v>
      </c>
      <c r="AM680" s="588"/>
      <c r="AN680" s="586">
        <f>IF(VLOOKUP(AT680, Vessel!A:I, 9, FALSE)=0, "", VLOOKUP(AT680, Vessel!A:I, 9, FALSE))</f>
        <v>46258.289537037039</v>
      </c>
      <c r="AP680" s="430" t="s">
        <v>5229</v>
      </c>
      <c r="AQ680" s="430" t="s">
        <v>80</v>
      </c>
      <c r="AR680" s="430" t="s">
        <v>5230</v>
      </c>
      <c r="AS680" s="430" t="s">
        <v>5231</v>
      </c>
      <c r="AT680" s="430" t="s">
        <v>5231</v>
      </c>
      <c r="AU6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0" s="437"/>
      <c r="AW680" s="437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0" s="437">
        <f>IF(ISERROR(PV_DATA[[#This Row],[New Ark PO status]]),"",_xlfn.XLOOKUP(PV_DATA[[#This Row],[SPTN-PVHK New Ark PO'#]],New_Ark_Data[Purchase order Number],New_Ark_Data[Estimated time of arrival],"",0))</f>
        <v>46272</v>
      </c>
      <c r="AZ680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7">
        <f>IFERROR(PV_DATA[[#This Row],[ODP ETA Port]]+PV_DATA[[#This Row],[Customs/Leg3 Assumption]],"n/a")</f>
        <v>46267.289537037039</v>
      </c>
      <c r="BB680" s="433">
        <f>YEAR(PV_DATA[[#This Row],[ETA for New Ark update]])</f>
        <v>2026</v>
      </c>
      <c r="BC680" s="430">
        <f>MONTH(PV_DATA[[#This Row],[ETA for New Ark update]])</f>
        <v>9</v>
      </c>
      <c r="BD680" s="430">
        <f>IFERROR(_xlfn.ISOWEEKNUM(PV_DATA[[#This Row],[ETA for New Ark update]]),0)</f>
        <v>36</v>
      </c>
      <c r="BE680" s="430">
        <f>_xlfn.XLOOKUP(PV_DATA[[#This Row],[New Ark SKU]],Table9[New Ark SKU],Table9[Total PCS per Pallet],,0)</f>
        <v>36</v>
      </c>
      <c r="BF680" s="430">
        <f>_xlfn.XLOOKUP(PV_DATA[[#This Row],[New Ark SKU]],Table9[New Ark SKU],Table9[Total PCS per 40HQ Container],,0)</f>
        <v>792</v>
      </c>
      <c r="BG680" s="431" t="str">
        <f>_xlfn.XLOOKUP(PV_DATA[[#This Row],[New Ark SKU]],Table9[New Ark SKU],Table9[Back Glass],,0)</f>
        <v>Black glazing</v>
      </c>
      <c r="BH680" s="430" t="str">
        <f>_xlfn.XLOOKUP(PV_DATA[[#This Row],[PORT DESTINATION]],Table12[PORT DESTINATION],Table12[Cosco Line],,0)</f>
        <v>AEM</v>
      </c>
      <c r="BJ680" s="430"/>
    </row>
    <row r="681" spans="1:62" ht="10.5">
      <c r="A681" s="462" t="s">
        <v>5234</v>
      </c>
      <c r="B681" s="462" t="s">
        <v>111</v>
      </c>
      <c r="C681" s="462" t="str">
        <f>IFERROR(LEFT(PV_DATA[[#This Row],[TCL REFERENCE]],FIND(".",PV_DATA[[#This Row],[TCL REFERENCE]],1)-1),"Main Line")</f>
        <v>Main Line</v>
      </c>
      <c r="D681" s="462" t="s">
        <v>63</v>
      </c>
      <c r="E681" s="462" t="s">
        <v>64</v>
      </c>
      <c r="F681" s="462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2" t="s">
        <v>402</v>
      </c>
      <c r="H681" s="462" t="s">
        <v>115</v>
      </c>
      <c r="I681" s="462" t="s">
        <v>689</v>
      </c>
      <c r="J681" s="430" t="s">
        <v>96</v>
      </c>
      <c r="K681" s="430"/>
      <c r="L681" s="430"/>
      <c r="M681" s="430" t="s">
        <v>68</v>
      </c>
      <c r="N681" s="432"/>
      <c r="O681" s="430" t="s">
        <v>4531</v>
      </c>
      <c r="P681" s="430" t="s">
        <v>118</v>
      </c>
      <c r="Q681" s="430" t="s">
        <v>119</v>
      </c>
      <c r="R681" s="430" t="str">
        <f>_xlfn.XLOOKUP(PV_DATA[[#This Row],[New Ark SKU]],Table9[New Ark SKU],Table9[Connector],,0)</f>
        <v>EVO2A</v>
      </c>
      <c r="S681" s="442" t="str">
        <f>_xlfn.XLOOKUP(PV_DATA[[#This Row],[New Ark SKU]],Table9[New Ark SKU],Table9[Cable],,0)</f>
        <v>±1400mm</v>
      </c>
      <c r="T681" s="433">
        <v>640</v>
      </c>
      <c r="U681" s="1088">
        <v>144</v>
      </c>
      <c r="V681" s="434">
        <f>PV_DATA[[#This Row],[QUANTITY]]*PV_DATA[[#This Row],[WATT]]/1000000</f>
        <v>9.2160000000000006E-2</v>
      </c>
      <c r="W681" s="435">
        <f>PV_DATA[[#This Row],[QUANTITY]]/PV_DATA[[#This Row],[Qty/Pallet]]</f>
        <v>4</v>
      </c>
      <c r="X681" s="1084">
        <v>0.25</v>
      </c>
      <c r="Y681" s="459" t="s">
        <v>2457</v>
      </c>
      <c r="Z681" s="430" t="str">
        <f t="shared" si="7"/>
        <v>COMPLETED</v>
      </c>
      <c r="AA681" s="430" t="s">
        <v>5223</v>
      </c>
      <c r="AB681" s="437">
        <v>46199</v>
      </c>
      <c r="AC681" s="485">
        <f>IF(PV_DATA[[#This Row],[Pick- Up Date]]&lt;&gt;"",_xlfn.ISOWEEKNUM(PV_DATA[[#This Row],[Pick- Up Date]]),"")</f>
        <v>26</v>
      </c>
      <c r="AD681" s="430" t="s">
        <v>5235</v>
      </c>
      <c r="AE681" s="430"/>
      <c r="AF681" s="430" t="s">
        <v>122</v>
      </c>
      <c r="AG681" s="430" t="s">
        <v>123</v>
      </c>
      <c r="AH681" s="430" t="s">
        <v>124</v>
      </c>
      <c r="AI681" s="437">
        <v>46204</v>
      </c>
      <c r="AJ681" s="437">
        <v>46207</v>
      </c>
      <c r="AK681" s="437">
        <v>46207</v>
      </c>
      <c r="AL681" s="437">
        <v>46249</v>
      </c>
      <c r="AM681" s="586"/>
      <c r="AN681" s="586">
        <f>IF(VLOOKUP(AT681, Vessel!A:I, 9, FALSE)=0, "", VLOOKUP(AT681, Vessel!A:I, 9, FALSE))</f>
        <v>46258.289537037039</v>
      </c>
      <c r="AP681" s="430" t="s">
        <v>5229</v>
      </c>
      <c r="AQ681" s="430" t="s">
        <v>80</v>
      </c>
      <c r="AR681" s="430" t="s">
        <v>5230</v>
      </c>
      <c r="AS681" s="430" t="s">
        <v>5231</v>
      </c>
      <c r="AT681" s="430" t="s">
        <v>5231</v>
      </c>
      <c r="AU6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1" s="437"/>
      <c r="AW681" s="437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1" s="437">
        <f>IF(ISERROR(PV_DATA[[#This Row],[New Ark PO status]]),"",_xlfn.XLOOKUP(PV_DATA[[#This Row],[SPTN-PVHK New Ark PO'#]],New_Ark_Data[Purchase order Number],New_Ark_Data[Estimated time of arrival],"",0))</f>
        <v>46272</v>
      </c>
      <c r="AZ681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7">
        <f>IFERROR(PV_DATA[[#This Row],[ODP ETA Port]]+PV_DATA[[#This Row],[Customs/Leg3 Assumption]],"n/a")</f>
        <v>46267.289537037039</v>
      </c>
      <c r="BB681" s="433">
        <f>YEAR(PV_DATA[[#This Row],[ETA for New Ark update]])</f>
        <v>2026</v>
      </c>
      <c r="BC681" s="430">
        <f>MONTH(PV_DATA[[#This Row],[ETA for New Ark update]])</f>
        <v>9</v>
      </c>
      <c r="BD681" s="430">
        <f>IFERROR(_xlfn.ISOWEEKNUM(PV_DATA[[#This Row],[ETA for New Ark update]]),0)</f>
        <v>36</v>
      </c>
      <c r="BE681" s="430">
        <f>_xlfn.XLOOKUP(PV_DATA[[#This Row],[New Ark SKU]],Table9[New Ark SKU],Table9[Total PCS per Pallet],,0)</f>
        <v>36</v>
      </c>
      <c r="BF681" s="430">
        <f>_xlfn.XLOOKUP(PV_DATA[[#This Row],[New Ark SKU]],Table9[New Ark SKU],Table9[Total PCS per 40HQ Container],,0)</f>
        <v>576</v>
      </c>
      <c r="BG681" s="431" t="str">
        <f>_xlfn.XLOOKUP(PV_DATA[[#This Row],[New Ark SKU]],Table9[New Ark SKU],Table9[Back Glass],,0)</f>
        <v>Redirection Film</v>
      </c>
      <c r="BH681" s="430" t="str">
        <f>_xlfn.XLOOKUP(PV_DATA[[#This Row],[PORT DESTINATION]],Table12[PORT DESTINATION],Table12[Cosco Line],,0)</f>
        <v>AEM</v>
      </c>
      <c r="BJ681" s="430"/>
    </row>
    <row r="682" spans="1:62" ht="10.5">
      <c r="A682" s="462" t="s">
        <v>5236</v>
      </c>
      <c r="B682" s="462" t="s">
        <v>111</v>
      </c>
      <c r="C682" s="462" t="str">
        <f>IFERROR(LEFT(PV_DATA[[#This Row],[TCL REFERENCE]],FIND(".",PV_DATA[[#This Row],[TCL REFERENCE]],1)-1),"Main Line")</f>
        <v>26Jun002</v>
      </c>
      <c r="D682" s="462" t="s">
        <v>63</v>
      </c>
      <c r="E682" s="462" t="s">
        <v>64</v>
      </c>
      <c r="F682" s="462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2" t="s">
        <v>402</v>
      </c>
      <c r="H682" s="462" t="s">
        <v>311</v>
      </c>
      <c r="I682" s="462" t="s">
        <v>689</v>
      </c>
      <c r="J682" s="430" t="s">
        <v>96</v>
      </c>
      <c r="K682" s="430"/>
      <c r="L682" s="430"/>
      <c r="M682" s="430" t="s">
        <v>68</v>
      </c>
      <c r="N682" s="432">
        <v>46198</v>
      </c>
      <c r="O682" s="430" t="s">
        <v>550</v>
      </c>
      <c r="P682" s="430" t="s">
        <v>2134</v>
      </c>
      <c r="Q682" s="430" t="s">
        <v>2135</v>
      </c>
      <c r="R682" s="430" t="str">
        <f>_xlfn.XLOOKUP(PV_DATA[[#This Row],[New Ark SKU]],Table9[New Ark SKU],Table9[Connector],,0)</f>
        <v>EVO2A</v>
      </c>
      <c r="S682" s="442" t="str">
        <f>_xlfn.XLOOKUP(PV_DATA[[#This Row],[New Ark SKU]],Table9[New Ark SKU],Table9[Cable],,0)</f>
        <v>±1350mm</v>
      </c>
      <c r="T682" s="433">
        <v>515</v>
      </c>
      <c r="U682" s="1088">
        <f>792*2</f>
        <v>1584</v>
      </c>
      <c r="V682" s="434">
        <f>PV_DATA[[#This Row],[QUANTITY]]*PV_DATA[[#This Row],[WATT]]/1000000</f>
        <v>0.81576000000000004</v>
      </c>
      <c r="W682" s="435">
        <f>PV_DATA[[#This Row],[QUANTITY]]/PV_DATA[[#This Row],[Qty/Pallet]]</f>
        <v>44</v>
      </c>
      <c r="X682" s="1040">
        <f>PV_DATA[[#This Row],[QUANTITY]]/PV_DATA[[#This Row],[Qty/CT]]</f>
        <v>2</v>
      </c>
      <c r="Y682" s="459" t="s">
        <v>2457</v>
      </c>
      <c r="Z682" s="430" t="str">
        <f t="shared" si="7"/>
        <v>COMPLETED</v>
      </c>
      <c r="AA682" s="430" t="s">
        <v>5223</v>
      </c>
      <c r="AB682" s="437">
        <v>46199</v>
      </c>
      <c r="AC682" s="485">
        <f>IF(PV_DATA[[#This Row],[Pick- Up Date]]&lt;&gt;"",_xlfn.ISOWEEKNUM(PV_DATA[[#This Row],[Pick- Up Date]]),"")</f>
        <v>26</v>
      </c>
      <c r="AD682" s="430" t="s">
        <v>5237</v>
      </c>
      <c r="AE682" s="430"/>
      <c r="AF682" s="430" t="s">
        <v>122</v>
      </c>
      <c r="AG682" s="430" t="s">
        <v>123</v>
      </c>
      <c r="AH682" s="431" t="s">
        <v>1561</v>
      </c>
      <c r="AI682" s="437">
        <v>46204</v>
      </c>
      <c r="AJ682" s="437">
        <v>46207</v>
      </c>
      <c r="AK682" s="437">
        <v>46207</v>
      </c>
      <c r="AL682" s="968">
        <v>46257</v>
      </c>
      <c r="AM682" s="1189">
        <f>IFERROR(VLOOKUP(AT682, Vessel!A:H, 8, FALSE), "")</f>
        <v>46272.25</v>
      </c>
      <c r="AN682" s="586">
        <f>IF(VLOOKUP(AT682, Vessel!A:I, 9, FALSE)=0, "", VLOOKUP(AT682, Vessel!A:I, 9, FALSE))</f>
        <v>46272.251446759263</v>
      </c>
      <c r="AP682" s="430" t="s">
        <v>5229</v>
      </c>
      <c r="AQ682" s="438" t="s">
        <v>80</v>
      </c>
      <c r="AR682" s="430" t="s">
        <v>5238</v>
      </c>
      <c r="AS682" s="430" t="s">
        <v>5239</v>
      </c>
      <c r="AT682" s="430" t="s">
        <v>5239</v>
      </c>
      <c r="AU6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V682" s="437"/>
      <c r="AW682" s="437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7">
        <f>IF(ISERROR(PV_DATA[[#This Row],[New Ark PO status]]),"",_xlfn.XLOOKUP(PV_DATA[[#This Row],[SPTN-PVHK New Ark PO'#]],New_Ark_Data[Purchase order Number],New_Ark_Data[Estimated time of arrival],"",0))</f>
        <v>46300</v>
      </c>
      <c r="AZ68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2" s="437">
        <f>IFERROR(PV_DATA[[#This Row],[ODP ETA Port]]+PV_DATA[[#This Row],[Customs/Leg3 Assumption]],"n/a")</f>
        <v>46282.251446759263</v>
      </c>
      <c r="BB682" s="433">
        <f>YEAR(PV_DATA[[#This Row],[ETA for New Ark update]])</f>
        <v>2026</v>
      </c>
      <c r="BC682" s="430">
        <f>MONTH(PV_DATA[[#This Row],[ETA for New Ark update]])</f>
        <v>9</v>
      </c>
      <c r="BD682" s="430">
        <f>IFERROR(_xlfn.ISOWEEKNUM(PV_DATA[[#This Row],[ETA for New Ark update]]),0)</f>
        <v>38</v>
      </c>
      <c r="BE682" s="430">
        <f>_xlfn.XLOOKUP(PV_DATA[[#This Row],[New Ark SKU]],Table9[New Ark SKU],Table9[Total PCS per Pallet],,0)</f>
        <v>36</v>
      </c>
      <c r="BF682" s="430">
        <f>_xlfn.XLOOKUP(PV_DATA[[#This Row],[New Ark SKU]],Table9[New Ark SKU],Table9[Total PCS per 40HQ Container],,0)</f>
        <v>792</v>
      </c>
      <c r="BG682" s="431" t="str">
        <f>_xlfn.XLOOKUP(PV_DATA[[#This Row],[New Ark SKU]],Table9[New Ark SKU],Table9[Back Glass],,0)</f>
        <v>Black glazing</v>
      </c>
      <c r="BH682" s="430" t="str">
        <f>_xlfn.XLOOKUP(PV_DATA[[#This Row],[PORT DESTINATION]],Table12[PORT DESTINATION],Table12[Cosco Line],,0)</f>
        <v>AEM</v>
      </c>
      <c r="BJ682" s="430"/>
    </row>
    <row r="683" spans="1:62" ht="10.5">
      <c r="A683" s="462" t="s">
        <v>5240</v>
      </c>
      <c r="B683" s="462" t="s">
        <v>111</v>
      </c>
      <c r="C683" s="462" t="str">
        <f>IFERROR(LEFT(PV_DATA[[#This Row],[TCL REFERENCE]],FIND(".",PV_DATA[[#This Row],[TCL REFERENCE]],1)-1),"Main Line")</f>
        <v>26Jun028</v>
      </c>
      <c r="D683" s="462" t="s">
        <v>63</v>
      </c>
      <c r="E683" s="462" t="s">
        <v>64</v>
      </c>
      <c r="F683" s="462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2" t="s">
        <v>402</v>
      </c>
      <c r="H683" s="462" t="s">
        <v>311</v>
      </c>
      <c r="I683" s="462" t="s">
        <v>689</v>
      </c>
      <c r="J683" s="430" t="s">
        <v>96</v>
      </c>
      <c r="K683" s="430"/>
      <c r="L683" s="430"/>
      <c r="M683" s="430"/>
      <c r="N683" s="432">
        <v>46174</v>
      </c>
      <c r="O683" s="430" t="s">
        <v>132</v>
      </c>
      <c r="P683" s="430" t="s">
        <v>133</v>
      </c>
      <c r="Q683" s="430" t="s">
        <v>134</v>
      </c>
      <c r="R683" s="430" t="str">
        <f>_xlfn.XLOOKUP(PV_DATA[[#This Row],[New Ark SKU]],Table9[New Ark SKU],Table9[Connector],,0)</f>
        <v>EVO2A</v>
      </c>
      <c r="S683" s="442" t="str">
        <f>_xlfn.XLOOKUP(PV_DATA[[#This Row],[New Ark SKU]],Table9[New Ark SKU],Table9[Cable],,0)</f>
        <v>±1400mm</v>
      </c>
      <c r="T683" s="433">
        <v>720</v>
      </c>
      <c r="U683" s="1088">
        <f>594*1</f>
        <v>594</v>
      </c>
      <c r="V683" s="434">
        <f>PV_DATA[[#This Row],[QUANTITY]]*PV_DATA[[#This Row],[WATT]]/1000000</f>
        <v>0.42768</v>
      </c>
      <c r="W683" s="435">
        <f>PV_DATA[[#This Row],[QUANTITY]]/PV_DATA[[#This Row],[Qty/Pallet]]</f>
        <v>18</v>
      </c>
      <c r="X683" s="1040">
        <f>PV_DATA[[#This Row],[QUANTITY]]/PV_DATA[[#This Row],[Qty/CT]]</f>
        <v>1</v>
      </c>
      <c r="Y683" s="430" t="s">
        <v>2457</v>
      </c>
      <c r="Z683" s="430" t="str">
        <f t="shared" si="7"/>
        <v>COMPLETED</v>
      </c>
      <c r="AA683" s="430" t="s">
        <v>5117</v>
      </c>
      <c r="AB683" s="437">
        <v>46199</v>
      </c>
      <c r="AC683" s="485">
        <f>IF(PV_DATA[[#This Row],[Pick- Up Date]]&lt;&gt;"",_xlfn.ISOWEEKNUM(PV_DATA[[#This Row],[Pick- Up Date]]),"")</f>
        <v>26</v>
      </c>
      <c r="AD683" s="430" t="s">
        <v>5241</v>
      </c>
      <c r="AE683" s="430"/>
      <c r="AF683" s="430" t="s">
        <v>122</v>
      </c>
      <c r="AG683" s="430" t="s">
        <v>123</v>
      </c>
      <c r="AH683" s="431" t="s">
        <v>1561</v>
      </c>
      <c r="AI683" s="437">
        <v>46204</v>
      </c>
      <c r="AJ683" s="437">
        <v>46207</v>
      </c>
      <c r="AK683" s="437">
        <v>46207</v>
      </c>
      <c r="AL683" s="437">
        <v>46257</v>
      </c>
      <c r="AM683" s="586">
        <f>IFERROR(VLOOKUP(AT683, Vessel!A:H, 8, FALSE), "")</f>
        <v>46272.25</v>
      </c>
      <c r="AN683" s="586">
        <f>IF(VLOOKUP(AT683, Vessel!A:I, 9, FALSE)=0, "", VLOOKUP(AT683, Vessel!A:I, 9, FALSE))</f>
        <v>46272.251446759263</v>
      </c>
      <c r="AP683" s="430" t="s">
        <v>5229</v>
      </c>
      <c r="AQ683" s="438" t="s">
        <v>80</v>
      </c>
      <c r="AR683" s="430" t="s">
        <v>5238</v>
      </c>
      <c r="AS683" s="430" t="s">
        <v>5239</v>
      </c>
      <c r="AT683" s="430" t="s">
        <v>5239</v>
      </c>
      <c r="AU6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W683" s="437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7">
        <f>IF(ISERROR(PV_DATA[[#This Row],[New Ark PO status]]),"",_xlfn.XLOOKUP(PV_DATA[[#This Row],[SPTN-PVHK New Ark PO'#]],New_Ark_Data[Purchase order Number],New_Ark_Data[Estimated time of arrival],"",0))</f>
        <v>46300</v>
      </c>
      <c r="AZ68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3" s="437">
        <f>IFERROR(PV_DATA[[#This Row],[ODP ETA Port]]+PV_DATA[[#This Row],[Customs/Leg3 Assumption]],"n/a")</f>
        <v>46282.251446759263</v>
      </c>
      <c r="BB683" s="433">
        <f>YEAR(PV_DATA[[#This Row],[ETA for New Ark update]])</f>
        <v>2026</v>
      </c>
      <c r="BC683" s="430">
        <f>MONTH(PV_DATA[[#This Row],[ETA for New Ark update]])</f>
        <v>9</v>
      </c>
      <c r="BD683" s="430">
        <f>IFERROR(_xlfn.ISOWEEKNUM(PV_DATA[[#This Row],[ETA for New Ark update]]),0)</f>
        <v>38</v>
      </c>
      <c r="BE683" s="430">
        <f>_xlfn.XLOOKUP(PV_DATA[[#This Row],[New Ark SKU]],Table9[New Ark SKU],Table9[Total PCS per Pallet],,0)</f>
        <v>33</v>
      </c>
      <c r="BF683" s="430">
        <f>_xlfn.XLOOKUP(PV_DATA[[#This Row],[New Ark SKU]],Table9[New Ark SKU],Table9[Total PCS per 40HQ Container],,0)</f>
        <v>594</v>
      </c>
      <c r="BG683" s="431" t="str">
        <f>_xlfn.XLOOKUP(PV_DATA[[#This Row],[New Ark SKU]],Table9[New Ark SKU],Table9[Back Glass],,0)</f>
        <v>White glazing</v>
      </c>
      <c r="BH683" s="430" t="str">
        <f>_xlfn.XLOOKUP(PV_DATA[[#This Row],[PORT DESTINATION]],Table12[PORT DESTINATION],Table12[Cosco Line],,0)</f>
        <v>AEM</v>
      </c>
      <c r="BJ683" s="430"/>
    </row>
    <row r="684" spans="1:62" ht="10.5">
      <c r="A684" s="462" t="s">
        <v>5242</v>
      </c>
      <c r="B684" s="462" t="s">
        <v>61</v>
      </c>
      <c r="C684" s="462" t="str">
        <f>IFERROR(LEFT(PV_DATA[[#This Row],[TCL REFERENCE]],FIND(".",PV_DATA[[#This Row],[TCL REFERENCE]],1)-1),"Main Line")</f>
        <v>26May007</v>
      </c>
      <c r="D684" s="462" t="s">
        <v>63</v>
      </c>
      <c r="E684" s="462" t="s">
        <v>64</v>
      </c>
      <c r="F684" s="462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2" t="s">
        <v>402</v>
      </c>
      <c r="H684" s="462" t="s">
        <v>451</v>
      </c>
      <c r="I684" s="462" t="s">
        <v>689</v>
      </c>
      <c r="J684" s="430" t="s">
        <v>96</v>
      </c>
      <c r="K684" s="430"/>
      <c r="L684" s="430"/>
      <c r="M684" s="430" t="s">
        <v>68</v>
      </c>
      <c r="N684" s="432">
        <v>45809</v>
      </c>
      <c r="O684" s="430" t="s">
        <v>4531</v>
      </c>
      <c r="P684" s="430" t="s">
        <v>195</v>
      </c>
      <c r="Q684" s="430" t="s">
        <v>196</v>
      </c>
      <c r="R684" s="430" t="str">
        <f>_xlfn.XLOOKUP(PV_DATA[[#This Row],[New Ark SKU]],Table9[New Ark SKU],Table9[Connector],,0)</f>
        <v>EVO2A</v>
      </c>
      <c r="S684" s="442" t="str">
        <f>_xlfn.XLOOKUP(PV_DATA[[#This Row],[New Ark SKU]],Table9[New Ark SKU],Table9[Cable],,0)</f>
        <v>±1200mm</v>
      </c>
      <c r="T684" s="433">
        <v>450</v>
      </c>
      <c r="U684" s="1088">
        <f>936*1</f>
        <v>936</v>
      </c>
      <c r="V684" s="434">
        <f>PV_DATA[[#This Row],[QUANTITY]]*PV_DATA[[#This Row],[WATT]]/1000000</f>
        <v>0.42120000000000002</v>
      </c>
      <c r="W684" s="435">
        <f>PV_DATA[[#This Row],[QUANTITY]]/PV_DATA[[#This Row],[Qty/Pallet]]</f>
        <v>26</v>
      </c>
      <c r="X684" s="1040">
        <f>PV_DATA[[#This Row],[QUANTITY]]/PV_DATA[[#This Row],[Qty/CT]]</f>
        <v>1</v>
      </c>
      <c r="Y684" s="430" t="s">
        <v>2457</v>
      </c>
      <c r="Z684" s="430" t="str">
        <f t="shared" si="7"/>
        <v>COMPLETED</v>
      </c>
      <c r="AA684" s="430"/>
      <c r="AB684" s="437">
        <v>46201</v>
      </c>
      <c r="AC684" s="485">
        <f>IF(PV_DATA[[#This Row],[Pick- Up Date]]&lt;&gt;"",_xlfn.ISOWEEKNUM(PV_DATA[[#This Row],[Pick- Up Date]]),"")</f>
        <v>26</v>
      </c>
      <c r="AD684" s="430" t="s">
        <v>5243</v>
      </c>
      <c r="AE684" s="430"/>
      <c r="AF684" s="430" t="s">
        <v>61</v>
      </c>
      <c r="AG684" s="430" t="s">
        <v>61</v>
      </c>
      <c r="AH684" s="430" t="s">
        <v>456</v>
      </c>
      <c r="AI684" s="437">
        <v>46206</v>
      </c>
      <c r="AJ684" s="437">
        <v>46210</v>
      </c>
      <c r="AK684" s="437">
        <v>46210</v>
      </c>
      <c r="AL684" s="437">
        <v>46257</v>
      </c>
      <c r="AM684" s="586">
        <f>IFERROR(VLOOKUP(AT684, Vessel!A:H, 8, FALSE), "")</f>
        <v>46264.041666666664</v>
      </c>
      <c r="AN684" s="586">
        <f>IF(VLOOKUP(AT684, Vessel!A:I, 9, FALSE)=0, "", VLOOKUP(AT684, Vessel!A:I, 9, FALSE))</f>
        <v>46263.989421296297</v>
      </c>
      <c r="AP684" s="430" t="s">
        <v>5229</v>
      </c>
      <c r="AQ684" s="430" t="s">
        <v>80</v>
      </c>
      <c r="AR684" s="430" t="s">
        <v>5244</v>
      </c>
      <c r="AS684" s="430" t="s">
        <v>5245</v>
      </c>
      <c r="AT684" s="430" t="s">
        <v>5245</v>
      </c>
      <c r="AU6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53.989421296297223</v>
      </c>
      <c r="AV684" s="437"/>
      <c r="AW684" s="437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46263.989421296297</v>
      </c>
      <c r="AX6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4" s="437">
        <f>IF(ISERROR(PV_DATA[[#This Row],[New Ark PO status]]),"",_xlfn.XLOOKUP(PV_DATA[[#This Row],[SPTN-PVHK New Ark PO'#]],New_Ark_Data[Purchase order Number],New_Ark_Data[Estimated time of arrival],"",0))</f>
        <v>46276</v>
      </c>
      <c r="AZ68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7">
        <f>IFERROR(PV_DATA[[#This Row],[ODP ETA Port]]+PV_DATA[[#This Row],[Customs/Leg3 Assumption]],"n/a")</f>
        <v>46270.989421296297</v>
      </c>
      <c r="BB684" s="433">
        <f>YEAR(PV_DATA[[#This Row],[ETA for New Ark update]])</f>
        <v>2026</v>
      </c>
      <c r="BC684" s="430">
        <f>MONTH(PV_DATA[[#This Row],[ETA for New Ark update]])</f>
        <v>9</v>
      </c>
      <c r="BD684" s="430">
        <f>IFERROR(_xlfn.ISOWEEKNUM(PV_DATA[[#This Row],[ETA for New Ark update]]),0)</f>
        <v>36</v>
      </c>
      <c r="BE684" s="430">
        <f>_xlfn.XLOOKUP(PV_DATA[[#This Row],[New Ark SKU]],Table9[New Ark SKU],Table9[Total PCS per Pallet],,0)</f>
        <v>36</v>
      </c>
      <c r="BF684" s="430">
        <f>_xlfn.XLOOKUP(PV_DATA[[#This Row],[New Ark SKU]],Table9[New Ark SKU],Table9[Total PCS per 40HQ Container],,0)</f>
        <v>936</v>
      </c>
      <c r="BG684" s="431" t="str">
        <f>_xlfn.XLOOKUP(PV_DATA[[#This Row],[New Ark SKU]],Table9[New Ark SKU],Table9[Back Glass],,0)</f>
        <v>Black glazing</v>
      </c>
      <c r="BH684" s="430" t="str">
        <f>_xlfn.XLOOKUP(PV_DATA[[#This Row],[PORT DESTINATION]],Table12[PORT DESTINATION],Table12[Cosco Line],,0)</f>
        <v>AEU</v>
      </c>
      <c r="BJ684" s="430"/>
    </row>
    <row r="685" spans="1:62" ht="10.5">
      <c r="A685" s="462" t="s">
        <v>5246</v>
      </c>
      <c r="B685" s="462" t="s">
        <v>61</v>
      </c>
      <c r="C685" s="462" t="str">
        <f>IFERROR(LEFT(PV_DATA[[#This Row],[TCL REFERENCE]],FIND(".",PV_DATA[[#This Row],[TCL REFERENCE]],1)-1),"Main Line")</f>
        <v>26Jun014</v>
      </c>
      <c r="D685" s="462" t="s">
        <v>63</v>
      </c>
      <c r="E685" s="462" t="s">
        <v>64</v>
      </c>
      <c r="F685" s="462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2" t="s">
        <v>402</v>
      </c>
      <c r="H685" s="462" t="s">
        <v>67</v>
      </c>
      <c r="I685" s="462" t="s">
        <v>689</v>
      </c>
      <c r="J685" s="430" t="s">
        <v>96</v>
      </c>
      <c r="K685" s="430"/>
      <c r="L685" s="430"/>
      <c r="M685" s="430" t="s">
        <v>68</v>
      </c>
      <c r="N685" s="432">
        <v>46209</v>
      </c>
      <c r="O685" s="430" t="s">
        <v>4531</v>
      </c>
      <c r="P685" s="430" t="s">
        <v>691</v>
      </c>
      <c r="Q685" s="430" t="s">
        <v>692</v>
      </c>
      <c r="R685" s="430" t="str">
        <f>_xlfn.XLOOKUP(PV_DATA[[#This Row],[New Ark SKU]],Table9[New Ark SKU],Table9[Connector],,0)</f>
        <v>EVO2A</v>
      </c>
      <c r="S685" s="442" t="str">
        <f>_xlfn.XLOOKUP(PV_DATA[[#This Row],[New Ark SKU]],Table9[New Ark SKU],Table9[Cable],,0)</f>
        <v>±1200mm</v>
      </c>
      <c r="T685" s="433">
        <v>505</v>
      </c>
      <c r="U685" s="1088">
        <v>864</v>
      </c>
      <c r="V685" s="434">
        <f>PV_DATA[[#This Row],[QUANTITY]]*PV_DATA[[#This Row],[WATT]]/1000000</f>
        <v>0.43631999999999999</v>
      </c>
      <c r="W685" s="435">
        <f>PV_DATA[[#This Row],[QUANTITY]]/PV_DATA[[#This Row],[Qty/Pallet]]</f>
        <v>24</v>
      </c>
      <c r="X685" s="1040">
        <f>PV_DATA[[#This Row],[QUANTITY]]/PV_DATA[[#This Row],[Qty/CT]]</f>
        <v>1</v>
      </c>
      <c r="Y685" s="430" t="s">
        <v>2457</v>
      </c>
      <c r="Z685" s="430" t="str">
        <f t="shared" si="7"/>
        <v>COMPLETED</v>
      </c>
      <c r="AA685" s="430"/>
      <c r="AB685" s="437">
        <v>46201</v>
      </c>
      <c r="AC685" s="485">
        <f>IF(PV_DATA[[#This Row],[Pick- Up Date]]&lt;&gt;"",_xlfn.ISOWEEKNUM(PV_DATA[[#This Row],[Pick- Up Date]]),"")</f>
        <v>26</v>
      </c>
      <c r="AD685" s="430" t="s">
        <v>5247</v>
      </c>
      <c r="AE685" s="430"/>
      <c r="AF685" s="430" t="s">
        <v>61</v>
      </c>
      <c r="AG685" s="430" t="s">
        <v>61</v>
      </c>
      <c r="AH685" s="430" t="s">
        <v>356</v>
      </c>
      <c r="AI685" s="437">
        <v>46206</v>
      </c>
      <c r="AJ685" s="437">
        <v>46210</v>
      </c>
      <c r="AK685" s="437">
        <v>46210</v>
      </c>
      <c r="AL685" s="437">
        <v>46260</v>
      </c>
      <c r="AM685" s="586">
        <f>IFERROR(VLOOKUP(AT685, Vessel!A:H, 8, FALSE), "")</f>
        <v>46275.291666666664</v>
      </c>
      <c r="AN685" s="586">
        <f>IF(VLOOKUP(AT685, Vessel!A:I, 9, FALSE)=0, "", VLOOKUP(AT685, Vessel!A:I, 9, FALSE))</f>
        <v>46275.245208333334</v>
      </c>
      <c r="AP685" s="430" t="s">
        <v>5229</v>
      </c>
      <c r="AQ685" s="430" t="s">
        <v>80</v>
      </c>
      <c r="AR685" s="430" t="s">
        <v>5248</v>
      </c>
      <c r="AS685" s="430" t="s">
        <v>5249</v>
      </c>
      <c r="AT685" s="430" t="s">
        <v>5249</v>
      </c>
      <c r="AU6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65.245208333333721</v>
      </c>
      <c r="AV685" s="437"/>
      <c r="AW685" s="437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46275.245208333334</v>
      </c>
      <c r="AX6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7">
        <f>IF(ISERROR(PV_DATA[[#This Row],[New Ark PO status]]),"",_xlfn.XLOOKUP(PV_DATA[[#This Row],[SPTN-PVHK New Ark PO'#]],New_Ark_Data[Purchase order Number],New_Ark_Data[Estimated time of arrival],"",0))</f>
        <v>46286</v>
      </c>
      <c r="AZ685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5" s="437">
        <f>IFERROR(PV_DATA[[#This Row],[ODP ETA Port]]+PV_DATA[[#This Row],[Customs/Leg3 Assumption]],"n/a")</f>
        <v>46285.245208333334</v>
      </c>
      <c r="BB685" s="433">
        <f>YEAR(PV_DATA[[#This Row],[ETA for New Ark update]])</f>
        <v>2026</v>
      </c>
      <c r="BC685" s="430">
        <f>MONTH(PV_DATA[[#This Row],[ETA for New Ark update]])</f>
        <v>9</v>
      </c>
      <c r="BD685" s="430">
        <f>IFERROR(_xlfn.ISOWEEKNUM(PV_DATA[[#This Row],[ETA for New Ark update]]),0)</f>
        <v>38</v>
      </c>
      <c r="BE685" s="430">
        <f>_xlfn.XLOOKUP(PV_DATA[[#This Row],[New Ark SKU]],Table9[New Ark SKU],Table9[Total PCS per Pallet],,0)</f>
        <v>36</v>
      </c>
      <c r="BF685" s="430">
        <f>_xlfn.XLOOKUP(PV_DATA[[#This Row],[New Ark SKU]],Table9[New Ark SKU],Table9[Total PCS per 40HQ Container],,0)</f>
        <v>864</v>
      </c>
      <c r="BG685" s="431" t="str">
        <f>_xlfn.XLOOKUP(PV_DATA[[#This Row],[New Ark SKU]],Table9[New Ark SKU],Table9[Back Glass],,0)</f>
        <v>Black glazing</v>
      </c>
      <c r="BH685" s="430" t="str">
        <f>_xlfn.XLOOKUP(PV_DATA[[#This Row],[PORT DESTINATION]],Table12[PORT DESTINATION],Table12[Cosco Line],,0)</f>
        <v>AEU</v>
      </c>
      <c r="BJ685" s="430"/>
    </row>
    <row r="686" spans="1:62" ht="10.5">
      <c r="A686" s="462" t="s">
        <v>5250</v>
      </c>
      <c r="B686" s="462" t="s">
        <v>61</v>
      </c>
      <c r="C686" s="462" t="str">
        <f>IFERROR(LEFT(PV_DATA[[#This Row],[TCL REFERENCE]],FIND(".",PV_DATA[[#This Row],[TCL REFERENCE]],1)-1),"Main Line")</f>
        <v>26May007</v>
      </c>
      <c r="D686" s="462" t="s">
        <v>63</v>
      </c>
      <c r="E686" s="462" t="s">
        <v>64</v>
      </c>
      <c r="F686" s="462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2" t="s">
        <v>402</v>
      </c>
      <c r="H686" s="462" t="s">
        <v>67</v>
      </c>
      <c r="I686" s="462" t="s">
        <v>689</v>
      </c>
      <c r="J686" s="430" t="s">
        <v>96</v>
      </c>
      <c r="K686" s="430"/>
      <c r="L686" s="430"/>
      <c r="M686" s="430" t="s">
        <v>68</v>
      </c>
      <c r="N686" s="432">
        <v>45809</v>
      </c>
      <c r="O686" s="430" t="s">
        <v>4531</v>
      </c>
      <c r="P686" s="430" t="s">
        <v>195</v>
      </c>
      <c r="Q686" s="430" t="s">
        <v>196</v>
      </c>
      <c r="R686" s="430" t="str">
        <f>_xlfn.XLOOKUP(PV_DATA[[#This Row],[New Ark SKU]],Table9[New Ark SKU],Table9[Connector],,0)</f>
        <v>EVO2A</v>
      </c>
      <c r="S686" s="442" t="str">
        <f>_xlfn.XLOOKUP(PV_DATA[[#This Row],[New Ark SKU]],Table9[New Ark SKU],Table9[Cable],,0)</f>
        <v>±1200mm</v>
      </c>
      <c r="T686" s="433">
        <v>450</v>
      </c>
      <c r="U686" s="1088">
        <v>3744</v>
      </c>
      <c r="V686" s="457">
        <f>PV_DATA[[#This Row],[QUANTITY]]*PV_DATA[[#This Row],[WATT]]/1000000</f>
        <v>1.6848000000000001</v>
      </c>
      <c r="W686" s="435">
        <f>PV_DATA[[#This Row],[QUANTITY]]/PV_DATA[[#This Row],[Qty/Pallet]]</f>
        <v>104</v>
      </c>
      <c r="X686" s="1040">
        <f>PV_DATA[[#This Row],[QUANTITY]]/PV_DATA[[#This Row],[Qty/CT]]</f>
        <v>4</v>
      </c>
      <c r="Y686" s="430" t="s">
        <v>2454</v>
      </c>
      <c r="Z686" s="430" t="str">
        <f t="shared" si="7"/>
        <v>COMPLETED</v>
      </c>
      <c r="AA686" s="430" t="s">
        <v>4889</v>
      </c>
      <c r="AB686" s="437">
        <v>46196</v>
      </c>
      <c r="AC686" s="485">
        <f>IF(PV_DATA[[#This Row],[Pick- Up Date]]&lt;&gt;"",_xlfn.ISOWEEKNUM(PV_DATA[[#This Row],[Pick- Up Date]]),"")</f>
        <v>26</v>
      </c>
      <c r="AD686" s="430" t="s">
        <v>5251</v>
      </c>
      <c r="AE686" s="430"/>
      <c r="AF686" s="430" t="s">
        <v>61</v>
      </c>
      <c r="AG686" s="430" t="s">
        <v>61</v>
      </c>
      <c r="AH686" s="430" t="s">
        <v>105</v>
      </c>
      <c r="AI686" s="437">
        <v>46201</v>
      </c>
      <c r="AK686" s="437">
        <v>46202</v>
      </c>
      <c r="AL686" s="437">
        <v>46245</v>
      </c>
      <c r="AM686" s="586"/>
      <c r="AN686" s="586">
        <f>IFERROR(IF(VLOOKUP(AT686,Vessel!A:I,9,FALSE)=0,"",VLOOKUP(AT686,Vessel!A:I,9,FALSE)),"")</f>
        <v>46253.479062500002</v>
      </c>
      <c r="AP686" s="430" t="s">
        <v>5252</v>
      </c>
      <c r="AQ686" s="430" t="s">
        <v>80</v>
      </c>
      <c r="AR686" s="430" t="s">
        <v>5253</v>
      </c>
      <c r="AS686" s="430" t="s">
        <v>5254</v>
      </c>
      <c r="AT686" s="430" t="s">
        <v>5254</v>
      </c>
      <c r="AU6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6" s="437"/>
      <c r="AW686" s="437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6" s="437">
        <f>IF(ISERROR(PV_DATA[[#This Row],[New Ark PO status]]),"",_xlfn.XLOOKUP(PV_DATA[[#This Row],[SPTN-PVHK New Ark PO'#]],New_Ark_Data[Purchase order Number],New_Ark_Data[Estimated time of arrival],"",0))</f>
        <v>46272</v>
      </c>
      <c r="AZ68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7">
        <f>IFERROR(PV_DATA[[#This Row],[ODP ETA Port]]+PV_DATA[[#This Row],[Customs/Leg3 Assumption]],"n/a")</f>
        <v>46260.479062500002</v>
      </c>
      <c r="BB686" s="433">
        <f>YEAR(PV_DATA[[#This Row],[ETA for New Ark update]])</f>
        <v>2026</v>
      </c>
      <c r="BC686" s="430">
        <f>MONTH(PV_DATA[[#This Row],[ETA for New Ark update]])</f>
        <v>8</v>
      </c>
      <c r="BD686" s="430">
        <f>IFERROR(_xlfn.ISOWEEKNUM(PV_DATA[[#This Row],[ETA for New Ark update]]),0)</f>
        <v>35</v>
      </c>
      <c r="BE686" s="430">
        <f>_xlfn.XLOOKUP(PV_DATA[[#This Row],[New Ark SKU]],Table9[New Ark SKU],Table9[Total PCS per Pallet],,0)</f>
        <v>36</v>
      </c>
      <c r="BF686" s="430">
        <f>_xlfn.XLOOKUP(PV_DATA[[#This Row],[New Ark SKU]],Table9[New Ark SKU],Table9[Total PCS per 40HQ Container],,0)</f>
        <v>936</v>
      </c>
      <c r="BG686" s="431" t="str">
        <f>_xlfn.XLOOKUP(PV_DATA[[#This Row],[New Ark SKU]],Table9[New Ark SKU],Table9[Back Glass],,0)</f>
        <v>Black glazing</v>
      </c>
      <c r="BH686" s="430" t="str">
        <f>_xlfn.XLOOKUP(PV_DATA[[#This Row],[PORT DESTINATION]],Table12[PORT DESTINATION],Table12[Cosco Line],,0)</f>
        <v>AEU</v>
      </c>
      <c r="BJ686" s="430"/>
    </row>
    <row r="687" spans="1:62" ht="10.5">
      <c r="A687" s="462" t="s">
        <v>5255</v>
      </c>
      <c r="B687" s="462" t="s">
        <v>61</v>
      </c>
      <c r="C687" s="462" t="str">
        <f>IFERROR(LEFT(PV_DATA[[#This Row],[TCL REFERENCE]],FIND(".",PV_DATA[[#This Row],[TCL REFERENCE]],1)-1),"Main Line")</f>
        <v>26May007</v>
      </c>
      <c r="D687" s="462" t="s">
        <v>63</v>
      </c>
      <c r="E687" s="462" t="s">
        <v>64</v>
      </c>
      <c r="F687" s="462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2" t="s">
        <v>402</v>
      </c>
      <c r="H687" s="462" t="s">
        <v>67</v>
      </c>
      <c r="I687" s="462" t="s">
        <v>689</v>
      </c>
      <c r="J687" s="430" t="s">
        <v>96</v>
      </c>
      <c r="K687" s="430"/>
      <c r="L687" s="430"/>
      <c r="M687" s="430" t="s">
        <v>68</v>
      </c>
      <c r="N687" s="432">
        <v>45809</v>
      </c>
      <c r="O687" s="430" t="s">
        <v>4531</v>
      </c>
      <c r="P687" s="430" t="s">
        <v>195</v>
      </c>
      <c r="Q687" s="430" t="s">
        <v>196</v>
      </c>
      <c r="R687" s="430" t="str">
        <f>_xlfn.XLOOKUP(PV_DATA[[#This Row],[New Ark SKU]],Table9[New Ark SKU],Table9[Connector],,0)</f>
        <v>EVO2A</v>
      </c>
      <c r="S687" s="442" t="str">
        <f>_xlfn.XLOOKUP(PV_DATA[[#This Row],[New Ark SKU]],Table9[New Ark SKU],Table9[Cable],,0)</f>
        <v>±1200mm</v>
      </c>
      <c r="T687" s="433">
        <v>450</v>
      </c>
      <c r="U687" s="1088">
        <v>936</v>
      </c>
      <c r="V687" s="434">
        <f>PV_DATA[[#This Row],[QUANTITY]]*PV_DATA[[#This Row],[WATT]]/1000000</f>
        <v>0.42120000000000002</v>
      </c>
      <c r="W687" s="435">
        <f>PV_DATA[[#This Row],[QUANTITY]]/PV_DATA[[#This Row],[Qty/Pallet]]</f>
        <v>26</v>
      </c>
      <c r="X687" s="1040">
        <f>PV_DATA[[#This Row],[QUANTITY]]/PV_DATA[[#This Row],[Qty/CT]]</f>
        <v>1</v>
      </c>
      <c r="Y687" s="430" t="s">
        <v>2455</v>
      </c>
      <c r="Z687" s="430" t="str">
        <f t="shared" si="7"/>
        <v>COMPLETED</v>
      </c>
      <c r="AA687" s="430" t="s">
        <v>5050</v>
      </c>
      <c r="AB687" s="437">
        <v>46196</v>
      </c>
      <c r="AC687" s="485">
        <f>IF(PV_DATA[[#This Row],[Pick- Up Date]]&lt;&gt;"",_xlfn.ISOWEEKNUM(PV_DATA[[#This Row],[Pick- Up Date]]),"")</f>
        <v>26</v>
      </c>
      <c r="AD687" s="430" t="s">
        <v>5256</v>
      </c>
      <c r="AE687" s="430"/>
      <c r="AF687" s="430" t="s">
        <v>61</v>
      </c>
      <c r="AG687" s="430" t="s">
        <v>61</v>
      </c>
      <c r="AH687" s="430" t="s">
        <v>105</v>
      </c>
      <c r="AI687" s="437">
        <v>46201</v>
      </c>
      <c r="AK687" s="437">
        <v>46202</v>
      </c>
      <c r="AL687" s="437">
        <v>46245</v>
      </c>
      <c r="AM687" s="586"/>
      <c r="AN687" s="586">
        <f>IFERROR(IF(VLOOKUP(AT687,Vessel!A:I,9,FALSE)=0,"",VLOOKUP(AT687,Vessel!A:I,9,FALSE)),"")</f>
        <v>46253.479062500002</v>
      </c>
      <c r="AP687" s="430" t="s">
        <v>5252</v>
      </c>
      <c r="AQ687" s="430" t="s">
        <v>80</v>
      </c>
      <c r="AR687" s="430" t="s">
        <v>5253</v>
      </c>
      <c r="AS687" s="430" t="s">
        <v>5254</v>
      </c>
      <c r="AT687" s="430" t="s">
        <v>5254</v>
      </c>
      <c r="AU6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7" s="437"/>
      <c r="AW687" s="437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7" s="437">
        <f>IF(ISERROR(PV_DATA[[#This Row],[New Ark PO status]]),"",_xlfn.XLOOKUP(PV_DATA[[#This Row],[SPTN-PVHK New Ark PO'#]],New_Ark_Data[Purchase order Number],New_Ark_Data[Estimated time of arrival],"",0))</f>
        <v>46272</v>
      </c>
      <c r="AZ68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7">
        <f>IFERROR(PV_DATA[[#This Row],[ODP ETA Port]]+PV_DATA[[#This Row],[Customs/Leg3 Assumption]],"n/a")</f>
        <v>46260.479062500002</v>
      </c>
      <c r="BB687" s="433">
        <f>YEAR(PV_DATA[[#This Row],[ETA for New Ark update]])</f>
        <v>2026</v>
      </c>
      <c r="BC687" s="430">
        <f>MONTH(PV_DATA[[#This Row],[ETA for New Ark update]])</f>
        <v>8</v>
      </c>
      <c r="BD687" s="430">
        <f>IFERROR(_xlfn.ISOWEEKNUM(PV_DATA[[#This Row],[ETA for New Ark update]]),0)</f>
        <v>35</v>
      </c>
      <c r="BE687" s="430">
        <f>_xlfn.XLOOKUP(PV_DATA[[#This Row],[New Ark SKU]],Table9[New Ark SKU],Table9[Total PCS per Pallet],,0)</f>
        <v>36</v>
      </c>
      <c r="BF687" s="430">
        <f>_xlfn.XLOOKUP(PV_DATA[[#This Row],[New Ark SKU]],Table9[New Ark SKU],Table9[Total PCS per 40HQ Container],,0)</f>
        <v>936</v>
      </c>
      <c r="BG687" s="431" t="str">
        <f>_xlfn.XLOOKUP(PV_DATA[[#This Row],[New Ark SKU]],Table9[New Ark SKU],Table9[Back Glass],,0)</f>
        <v>Black glazing</v>
      </c>
      <c r="BH687" s="430" t="str">
        <f>_xlfn.XLOOKUP(PV_DATA[[#This Row],[PORT DESTINATION]],Table12[PORT DESTINATION],Table12[Cosco Line],,0)</f>
        <v>AEU</v>
      </c>
      <c r="BJ687" s="430"/>
    </row>
    <row r="688" spans="1:62" ht="10.5">
      <c r="A688" s="462" t="s">
        <v>5257</v>
      </c>
      <c r="B688" s="462" t="s">
        <v>61</v>
      </c>
      <c r="C688" s="462" t="str">
        <f>IFERROR(LEFT(PV_DATA[[#This Row],[TCL REFERENCE]],FIND(".",PV_DATA[[#This Row],[TCL REFERENCE]],1)-1),"Main Line")</f>
        <v>26May007</v>
      </c>
      <c r="D688" s="462" t="s">
        <v>63</v>
      </c>
      <c r="E688" s="462" t="s">
        <v>64</v>
      </c>
      <c r="F688" s="462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2" t="s">
        <v>402</v>
      </c>
      <c r="H688" s="462" t="s">
        <v>67</v>
      </c>
      <c r="I688" s="462" t="s">
        <v>689</v>
      </c>
      <c r="J688" s="430" t="s">
        <v>5258</v>
      </c>
      <c r="K688" s="614" t="s">
        <v>2288</v>
      </c>
      <c r="L688" s="430"/>
      <c r="M688" s="430" t="s">
        <v>68</v>
      </c>
      <c r="N688" s="432">
        <v>46111</v>
      </c>
      <c r="O688" s="430" t="s">
        <v>70</v>
      </c>
      <c r="P688" s="430" t="s">
        <v>195</v>
      </c>
      <c r="Q688" s="430" t="s">
        <v>196</v>
      </c>
      <c r="R688" s="430" t="str">
        <f>_xlfn.XLOOKUP(PV_DATA[[#This Row],[New Ark SKU]],Table9[New Ark SKU],Table9[Connector],,0)</f>
        <v>EVO2A</v>
      </c>
      <c r="S688" s="442" t="str">
        <f>_xlfn.XLOOKUP(PV_DATA[[#This Row],[New Ark SKU]],Table9[New Ark SKU],Table9[Cable],,0)</f>
        <v>±1200mm</v>
      </c>
      <c r="T688" s="433">
        <v>450</v>
      </c>
      <c r="U688" s="1088">
        <f>936</f>
        <v>936</v>
      </c>
      <c r="V688" s="457">
        <f>PV_DATA[[#This Row],[QUANTITY]]*PV_DATA[[#This Row],[WATT]]/1000000</f>
        <v>0.42120000000000002</v>
      </c>
      <c r="W688" s="435">
        <f>PV_DATA[[#This Row],[QUANTITY]]/PV_DATA[[#This Row],[Qty/Pallet]]</f>
        <v>26</v>
      </c>
      <c r="X688" s="1040">
        <f>PV_DATA[[#This Row],[QUANTITY]]/PV_DATA[[#This Row],[Qty/CT]]</f>
        <v>1</v>
      </c>
      <c r="Y688" s="430" t="s">
        <v>2454</v>
      </c>
      <c r="Z688" s="430" t="str">
        <f t="shared" si="7"/>
        <v>COMPLETED</v>
      </c>
      <c r="AA688" s="430" t="s">
        <v>5050</v>
      </c>
      <c r="AB688" s="437">
        <v>46196</v>
      </c>
      <c r="AC688" s="617">
        <f>IF(PV_DATA[[#This Row],[Pick- Up Date]]&lt;&gt;"",_xlfn.ISOWEEKNUM(PV_DATA[[#This Row],[Pick- Up Date]]),"")</f>
        <v>26</v>
      </c>
      <c r="AD688" s="430" t="s">
        <v>5259</v>
      </c>
      <c r="AE688" s="430"/>
      <c r="AF688" s="430" t="s">
        <v>77</v>
      </c>
      <c r="AG688" s="430" t="s">
        <v>61</v>
      </c>
      <c r="AH688" s="430" t="s">
        <v>105</v>
      </c>
      <c r="AI688" s="437">
        <v>46201</v>
      </c>
      <c r="AK688" s="437">
        <v>46202</v>
      </c>
      <c r="AL688" s="437">
        <v>46263</v>
      </c>
      <c r="AM688" s="586">
        <f>IFERROR(VLOOKUP(AT688, Vessel!A:H, 8, FALSE), "")</f>
        <v>46293.083333333336</v>
      </c>
      <c r="AN688" s="586">
        <f>IF(VLOOKUP(AT688, Vessel!A:I, 9, FALSE)=0, "", VLOOKUP(AT688, Vessel!A:I, 9, FALSE))</f>
        <v>46292.966608796298</v>
      </c>
      <c r="AP688" s="430" t="s">
        <v>5252</v>
      </c>
      <c r="AQ688" s="430" t="s">
        <v>80</v>
      </c>
      <c r="AR688" s="430" t="s">
        <v>5260</v>
      </c>
      <c r="AS688" s="430" t="s">
        <v>5261</v>
      </c>
      <c r="AT688" s="430" t="s">
        <v>5261</v>
      </c>
      <c r="AU6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90.966608796297805</v>
      </c>
      <c r="AW688" s="437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46292.966608796298</v>
      </c>
      <c r="AX6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7">
        <f>IF(ISERROR(PV_DATA[[#This Row],[New Ark PO status]]),"",_xlfn.XLOOKUP(PV_DATA[[#This Row],[SPTN-PVHK New Ark PO'#]],New_Ark_Data[Purchase order Number],New_Ark_Data[Estimated time of arrival],"",0))</f>
        <v>46297</v>
      </c>
      <c r="AZ68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7">
        <f>IFERROR(PV_DATA[[#This Row],[ODP ETA Port]]+PV_DATA[[#This Row],[Customs/Leg3 Assumption]],"n/a")</f>
        <v>46299.966608796298</v>
      </c>
      <c r="BB688" s="433">
        <f>YEAR(PV_DATA[[#This Row],[ETA for New Ark update]])</f>
        <v>2026</v>
      </c>
      <c r="BC688" s="430">
        <f>MONTH(PV_DATA[[#This Row],[ETA for New Ark update]])</f>
        <v>10</v>
      </c>
      <c r="BD688" s="430">
        <f>IFERROR(_xlfn.ISOWEEKNUM(PV_DATA[[#This Row],[ETA for New Ark update]]),0)</f>
        <v>40</v>
      </c>
      <c r="BE688" s="430">
        <f>_xlfn.XLOOKUP(PV_DATA[[#This Row],[New Ark SKU]],Table9[New Ark SKU],Table9[Total PCS per Pallet],,0)</f>
        <v>36</v>
      </c>
      <c r="BF688" s="430">
        <f>_xlfn.XLOOKUP(PV_DATA[[#This Row],[New Ark SKU]],Table9[New Ark SKU],Table9[Total PCS per 40HQ Container],,0)</f>
        <v>936</v>
      </c>
      <c r="BG688" s="431" t="str">
        <f>_xlfn.XLOOKUP(PV_DATA[[#This Row],[New Ark SKU]],Table9[New Ark SKU],Table9[Back Glass],,0)</f>
        <v>Black glazing</v>
      </c>
      <c r="BH688" s="430" t="str">
        <f>_xlfn.XLOOKUP(PV_DATA[[#This Row],[PORT DESTINATION]],Table12[PORT DESTINATION],Table12[Cosco Line],,0)</f>
        <v>AEU</v>
      </c>
      <c r="BJ688" s="430"/>
    </row>
    <row r="689" spans="1:62" ht="10.5">
      <c r="A689" s="462" t="s">
        <v>5262</v>
      </c>
      <c r="B689" s="462" t="s">
        <v>61</v>
      </c>
      <c r="C689" s="462" t="str">
        <f>IFERROR(LEFT(PV_DATA[[#This Row],[TCL REFERENCE]],FIND(".",PV_DATA[[#This Row],[TCL REFERENCE]],1)-1),"Main Line")</f>
        <v>26May010</v>
      </c>
      <c r="D689" s="462" t="s">
        <v>63</v>
      </c>
      <c r="E689" s="462" t="s">
        <v>64</v>
      </c>
      <c r="F689" s="462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2" t="s">
        <v>402</v>
      </c>
      <c r="H689" s="462" t="s">
        <v>451</v>
      </c>
      <c r="I689" s="462" t="s">
        <v>689</v>
      </c>
      <c r="J689" s="430" t="s">
        <v>1832</v>
      </c>
      <c r="K689" s="430"/>
      <c r="L689" s="430"/>
      <c r="M689" s="430" t="s">
        <v>68</v>
      </c>
      <c r="N689" s="432">
        <v>46153</v>
      </c>
      <c r="O689" s="430" t="s">
        <v>4531</v>
      </c>
      <c r="P689" s="430" t="s">
        <v>1151</v>
      </c>
      <c r="Q689" s="430" t="s">
        <v>421</v>
      </c>
      <c r="R689" s="430" t="str">
        <f>_xlfn.XLOOKUP(PV_DATA[[#This Row],[New Ark SKU]],Table9[New Ark SKU],Table9[Connector],,0)</f>
        <v>EVO2A</v>
      </c>
      <c r="S689" s="442" t="str">
        <f>_xlfn.XLOOKUP(PV_DATA[[#This Row],[New Ark SKU]],Table9[New Ark SKU],Table9[Cable],,0)</f>
        <v>±1200mm</v>
      </c>
      <c r="T689" s="433">
        <v>505</v>
      </c>
      <c r="U689" s="1088">
        <v>864</v>
      </c>
      <c r="V689" s="434">
        <f>PV_DATA[[#This Row],[QUANTITY]]*PV_DATA[[#This Row],[WATT]]/1000000</f>
        <v>0.43631999999999999</v>
      </c>
      <c r="W689" s="435">
        <f>PV_DATA[[#This Row],[QUANTITY]]/PV_DATA[[#This Row],[Qty/Pallet]]</f>
        <v>24</v>
      </c>
      <c r="X689" s="1040">
        <f>PV_DATA[[#This Row],[QUANTITY]]/PV_DATA[[#This Row],[Qty/CT]]</f>
        <v>1</v>
      </c>
      <c r="Y689" s="430" t="s">
        <v>2457</v>
      </c>
      <c r="Z689" s="430" t="str">
        <f t="shared" si="7"/>
        <v>COMPLETED</v>
      </c>
      <c r="AA689" s="430"/>
      <c r="AB689" s="437">
        <v>46196</v>
      </c>
      <c r="AC689" s="485">
        <f>IF(PV_DATA[[#This Row],[Pick- Up Date]]&lt;&gt;"",_xlfn.ISOWEEKNUM(PV_DATA[[#This Row],[Pick- Up Date]]),"")</f>
        <v>26</v>
      </c>
      <c r="AD689" s="430" t="s">
        <v>5263</v>
      </c>
      <c r="AE689" s="430"/>
      <c r="AF689" s="430" t="s">
        <v>61</v>
      </c>
      <c r="AG689" s="430" t="s">
        <v>61</v>
      </c>
      <c r="AH689" s="430" t="s">
        <v>456</v>
      </c>
      <c r="AI689" s="437">
        <v>46201</v>
      </c>
      <c r="AK689" s="437">
        <v>46202</v>
      </c>
      <c r="AL689" s="437">
        <v>46264</v>
      </c>
      <c r="AM689" s="586">
        <f>IFERROR(VLOOKUP(AT689, Vessel!A:H, 8, FALSE), "")</f>
        <v>46274.999305555553</v>
      </c>
      <c r="AN689" s="586">
        <f>IF(VLOOKUP(AT689, Vessel!A:I, 9, FALSE)=0, "", VLOOKUP(AT689, Vessel!A:I, 9, FALSE))</f>
        <v>46275.009525462963</v>
      </c>
      <c r="AP689" s="430" t="s">
        <v>5252</v>
      </c>
      <c r="AQ689" s="430" t="s">
        <v>80</v>
      </c>
      <c r="AR689" s="430" t="s">
        <v>5264</v>
      </c>
      <c r="AS689" s="430" t="s">
        <v>5265</v>
      </c>
      <c r="AT689" s="430" t="s">
        <v>5265</v>
      </c>
      <c r="AU6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73.009525462963211</v>
      </c>
      <c r="AV689" s="437"/>
      <c r="AW689" s="437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6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7">
        <f>IF(ISERROR(PV_DATA[[#This Row],[New Ark PO status]]),"",_xlfn.XLOOKUP(PV_DATA[[#This Row],[SPTN-PVHK New Ark PO'#]],New_Ark_Data[Purchase order Number],New_Ark_Data[Estimated time of arrival],"",0))</f>
        <v>46288</v>
      </c>
      <c r="AZ68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7">
        <f>IFERROR(PV_DATA[[#This Row],[ODP ETA Port]]+PV_DATA[[#This Row],[Customs/Leg3 Assumption]],"n/a")</f>
        <v>46282.009525462963</v>
      </c>
      <c r="BB689" s="433">
        <f>YEAR(PV_DATA[[#This Row],[ETA for New Ark update]])</f>
        <v>2026</v>
      </c>
      <c r="BC689" s="430">
        <f>MONTH(PV_DATA[[#This Row],[ETA for New Ark update]])</f>
        <v>9</v>
      </c>
      <c r="BD689" s="430">
        <f>IFERROR(_xlfn.ISOWEEKNUM(PV_DATA[[#This Row],[ETA for New Ark update]]),0)</f>
        <v>38</v>
      </c>
      <c r="BE689" s="430">
        <f>_xlfn.XLOOKUP(PV_DATA[[#This Row],[New Ark SKU]],Table9[New Ark SKU],Table9[Total PCS per Pallet],,0)</f>
        <v>36</v>
      </c>
      <c r="BF689" s="430">
        <f>_xlfn.XLOOKUP(PV_DATA[[#This Row],[New Ark SKU]],Table9[New Ark SKU],Table9[Total PCS per 40HQ Container],,0)</f>
        <v>864</v>
      </c>
      <c r="BG689" s="431" t="str">
        <f>_xlfn.XLOOKUP(PV_DATA[[#This Row],[New Ark SKU]],Table9[New Ark SKU],Table9[Back Glass],,0)</f>
        <v>Black glazing</v>
      </c>
      <c r="BH689" s="430" t="str">
        <f>_xlfn.XLOOKUP(PV_DATA[[#This Row],[PORT DESTINATION]],Table12[PORT DESTINATION],Table12[Cosco Line],,0)</f>
        <v>AEU</v>
      </c>
      <c r="BJ689" s="430"/>
    </row>
    <row r="690" spans="1:62" ht="10.5">
      <c r="A690" s="462" t="s">
        <v>5266</v>
      </c>
      <c r="B690" s="462" t="s">
        <v>111</v>
      </c>
      <c r="C690" s="462" t="str">
        <f>IFERROR(LEFT(PV_DATA[[#This Row],[TCL REFERENCE]],FIND(".",PV_DATA[[#This Row],[TCL REFERENCE]],1)-1),"Main Line")</f>
        <v>26May011</v>
      </c>
      <c r="D690" s="462" t="s">
        <v>63</v>
      </c>
      <c r="E690" s="462" t="s">
        <v>144</v>
      </c>
      <c r="F690" s="462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2" t="s">
        <v>402</v>
      </c>
      <c r="H690" s="713" t="s">
        <v>5267</v>
      </c>
      <c r="I690" s="462" t="s">
        <v>689</v>
      </c>
      <c r="J690" s="430" t="s">
        <v>5268</v>
      </c>
      <c r="K690" s="430" t="s">
        <v>5269</v>
      </c>
      <c r="L690" s="430"/>
      <c r="M690" s="430" t="s">
        <v>4967</v>
      </c>
      <c r="N690" s="432">
        <v>46167</v>
      </c>
      <c r="O690" s="430" t="s">
        <v>4531</v>
      </c>
      <c r="P690" s="430" t="s">
        <v>4592</v>
      </c>
      <c r="Q690" s="430" t="s">
        <v>330</v>
      </c>
      <c r="R690" s="430" t="str">
        <f>_xlfn.XLOOKUP(PV_DATA[[#This Row],[New Ark SKU]],Table9[New Ark SKU],Table9[Connector],,0)</f>
        <v>H4(Com)</v>
      </c>
      <c r="S690" s="442" t="str">
        <f>_xlfn.XLOOKUP(PV_DATA[[#This Row],[New Ark SKU]],Table9[New Ark SKU],Table9[Cable],,0)</f>
        <v>+400mm/-200mm</v>
      </c>
      <c r="T690" s="433">
        <v>625</v>
      </c>
      <c r="U690" s="1088">
        <f>720*5</f>
        <v>3600</v>
      </c>
      <c r="V690" s="544">
        <f>PV_DATA[[#This Row],[QUANTITY]]*PV_DATA[[#This Row],[WATT]]/1000000</f>
        <v>2.25</v>
      </c>
      <c r="W690" s="435">
        <f>PV_DATA[[#This Row],[QUANTITY]]/PV_DATA[[#This Row],[Qty/Pallet]]</f>
        <v>100</v>
      </c>
      <c r="X690" s="1040">
        <f>PV_DATA[[#This Row],[QUANTITY]]/PV_DATA[[#This Row],[Qty/CT]]</f>
        <v>5</v>
      </c>
      <c r="Y690" s="430" t="s">
        <v>2459</v>
      </c>
      <c r="Z690" s="430" t="str">
        <f t="shared" si="7"/>
        <v>COMPLETED</v>
      </c>
      <c r="AA690" s="484" t="s">
        <v>5270</v>
      </c>
      <c r="AB690" s="543">
        <v>46202</v>
      </c>
      <c r="AC690" s="485">
        <f>IF(PV_DATA[[#This Row],[Pick- Up Date]]&lt;&gt;"",_xlfn.ISOWEEKNUM(PV_DATA[[#This Row],[Pick- Up Date]]),"")</f>
        <v>27</v>
      </c>
      <c r="AD690" s="435" t="s">
        <v>5271</v>
      </c>
      <c r="AE690" s="430"/>
      <c r="AF690" s="430" t="s">
        <v>1525</v>
      </c>
      <c r="AG690" s="430" t="s">
        <v>123</v>
      </c>
      <c r="AH690" s="430" t="s">
        <v>5272</v>
      </c>
      <c r="AI690" s="437">
        <v>46208</v>
      </c>
      <c r="AJ690" s="437">
        <v>46209</v>
      </c>
      <c r="AK690" s="437">
        <v>46209</v>
      </c>
      <c r="AL690" s="437">
        <v>46269</v>
      </c>
      <c r="AN690" s="586">
        <v>46264</v>
      </c>
      <c r="AP690" s="430" t="s">
        <v>5273</v>
      </c>
      <c r="AQ690" s="430" t="s">
        <v>161</v>
      </c>
      <c r="AR690" s="430" t="s">
        <v>5274</v>
      </c>
      <c r="AS690" s="430">
        <v>272152398</v>
      </c>
      <c r="AT690" s="430">
        <v>272152398</v>
      </c>
      <c r="AU6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690" s="437"/>
      <c r="AW690" s="437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7" t="str">
        <f>IF(ISERROR(PV_DATA[[#This Row],[New Ark PO status]]),"",_xlfn.XLOOKUP(PV_DATA[[#This Row],[SPTN-PVHK New Ark PO'#]],New_Ark_Data[Purchase order Number],New_Ark_Data[Estimated time of arrival],"",0))</f>
        <v/>
      </c>
      <c r="AZ6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7">
        <f>IFERROR(PV_DATA[[#This Row],[ODP ETA Port]]+PV_DATA[[#This Row],[Customs/Leg3 Assumption]],"n/a")</f>
        <v>46264</v>
      </c>
      <c r="BB690" s="433">
        <f>YEAR(PV_DATA[[#This Row],[ETA for New Ark update]])</f>
        <v>2026</v>
      </c>
      <c r="BC690" s="430">
        <f>MONTH(PV_DATA[[#This Row],[ETA for New Ark update]])</f>
        <v>8</v>
      </c>
      <c r="BD690" s="430">
        <f>IFERROR(_xlfn.ISOWEEKNUM(PV_DATA[[#This Row],[ETA for New Ark update]]),0)</f>
        <v>35</v>
      </c>
      <c r="BE690" s="430">
        <f>_xlfn.XLOOKUP(PV_DATA[[#This Row],[New Ark SKU]],Table9[New Ark SKU],Table9[Total PCS per Pallet],,0)</f>
        <v>36</v>
      </c>
      <c r="BF690" s="430">
        <f>_xlfn.XLOOKUP(PV_DATA[[#This Row],[New Ark SKU]],Table9[New Ark SKU],Table9[Total PCS per 40HQ Container],,0)</f>
        <v>720</v>
      </c>
      <c r="BG690" s="431" t="str">
        <f>_xlfn.XLOOKUP(PV_DATA[[#This Row],[New Ark SKU]],Table9[New Ark SKU],Table9[Back Glass],,0)</f>
        <v>Transparent</v>
      </c>
      <c r="BH690" s="430" t="e">
        <f>_xlfn.XLOOKUP(PV_DATA[[#This Row],[PORT DESTINATION]],Table12[PORT DESTINATION],Table12[Cosco Line],,0)</f>
        <v>#N/A</v>
      </c>
      <c r="BJ690" s="430"/>
    </row>
    <row r="691" spans="1:62" ht="10.5">
      <c r="A691" s="462" t="s">
        <v>5275</v>
      </c>
      <c r="B691" s="462" t="s">
        <v>1757</v>
      </c>
      <c r="C691" s="462" t="str">
        <f>IFERROR(LEFT(PV_DATA[[#This Row],[TCL REFERENCE]],FIND(".",PV_DATA[[#This Row],[TCL REFERENCE]],1)-1),"Main Line")</f>
        <v>26Jun011</v>
      </c>
      <c r="D691" s="462" t="s">
        <v>63</v>
      </c>
      <c r="E691" s="462" t="s">
        <v>144</v>
      </c>
      <c r="F691" s="462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2" t="s">
        <v>402</v>
      </c>
      <c r="H691" s="462" t="s">
        <v>1029</v>
      </c>
      <c r="I691" s="462" t="s">
        <v>689</v>
      </c>
      <c r="J691" s="430" t="s">
        <v>5156</v>
      </c>
      <c r="K691" s="430" t="s">
        <v>4879</v>
      </c>
      <c r="L691" s="430">
        <v>4</v>
      </c>
      <c r="M691" s="430" t="s">
        <v>840</v>
      </c>
      <c r="N691" s="432">
        <v>46195</v>
      </c>
      <c r="O691" s="430" t="s">
        <v>4531</v>
      </c>
      <c r="P691" s="430" t="s">
        <v>71</v>
      </c>
      <c r="Q691" s="430" t="s">
        <v>72</v>
      </c>
      <c r="R691" s="430" t="str">
        <f>_xlfn.XLOOKUP(PV_DATA[[#This Row],[New Ark SKU]],Table9[New Ark SKU],Table9[Connector],,0)</f>
        <v>EVO2A</v>
      </c>
      <c r="S691" s="442" t="str">
        <f>_xlfn.XLOOKUP(PV_DATA[[#This Row],[New Ark SKU]],Table9[New Ark SKU],Table9[Cable],,0)</f>
        <v>±1200mm</v>
      </c>
      <c r="T691" s="433">
        <v>500</v>
      </c>
      <c r="U691" s="1088">
        <v>2592</v>
      </c>
      <c r="V691" s="434">
        <f>PV_DATA[[#This Row],[QUANTITY]]*PV_DATA[[#This Row],[WATT]]/1000000</f>
        <v>1.296</v>
      </c>
      <c r="W691" s="435">
        <f>PV_DATA[[#This Row],[QUANTITY]]/PV_DATA[[#This Row],[Qty/Pallet]]</f>
        <v>72</v>
      </c>
      <c r="X691" s="1040">
        <f>PV_DATA[[#This Row],[QUANTITY]]/PV_DATA[[#This Row],[Qty/CT]]</f>
        <v>3</v>
      </c>
      <c r="Y691" s="430" t="s">
        <v>2458</v>
      </c>
      <c r="Z691" s="430" t="str">
        <f t="shared" ref="Z691:Z754" si="8">IF(AN691&lt;&gt;"","COMPLETED",IF(AK691&lt;&gt;"","IN-TRANSIT",""))</f>
        <v>COMPLETED</v>
      </c>
      <c r="AA691" s="430" t="s">
        <v>5276</v>
      </c>
      <c r="AB691" s="437">
        <v>46202</v>
      </c>
      <c r="AC691" s="485">
        <f>IF(PV_DATA[[#This Row],[Pick- Up Date]]&lt;&gt;"",_xlfn.ISOWEEKNUM(PV_DATA[[#This Row],[Pick- Up Date]]),"")</f>
        <v>27</v>
      </c>
      <c r="AD691" s="435" t="s">
        <v>5277</v>
      </c>
      <c r="AE691" s="435"/>
      <c r="AF691" s="459" t="s">
        <v>5034</v>
      </c>
      <c r="AG691" s="459" t="s">
        <v>123</v>
      </c>
      <c r="AH691" s="430" t="s">
        <v>888</v>
      </c>
      <c r="AI691" s="437">
        <v>46209</v>
      </c>
      <c r="AJ691" s="437">
        <v>46219</v>
      </c>
      <c r="AK691" s="437">
        <v>46219</v>
      </c>
      <c r="AL691" s="437">
        <v>46260</v>
      </c>
      <c r="AM691" s="586">
        <f>IFERROR(VLOOKUP(AT691, Vessel!A:H, 8, FALSE), "")</f>
        <v>46264.541666666664</v>
      </c>
      <c r="AN691" s="586">
        <v>46264</v>
      </c>
      <c r="AP691" s="430" t="s">
        <v>5278</v>
      </c>
      <c r="AQ691" s="430" t="s">
        <v>80</v>
      </c>
      <c r="AR691" s="430" t="s">
        <v>5279</v>
      </c>
      <c r="AS691" s="430" t="s">
        <v>5280</v>
      </c>
      <c r="AT691" s="430" t="s">
        <v>5280</v>
      </c>
      <c r="AU6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7"/>
      <c r="AW691" s="437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7">
        <f>IF(ISERROR(PV_DATA[[#This Row],[New Ark PO status]]),"",_xlfn.XLOOKUP(PV_DATA[[#This Row],[SPTN-PVHK New Ark PO'#]],New_Ark_Data[Purchase order Number],New_Ark_Data[Estimated time of arrival],"",0))</f>
        <v>46260</v>
      </c>
      <c r="AZ6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7">
        <f>IFERROR(PV_DATA[[#This Row],[ODP ETA Port]]+PV_DATA[[#This Row],[Customs/Leg3 Assumption]],"n/a")</f>
        <v>46264</v>
      </c>
      <c r="BB691" s="433">
        <f>YEAR(PV_DATA[[#This Row],[ETA for New Ark update]])</f>
        <v>2026</v>
      </c>
      <c r="BC691" s="430">
        <f>MONTH(PV_DATA[[#This Row],[ETA for New Ark update]])</f>
        <v>8</v>
      </c>
      <c r="BD691" s="430">
        <f>IFERROR(_xlfn.ISOWEEKNUM(PV_DATA[[#This Row],[ETA for New Ark update]]),0)</f>
        <v>35</v>
      </c>
      <c r="BE691" s="430">
        <f>_xlfn.XLOOKUP(PV_DATA[[#This Row],[New Ark SKU]],Table9[New Ark SKU],Table9[Total PCS per Pallet],,0)</f>
        <v>36</v>
      </c>
      <c r="BF691" s="430">
        <f>_xlfn.XLOOKUP(PV_DATA[[#This Row],[New Ark SKU]],Table9[New Ark SKU],Table9[Total PCS per 40HQ Container],,0)</f>
        <v>864</v>
      </c>
      <c r="BG691" s="431" t="str">
        <f>_xlfn.XLOOKUP(PV_DATA[[#This Row],[New Ark SKU]],Table9[New Ark SKU],Table9[Back Glass],,0)</f>
        <v>Black glazing</v>
      </c>
      <c r="BH691" s="430" t="str">
        <f>_xlfn.XLOOKUP(PV_DATA[[#This Row],[PORT DESTINATION]],Table12[PORT DESTINATION],Table12[Cosco Line],,0)</f>
        <v>AEU</v>
      </c>
      <c r="BJ691" s="430"/>
    </row>
    <row r="692" spans="1:62" ht="10.5">
      <c r="A692" s="462" t="s">
        <v>5281</v>
      </c>
      <c r="B692" s="462" t="s">
        <v>111</v>
      </c>
      <c r="C692" s="462" t="str">
        <f>IFERROR(LEFT(PV_DATA[[#This Row],[TCL REFERENCE]],FIND(".",PV_DATA[[#This Row],[TCL REFERENCE]],1)-1),"Main Line")</f>
        <v>26May013</v>
      </c>
      <c r="D692" s="462" t="s">
        <v>63</v>
      </c>
      <c r="E692" s="462" t="s">
        <v>144</v>
      </c>
      <c r="F692" s="462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2" t="s">
        <v>402</v>
      </c>
      <c r="H692" s="713" t="s">
        <v>1449</v>
      </c>
      <c r="I692" s="462" t="s">
        <v>822</v>
      </c>
      <c r="J692" s="430" t="s">
        <v>4591</v>
      </c>
      <c r="K692" s="430" t="s">
        <v>1451</v>
      </c>
      <c r="L692" s="430">
        <v>51</v>
      </c>
      <c r="M692" s="430" t="s">
        <v>840</v>
      </c>
      <c r="N692" s="432">
        <v>46181</v>
      </c>
      <c r="O692" s="430" t="s">
        <v>4531</v>
      </c>
      <c r="P692" s="430" t="s">
        <v>5041</v>
      </c>
      <c r="Q692" s="430" t="s">
        <v>1807</v>
      </c>
      <c r="R692" s="430" t="str">
        <f>_xlfn.XLOOKUP(PV_DATA[[#This Row],[New Ark SKU]],Table9[New Ark SKU],Table9[Connector],,0)</f>
        <v>H4(Com)</v>
      </c>
      <c r="S692" s="442" t="str">
        <f>_xlfn.XLOOKUP(PV_DATA[[#This Row],[New Ark SKU]],Table9[New Ark SKU],Table9[Cable],,0)</f>
        <v>+400mm/-200mm</v>
      </c>
      <c r="T692" s="433">
        <v>720</v>
      </c>
      <c r="U692" s="1088">
        <f>594*2</f>
        <v>1188</v>
      </c>
      <c r="V692" s="544">
        <f>PV_DATA[[#This Row],[QUANTITY]]*PV_DATA[[#This Row],[WATT]]/1000000</f>
        <v>0.85536000000000001</v>
      </c>
      <c r="W692" s="435">
        <f>PV_DATA[[#This Row],[QUANTITY]]/PV_DATA[[#This Row],[Qty/Pallet]]</f>
        <v>36</v>
      </c>
      <c r="X692" s="1040">
        <f>PV_DATA[[#This Row],[QUANTITY]]/PV_DATA[[#This Row],[Qty/CT]]</f>
        <v>2</v>
      </c>
      <c r="Y692" s="430" t="s">
        <v>2458</v>
      </c>
      <c r="Z692" s="430" t="str">
        <f t="shared" si="8"/>
        <v>COMPLETED</v>
      </c>
      <c r="AA692" s="430"/>
      <c r="AB692" s="437">
        <v>46202</v>
      </c>
      <c r="AC692" s="485">
        <f>IF(PV_DATA[[#This Row],[Pick- Up Date]]&lt;&gt;"",_xlfn.ISOWEEKNUM(PV_DATA[[#This Row],[Pick- Up Date]]),"")</f>
        <v>27</v>
      </c>
      <c r="AD692" s="435" t="s">
        <v>5282</v>
      </c>
      <c r="AE692" s="435"/>
      <c r="AF692" s="430" t="s">
        <v>122</v>
      </c>
      <c r="AG692" s="430" t="s">
        <v>123</v>
      </c>
      <c r="AH692" s="430" t="s">
        <v>105</v>
      </c>
      <c r="AI692" s="437">
        <v>46208</v>
      </c>
      <c r="AJ692" s="437">
        <v>46212</v>
      </c>
      <c r="AK692" s="437">
        <v>46212</v>
      </c>
      <c r="AL692" s="437">
        <v>46245</v>
      </c>
      <c r="AM692" s="586"/>
      <c r="AN692" s="586">
        <f>IFERROR(IF(VLOOKUP(AT692,Vessel!A:I,9,FALSE)=0,"",VLOOKUP(AT692,Vessel!A:I,9,FALSE)),"")</f>
        <v>46253.479062500002</v>
      </c>
      <c r="AP692" s="430" t="s">
        <v>5252</v>
      </c>
      <c r="AQ692" s="430" t="s">
        <v>80</v>
      </c>
      <c r="AR692" s="430" t="s">
        <v>5283</v>
      </c>
      <c r="AS692" s="430" t="s">
        <v>5284</v>
      </c>
      <c r="AT692" s="430" t="s">
        <v>5284</v>
      </c>
      <c r="AU6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2" s="437"/>
      <c r="AW692" s="437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7">
        <f>IF(ISERROR(PV_DATA[[#This Row],[New Ark PO status]]),"",_xlfn.XLOOKUP(PV_DATA[[#This Row],[SPTN-PVHK New Ark PO'#]],New_Ark_Data[Purchase order Number],New_Ark_Data[Estimated time of arrival],"",0))</f>
        <v>46245</v>
      </c>
      <c r="AZ6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7">
        <f>IFERROR(PV_DATA[[#This Row],[ODP ETA Port]]+PV_DATA[[#This Row],[Customs/Leg3 Assumption]],"n/a")</f>
        <v>46253.479062500002</v>
      </c>
      <c r="BB692" s="433">
        <f>YEAR(PV_DATA[[#This Row],[ETA for New Ark update]])</f>
        <v>2026</v>
      </c>
      <c r="BC692" s="430">
        <f>MONTH(PV_DATA[[#This Row],[ETA for New Ark update]])</f>
        <v>8</v>
      </c>
      <c r="BD692" s="430">
        <f>IFERROR(_xlfn.ISOWEEKNUM(PV_DATA[[#This Row],[ETA for New Ark update]]),0)</f>
        <v>34</v>
      </c>
      <c r="BE692" s="430">
        <f>_xlfn.XLOOKUP(PV_DATA[[#This Row],[New Ark SKU]],Table9[New Ark SKU],Table9[Total PCS per Pallet],,0)</f>
        <v>33</v>
      </c>
      <c r="BF692" s="430">
        <f>_xlfn.XLOOKUP(PV_DATA[[#This Row],[New Ark SKU]],Table9[New Ark SKU],Table9[Total PCS per 40HQ Container],,0)</f>
        <v>594</v>
      </c>
      <c r="BG692" s="431" t="str">
        <f>_xlfn.XLOOKUP(PV_DATA[[#This Row],[New Ark SKU]],Table9[New Ark SKU],Table9[Back Glass],,0)</f>
        <v>Transparent</v>
      </c>
      <c r="BH692" s="430" t="str">
        <f>_xlfn.XLOOKUP(PV_DATA[[#This Row],[PORT DESTINATION]],Table12[PORT DESTINATION],Table12[Cosco Line],,0)</f>
        <v>AEU</v>
      </c>
      <c r="BJ692" s="430"/>
    </row>
    <row r="693" spans="1:62" ht="10.5">
      <c r="A693" s="462" t="s">
        <v>5285</v>
      </c>
      <c r="B693" s="462" t="s">
        <v>111</v>
      </c>
      <c r="C693" s="462" t="str">
        <f>IFERROR(LEFT(PV_DATA[[#This Row],[TCL REFERENCE]],FIND(".",PV_DATA[[#This Row],[TCL REFERENCE]],1)-1),"Main Line")</f>
        <v>26May014</v>
      </c>
      <c r="D693" s="462" t="s">
        <v>63</v>
      </c>
      <c r="E693" s="462" t="s">
        <v>144</v>
      </c>
      <c r="F693" s="462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2" t="s">
        <v>402</v>
      </c>
      <c r="H693" s="713" t="s">
        <v>1449</v>
      </c>
      <c r="I693" s="462" t="s">
        <v>689</v>
      </c>
      <c r="J693" s="430" t="s">
        <v>4591</v>
      </c>
      <c r="K693" s="430" t="s">
        <v>1451</v>
      </c>
      <c r="L693" s="430">
        <v>35</v>
      </c>
      <c r="M693" s="430" t="s">
        <v>840</v>
      </c>
      <c r="N693" s="432">
        <v>46181</v>
      </c>
      <c r="O693" s="430" t="s">
        <v>4531</v>
      </c>
      <c r="P693" s="430" t="s">
        <v>5057</v>
      </c>
      <c r="Q693" s="430" t="s">
        <v>1484</v>
      </c>
      <c r="R693" s="430" t="str">
        <f>_xlfn.XLOOKUP(PV_DATA[[#This Row],[New Ark SKU]],Table9[New Ark SKU],Table9[Connector],,0)</f>
        <v>H4(Com)</v>
      </c>
      <c r="S693" s="442" t="str">
        <f>_xlfn.XLOOKUP(PV_DATA[[#This Row],[New Ark SKU]],Table9[New Ark SKU],Table9[Cable],,0)</f>
        <v>+400mm/-200mm</v>
      </c>
      <c r="T693" s="433">
        <v>725</v>
      </c>
      <c r="U693" s="1088">
        <v>5346</v>
      </c>
      <c r="V693" s="544">
        <f>PV_DATA[[#This Row],[QUANTITY]]*PV_DATA[[#This Row],[WATT]]/1000000</f>
        <v>3.8758499999999998</v>
      </c>
      <c r="W693" s="435">
        <f>PV_DATA[[#This Row],[QUANTITY]]/PV_DATA[[#This Row],[Qty/Pallet]]</f>
        <v>162</v>
      </c>
      <c r="X693" s="1040">
        <f>PV_DATA[[#This Row],[QUANTITY]]/PV_DATA[[#This Row],[Qty/CT]]</f>
        <v>9</v>
      </c>
      <c r="Y693" s="430" t="s">
        <v>2457</v>
      </c>
      <c r="Z693" s="430" t="str">
        <f t="shared" si="8"/>
        <v>COMPLETED</v>
      </c>
      <c r="AA693" s="430" t="s">
        <v>5058</v>
      </c>
      <c r="AB693" s="437">
        <v>46202</v>
      </c>
      <c r="AC693" s="485">
        <f>IF(PV_DATA[[#This Row],[Pick- Up Date]]&lt;&gt;"",_xlfn.ISOWEEKNUM(PV_DATA[[#This Row],[Pick- Up Date]]),"")</f>
        <v>27</v>
      </c>
      <c r="AD693" s="435" t="s">
        <v>5286</v>
      </c>
      <c r="AE693" s="435"/>
      <c r="AF693" s="430" t="s">
        <v>122</v>
      </c>
      <c r="AG693" s="430" t="s">
        <v>123</v>
      </c>
      <c r="AH693" s="430" t="s">
        <v>105</v>
      </c>
      <c r="AI693" s="437">
        <v>46208</v>
      </c>
      <c r="AJ693" s="437">
        <v>46212</v>
      </c>
      <c r="AK693" s="437">
        <v>46212</v>
      </c>
      <c r="AL693" s="437">
        <v>46245</v>
      </c>
      <c r="AM693" s="586"/>
      <c r="AN693" s="586">
        <f>IFERROR(IF(VLOOKUP(AT693,Vessel!A:I,9,FALSE)=0,"",VLOOKUP(AT693,Vessel!A:I,9,FALSE)),"")</f>
        <v>46253.479062500002</v>
      </c>
      <c r="AP693" s="430" t="s">
        <v>5252</v>
      </c>
      <c r="AQ693" s="430" t="s">
        <v>80</v>
      </c>
      <c r="AR693" s="430" t="s">
        <v>5283</v>
      </c>
      <c r="AS693" s="430" t="s">
        <v>5284</v>
      </c>
      <c r="AT693" s="430" t="s">
        <v>5284</v>
      </c>
      <c r="AU6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3" s="437"/>
      <c r="AW693" s="437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7">
        <f>IF(ISERROR(PV_DATA[[#This Row],[New Ark PO status]]),"",_xlfn.XLOOKUP(PV_DATA[[#This Row],[SPTN-PVHK New Ark PO'#]],New_Ark_Data[Purchase order Number],New_Ark_Data[Estimated time of arrival],"",0))</f>
        <v>46245</v>
      </c>
      <c r="AZ69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7">
        <f>IFERROR(PV_DATA[[#This Row],[ODP ETA Port]]+PV_DATA[[#This Row],[Customs/Leg3 Assumption]],"n/a")</f>
        <v>46253.479062500002</v>
      </c>
      <c r="BB693" s="433">
        <f>YEAR(PV_DATA[[#This Row],[ETA for New Ark update]])</f>
        <v>2026</v>
      </c>
      <c r="BC693" s="430">
        <f>MONTH(PV_DATA[[#This Row],[ETA for New Ark update]])</f>
        <v>8</v>
      </c>
      <c r="BD693" s="430">
        <f>IFERROR(_xlfn.ISOWEEKNUM(PV_DATA[[#This Row],[ETA for New Ark update]]),0)</f>
        <v>34</v>
      </c>
      <c r="BE693" s="430">
        <f>_xlfn.XLOOKUP(PV_DATA[[#This Row],[New Ark SKU]],Table9[New Ark SKU],Table9[Total PCS per Pallet],,0)</f>
        <v>33</v>
      </c>
      <c r="BF693" s="430">
        <f>_xlfn.XLOOKUP(PV_DATA[[#This Row],[New Ark SKU]],Table9[New Ark SKU],Table9[Total PCS per 40HQ Container],,0)</f>
        <v>594</v>
      </c>
      <c r="BG693" s="431" t="str">
        <f>_xlfn.XLOOKUP(PV_DATA[[#This Row],[New Ark SKU]],Table9[New Ark SKU],Table9[Back Glass],,0)</f>
        <v>Transparent</v>
      </c>
      <c r="BH693" s="430" t="str">
        <f>_xlfn.XLOOKUP(PV_DATA[[#This Row],[PORT DESTINATION]],Table12[PORT DESTINATION],Table12[Cosco Line],,0)</f>
        <v>AEU</v>
      </c>
      <c r="BJ693" s="430"/>
    </row>
    <row r="694" spans="1:62" ht="10.5">
      <c r="A694" s="462" t="s">
        <v>5287</v>
      </c>
      <c r="B694" s="462" t="s">
        <v>111</v>
      </c>
      <c r="C694" s="462" t="str">
        <f>IFERROR(LEFT(PV_DATA[[#This Row],[TCL REFERENCE]],FIND(".",PV_DATA[[#This Row],[TCL REFERENCE]],1)-1),"Main Line")</f>
        <v>26May013</v>
      </c>
      <c r="D694" s="462" t="s">
        <v>63</v>
      </c>
      <c r="E694" s="462" t="s">
        <v>144</v>
      </c>
      <c r="F694" s="462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2" t="s">
        <v>402</v>
      </c>
      <c r="H694" s="713" t="s">
        <v>1449</v>
      </c>
      <c r="I694" s="462" t="s">
        <v>822</v>
      </c>
      <c r="J694" s="430" t="s">
        <v>4591</v>
      </c>
      <c r="K694" s="430" t="s">
        <v>1451</v>
      </c>
      <c r="L694" s="430">
        <v>29</v>
      </c>
      <c r="M694" s="430" t="s">
        <v>840</v>
      </c>
      <c r="N694" s="432">
        <v>46181</v>
      </c>
      <c r="O694" s="430" t="s">
        <v>4531</v>
      </c>
      <c r="P694" s="430" t="s">
        <v>5041</v>
      </c>
      <c r="Q694" s="430" t="s">
        <v>1807</v>
      </c>
      <c r="R694" s="430" t="str">
        <f>_xlfn.XLOOKUP(PV_DATA[[#This Row],[New Ark SKU]],Table9[New Ark SKU],Table9[Connector],,0)</f>
        <v>H4(Com)</v>
      </c>
      <c r="S694" s="442" t="str">
        <f>_xlfn.XLOOKUP(PV_DATA[[#This Row],[New Ark SKU]],Table9[New Ark SKU],Table9[Cable],,0)</f>
        <v>+400mm/-200mm</v>
      </c>
      <c r="T694" s="433">
        <v>720</v>
      </c>
      <c r="U694" s="1088">
        <v>4752</v>
      </c>
      <c r="V694" s="544">
        <f>PV_DATA[[#This Row],[QUANTITY]]*PV_DATA[[#This Row],[WATT]]/1000000</f>
        <v>3.42144</v>
      </c>
      <c r="W694" s="435">
        <f>PV_DATA[[#This Row],[QUANTITY]]/PV_DATA[[#This Row],[Qty/Pallet]]</f>
        <v>144</v>
      </c>
      <c r="X694" s="1040">
        <f>PV_DATA[[#This Row],[QUANTITY]]/PV_DATA[[#This Row],[Qty/CT]]</f>
        <v>8</v>
      </c>
      <c r="Y694" s="430" t="s">
        <v>2457</v>
      </c>
      <c r="Z694" s="430" t="str">
        <f t="shared" si="8"/>
        <v>COMPLETED</v>
      </c>
      <c r="AA694" s="430" t="s">
        <v>5038</v>
      </c>
      <c r="AB694" s="437">
        <v>46200</v>
      </c>
      <c r="AC694" s="485">
        <f>IF(PV_DATA[[#This Row],[Pick- Up Date]]&lt;&gt;"",_xlfn.ISOWEEKNUM(PV_DATA[[#This Row],[Pick- Up Date]]),"")</f>
        <v>26</v>
      </c>
      <c r="AD694" s="435" t="s">
        <v>5288</v>
      </c>
      <c r="AE694" s="435"/>
      <c r="AF694" s="430" t="s">
        <v>122</v>
      </c>
      <c r="AG694" s="430" t="s">
        <v>123</v>
      </c>
      <c r="AH694" s="430" t="s">
        <v>105</v>
      </c>
      <c r="AI694" s="437">
        <v>46208</v>
      </c>
      <c r="AJ694" s="437">
        <v>46212</v>
      </c>
      <c r="AK694" s="437">
        <v>46212</v>
      </c>
      <c r="AL694" s="437">
        <v>46256</v>
      </c>
      <c r="AM694" s="586"/>
      <c r="AN694" s="586">
        <f>IFERROR(IF(VLOOKUP(AT694,Vessel!A:I,9,FALSE)=0,"",VLOOKUP(AT694,Vessel!A:I,9,FALSE)),"")</f>
        <v>46253.479062500002</v>
      </c>
      <c r="AP694" s="430" t="s">
        <v>5289</v>
      </c>
      <c r="AQ694" s="430" t="s">
        <v>80</v>
      </c>
      <c r="AR694" s="430" t="s">
        <v>5290</v>
      </c>
      <c r="AS694" s="430" t="s">
        <v>5291</v>
      </c>
      <c r="AT694" s="430" t="s">
        <v>5291</v>
      </c>
      <c r="AU6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4" s="437"/>
      <c r="AW694" s="437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7">
        <f>IF(ISERROR(PV_DATA[[#This Row],[New Ark PO status]]),"",_xlfn.XLOOKUP(PV_DATA[[#This Row],[SPTN-PVHK New Ark PO'#]],New_Ark_Data[Purchase order Number],New_Ark_Data[Estimated time of arrival],"",0))</f>
        <v>46256</v>
      </c>
      <c r="AZ69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7">
        <f>IFERROR(PV_DATA[[#This Row],[ODP ETA Port]]+PV_DATA[[#This Row],[Customs/Leg3 Assumption]],"n/a")</f>
        <v>46253.479062500002</v>
      </c>
      <c r="BB694" s="433">
        <f>YEAR(PV_DATA[[#This Row],[ETA for New Ark update]])</f>
        <v>2026</v>
      </c>
      <c r="BC694" s="430">
        <f>MONTH(PV_DATA[[#This Row],[ETA for New Ark update]])</f>
        <v>8</v>
      </c>
      <c r="BD694" s="430">
        <f>IFERROR(_xlfn.ISOWEEKNUM(PV_DATA[[#This Row],[ETA for New Ark update]]),0)</f>
        <v>34</v>
      </c>
      <c r="BE694" s="430">
        <f>_xlfn.XLOOKUP(PV_DATA[[#This Row],[New Ark SKU]],Table9[New Ark SKU],Table9[Total PCS per Pallet],,0)</f>
        <v>33</v>
      </c>
      <c r="BF694" s="430">
        <f>_xlfn.XLOOKUP(PV_DATA[[#This Row],[New Ark SKU]],Table9[New Ark SKU],Table9[Total PCS per 40HQ Container],,0)</f>
        <v>594</v>
      </c>
      <c r="BG694" s="431" t="str">
        <f>_xlfn.XLOOKUP(PV_DATA[[#This Row],[New Ark SKU]],Table9[New Ark SKU],Table9[Back Glass],,0)</f>
        <v>Transparent</v>
      </c>
      <c r="BH694" s="430" t="str">
        <f>_xlfn.XLOOKUP(PV_DATA[[#This Row],[PORT DESTINATION]],Table12[PORT DESTINATION],Table12[Cosco Line],,0)</f>
        <v>AEU</v>
      </c>
      <c r="BJ694" s="430"/>
    </row>
    <row r="695" spans="1:62" ht="10.5">
      <c r="A695" s="462" t="s">
        <v>5292</v>
      </c>
      <c r="B695" s="462" t="s">
        <v>111</v>
      </c>
      <c r="C695" s="462" t="str">
        <f>IFERROR(LEFT(PV_DATA[[#This Row],[TCL REFERENCE]],FIND(".",PV_DATA[[#This Row],[TCL REFERENCE]],1)-1),"Main Line")</f>
        <v>26May013</v>
      </c>
      <c r="D695" s="462" t="s">
        <v>63</v>
      </c>
      <c r="E695" s="462" t="s">
        <v>144</v>
      </c>
      <c r="F695" s="462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2" t="s">
        <v>402</v>
      </c>
      <c r="H695" s="713" t="s">
        <v>1449</v>
      </c>
      <c r="I695" s="462" t="s">
        <v>822</v>
      </c>
      <c r="J695" s="430" t="s">
        <v>4591</v>
      </c>
      <c r="K695" s="430" t="s">
        <v>1451</v>
      </c>
      <c r="L695" s="430">
        <v>38</v>
      </c>
      <c r="M695" s="430" t="s">
        <v>840</v>
      </c>
      <c r="N695" s="432">
        <v>46181</v>
      </c>
      <c r="O695" s="430" t="s">
        <v>4531</v>
      </c>
      <c r="P695" s="430" t="s">
        <v>5041</v>
      </c>
      <c r="Q695" s="430" t="s">
        <v>1807</v>
      </c>
      <c r="R695" s="430" t="str">
        <f>_xlfn.XLOOKUP(PV_DATA[[#This Row],[New Ark SKU]],Table9[New Ark SKU],Table9[Connector],,0)</f>
        <v>H4(Com)</v>
      </c>
      <c r="S695" s="442" t="str">
        <f>_xlfn.XLOOKUP(PV_DATA[[#This Row],[New Ark SKU]],Table9[New Ark SKU],Table9[Cable],,0)</f>
        <v>+400mm/-200mm</v>
      </c>
      <c r="T695" s="433">
        <v>720</v>
      </c>
      <c r="U695" s="1088">
        <v>2970</v>
      </c>
      <c r="V695" s="434">
        <f>PV_DATA[[#This Row],[QUANTITY]]*PV_DATA[[#This Row],[WATT]]/1000000</f>
        <v>2.1383999999999999</v>
      </c>
      <c r="W695" s="435">
        <f>PV_DATA[[#This Row],[QUANTITY]]/PV_DATA[[#This Row],[Qty/Pallet]]</f>
        <v>90</v>
      </c>
      <c r="X695" s="1040">
        <v>5</v>
      </c>
      <c r="Y695" s="430" t="s">
        <v>2458</v>
      </c>
      <c r="Z695" s="430" t="str">
        <f t="shared" si="8"/>
        <v>COMPLETED</v>
      </c>
      <c r="AA695" s="430"/>
      <c r="AB695" s="437">
        <v>46201</v>
      </c>
      <c r="AC695" s="485">
        <f>IF(PV_DATA[[#This Row],[Pick- Up Date]]&lt;&gt;"",_xlfn.ISOWEEKNUM(PV_DATA[[#This Row],[Pick- Up Date]]),"")</f>
        <v>26</v>
      </c>
      <c r="AD695" s="430" t="s">
        <v>5293</v>
      </c>
      <c r="AE695" s="430"/>
      <c r="AF695" s="430" t="s">
        <v>122</v>
      </c>
      <c r="AG695" s="430" t="s">
        <v>123</v>
      </c>
      <c r="AH695" s="430" t="s">
        <v>105</v>
      </c>
      <c r="AI695" s="437">
        <v>46209</v>
      </c>
      <c r="AJ695" s="437">
        <v>46219</v>
      </c>
      <c r="AK695" s="437">
        <v>46219</v>
      </c>
      <c r="AL695" s="437">
        <v>46246</v>
      </c>
      <c r="AM695" s="586">
        <f>IFERROR(VLOOKUP(AT695, Vessel!A:H, 8, FALSE), "")</f>
        <v>46260.5</v>
      </c>
      <c r="AN695" s="586">
        <v>46260</v>
      </c>
      <c r="AP695" s="430" t="s">
        <v>5294</v>
      </c>
      <c r="AQ695" s="430" t="s">
        <v>80</v>
      </c>
      <c r="AR695" s="430" t="s">
        <v>5295</v>
      </c>
      <c r="AS695" s="430" t="s">
        <v>5296</v>
      </c>
      <c r="AT695" s="430" t="s">
        <v>5296</v>
      </c>
      <c r="AU6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7"/>
      <c r="AW695" s="437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7">
        <f>IF(ISERROR(PV_DATA[[#This Row],[New Ark PO status]]),"",_xlfn.XLOOKUP(PV_DATA[[#This Row],[SPTN-PVHK New Ark PO'#]],New_Ark_Data[Purchase order Number],New_Ark_Data[Estimated time of arrival],"",0))</f>
        <v>46246</v>
      </c>
      <c r="AZ69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7">
        <f>IFERROR(PV_DATA[[#This Row],[ODP ETA Port]]+PV_DATA[[#This Row],[Customs/Leg3 Assumption]],"n/a")</f>
        <v>46260</v>
      </c>
      <c r="BB695" s="433">
        <f>YEAR(PV_DATA[[#This Row],[ETA for New Ark update]])</f>
        <v>2026</v>
      </c>
      <c r="BC695" s="430">
        <f>MONTH(PV_DATA[[#This Row],[ETA for New Ark update]])</f>
        <v>8</v>
      </c>
      <c r="BD695" s="430">
        <f>IFERROR(_xlfn.ISOWEEKNUM(PV_DATA[[#This Row],[ETA for New Ark update]]),0)</f>
        <v>35</v>
      </c>
      <c r="BE695" s="430">
        <f>_xlfn.XLOOKUP(PV_DATA[[#This Row],[New Ark SKU]],Table9[New Ark SKU],Table9[Total PCS per Pallet],,0)</f>
        <v>33</v>
      </c>
      <c r="BF695" s="430">
        <f>_xlfn.XLOOKUP(PV_DATA[[#This Row],[New Ark SKU]],Table9[New Ark SKU],Table9[Total PCS per 40HQ Container],,0)</f>
        <v>594</v>
      </c>
      <c r="BG695" s="431" t="str">
        <f>_xlfn.XLOOKUP(PV_DATA[[#This Row],[New Ark SKU]],Table9[New Ark SKU],Table9[Back Glass],,0)</f>
        <v>Transparent</v>
      </c>
      <c r="BH695" s="430" t="str">
        <f>_xlfn.XLOOKUP(PV_DATA[[#This Row],[PORT DESTINATION]],Table12[PORT DESTINATION],Table12[Cosco Line],,0)</f>
        <v>AEU</v>
      </c>
      <c r="BJ695" s="430"/>
    </row>
    <row r="696" spans="1:62" ht="13.5" customHeight="1">
      <c r="A696" s="462" t="s">
        <v>5297</v>
      </c>
      <c r="B696" s="462" t="s">
        <v>111</v>
      </c>
      <c r="C696" s="462" t="str">
        <f>IFERROR(LEFT(PV_DATA[[#This Row],[TCL REFERENCE]],FIND(".",PV_DATA[[#This Row],[TCL REFERENCE]],1)-1),"Main Line")</f>
        <v>26Jun002</v>
      </c>
      <c r="D696" s="462" t="s">
        <v>63</v>
      </c>
      <c r="E696" s="462" t="s">
        <v>64</v>
      </c>
      <c r="F696" s="462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2" t="s">
        <v>402</v>
      </c>
      <c r="H696" s="462" t="s">
        <v>311</v>
      </c>
      <c r="I696" s="462" t="s">
        <v>689</v>
      </c>
      <c r="J696" s="430" t="s">
        <v>96</v>
      </c>
      <c r="K696" s="430"/>
      <c r="L696" s="430"/>
      <c r="M696" s="430" t="s">
        <v>68</v>
      </c>
      <c r="N696" s="432">
        <v>46197</v>
      </c>
      <c r="O696" s="430" t="s">
        <v>550</v>
      </c>
      <c r="P696" s="430" t="s">
        <v>2134</v>
      </c>
      <c r="Q696" s="430" t="s">
        <v>2135</v>
      </c>
      <c r="R696" s="430" t="str">
        <f>_xlfn.XLOOKUP(PV_DATA[[#This Row],[New Ark SKU]],Table9[New Ark SKU],Table9[Connector],,0)</f>
        <v>EVO2A</v>
      </c>
      <c r="S696" s="442" t="str">
        <f>_xlfn.XLOOKUP(PV_DATA[[#This Row],[New Ark SKU]],Table9[New Ark SKU],Table9[Cable],,0)</f>
        <v>±1350mm</v>
      </c>
      <c r="T696" s="433">
        <v>515</v>
      </c>
      <c r="U696" s="1088">
        <f>792*2</f>
        <v>1584</v>
      </c>
      <c r="V696" s="434">
        <f>PV_DATA[[#This Row],[QUANTITY]]*PV_DATA[[#This Row],[WATT]]/1000000</f>
        <v>0.81576000000000004</v>
      </c>
      <c r="W696" s="435">
        <f>PV_DATA[[#This Row],[QUANTITY]]/PV_DATA[[#This Row],[Qty/Pallet]]</f>
        <v>44</v>
      </c>
      <c r="X696" s="1040">
        <f>PV_DATA[[#This Row],[QUANTITY]]/PV_DATA[[#This Row],[Qty/CT]]</f>
        <v>2</v>
      </c>
      <c r="Y696" s="430" t="s">
        <v>2458</v>
      </c>
      <c r="Z696" s="430" t="str">
        <f t="shared" si="8"/>
        <v>COMPLETED</v>
      </c>
      <c r="AA696" s="430" t="s">
        <v>5298</v>
      </c>
      <c r="AB696" s="437">
        <v>46208</v>
      </c>
      <c r="AC696" s="485">
        <f>IF(PV_DATA[[#This Row],[Pick- Up Date]]&lt;&gt;"",_xlfn.ISOWEEKNUM(PV_DATA[[#This Row],[Pick- Up Date]]),"")</f>
        <v>27</v>
      </c>
      <c r="AD696" s="430" t="s">
        <v>5299</v>
      </c>
      <c r="AE696" s="430"/>
      <c r="AF696" s="430" t="s">
        <v>122</v>
      </c>
      <c r="AG696" s="430" t="s">
        <v>123</v>
      </c>
      <c r="AH696" s="430" t="s">
        <v>314</v>
      </c>
      <c r="AI696" s="437">
        <v>46217</v>
      </c>
      <c r="AJ696" s="437">
        <v>46226</v>
      </c>
      <c r="AK696" s="437">
        <v>46227</v>
      </c>
      <c r="AL696" s="968">
        <v>46260</v>
      </c>
      <c r="AM696" s="1189">
        <f>IFERROR(VLOOKUP(AT696, Vessel!A:H, 8, FALSE), "")</f>
        <v>46274.333333333336</v>
      </c>
      <c r="AN696" s="586">
        <f>IF(VLOOKUP(AT696, Vessel!A:I, 9, FALSE)=0, "", VLOOKUP(AT696, Vessel!A:I, 9, FALSE))</f>
        <v>46274.416041666664</v>
      </c>
      <c r="AP696" s="430" t="s">
        <v>5300</v>
      </c>
      <c r="AQ696" s="430" t="s">
        <v>80</v>
      </c>
      <c r="AR696" s="430" t="s">
        <v>5301</v>
      </c>
      <c r="AS696" s="430" t="s">
        <v>5302</v>
      </c>
      <c r="AT696" s="430" t="s">
        <v>5302</v>
      </c>
      <c r="AU6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6" s="437"/>
      <c r="AW696" s="437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7">
        <f>IF(ISERROR(PV_DATA[[#This Row],[New Ark PO status]]),"",_xlfn.XLOOKUP(PV_DATA[[#This Row],[SPTN-PVHK New Ark PO'#]],New_Ark_Data[Purchase order Number],New_Ark_Data[Estimated time of arrival],"",0))</f>
        <v>46288</v>
      </c>
      <c r="AZ696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6" s="437">
        <f>IFERROR(PV_DATA[[#This Row],[ODP ETA Port]]+PV_DATA[[#This Row],[Customs/Leg3 Assumption]],"n/a")</f>
        <v>46284.416041666664</v>
      </c>
      <c r="BB696" s="433">
        <f>YEAR(PV_DATA[[#This Row],[ETA for New Ark update]])</f>
        <v>2026</v>
      </c>
      <c r="BC696" s="430">
        <f>MONTH(PV_DATA[[#This Row],[ETA for New Ark update]])</f>
        <v>9</v>
      </c>
      <c r="BD696" s="430">
        <f>IFERROR(_xlfn.ISOWEEKNUM(PV_DATA[[#This Row],[ETA for New Ark update]]),0)</f>
        <v>38</v>
      </c>
      <c r="BE696" s="430">
        <f>_xlfn.XLOOKUP(PV_DATA[[#This Row],[New Ark SKU]],Table9[New Ark SKU],Table9[Total PCS per Pallet],,0)</f>
        <v>36</v>
      </c>
      <c r="BF696" s="430">
        <f>_xlfn.XLOOKUP(PV_DATA[[#This Row],[New Ark SKU]],Table9[New Ark SKU],Table9[Total PCS per 40HQ Container],,0)</f>
        <v>792</v>
      </c>
      <c r="BG696" s="431" t="str">
        <f>_xlfn.XLOOKUP(PV_DATA[[#This Row],[New Ark SKU]],Table9[New Ark SKU],Table9[Back Glass],,0)</f>
        <v>Black glazing</v>
      </c>
      <c r="BH696" s="430" t="str">
        <f>_xlfn.XLOOKUP(PV_DATA[[#This Row],[PORT DESTINATION]],Table12[PORT DESTINATION],Table12[Cosco Line],,0)</f>
        <v>AEM</v>
      </c>
      <c r="BJ696" s="430"/>
    </row>
    <row r="697" spans="1:62" ht="12.75" customHeight="1">
      <c r="A697" s="462" t="s">
        <v>5303</v>
      </c>
      <c r="B697" s="462" t="s">
        <v>111</v>
      </c>
      <c r="C697" s="462" t="str">
        <f>IFERROR(LEFT(PV_DATA[[#This Row],[TCL REFERENCE]],FIND(".",PV_DATA[[#This Row],[TCL REFERENCE]],1)-1),"Main Line")</f>
        <v>26Jun002</v>
      </c>
      <c r="D697" s="462" t="s">
        <v>63</v>
      </c>
      <c r="E697" s="462" t="s">
        <v>64</v>
      </c>
      <c r="F697" s="462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2" t="s">
        <v>402</v>
      </c>
      <c r="H697" s="462" t="s">
        <v>311</v>
      </c>
      <c r="I697" s="462" t="s">
        <v>689</v>
      </c>
      <c r="J697" s="430" t="s">
        <v>96</v>
      </c>
      <c r="K697" s="430"/>
      <c r="L697" s="430"/>
      <c r="M697" s="430" t="s">
        <v>68</v>
      </c>
      <c r="N697" s="432">
        <v>46196</v>
      </c>
      <c r="O697" s="430" t="s">
        <v>550</v>
      </c>
      <c r="P697" s="430" t="s">
        <v>2134</v>
      </c>
      <c r="Q697" s="430" t="s">
        <v>2135</v>
      </c>
      <c r="R697" s="430" t="str">
        <f>_xlfn.XLOOKUP(PV_DATA[[#This Row],[New Ark SKU]],Table9[New Ark SKU],Table9[Connector],,0)</f>
        <v>EVO2A</v>
      </c>
      <c r="S697" s="442" t="str">
        <f>_xlfn.XLOOKUP(PV_DATA[[#This Row],[New Ark SKU]],Table9[New Ark SKU],Table9[Cable],,0)</f>
        <v>±1350mm</v>
      </c>
      <c r="T697" s="433">
        <v>515</v>
      </c>
      <c r="U697" s="1088">
        <f>792*3</f>
        <v>2376</v>
      </c>
      <c r="V697" s="434">
        <f>PV_DATA[[#This Row],[QUANTITY]]*PV_DATA[[#This Row],[WATT]]/1000000</f>
        <v>1.2236400000000001</v>
      </c>
      <c r="W697" s="435">
        <f>PV_DATA[[#This Row],[QUANTITY]]/PV_DATA[[#This Row],[Qty/Pallet]]</f>
        <v>66</v>
      </c>
      <c r="X697" s="1040">
        <f>PV_DATA[[#This Row],[QUANTITY]]/PV_DATA[[#This Row],[Qty/CT]]</f>
        <v>3</v>
      </c>
      <c r="Y697" s="430" t="s">
        <v>2458</v>
      </c>
      <c r="Z697" s="430" t="str">
        <f t="shared" si="8"/>
        <v>COMPLETED</v>
      </c>
      <c r="AA697" s="430" t="s">
        <v>5304</v>
      </c>
      <c r="AB697" s="437">
        <v>46208</v>
      </c>
      <c r="AC697" s="485">
        <f>IF(PV_DATA[[#This Row],[Pick- Up Date]]&lt;&gt;"",_xlfn.ISOWEEKNUM(PV_DATA[[#This Row],[Pick- Up Date]]),"")</f>
        <v>27</v>
      </c>
      <c r="AD697" s="430" t="s">
        <v>5305</v>
      </c>
      <c r="AE697" s="430"/>
      <c r="AF697" s="430" t="s">
        <v>122</v>
      </c>
      <c r="AG697" s="430" t="s">
        <v>123</v>
      </c>
      <c r="AH697" s="430" t="s">
        <v>314</v>
      </c>
      <c r="AI697" s="437">
        <v>46217</v>
      </c>
      <c r="AJ697" s="437">
        <v>46226</v>
      </c>
      <c r="AK697" s="437">
        <v>46227</v>
      </c>
      <c r="AL697" s="968">
        <v>46260</v>
      </c>
      <c r="AM697" s="1189">
        <f>IFERROR(VLOOKUP(AT697, Vessel!A:H, 8, FALSE), "")</f>
        <v>46274.333333333336</v>
      </c>
      <c r="AN697" s="586">
        <f>IF(VLOOKUP(AT697, Vessel!A:I, 9, FALSE)=0, "", VLOOKUP(AT697, Vessel!A:I, 9, FALSE))</f>
        <v>46274.416041666664</v>
      </c>
      <c r="AP697" s="430" t="s">
        <v>5300</v>
      </c>
      <c r="AQ697" s="430" t="s">
        <v>80</v>
      </c>
      <c r="AR697" s="430" t="s">
        <v>5301</v>
      </c>
      <c r="AS697" s="430" t="s">
        <v>5302</v>
      </c>
      <c r="AT697" s="430" t="s">
        <v>5302</v>
      </c>
      <c r="AU6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7" s="437"/>
      <c r="AW697" s="437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7">
        <f>IF(ISERROR(PV_DATA[[#This Row],[New Ark PO status]]),"",_xlfn.XLOOKUP(PV_DATA[[#This Row],[SPTN-PVHK New Ark PO'#]],New_Ark_Data[Purchase order Number],New_Ark_Data[Estimated time of arrival],"",0))</f>
        <v>46288</v>
      </c>
      <c r="AZ697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7" s="437">
        <f>IFERROR(PV_DATA[[#This Row],[ODP ETA Port]]+PV_DATA[[#This Row],[Customs/Leg3 Assumption]],"n/a")</f>
        <v>46284.416041666664</v>
      </c>
      <c r="BB697" s="433">
        <f>YEAR(PV_DATA[[#This Row],[ETA for New Ark update]])</f>
        <v>2026</v>
      </c>
      <c r="BC697" s="430">
        <f>MONTH(PV_DATA[[#This Row],[ETA for New Ark update]])</f>
        <v>9</v>
      </c>
      <c r="BD697" s="430">
        <f>IFERROR(_xlfn.ISOWEEKNUM(PV_DATA[[#This Row],[ETA for New Ark update]]),0)</f>
        <v>38</v>
      </c>
      <c r="BE697" s="430">
        <f>_xlfn.XLOOKUP(PV_DATA[[#This Row],[New Ark SKU]],Table9[New Ark SKU],Table9[Total PCS per Pallet],,0)</f>
        <v>36</v>
      </c>
      <c r="BF697" s="430">
        <f>_xlfn.XLOOKUP(PV_DATA[[#This Row],[New Ark SKU]],Table9[New Ark SKU],Table9[Total PCS per 40HQ Container],,0)</f>
        <v>792</v>
      </c>
      <c r="BG697" s="431" t="str">
        <f>_xlfn.XLOOKUP(PV_DATA[[#This Row],[New Ark SKU]],Table9[New Ark SKU],Table9[Back Glass],,0)</f>
        <v>Black glazing</v>
      </c>
      <c r="BH697" s="430" t="str">
        <f>_xlfn.XLOOKUP(PV_DATA[[#This Row],[PORT DESTINATION]],Table12[PORT DESTINATION],Table12[Cosco Line],,0)</f>
        <v>AEM</v>
      </c>
      <c r="BJ697" s="430"/>
    </row>
    <row r="698" spans="1:62" ht="10.5">
      <c r="A698" s="462" t="s">
        <v>5306</v>
      </c>
      <c r="B698" s="462" t="s">
        <v>5203</v>
      </c>
      <c r="C698" s="462" t="str">
        <f>IFERROR(LEFT(PV_DATA[[#This Row],[TCL REFERENCE]],FIND(".",PV_DATA[[#This Row],[TCL REFERENCE]],1)-1),"Main Line")</f>
        <v>26Jun007</v>
      </c>
      <c r="D698" s="462" t="s">
        <v>63</v>
      </c>
      <c r="E698" s="462" t="s">
        <v>64</v>
      </c>
      <c r="F698" s="462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2" t="s">
        <v>402</v>
      </c>
      <c r="H698" s="462" t="s">
        <v>67</v>
      </c>
      <c r="I698" s="462" t="s">
        <v>689</v>
      </c>
      <c r="J698" s="430" t="s">
        <v>1047</v>
      </c>
      <c r="K698" s="430"/>
      <c r="L698" s="430"/>
      <c r="M698" s="430" t="s">
        <v>68</v>
      </c>
      <c r="N698" s="432">
        <v>46188</v>
      </c>
      <c r="O698" s="430" t="s">
        <v>4531</v>
      </c>
      <c r="P698" s="430" t="s">
        <v>5102</v>
      </c>
      <c r="Q698" s="430" t="s">
        <v>103</v>
      </c>
      <c r="R698" s="430" t="str">
        <f>_xlfn.XLOOKUP(PV_DATA[[#This Row],[New Ark SKU]],Table9[New Ark SKU],Table9[Connector],,0)</f>
        <v>H4(Com)</v>
      </c>
      <c r="S698" s="442" t="str">
        <f>_xlfn.XLOOKUP(PV_DATA[[#This Row],[New Ark SKU]],Table9[New Ark SKU],Table9[Cable],,0)</f>
        <v>±1400mm</v>
      </c>
      <c r="T698" s="433">
        <v>620</v>
      </c>
      <c r="U698" s="1088">
        <f>720*6</f>
        <v>4320</v>
      </c>
      <c r="V698" s="434">
        <f>PV_DATA[[#This Row],[QUANTITY]]*PV_DATA[[#This Row],[WATT]]/1000000</f>
        <v>2.6783999999999999</v>
      </c>
      <c r="W698" s="435">
        <f>PV_DATA[[#This Row],[QUANTITY]]/PV_DATA[[#This Row],[Qty/Pallet]]</f>
        <v>120</v>
      </c>
      <c r="X698" s="1040">
        <f>PV_DATA[[#This Row],[QUANTITY]]/PV_DATA[[#This Row],[Qty/CT]]</f>
        <v>6</v>
      </c>
      <c r="Y698" s="430" t="s">
        <v>2458</v>
      </c>
      <c r="Z698" s="430" t="str">
        <f t="shared" si="8"/>
        <v>COMPLETED</v>
      </c>
      <c r="AA698" s="430" t="s">
        <v>5307</v>
      </c>
      <c r="AB698" s="437">
        <v>46210</v>
      </c>
      <c r="AC698" s="485">
        <f>IF(PV_DATA[[#This Row],[Pick- Up Date]]&lt;&gt;"",_xlfn.ISOWEEKNUM(PV_DATA[[#This Row],[Pick- Up Date]]),"")</f>
        <v>28</v>
      </c>
      <c r="AD698" s="430" t="s">
        <v>5308</v>
      </c>
      <c r="AE698" s="430"/>
      <c r="AF698" s="430" t="s">
        <v>122</v>
      </c>
      <c r="AG698" s="430" t="s">
        <v>123</v>
      </c>
      <c r="AH698" s="430" t="s">
        <v>78</v>
      </c>
      <c r="AI698" s="437">
        <v>46217</v>
      </c>
      <c r="AJ698" s="437">
        <v>46226</v>
      </c>
      <c r="AK698" s="437">
        <v>46227</v>
      </c>
      <c r="AL698" s="437">
        <v>46265</v>
      </c>
      <c r="AM698" s="586">
        <f>IFERROR(VLOOKUP(AT698, Vessel!A:H, 8, FALSE), "")</f>
        <v>46278.083333333336</v>
      </c>
      <c r="AN698" s="586">
        <f>IF(VLOOKUP(AT698, Vessel!A:I, 9, FALSE)=0, "", VLOOKUP(AT698, Vessel!A:I, 9, FALSE))</f>
        <v>46278.186840277776</v>
      </c>
      <c r="AP698" s="430" t="s">
        <v>5300</v>
      </c>
      <c r="AQ698" s="430" t="s">
        <v>80</v>
      </c>
      <c r="AR698" s="430" t="s">
        <v>5309</v>
      </c>
      <c r="AS698" s="430" t="s">
        <v>5310</v>
      </c>
      <c r="AT698" s="430" t="s">
        <v>5310</v>
      </c>
      <c r="AU6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8" s="437"/>
      <c r="AW698" s="437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7">
        <f>IF(ISERROR(PV_DATA[[#This Row],[New Ark PO status]]),"",_xlfn.XLOOKUP(PV_DATA[[#This Row],[SPTN-PVHK New Ark PO'#]],New_Ark_Data[Purchase order Number],New_Ark_Data[Estimated time of arrival],"",0))</f>
        <v>46290</v>
      </c>
      <c r="AZ69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7">
        <f>IFERROR(PV_DATA[[#This Row],[ODP ETA Port]]+PV_DATA[[#This Row],[Customs/Leg3 Assumption]],"n/a")</f>
        <v>46286.186840277776</v>
      </c>
      <c r="BB698" s="433">
        <f>YEAR(PV_DATA[[#This Row],[ETA for New Ark update]])</f>
        <v>2026</v>
      </c>
      <c r="BC698" s="430">
        <f>MONTH(PV_DATA[[#This Row],[ETA for New Ark update]])</f>
        <v>9</v>
      </c>
      <c r="BD698" s="430">
        <f>IFERROR(_xlfn.ISOWEEKNUM(PV_DATA[[#This Row],[ETA for New Ark update]]),0)</f>
        <v>39</v>
      </c>
      <c r="BE698" s="430">
        <f>_xlfn.XLOOKUP(PV_DATA[[#This Row],[New Ark SKU]],Table9[New Ark SKU],Table9[Total PCS per Pallet],,0)</f>
        <v>36</v>
      </c>
      <c r="BF698" s="430">
        <f>_xlfn.XLOOKUP(PV_DATA[[#This Row],[New Ark SKU]],Table9[New Ark SKU],Table9[Total PCS per 40HQ Container],,0)</f>
        <v>720</v>
      </c>
      <c r="BG698" s="431" t="str">
        <f>_xlfn.XLOOKUP(PV_DATA[[#This Row],[New Ark SKU]],Table9[New Ark SKU],Table9[Back Glass],,0)</f>
        <v>Transparent</v>
      </c>
      <c r="BH698" s="430" t="str">
        <f>_xlfn.XLOOKUP(PV_DATA[[#This Row],[PORT DESTINATION]],Table12[PORT DESTINATION],Table12[Cosco Line],,0)</f>
        <v>AEM</v>
      </c>
      <c r="BJ698" s="430"/>
    </row>
    <row r="699" spans="1:62" ht="10.5">
      <c r="A699" s="462" t="s">
        <v>5311</v>
      </c>
      <c r="B699" s="462" t="s">
        <v>5203</v>
      </c>
      <c r="C699" s="462" t="str">
        <f>IFERROR(LEFT(PV_DATA[[#This Row],[TCL REFERENCE]],FIND(".",PV_DATA[[#This Row],[TCL REFERENCE]],1)-1),"Main Line")</f>
        <v>26Jun007</v>
      </c>
      <c r="D699" s="462" t="s">
        <v>63</v>
      </c>
      <c r="E699" s="462" t="s">
        <v>64</v>
      </c>
      <c r="F699" s="462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2" t="s">
        <v>402</v>
      </c>
      <c r="H699" s="462" t="s">
        <v>67</v>
      </c>
      <c r="I699" s="462" t="s">
        <v>689</v>
      </c>
      <c r="J699" s="430" t="s">
        <v>1047</v>
      </c>
      <c r="K699" s="430"/>
      <c r="L699" s="430"/>
      <c r="M699" s="430" t="s">
        <v>68</v>
      </c>
      <c r="N699" s="432">
        <v>46188</v>
      </c>
      <c r="O699" s="430" t="s">
        <v>4531</v>
      </c>
      <c r="P699" s="430" t="s">
        <v>5102</v>
      </c>
      <c r="Q699" s="430" t="s">
        <v>103</v>
      </c>
      <c r="R699" s="430" t="str">
        <f>_xlfn.XLOOKUP(PV_DATA[[#This Row],[New Ark SKU]],Table9[New Ark SKU],Table9[Connector],,0)</f>
        <v>H4(Com)</v>
      </c>
      <c r="S699" s="442" t="str">
        <f>_xlfn.XLOOKUP(PV_DATA[[#This Row],[New Ark SKU]],Table9[New Ark SKU],Table9[Cable],,0)</f>
        <v>±1400mm</v>
      </c>
      <c r="T699" s="433">
        <v>620</v>
      </c>
      <c r="U699" s="1088">
        <v>2880</v>
      </c>
      <c r="V699" s="434">
        <f>PV_DATA[[#This Row],[QUANTITY]]*PV_DATA[[#This Row],[WATT]]/1000000</f>
        <v>1.7856000000000001</v>
      </c>
      <c r="W699" s="435">
        <f>PV_DATA[[#This Row],[QUANTITY]]/PV_DATA[[#This Row],[Qty/Pallet]]</f>
        <v>80</v>
      </c>
      <c r="X699" s="1040">
        <f>PV_DATA[[#This Row],[QUANTITY]]/PV_DATA[[#This Row],[Qty/CT]]</f>
        <v>4</v>
      </c>
      <c r="Y699" s="430" t="s">
        <v>2457</v>
      </c>
      <c r="Z699" s="430" t="str">
        <f t="shared" si="8"/>
        <v>COMPLETED</v>
      </c>
      <c r="AA699" s="430" t="s">
        <v>5307</v>
      </c>
      <c r="AB699" s="437">
        <v>46210</v>
      </c>
      <c r="AC699" s="485">
        <f>IF(PV_DATA[[#This Row],[Pick- Up Date]]&lt;&gt;"",_xlfn.ISOWEEKNUM(PV_DATA[[#This Row],[Pick- Up Date]]),"")</f>
        <v>28</v>
      </c>
      <c r="AD699" s="430" t="s">
        <v>5312</v>
      </c>
      <c r="AE699" s="430"/>
      <c r="AF699" s="430" t="s">
        <v>122</v>
      </c>
      <c r="AG699" s="430" t="s">
        <v>123</v>
      </c>
      <c r="AH699" s="430" t="s">
        <v>78</v>
      </c>
      <c r="AI699" s="437">
        <v>46217</v>
      </c>
      <c r="AJ699" s="437">
        <v>46226</v>
      </c>
      <c r="AK699" s="437">
        <v>46227</v>
      </c>
      <c r="AL699" s="437">
        <v>46265</v>
      </c>
      <c r="AM699" s="586">
        <f>IFERROR(VLOOKUP(AT699, Vessel!A:H, 8, FALSE), "")</f>
        <v>46278.083333333336</v>
      </c>
      <c r="AN699" s="586">
        <f>IF(VLOOKUP(AT699, Vessel!A:I, 9, FALSE)=0, "", VLOOKUP(AT699, Vessel!A:I, 9, FALSE))</f>
        <v>46278.186840277776</v>
      </c>
      <c r="AP699" s="430" t="s">
        <v>5300</v>
      </c>
      <c r="AQ699" s="430" t="s">
        <v>80</v>
      </c>
      <c r="AR699" s="430" t="s">
        <v>5309</v>
      </c>
      <c r="AS699" s="430" t="s">
        <v>5310</v>
      </c>
      <c r="AT699" s="430" t="s">
        <v>5310</v>
      </c>
      <c r="AU6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9" s="437"/>
      <c r="AW699" s="437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7">
        <f>IF(ISERROR(PV_DATA[[#This Row],[New Ark PO status]]),"",_xlfn.XLOOKUP(PV_DATA[[#This Row],[SPTN-PVHK New Ark PO'#]],New_Ark_Data[Purchase order Number],New_Ark_Data[Estimated time of arrival],"",0))</f>
        <v>46290</v>
      </c>
      <c r="AZ69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7">
        <f>IFERROR(PV_DATA[[#This Row],[ODP ETA Port]]+PV_DATA[[#This Row],[Customs/Leg3 Assumption]],"n/a")</f>
        <v>46286.186840277776</v>
      </c>
      <c r="BB699" s="433">
        <f>YEAR(PV_DATA[[#This Row],[ETA for New Ark update]])</f>
        <v>2026</v>
      </c>
      <c r="BC699" s="430">
        <f>MONTH(PV_DATA[[#This Row],[ETA for New Ark update]])</f>
        <v>9</v>
      </c>
      <c r="BD699" s="430">
        <f>IFERROR(_xlfn.ISOWEEKNUM(PV_DATA[[#This Row],[ETA for New Ark update]]),0)</f>
        <v>39</v>
      </c>
      <c r="BE699" s="430">
        <f>_xlfn.XLOOKUP(PV_DATA[[#This Row],[New Ark SKU]],Table9[New Ark SKU],Table9[Total PCS per Pallet],,0)</f>
        <v>36</v>
      </c>
      <c r="BF699" s="430">
        <f>_xlfn.XLOOKUP(PV_DATA[[#This Row],[New Ark SKU]],Table9[New Ark SKU],Table9[Total PCS per 40HQ Container],,0)</f>
        <v>720</v>
      </c>
      <c r="BG699" s="431" t="str">
        <f>_xlfn.XLOOKUP(PV_DATA[[#This Row],[New Ark SKU]],Table9[New Ark SKU],Table9[Back Glass],,0)</f>
        <v>Transparent</v>
      </c>
      <c r="BH699" s="430" t="str">
        <f>_xlfn.XLOOKUP(PV_DATA[[#This Row],[PORT DESTINATION]],Table12[PORT DESTINATION],Table12[Cosco Line],,0)</f>
        <v>AEM</v>
      </c>
      <c r="BJ699" s="430"/>
    </row>
    <row r="700" spans="1:62" ht="10.5">
      <c r="A700" s="462" t="s">
        <v>5313</v>
      </c>
      <c r="B700" s="462" t="s">
        <v>111</v>
      </c>
      <c r="C700" s="462" t="str">
        <f>IFERROR(LEFT(PV_DATA[[#This Row],[TCL REFERENCE]],FIND(".",PV_DATA[[#This Row],[TCL REFERENCE]],1)-1),"Main Line")</f>
        <v>26Jul001</v>
      </c>
      <c r="D700" s="462" t="s">
        <v>63</v>
      </c>
      <c r="E700" s="462" t="s">
        <v>64</v>
      </c>
      <c r="F700" s="462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2" t="s">
        <v>402</v>
      </c>
      <c r="H700" s="462" t="s">
        <v>67</v>
      </c>
      <c r="I700" s="462" t="s">
        <v>882</v>
      </c>
      <c r="J700" s="430" t="s">
        <v>96</v>
      </c>
      <c r="K700" s="430"/>
      <c r="L700" s="430"/>
      <c r="M700" s="430" t="s">
        <v>68</v>
      </c>
      <c r="N700" s="432">
        <v>46209</v>
      </c>
      <c r="O700" s="430" t="s">
        <v>550</v>
      </c>
      <c r="P700" s="430" t="s">
        <v>551</v>
      </c>
      <c r="Q700" s="430" t="s">
        <v>2151</v>
      </c>
      <c r="R700" s="430" t="str">
        <f>_xlfn.XLOOKUP(PV_DATA[[#This Row],[New Ark SKU]],Table9[New Ark SKU],Table9[Connector],,0)</f>
        <v>EVO2A</v>
      </c>
      <c r="S700" s="442" t="str">
        <f>_xlfn.XLOOKUP(PV_DATA[[#This Row],[New Ark SKU]],Table9[New Ark SKU],Table9[Cable],,0)</f>
        <v>±1350mm</v>
      </c>
      <c r="T700" s="433">
        <v>510</v>
      </c>
      <c r="U700" s="1088">
        <v>792</v>
      </c>
      <c r="V700" s="434">
        <f>PV_DATA[[#This Row],[QUANTITY]]*PV_DATA[[#This Row],[WATT]]/1000000</f>
        <v>0.40392</v>
      </c>
      <c r="W700" s="435">
        <f>PV_DATA[[#This Row],[QUANTITY]]/PV_DATA[[#This Row],[Qty/Pallet]]</f>
        <v>22</v>
      </c>
      <c r="X700" s="1040">
        <f>PV_DATA[[#This Row],[QUANTITY]]/PV_DATA[[#This Row],[Qty/CT]]</f>
        <v>1</v>
      </c>
      <c r="Y700" s="430" t="s">
        <v>2460</v>
      </c>
      <c r="Z700" s="430" t="str">
        <f t="shared" si="8"/>
        <v>COMPLETED</v>
      </c>
      <c r="AA700" s="430"/>
      <c r="AB700" s="437">
        <v>46211</v>
      </c>
      <c r="AC700" s="485">
        <f>IF(PV_DATA[[#This Row],[Pick- Up Date]]&lt;&gt;"",_xlfn.ISOWEEKNUM(PV_DATA[[#This Row],[Pick- Up Date]]),"")</f>
        <v>28</v>
      </c>
      <c r="AD700" s="430" t="s">
        <v>5314</v>
      </c>
      <c r="AE700" s="430"/>
      <c r="AF700" s="430" t="s">
        <v>122</v>
      </c>
      <c r="AG700" s="430" t="s">
        <v>123</v>
      </c>
      <c r="AH700" s="430" t="s">
        <v>78</v>
      </c>
      <c r="AI700" s="437">
        <v>46217</v>
      </c>
      <c r="AJ700" s="437">
        <v>46226</v>
      </c>
      <c r="AK700" s="437">
        <v>46227</v>
      </c>
      <c r="AL700" s="968">
        <v>46265</v>
      </c>
      <c r="AM700" s="1189">
        <f>IFERROR(VLOOKUP(AT700, Vessel!A:H, 8, FALSE), "")</f>
        <v>46278.083333333336</v>
      </c>
      <c r="AN700" s="586">
        <f>IF(VLOOKUP(AT700, Vessel!A:I, 9, FALSE)=0, "", VLOOKUP(AT700, Vessel!A:I, 9, FALSE))</f>
        <v>46278.186840277776</v>
      </c>
      <c r="AP700" s="430" t="s">
        <v>5300</v>
      </c>
      <c r="AQ700" s="430" t="s">
        <v>80</v>
      </c>
      <c r="AR700" s="430" t="s">
        <v>5309</v>
      </c>
      <c r="AS700" s="430" t="s">
        <v>5310</v>
      </c>
      <c r="AT700" s="430" t="s">
        <v>5310</v>
      </c>
      <c r="AU7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0" s="437"/>
      <c r="AW700" s="437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7">
        <f>IF(ISERROR(PV_DATA[[#This Row],[New Ark PO status]]),"",_xlfn.XLOOKUP(PV_DATA[[#This Row],[SPTN-PVHK New Ark PO'#]],New_Ark_Data[Purchase order Number],New_Ark_Data[Estimated time of arrival],"",0))</f>
        <v>46290</v>
      </c>
      <c r="AZ70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7">
        <f>IFERROR(PV_DATA[[#This Row],[ODP ETA Port]]+PV_DATA[[#This Row],[Customs/Leg3 Assumption]],"n/a")</f>
        <v>46286.186840277776</v>
      </c>
      <c r="BB700" s="433">
        <f>YEAR(PV_DATA[[#This Row],[ETA for New Ark update]])</f>
        <v>2026</v>
      </c>
      <c r="BC700" s="430">
        <f>MONTH(PV_DATA[[#This Row],[ETA for New Ark update]])</f>
        <v>9</v>
      </c>
      <c r="BD700" s="430">
        <f>IFERROR(_xlfn.ISOWEEKNUM(PV_DATA[[#This Row],[ETA for New Ark update]]),0)</f>
        <v>39</v>
      </c>
      <c r="BE700" s="430">
        <f>_xlfn.XLOOKUP(PV_DATA[[#This Row],[New Ark SKU]],Table9[New Ark SKU],Table9[Total PCS per Pallet],,0)</f>
        <v>36</v>
      </c>
      <c r="BF700" s="430">
        <f>_xlfn.XLOOKUP(PV_DATA[[#This Row],[New Ark SKU]],Table9[New Ark SKU],Table9[Total PCS per 40HQ Container],,0)</f>
        <v>792</v>
      </c>
      <c r="BG700" s="431" t="str">
        <f>_xlfn.XLOOKUP(PV_DATA[[#This Row],[New Ark SKU]],Table9[New Ark SKU],Table9[Back Glass],,0)</f>
        <v>Black glazing</v>
      </c>
      <c r="BH700" s="610" t="str">
        <f>_xlfn.XLOOKUP(PV_DATA[[#This Row],[PORT DESTINATION]],Table12[PORT DESTINATION],Table12[Cosco Line],,0)</f>
        <v>AEM</v>
      </c>
      <c r="BJ700" s="430"/>
    </row>
    <row r="701" spans="1:62" ht="10.5">
      <c r="A701" s="462" t="s">
        <v>5315</v>
      </c>
      <c r="B701" s="462" t="s">
        <v>111</v>
      </c>
      <c r="C701" s="462" t="str">
        <f>IFERROR(LEFT(PV_DATA[[#This Row],[TCL REFERENCE]],FIND(".",PV_DATA[[#This Row],[TCL REFERENCE]],1)-1),"Main Line")</f>
        <v>26Jun001</v>
      </c>
      <c r="D701" s="462" t="s">
        <v>63</v>
      </c>
      <c r="E701" s="462" t="s">
        <v>64</v>
      </c>
      <c r="F701" s="462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2" t="s">
        <v>402</v>
      </c>
      <c r="H701" s="462" t="s">
        <v>67</v>
      </c>
      <c r="I701" s="462" t="s">
        <v>689</v>
      </c>
      <c r="J701" s="430" t="s">
        <v>96</v>
      </c>
      <c r="K701" s="430"/>
      <c r="L701" s="430"/>
      <c r="M701" s="430" t="s">
        <v>68</v>
      </c>
      <c r="N701" s="432">
        <v>46189</v>
      </c>
      <c r="O701" s="430" t="s">
        <v>550</v>
      </c>
      <c r="P701" s="430" t="s">
        <v>551</v>
      </c>
      <c r="Q701" s="430" t="s">
        <v>2151</v>
      </c>
      <c r="R701" s="430" t="str">
        <f>_xlfn.XLOOKUP(PV_DATA[[#This Row],[New Ark SKU]],Table9[New Ark SKU],Table9[Connector],,0)</f>
        <v>EVO2A</v>
      </c>
      <c r="S701" s="442" t="str">
        <f>_xlfn.XLOOKUP(PV_DATA[[#This Row],[New Ark SKU]],Table9[New Ark SKU],Table9[Cable],,0)</f>
        <v>±1350mm</v>
      </c>
      <c r="T701" s="433">
        <v>510</v>
      </c>
      <c r="U701" s="1088">
        <v>1584</v>
      </c>
      <c r="V701" s="434">
        <f>PV_DATA[[#This Row],[QUANTITY]]*PV_DATA[[#This Row],[WATT]]/1000000</f>
        <v>0.80784</v>
      </c>
      <c r="W701" s="435">
        <f>PV_DATA[[#This Row],[QUANTITY]]/PV_DATA[[#This Row],[Qty/Pallet]]</f>
        <v>44</v>
      </c>
      <c r="X701" s="1040">
        <v>2</v>
      </c>
      <c r="Y701" s="430" t="s">
        <v>2458</v>
      </c>
      <c r="Z701" s="430" t="str">
        <f t="shared" si="8"/>
        <v>COMPLETED</v>
      </c>
      <c r="AA701" s="430" t="s">
        <v>5304</v>
      </c>
      <c r="AB701" s="437">
        <v>46208</v>
      </c>
      <c r="AC701" s="485">
        <f>IF(PV_DATA[[#This Row],[Pick- Up Date]]&lt;&gt;"",_xlfn.ISOWEEKNUM(PV_DATA[[#This Row],[Pick- Up Date]]),"")</f>
        <v>27</v>
      </c>
      <c r="AD701" s="430" t="s">
        <v>5316</v>
      </c>
      <c r="AE701" s="430"/>
      <c r="AF701" s="430" t="s">
        <v>122</v>
      </c>
      <c r="AG701" s="430" t="s">
        <v>123</v>
      </c>
      <c r="AH701" s="430" t="s">
        <v>78</v>
      </c>
      <c r="AI701" s="437">
        <v>46217</v>
      </c>
      <c r="AJ701" s="437">
        <v>46226</v>
      </c>
      <c r="AK701" s="437">
        <v>46227</v>
      </c>
      <c r="AL701" s="968">
        <v>46265</v>
      </c>
      <c r="AM701" s="1189">
        <f>IFERROR(VLOOKUP(AT701, Vessel!A:H, 8, FALSE), "")</f>
        <v>46278.083333333336</v>
      </c>
      <c r="AN701" s="586">
        <f>IF(VLOOKUP(AT701, Vessel!A:I, 9, FALSE)=0, "", VLOOKUP(AT701, Vessel!A:I, 9, FALSE))</f>
        <v>46278.186840277776</v>
      </c>
      <c r="AP701" s="430" t="s">
        <v>5300</v>
      </c>
      <c r="AQ701" s="615" t="s">
        <v>80</v>
      </c>
      <c r="AR701" s="430" t="s">
        <v>5309</v>
      </c>
      <c r="AS701" s="430" t="s">
        <v>5310</v>
      </c>
      <c r="AT701" s="430" t="s">
        <v>5310</v>
      </c>
      <c r="AU7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1" s="437"/>
      <c r="AW701" s="437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7">
        <f>IF(ISERROR(PV_DATA[[#This Row],[New Ark PO status]]),"",_xlfn.XLOOKUP(PV_DATA[[#This Row],[SPTN-PVHK New Ark PO'#]],New_Ark_Data[Purchase order Number],New_Ark_Data[Estimated time of arrival],"",0))</f>
        <v>46290</v>
      </c>
      <c r="AZ70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7">
        <f>IFERROR(PV_DATA[[#This Row],[ODP ETA Port]]+PV_DATA[[#This Row],[Customs/Leg3 Assumption]],"n/a")</f>
        <v>46286.186840277776</v>
      </c>
      <c r="BB701" s="433">
        <f>YEAR(PV_DATA[[#This Row],[ETA for New Ark update]])</f>
        <v>2026</v>
      </c>
      <c r="BC701" s="430">
        <f>MONTH(PV_DATA[[#This Row],[ETA for New Ark update]])</f>
        <v>9</v>
      </c>
      <c r="BD701" s="430">
        <f>IFERROR(_xlfn.ISOWEEKNUM(PV_DATA[[#This Row],[ETA for New Ark update]]),0)</f>
        <v>39</v>
      </c>
      <c r="BE701" s="430">
        <f>_xlfn.XLOOKUP(PV_DATA[[#This Row],[New Ark SKU]],Table9[New Ark SKU],Table9[Total PCS per Pallet],,0)</f>
        <v>36</v>
      </c>
      <c r="BF701" s="430">
        <f>_xlfn.XLOOKUP(PV_DATA[[#This Row],[New Ark SKU]],Table9[New Ark SKU],Table9[Total PCS per 40HQ Container],,0)</f>
        <v>792</v>
      </c>
      <c r="BG701" s="431" t="str">
        <f>_xlfn.XLOOKUP(PV_DATA[[#This Row],[New Ark SKU]],Table9[New Ark SKU],Table9[Back Glass],,0)</f>
        <v>Black glazing</v>
      </c>
      <c r="BH701" s="610" t="str">
        <f>_xlfn.XLOOKUP(PV_DATA[[#This Row],[PORT DESTINATION]],Table12[PORT DESTINATION],Table12[Cosco Line],,0)</f>
        <v>AEM</v>
      </c>
      <c r="BJ701" s="430"/>
    </row>
    <row r="702" spans="1:62" ht="10.5">
      <c r="A702" s="462" t="s">
        <v>5317</v>
      </c>
      <c r="B702" s="462" t="s">
        <v>5318</v>
      </c>
      <c r="C702" s="462" t="str">
        <f>IFERROR(LEFT(PV_DATA[[#This Row],[TCL REFERENCE]],FIND(".",PV_DATA[[#This Row],[TCL REFERENCE]],1)-1),"Main Line")</f>
        <v>26Jun013</v>
      </c>
      <c r="D702" s="462" t="s">
        <v>63</v>
      </c>
      <c r="E702" s="462" t="s">
        <v>144</v>
      </c>
      <c r="F702" s="462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2" t="s">
        <v>146</v>
      </c>
      <c r="H702" s="462" t="s">
        <v>2716</v>
      </c>
      <c r="I702" s="462" t="s">
        <v>1395</v>
      </c>
      <c r="J702" s="430" t="s">
        <v>5319</v>
      </c>
      <c r="K702" s="430" t="s">
        <v>5320</v>
      </c>
      <c r="L702" s="430" t="s">
        <v>5321</v>
      </c>
      <c r="M702" s="430" t="s">
        <v>840</v>
      </c>
      <c r="N702" s="432">
        <v>46209</v>
      </c>
      <c r="O702" s="430" t="s">
        <v>4531</v>
      </c>
      <c r="P702" s="430" t="s">
        <v>706</v>
      </c>
      <c r="Q702" s="430" t="s">
        <v>707</v>
      </c>
      <c r="R702" s="430" t="str">
        <f>_xlfn.XLOOKUP(PV_DATA[[#This Row],[New Ark SKU]],Table9[New Ark SKU],Table9[Connector],,0)</f>
        <v>EVO2A</v>
      </c>
      <c r="S702" s="442" t="str">
        <f>_xlfn.XLOOKUP(PV_DATA[[#This Row],[New Ark SKU]],Table9[New Ark SKU],Table9[Cable],,0)</f>
        <v>±1200mm</v>
      </c>
      <c r="T702" s="433">
        <v>500</v>
      </c>
      <c r="U702" s="1088">
        <v>864</v>
      </c>
      <c r="V702" s="434">
        <f>PV_DATA[[#This Row],[QUANTITY]]*PV_DATA[[#This Row],[WATT]]/1000000</f>
        <v>0.432</v>
      </c>
      <c r="W702" s="435">
        <f>PV_DATA[[#This Row],[QUANTITY]]/PV_DATA[[#This Row],[Qty/Pallet]]</f>
        <v>24</v>
      </c>
      <c r="X702" s="1040">
        <f>PV_DATA[[#This Row],[QUANTITY]]/PV_DATA[[#This Row],[Qty/CT]]</f>
        <v>1</v>
      </c>
      <c r="Y702" s="430" t="s">
        <v>2459</v>
      </c>
      <c r="Z702" s="430" t="str">
        <f t="shared" si="8"/>
        <v>COMPLETED</v>
      </c>
      <c r="AA702" s="545">
        <v>46210</v>
      </c>
      <c r="AB702" s="437">
        <v>46211</v>
      </c>
      <c r="AC702" s="485">
        <f>IF(PV_DATA[[#This Row],[Pick- Up Date]]&lt;&gt;"",_xlfn.ISOWEEKNUM(PV_DATA[[#This Row],[Pick- Up Date]]),"")</f>
        <v>28</v>
      </c>
      <c r="AD702" s="430" t="s">
        <v>5322</v>
      </c>
      <c r="AE702" s="430"/>
      <c r="AF702" s="430" t="s">
        <v>123</v>
      </c>
      <c r="AG702" s="430" t="s">
        <v>123</v>
      </c>
      <c r="AH702" s="430" t="s">
        <v>78</v>
      </c>
      <c r="AI702" s="437">
        <v>46217</v>
      </c>
      <c r="AJ702" s="437">
        <v>46226</v>
      </c>
      <c r="AK702" s="437">
        <v>46227</v>
      </c>
      <c r="AL702" s="437">
        <v>46265</v>
      </c>
      <c r="AM702" s="586">
        <f>IFERROR(VLOOKUP(AT702, Vessel!A:H, 8, FALSE), "")</f>
        <v>46278.083333333336</v>
      </c>
      <c r="AN702" s="586">
        <f>IFERROR(IF(VLOOKUP(AT702,Vessel!A:I,9,FALSE)=0,"",VLOOKUP(AT702,Vessel!A:I,9,FALSE)),"")</f>
        <v>46278.186840277776</v>
      </c>
      <c r="AP702" s="430" t="s">
        <v>5300</v>
      </c>
      <c r="AQ702" s="615" t="s">
        <v>80</v>
      </c>
      <c r="AR702" s="430" t="s">
        <v>5323</v>
      </c>
      <c r="AS702" s="430" t="s">
        <v>5324</v>
      </c>
      <c r="AT702" s="430" t="s">
        <v>5324</v>
      </c>
      <c r="AU7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2" s="437"/>
      <c r="AW702" s="437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7">
        <f>IF(ISERROR(PV_DATA[[#This Row],[New Ark PO status]]),"",_xlfn.XLOOKUP(PV_DATA[[#This Row],[SPTN-PVHK New Ark PO'#]],New_Ark_Data[Purchase order Number],New_Ark_Data[Estimated time of arrival],"",0))</f>
        <v>46265</v>
      </c>
      <c r="AZ70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7">
        <f>IFERROR(PV_DATA[[#This Row],[ODP ETA Port]]+PV_DATA[[#This Row],[Customs/Leg3 Assumption]],"n/a")</f>
        <v>46278.186840277776</v>
      </c>
      <c r="BB702" s="433">
        <f>YEAR(PV_DATA[[#This Row],[ETA for New Ark update]])</f>
        <v>2026</v>
      </c>
      <c r="BC702" s="430">
        <f>MONTH(PV_DATA[[#This Row],[ETA for New Ark update]])</f>
        <v>9</v>
      </c>
      <c r="BD702" s="430">
        <f>IFERROR(_xlfn.ISOWEEKNUM(PV_DATA[[#This Row],[ETA for New Ark update]]),0)</f>
        <v>37</v>
      </c>
      <c r="BE702" s="430">
        <f>_xlfn.XLOOKUP(PV_DATA[[#This Row],[New Ark SKU]],Table9[New Ark SKU],Table9[Total PCS per Pallet],,0)</f>
        <v>36</v>
      </c>
      <c r="BF702" s="430">
        <f>_xlfn.XLOOKUP(PV_DATA[[#This Row],[New Ark SKU]],Table9[New Ark SKU],Table9[Total PCS per 40HQ Container],,0)</f>
        <v>864</v>
      </c>
      <c r="BG702" s="431" t="str">
        <f>_xlfn.XLOOKUP(PV_DATA[[#This Row],[New Ark SKU]],Table9[New Ark SKU],Table9[Back Glass],,0)</f>
        <v>Black glazing</v>
      </c>
      <c r="BH702" s="430" t="str">
        <f>_xlfn.XLOOKUP(PV_DATA[[#This Row],[PORT DESTINATION]],Table12[PORT DESTINATION],Table12[Cosco Line],,0)</f>
        <v>AEM</v>
      </c>
      <c r="BJ702" s="430"/>
    </row>
    <row r="703" spans="1:62" ht="10.5">
      <c r="A703" s="462" t="s">
        <v>5325</v>
      </c>
      <c r="B703" s="462" t="s">
        <v>111</v>
      </c>
      <c r="C703" s="462" t="str">
        <f>IFERROR(LEFT(PV_DATA[[#This Row],[TCL REFERENCE]],FIND(".",PV_DATA[[#This Row],[TCL REFERENCE]],1)-1),"Main Line")</f>
        <v>26Jun001</v>
      </c>
      <c r="D703" s="462" t="s">
        <v>63</v>
      </c>
      <c r="E703" s="462" t="s">
        <v>64</v>
      </c>
      <c r="F703" s="462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2" t="s">
        <v>402</v>
      </c>
      <c r="H703" s="462" t="s">
        <v>67</v>
      </c>
      <c r="I703" s="462" t="s">
        <v>689</v>
      </c>
      <c r="J703" s="430" t="s">
        <v>96</v>
      </c>
      <c r="K703" s="430"/>
      <c r="L703" s="430"/>
      <c r="M703" s="430" t="s">
        <v>68</v>
      </c>
      <c r="N703" s="432">
        <v>46190</v>
      </c>
      <c r="O703" s="430" t="s">
        <v>550</v>
      </c>
      <c r="P703" s="430" t="s">
        <v>551</v>
      </c>
      <c r="Q703" s="430" t="s">
        <v>2151</v>
      </c>
      <c r="R703" s="430" t="str">
        <f>_xlfn.XLOOKUP(PV_DATA[[#This Row],[New Ark SKU]],Table9[New Ark SKU],Table9[Connector],,0)</f>
        <v>EVO2A</v>
      </c>
      <c r="S703" s="442" t="str">
        <f>_xlfn.XLOOKUP(PV_DATA[[#This Row],[New Ark SKU]],Table9[New Ark SKU],Table9[Cable],,0)</f>
        <v>±1350mm</v>
      </c>
      <c r="T703" s="433">
        <v>510</v>
      </c>
      <c r="U703" s="1088">
        <f>792*3</f>
        <v>2376</v>
      </c>
      <c r="V703" s="434">
        <f>PV_DATA[[#This Row],[QUANTITY]]*PV_DATA[[#This Row],[WATT]]/1000000</f>
        <v>1.2117599999999999</v>
      </c>
      <c r="W703" s="435">
        <f>PV_DATA[[#This Row],[QUANTITY]]/PV_DATA[[#This Row],[Qty/Pallet]]</f>
        <v>66</v>
      </c>
      <c r="X703" s="1040">
        <f>PV_DATA[[#This Row],[QUANTITY]]/PV_DATA[[#This Row],[Qty/CT]]</f>
        <v>3</v>
      </c>
      <c r="Y703" s="430" t="s">
        <v>2458</v>
      </c>
      <c r="Z703" s="430" t="str">
        <f t="shared" si="8"/>
        <v>COMPLETED</v>
      </c>
      <c r="AA703" s="430" t="s">
        <v>5326</v>
      </c>
      <c r="AB703" s="437">
        <v>46204</v>
      </c>
      <c r="AC703" s="485">
        <f>IF(PV_DATA[[#This Row],[Pick- Up Date]]&lt;&gt;"",_xlfn.ISOWEEKNUM(PV_DATA[[#This Row],[Pick- Up Date]]),"")</f>
        <v>27</v>
      </c>
      <c r="AD703" s="430" t="s">
        <v>5327</v>
      </c>
      <c r="AE703" s="430"/>
      <c r="AF703" s="430" t="s">
        <v>122</v>
      </c>
      <c r="AG703" s="430" t="s">
        <v>123</v>
      </c>
      <c r="AH703" s="430" t="s">
        <v>78</v>
      </c>
      <c r="AI703" s="437">
        <v>46210</v>
      </c>
      <c r="AJ703" s="437">
        <v>46232</v>
      </c>
      <c r="AK703" s="437">
        <v>46232</v>
      </c>
      <c r="AL703" s="732">
        <v>46253</v>
      </c>
      <c r="AM703" s="1189">
        <f>IFERROR(VLOOKUP(AT703, Vessel!A:H, 8, FALSE), "")</f>
        <v>46272.833333333336</v>
      </c>
      <c r="AN703" s="586">
        <v>46272.251446759263</v>
      </c>
      <c r="AP703" s="430" t="s">
        <v>5328</v>
      </c>
      <c r="AQ703" s="430" t="s">
        <v>80</v>
      </c>
      <c r="AR703" s="430" t="s">
        <v>5329</v>
      </c>
      <c r="AS703" s="430" t="s">
        <v>5330</v>
      </c>
      <c r="AT703" s="430" t="s">
        <v>5330</v>
      </c>
      <c r="AU7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3" s="437"/>
      <c r="AW703" s="437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7">
        <f>IF(ISERROR(PV_DATA[[#This Row],[New Ark PO status]]),"",_xlfn.XLOOKUP(PV_DATA[[#This Row],[SPTN-PVHK New Ark PO'#]],New_Ark_Data[Purchase order Number],New_Ark_Data[Estimated time of arrival],"",0))</f>
        <v>46286</v>
      </c>
      <c r="AZ70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7">
        <f>IFERROR(PV_DATA[[#This Row],[ODP ETA Port]]+PV_DATA[[#This Row],[Customs/Leg3 Assumption]],"n/a")</f>
        <v>46280.251446759263</v>
      </c>
      <c r="BB703" s="433">
        <f>YEAR(PV_DATA[[#This Row],[ETA for New Ark update]])</f>
        <v>2026</v>
      </c>
      <c r="BC703" s="430">
        <f>MONTH(PV_DATA[[#This Row],[ETA for New Ark update]])</f>
        <v>9</v>
      </c>
      <c r="BD703" s="430">
        <f>IFERROR(_xlfn.ISOWEEKNUM(PV_DATA[[#This Row],[ETA for New Ark update]]),0)</f>
        <v>38</v>
      </c>
      <c r="BE703" s="430">
        <f>_xlfn.XLOOKUP(PV_DATA[[#This Row],[New Ark SKU]],Table9[New Ark SKU],Table9[Total PCS per Pallet],,0)</f>
        <v>36</v>
      </c>
      <c r="BF703" s="430">
        <f>_xlfn.XLOOKUP(PV_DATA[[#This Row],[New Ark SKU]],Table9[New Ark SKU],Table9[Total PCS per 40HQ Container],,0)</f>
        <v>792</v>
      </c>
      <c r="BG703" s="431" t="str">
        <f>_xlfn.XLOOKUP(PV_DATA[[#This Row],[New Ark SKU]],Table9[New Ark SKU],Table9[Back Glass],,0)</f>
        <v>Black glazing</v>
      </c>
      <c r="BH703" s="430" t="str">
        <f>_xlfn.XLOOKUP(PV_DATA[[#This Row],[PORT DESTINATION]],Table12[PORT DESTINATION],Table12[Cosco Line],,0)</f>
        <v>AEM</v>
      </c>
      <c r="BJ703" s="430"/>
    </row>
    <row r="704" spans="1:62" ht="10.5">
      <c r="A704" s="462" t="s">
        <v>5331</v>
      </c>
      <c r="B704" s="462" t="s">
        <v>111</v>
      </c>
      <c r="C704" s="462" t="str">
        <f>IFERROR(LEFT(PV_DATA[[#This Row],[TCL REFERENCE]],FIND(".",PV_DATA[[#This Row],[TCL REFERENCE]],1)-1),"Main Line")</f>
        <v>26Jun001</v>
      </c>
      <c r="D704" s="462" t="s">
        <v>63</v>
      </c>
      <c r="E704" s="462" t="s">
        <v>64</v>
      </c>
      <c r="F704" s="462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2" t="s">
        <v>402</v>
      </c>
      <c r="H704" s="462" t="s">
        <v>67</v>
      </c>
      <c r="I704" s="462" t="s">
        <v>689</v>
      </c>
      <c r="J704" s="430" t="s">
        <v>96</v>
      </c>
      <c r="K704" s="430"/>
      <c r="L704" s="430"/>
      <c r="M704" s="430" t="s">
        <v>68</v>
      </c>
      <c r="N704" s="432">
        <v>46188</v>
      </c>
      <c r="O704" s="430" t="s">
        <v>550</v>
      </c>
      <c r="P704" s="430" t="s">
        <v>551</v>
      </c>
      <c r="Q704" s="430" t="s">
        <v>2151</v>
      </c>
      <c r="R704" s="430" t="str">
        <f>_xlfn.XLOOKUP(PV_DATA[[#This Row],[New Ark SKU]],Table9[New Ark SKU],Table9[Connector],,0)</f>
        <v>EVO2A</v>
      </c>
      <c r="S704" s="442" t="str">
        <f>_xlfn.XLOOKUP(PV_DATA[[#This Row],[New Ark SKU]],Table9[New Ark SKU],Table9[Cable],,0)</f>
        <v>±1350mm</v>
      </c>
      <c r="T704" s="433">
        <v>510</v>
      </c>
      <c r="U704" s="1088">
        <f>792*3</f>
        <v>2376</v>
      </c>
      <c r="V704" s="434">
        <f>PV_DATA[[#This Row],[QUANTITY]]*PV_DATA[[#This Row],[WATT]]/1000000</f>
        <v>1.2117599999999999</v>
      </c>
      <c r="W704" s="435">
        <f>PV_DATA[[#This Row],[QUANTITY]]/PV_DATA[[#This Row],[Qty/Pallet]]</f>
        <v>66</v>
      </c>
      <c r="X704" s="1040">
        <f>PV_DATA[[#This Row],[QUANTITY]]/PV_DATA[[#This Row],[Qty/CT]]</f>
        <v>3</v>
      </c>
      <c r="Y704" s="484" t="s">
        <v>2458</v>
      </c>
      <c r="Z704" s="430" t="str">
        <f t="shared" si="8"/>
        <v>COMPLETED</v>
      </c>
      <c r="AA704" s="430" t="s">
        <v>5326</v>
      </c>
      <c r="AB704" s="543">
        <v>46204</v>
      </c>
      <c r="AC704" s="485">
        <f>IF(PV_DATA[[#This Row],[Pick- Up Date]]&lt;&gt;"",_xlfn.ISOWEEKNUM(PV_DATA[[#This Row],[Pick- Up Date]]),"")</f>
        <v>27</v>
      </c>
      <c r="AD704" s="430" t="s">
        <v>5332</v>
      </c>
      <c r="AE704" s="430"/>
      <c r="AF704" s="430" t="s">
        <v>122</v>
      </c>
      <c r="AG704" s="430" t="s">
        <v>123</v>
      </c>
      <c r="AH704" s="430" t="s">
        <v>78</v>
      </c>
      <c r="AI704" s="437">
        <v>46210</v>
      </c>
      <c r="AJ704" s="437">
        <v>46232</v>
      </c>
      <c r="AK704" s="437">
        <v>46232</v>
      </c>
      <c r="AL704" s="732">
        <v>46253</v>
      </c>
      <c r="AM704" s="1189">
        <f>IFERROR(VLOOKUP(AT704, Vessel!A:H, 8, FALSE), "")</f>
        <v>46272.833333333336</v>
      </c>
      <c r="AN704" s="586">
        <v>46272.251446759263</v>
      </c>
      <c r="AP704" s="430" t="s">
        <v>5328</v>
      </c>
      <c r="AQ704" s="430" t="s">
        <v>80</v>
      </c>
      <c r="AR704" s="430" t="s">
        <v>5329</v>
      </c>
      <c r="AS704" s="430" t="s">
        <v>5330</v>
      </c>
      <c r="AT704" s="430" t="s">
        <v>5330</v>
      </c>
      <c r="AU7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4" s="437"/>
      <c r="AW704" s="437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7">
        <f>IF(ISERROR(PV_DATA[[#This Row],[New Ark PO status]]),"",_xlfn.XLOOKUP(PV_DATA[[#This Row],[SPTN-PVHK New Ark PO'#]],New_Ark_Data[Purchase order Number],New_Ark_Data[Estimated time of arrival],"",0))</f>
        <v>46286</v>
      </c>
      <c r="AZ70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7">
        <f>IFERROR(PV_DATA[[#This Row],[ODP ETA Port]]+PV_DATA[[#This Row],[Customs/Leg3 Assumption]],"n/a")</f>
        <v>46280.251446759263</v>
      </c>
      <c r="BB704" s="433">
        <f>YEAR(PV_DATA[[#This Row],[ETA for New Ark update]])</f>
        <v>2026</v>
      </c>
      <c r="BC704" s="430">
        <f>MONTH(PV_DATA[[#This Row],[ETA for New Ark update]])</f>
        <v>9</v>
      </c>
      <c r="BD704" s="430">
        <f>IFERROR(_xlfn.ISOWEEKNUM(PV_DATA[[#This Row],[ETA for New Ark update]]),0)</f>
        <v>38</v>
      </c>
      <c r="BE704" s="430">
        <f>_xlfn.XLOOKUP(PV_DATA[[#This Row],[New Ark SKU]],Table9[New Ark SKU],Table9[Total PCS per Pallet],,0)</f>
        <v>36</v>
      </c>
      <c r="BF704" s="430">
        <f>_xlfn.XLOOKUP(PV_DATA[[#This Row],[New Ark SKU]],Table9[New Ark SKU],Table9[Total PCS per 40HQ Container],,0)</f>
        <v>792</v>
      </c>
      <c r="BG704" s="431" t="str">
        <f>_xlfn.XLOOKUP(PV_DATA[[#This Row],[New Ark SKU]],Table9[New Ark SKU],Table9[Back Glass],,0)</f>
        <v>Black glazing</v>
      </c>
      <c r="BH704" s="430" t="str">
        <f>_xlfn.XLOOKUP(PV_DATA[[#This Row],[PORT DESTINATION]],Table12[PORT DESTINATION],Table12[Cosco Line],,0)</f>
        <v>AEM</v>
      </c>
      <c r="BJ704" s="430"/>
    </row>
    <row r="705" spans="1:62" s="450" customFormat="1" ht="10.5">
      <c r="A705" s="446" t="s">
        <v>5333</v>
      </c>
      <c r="B705" s="446" t="s">
        <v>111</v>
      </c>
      <c r="C705" s="446" t="str">
        <f>IFERROR(LEFT(PV_DATA[[#This Row],[TCL REFERENCE]],FIND(".",PV_DATA[[#This Row],[TCL REFERENCE]],1)-1),"Main Line")</f>
        <v>26Jul013</v>
      </c>
      <c r="D705" s="446" t="s">
        <v>63</v>
      </c>
      <c r="E705" s="446" t="s">
        <v>64</v>
      </c>
      <c r="F705" s="446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6" t="s">
        <v>402</v>
      </c>
      <c r="H705" s="446" t="s">
        <v>115</v>
      </c>
      <c r="I705" s="439" t="s">
        <v>689</v>
      </c>
      <c r="J705" s="450" t="s">
        <v>5334</v>
      </c>
      <c r="K705" s="537" t="s">
        <v>5335</v>
      </c>
      <c r="L705" s="537">
        <v>1</v>
      </c>
      <c r="M705" s="450" t="s">
        <v>840</v>
      </c>
      <c r="N705" s="451">
        <v>46202</v>
      </c>
      <c r="O705" s="450" t="s">
        <v>5336</v>
      </c>
      <c r="P705" s="450" t="s">
        <v>5337</v>
      </c>
      <c r="Q705" s="450" t="s">
        <v>5338</v>
      </c>
      <c r="R705" s="450" t="str">
        <f>_xlfn.XLOOKUP(PV_DATA[[#This Row],[New Ark SKU]],Table9[New Ark SKU],Table9[Connector],,0)</f>
        <v>EVO2A</v>
      </c>
      <c r="S705" s="452" t="str">
        <f>_xlfn.XLOOKUP(PV_DATA[[#This Row],[New Ark SKU]],Table9[New Ark SKU],Table9[Cable],,0)</f>
        <v>±1400mm</v>
      </c>
      <c r="T705" s="452">
        <v>580</v>
      </c>
      <c r="U705" s="1089">
        <f>720*5</f>
        <v>3600</v>
      </c>
      <c r="V705" s="453">
        <f>PV_DATA[[#This Row],[QUANTITY]]*PV_DATA[[#This Row],[WATT]]/1000000</f>
        <v>2.0880000000000001</v>
      </c>
      <c r="W705" s="454">
        <f>PV_DATA[[#This Row],[QUANTITY]]/PV_DATA[[#This Row],[Qty/Pallet]]</f>
        <v>100</v>
      </c>
      <c r="X705" s="1045">
        <f>PV_DATA[[#This Row],[QUANTITY]]/PV_DATA[[#This Row],[Qty/CT]]</f>
        <v>5</v>
      </c>
      <c r="Y705" s="450" t="s">
        <v>2458</v>
      </c>
      <c r="Z705" s="430" t="str">
        <f t="shared" si="8"/>
        <v>COMPLETED</v>
      </c>
      <c r="AA705" s="450" t="s">
        <v>5339</v>
      </c>
      <c r="AB705" s="455">
        <v>46207</v>
      </c>
      <c r="AC705" s="471">
        <f>IF(PV_DATA[[#This Row],[Pick- Up Date]]&lt;&gt;"",_xlfn.ISOWEEKNUM(PV_DATA[[#This Row],[Pick- Up Date]]),"")</f>
        <v>27</v>
      </c>
      <c r="AD705" s="450" t="s">
        <v>5340</v>
      </c>
      <c r="AF705" s="450" t="s">
        <v>122</v>
      </c>
      <c r="AG705" s="450" t="s">
        <v>123</v>
      </c>
      <c r="AH705" s="450" t="s">
        <v>124</v>
      </c>
      <c r="AI705" s="455">
        <v>46217</v>
      </c>
      <c r="AJ705" s="455">
        <v>46217</v>
      </c>
      <c r="AK705" s="455">
        <v>46217</v>
      </c>
      <c r="AL705" s="455">
        <v>46254</v>
      </c>
      <c r="AM705" s="587">
        <f>IFERROR(VLOOKUP(AT705, Vessel!A:H, 8, FALSE), "")</f>
        <v>46267.791666666664</v>
      </c>
      <c r="AN705" s="587">
        <f>IFERROR(IF(VLOOKUP(AT705,Vessel!A:I,9,FALSE)=0,"",VLOOKUP(AT705,Vessel!A:I,9,FALSE)),"")</f>
        <v>46268.28087962963</v>
      </c>
      <c r="AP705" s="450" t="s">
        <v>5341</v>
      </c>
      <c r="AQ705" s="450" t="s">
        <v>80</v>
      </c>
      <c r="AR705" s="450" t="s">
        <v>5342</v>
      </c>
      <c r="AS705" s="450" t="s">
        <v>5343</v>
      </c>
      <c r="AT705" s="450" t="s">
        <v>5343</v>
      </c>
      <c r="AU7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51.280879629630363</v>
      </c>
      <c r="AW705" s="455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46268.28087962963</v>
      </c>
      <c r="AX705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5">
        <f>IF(ISERROR(PV_DATA[[#This Row],[New Ark PO status]]),"",_xlfn.XLOOKUP(PV_DATA[[#This Row],[SPTN-PVHK New Ark PO'#]],New_Ark_Data[Purchase order Number],New_Ark_Data[Estimated time of arrival],"",0))</f>
        <v>46267</v>
      </c>
      <c r="AZ70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5">
        <f>IFERROR(PV_DATA[[#This Row],[ODP ETA Port]]+PV_DATA[[#This Row],[Customs/Leg3 Assumption]],"n/a")</f>
        <v>46277.28087962963</v>
      </c>
      <c r="BB705" s="452">
        <f>YEAR(PV_DATA[[#This Row],[ETA for New Ark update]])</f>
        <v>2026</v>
      </c>
      <c r="BC705" s="450">
        <f>MONTH(PV_DATA[[#This Row],[ETA for New Ark update]])</f>
        <v>9</v>
      </c>
      <c r="BD705" s="450">
        <f>IFERROR(_xlfn.ISOWEEKNUM(PV_DATA[[#This Row],[ETA for New Ark update]]),0)</f>
        <v>37</v>
      </c>
      <c r="BE705" s="450">
        <f>_xlfn.XLOOKUP(PV_DATA[[#This Row],[New Ark SKU]],Table9[New Ark SKU],Table9[Total PCS per Pallet],,0)</f>
        <v>36</v>
      </c>
      <c r="BF705" s="450">
        <f>_xlfn.XLOOKUP(PV_DATA[[#This Row],[New Ark SKU]],Table9[New Ark SKU],Table9[Total PCS per 40HQ Container],,0)</f>
        <v>720</v>
      </c>
      <c r="BG705" s="450" t="str">
        <f>_xlfn.XLOOKUP(PV_DATA[[#This Row],[New Ark SKU]],Table9[New Ark SKU],Table9[Back Glass],,0)</f>
        <v>Transparent</v>
      </c>
      <c r="BH705" s="450" t="str">
        <f>_xlfn.XLOOKUP(PV_DATA[[#This Row],[PORT DESTINATION]],Table12[PORT DESTINATION],Table12[Cosco Line],,0)</f>
        <v>AEM</v>
      </c>
    </row>
    <row r="706" spans="1:62" ht="10.5">
      <c r="A706" s="462" t="s">
        <v>5344</v>
      </c>
      <c r="B706" s="462" t="s">
        <v>61</v>
      </c>
      <c r="C706" s="462" t="str">
        <f>IFERROR(LEFT(PV_DATA[[#This Row],[TCL REFERENCE]],FIND(".",PV_DATA[[#This Row],[TCL REFERENCE]],1)-1),"Main Line")</f>
        <v>26Jun022</v>
      </c>
      <c r="D706" s="462" t="s">
        <v>63</v>
      </c>
      <c r="E706" s="462" t="s">
        <v>64</v>
      </c>
      <c r="F706" s="462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2" t="s">
        <v>402</v>
      </c>
      <c r="H706" s="462" t="s">
        <v>311</v>
      </c>
      <c r="I706" s="462" t="s">
        <v>689</v>
      </c>
      <c r="J706" s="430" t="s">
        <v>96</v>
      </c>
      <c r="K706" s="430"/>
      <c r="L706" s="430"/>
      <c r="M706" s="430" t="s">
        <v>68</v>
      </c>
      <c r="N706" s="432">
        <v>46202</v>
      </c>
      <c r="O706" s="430" t="s">
        <v>284</v>
      </c>
      <c r="P706" s="462" t="s">
        <v>5345</v>
      </c>
      <c r="Q706" s="430" t="s">
        <v>5346</v>
      </c>
      <c r="R706" s="430" t="str">
        <f>_xlfn.XLOOKUP(PV_DATA[[#This Row],[New Ark SKU]],Table9[New Ark SKU],Table9[Connector],,0)</f>
        <v>EVO2A</v>
      </c>
      <c r="S706" s="442" t="str">
        <f>_xlfn.XLOOKUP(PV_DATA[[#This Row],[New Ark SKU]],Table9[New Ark SKU],Table9[Cable],,0)</f>
        <v>±1400mm</v>
      </c>
      <c r="T706" s="433">
        <v>655</v>
      </c>
      <c r="U706" s="1088">
        <f>720*1</f>
        <v>720</v>
      </c>
      <c r="V706" s="434">
        <f>PV_DATA[[#This Row],[QUANTITY]]*PV_DATA[[#This Row],[WATT]]/1000000</f>
        <v>0.47160000000000002</v>
      </c>
      <c r="W706" s="435">
        <f>PV_DATA[[#This Row],[QUANTITY]]/PV_DATA[[#This Row],[Qty/Pallet]]</f>
        <v>20</v>
      </c>
      <c r="X706" s="1040">
        <f>PV_DATA[[#This Row],[QUANTITY]]/PV_DATA[[#This Row],[Qty/CT]]</f>
        <v>1</v>
      </c>
      <c r="Y706" s="430" t="s">
        <v>2458</v>
      </c>
      <c r="Z706" s="430" t="str">
        <f t="shared" si="8"/>
        <v>COMPLETED</v>
      </c>
      <c r="AA706" s="430" t="s">
        <v>5347</v>
      </c>
      <c r="AB706" s="437">
        <v>46206</v>
      </c>
      <c r="AC706" s="485">
        <f>IF(PV_DATA[[#This Row],[Pick- Up Date]]&lt;&gt;"",_xlfn.ISOWEEKNUM(PV_DATA[[#This Row],[Pick- Up Date]]),"")</f>
        <v>27</v>
      </c>
      <c r="AD706" s="430" t="s">
        <v>5348</v>
      </c>
      <c r="AE706" s="430"/>
      <c r="AF706" s="430" t="s">
        <v>61</v>
      </c>
      <c r="AG706" s="430" t="s">
        <v>61</v>
      </c>
      <c r="AH706" s="430" t="s">
        <v>1561</v>
      </c>
      <c r="AI706" s="437">
        <v>46212</v>
      </c>
      <c r="AJ706" s="437">
        <v>46213</v>
      </c>
      <c r="AK706" s="437">
        <v>46213</v>
      </c>
      <c r="AL706" s="437">
        <v>46283</v>
      </c>
      <c r="AM706" s="618">
        <f>IFERROR(VLOOKUP(AT706, Vessel!A:H, 8, FALSE), "")</f>
        <v>46300.75</v>
      </c>
      <c r="AN706" s="586">
        <v>46299</v>
      </c>
      <c r="AP706" s="430" t="s">
        <v>5349</v>
      </c>
      <c r="AQ706" s="438" t="s">
        <v>80</v>
      </c>
      <c r="AR706" s="430" t="s">
        <v>5350</v>
      </c>
      <c r="AS706" s="430" t="s">
        <v>5351</v>
      </c>
      <c r="AT706" s="430" t="s">
        <v>5351</v>
      </c>
      <c r="AU7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706" s="437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7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7">
        <f>IF(ISERROR(PV_DATA[[#This Row],[New Ark PO status]]),"",_xlfn.XLOOKUP(PV_DATA[[#This Row],[SPTN-PVHK New Ark PO'#]],New_Ark_Data[Purchase order Number],New_Ark_Data[Estimated time of arrival],"",0))</f>
        <v>46307</v>
      </c>
      <c r="AZ706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06" s="437">
        <f>IFERROR(PV_DATA[[#This Row],[ODP ETA Port]]+PV_DATA[[#This Row],[Customs/Leg3 Assumption]],"n/a")</f>
        <v>46309</v>
      </c>
      <c r="BB706" s="433">
        <f>YEAR(PV_DATA[[#This Row],[ETA for New Ark update]])</f>
        <v>2026</v>
      </c>
      <c r="BC706" s="430">
        <f>MONTH(PV_DATA[[#This Row],[ETA for New Ark update]])</f>
        <v>10</v>
      </c>
      <c r="BD706" s="430">
        <f>IFERROR(_xlfn.ISOWEEKNUM(PV_DATA[[#This Row],[ETA for New Ark update]]),0)</f>
        <v>42</v>
      </c>
      <c r="BE706" s="430">
        <f>_xlfn.XLOOKUP(PV_DATA[[#This Row],[New Ark SKU]],Table9[New Ark SKU],Table9[Total PCS per Pallet],,0)</f>
        <v>36</v>
      </c>
      <c r="BF706" s="430">
        <f>_xlfn.XLOOKUP(PV_DATA[[#This Row],[New Ark SKU]],Table9[New Ark SKU],Table9[Total PCS per 40HQ Container],,0)</f>
        <v>720</v>
      </c>
      <c r="BG706" s="431" t="str">
        <f>_xlfn.XLOOKUP(PV_DATA[[#This Row],[New Ark SKU]],Table9[New Ark SKU],Table9[Back Glass],,0)</f>
        <v>White glazing</v>
      </c>
      <c r="BH706" s="430" t="str">
        <f>_xlfn.XLOOKUP(PV_DATA[[#This Row],[PORT DESTINATION]],Table12[PORT DESTINATION],Table12[Cosco Line],,0)</f>
        <v>AEM</v>
      </c>
      <c r="BJ706" s="430"/>
    </row>
    <row r="707" spans="1:62" ht="10.5">
      <c r="A707" s="462" t="s">
        <v>5352</v>
      </c>
      <c r="B707" s="462" t="s">
        <v>61</v>
      </c>
      <c r="C707" s="462" t="str">
        <f>IFERROR(LEFT(PV_DATA[[#This Row],[TCL REFERENCE]],FIND(".",PV_DATA[[#This Row],[TCL REFERENCE]],1)-1),"Main Line")</f>
        <v>26Jun013</v>
      </c>
      <c r="D707" s="462" t="s">
        <v>63</v>
      </c>
      <c r="E707" s="462" t="s">
        <v>144</v>
      </c>
      <c r="F707" s="462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2" t="s">
        <v>402</v>
      </c>
      <c r="H707" s="462" t="s">
        <v>2382</v>
      </c>
      <c r="I707" s="462" t="s">
        <v>1395</v>
      </c>
      <c r="J707" s="430" t="s">
        <v>2382</v>
      </c>
      <c r="K707" s="430" t="s">
        <v>5353</v>
      </c>
      <c r="L707" s="430">
        <v>1</v>
      </c>
      <c r="M707" s="430" t="s">
        <v>4967</v>
      </c>
      <c r="N707" s="432">
        <v>46209</v>
      </c>
      <c r="O707" s="430" t="s">
        <v>4531</v>
      </c>
      <c r="P707" s="430" t="s">
        <v>706</v>
      </c>
      <c r="Q707" s="430" t="s">
        <v>707</v>
      </c>
      <c r="R707" s="430" t="str">
        <f>_xlfn.XLOOKUP(PV_DATA[[#This Row],[New Ark SKU]],Table9[New Ark SKU],Table9[Connector],,0)</f>
        <v>EVO2A</v>
      </c>
      <c r="S707" s="442" t="str">
        <f>_xlfn.XLOOKUP(PV_DATA[[#This Row],[New Ark SKU]],Table9[New Ark SKU],Table9[Cable],,0)</f>
        <v>±1200mm</v>
      </c>
      <c r="T707" s="433">
        <v>500</v>
      </c>
      <c r="U707" s="1088">
        <f>864*3</f>
        <v>2592</v>
      </c>
      <c r="V707" s="434">
        <f>PV_DATA[[#This Row],[QUANTITY]]*PV_DATA[[#This Row],[WATT]]/1000000</f>
        <v>1.296</v>
      </c>
      <c r="W707" s="435">
        <f>PV_DATA[[#This Row],[QUANTITY]]/PV_DATA[[#This Row],[Qty/Pallet]]</f>
        <v>72</v>
      </c>
      <c r="X707" s="1040">
        <f>PV_DATA[[#This Row],[QUANTITY]]/PV_DATA[[#This Row],[Qty/CT]]</f>
        <v>3</v>
      </c>
      <c r="Y707" s="430" t="s">
        <v>2457</v>
      </c>
      <c r="Z707" s="430" t="str">
        <f t="shared" si="8"/>
        <v>COMPLETED</v>
      </c>
      <c r="AA707" s="430"/>
      <c r="AB707" s="437">
        <v>46206</v>
      </c>
      <c r="AC707" s="485">
        <f>IF(PV_DATA[[#This Row],[Pick- Up Date]]&lt;&gt;"",_xlfn.ISOWEEKNUM(PV_DATA[[#This Row],[Pick- Up Date]]),"")</f>
        <v>27</v>
      </c>
      <c r="AD707" s="430" t="s">
        <v>5354</v>
      </c>
      <c r="AE707" s="430"/>
      <c r="AF707" s="430" t="s">
        <v>61</v>
      </c>
      <c r="AG707" s="430" t="s">
        <v>61</v>
      </c>
      <c r="AH707" s="430" t="s">
        <v>78</v>
      </c>
      <c r="AI707" s="437">
        <v>46212</v>
      </c>
      <c r="AJ707" s="437">
        <v>46213</v>
      </c>
      <c r="AK707" s="437">
        <v>46213</v>
      </c>
      <c r="AL707" s="437">
        <v>46279</v>
      </c>
      <c r="AM707" s="586">
        <f>IFERROR(VLOOKUP(AT707, Vessel!A:H, 8, FALSE), "")</f>
        <v>46285.041666666664</v>
      </c>
      <c r="AN707" s="586">
        <f>IFERROR(IF(VLOOKUP(AT707,Vessel!A:I,9,FALSE)=0,"",VLOOKUP(AT707,Vessel!A:I,9,FALSE)),"")</f>
        <v>46284.921701388892</v>
      </c>
      <c r="AP707" s="430" t="s">
        <v>5349</v>
      </c>
      <c r="AQ707" s="438" t="s">
        <v>80</v>
      </c>
      <c r="AR707" s="430" t="s">
        <v>5355</v>
      </c>
      <c r="AS707" s="430" t="s">
        <v>5356</v>
      </c>
      <c r="AT707" s="430" t="s">
        <v>5356</v>
      </c>
      <c r="AU7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71.921701388891961</v>
      </c>
      <c r="AV707" s="437"/>
      <c r="AW707" s="437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7">
        <f>IF(ISERROR(PV_DATA[[#This Row],[New Ark PO status]]),"",_xlfn.XLOOKUP(PV_DATA[[#This Row],[SPTN-PVHK New Ark PO'#]],New_Ark_Data[Purchase order Number],New_Ark_Data[Estimated time of arrival],"",0))</f>
        <v>46279</v>
      </c>
      <c r="AZ70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7">
        <f>IFERROR(PV_DATA[[#This Row],[ODP ETA Port]]+PV_DATA[[#This Row],[Customs/Leg3 Assumption]],"n/a")</f>
        <v>46284.921701388892</v>
      </c>
      <c r="BB707" s="433">
        <f>YEAR(PV_DATA[[#This Row],[ETA for New Ark update]])</f>
        <v>2026</v>
      </c>
      <c r="BC707" s="430">
        <f>MONTH(PV_DATA[[#This Row],[ETA for New Ark update]])</f>
        <v>9</v>
      </c>
      <c r="BD707" s="430">
        <f>IFERROR(_xlfn.ISOWEEKNUM(PV_DATA[[#This Row],[ETA for New Ark update]]),0)</f>
        <v>38</v>
      </c>
      <c r="BE707" s="430">
        <f>_xlfn.XLOOKUP(PV_DATA[[#This Row],[New Ark SKU]],Table9[New Ark SKU],Table9[Total PCS per Pallet],,0)</f>
        <v>36</v>
      </c>
      <c r="BF707" s="430">
        <f>_xlfn.XLOOKUP(PV_DATA[[#This Row],[New Ark SKU]],Table9[New Ark SKU],Table9[Total PCS per 40HQ Container],,0)</f>
        <v>864</v>
      </c>
      <c r="BG707" s="431" t="str">
        <f>_xlfn.XLOOKUP(PV_DATA[[#This Row],[New Ark SKU]],Table9[New Ark SKU],Table9[Back Glass],,0)</f>
        <v>Black glazing</v>
      </c>
      <c r="BH707" s="430" t="str">
        <f>_xlfn.XLOOKUP(PV_DATA[[#This Row],[PORT DESTINATION]],Table12[PORT DESTINATION],Table12[Cosco Line],,0)</f>
        <v>AEM</v>
      </c>
      <c r="BJ707" s="430"/>
    </row>
    <row r="708" spans="1:62" ht="10.5">
      <c r="A708" s="462" t="s">
        <v>5357</v>
      </c>
      <c r="B708" s="462" t="s">
        <v>61</v>
      </c>
      <c r="C708" s="462" t="str">
        <f>IFERROR(LEFT(PV_DATA[[#This Row],[TCL REFERENCE]],FIND(".",PV_DATA[[#This Row],[TCL REFERENCE]],1)-1),"Main Line")</f>
        <v>26Jun013</v>
      </c>
      <c r="D708" s="462" t="s">
        <v>63</v>
      </c>
      <c r="E708" s="462" t="s">
        <v>144</v>
      </c>
      <c r="F708" s="462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2" t="s">
        <v>146</v>
      </c>
      <c r="H708" s="462" t="s">
        <v>2716</v>
      </c>
      <c r="I708" s="462" t="s">
        <v>689</v>
      </c>
      <c r="J708" s="430" t="s">
        <v>5319</v>
      </c>
      <c r="K708" s="430" t="s">
        <v>5358</v>
      </c>
      <c r="L708" s="430">
        <v>1</v>
      </c>
      <c r="M708" s="430" t="s">
        <v>840</v>
      </c>
      <c r="N708" s="432">
        <v>46209</v>
      </c>
      <c r="O708" s="430" t="s">
        <v>4531</v>
      </c>
      <c r="P708" s="430" t="s">
        <v>706</v>
      </c>
      <c r="Q708" s="430" t="s">
        <v>707</v>
      </c>
      <c r="R708" s="430" t="str">
        <f>_xlfn.XLOOKUP(PV_DATA[[#This Row],[New Ark SKU]],Table9[New Ark SKU],Table9[Connector],,0)</f>
        <v>EVO2A</v>
      </c>
      <c r="S708" s="442" t="str">
        <f>_xlfn.XLOOKUP(PV_DATA[[#This Row],[New Ark SKU]],Table9[New Ark SKU],Table9[Cable],,0)</f>
        <v>±1200mm</v>
      </c>
      <c r="T708" s="433">
        <v>500</v>
      </c>
      <c r="U708" s="1088">
        <v>864</v>
      </c>
      <c r="V708" s="434">
        <f>PV_DATA[[#This Row],[QUANTITY]]*PV_DATA[[#This Row],[WATT]]/1000000</f>
        <v>0.432</v>
      </c>
      <c r="W708" s="435">
        <f>PV_DATA[[#This Row],[QUANTITY]]/PV_DATA[[#This Row],[Qty/Pallet]]</f>
        <v>24</v>
      </c>
      <c r="X708" s="1040">
        <f>PV_DATA[[#This Row],[QUANTITY]]/PV_DATA[[#This Row],[Qty/CT]]</f>
        <v>1</v>
      </c>
      <c r="Y708" s="430" t="s">
        <v>2457</v>
      </c>
      <c r="Z708" s="430" t="str">
        <f t="shared" si="8"/>
        <v>COMPLETED</v>
      </c>
      <c r="AA708" s="430"/>
      <c r="AB708" s="437">
        <v>46206</v>
      </c>
      <c r="AC708" s="485">
        <f>IF(PV_DATA[[#This Row],[Pick- Up Date]]&lt;&gt;"",_xlfn.ISOWEEKNUM(PV_DATA[[#This Row],[Pick- Up Date]]),"")</f>
        <v>27</v>
      </c>
      <c r="AD708" s="430" t="s">
        <v>5359</v>
      </c>
      <c r="AE708" s="430"/>
      <c r="AF708" s="430" t="s">
        <v>77</v>
      </c>
      <c r="AG708" s="430" t="s">
        <v>61</v>
      </c>
      <c r="AH708" s="430" t="s">
        <v>78</v>
      </c>
      <c r="AI708" s="437">
        <v>46212</v>
      </c>
      <c r="AJ708" s="437">
        <v>46213</v>
      </c>
      <c r="AK708" s="437">
        <v>46213</v>
      </c>
      <c r="AL708" s="437">
        <v>46279</v>
      </c>
      <c r="AM708" s="586">
        <f>IFERROR(VLOOKUP(AT708, Vessel!A:H, 8, FALSE), "")</f>
        <v>46285.041666666664</v>
      </c>
      <c r="AN708" s="586">
        <f>IFERROR(IF(VLOOKUP(AT708,Vessel!A:I,9,FALSE)=0,"",VLOOKUP(AT708,Vessel!A:I,9,FALSE)),"")</f>
        <v>46284.921701388892</v>
      </c>
      <c r="AP708" s="430" t="s">
        <v>5349</v>
      </c>
      <c r="AQ708" s="438" t="s">
        <v>80</v>
      </c>
      <c r="AR708" s="430" t="s">
        <v>5360</v>
      </c>
      <c r="AS708" s="430" t="s">
        <v>5361</v>
      </c>
      <c r="AT708" s="430" t="s">
        <v>5361</v>
      </c>
      <c r="AU7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71.921701388891961</v>
      </c>
      <c r="AV708" s="437"/>
      <c r="AW708" s="437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7">
        <f>IF(ISERROR(PV_DATA[[#This Row],[New Ark PO status]]),"",_xlfn.XLOOKUP(PV_DATA[[#This Row],[SPTN-PVHK New Ark PO'#]],New_Ark_Data[Purchase order Number],New_Ark_Data[Estimated time of arrival],"",0))</f>
        <v>46279</v>
      </c>
      <c r="AZ70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7">
        <f>IFERROR(PV_DATA[[#This Row],[ODP ETA Port]]+PV_DATA[[#This Row],[Customs/Leg3 Assumption]],"n/a")</f>
        <v>46284.921701388892</v>
      </c>
      <c r="BB708" s="433">
        <f>YEAR(PV_DATA[[#This Row],[ETA for New Ark update]])</f>
        <v>2026</v>
      </c>
      <c r="BC708" s="430">
        <f>MONTH(PV_DATA[[#This Row],[ETA for New Ark update]])</f>
        <v>9</v>
      </c>
      <c r="BD708" s="430">
        <f>IFERROR(_xlfn.ISOWEEKNUM(PV_DATA[[#This Row],[ETA for New Ark update]]),0)</f>
        <v>38</v>
      </c>
      <c r="BE708" s="430">
        <f>_xlfn.XLOOKUP(PV_DATA[[#This Row],[New Ark SKU]],Table9[New Ark SKU],Table9[Total PCS per Pallet],,0)</f>
        <v>36</v>
      </c>
      <c r="BF708" s="430">
        <f>_xlfn.XLOOKUP(PV_DATA[[#This Row],[New Ark SKU]],Table9[New Ark SKU],Table9[Total PCS per 40HQ Container],,0)</f>
        <v>864</v>
      </c>
      <c r="BG708" s="431" t="str">
        <f>_xlfn.XLOOKUP(PV_DATA[[#This Row],[New Ark SKU]],Table9[New Ark SKU],Table9[Back Glass],,0)</f>
        <v>Black glazing</v>
      </c>
      <c r="BH708" s="430" t="str">
        <f>_xlfn.XLOOKUP(PV_DATA[[#This Row],[PORT DESTINATION]],Table12[PORT DESTINATION],Table12[Cosco Line],,0)</f>
        <v>AEM</v>
      </c>
      <c r="BJ708" s="430"/>
    </row>
    <row r="709" spans="1:62" ht="10.5">
      <c r="A709" s="462" t="s">
        <v>5362</v>
      </c>
      <c r="B709" s="462" t="s">
        <v>61</v>
      </c>
      <c r="C709" s="462" t="str">
        <f>IFERROR(LEFT(PV_DATA[[#This Row],[TCL REFERENCE]],FIND(".",PV_DATA[[#This Row],[TCL REFERENCE]],1)-1),"Main Line")</f>
        <v>26Jun013</v>
      </c>
      <c r="D709" s="462" t="s">
        <v>63</v>
      </c>
      <c r="E709" s="462" t="s">
        <v>144</v>
      </c>
      <c r="F709" s="462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2" t="s">
        <v>146</v>
      </c>
      <c r="H709" s="462" t="s">
        <v>2716</v>
      </c>
      <c r="I709" s="462" t="s">
        <v>689</v>
      </c>
      <c r="J709" s="430" t="s">
        <v>5319</v>
      </c>
      <c r="K709" s="430" t="s">
        <v>5363</v>
      </c>
      <c r="L709" s="430" t="s">
        <v>5321</v>
      </c>
      <c r="M709" s="430" t="s">
        <v>840</v>
      </c>
      <c r="N709" s="432">
        <v>46209</v>
      </c>
      <c r="O709" s="430" t="s">
        <v>4531</v>
      </c>
      <c r="P709" s="430" t="s">
        <v>706</v>
      </c>
      <c r="Q709" s="430" t="s">
        <v>707</v>
      </c>
      <c r="R709" s="430" t="str">
        <f>_xlfn.XLOOKUP(PV_DATA[[#This Row],[New Ark SKU]],Table9[New Ark SKU],Table9[Connector],,0)</f>
        <v>EVO2A</v>
      </c>
      <c r="S709" s="442" t="str">
        <f>_xlfn.XLOOKUP(PV_DATA[[#This Row],[New Ark SKU]],Table9[New Ark SKU],Table9[Cable],,0)</f>
        <v>±1200mm</v>
      </c>
      <c r="T709" s="433">
        <v>500</v>
      </c>
      <c r="U709" s="1088">
        <v>864</v>
      </c>
      <c r="V709" s="434">
        <f>PV_DATA[[#This Row],[QUANTITY]]*PV_DATA[[#This Row],[WATT]]/1000000</f>
        <v>0.432</v>
      </c>
      <c r="W709" s="435">
        <f>PV_DATA[[#This Row],[QUANTITY]]/PV_DATA[[#This Row],[Qty/Pallet]]</f>
        <v>24</v>
      </c>
      <c r="X709" s="1040">
        <f>PV_DATA[[#This Row],[QUANTITY]]/PV_DATA[[#This Row],[Qty/CT]]</f>
        <v>1</v>
      </c>
      <c r="Y709" s="430" t="s">
        <v>2457</v>
      </c>
      <c r="Z709" s="430" t="str">
        <f t="shared" si="8"/>
        <v>COMPLETED</v>
      </c>
      <c r="AA709" s="430"/>
      <c r="AB709" s="437">
        <v>46206</v>
      </c>
      <c r="AC709" s="485">
        <f>IF(PV_DATA[[#This Row],[Pick- Up Date]]&lt;&gt;"",_xlfn.ISOWEEKNUM(PV_DATA[[#This Row],[Pick- Up Date]]),"")</f>
        <v>27</v>
      </c>
      <c r="AD709" s="430" t="s">
        <v>5364</v>
      </c>
      <c r="AE709" s="430"/>
      <c r="AF709" s="430" t="s">
        <v>61</v>
      </c>
      <c r="AG709" s="430" t="s">
        <v>61</v>
      </c>
      <c r="AH709" s="430" t="s">
        <v>78</v>
      </c>
      <c r="AI709" s="437">
        <v>46212</v>
      </c>
      <c r="AJ709" s="437">
        <v>46213</v>
      </c>
      <c r="AK709" s="437">
        <v>46213</v>
      </c>
      <c r="AL709" s="437">
        <v>46274</v>
      </c>
      <c r="AM709" s="586">
        <f>IFERROR(VLOOKUP(AT709, Vessel!A:H, 8, FALSE), "")</f>
        <v>46290.25</v>
      </c>
      <c r="AN709" s="586">
        <f>IFERROR(IF(VLOOKUP(AT709,Vessel!A:I,9,FALSE)=0,"",VLOOKUP(AT709,Vessel!A:I,9,FALSE)),"")</f>
        <v>46290.232800925929</v>
      </c>
      <c r="AP709" s="430" t="s">
        <v>5349</v>
      </c>
      <c r="AQ709" s="438" t="s">
        <v>80</v>
      </c>
      <c r="AR709" s="430" t="s">
        <v>5365</v>
      </c>
      <c r="AS709" s="430" t="s">
        <v>5366</v>
      </c>
      <c r="AT709" s="430" t="s">
        <v>5366</v>
      </c>
      <c r="AU7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77.232800925929041</v>
      </c>
      <c r="AV709" s="437"/>
      <c r="AW709" s="437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7">
        <f>IF(ISERROR(PV_DATA[[#This Row],[New Ark PO status]]),"",_xlfn.XLOOKUP(PV_DATA[[#This Row],[SPTN-PVHK New Ark PO'#]],New_Ark_Data[Purchase order Number],New_Ark_Data[Estimated time of arrival],"",0))</f>
        <v>46274</v>
      </c>
      <c r="AZ70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7">
        <f>IFERROR(PV_DATA[[#This Row],[ODP ETA Port]]+PV_DATA[[#This Row],[Customs/Leg3 Assumption]],"n/a")</f>
        <v>46290.232800925929</v>
      </c>
      <c r="BB709" s="433">
        <f>YEAR(PV_DATA[[#This Row],[ETA for New Ark update]])</f>
        <v>2026</v>
      </c>
      <c r="BC709" s="430">
        <f>MONTH(PV_DATA[[#This Row],[ETA for New Ark update]])</f>
        <v>9</v>
      </c>
      <c r="BD709" s="430">
        <f>IFERROR(_xlfn.ISOWEEKNUM(PV_DATA[[#This Row],[ETA for New Ark update]]),0)</f>
        <v>39</v>
      </c>
      <c r="BE709" s="430">
        <f>_xlfn.XLOOKUP(PV_DATA[[#This Row],[New Ark SKU]],Table9[New Ark SKU],Table9[Total PCS per Pallet],,0)</f>
        <v>36</v>
      </c>
      <c r="BF709" s="430">
        <f>_xlfn.XLOOKUP(PV_DATA[[#This Row],[New Ark SKU]],Table9[New Ark SKU],Table9[Total PCS per 40HQ Container],,0)</f>
        <v>864</v>
      </c>
      <c r="BG709" s="431" t="str">
        <f>_xlfn.XLOOKUP(PV_DATA[[#This Row],[New Ark SKU]],Table9[New Ark SKU],Table9[Back Glass],,0)</f>
        <v>Black glazing</v>
      </c>
      <c r="BH709" s="430" t="str">
        <f>_xlfn.XLOOKUP(PV_DATA[[#This Row],[PORT DESTINATION]],Table12[PORT DESTINATION],Table12[Cosco Line],,0)</f>
        <v>AEM</v>
      </c>
      <c r="BJ709" s="430"/>
    </row>
    <row r="710" spans="1:62" ht="10.5">
      <c r="A710" s="462" t="s">
        <v>5367</v>
      </c>
      <c r="B710" s="462" t="s">
        <v>61</v>
      </c>
      <c r="C710" s="462" t="str">
        <f>IFERROR(LEFT(PV_DATA[[#This Row],[TCL REFERENCE]],FIND(".",PV_DATA[[#This Row],[TCL REFERENCE]],1)-1),"Main Line")</f>
        <v>26Jun013</v>
      </c>
      <c r="D710" s="462" t="s">
        <v>63</v>
      </c>
      <c r="E710" s="462" t="s">
        <v>144</v>
      </c>
      <c r="F710" s="462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2" t="s">
        <v>146</v>
      </c>
      <c r="H710" s="462" t="s">
        <v>2716</v>
      </c>
      <c r="I710" s="462" t="s">
        <v>689</v>
      </c>
      <c r="J710" s="430" t="s">
        <v>5319</v>
      </c>
      <c r="K710" s="430" t="s">
        <v>5368</v>
      </c>
      <c r="L710" s="430" t="s">
        <v>5321</v>
      </c>
      <c r="M710" s="430" t="s">
        <v>840</v>
      </c>
      <c r="N710" s="432">
        <v>46209</v>
      </c>
      <c r="O710" s="430" t="s">
        <v>4531</v>
      </c>
      <c r="P710" s="430" t="s">
        <v>706</v>
      </c>
      <c r="Q710" s="430" t="s">
        <v>707</v>
      </c>
      <c r="R710" s="430" t="str">
        <f>_xlfn.XLOOKUP(PV_DATA[[#This Row],[New Ark SKU]],Table9[New Ark SKU],Table9[Connector],,0)</f>
        <v>EVO2A</v>
      </c>
      <c r="S710" s="442" t="str">
        <f>_xlfn.XLOOKUP(PV_DATA[[#This Row],[New Ark SKU]],Table9[New Ark SKU],Table9[Cable],,0)</f>
        <v>±1200mm</v>
      </c>
      <c r="T710" s="433">
        <v>500</v>
      </c>
      <c r="U710" s="1088">
        <v>864</v>
      </c>
      <c r="V710" s="434">
        <f>PV_DATA[[#This Row],[QUANTITY]]*PV_DATA[[#This Row],[WATT]]/1000000</f>
        <v>0.432</v>
      </c>
      <c r="W710" s="435">
        <f>PV_DATA[[#This Row],[QUANTITY]]/PV_DATA[[#This Row],[Qty/Pallet]]</f>
        <v>24</v>
      </c>
      <c r="X710" s="1040">
        <f>PV_DATA[[#This Row],[QUANTITY]]/PV_DATA[[#This Row],[Qty/CT]]</f>
        <v>1</v>
      </c>
      <c r="Y710" s="430" t="s">
        <v>2457</v>
      </c>
      <c r="Z710" s="430" t="str">
        <f t="shared" si="8"/>
        <v>COMPLETED</v>
      </c>
      <c r="AA710" s="430"/>
      <c r="AB710" s="437">
        <v>46206</v>
      </c>
      <c r="AC710" s="485">
        <f>IF(PV_DATA[[#This Row],[Pick- Up Date]]&lt;&gt;"",_xlfn.ISOWEEKNUM(PV_DATA[[#This Row],[Pick- Up Date]]),"")</f>
        <v>27</v>
      </c>
      <c r="AD710" s="430" t="s">
        <v>5369</v>
      </c>
      <c r="AE710" s="430"/>
      <c r="AF710" s="430" t="s">
        <v>77</v>
      </c>
      <c r="AG710" s="430" t="s">
        <v>61</v>
      </c>
      <c r="AH710" s="430" t="s">
        <v>78</v>
      </c>
      <c r="AI710" s="437">
        <v>46212</v>
      </c>
      <c r="AJ710" s="437">
        <v>46213</v>
      </c>
      <c r="AK710" s="437">
        <v>46213</v>
      </c>
      <c r="AL710" s="437">
        <v>46274</v>
      </c>
      <c r="AM710" s="586">
        <f>IFERROR(VLOOKUP(AT710, Vessel!A:H, 8, FALSE), "")</f>
        <v>46290.25</v>
      </c>
      <c r="AN710" s="586">
        <f>IFERROR(IF(VLOOKUP(AT710,Vessel!A:I,9,FALSE)=0,"",VLOOKUP(AT710,Vessel!A:I,9,FALSE)),"")</f>
        <v>46290.232800925929</v>
      </c>
      <c r="AP710" s="430" t="s">
        <v>5349</v>
      </c>
      <c r="AQ710" s="438" t="s">
        <v>80</v>
      </c>
      <c r="AR710" s="430" t="s">
        <v>5370</v>
      </c>
      <c r="AS710" s="430" t="s">
        <v>5371</v>
      </c>
      <c r="AT710" s="430" t="s">
        <v>5371</v>
      </c>
      <c r="AU7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77.232800925929041</v>
      </c>
      <c r="AV710" s="437"/>
      <c r="AW710" s="437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7">
        <f>IF(ISERROR(PV_DATA[[#This Row],[New Ark PO status]]),"",_xlfn.XLOOKUP(PV_DATA[[#This Row],[SPTN-PVHK New Ark PO'#]],New_Ark_Data[Purchase order Number],New_Ark_Data[Estimated time of arrival],"",0))</f>
        <v>46274</v>
      </c>
      <c r="AZ71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7">
        <f>IFERROR(PV_DATA[[#This Row],[ODP ETA Port]]+PV_DATA[[#This Row],[Customs/Leg3 Assumption]],"n/a")</f>
        <v>46290.232800925929</v>
      </c>
      <c r="BB710" s="433">
        <f>YEAR(PV_DATA[[#This Row],[ETA for New Ark update]])</f>
        <v>2026</v>
      </c>
      <c r="BC710" s="430">
        <f>MONTH(PV_DATA[[#This Row],[ETA for New Ark update]])</f>
        <v>9</v>
      </c>
      <c r="BD710" s="430">
        <f>IFERROR(_xlfn.ISOWEEKNUM(PV_DATA[[#This Row],[ETA for New Ark update]]),0)</f>
        <v>39</v>
      </c>
      <c r="BE710" s="430">
        <f>_xlfn.XLOOKUP(PV_DATA[[#This Row],[New Ark SKU]],Table9[New Ark SKU],Table9[Total PCS per Pallet],,0)</f>
        <v>36</v>
      </c>
      <c r="BF710" s="430">
        <f>_xlfn.XLOOKUP(PV_DATA[[#This Row],[New Ark SKU]],Table9[New Ark SKU],Table9[Total PCS per 40HQ Container],,0)</f>
        <v>864</v>
      </c>
      <c r="BG710" s="431" t="str">
        <f>_xlfn.XLOOKUP(PV_DATA[[#This Row],[New Ark SKU]],Table9[New Ark SKU],Table9[Back Glass],,0)</f>
        <v>Black glazing</v>
      </c>
      <c r="BH710" s="430" t="str">
        <f>_xlfn.XLOOKUP(PV_DATA[[#This Row],[PORT DESTINATION]],Table12[PORT DESTINATION],Table12[Cosco Line],,0)</f>
        <v>AEM</v>
      </c>
      <c r="BJ710" s="430"/>
    </row>
    <row r="711" spans="1:62" s="431" customFormat="1" ht="10.5">
      <c r="A711" s="439" t="s">
        <v>5372</v>
      </c>
      <c r="B711" s="439" t="s">
        <v>1757</v>
      </c>
      <c r="C711" s="439" t="str">
        <f>IFERROR(LEFT(PV_DATA[[#This Row],[TCL REFERENCE]],FIND(".",PV_DATA[[#This Row],[TCL REFERENCE]],1)-1),"Main Line")</f>
        <v>26Jun011</v>
      </c>
      <c r="D711" s="439" t="s">
        <v>63</v>
      </c>
      <c r="E711" s="439" t="s">
        <v>144</v>
      </c>
      <c r="F711" s="439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39" t="s">
        <v>402</v>
      </c>
      <c r="H711" s="439" t="s">
        <v>1029</v>
      </c>
      <c r="I711" s="439" t="s">
        <v>689</v>
      </c>
      <c r="J711" s="431" t="s">
        <v>5373</v>
      </c>
      <c r="K711" s="431" t="s">
        <v>4879</v>
      </c>
      <c r="L711" s="431">
        <v>5</v>
      </c>
      <c r="M711" s="431" t="s">
        <v>840</v>
      </c>
      <c r="N711" s="461">
        <v>46195</v>
      </c>
      <c r="O711" s="431" t="s">
        <v>4531</v>
      </c>
      <c r="P711" s="431" t="s">
        <v>71</v>
      </c>
      <c r="Q711" s="431" t="s">
        <v>72</v>
      </c>
      <c r="R711" s="431" t="str">
        <f>_xlfn.XLOOKUP(PV_DATA[[#This Row],[New Ark SKU]],Table9[New Ark SKU],Table9[Connector],,0)</f>
        <v>EVO2A</v>
      </c>
      <c r="S711" s="442" t="str">
        <f>_xlfn.XLOOKUP(PV_DATA[[#This Row],[New Ark SKU]],Table9[New Ark SKU],Table9[Cable],,0)</f>
        <v>±1200mm</v>
      </c>
      <c r="T711" s="442">
        <v>500</v>
      </c>
      <c r="U711" s="1093">
        <f>864*4</f>
        <v>3456</v>
      </c>
      <c r="V711" s="448">
        <f>PV_DATA[[#This Row],[QUANTITY]]*PV_DATA[[#This Row],[WATT]]/1000000</f>
        <v>1.728</v>
      </c>
      <c r="W711" s="466">
        <f>PV_DATA[[#This Row],[QUANTITY]]/PV_DATA[[#This Row],[Qty/Pallet]]</f>
        <v>96</v>
      </c>
      <c r="X711" s="1044">
        <f>PV_DATA[[#This Row],[QUANTITY]]/PV_DATA[[#This Row],[Qty/CT]]</f>
        <v>4</v>
      </c>
      <c r="Y711" s="431" t="s">
        <v>2459</v>
      </c>
      <c r="Z711" s="430" t="str">
        <f t="shared" si="8"/>
        <v>COMPLETED</v>
      </c>
      <c r="AA711" s="661">
        <v>46206</v>
      </c>
      <c r="AB711" s="441">
        <v>46212</v>
      </c>
      <c r="AC711" s="662">
        <f>IF(PV_DATA[[#This Row],[Pick- Up Date]]&lt;&gt;"",_xlfn.ISOWEEKNUM(PV_DATA[[#This Row],[Pick- Up Date]]),"")</f>
        <v>28</v>
      </c>
      <c r="AD711" s="431" t="s">
        <v>5374</v>
      </c>
      <c r="AF711" s="447" t="s">
        <v>5034</v>
      </c>
      <c r="AG711" s="447" t="s">
        <v>123</v>
      </c>
      <c r="AH711" s="431" t="s">
        <v>888</v>
      </c>
      <c r="AI711" s="441">
        <v>46219</v>
      </c>
      <c r="AJ711" s="441">
        <v>46220</v>
      </c>
      <c r="AK711" s="441">
        <v>46223</v>
      </c>
      <c r="AL711" s="441">
        <v>46267</v>
      </c>
      <c r="AM711" s="586">
        <f>IFERROR(VLOOKUP(AT711, Vessel!A:H, 8, FALSE), "")</f>
        <v>46284.916666666664</v>
      </c>
      <c r="AN711" s="586">
        <f>IFERROR(IF(VLOOKUP(AT711,Vessel!A:I,9,FALSE)=0,"",VLOOKUP(AT711,Vessel!A:I,9,FALSE)),"")</f>
        <v>46285.259710648148</v>
      </c>
      <c r="AP711" s="431" t="s">
        <v>5375</v>
      </c>
      <c r="AQ711" s="431" t="s">
        <v>80</v>
      </c>
      <c r="AR711" s="431" t="s">
        <v>5376</v>
      </c>
      <c r="AS711" s="431" t="s">
        <v>5377</v>
      </c>
      <c r="AT711" s="431" t="s">
        <v>5377</v>
      </c>
      <c r="AU7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62.25971064814803</v>
      </c>
      <c r="AV711" s="441"/>
      <c r="AW711" s="441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46285.259710648148</v>
      </c>
      <c r="AX711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1">
        <f>IF(ISERROR(PV_DATA[[#This Row],[New Ark PO status]]),"",_xlfn.XLOOKUP(PV_DATA[[#This Row],[SPTN-PVHK New Ark PO'#]],New_Ark_Data[Purchase order Number],New_Ark_Data[Estimated time of arrival],"",0))</f>
        <v>46267</v>
      </c>
      <c r="AZ71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1">
        <f>IFERROR(PV_DATA[[#This Row],[ODP ETA Port]]+PV_DATA[[#This Row],[Customs/Leg3 Assumption]],"n/a")</f>
        <v>46285.259710648148</v>
      </c>
      <c r="BB711" s="442">
        <f>YEAR(PV_DATA[[#This Row],[ETA for New Ark update]])</f>
        <v>2026</v>
      </c>
      <c r="BC711" s="431">
        <f>MONTH(PV_DATA[[#This Row],[ETA for New Ark update]])</f>
        <v>9</v>
      </c>
      <c r="BD711" s="431">
        <f>IFERROR(_xlfn.ISOWEEKNUM(PV_DATA[[#This Row],[ETA for New Ark update]]),0)</f>
        <v>38</v>
      </c>
      <c r="BE711" s="431">
        <f>_xlfn.XLOOKUP(PV_DATA[[#This Row],[New Ark SKU]],Table9[New Ark SKU],Table9[Total PCS per Pallet],,0)</f>
        <v>36</v>
      </c>
      <c r="BF711" s="431">
        <f>_xlfn.XLOOKUP(PV_DATA[[#This Row],[New Ark SKU]],Table9[New Ark SKU],Table9[Total PCS per 40HQ Container],,0)</f>
        <v>864</v>
      </c>
      <c r="BG711" s="431" t="str">
        <f>_xlfn.XLOOKUP(PV_DATA[[#This Row],[New Ark SKU]],Table9[New Ark SKU],Table9[Back Glass],,0)</f>
        <v>Black glazing</v>
      </c>
      <c r="BH711" s="431" t="str">
        <f>_xlfn.XLOOKUP(PV_DATA[[#This Row],[PORT DESTINATION]],Table12[PORT DESTINATION],Table12[Cosco Line],,0)</f>
        <v>AEU</v>
      </c>
    </row>
    <row r="712" spans="1:62" s="431" customFormat="1" ht="10.5">
      <c r="A712" s="439" t="s">
        <v>5378</v>
      </c>
      <c r="B712" s="439" t="s">
        <v>111</v>
      </c>
      <c r="C712" s="439" t="str">
        <f>IFERROR(LEFT(PV_DATA[[#This Row],[TCL REFERENCE]],FIND(".",PV_DATA[[#This Row],[TCL REFERENCE]],1)-1),"Main Line")</f>
        <v>26Jun016</v>
      </c>
      <c r="D712" s="439" t="s">
        <v>63</v>
      </c>
      <c r="E712" s="439" t="s">
        <v>64</v>
      </c>
      <c r="F712" s="439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39" t="s">
        <v>402</v>
      </c>
      <c r="H712" s="439" t="s">
        <v>67</v>
      </c>
      <c r="I712" s="439" t="s">
        <v>689</v>
      </c>
      <c r="J712" s="431" t="s">
        <v>96</v>
      </c>
      <c r="M712" s="431" t="s">
        <v>68</v>
      </c>
      <c r="N712" s="461">
        <v>46202</v>
      </c>
      <c r="O712" s="431" t="s">
        <v>5379</v>
      </c>
      <c r="P712" s="431" t="s">
        <v>5380</v>
      </c>
      <c r="Q712" s="431" t="s">
        <v>5381</v>
      </c>
      <c r="R712" s="431" t="str">
        <f>_xlfn.XLOOKUP(PV_DATA[[#This Row],[New Ark SKU]],Table9[New Ark SKU],Table9[Connector],,0)</f>
        <v>EVO2A</v>
      </c>
      <c r="S712" s="442" t="str">
        <f>_xlfn.XLOOKUP(PV_DATA[[#This Row],[New Ark SKU]],Table9[New Ark SKU],Table9[Cable],,0)</f>
        <v>±1200mm</v>
      </c>
      <c r="T712" s="442">
        <v>470</v>
      </c>
      <c r="U712" s="1093">
        <v>936</v>
      </c>
      <c r="V712" s="448">
        <f>PV_DATA[[#This Row],[QUANTITY]]*PV_DATA[[#This Row],[WATT]]/1000000</f>
        <v>0.43991999999999998</v>
      </c>
      <c r="W712" s="466">
        <f>PV_DATA[[#This Row],[QUANTITY]]/PV_DATA[[#This Row],[Qty/Pallet]]</f>
        <v>26</v>
      </c>
      <c r="X712" s="1044">
        <f>PV_DATA[[#This Row],[QUANTITY]]/PV_DATA[[#This Row],[Qty/CT]]</f>
        <v>1</v>
      </c>
      <c r="Y712" s="431" t="s">
        <v>2459</v>
      </c>
      <c r="Z712" s="430" t="str">
        <f t="shared" si="8"/>
        <v>COMPLETED</v>
      </c>
      <c r="AA712" s="661">
        <v>46201</v>
      </c>
      <c r="AB712" s="441">
        <v>46208</v>
      </c>
      <c r="AC712" s="467">
        <f>IF(PV_DATA[[#This Row],[Pick- Up Date]]&lt;&gt;"",_xlfn.ISOWEEKNUM(PV_DATA[[#This Row],[Pick- Up Date]]),"")</f>
        <v>27</v>
      </c>
      <c r="AD712" s="431" t="s">
        <v>5382</v>
      </c>
      <c r="AF712" s="431" t="s">
        <v>122</v>
      </c>
      <c r="AG712" s="431" t="s">
        <v>123</v>
      </c>
      <c r="AH712" s="431" t="s">
        <v>456</v>
      </c>
      <c r="AI712" s="441">
        <v>46220</v>
      </c>
      <c r="AJ712" s="441">
        <v>46219</v>
      </c>
      <c r="AK712" s="441">
        <v>46219</v>
      </c>
      <c r="AL712" s="441">
        <v>46257</v>
      </c>
      <c r="AM712" s="586"/>
      <c r="AN712" s="586">
        <f>IFERROR(IF(VLOOKUP(AT712,Vessel!A:I,9,FALSE)=0,"",VLOOKUP(AT712,Vessel!A:I,9,FALSE)),"")</f>
        <v>46253.739166666666</v>
      </c>
      <c r="AP712" s="431" t="s">
        <v>5375</v>
      </c>
      <c r="AQ712" s="445" t="s">
        <v>80</v>
      </c>
      <c r="AR712" s="431" t="s">
        <v>5383</v>
      </c>
      <c r="AS712" s="431" t="s">
        <v>5384</v>
      </c>
      <c r="AT712" s="431" t="s">
        <v>5384</v>
      </c>
      <c r="AU7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34.739166666666279</v>
      </c>
      <c r="AW712" s="441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712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1">
        <f>IF(ISERROR(PV_DATA[[#This Row],[New Ark PO status]]),"",_xlfn.XLOOKUP(PV_DATA[[#This Row],[SPTN-PVHK New Ark PO'#]],New_Ark_Data[Purchase order Number],New_Ark_Data[Estimated time of arrival],"",0))</f>
        <v>46267</v>
      </c>
      <c r="AZ7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1">
        <f>IFERROR(PV_DATA[[#This Row],[ODP ETA Port]]+PV_DATA[[#This Row],[Customs/Leg3 Assumption]],"n/a")</f>
        <v>46260.739166666666</v>
      </c>
      <c r="BB712" s="442">
        <f>YEAR(PV_DATA[[#This Row],[ETA for New Ark update]])</f>
        <v>2026</v>
      </c>
      <c r="BC712" s="431">
        <f>MONTH(PV_DATA[[#This Row],[ETA for New Ark update]])</f>
        <v>8</v>
      </c>
      <c r="BD712" s="431">
        <f>IFERROR(_xlfn.ISOWEEKNUM(PV_DATA[[#This Row],[ETA for New Ark update]]),0)</f>
        <v>35</v>
      </c>
      <c r="BE712" s="431">
        <f>_xlfn.XLOOKUP(PV_DATA[[#This Row],[New Ark SKU]],Table9[New Ark SKU],Table9[Total PCS per Pallet],,0)</f>
        <v>36</v>
      </c>
      <c r="BF712" s="431">
        <f>_xlfn.XLOOKUP(PV_DATA[[#This Row],[New Ark SKU]],Table9[New Ark SKU],Table9[Total PCS per 40HQ Container],,0)</f>
        <v>936</v>
      </c>
      <c r="BG712" s="431" t="str">
        <f>_xlfn.XLOOKUP(PV_DATA[[#This Row],[New Ark SKU]],Table9[New Ark SKU],Table9[Back Glass],,0)</f>
        <v>Black glazing</v>
      </c>
      <c r="BH712" s="431" t="str">
        <f>_xlfn.XLOOKUP(PV_DATA[[#This Row],[PORT DESTINATION]],Table12[PORT DESTINATION],Table12[Cosco Line],,0)</f>
        <v>AEU</v>
      </c>
    </row>
    <row r="713" spans="1:62" ht="10.5">
      <c r="A713" s="462" t="s">
        <v>5385</v>
      </c>
      <c r="B713" s="462" t="s">
        <v>2132</v>
      </c>
      <c r="C713" s="462" t="str">
        <f>IFERROR(LEFT(PV_DATA[[#This Row],[TCL REFERENCE]],FIND(".",PV_DATA[[#This Row],[TCL REFERENCE]],1)-1),"Main Line")</f>
        <v>26Jun008</v>
      </c>
      <c r="D713" s="462" t="s">
        <v>63</v>
      </c>
      <c r="E713" s="462" t="s">
        <v>64</v>
      </c>
      <c r="F713" s="462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2" t="s">
        <v>402</v>
      </c>
      <c r="H713" s="462" t="s">
        <v>67</v>
      </c>
      <c r="I713" s="462" t="s">
        <v>1395</v>
      </c>
      <c r="J713" s="430" t="s">
        <v>1047</v>
      </c>
      <c r="K713" s="430"/>
      <c r="L713" s="430"/>
      <c r="M713" s="430" t="s">
        <v>68</v>
      </c>
      <c r="N713" s="432">
        <v>46188</v>
      </c>
      <c r="O713" s="430" t="s">
        <v>4531</v>
      </c>
      <c r="P713" s="430" t="s">
        <v>5090</v>
      </c>
      <c r="Q713" s="430" t="s">
        <v>330</v>
      </c>
      <c r="R713" s="430" t="str">
        <f>_xlfn.XLOOKUP(PV_DATA[[#This Row],[New Ark SKU]],Table9[New Ark SKU],Table9[Connector],,0)</f>
        <v>H4(Com)</v>
      </c>
      <c r="S713" s="433" t="str">
        <f>_xlfn.XLOOKUP(PV_DATA[[#This Row],[New Ark SKU]],Table9[New Ark SKU],Table9[Cable],,0)</f>
        <v>±1400mm</v>
      </c>
      <c r="T713" s="433">
        <v>625</v>
      </c>
      <c r="U713" s="1088">
        <v>7920</v>
      </c>
      <c r="V713" s="434">
        <f>PV_DATA[[#This Row],[QUANTITY]]*PV_DATA[[#This Row],[WATT]]/1000000</f>
        <v>4.95</v>
      </c>
      <c r="W713" s="435">
        <f>PV_DATA[[#This Row],[QUANTITY]]/PV_DATA[[#This Row],[Qty/Pallet]]</f>
        <v>220</v>
      </c>
      <c r="X713" s="1040">
        <f>PV_DATA[[#This Row],[QUANTITY]]/PV_DATA[[#This Row],[Qty/CT]]</f>
        <v>11</v>
      </c>
      <c r="Y713" s="430" t="s">
        <v>2458</v>
      </c>
      <c r="Z713" s="430" t="str">
        <f t="shared" si="8"/>
        <v>COMPLETED</v>
      </c>
      <c r="AA713" s="430" t="s">
        <v>5386</v>
      </c>
      <c r="AB713" s="437">
        <v>46217</v>
      </c>
      <c r="AC713" s="485">
        <f>IF(PV_DATA[[#This Row],[Pick- Up Date]]&lt;&gt;"",_xlfn.ISOWEEKNUM(PV_DATA[[#This Row],[Pick- Up Date]]),"")</f>
        <v>29</v>
      </c>
      <c r="AD713" s="430" t="s">
        <v>5387</v>
      </c>
      <c r="AE713" s="430"/>
      <c r="AF713" s="430" t="s">
        <v>122</v>
      </c>
      <c r="AG713" s="430" t="s">
        <v>123</v>
      </c>
      <c r="AH713" s="430" t="s">
        <v>105</v>
      </c>
      <c r="AI713" s="437">
        <v>46228</v>
      </c>
      <c r="AJ713" s="437">
        <v>46229</v>
      </c>
      <c r="AK713" s="437">
        <v>46231</v>
      </c>
      <c r="AL713" s="437">
        <v>46256</v>
      </c>
      <c r="AM713" s="586">
        <v>46266</v>
      </c>
      <c r="AN713" s="586">
        <f>IFERROR(IF(VLOOKUP(AT713,Vessel!A:I,9,FALSE)=0,"",VLOOKUP(AT713,Vessel!A:I,9,FALSE)),"")</f>
        <v>46265.971226851849</v>
      </c>
      <c r="AP713" s="430" t="s">
        <v>5388</v>
      </c>
      <c r="AQ713" s="430" t="s">
        <v>80</v>
      </c>
      <c r="AR713" s="430" t="s">
        <v>5389</v>
      </c>
      <c r="AS713" s="430" t="s">
        <v>5390</v>
      </c>
      <c r="AT713" s="430" t="s">
        <v>5390</v>
      </c>
      <c r="AU7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3" s="437"/>
      <c r="AW713" s="437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7">
        <f>IF(ISERROR(PV_DATA[[#This Row],[New Ark PO status]]),"",_xlfn.XLOOKUP(PV_DATA[[#This Row],[SPTN-PVHK New Ark PO'#]],New_Ark_Data[Purchase order Number],New_Ark_Data[Estimated time of arrival],"",0))</f>
        <v>46279</v>
      </c>
      <c r="AZ71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7">
        <f>IFERROR(PV_DATA[[#This Row],[ODP ETA Port]]+PV_DATA[[#This Row],[Customs/Leg3 Assumption]],"n/a")</f>
        <v>46272.971226851849</v>
      </c>
      <c r="BB713" s="433">
        <f>YEAR(PV_DATA[[#This Row],[ETA for New Ark update]])</f>
        <v>2026</v>
      </c>
      <c r="BC713" s="430">
        <f>MONTH(PV_DATA[[#This Row],[ETA for New Ark update]])</f>
        <v>9</v>
      </c>
      <c r="BD713" s="430">
        <f>IFERROR(_xlfn.ISOWEEKNUM(PV_DATA[[#This Row],[ETA for New Ark update]]),0)</f>
        <v>37</v>
      </c>
      <c r="BE713" s="430">
        <f>_xlfn.XLOOKUP(PV_DATA[[#This Row],[New Ark SKU]],Table9[New Ark SKU],Table9[Total PCS per Pallet],,0)</f>
        <v>36</v>
      </c>
      <c r="BF713" s="430">
        <f>_xlfn.XLOOKUP(PV_DATA[[#This Row],[New Ark SKU]],Table9[New Ark SKU],Table9[Total PCS per 40HQ Container],,0)</f>
        <v>720</v>
      </c>
      <c r="BG713" s="430" t="str">
        <f>_xlfn.XLOOKUP(PV_DATA[[#This Row],[New Ark SKU]],Table9[New Ark SKU],Table9[Back Glass],,0)</f>
        <v>Transparent</v>
      </c>
      <c r="BH713" s="430" t="str">
        <f>_xlfn.XLOOKUP(PV_DATA[[#This Row],[PORT DESTINATION]],Table12[PORT DESTINATION],Table12[Cosco Line],,0)</f>
        <v>AEU</v>
      </c>
      <c r="BJ713" s="430"/>
    </row>
    <row r="714" spans="1:62" ht="11.25" customHeight="1">
      <c r="A714" s="462" t="s">
        <v>5391</v>
      </c>
      <c r="B714" s="462" t="s">
        <v>111</v>
      </c>
      <c r="C714" s="462" t="str">
        <f>IFERROR(LEFT(PV_DATA[[#This Row],[TCL REFERENCE]],FIND(".",PV_DATA[[#This Row],[TCL REFERENCE]],1)-1),"Main Line")</f>
        <v>26May011</v>
      </c>
      <c r="D714" s="462" t="s">
        <v>63</v>
      </c>
      <c r="E714" s="462" t="s">
        <v>144</v>
      </c>
      <c r="F714" s="462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2" t="s">
        <v>402</v>
      </c>
      <c r="H714" s="713" t="s">
        <v>670</v>
      </c>
      <c r="I714" s="462" t="s">
        <v>1395</v>
      </c>
      <c r="J714" s="463" t="s">
        <v>5392</v>
      </c>
      <c r="K714" s="430" t="s">
        <v>5393</v>
      </c>
      <c r="L714" s="430">
        <v>1</v>
      </c>
      <c r="M714" s="430" t="s">
        <v>840</v>
      </c>
      <c r="N714" s="432">
        <v>46167</v>
      </c>
      <c r="O714" s="430" t="s">
        <v>4531</v>
      </c>
      <c r="P714" s="459" t="s">
        <v>4592</v>
      </c>
      <c r="Q714" s="430" t="s">
        <v>330</v>
      </c>
      <c r="R714" s="430" t="str">
        <f>_xlfn.XLOOKUP(PV_DATA[[#This Row],[New Ark SKU]],Table9[New Ark SKU],Table9[Connector],,0)</f>
        <v>H4(Com)</v>
      </c>
      <c r="S714" s="433" t="str">
        <f>_xlfn.XLOOKUP(PV_DATA[[#This Row],[New Ark SKU]],Table9[New Ark SKU],Table9[Cable],,0)</f>
        <v>+400mm/-200mm</v>
      </c>
      <c r="T714" s="433">
        <v>625</v>
      </c>
      <c r="U714" s="1088">
        <v>3600</v>
      </c>
      <c r="V714" s="434">
        <f>PV_DATA[[#This Row],[QUANTITY]]*PV_DATA[[#This Row],[WATT]]/1000000</f>
        <v>2.25</v>
      </c>
      <c r="W714" s="435">
        <f>PV_DATA[[#This Row],[QUANTITY]]/PV_DATA[[#This Row],[Qty/Pallet]]</f>
        <v>100</v>
      </c>
      <c r="X714" s="1045">
        <f>PV_DATA[[#This Row],[QUANTITY]]/PV_DATA[[#This Row],[Qty/CT]]</f>
        <v>5</v>
      </c>
      <c r="Y714" s="430" t="s">
        <v>2458</v>
      </c>
      <c r="Z714" s="430" t="str">
        <f t="shared" si="8"/>
        <v>COMPLETED</v>
      </c>
      <c r="AA714" s="430" t="s">
        <v>5394</v>
      </c>
      <c r="AB714" s="437">
        <v>46225</v>
      </c>
      <c r="AC714" s="485">
        <f>IF(PV_DATA[[#This Row],[Pick- Up Date]]&lt;&gt;"",_xlfn.ISOWEEKNUM(PV_DATA[[#This Row],[Pick- Up Date]]),"")</f>
        <v>30</v>
      </c>
      <c r="AD714" s="430" t="s">
        <v>5395</v>
      </c>
      <c r="AE714" s="430"/>
      <c r="AF714" s="430" t="s">
        <v>122</v>
      </c>
      <c r="AG714" s="430" t="s">
        <v>123</v>
      </c>
      <c r="AH714" s="430" t="s">
        <v>105</v>
      </c>
      <c r="AI714" s="437">
        <v>46228</v>
      </c>
      <c r="AJ714" s="437">
        <v>46229</v>
      </c>
      <c r="AK714" s="437">
        <v>46231</v>
      </c>
      <c r="AL714" s="437">
        <v>46256</v>
      </c>
      <c r="AM714" s="586">
        <v>46266</v>
      </c>
      <c r="AN714" s="586">
        <f>IFERROR(IF(VLOOKUP(AT714,Vessel!A:I,9,FALSE)=0,"",VLOOKUP(AT714,Vessel!A:I,9,FALSE)),"")</f>
        <v>46265.971226851849</v>
      </c>
      <c r="AP714" s="430" t="s">
        <v>5388</v>
      </c>
      <c r="AQ714" s="430" t="s">
        <v>80</v>
      </c>
      <c r="AR714" s="430" t="s">
        <v>5396</v>
      </c>
      <c r="AS714" s="430" t="s">
        <v>5397</v>
      </c>
      <c r="AT714" s="430" t="s">
        <v>5397</v>
      </c>
      <c r="AU7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4" s="437"/>
      <c r="AW714" s="437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7">
        <f>IF(ISERROR(PV_DATA[[#This Row],[New Ark PO status]]),"",_xlfn.XLOOKUP(PV_DATA[[#This Row],[SPTN-PVHK New Ark PO'#]],New_Ark_Data[Purchase order Number],New_Ark_Data[Estimated time of arrival],"",0))</f>
        <v>46262</v>
      </c>
      <c r="AZ71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7">
        <f>IFERROR(PV_DATA[[#This Row],[ODP ETA Port]]+PV_DATA[[#This Row],[Customs/Leg3 Assumption]],"n/a")</f>
        <v>46265.971226851849</v>
      </c>
      <c r="BB714" s="433">
        <f>YEAR(PV_DATA[[#This Row],[ETA for New Ark update]])</f>
        <v>2026</v>
      </c>
      <c r="BC714" s="430">
        <f>MONTH(PV_DATA[[#This Row],[ETA for New Ark update]])</f>
        <v>8</v>
      </c>
      <c r="BD714" s="430">
        <f>IFERROR(_xlfn.ISOWEEKNUM(PV_DATA[[#This Row],[ETA for New Ark update]]),0)</f>
        <v>36</v>
      </c>
      <c r="BE714" s="430">
        <f>_xlfn.XLOOKUP(PV_DATA[[#This Row],[New Ark SKU]],Table9[New Ark SKU],Table9[Total PCS per Pallet],,0)</f>
        <v>36</v>
      </c>
      <c r="BF714" s="430">
        <f>_xlfn.XLOOKUP(PV_DATA[[#This Row],[New Ark SKU]],Table9[New Ark SKU],Table9[Total PCS per 40HQ Container],,0)</f>
        <v>720</v>
      </c>
      <c r="BG714" s="430" t="str">
        <f>_xlfn.XLOOKUP(PV_DATA[[#This Row],[New Ark SKU]],Table9[New Ark SKU],Table9[Back Glass],,0)</f>
        <v>Transparent</v>
      </c>
      <c r="BH714" s="610" t="str">
        <f>_xlfn.XLOOKUP(PV_DATA[[#This Row],[PORT DESTINATION]],Table12[PORT DESTINATION],Table12[Cosco Line],,0)</f>
        <v>AEU</v>
      </c>
      <c r="BJ714" s="430"/>
    </row>
    <row r="715" spans="1:62" ht="10.5">
      <c r="A715" s="462" t="s">
        <v>5398</v>
      </c>
      <c r="B715" s="462" t="s">
        <v>111</v>
      </c>
      <c r="C715" s="462" t="str">
        <f>IFERROR(LEFT(PV_DATA[[#This Row],[TCL REFERENCE]],FIND(".",PV_DATA[[#This Row],[TCL REFERENCE]],1)-1),"Main Line")</f>
        <v>26Jun015</v>
      </c>
      <c r="D715" s="462" t="s">
        <v>63</v>
      </c>
      <c r="E715" s="462" t="s">
        <v>144</v>
      </c>
      <c r="F715" s="462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2" t="s">
        <v>402</v>
      </c>
      <c r="H715" s="462" t="s">
        <v>1080</v>
      </c>
      <c r="I715" s="462" t="s">
        <v>869</v>
      </c>
      <c r="J715" s="430" t="s">
        <v>1080</v>
      </c>
      <c r="K715" s="430" t="s">
        <v>5399</v>
      </c>
      <c r="L715" s="430">
        <v>1</v>
      </c>
      <c r="M715" s="430" t="s">
        <v>840</v>
      </c>
      <c r="N715" s="432">
        <v>46202</v>
      </c>
      <c r="O715" s="430" t="s">
        <v>5379</v>
      </c>
      <c r="P715" s="459" t="s">
        <v>5400</v>
      </c>
      <c r="Q715" s="430" t="s">
        <v>5401</v>
      </c>
      <c r="R715" s="430" t="str">
        <f>_xlfn.XLOOKUP(PV_DATA[[#This Row],[New Ark SKU]],Table9[New Ark SKU],Table9[Connector],,0)</f>
        <v>EVO2A</v>
      </c>
      <c r="S715" s="433" t="str">
        <f>_xlfn.XLOOKUP(PV_DATA[[#This Row],[New Ark SKU]],Table9[New Ark SKU],Table9[Cable],,0)</f>
        <v>±1200mm</v>
      </c>
      <c r="T715" s="433">
        <v>465</v>
      </c>
      <c r="U715" s="1088">
        <v>3744</v>
      </c>
      <c r="V715" s="434">
        <f>PV_DATA[[#This Row],[QUANTITY]]*PV_DATA[[#This Row],[WATT]]/1000000</f>
        <v>1.7409600000000001</v>
      </c>
      <c r="W715" s="435">
        <f>PV_DATA[[#This Row],[QUANTITY]]/PV_DATA[[#This Row],[Qty/Pallet]]</f>
        <v>104</v>
      </c>
      <c r="X715" s="1040">
        <f>PV_DATA[[#This Row],[QUANTITY]]/PV_DATA[[#This Row],[Qty/CT]]</f>
        <v>4</v>
      </c>
      <c r="Y715" s="430" t="s">
        <v>2460</v>
      </c>
      <c r="Z715" s="430" t="str">
        <f t="shared" si="8"/>
        <v>COMPLETED</v>
      </c>
      <c r="AA715" s="430" t="s">
        <v>5402</v>
      </c>
      <c r="AB715" s="437">
        <v>46225</v>
      </c>
      <c r="AC715" s="485">
        <f>IF(PV_DATA[[#This Row],[Pick- Up Date]]&lt;&gt;"",_xlfn.ISOWEEKNUM(PV_DATA[[#This Row],[Pick- Up Date]]),"")</f>
        <v>30</v>
      </c>
      <c r="AD715" s="430" t="s">
        <v>5403</v>
      </c>
      <c r="AE715" s="430"/>
      <c r="AF715" s="430" t="s">
        <v>122</v>
      </c>
      <c r="AG715" s="430" t="s">
        <v>123</v>
      </c>
      <c r="AH715" s="431" t="s">
        <v>105</v>
      </c>
      <c r="AI715" s="437">
        <v>46228</v>
      </c>
      <c r="AJ715" s="437">
        <v>46229</v>
      </c>
      <c r="AK715" s="437">
        <v>46231</v>
      </c>
      <c r="AL715" s="437">
        <v>46256</v>
      </c>
      <c r="AM715" s="586">
        <v>46266</v>
      </c>
      <c r="AN715" s="586">
        <f>IFERROR(IF(VLOOKUP(AT715,Vessel!A:I,9,FALSE)=0,"",VLOOKUP(AT715,Vessel!A:I,9,FALSE)),"")</f>
        <v>46265.971226851849</v>
      </c>
      <c r="AP715" s="430" t="s">
        <v>5388</v>
      </c>
      <c r="AQ715" s="438" t="s">
        <v>80</v>
      </c>
      <c r="AR715" s="430" t="s">
        <v>5404</v>
      </c>
      <c r="AS715" s="430" t="s">
        <v>5405</v>
      </c>
      <c r="AT715" s="430" t="s">
        <v>5405</v>
      </c>
      <c r="AU7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5" s="430" t="s">
        <v>2538</v>
      </c>
      <c r="AW715" s="437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7">
        <f>IF(ISERROR(PV_DATA[[#This Row],[New Ark PO status]]),"",_xlfn.XLOOKUP(PV_DATA[[#This Row],[SPTN-PVHK New Ark PO'#]],New_Ark_Data[Purchase order Number],New_Ark_Data[Estimated time of arrival],"",0))</f>
        <v>46262</v>
      </c>
      <c r="AZ71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7">
        <f>IFERROR(PV_DATA[[#This Row],[ODP ETA Port]]+PV_DATA[[#This Row],[Customs/Leg3 Assumption]],"n/a")</f>
        <v>46265.971226851849</v>
      </c>
      <c r="BB715" s="433">
        <f>YEAR(PV_DATA[[#This Row],[ETA for New Ark update]])</f>
        <v>2026</v>
      </c>
      <c r="BC715" s="430">
        <f>MONTH(PV_DATA[[#This Row],[ETA for New Ark update]])</f>
        <v>8</v>
      </c>
      <c r="BD715" s="430">
        <f>IFERROR(_xlfn.ISOWEEKNUM(PV_DATA[[#This Row],[ETA for New Ark update]]),0)</f>
        <v>36</v>
      </c>
      <c r="BE715" s="430">
        <f>_xlfn.XLOOKUP(PV_DATA[[#This Row],[New Ark SKU]],Table9[New Ark SKU],Table9[Total PCS per Pallet],,0)</f>
        <v>36</v>
      </c>
      <c r="BF715" s="430">
        <f>_xlfn.XLOOKUP(PV_DATA[[#This Row],[New Ark SKU]],Table9[New Ark SKU],Table9[Total PCS per 40HQ Container],,0)</f>
        <v>936</v>
      </c>
      <c r="BG715" s="430" t="str">
        <f>_xlfn.XLOOKUP(PV_DATA[[#This Row],[New Ark SKU]],Table9[New Ark SKU],Table9[Back Glass],,0)</f>
        <v>Black glazing</v>
      </c>
      <c r="BH715" s="610" t="str">
        <f>_xlfn.XLOOKUP(PV_DATA[[#This Row],[PORT DESTINATION]],Table12[PORT DESTINATION],Table12[Cosco Line],,0)</f>
        <v>AEU</v>
      </c>
      <c r="BJ715" s="430"/>
    </row>
    <row r="716" spans="1:62" ht="10.5">
      <c r="A716" s="462" t="s">
        <v>5406</v>
      </c>
      <c r="B716" s="462" t="s">
        <v>111</v>
      </c>
      <c r="C716" s="462" t="str">
        <f>IFERROR(LEFT(PV_DATA[[#This Row],[TCL REFERENCE]],FIND(".",PV_DATA[[#This Row],[TCL REFERENCE]],1)-1),"Main Line")</f>
        <v>26May013</v>
      </c>
      <c r="D716" s="462" t="s">
        <v>63</v>
      </c>
      <c r="E716" s="462" t="s">
        <v>144</v>
      </c>
      <c r="F716" s="462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2" t="s">
        <v>402</v>
      </c>
      <c r="H716" s="713" t="s">
        <v>1449</v>
      </c>
      <c r="I716" s="462" t="s">
        <v>822</v>
      </c>
      <c r="J716" s="430" t="s">
        <v>4591</v>
      </c>
      <c r="K716" s="430" t="s">
        <v>1451</v>
      </c>
      <c r="L716" s="430">
        <v>39</v>
      </c>
      <c r="M716" s="430" t="s">
        <v>840</v>
      </c>
      <c r="N716" s="432">
        <v>46181</v>
      </c>
      <c r="O716" s="430" t="s">
        <v>4531</v>
      </c>
      <c r="P716" s="430" t="s">
        <v>5041</v>
      </c>
      <c r="Q716" s="430" t="s">
        <v>1807</v>
      </c>
      <c r="R716" s="430" t="str">
        <f>_xlfn.XLOOKUP(PV_DATA[[#This Row],[New Ark SKU]],Table9[New Ark SKU],Table9[Connector],,0)</f>
        <v>H4(Com)</v>
      </c>
      <c r="S716" s="433" t="str">
        <f>_xlfn.XLOOKUP(PV_DATA[[#This Row],[New Ark SKU]],Table9[New Ark SKU],Table9[Cable],,0)</f>
        <v>+400mm/-200mm</v>
      </c>
      <c r="T716" s="433">
        <v>720</v>
      </c>
      <c r="U716" s="1088">
        <f>594*3</f>
        <v>1782</v>
      </c>
      <c r="V716" s="544">
        <f>PV_DATA[[#This Row],[QUANTITY]]*PV_DATA[[#This Row],[WATT]]/1000000</f>
        <v>1.28304</v>
      </c>
      <c r="W716" s="435">
        <f>PV_DATA[[#This Row],[QUANTITY]]/PV_DATA[[#This Row],[Qty/Pallet]]</f>
        <v>54</v>
      </c>
      <c r="X716" s="1040">
        <f>PV_DATA[[#This Row],[QUANTITY]]/PV_DATA[[#This Row],[Qty/CT]]</f>
        <v>3</v>
      </c>
      <c r="Y716" s="430" t="s">
        <v>2458</v>
      </c>
      <c r="Z716" s="430" t="str">
        <f t="shared" si="8"/>
        <v>COMPLETED</v>
      </c>
      <c r="AA716" s="430" t="s">
        <v>5407</v>
      </c>
      <c r="AB716" s="437">
        <v>46213</v>
      </c>
      <c r="AC716" s="485">
        <f>IF(PV_DATA[[#This Row],[Pick- Up Date]]&lt;&gt;"",_xlfn.ISOWEEKNUM(PV_DATA[[#This Row],[Pick- Up Date]]),"")</f>
        <v>28</v>
      </c>
      <c r="AD716" s="430" t="s">
        <v>5408</v>
      </c>
      <c r="AE716" s="435"/>
      <c r="AF716" s="430" t="s">
        <v>122</v>
      </c>
      <c r="AG716" s="430" t="s">
        <v>123</v>
      </c>
      <c r="AH716" s="430" t="s">
        <v>105</v>
      </c>
      <c r="AI716" s="437">
        <v>46216</v>
      </c>
      <c r="AJ716" s="437">
        <v>46220</v>
      </c>
      <c r="AK716" s="437">
        <v>46220</v>
      </c>
      <c r="AL716" s="437">
        <v>46253</v>
      </c>
      <c r="AM716" s="586">
        <f>IFERROR(VLOOKUP(AT716, Vessel!A:H, 8, FALSE), "")</f>
        <v>46260.5</v>
      </c>
      <c r="AN716" s="586">
        <v>46260</v>
      </c>
      <c r="AP716" s="430" t="s">
        <v>5409</v>
      </c>
      <c r="AQ716" s="430" t="s">
        <v>80</v>
      </c>
      <c r="AR716" s="430" t="s">
        <v>5410</v>
      </c>
      <c r="AS716" s="430" t="s">
        <v>5411</v>
      </c>
      <c r="AT716" s="430" t="s">
        <v>5411</v>
      </c>
      <c r="AU7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7"/>
      <c r="AW716" s="437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7">
        <f>IF(ISERROR(PV_DATA[[#This Row],[New Ark PO status]]),"",_xlfn.XLOOKUP(PV_DATA[[#This Row],[SPTN-PVHK New Ark PO'#]],New_Ark_Data[Purchase order Number],New_Ark_Data[Estimated time of arrival],"",0))</f>
        <v>46253</v>
      </c>
      <c r="AZ71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7">
        <f>IFERROR(PV_DATA[[#This Row],[ODP ETA Port]]+PV_DATA[[#This Row],[Customs/Leg3 Assumption]],"n/a")</f>
        <v>46260</v>
      </c>
      <c r="BB716" s="433">
        <f>YEAR(PV_DATA[[#This Row],[ETA for New Ark update]])</f>
        <v>2026</v>
      </c>
      <c r="BC716" s="430">
        <f>MONTH(PV_DATA[[#This Row],[ETA for New Ark update]])</f>
        <v>8</v>
      </c>
      <c r="BD716" s="430">
        <f>IFERROR(_xlfn.ISOWEEKNUM(PV_DATA[[#This Row],[ETA for New Ark update]]),0)</f>
        <v>35</v>
      </c>
      <c r="BE716" s="430">
        <f>_xlfn.XLOOKUP(PV_DATA[[#This Row],[New Ark SKU]],Table9[New Ark SKU],Table9[Total PCS per Pallet],,0)</f>
        <v>33</v>
      </c>
      <c r="BF716" s="430">
        <f>_xlfn.XLOOKUP(PV_DATA[[#This Row],[New Ark SKU]],Table9[New Ark SKU],Table9[Total PCS per 40HQ Container],,0)</f>
        <v>594</v>
      </c>
      <c r="BG716" s="430" t="str">
        <f>_xlfn.XLOOKUP(PV_DATA[[#This Row],[New Ark SKU]],Table9[New Ark SKU],Table9[Back Glass],,0)</f>
        <v>Transparent</v>
      </c>
      <c r="BH716" s="430" t="str">
        <f>_xlfn.XLOOKUP(PV_DATA[[#This Row],[PORT DESTINATION]],Table12[PORT DESTINATION],Table12[Cosco Line],,0)</f>
        <v>AEU</v>
      </c>
      <c r="BJ716" s="430"/>
    </row>
    <row r="717" spans="1:62" ht="10.5">
      <c r="A717" s="462" t="s">
        <v>5412</v>
      </c>
      <c r="B717" s="462" t="s">
        <v>111</v>
      </c>
      <c r="C717" s="462" t="str">
        <f>IFERROR(LEFT(PV_DATA[[#This Row],[TCL REFERENCE]],FIND(".",PV_DATA[[#This Row],[TCL REFERENCE]],1)-1),"Main Line")</f>
        <v>26May013</v>
      </c>
      <c r="D717" s="462" t="s">
        <v>63</v>
      </c>
      <c r="E717" s="462" t="s">
        <v>144</v>
      </c>
      <c r="F717" s="462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2" t="s">
        <v>402</v>
      </c>
      <c r="H717" s="713" t="s">
        <v>1449</v>
      </c>
      <c r="I717" s="462" t="s">
        <v>822</v>
      </c>
      <c r="J717" s="430" t="s">
        <v>4591</v>
      </c>
      <c r="K717" s="430" t="s">
        <v>1451</v>
      </c>
      <c r="L717" s="430">
        <v>40</v>
      </c>
      <c r="M717" s="430" t="s">
        <v>840</v>
      </c>
      <c r="N717" s="432">
        <v>46181</v>
      </c>
      <c r="O717" s="430" t="s">
        <v>4531</v>
      </c>
      <c r="P717" s="430" t="s">
        <v>5041</v>
      </c>
      <c r="Q717" s="430" t="s">
        <v>1807</v>
      </c>
      <c r="R717" s="430" t="str">
        <f>_xlfn.XLOOKUP(PV_DATA[[#This Row],[New Ark SKU]],Table9[New Ark SKU],Table9[Connector],,0)</f>
        <v>H4(Com)</v>
      </c>
      <c r="S717" s="433" t="str">
        <f>_xlfn.XLOOKUP(PV_DATA[[#This Row],[New Ark SKU]],Table9[New Ark SKU],Table9[Cable],,0)</f>
        <v>+400mm/-200mm</v>
      </c>
      <c r="T717" s="433">
        <v>720</v>
      </c>
      <c r="U717" s="1088">
        <f>594*2</f>
        <v>1188</v>
      </c>
      <c r="V717" s="544">
        <f>PV_DATA[[#This Row],[QUANTITY]]*PV_DATA[[#This Row],[WATT]]/1000000</f>
        <v>0.85536000000000001</v>
      </c>
      <c r="W717" s="435">
        <f>PV_DATA[[#This Row],[QUANTITY]]/PV_DATA[[#This Row],[Qty/Pallet]]</f>
        <v>36</v>
      </c>
      <c r="X717" s="1040">
        <f>PV_DATA[[#This Row],[QUANTITY]]/PV_DATA[[#This Row],[Qty/CT]]</f>
        <v>2</v>
      </c>
      <c r="Y717" s="430" t="s">
        <v>2459</v>
      </c>
      <c r="Z717" s="430" t="str">
        <f t="shared" si="8"/>
        <v>COMPLETED</v>
      </c>
      <c r="AA717" s="430" t="s">
        <v>5407</v>
      </c>
      <c r="AB717" s="437">
        <v>46213</v>
      </c>
      <c r="AC717" s="485">
        <f>IF(PV_DATA[[#This Row],[Pick- Up Date]]&lt;&gt;"",_xlfn.ISOWEEKNUM(PV_DATA[[#This Row],[Pick- Up Date]]),"")</f>
        <v>28</v>
      </c>
      <c r="AD717" s="435" t="s">
        <v>5413</v>
      </c>
      <c r="AE717" s="435"/>
      <c r="AF717" s="430" t="s">
        <v>122</v>
      </c>
      <c r="AG717" s="430" t="s">
        <v>123</v>
      </c>
      <c r="AH717" s="430" t="s">
        <v>105</v>
      </c>
      <c r="AI717" s="437">
        <v>46216</v>
      </c>
      <c r="AJ717" s="437">
        <v>46220</v>
      </c>
      <c r="AK717" s="437">
        <v>46220</v>
      </c>
      <c r="AL717" s="437">
        <v>46253</v>
      </c>
      <c r="AM717" s="586">
        <f>IFERROR(VLOOKUP(AT717, Vessel!A:H, 8, FALSE), "")</f>
        <v>46260.5</v>
      </c>
      <c r="AN717" s="586">
        <v>46260</v>
      </c>
      <c r="AP717" s="430" t="s">
        <v>5409</v>
      </c>
      <c r="AQ717" s="430" t="s">
        <v>80</v>
      </c>
      <c r="AR717" s="430" t="s">
        <v>5410</v>
      </c>
      <c r="AS717" s="430" t="s">
        <v>5411</v>
      </c>
      <c r="AT717" s="430" t="s">
        <v>5411</v>
      </c>
      <c r="AU7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7"/>
      <c r="AW717" s="437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7">
        <f>IF(ISERROR(PV_DATA[[#This Row],[New Ark PO status]]),"",_xlfn.XLOOKUP(PV_DATA[[#This Row],[SPTN-PVHK New Ark PO'#]],New_Ark_Data[Purchase order Number],New_Ark_Data[Estimated time of arrival],"",0))</f>
        <v>46253</v>
      </c>
      <c r="AZ71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7">
        <f>IFERROR(PV_DATA[[#This Row],[ODP ETA Port]]+PV_DATA[[#This Row],[Customs/Leg3 Assumption]],"n/a")</f>
        <v>46260</v>
      </c>
      <c r="BB717" s="433">
        <f>YEAR(PV_DATA[[#This Row],[ETA for New Ark update]])</f>
        <v>2026</v>
      </c>
      <c r="BC717" s="430">
        <f>MONTH(PV_DATA[[#This Row],[ETA for New Ark update]])</f>
        <v>8</v>
      </c>
      <c r="BD717" s="430">
        <f>IFERROR(_xlfn.ISOWEEKNUM(PV_DATA[[#This Row],[ETA for New Ark update]]),0)</f>
        <v>35</v>
      </c>
      <c r="BE717" s="430">
        <f>_xlfn.XLOOKUP(PV_DATA[[#This Row],[New Ark SKU]],Table9[New Ark SKU],Table9[Total PCS per Pallet],,0)</f>
        <v>33</v>
      </c>
      <c r="BF717" s="430">
        <f>_xlfn.XLOOKUP(PV_DATA[[#This Row],[New Ark SKU]],Table9[New Ark SKU],Table9[Total PCS per 40HQ Container],,0)</f>
        <v>594</v>
      </c>
      <c r="BG717" s="430" t="str">
        <f>_xlfn.XLOOKUP(PV_DATA[[#This Row],[New Ark SKU]],Table9[New Ark SKU],Table9[Back Glass],,0)</f>
        <v>Transparent</v>
      </c>
      <c r="BH717" s="430" t="str">
        <f>_xlfn.XLOOKUP(PV_DATA[[#This Row],[PORT DESTINATION]],Table12[PORT DESTINATION],Table12[Cosco Line],,0)</f>
        <v>AEU</v>
      </c>
      <c r="BJ717" s="430"/>
    </row>
    <row r="718" spans="1:62" ht="10.5">
      <c r="A718" s="462" t="s">
        <v>5414</v>
      </c>
      <c r="B718" s="462" t="s">
        <v>111</v>
      </c>
      <c r="C718" s="462" t="str">
        <f>IFERROR(LEFT(PV_DATA[[#This Row],[TCL REFERENCE]],FIND(".",PV_DATA[[#This Row],[TCL REFERENCE]],1)-1),"Main Line")</f>
        <v>26Jun003</v>
      </c>
      <c r="D718" s="462" t="s">
        <v>63</v>
      </c>
      <c r="E718" s="462" t="s">
        <v>64</v>
      </c>
      <c r="F718" s="462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2" t="s">
        <v>402</v>
      </c>
      <c r="H718" s="462" t="s">
        <v>67</v>
      </c>
      <c r="I718" s="462" t="s">
        <v>1395</v>
      </c>
      <c r="J718" s="430" t="s">
        <v>96</v>
      </c>
      <c r="K718" s="430"/>
      <c r="L718" s="430"/>
      <c r="M718" s="430" t="s">
        <v>68</v>
      </c>
      <c r="N718" s="432">
        <v>46188</v>
      </c>
      <c r="O718" s="430" t="s">
        <v>132</v>
      </c>
      <c r="P718" s="430" t="s">
        <v>189</v>
      </c>
      <c r="Q718" s="430" t="s">
        <v>190</v>
      </c>
      <c r="R718" s="430" t="str">
        <f>_xlfn.XLOOKUP(PV_DATA[[#This Row],[New Ark SKU]],Table9[New Ark SKU],Table9[Connector],,0)</f>
        <v>EVO2A</v>
      </c>
      <c r="S718" s="433" t="str">
        <f>_xlfn.XLOOKUP(PV_DATA[[#This Row],[New Ark SKU]],Table9[New Ark SKU],Table9[Cable],,0)</f>
        <v>±1200mm</v>
      </c>
      <c r="T718" s="433">
        <v>465</v>
      </c>
      <c r="U718" s="1088">
        <f>864*4</f>
        <v>3456</v>
      </c>
      <c r="V718" s="434">
        <f>PV_DATA[[#This Row],[QUANTITY]]*PV_DATA[[#This Row],[WATT]]/1000000</f>
        <v>1.60704</v>
      </c>
      <c r="W718" s="435">
        <f>PV_DATA[[#This Row],[QUANTITY]]/PV_DATA[[#This Row],[Qty/Pallet]]</f>
        <v>96</v>
      </c>
      <c r="X718" s="1040">
        <f>PV_DATA[[#This Row],[QUANTITY]]/PV_DATA[[#This Row],[Qty/CT]]</f>
        <v>4</v>
      </c>
      <c r="Y718" s="430" t="s">
        <v>2459</v>
      </c>
      <c r="Z718" s="430" t="str">
        <f t="shared" si="8"/>
        <v>COMPLETED</v>
      </c>
      <c r="AA718" s="430"/>
      <c r="AB718" s="437">
        <v>46212</v>
      </c>
      <c r="AC718" s="621">
        <f>IF(PV_DATA[[#This Row],[Pick- Up Date]]&lt;&gt;"",_xlfn.ISOWEEKNUM(PV_DATA[[#This Row],[Pick- Up Date]]),"")</f>
        <v>28</v>
      </c>
      <c r="AD718" s="430" t="s">
        <v>5415</v>
      </c>
      <c r="AE718" s="430"/>
      <c r="AF718" s="430" t="s">
        <v>122</v>
      </c>
      <c r="AG718" s="430" t="s">
        <v>123</v>
      </c>
      <c r="AH718" s="430" t="s">
        <v>105</v>
      </c>
      <c r="AI718" s="437">
        <v>46215</v>
      </c>
      <c r="AJ718" s="437">
        <v>46220</v>
      </c>
      <c r="AK718" s="437">
        <v>46223</v>
      </c>
      <c r="AL718" s="437">
        <v>46263</v>
      </c>
      <c r="AM718" s="586">
        <f>IFERROR(VLOOKUP(AT718, Vessel!A:H, 8, FALSE), "")</f>
        <v>46274.291666666664</v>
      </c>
      <c r="AN718" s="586">
        <f>IFERROR(IF(VLOOKUP(AT718,Vessel!A:I,9,FALSE)=0,"",VLOOKUP(AT718,Vessel!A:I,9,FALSE)),"")</f>
        <v>46274.338287037041</v>
      </c>
      <c r="AP718" s="430" t="s">
        <v>5416</v>
      </c>
      <c r="AQ718" s="430" t="s">
        <v>80</v>
      </c>
      <c r="AR718" s="430" t="s">
        <v>5417</v>
      </c>
      <c r="AS718" s="430" t="s">
        <v>5418</v>
      </c>
      <c r="AT718" s="430" t="s">
        <v>5418</v>
      </c>
      <c r="AU7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8" s="437"/>
      <c r="AW718" s="437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7">
        <f>IF(ISERROR(PV_DATA[[#This Row],[New Ark PO status]]),"",_xlfn.XLOOKUP(PV_DATA[[#This Row],[SPTN-PVHK New Ark PO'#]],New_Ark_Data[Purchase order Number],New_Ark_Data[Estimated time of arrival],"",0))</f>
        <v>46286</v>
      </c>
      <c r="AZ71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7">
        <f>IFERROR(PV_DATA[[#This Row],[ODP ETA Port]]+PV_DATA[[#This Row],[Customs/Leg3 Assumption]],"n/a")</f>
        <v>46281.338287037041</v>
      </c>
      <c r="BB718" s="433">
        <f>YEAR(PV_DATA[[#This Row],[ETA for New Ark update]])</f>
        <v>2026</v>
      </c>
      <c r="BC718" s="430">
        <f>MONTH(PV_DATA[[#This Row],[ETA for New Ark update]])</f>
        <v>9</v>
      </c>
      <c r="BD718" s="430">
        <f>IFERROR(_xlfn.ISOWEEKNUM(PV_DATA[[#This Row],[ETA for New Ark update]]),0)</f>
        <v>38</v>
      </c>
      <c r="BE718" s="430">
        <f>_xlfn.XLOOKUP(PV_DATA[[#This Row],[New Ark SKU]],Table9[New Ark SKU],Table9[Total PCS per Pallet],,0)</f>
        <v>36</v>
      </c>
      <c r="BF718" s="430">
        <f>_xlfn.XLOOKUP(PV_DATA[[#This Row],[New Ark SKU]],Table9[New Ark SKU],Table9[Total PCS per 40HQ Container],,0)</f>
        <v>864</v>
      </c>
      <c r="BG718" s="430" t="str">
        <f>_xlfn.XLOOKUP(PV_DATA[[#This Row],[New Ark SKU]],Table9[New Ark SKU],Table9[Back Glass],,0)</f>
        <v>White glazing</v>
      </c>
      <c r="BH718" s="430" t="str">
        <f>_xlfn.XLOOKUP(PV_DATA[[#This Row],[PORT DESTINATION]],Table12[PORT DESTINATION],Table12[Cosco Line],,0)</f>
        <v>AEU</v>
      </c>
      <c r="BJ718" s="430"/>
    </row>
    <row r="719" spans="1:62" ht="10.5">
      <c r="A719" s="462" t="s">
        <v>5419</v>
      </c>
      <c r="B719" s="462" t="s">
        <v>111</v>
      </c>
      <c r="C719" s="462" t="str">
        <f>IFERROR(LEFT(PV_DATA[[#This Row],[TCL REFERENCE]],FIND(".",PV_DATA[[#This Row],[TCL REFERENCE]],1)-1),"Main Line")</f>
        <v>26Jun002</v>
      </c>
      <c r="D719" s="462" t="s">
        <v>63</v>
      </c>
      <c r="E719" s="462" t="s">
        <v>64</v>
      </c>
      <c r="F719" s="462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2" t="s">
        <v>402</v>
      </c>
      <c r="H719" s="462" t="s">
        <v>67</v>
      </c>
      <c r="I719" s="462" t="s">
        <v>1395</v>
      </c>
      <c r="J719" s="430" t="s">
        <v>96</v>
      </c>
      <c r="K719" s="431"/>
      <c r="L719" s="431"/>
      <c r="M719" s="430" t="s">
        <v>68</v>
      </c>
      <c r="N719" s="432">
        <v>46195</v>
      </c>
      <c r="O719" s="430" t="s">
        <v>550</v>
      </c>
      <c r="P719" s="430" t="s">
        <v>2134</v>
      </c>
      <c r="Q719" s="430" t="s">
        <v>2135</v>
      </c>
      <c r="R719" s="430" t="str">
        <f>_xlfn.XLOOKUP(PV_DATA[[#This Row],[New Ark SKU]],Table9[New Ark SKU],Table9[Connector],,0)</f>
        <v>EVO2A</v>
      </c>
      <c r="S719" s="433" t="str">
        <f>_xlfn.XLOOKUP(PV_DATA[[#This Row],[New Ark SKU]],Table9[New Ark SKU],Table9[Cable],,0)</f>
        <v>±1350mm</v>
      </c>
      <c r="T719" s="433">
        <v>515</v>
      </c>
      <c r="U719" s="1088">
        <f>792*2</f>
        <v>1584</v>
      </c>
      <c r="V719" s="434">
        <f>PV_DATA[[#This Row],[QUANTITY]]*PV_DATA[[#This Row],[WATT]]/1000000</f>
        <v>0.81576000000000004</v>
      </c>
      <c r="W719" s="435">
        <f>PV_DATA[[#This Row],[QUANTITY]]/PV_DATA[[#This Row],[Qty/Pallet]]</f>
        <v>44</v>
      </c>
      <c r="X719" s="1040">
        <f>PV_DATA[[#This Row],[QUANTITY]]/PV_DATA[[#This Row],[Qty/CT]]</f>
        <v>2</v>
      </c>
      <c r="Y719" s="430" t="s">
        <v>2459</v>
      </c>
      <c r="Z719" s="430" t="str">
        <f t="shared" si="8"/>
        <v>COMPLETED</v>
      </c>
      <c r="AA719" s="430"/>
      <c r="AB719" s="437">
        <v>46212</v>
      </c>
      <c r="AC719" s="621">
        <f>IF(PV_DATA[[#This Row],[Pick- Up Date]]&lt;&gt;"",_xlfn.ISOWEEKNUM(PV_DATA[[#This Row],[Pick- Up Date]]),"")</f>
        <v>28</v>
      </c>
      <c r="AD719" s="430" t="s">
        <v>5420</v>
      </c>
      <c r="AE719" s="430"/>
      <c r="AF719" s="430" t="s">
        <v>122</v>
      </c>
      <c r="AG719" s="430" t="s">
        <v>123</v>
      </c>
      <c r="AH719" s="430" t="s">
        <v>105</v>
      </c>
      <c r="AI719" s="437">
        <v>46215</v>
      </c>
      <c r="AJ719" s="437">
        <v>46220</v>
      </c>
      <c r="AK719" s="437">
        <v>46223</v>
      </c>
      <c r="AL719" s="968">
        <v>46263</v>
      </c>
      <c r="AM719" s="1189">
        <f>IFERROR(VLOOKUP(AT719, Vessel!A:H, 8, FALSE), "")</f>
        <v>46274.291666666664</v>
      </c>
      <c r="AN719" s="586">
        <f>IFERROR(IF(VLOOKUP(AT719,Vessel!A:I,9,FALSE)=0,"",VLOOKUP(AT719,Vessel!A:I,9,FALSE)),"")</f>
        <v>46274.338287037041</v>
      </c>
      <c r="AP719" s="430" t="s">
        <v>5416</v>
      </c>
      <c r="AQ719" s="430" t="s">
        <v>80</v>
      </c>
      <c r="AR719" s="430" t="s">
        <v>5417</v>
      </c>
      <c r="AS719" s="430" t="s">
        <v>5418</v>
      </c>
      <c r="AT719" s="430" t="s">
        <v>5418</v>
      </c>
      <c r="AU7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9" s="437"/>
      <c r="AW719" s="437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7">
        <f>IF(ISERROR(PV_DATA[[#This Row],[New Ark PO status]]),"",_xlfn.XLOOKUP(PV_DATA[[#This Row],[SPTN-PVHK New Ark PO'#]],New_Ark_Data[Purchase order Number],New_Ark_Data[Estimated time of arrival],"",0))</f>
        <v>46286</v>
      </c>
      <c r="AZ71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7">
        <f>IFERROR(PV_DATA[[#This Row],[ODP ETA Port]]+PV_DATA[[#This Row],[Customs/Leg3 Assumption]],"n/a")</f>
        <v>46281.338287037041</v>
      </c>
      <c r="BB719" s="433">
        <f>YEAR(PV_DATA[[#This Row],[ETA for New Ark update]])</f>
        <v>2026</v>
      </c>
      <c r="BC719" s="430">
        <f>MONTH(PV_DATA[[#This Row],[ETA for New Ark update]])</f>
        <v>9</v>
      </c>
      <c r="BD719" s="430">
        <f>IFERROR(_xlfn.ISOWEEKNUM(PV_DATA[[#This Row],[ETA for New Ark update]]),0)</f>
        <v>38</v>
      </c>
      <c r="BE719" s="430">
        <f>_xlfn.XLOOKUP(PV_DATA[[#This Row],[New Ark SKU]],Table9[New Ark SKU],Table9[Total PCS per Pallet],,0)</f>
        <v>36</v>
      </c>
      <c r="BF719" s="430">
        <f>_xlfn.XLOOKUP(PV_DATA[[#This Row],[New Ark SKU]],Table9[New Ark SKU],Table9[Total PCS per 40HQ Container],,0)</f>
        <v>792</v>
      </c>
      <c r="BG719" s="430" t="str">
        <f>_xlfn.XLOOKUP(PV_DATA[[#This Row],[New Ark SKU]],Table9[New Ark SKU],Table9[Back Glass],,0)</f>
        <v>Black glazing</v>
      </c>
      <c r="BH719" s="430" t="str">
        <f>_xlfn.XLOOKUP(PV_DATA[[#This Row],[PORT DESTINATION]],Table12[PORT DESTINATION],Table12[Cosco Line],,0)</f>
        <v>AEU</v>
      </c>
      <c r="BJ719" s="430"/>
    </row>
    <row r="720" spans="1:62" ht="10.5">
      <c r="A720" s="462" t="s">
        <v>5421</v>
      </c>
      <c r="B720" s="462" t="s">
        <v>111</v>
      </c>
      <c r="C720" s="462" t="str">
        <f>IFERROR(LEFT(PV_DATA[[#This Row],[TCL REFERENCE]],FIND(".",PV_DATA[[#This Row],[TCL REFERENCE]],1)-1),"Main Line")</f>
        <v>26Jun016</v>
      </c>
      <c r="D720" s="462" t="s">
        <v>63</v>
      </c>
      <c r="E720" s="462" t="s">
        <v>64</v>
      </c>
      <c r="F720" s="462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2" t="s">
        <v>402</v>
      </c>
      <c r="H720" s="462" t="s">
        <v>67</v>
      </c>
      <c r="I720" s="462" t="s">
        <v>689</v>
      </c>
      <c r="J720" s="430" t="s">
        <v>96</v>
      </c>
      <c r="K720" s="431"/>
      <c r="L720" s="431"/>
      <c r="M720" s="430" t="s">
        <v>68</v>
      </c>
      <c r="N720" s="432">
        <v>46202</v>
      </c>
      <c r="O720" s="430" t="s">
        <v>5379</v>
      </c>
      <c r="P720" s="430" t="s">
        <v>5380</v>
      </c>
      <c r="Q720" s="430" t="s">
        <v>5381</v>
      </c>
      <c r="R720" s="430" t="str">
        <f>_xlfn.XLOOKUP(PV_DATA[[#This Row],[New Ark SKU]],Table9[New Ark SKU],Table9[Connector],,0)</f>
        <v>EVO2A</v>
      </c>
      <c r="S720" s="433" t="str">
        <f>_xlfn.XLOOKUP(PV_DATA[[#This Row],[New Ark SKU]],Table9[New Ark SKU],Table9[Cable],,0)</f>
        <v>±1200mm</v>
      </c>
      <c r="T720" s="433">
        <v>470</v>
      </c>
      <c r="U720" s="1088">
        <f>936*2</f>
        <v>1872</v>
      </c>
      <c r="V720" s="434">
        <f>PV_DATA[[#This Row],[QUANTITY]]*PV_DATA[[#This Row],[WATT]]/1000000</f>
        <v>0.87983999999999996</v>
      </c>
      <c r="W720" s="435">
        <f>PV_DATA[[#This Row],[QUANTITY]]/PV_DATA[[#This Row],[Qty/Pallet]]</f>
        <v>52</v>
      </c>
      <c r="X720" s="1040">
        <f>PV_DATA[[#This Row],[QUANTITY]]/PV_DATA[[#This Row],[Qty/CT]]</f>
        <v>2</v>
      </c>
      <c r="Y720" s="430" t="s">
        <v>2460</v>
      </c>
      <c r="Z720" s="430" t="str">
        <f t="shared" si="8"/>
        <v>COMPLETED</v>
      </c>
      <c r="AA720" s="430" t="s">
        <v>5422</v>
      </c>
      <c r="AB720" s="437">
        <v>46212</v>
      </c>
      <c r="AC720" s="621">
        <f>IF(PV_DATA[[#This Row],[Pick- Up Date]]&lt;&gt;"",_xlfn.ISOWEEKNUM(PV_DATA[[#This Row],[Pick- Up Date]]),"")</f>
        <v>28</v>
      </c>
      <c r="AD720" s="430" t="s">
        <v>5423</v>
      </c>
      <c r="AE720" s="430"/>
      <c r="AF720" s="430" t="s">
        <v>122</v>
      </c>
      <c r="AG720" s="430" t="s">
        <v>123</v>
      </c>
      <c r="AH720" s="430" t="s">
        <v>105</v>
      </c>
      <c r="AI720" s="437">
        <v>46215</v>
      </c>
      <c r="AJ720" s="437">
        <v>46220</v>
      </c>
      <c r="AK720" s="437">
        <v>46223</v>
      </c>
      <c r="AL720" s="437">
        <v>46263</v>
      </c>
      <c r="AM720" s="586">
        <f>IFERROR(VLOOKUP(AT720, Vessel!A:H, 8, FALSE), "")</f>
        <v>46274.291666666664</v>
      </c>
      <c r="AN720" s="586">
        <f>IFERROR(IF(VLOOKUP(AT720,Vessel!A:I,9,FALSE)=0,"",VLOOKUP(AT720,Vessel!A:I,9,FALSE)),"")</f>
        <v>46274.338287037041</v>
      </c>
      <c r="AP720" s="430" t="s">
        <v>5416</v>
      </c>
      <c r="AQ720" s="430" t="s">
        <v>80</v>
      </c>
      <c r="AR720" s="430" t="s">
        <v>5417</v>
      </c>
      <c r="AS720" s="430" t="s">
        <v>5418</v>
      </c>
      <c r="AT720" s="430" t="s">
        <v>5418</v>
      </c>
      <c r="AU7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W720" s="437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7">
        <f>IF(ISERROR(PV_DATA[[#This Row],[New Ark PO status]]),"",_xlfn.XLOOKUP(PV_DATA[[#This Row],[SPTN-PVHK New Ark PO'#]],New_Ark_Data[Purchase order Number],New_Ark_Data[Estimated time of arrival],"",0))</f>
        <v>46286</v>
      </c>
      <c r="AZ72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7">
        <f>IFERROR(PV_DATA[[#This Row],[ODP ETA Port]]+PV_DATA[[#This Row],[Customs/Leg3 Assumption]],"n/a")</f>
        <v>46281.338287037041</v>
      </c>
      <c r="BB720" s="433">
        <f>YEAR(PV_DATA[[#This Row],[ETA for New Ark update]])</f>
        <v>2026</v>
      </c>
      <c r="BC720" s="430">
        <f>MONTH(PV_DATA[[#This Row],[ETA for New Ark update]])</f>
        <v>9</v>
      </c>
      <c r="BD720" s="430">
        <f>IFERROR(_xlfn.ISOWEEKNUM(PV_DATA[[#This Row],[ETA for New Ark update]]),0)</f>
        <v>38</v>
      </c>
      <c r="BE720" s="430">
        <f>_xlfn.XLOOKUP(PV_DATA[[#This Row],[New Ark SKU]],Table9[New Ark SKU],Table9[Total PCS per Pallet],,0)</f>
        <v>36</v>
      </c>
      <c r="BF720" s="430">
        <f>_xlfn.XLOOKUP(PV_DATA[[#This Row],[New Ark SKU]],Table9[New Ark SKU],Table9[Total PCS per 40HQ Container],,0)</f>
        <v>936</v>
      </c>
      <c r="BG720" s="430" t="str">
        <f>_xlfn.XLOOKUP(PV_DATA[[#This Row],[New Ark SKU]],Table9[New Ark SKU],Table9[Back Glass],,0)</f>
        <v>Black glazing</v>
      </c>
      <c r="BH720" s="430" t="str">
        <f>_xlfn.XLOOKUP(PV_DATA[[#This Row],[PORT DESTINATION]],Table12[PORT DESTINATION],Table12[Cosco Line],,0)</f>
        <v>AEU</v>
      </c>
      <c r="BJ720" s="430"/>
    </row>
    <row r="721" spans="1:62" ht="10.5">
      <c r="A721" s="462" t="s">
        <v>5424</v>
      </c>
      <c r="B721" s="462" t="s">
        <v>1757</v>
      </c>
      <c r="C721" s="462" t="str">
        <f>IFERROR(LEFT(PV_DATA[[#This Row],[TCL REFERENCE]],FIND(".",PV_DATA[[#This Row],[TCL REFERENCE]],1)-1),"Main Line")</f>
        <v>26Jun012</v>
      </c>
      <c r="D721" s="462" t="s">
        <v>63</v>
      </c>
      <c r="E721" s="462" t="s">
        <v>64</v>
      </c>
      <c r="F721" s="462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2" t="s">
        <v>402</v>
      </c>
      <c r="H721" s="462" t="s">
        <v>67</v>
      </c>
      <c r="I721" s="462" t="s">
        <v>869</v>
      </c>
      <c r="J721" s="430" t="s">
        <v>96</v>
      </c>
      <c r="K721" s="431"/>
      <c r="L721" s="431"/>
      <c r="M721" s="430" t="s">
        <v>68</v>
      </c>
      <c r="N721" s="432">
        <v>46195</v>
      </c>
      <c r="O721" s="430" t="s">
        <v>4531</v>
      </c>
      <c r="P721" s="430" t="s">
        <v>1151</v>
      </c>
      <c r="Q721" s="430" t="s">
        <v>421</v>
      </c>
      <c r="R721" s="430" t="str">
        <f>_xlfn.XLOOKUP(PV_DATA[[#This Row],[New Ark SKU]],Table9[New Ark SKU],Table9[Connector],,0)</f>
        <v>EVO2A</v>
      </c>
      <c r="S721" s="433" t="str">
        <f>_xlfn.XLOOKUP(PV_DATA[[#This Row],[New Ark SKU]],Table9[New Ark SKU],Table9[Cable],,0)</f>
        <v>±1200mm</v>
      </c>
      <c r="T721" s="433">
        <v>505</v>
      </c>
      <c r="U721" s="1088">
        <v>4320</v>
      </c>
      <c r="V721" s="434">
        <f>PV_DATA[[#This Row],[QUANTITY]]*PV_DATA[[#This Row],[WATT]]/1000000</f>
        <v>2.1816</v>
      </c>
      <c r="W721" s="435">
        <f>PV_DATA[[#This Row],[QUANTITY]]/PV_DATA[[#This Row],[Qty/Pallet]]</f>
        <v>120</v>
      </c>
      <c r="X721" s="1040">
        <f>PV_DATA[[#This Row],[QUANTITY]]/PV_DATA[[#This Row],[Qty/CT]]</f>
        <v>5</v>
      </c>
      <c r="Y721" s="430" t="s">
        <v>2457</v>
      </c>
      <c r="Z721" s="430" t="str">
        <f t="shared" si="8"/>
        <v>COMPLETED</v>
      </c>
      <c r="AA721" s="430"/>
      <c r="AB721" s="437">
        <v>46213</v>
      </c>
      <c r="AC721" s="485">
        <f>IF(PV_DATA[[#This Row],[Pick- Up Date]]&lt;&gt;"",_xlfn.ISOWEEKNUM(PV_DATA[[#This Row],[Pick- Up Date]]),"")</f>
        <v>28</v>
      </c>
      <c r="AD721" s="430" t="s">
        <v>5425</v>
      </c>
      <c r="AE721" s="430"/>
      <c r="AF721" s="459" t="s">
        <v>5034</v>
      </c>
      <c r="AG721" s="459" t="s">
        <v>123</v>
      </c>
      <c r="AH721" s="430" t="s">
        <v>105</v>
      </c>
      <c r="AI721" s="437">
        <v>46221</v>
      </c>
      <c r="AJ721" s="437">
        <v>46227</v>
      </c>
      <c r="AK721" s="437">
        <v>46227</v>
      </c>
      <c r="AL721" s="437">
        <v>46263</v>
      </c>
      <c r="AN721" s="437">
        <v>46267</v>
      </c>
      <c r="AP721" s="430" t="s">
        <v>5426</v>
      </c>
      <c r="AQ721" s="430" t="s">
        <v>161</v>
      </c>
      <c r="AR721" s="430" t="s">
        <v>5427</v>
      </c>
      <c r="AS721" s="430" t="s">
        <v>5428</v>
      </c>
      <c r="AT721" s="430" t="s">
        <v>5429</v>
      </c>
      <c r="AU7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1" s="437"/>
      <c r="AW721" s="437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7">
        <f>IF(ISERROR(PV_DATA[[#This Row],[New Ark PO status]]),"",_xlfn.XLOOKUP(PV_DATA[[#This Row],[SPTN-PVHK New Ark PO'#]],New_Ark_Data[Purchase order Number],New_Ark_Data[Estimated time of arrival],"",0))</f>
        <v>46279</v>
      </c>
      <c r="AZ72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7">
        <f>IFERROR(PV_DATA[[#This Row],[ODP ETA Port]]+PV_DATA[[#This Row],[Customs/Leg3 Assumption]],"n/a")</f>
        <v>46274</v>
      </c>
      <c r="BB721" s="433">
        <f>YEAR(PV_DATA[[#This Row],[ETA for New Ark update]])</f>
        <v>2026</v>
      </c>
      <c r="BC721" s="430">
        <f>MONTH(PV_DATA[[#This Row],[ETA for New Ark update]])</f>
        <v>9</v>
      </c>
      <c r="BD721" s="430">
        <f>IFERROR(_xlfn.ISOWEEKNUM(PV_DATA[[#This Row],[ETA for New Ark update]]),0)</f>
        <v>37</v>
      </c>
      <c r="BE721" s="430">
        <f>_xlfn.XLOOKUP(PV_DATA[[#This Row],[New Ark SKU]],Table9[New Ark SKU],Table9[Total PCS per Pallet],,0)</f>
        <v>36</v>
      </c>
      <c r="BF721" s="430">
        <f>_xlfn.XLOOKUP(PV_DATA[[#This Row],[New Ark SKU]],Table9[New Ark SKU],Table9[Total PCS per 40HQ Container],,0)</f>
        <v>864</v>
      </c>
      <c r="BG721" s="430" t="str">
        <f>_xlfn.XLOOKUP(PV_DATA[[#This Row],[New Ark SKU]],Table9[New Ark SKU],Table9[Back Glass],,0)</f>
        <v>Black glazing</v>
      </c>
      <c r="BH721" s="430" t="str">
        <f>_xlfn.XLOOKUP(PV_DATA[[#This Row],[PORT DESTINATION]],Table12[PORT DESTINATION],Table12[Cosco Line],,0)</f>
        <v>AEU</v>
      </c>
      <c r="BJ721" s="430"/>
    </row>
    <row r="722" spans="1:62" s="463" customFormat="1" ht="10.5">
      <c r="A722" s="462" t="s">
        <v>5430</v>
      </c>
      <c r="B722" s="462" t="s">
        <v>1757</v>
      </c>
      <c r="C722" s="462" t="str">
        <f>IFERROR(LEFT(PV_DATA[[#This Row],[TCL REFERENCE]],FIND(".",PV_DATA[[#This Row],[TCL REFERENCE]],1)-1),"Main Line")</f>
        <v>26Jun012</v>
      </c>
      <c r="D722" s="462" t="s">
        <v>63</v>
      </c>
      <c r="E722" s="462" t="s">
        <v>64</v>
      </c>
      <c r="F722" s="462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2" t="s">
        <v>402</v>
      </c>
      <c r="H722" s="462" t="s">
        <v>67</v>
      </c>
      <c r="I722" s="462" t="s">
        <v>869</v>
      </c>
      <c r="J722" s="430" t="s">
        <v>96</v>
      </c>
      <c r="K722" s="431"/>
      <c r="L722" s="431"/>
      <c r="M722" s="430" t="s">
        <v>68</v>
      </c>
      <c r="N722" s="432">
        <v>46195</v>
      </c>
      <c r="O722" s="430" t="s">
        <v>4531</v>
      </c>
      <c r="P722" s="430" t="s">
        <v>1151</v>
      </c>
      <c r="Q722" s="430" t="s">
        <v>421</v>
      </c>
      <c r="R722" s="430" t="str">
        <f>_xlfn.XLOOKUP(PV_DATA[[#This Row],[New Ark SKU]],Table9[New Ark SKU],Table9[Connector],,0)</f>
        <v>EVO2A</v>
      </c>
      <c r="S722" s="433" t="str">
        <f>_xlfn.XLOOKUP(PV_DATA[[#This Row],[New Ark SKU]],Table9[New Ark SKU],Table9[Cable],,0)</f>
        <v>±1200mm</v>
      </c>
      <c r="T722" s="433">
        <v>505</v>
      </c>
      <c r="U722" s="1088">
        <v>2592</v>
      </c>
      <c r="V722" s="434">
        <f>PV_DATA[[#This Row],[QUANTITY]]*PV_DATA[[#This Row],[WATT]]/1000000</f>
        <v>1.3089599999999999</v>
      </c>
      <c r="W722" s="435">
        <f>PV_DATA[[#This Row],[QUANTITY]]/PV_DATA[[#This Row],[Qty/Pallet]]</f>
        <v>72</v>
      </c>
      <c r="X722" s="1040">
        <f>PV_DATA[[#This Row],[QUANTITY]]/PV_DATA[[#This Row],[Qty/CT]]</f>
        <v>3</v>
      </c>
      <c r="Y722" s="430" t="s">
        <v>2457</v>
      </c>
      <c r="Z722" s="430" t="str">
        <f t="shared" si="8"/>
        <v>COMPLETED</v>
      </c>
      <c r="AA722" s="430"/>
      <c r="AB722" s="437">
        <v>46216</v>
      </c>
      <c r="AC722" s="485">
        <f>IF(PV_DATA[[#This Row],[Pick- Up Date]]&lt;&gt;"",_xlfn.ISOWEEKNUM(PV_DATA[[#This Row],[Pick- Up Date]]),"")</f>
        <v>29</v>
      </c>
      <c r="AD722" s="430" t="s">
        <v>5431</v>
      </c>
      <c r="AE722" s="430"/>
      <c r="AF722" s="459" t="s">
        <v>5034</v>
      </c>
      <c r="AG722" s="459" t="s">
        <v>123</v>
      </c>
      <c r="AH722" s="430" t="s">
        <v>105</v>
      </c>
      <c r="AI722" s="437">
        <v>46221</v>
      </c>
      <c r="AJ722" s="437">
        <v>46227</v>
      </c>
      <c r="AK722" s="437">
        <v>46227</v>
      </c>
      <c r="AL722" s="437">
        <v>46263</v>
      </c>
      <c r="AM722" s="437"/>
      <c r="AN722" s="437">
        <v>46267</v>
      </c>
      <c r="AO722" s="430"/>
      <c r="AP722" s="430" t="s">
        <v>5432</v>
      </c>
      <c r="AQ722" s="430" t="s">
        <v>161</v>
      </c>
      <c r="AR722" s="430" t="s">
        <v>5433</v>
      </c>
      <c r="AS722" s="430" t="s">
        <v>5434</v>
      </c>
      <c r="AT722" s="430" t="s">
        <v>5435</v>
      </c>
      <c r="AU7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2" s="437"/>
      <c r="AW722" s="437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7">
        <f>IF(ISERROR(PV_DATA[[#This Row],[New Ark PO status]]),"",_xlfn.XLOOKUP(PV_DATA[[#This Row],[SPTN-PVHK New Ark PO'#]],New_Ark_Data[Purchase order Number],New_Ark_Data[Estimated time of arrival],"",0))</f>
        <v>46279</v>
      </c>
      <c r="AZ72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7">
        <f>IFERROR(PV_DATA[[#This Row],[ODP ETA Port]]+PV_DATA[[#This Row],[Customs/Leg3 Assumption]],"n/a")</f>
        <v>46274</v>
      </c>
      <c r="BB722" s="433">
        <f>YEAR(PV_DATA[[#This Row],[ETA for New Ark update]])</f>
        <v>2026</v>
      </c>
      <c r="BC722" s="430">
        <f>MONTH(PV_DATA[[#This Row],[ETA for New Ark update]])</f>
        <v>9</v>
      </c>
      <c r="BD722" s="430">
        <f>IFERROR(_xlfn.ISOWEEKNUM(PV_DATA[[#This Row],[ETA for New Ark update]]),0)</f>
        <v>37</v>
      </c>
      <c r="BE722" s="430">
        <f>_xlfn.XLOOKUP(PV_DATA[[#This Row],[New Ark SKU]],Table9[New Ark SKU],Table9[Total PCS per Pallet],,0)</f>
        <v>36</v>
      </c>
      <c r="BF722" s="430">
        <f>_xlfn.XLOOKUP(PV_DATA[[#This Row],[New Ark SKU]],Table9[New Ark SKU],Table9[Total PCS per 40HQ Container],,0)</f>
        <v>864</v>
      </c>
      <c r="BG722" s="430" t="str">
        <f>_xlfn.XLOOKUP(PV_DATA[[#This Row],[New Ark SKU]],Table9[New Ark SKU],Table9[Back Glass],,0)</f>
        <v>Black glazing</v>
      </c>
      <c r="BH722" s="610" t="str">
        <f>_xlfn.XLOOKUP(PV_DATA[[#This Row],[PORT DESTINATION]],Table12[PORT DESTINATION],Table12[Cosco Line],,0)</f>
        <v>AEU</v>
      </c>
    </row>
    <row r="723" spans="1:62" s="463" customFormat="1" ht="14.25" customHeight="1">
      <c r="A723" s="462" t="s">
        <v>5436</v>
      </c>
      <c r="B723" s="462" t="s">
        <v>1757</v>
      </c>
      <c r="C723" s="462" t="str">
        <f>IFERROR(LEFT(PV_DATA[[#This Row],[TCL REFERENCE]],FIND(".",PV_DATA[[#This Row],[TCL REFERENCE]],1)-1),"Main Line")</f>
        <v>26Jun012</v>
      </c>
      <c r="D723" s="462" t="s">
        <v>63</v>
      </c>
      <c r="E723" s="462" t="s">
        <v>64</v>
      </c>
      <c r="F723" s="462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2" t="s">
        <v>402</v>
      </c>
      <c r="H723" s="462" t="s">
        <v>67</v>
      </c>
      <c r="I723" s="462" t="s">
        <v>869</v>
      </c>
      <c r="J723" s="430" t="s">
        <v>96</v>
      </c>
      <c r="K723" s="431"/>
      <c r="L723" s="431"/>
      <c r="M723" s="430" t="s">
        <v>68</v>
      </c>
      <c r="N723" s="432">
        <v>46195</v>
      </c>
      <c r="O723" s="430" t="s">
        <v>4531</v>
      </c>
      <c r="P723" s="430" t="s">
        <v>1151</v>
      </c>
      <c r="Q723" s="430" t="s">
        <v>421</v>
      </c>
      <c r="R723" s="430" t="str">
        <f>_xlfn.XLOOKUP(PV_DATA[[#This Row],[New Ark SKU]],Table9[New Ark SKU],Table9[Connector],,0)</f>
        <v>EVO2A</v>
      </c>
      <c r="S723" s="433" t="str">
        <f>_xlfn.XLOOKUP(PV_DATA[[#This Row],[New Ark SKU]],Table9[New Ark SKU],Table9[Cable],,0)</f>
        <v>±1200mm</v>
      </c>
      <c r="T723" s="433">
        <v>505</v>
      </c>
      <c r="U723" s="1088">
        <f>864*6</f>
        <v>5184</v>
      </c>
      <c r="V723" s="434">
        <f>PV_DATA[[#This Row],[QUANTITY]]*PV_DATA[[#This Row],[WATT]]/1000000</f>
        <v>2.6179199999999998</v>
      </c>
      <c r="W723" s="435">
        <f>PV_DATA[[#This Row],[QUANTITY]]/PV_DATA[[#This Row],[Qty/Pallet]]</f>
        <v>144</v>
      </c>
      <c r="X723" s="1040">
        <f>PV_DATA[[#This Row],[QUANTITY]]/PV_DATA[[#This Row],[Qty/CT]]</f>
        <v>6</v>
      </c>
      <c r="Y723" s="430" t="s">
        <v>2458</v>
      </c>
      <c r="Z723" s="430" t="str">
        <f t="shared" si="8"/>
        <v>COMPLETED</v>
      </c>
      <c r="AA723" s="430"/>
      <c r="AB723" s="437">
        <v>46216</v>
      </c>
      <c r="AC723" s="485">
        <f>IF(PV_DATA[[#This Row],[Pick- Up Date]]&lt;&gt;"",_xlfn.ISOWEEKNUM(PV_DATA[[#This Row],[Pick- Up Date]]),"")</f>
        <v>29</v>
      </c>
      <c r="AD723" s="430" t="s">
        <v>5437</v>
      </c>
      <c r="AE723" s="430"/>
      <c r="AF723" s="459" t="s">
        <v>5034</v>
      </c>
      <c r="AG723" s="459" t="s">
        <v>123</v>
      </c>
      <c r="AH723" s="430" t="s">
        <v>105</v>
      </c>
      <c r="AI723" s="437">
        <v>46221</v>
      </c>
      <c r="AJ723" s="437">
        <v>46227</v>
      </c>
      <c r="AK723" s="437">
        <v>46227</v>
      </c>
      <c r="AL723" s="437">
        <v>46263</v>
      </c>
      <c r="AM723" s="437"/>
      <c r="AN723" s="437">
        <v>46267</v>
      </c>
      <c r="AO723" s="430"/>
      <c r="AP723" s="430" t="s">
        <v>5432</v>
      </c>
      <c r="AQ723" s="430" t="s">
        <v>161</v>
      </c>
      <c r="AR723" s="430" t="s">
        <v>5433</v>
      </c>
      <c r="AS723" s="430" t="s">
        <v>5434</v>
      </c>
      <c r="AT723" s="430" t="s">
        <v>5435</v>
      </c>
      <c r="AU7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3" s="437"/>
      <c r="AW723" s="437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7">
        <f>IF(ISERROR(PV_DATA[[#This Row],[New Ark PO status]]),"",_xlfn.XLOOKUP(PV_DATA[[#This Row],[SPTN-PVHK New Ark PO'#]],New_Ark_Data[Purchase order Number],New_Ark_Data[Estimated time of arrival],"",0))</f>
        <v>46279</v>
      </c>
      <c r="AZ72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7">
        <f>IFERROR(PV_DATA[[#This Row],[ODP ETA Port]]+PV_DATA[[#This Row],[Customs/Leg3 Assumption]],"n/a")</f>
        <v>46274</v>
      </c>
      <c r="BB723" s="433">
        <f>YEAR(PV_DATA[[#This Row],[ETA for New Ark update]])</f>
        <v>2026</v>
      </c>
      <c r="BC723" s="430">
        <f>MONTH(PV_DATA[[#This Row],[ETA for New Ark update]])</f>
        <v>9</v>
      </c>
      <c r="BD723" s="430">
        <f>IFERROR(_xlfn.ISOWEEKNUM(PV_DATA[[#This Row],[ETA for New Ark update]]),0)</f>
        <v>37</v>
      </c>
      <c r="BE723" s="430">
        <f>_xlfn.XLOOKUP(PV_DATA[[#This Row],[New Ark SKU]],Table9[New Ark SKU],Table9[Total PCS per Pallet],,0)</f>
        <v>36</v>
      </c>
      <c r="BF723" s="430">
        <f>_xlfn.XLOOKUP(PV_DATA[[#This Row],[New Ark SKU]],Table9[New Ark SKU],Table9[Total PCS per 40HQ Container],,0)</f>
        <v>864</v>
      </c>
      <c r="BG723" s="430" t="str">
        <f>_xlfn.XLOOKUP(PV_DATA[[#This Row],[New Ark SKU]],Table9[New Ark SKU],Table9[Back Glass],,0)</f>
        <v>Black glazing</v>
      </c>
      <c r="BH723" s="430" t="str">
        <f>_xlfn.XLOOKUP(PV_DATA[[#This Row],[PORT DESTINATION]],Table12[PORT DESTINATION],Table12[Cosco Line],,0)</f>
        <v>AEU</v>
      </c>
    </row>
    <row r="724" spans="1:62" ht="10.5">
      <c r="A724" s="462" t="s">
        <v>5438</v>
      </c>
      <c r="B724" s="462" t="s">
        <v>111</v>
      </c>
      <c r="C724" s="462" t="str">
        <f>IFERROR(LEFT(PV_DATA[[#This Row],[TCL REFERENCE]],FIND(".",PV_DATA[[#This Row],[TCL REFERENCE]],1)-1),"Main Line")</f>
        <v>26Jun015</v>
      </c>
      <c r="D724" s="462" t="s">
        <v>63</v>
      </c>
      <c r="E724" s="462" t="s">
        <v>64</v>
      </c>
      <c r="F724" s="462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2" t="s">
        <v>402</v>
      </c>
      <c r="H724" s="462" t="s">
        <v>67</v>
      </c>
      <c r="I724" s="462" t="s">
        <v>689</v>
      </c>
      <c r="J724" s="430" t="s">
        <v>96</v>
      </c>
      <c r="K724" s="431"/>
      <c r="L724" s="431"/>
      <c r="M724" s="430" t="s">
        <v>68</v>
      </c>
      <c r="N724" s="432">
        <v>46202</v>
      </c>
      <c r="O724" s="430" t="s">
        <v>5379</v>
      </c>
      <c r="P724" s="430" t="s">
        <v>5400</v>
      </c>
      <c r="Q724" s="430" t="s">
        <v>5401</v>
      </c>
      <c r="R724" s="430" t="str">
        <f>_xlfn.XLOOKUP(PV_DATA[[#This Row],[New Ark SKU]],Table9[New Ark SKU],Table9[Connector],,0)</f>
        <v>EVO2A</v>
      </c>
      <c r="S724" s="433" t="str">
        <f>_xlfn.XLOOKUP(PV_DATA[[#This Row],[New Ark SKU]],Table9[New Ark SKU],Table9[Cable],,0)</f>
        <v>±1200mm</v>
      </c>
      <c r="T724" s="433">
        <v>465</v>
      </c>
      <c r="U724" s="1088">
        <v>4680</v>
      </c>
      <c r="V724" s="434">
        <f>PV_DATA[[#This Row],[QUANTITY]]*PV_DATA[[#This Row],[WATT]]/1000000</f>
        <v>2.1762000000000001</v>
      </c>
      <c r="W724" s="435">
        <f>PV_DATA[[#This Row],[QUANTITY]]/PV_DATA[[#This Row],[Qty/Pallet]]</f>
        <v>130</v>
      </c>
      <c r="X724" s="1040">
        <f>PV_DATA[[#This Row],[QUANTITY]]/PV_DATA[[#This Row],[Qty/CT]]</f>
        <v>5</v>
      </c>
      <c r="Y724" s="430" t="s">
        <v>2459</v>
      </c>
      <c r="Z724" s="430" t="str">
        <f t="shared" si="8"/>
        <v>COMPLETED</v>
      </c>
      <c r="AA724" s="430" t="s">
        <v>5439</v>
      </c>
      <c r="AB724" s="543">
        <v>46213</v>
      </c>
      <c r="AC724" s="485">
        <f>IF(PV_DATA[[#This Row],[Pick- Up Date]]&lt;&gt;"",_xlfn.ISOWEEKNUM(PV_DATA[[#This Row],[Pick- Up Date]]),"")</f>
        <v>28</v>
      </c>
      <c r="AD724" s="430" t="s">
        <v>5440</v>
      </c>
      <c r="AE724" s="430"/>
      <c r="AF724" s="430" t="s">
        <v>122</v>
      </c>
      <c r="AG724" s="430" t="s">
        <v>123</v>
      </c>
      <c r="AH724" s="430" t="s">
        <v>78</v>
      </c>
      <c r="AI724" s="437">
        <v>46222</v>
      </c>
      <c r="AJ724" s="437">
        <v>46226</v>
      </c>
      <c r="AK724" s="437">
        <v>46227</v>
      </c>
      <c r="AL724" s="437">
        <v>46272</v>
      </c>
      <c r="AM724" s="586">
        <f>IFERROR(VLOOKUP(AT724, Vessel!A:H, 8, FALSE), "")</f>
        <v>46278.083333333336</v>
      </c>
      <c r="AN724" s="586">
        <f>IFERROR(IF(VLOOKUP(AT724,Vessel!A:I,9,FALSE)=0,"",VLOOKUP(AT724,Vessel!A:I,9,FALSE)),"")</f>
        <v>46278.186840277776</v>
      </c>
      <c r="AP724" s="430" t="s">
        <v>5441</v>
      </c>
      <c r="AQ724" s="438" t="s">
        <v>80</v>
      </c>
      <c r="AR724" s="430" t="s">
        <v>5442</v>
      </c>
      <c r="AS724" s="430" t="s">
        <v>5443</v>
      </c>
      <c r="AT724" s="430" t="s">
        <v>5443</v>
      </c>
      <c r="AU7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4" s="437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7">
        <f>IF(ISERROR(PV_DATA[[#This Row],[New Ark PO status]]),"",_xlfn.XLOOKUP(PV_DATA[[#This Row],[SPTN-PVHK New Ark PO'#]],New_Ark_Data[Purchase order Number],New_Ark_Data[Estimated time of arrival],"",0))</f>
        <v>46290</v>
      </c>
      <c r="AZ72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7">
        <f>IFERROR(PV_DATA[[#This Row],[ODP ETA Port]]+PV_DATA[[#This Row],[Customs/Leg3 Assumption]],"n/a")</f>
        <v>46286.186840277776</v>
      </c>
      <c r="BB724" s="433">
        <f>YEAR(PV_DATA[[#This Row],[ETA for New Ark update]])</f>
        <v>2026</v>
      </c>
      <c r="BC724" s="430">
        <f>MONTH(PV_DATA[[#This Row],[ETA for New Ark update]])</f>
        <v>9</v>
      </c>
      <c r="BD724" s="430">
        <f>IFERROR(_xlfn.ISOWEEKNUM(PV_DATA[[#This Row],[ETA for New Ark update]]),0)</f>
        <v>39</v>
      </c>
      <c r="BE724" s="430">
        <f>_xlfn.XLOOKUP(PV_DATA[[#This Row],[New Ark SKU]],Table9[New Ark SKU],Table9[Total PCS per Pallet],,0)</f>
        <v>36</v>
      </c>
      <c r="BF724" s="430">
        <f>_xlfn.XLOOKUP(PV_DATA[[#This Row],[New Ark SKU]],Table9[New Ark SKU],Table9[Total PCS per 40HQ Container],,0)</f>
        <v>936</v>
      </c>
      <c r="BG724" s="430" t="str">
        <f>_xlfn.XLOOKUP(PV_DATA[[#This Row],[New Ark SKU]],Table9[New Ark SKU],Table9[Back Glass],,0)</f>
        <v>Black glazing</v>
      </c>
      <c r="BH724" s="430" t="str">
        <f>_xlfn.XLOOKUP(PV_DATA[[#This Row],[PORT DESTINATION]],Table12[PORT DESTINATION],Table12[Cosco Line],,0)</f>
        <v>AEM</v>
      </c>
      <c r="BJ724" s="430"/>
    </row>
    <row r="725" spans="1:62" ht="10.5">
      <c r="A725" s="462" t="s">
        <v>5444</v>
      </c>
      <c r="B725" s="462" t="s">
        <v>111</v>
      </c>
      <c r="C725" s="462" t="str">
        <f>IFERROR(LEFT(PV_DATA[[#This Row],[TCL REFERENCE]],FIND(".",PV_DATA[[#This Row],[TCL REFERENCE]],1)-1),"Main Line")</f>
        <v>26Jun015</v>
      </c>
      <c r="D725" s="462" t="s">
        <v>63</v>
      </c>
      <c r="E725" s="462" t="s">
        <v>64</v>
      </c>
      <c r="F725" s="462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2" t="s">
        <v>402</v>
      </c>
      <c r="H725" s="462" t="s">
        <v>67</v>
      </c>
      <c r="I725" s="462" t="s">
        <v>689</v>
      </c>
      <c r="J725" s="430" t="s">
        <v>96</v>
      </c>
      <c r="K725" s="431"/>
      <c r="L725" s="431"/>
      <c r="M725" s="430" t="s">
        <v>68</v>
      </c>
      <c r="N725" s="432">
        <v>46202</v>
      </c>
      <c r="O725" s="430" t="s">
        <v>5379</v>
      </c>
      <c r="P725" s="430" t="s">
        <v>5400</v>
      </c>
      <c r="Q725" s="430" t="s">
        <v>5401</v>
      </c>
      <c r="R725" s="430" t="str">
        <f>_xlfn.XLOOKUP(PV_DATA[[#This Row],[New Ark SKU]],Table9[New Ark SKU],Table9[Connector],,0)</f>
        <v>EVO2A</v>
      </c>
      <c r="S725" s="433" t="str">
        <f>_xlfn.XLOOKUP(PV_DATA[[#This Row],[New Ark SKU]],Table9[New Ark SKU],Table9[Cable],,0)</f>
        <v>±1200mm</v>
      </c>
      <c r="T725" s="433">
        <v>465</v>
      </c>
      <c r="U725" s="1088">
        <v>936</v>
      </c>
      <c r="V725" s="434">
        <f>PV_DATA[[#This Row],[QUANTITY]]*PV_DATA[[#This Row],[WATT]]/1000000</f>
        <v>0.43524000000000002</v>
      </c>
      <c r="W725" s="435">
        <f>PV_DATA[[#This Row],[QUANTITY]]/PV_DATA[[#This Row],[Qty/Pallet]]</f>
        <v>26</v>
      </c>
      <c r="X725" s="1040">
        <f>PV_DATA[[#This Row],[QUANTITY]]/PV_DATA[[#This Row],[Qty/CT]]</f>
        <v>1</v>
      </c>
      <c r="Y725" s="430" t="s">
        <v>2459</v>
      </c>
      <c r="Z725" s="430" t="str">
        <f t="shared" si="8"/>
        <v>COMPLETED</v>
      </c>
      <c r="AA725" s="430" t="s">
        <v>5439</v>
      </c>
      <c r="AB725" s="543">
        <v>46213</v>
      </c>
      <c r="AC725" s="485">
        <f>IF(PV_DATA[[#This Row],[Pick- Up Date]]&lt;&gt;"",_xlfn.ISOWEEKNUM(PV_DATA[[#This Row],[Pick- Up Date]]),"")</f>
        <v>28</v>
      </c>
      <c r="AD725" s="430" t="s">
        <v>5445</v>
      </c>
      <c r="AE725" s="430"/>
      <c r="AF725" s="430" t="s">
        <v>122</v>
      </c>
      <c r="AG725" s="430" t="s">
        <v>123</v>
      </c>
      <c r="AH725" s="430" t="s">
        <v>78</v>
      </c>
      <c r="AI725" s="437">
        <v>46222</v>
      </c>
      <c r="AJ725" s="437">
        <v>46226</v>
      </c>
      <c r="AK725" s="437">
        <v>46227</v>
      </c>
      <c r="AL725" s="437">
        <v>46272</v>
      </c>
      <c r="AM725" s="586">
        <f>IFERROR(VLOOKUP(AT725, Vessel!A:H, 8, FALSE), "")</f>
        <v>46278.083333333336</v>
      </c>
      <c r="AN725" s="586">
        <f>IFERROR(IF(VLOOKUP(AT725,Vessel!A:I,9,FALSE)=0,"",VLOOKUP(AT725,Vessel!A:I,9,FALSE)),"")</f>
        <v>46278.186840277776</v>
      </c>
      <c r="AP725" s="430" t="s">
        <v>5441</v>
      </c>
      <c r="AQ725" s="438" t="s">
        <v>80</v>
      </c>
      <c r="AR725" s="430" t="s">
        <v>5442</v>
      </c>
      <c r="AS725" s="430" t="s">
        <v>5443</v>
      </c>
      <c r="AT725" s="430" t="s">
        <v>5443</v>
      </c>
      <c r="AU7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5" s="437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7">
        <f>IF(ISERROR(PV_DATA[[#This Row],[New Ark PO status]]),"",_xlfn.XLOOKUP(PV_DATA[[#This Row],[SPTN-PVHK New Ark PO'#]],New_Ark_Data[Purchase order Number],New_Ark_Data[Estimated time of arrival],"",0))</f>
        <v>46290</v>
      </c>
      <c r="AZ72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7">
        <f>IFERROR(PV_DATA[[#This Row],[ODP ETA Port]]+PV_DATA[[#This Row],[Customs/Leg3 Assumption]],"n/a")</f>
        <v>46286.186840277776</v>
      </c>
      <c r="BB725" s="433">
        <f>YEAR(PV_DATA[[#This Row],[ETA for New Ark update]])</f>
        <v>2026</v>
      </c>
      <c r="BC725" s="430">
        <f>MONTH(PV_DATA[[#This Row],[ETA for New Ark update]])</f>
        <v>9</v>
      </c>
      <c r="BD725" s="430">
        <f>IFERROR(_xlfn.ISOWEEKNUM(PV_DATA[[#This Row],[ETA for New Ark update]]),0)</f>
        <v>39</v>
      </c>
      <c r="BE725" s="430">
        <f>_xlfn.XLOOKUP(PV_DATA[[#This Row],[New Ark SKU]],Table9[New Ark SKU],Table9[Total PCS per Pallet],,0)</f>
        <v>36</v>
      </c>
      <c r="BF725" s="430">
        <f>_xlfn.XLOOKUP(PV_DATA[[#This Row],[New Ark SKU]],Table9[New Ark SKU],Table9[Total PCS per 40HQ Container],,0)</f>
        <v>936</v>
      </c>
      <c r="BG725" s="430" t="str">
        <f>_xlfn.XLOOKUP(PV_DATA[[#This Row],[New Ark SKU]],Table9[New Ark SKU],Table9[Back Glass],,0)</f>
        <v>Black glazing</v>
      </c>
      <c r="BH725" s="430" t="str">
        <f>_xlfn.XLOOKUP(PV_DATA[[#This Row],[PORT DESTINATION]],Table12[PORT DESTINATION],Table12[Cosco Line],,0)</f>
        <v>AEM</v>
      </c>
      <c r="BJ725" s="430"/>
    </row>
    <row r="726" spans="1:62" ht="10.5">
      <c r="A726" s="462" t="s">
        <v>5446</v>
      </c>
      <c r="B726" s="462" t="s">
        <v>5318</v>
      </c>
      <c r="C726" s="462" t="str">
        <f>IFERROR(LEFT(PV_DATA[[#This Row],[TCL REFERENCE]],FIND(".",PV_DATA[[#This Row],[TCL REFERENCE]],1)-1),"Main Line")</f>
        <v>26Jun014</v>
      </c>
      <c r="D726" s="462" t="s">
        <v>63</v>
      </c>
      <c r="E726" s="462" t="s">
        <v>64</v>
      </c>
      <c r="F726" s="462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2" t="s">
        <v>402</v>
      </c>
      <c r="H726" s="462" t="s">
        <v>67</v>
      </c>
      <c r="I726" s="462" t="s">
        <v>689</v>
      </c>
      <c r="J726" s="430" t="s">
        <v>96</v>
      </c>
      <c r="K726" s="431"/>
      <c r="L726" s="431"/>
      <c r="M726" s="430" t="s">
        <v>68</v>
      </c>
      <c r="N726" s="432">
        <v>46209</v>
      </c>
      <c r="O726" s="430" t="s">
        <v>4531</v>
      </c>
      <c r="P726" s="430" t="s">
        <v>691</v>
      </c>
      <c r="Q726" s="430" t="s">
        <v>692</v>
      </c>
      <c r="R726" s="430" t="str">
        <f>_xlfn.XLOOKUP(PV_DATA[[#This Row],[New Ark SKU]],Table9[New Ark SKU],Table9[Connector],,0)</f>
        <v>EVO2A</v>
      </c>
      <c r="S726" s="433" t="str">
        <f>_xlfn.XLOOKUP(PV_DATA[[#This Row],[New Ark SKU]],Table9[New Ark SKU],Table9[Cable],,0)</f>
        <v>±1200mm</v>
      </c>
      <c r="T726" s="433">
        <v>505</v>
      </c>
      <c r="U726" s="1088">
        <f>864*6</f>
        <v>5184</v>
      </c>
      <c r="V726" s="434">
        <f>PV_DATA[[#This Row],[QUANTITY]]*PV_DATA[[#This Row],[WATT]]/1000000</f>
        <v>2.6179199999999998</v>
      </c>
      <c r="W726" s="435">
        <f>PV_DATA[[#This Row],[QUANTITY]]/PV_DATA[[#This Row],[Qty/Pallet]]</f>
        <v>144</v>
      </c>
      <c r="X726" s="1040">
        <f>PV_DATA[[#This Row],[QUANTITY]]/PV_DATA[[#This Row],[Qty/CT]]</f>
        <v>6</v>
      </c>
      <c r="Y726" s="430" t="s">
        <v>2459</v>
      </c>
      <c r="Z726" s="430" t="str">
        <f t="shared" si="8"/>
        <v>COMPLETED</v>
      </c>
      <c r="AA726" s="545">
        <v>46210</v>
      </c>
      <c r="AB726" s="437">
        <v>46214</v>
      </c>
      <c r="AC726" s="485">
        <f>IF(PV_DATA[[#This Row],[Pick- Up Date]]&lt;&gt;"",_xlfn.ISOWEEKNUM(PV_DATA[[#This Row],[Pick- Up Date]]),"")</f>
        <v>28</v>
      </c>
      <c r="AD726" s="430" t="s">
        <v>5447</v>
      </c>
      <c r="AE726" s="430"/>
      <c r="AF726" s="430" t="s">
        <v>123</v>
      </c>
      <c r="AG726" s="430" t="s">
        <v>123</v>
      </c>
      <c r="AH726" s="430" t="s">
        <v>78</v>
      </c>
      <c r="AI726" s="437">
        <v>46222</v>
      </c>
      <c r="AJ726" s="437">
        <v>46226</v>
      </c>
      <c r="AK726" s="437">
        <v>46227</v>
      </c>
      <c r="AL726" s="437">
        <v>46272</v>
      </c>
      <c r="AM726" s="586">
        <f>IFERROR(VLOOKUP(AT726, Vessel!A:H, 8, FALSE), "")</f>
        <v>46278.083333333336</v>
      </c>
      <c r="AN726" s="586">
        <f>IFERROR(IF(VLOOKUP(AT726,Vessel!A:I,9,FALSE)=0,"",VLOOKUP(AT726,Vessel!A:I,9,FALSE)),"")</f>
        <v>46278.186840277776</v>
      </c>
      <c r="AP726" s="430" t="s">
        <v>5441</v>
      </c>
      <c r="AQ726" s="430" t="s">
        <v>80</v>
      </c>
      <c r="AR726" s="430" t="s">
        <v>5448</v>
      </c>
      <c r="AS726" s="430" t="s">
        <v>5449</v>
      </c>
      <c r="AT726" s="430" t="s">
        <v>5449</v>
      </c>
      <c r="AU7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6" s="437"/>
      <c r="AW726" s="437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7">
        <f>IF(ISERROR(PV_DATA[[#This Row],[New Ark PO status]]),"",_xlfn.XLOOKUP(PV_DATA[[#This Row],[SPTN-PVHK New Ark PO'#]],New_Ark_Data[Purchase order Number],New_Ark_Data[Estimated time of arrival],"",0))</f>
        <v>46290</v>
      </c>
      <c r="AZ72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7">
        <f>IFERROR(PV_DATA[[#This Row],[ODP ETA Port]]+PV_DATA[[#This Row],[Customs/Leg3 Assumption]],"n/a")</f>
        <v>46286.186840277776</v>
      </c>
      <c r="BB726" s="433">
        <f>YEAR(PV_DATA[[#This Row],[ETA for New Ark update]])</f>
        <v>2026</v>
      </c>
      <c r="BC726" s="430">
        <f>MONTH(PV_DATA[[#This Row],[ETA for New Ark update]])</f>
        <v>9</v>
      </c>
      <c r="BD726" s="430">
        <f>IFERROR(_xlfn.ISOWEEKNUM(PV_DATA[[#This Row],[ETA for New Ark update]]),0)</f>
        <v>39</v>
      </c>
      <c r="BE726" s="430">
        <f>_xlfn.XLOOKUP(PV_DATA[[#This Row],[New Ark SKU]],Table9[New Ark SKU],Table9[Total PCS per Pallet],,0)</f>
        <v>36</v>
      </c>
      <c r="BF726" s="430">
        <f>_xlfn.XLOOKUP(PV_DATA[[#This Row],[New Ark SKU]],Table9[New Ark SKU],Table9[Total PCS per 40HQ Container],,0)</f>
        <v>864</v>
      </c>
      <c r="BG726" s="430" t="str">
        <f>_xlfn.XLOOKUP(PV_DATA[[#This Row],[New Ark SKU]],Table9[New Ark SKU],Table9[Back Glass],,0)</f>
        <v>Black glazing</v>
      </c>
      <c r="BH726" s="430" t="str">
        <f>_xlfn.XLOOKUP(PV_DATA[[#This Row],[PORT DESTINATION]],Table12[PORT DESTINATION],Table12[Cosco Line],,0)</f>
        <v>AEM</v>
      </c>
      <c r="BJ726" s="430"/>
    </row>
    <row r="727" spans="1:62" ht="10.5">
      <c r="A727" s="462" t="s">
        <v>5450</v>
      </c>
      <c r="B727" s="462" t="s">
        <v>5318</v>
      </c>
      <c r="C727" s="462" t="str">
        <f>IFERROR(LEFT(PV_DATA[[#This Row],[TCL REFERENCE]],FIND(".",PV_DATA[[#This Row],[TCL REFERENCE]],1)-1),"Main Line")</f>
        <v>26Jun013</v>
      </c>
      <c r="D727" s="462" t="s">
        <v>63</v>
      </c>
      <c r="E727" s="462" t="s">
        <v>64</v>
      </c>
      <c r="F727" s="462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2" t="s">
        <v>402</v>
      </c>
      <c r="H727" s="462" t="s">
        <v>67</v>
      </c>
      <c r="I727" s="462" t="s">
        <v>689</v>
      </c>
      <c r="J727" s="430" t="s">
        <v>96</v>
      </c>
      <c r="K727" s="431"/>
      <c r="L727" s="431"/>
      <c r="M727" s="430" t="s">
        <v>68</v>
      </c>
      <c r="N727" s="432">
        <v>46209</v>
      </c>
      <c r="O727" s="430" t="s">
        <v>4531</v>
      </c>
      <c r="P727" s="430" t="s">
        <v>706</v>
      </c>
      <c r="Q727" s="430" t="s">
        <v>707</v>
      </c>
      <c r="R727" s="430" t="str">
        <f>_xlfn.XLOOKUP(PV_DATA[[#This Row],[New Ark SKU]],Table9[New Ark SKU],Table9[Connector],,0)</f>
        <v>EVO2A</v>
      </c>
      <c r="S727" s="433" t="str">
        <f>_xlfn.XLOOKUP(PV_DATA[[#This Row],[New Ark SKU]],Table9[New Ark SKU],Table9[Cable],,0)</f>
        <v>±1200mm</v>
      </c>
      <c r="T727" s="433">
        <v>500</v>
      </c>
      <c r="U727" s="1088">
        <f>864*1</f>
        <v>864</v>
      </c>
      <c r="V727" s="434">
        <f>PV_DATA[[#This Row],[QUANTITY]]*PV_DATA[[#This Row],[WATT]]/1000000</f>
        <v>0.432</v>
      </c>
      <c r="W727" s="435">
        <f>PV_DATA[[#This Row],[QUANTITY]]/PV_DATA[[#This Row],[Qty/Pallet]]</f>
        <v>24</v>
      </c>
      <c r="X727" s="1040">
        <f>PV_DATA[[#This Row],[QUANTITY]]/PV_DATA[[#This Row],[Qty/CT]]</f>
        <v>1</v>
      </c>
      <c r="Y727" s="430" t="s">
        <v>2460</v>
      </c>
      <c r="Z727" s="430" t="str">
        <f t="shared" si="8"/>
        <v>COMPLETED</v>
      </c>
      <c r="AA727" s="545">
        <v>46211</v>
      </c>
      <c r="AB727" s="437">
        <v>46214</v>
      </c>
      <c r="AC727" s="485">
        <f>IF(PV_DATA[[#This Row],[Pick- Up Date]]&lt;&gt;"",_xlfn.ISOWEEKNUM(PV_DATA[[#This Row],[Pick- Up Date]]),"")</f>
        <v>28</v>
      </c>
      <c r="AD727" s="430" t="s">
        <v>5451</v>
      </c>
      <c r="AE727" s="430"/>
      <c r="AF727" s="430" t="s">
        <v>122</v>
      </c>
      <c r="AG727" s="430" t="s">
        <v>123</v>
      </c>
      <c r="AH727" s="430" t="s">
        <v>78</v>
      </c>
      <c r="AI727" s="437">
        <v>46222</v>
      </c>
      <c r="AJ727" s="437">
        <v>46226</v>
      </c>
      <c r="AK727" s="437">
        <v>46227</v>
      </c>
      <c r="AL727" s="437">
        <v>46272</v>
      </c>
      <c r="AM727" s="586">
        <f>IFERROR(VLOOKUP(AT727, Vessel!A:H, 8, FALSE), "")</f>
        <v>46278.083333333336</v>
      </c>
      <c r="AN727" s="586">
        <f>IFERROR(IF(VLOOKUP(AT727,Vessel!A:I,9,FALSE)=0,"",VLOOKUP(AT727,Vessel!A:I,9,FALSE)),"")</f>
        <v>46278.186840277776</v>
      </c>
      <c r="AP727" s="430" t="s">
        <v>5441</v>
      </c>
      <c r="AQ727" s="430" t="s">
        <v>80</v>
      </c>
      <c r="AR727" s="430" t="s">
        <v>5448</v>
      </c>
      <c r="AS727" s="430" t="s">
        <v>5449</v>
      </c>
      <c r="AT727" s="430" t="s">
        <v>5449</v>
      </c>
      <c r="AU7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7" s="437"/>
      <c r="AW727" s="437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7">
        <f>IF(ISERROR(PV_DATA[[#This Row],[New Ark PO status]]),"",_xlfn.XLOOKUP(PV_DATA[[#This Row],[SPTN-PVHK New Ark PO'#]],New_Ark_Data[Purchase order Number],New_Ark_Data[Estimated time of arrival],"",0))</f>
        <v>46290</v>
      </c>
      <c r="AZ72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7">
        <f>IFERROR(PV_DATA[[#This Row],[ODP ETA Port]]+PV_DATA[[#This Row],[Customs/Leg3 Assumption]],"n/a")</f>
        <v>46286.186840277776</v>
      </c>
      <c r="BB727" s="433">
        <f>YEAR(PV_DATA[[#This Row],[ETA for New Ark update]])</f>
        <v>2026</v>
      </c>
      <c r="BC727" s="430">
        <f>MONTH(PV_DATA[[#This Row],[ETA for New Ark update]])</f>
        <v>9</v>
      </c>
      <c r="BD727" s="430">
        <f>IFERROR(_xlfn.ISOWEEKNUM(PV_DATA[[#This Row],[ETA for New Ark update]]),0)</f>
        <v>39</v>
      </c>
      <c r="BE727" s="430">
        <f>_xlfn.XLOOKUP(PV_DATA[[#This Row],[New Ark SKU]],Table9[New Ark SKU],Table9[Total PCS per Pallet],,0)</f>
        <v>36</v>
      </c>
      <c r="BF727" s="430">
        <f>_xlfn.XLOOKUP(PV_DATA[[#This Row],[New Ark SKU]],Table9[New Ark SKU],Table9[Total PCS per 40HQ Container],,0)</f>
        <v>864</v>
      </c>
      <c r="BG727" s="430" t="str">
        <f>_xlfn.XLOOKUP(PV_DATA[[#This Row],[New Ark SKU]],Table9[New Ark SKU],Table9[Back Glass],,0)</f>
        <v>Black glazing</v>
      </c>
      <c r="BH727" s="430" t="str">
        <f>_xlfn.XLOOKUP(PV_DATA[[#This Row],[PORT DESTINATION]],Table12[PORT DESTINATION],Table12[Cosco Line],,0)</f>
        <v>AEM</v>
      </c>
      <c r="BJ727" s="430"/>
    </row>
    <row r="728" spans="1:62" ht="10.5">
      <c r="A728" s="462" t="s">
        <v>5452</v>
      </c>
      <c r="B728" s="462" t="s">
        <v>5318</v>
      </c>
      <c r="C728" s="462" t="str">
        <f>IFERROR(LEFT(PV_DATA[[#This Row],[TCL REFERENCE]],FIND(".",PV_DATA[[#This Row],[TCL REFERENCE]],1)-1),"Main Line")</f>
        <v>26Jun014</v>
      </c>
      <c r="D728" s="462" t="s">
        <v>63</v>
      </c>
      <c r="E728" s="462" t="s">
        <v>64</v>
      </c>
      <c r="F728" s="462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2" t="s">
        <v>402</v>
      </c>
      <c r="H728" s="462" t="s">
        <v>67</v>
      </c>
      <c r="I728" s="462" t="s">
        <v>689</v>
      </c>
      <c r="J728" s="430" t="s">
        <v>96</v>
      </c>
      <c r="K728" s="431"/>
      <c r="L728" s="431"/>
      <c r="M728" s="430" t="s">
        <v>68</v>
      </c>
      <c r="N728" s="432">
        <v>46209</v>
      </c>
      <c r="O728" s="430" t="s">
        <v>4531</v>
      </c>
      <c r="P728" s="430" t="s">
        <v>691</v>
      </c>
      <c r="Q728" s="430" t="s">
        <v>692</v>
      </c>
      <c r="R728" s="430" t="str">
        <f>_xlfn.XLOOKUP(PV_DATA[[#This Row],[New Ark SKU]],Table9[New Ark SKU],Table9[Connector],,0)</f>
        <v>EVO2A</v>
      </c>
      <c r="S728" s="433" t="str">
        <f>_xlfn.XLOOKUP(PV_DATA[[#This Row],[New Ark SKU]],Table9[New Ark SKU],Table9[Cable],,0)</f>
        <v>±1200mm</v>
      </c>
      <c r="T728" s="433">
        <v>505</v>
      </c>
      <c r="U728" s="1088">
        <f>864*3</f>
        <v>2592</v>
      </c>
      <c r="V728" s="434">
        <f>PV_DATA[[#This Row],[QUANTITY]]*PV_DATA[[#This Row],[WATT]]/1000000</f>
        <v>1.3089599999999999</v>
      </c>
      <c r="W728" s="435">
        <f>PV_DATA[[#This Row],[QUANTITY]]/PV_DATA[[#This Row],[Qty/Pallet]]</f>
        <v>72</v>
      </c>
      <c r="X728" s="1040">
        <f>PV_DATA[[#This Row],[QUANTITY]]/PV_DATA[[#This Row],[Qty/CT]]</f>
        <v>3</v>
      </c>
      <c r="Y728" s="430" t="s">
        <v>2460</v>
      </c>
      <c r="Z728" s="430" t="str">
        <f t="shared" si="8"/>
        <v>COMPLETED</v>
      </c>
      <c r="AA728" s="545">
        <v>46212</v>
      </c>
      <c r="AB728" s="437">
        <v>46214</v>
      </c>
      <c r="AC728" s="485">
        <f>IF(PV_DATA[[#This Row],[Pick- Up Date]]&lt;&gt;"",_xlfn.ISOWEEKNUM(PV_DATA[[#This Row],[Pick- Up Date]]),"")</f>
        <v>28</v>
      </c>
      <c r="AD728" s="430" t="s">
        <v>5453</v>
      </c>
      <c r="AE728" s="430"/>
      <c r="AF728" s="430" t="s">
        <v>122</v>
      </c>
      <c r="AG728" s="430" t="s">
        <v>123</v>
      </c>
      <c r="AH728" s="430" t="s">
        <v>78</v>
      </c>
      <c r="AI728" s="437">
        <v>46222</v>
      </c>
      <c r="AJ728" s="437">
        <v>46226</v>
      </c>
      <c r="AK728" s="437">
        <v>46227</v>
      </c>
      <c r="AL728" s="437">
        <v>46272</v>
      </c>
      <c r="AM728" s="586">
        <f>IFERROR(VLOOKUP(AT728, Vessel!A:H, 8, FALSE), "")</f>
        <v>46278.083333333336</v>
      </c>
      <c r="AN728" s="586">
        <f>IFERROR(IF(VLOOKUP(AT728,Vessel!A:I,9,FALSE)=0,"",VLOOKUP(AT728,Vessel!A:I,9,FALSE)),"")</f>
        <v>46278.186840277776</v>
      </c>
      <c r="AP728" s="430" t="s">
        <v>5441</v>
      </c>
      <c r="AQ728" s="430" t="s">
        <v>80</v>
      </c>
      <c r="AR728" s="430" t="s">
        <v>5448</v>
      </c>
      <c r="AS728" s="430" t="s">
        <v>5449</v>
      </c>
      <c r="AT728" s="430" t="s">
        <v>5449</v>
      </c>
      <c r="AU7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8" s="437"/>
      <c r="AW728" s="437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7">
        <f>IF(ISERROR(PV_DATA[[#This Row],[New Ark PO status]]),"",_xlfn.XLOOKUP(PV_DATA[[#This Row],[SPTN-PVHK New Ark PO'#]],New_Ark_Data[Purchase order Number],New_Ark_Data[Estimated time of arrival],"",0))</f>
        <v>46290</v>
      </c>
      <c r="AZ72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7">
        <f>IFERROR(PV_DATA[[#This Row],[ODP ETA Port]]+PV_DATA[[#This Row],[Customs/Leg3 Assumption]],"n/a")</f>
        <v>46286.186840277776</v>
      </c>
      <c r="BB728" s="433">
        <f>YEAR(PV_DATA[[#This Row],[ETA for New Ark update]])</f>
        <v>2026</v>
      </c>
      <c r="BC728" s="430">
        <f>MONTH(PV_DATA[[#This Row],[ETA for New Ark update]])</f>
        <v>9</v>
      </c>
      <c r="BD728" s="430">
        <f>IFERROR(_xlfn.ISOWEEKNUM(PV_DATA[[#This Row],[ETA for New Ark update]]),0)</f>
        <v>39</v>
      </c>
      <c r="BE728" s="430">
        <f>_xlfn.XLOOKUP(PV_DATA[[#This Row],[New Ark SKU]],Table9[New Ark SKU],Table9[Total PCS per Pallet],,0)</f>
        <v>36</v>
      </c>
      <c r="BF728" s="430">
        <f>_xlfn.XLOOKUP(PV_DATA[[#This Row],[New Ark SKU]],Table9[New Ark SKU],Table9[Total PCS per 40HQ Container],,0)</f>
        <v>864</v>
      </c>
      <c r="BG728" s="430" t="str">
        <f>_xlfn.XLOOKUP(PV_DATA[[#This Row],[New Ark SKU]],Table9[New Ark SKU],Table9[Back Glass],,0)</f>
        <v>Black glazing</v>
      </c>
      <c r="BH728" s="430" t="str">
        <f>_xlfn.XLOOKUP(PV_DATA[[#This Row],[PORT DESTINATION]],Table12[PORT DESTINATION],Table12[Cosco Line],,0)</f>
        <v>AEM</v>
      </c>
      <c r="BJ728" s="430"/>
    </row>
    <row r="729" spans="1:62" ht="10.5">
      <c r="A729" s="462" t="s">
        <v>5454</v>
      </c>
      <c r="B729" s="462" t="s">
        <v>5318</v>
      </c>
      <c r="C729" s="462" t="str">
        <f>IFERROR(LEFT(PV_DATA[[#This Row],[TCL REFERENCE]],FIND(".",PV_DATA[[#This Row],[TCL REFERENCE]],1)-1),"Main Line")</f>
        <v>26Jun013</v>
      </c>
      <c r="D729" s="462" t="s">
        <v>63</v>
      </c>
      <c r="E729" s="462" t="s">
        <v>144</v>
      </c>
      <c r="F729" s="462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2" t="s">
        <v>402</v>
      </c>
      <c r="H729" s="462" t="s">
        <v>2382</v>
      </c>
      <c r="I729" s="462" t="s">
        <v>1395</v>
      </c>
      <c r="J729" s="430" t="s">
        <v>2382</v>
      </c>
      <c r="K729" s="431" t="s">
        <v>5455</v>
      </c>
      <c r="L729" s="431">
        <v>1</v>
      </c>
      <c r="M729" s="430" t="s">
        <v>840</v>
      </c>
      <c r="N729" s="432">
        <v>46209</v>
      </c>
      <c r="O729" s="430" t="s">
        <v>4531</v>
      </c>
      <c r="P729" s="430" t="s">
        <v>706</v>
      </c>
      <c r="Q729" s="430" t="s">
        <v>707</v>
      </c>
      <c r="R729" s="430" t="str">
        <f>_xlfn.XLOOKUP(PV_DATA[[#This Row],[New Ark SKU]],Table9[New Ark SKU],Table9[Connector],,0)</f>
        <v>EVO2A</v>
      </c>
      <c r="S729" s="433" t="str">
        <f>_xlfn.XLOOKUP(PV_DATA[[#This Row],[New Ark SKU]],Table9[New Ark SKU],Table9[Cable],,0)</f>
        <v>±1200mm</v>
      </c>
      <c r="T729" s="433">
        <v>500</v>
      </c>
      <c r="U729" s="1088">
        <f>864*3</f>
        <v>2592</v>
      </c>
      <c r="V729" s="434">
        <f>PV_DATA[[#This Row],[QUANTITY]]*PV_DATA[[#This Row],[WATT]]/1000000</f>
        <v>1.296</v>
      </c>
      <c r="W729" s="435">
        <f>PV_DATA[[#This Row],[QUANTITY]]/PV_DATA[[#This Row],[Qty/Pallet]]</f>
        <v>72</v>
      </c>
      <c r="X729" s="1040">
        <f>PV_DATA[[#This Row],[QUANTITY]]/PV_DATA[[#This Row],[Qty/CT]]</f>
        <v>3</v>
      </c>
      <c r="Y729" s="430" t="s">
        <v>2459</v>
      </c>
      <c r="Z729" s="430" t="str">
        <f t="shared" si="8"/>
        <v>COMPLETED</v>
      </c>
      <c r="AA729" s="545">
        <v>46211</v>
      </c>
      <c r="AB729" s="437">
        <v>46214</v>
      </c>
      <c r="AC729" s="485">
        <f>IF(PV_DATA[[#This Row],[Pick- Up Date]]&lt;&gt;"",_xlfn.ISOWEEKNUM(PV_DATA[[#This Row],[Pick- Up Date]]),"")</f>
        <v>28</v>
      </c>
      <c r="AD729" s="430" t="s">
        <v>5456</v>
      </c>
      <c r="AE729" s="430"/>
      <c r="AF729" s="430" t="s">
        <v>123</v>
      </c>
      <c r="AG729" s="430" t="s">
        <v>123</v>
      </c>
      <c r="AH729" s="430" t="s">
        <v>78</v>
      </c>
      <c r="AI729" s="437">
        <v>46222</v>
      </c>
      <c r="AJ729" s="437">
        <v>46226</v>
      </c>
      <c r="AK729" s="437">
        <v>46227</v>
      </c>
      <c r="AL729" s="437">
        <v>46272</v>
      </c>
      <c r="AM729" s="586">
        <f>IFERROR(VLOOKUP(AT729, Vessel!A:H, 8, FALSE), "")</f>
        <v>46278.083333333336</v>
      </c>
      <c r="AN729" s="586">
        <f>IFERROR(IF(VLOOKUP(AT729,Vessel!A:I,9,FALSE)=0,"",VLOOKUP(AT729,Vessel!A:I,9,FALSE)),"")</f>
        <v>46278.186840277776</v>
      </c>
      <c r="AP729" s="430" t="s">
        <v>5441</v>
      </c>
      <c r="AQ729" s="430" t="s">
        <v>80</v>
      </c>
      <c r="AR729" s="430" t="s">
        <v>5457</v>
      </c>
      <c r="AS729" s="430" t="s">
        <v>5458</v>
      </c>
      <c r="AT729" s="430" t="s">
        <v>5458</v>
      </c>
      <c r="AU7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9" s="437"/>
      <c r="AW729" s="437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7">
        <f>IF(ISERROR(PV_DATA[[#This Row],[New Ark PO status]]),"",_xlfn.XLOOKUP(PV_DATA[[#This Row],[SPTN-PVHK New Ark PO'#]],New_Ark_Data[Purchase order Number],New_Ark_Data[Estimated time of arrival],"",0))</f>
        <v>46272</v>
      </c>
      <c r="AZ72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7">
        <f>IFERROR(PV_DATA[[#This Row],[ODP ETA Port]]+PV_DATA[[#This Row],[Customs/Leg3 Assumption]],"n/a")</f>
        <v>46278.186840277776</v>
      </c>
      <c r="BB729" s="433">
        <f>YEAR(PV_DATA[[#This Row],[ETA for New Ark update]])</f>
        <v>2026</v>
      </c>
      <c r="BC729" s="430">
        <f>MONTH(PV_DATA[[#This Row],[ETA for New Ark update]])</f>
        <v>9</v>
      </c>
      <c r="BD729" s="430">
        <f>IFERROR(_xlfn.ISOWEEKNUM(PV_DATA[[#This Row],[ETA for New Ark update]]),0)</f>
        <v>37</v>
      </c>
      <c r="BE729" s="430">
        <f>_xlfn.XLOOKUP(PV_DATA[[#This Row],[New Ark SKU]],Table9[New Ark SKU],Table9[Total PCS per Pallet],,0)</f>
        <v>36</v>
      </c>
      <c r="BF729" s="430">
        <f>_xlfn.XLOOKUP(PV_DATA[[#This Row],[New Ark SKU]],Table9[New Ark SKU],Table9[Total PCS per 40HQ Container],,0)</f>
        <v>864</v>
      </c>
      <c r="BG729" s="430" t="str">
        <f>_xlfn.XLOOKUP(PV_DATA[[#This Row],[New Ark SKU]],Table9[New Ark SKU],Table9[Back Glass],,0)</f>
        <v>Black glazing</v>
      </c>
      <c r="BH729" s="430" t="str">
        <f>_xlfn.XLOOKUP(PV_DATA[[#This Row],[PORT DESTINATION]],Table12[PORT DESTINATION],Table12[Cosco Line],,0)</f>
        <v>AEM</v>
      </c>
      <c r="BJ729" s="430"/>
    </row>
    <row r="730" spans="1:62" ht="10.5">
      <c r="A730" s="462" t="s">
        <v>5459</v>
      </c>
      <c r="B730" s="462" t="s">
        <v>5318</v>
      </c>
      <c r="C730" s="462" t="str">
        <f>IFERROR(LEFT(PV_DATA[[#This Row],[TCL REFERENCE]],FIND(".",PV_DATA[[#This Row],[TCL REFERENCE]],1)-1),"Main Line")</f>
        <v>26Jun013</v>
      </c>
      <c r="D730" s="462" t="s">
        <v>63</v>
      </c>
      <c r="E730" s="462" t="s">
        <v>144</v>
      </c>
      <c r="F730" s="462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2" t="s">
        <v>402</v>
      </c>
      <c r="H730" s="462" t="s">
        <v>2382</v>
      </c>
      <c r="I730" s="462" t="s">
        <v>1395</v>
      </c>
      <c r="J730" s="430" t="s">
        <v>2382</v>
      </c>
      <c r="K730" s="431" t="s">
        <v>5460</v>
      </c>
      <c r="L730" s="431">
        <v>4</v>
      </c>
      <c r="M730" s="430" t="s">
        <v>840</v>
      </c>
      <c r="N730" s="432">
        <v>46209</v>
      </c>
      <c r="O730" s="430" t="s">
        <v>4531</v>
      </c>
      <c r="P730" s="430" t="s">
        <v>706</v>
      </c>
      <c r="Q730" s="430" t="s">
        <v>707</v>
      </c>
      <c r="R730" s="430" t="str">
        <f>_xlfn.XLOOKUP(PV_DATA[[#This Row],[New Ark SKU]],Table9[New Ark SKU],Table9[Connector],,0)</f>
        <v>EVO2A</v>
      </c>
      <c r="S730" s="433" t="str">
        <f>_xlfn.XLOOKUP(PV_DATA[[#This Row],[New Ark SKU]],Table9[New Ark SKU],Table9[Cable],,0)</f>
        <v>±1200mm</v>
      </c>
      <c r="T730" s="433">
        <v>500</v>
      </c>
      <c r="U730" s="1088">
        <f>864*1</f>
        <v>864</v>
      </c>
      <c r="V730" s="434">
        <f>PV_DATA[[#This Row],[QUANTITY]]*PV_DATA[[#This Row],[WATT]]/1000000</f>
        <v>0.432</v>
      </c>
      <c r="W730" s="435">
        <f>PV_DATA[[#This Row],[QUANTITY]]/PV_DATA[[#This Row],[Qty/Pallet]]</f>
        <v>24</v>
      </c>
      <c r="X730" s="1040">
        <f>PV_DATA[[#This Row],[QUANTITY]]/PV_DATA[[#This Row],[Qty/CT]]</f>
        <v>1</v>
      </c>
      <c r="Y730" s="430" t="s">
        <v>2459</v>
      </c>
      <c r="Z730" s="430" t="str">
        <f t="shared" si="8"/>
        <v>COMPLETED</v>
      </c>
      <c r="AA730" s="545">
        <v>46211</v>
      </c>
      <c r="AB730" s="437">
        <v>46214</v>
      </c>
      <c r="AC730" s="485">
        <f>IF(PV_DATA[[#This Row],[Pick- Up Date]]&lt;&gt;"",_xlfn.ISOWEEKNUM(PV_DATA[[#This Row],[Pick- Up Date]]),"")</f>
        <v>28</v>
      </c>
      <c r="AD730" s="430" t="s">
        <v>5461</v>
      </c>
      <c r="AE730" s="430"/>
      <c r="AF730" s="430" t="s">
        <v>123</v>
      </c>
      <c r="AG730" s="430" t="s">
        <v>123</v>
      </c>
      <c r="AH730" s="430" t="s">
        <v>78</v>
      </c>
      <c r="AI730" s="437">
        <v>46222</v>
      </c>
      <c r="AJ730" s="437">
        <v>46226</v>
      </c>
      <c r="AK730" s="437">
        <v>46227</v>
      </c>
      <c r="AL730" s="437">
        <v>46272</v>
      </c>
      <c r="AM730" s="586">
        <f>IFERROR(VLOOKUP(AT730, Vessel!A:H, 8, FALSE), "")</f>
        <v>46278.083333333336</v>
      </c>
      <c r="AN730" s="586">
        <f>IFERROR(IF(VLOOKUP(AT730,Vessel!A:I,9,FALSE)=0,"",VLOOKUP(AT730,Vessel!A:I,9,FALSE)),"")</f>
        <v>46278.186840277776</v>
      </c>
      <c r="AP730" s="430" t="s">
        <v>5441</v>
      </c>
      <c r="AQ730" s="430" t="s">
        <v>80</v>
      </c>
      <c r="AR730" s="430" t="s">
        <v>5457</v>
      </c>
      <c r="AS730" s="430" t="s">
        <v>5458</v>
      </c>
      <c r="AT730" s="430" t="s">
        <v>5458</v>
      </c>
      <c r="AU7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30" s="437"/>
      <c r="AW730" s="437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7">
        <f>IF(ISERROR(PV_DATA[[#This Row],[New Ark PO status]]),"",_xlfn.XLOOKUP(PV_DATA[[#This Row],[SPTN-PVHK New Ark PO'#]],New_Ark_Data[Purchase order Number],New_Ark_Data[Estimated time of arrival],"",0))</f>
        <v>46272</v>
      </c>
      <c r="AZ73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7">
        <f>IFERROR(PV_DATA[[#This Row],[ODP ETA Port]]+PV_DATA[[#This Row],[Customs/Leg3 Assumption]],"n/a")</f>
        <v>46278.186840277776</v>
      </c>
      <c r="BB730" s="433">
        <f>YEAR(PV_DATA[[#This Row],[ETA for New Ark update]])</f>
        <v>2026</v>
      </c>
      <c r="BC730" s="430">
        <f>MONTH(PV_DATA[[#This Row],[ETA for New Ark update]])</f>
        <v>9</v>
      </c>
      <c r="BD730" s="430">
        <f>IFERROR(_xlfn.ISOWEEKNUM(PV_DATA[[#This Row],[ETA for New Ark update]]),0)</f>
        <v>37</v>
      </c>
      <c r="BE730" s="430">
        <f>_xlfn.XLOOKUP(PV_DATA[[#This Row],[New Ark SKU]],Table9[New Ark SKU],Table9[Total PCS per Pallet],,0)</f>
        <v>36</v>
      </c>
      <c r="BF730" s="430">
        <f>_xlfn.XLOOKUP(PV_DATA[[#This Row],[New Ark SKU]],Table9[New Ark SKU],Table9[Total PCS per 40HQ Container],,0)</f>
        <v>864</v>
      </c>
      <c r="BG730" s="430" t="str">
        <f>_xlfn.XLOOKUP(PV_DATA[[#This Row],[New Ark SKU]],Table9[New Ark SKU],Table9[Back Glass],,0)</f>
        <v>Black glazing</v>
      </c>
      <c r="BH730" s="430" t="str">
        <f>_xlfn.XLOOKUP(PV_DATA[[#This Row],[PORT DESTINATION]],Table12[PORT DESTINATION],Table12[Cosco Line],,0)</f>
        <v>AEM</v>
      </c>
      <c r="BJ730" s="430"/>
    </row>
    <row r="731" spans="1:62" ht="10.5">
      <c r="A731" s="462" t="s">
        <v>5462</v>
      </c>
      <c r="B731" s="462" t="s">
        <v>5318</v>
      </c>
      <c r="C731" s="462" t="str">
        <f>IFERROR(LEFT(PV_DATA[[#This Row],[TCL REFERENCE]],FIND(".",PV_DATA[[#This Row],[TCL REFERENCE]],1)-1),"Main Line")</f>
        <v>26Jun013</v>
      </c>
      <c r="D731" s="462" t="s">
        <v>63</v>
      </c>
      <c r="E731" s="462" t="s">
        <v>144</v>
      </c>
      <c r="F731" s="462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2" t="s">
        <v>402</v>
      </c>
      <c r="H731" s="462" t="s">
        <v>2382</v>
      </c>
      <c r="I731" s="462" t="s">
        <v>1395</v>
      </c>
      <c r="J731" s="430" t="s">
        <v>2382</v>
      </c>
      <c r="K731" s="431" t="s">
        <v>5460</v>
      </c>
      <c r="L731" s="431">
        <v>1</v>
      </c>
      <c r="M731" s="430" t="s">
        <v>840</v>
      </c>
      <c r="N731" s="432">
        <v>46209</v>
      </c>
      <c r="O731" s="430" t="s">
        <v>4531</v>
      </c>
      <c r="P731" s="430" t="s">
        <v>706</v>
      </c>
      <c r="Q731" s="430" t="s">
        <v>707</v>
      </c>
      <c r="R731" s="430" t="str">
        <f>_xlfn.XLOOKUP(PV_DATA[[#This Row],[New Ark SKU]],Table9[New Ark SKU],Table9[Connector],,0)</f>
        <v>EVO2A</v>
      </c>
      <c r="S731" s="433" t="str">
        <f>_xlfn.XLOOKUP(PV_DATA[[#This Row],[New Ark SKU]],Table9[New Ark SKU],Table9[Cable],,0)</f>
        <v>±1200mm</v>
      </c>
      <c r="T731" s="433">
        <v>500</v>
      </c>
      <c r="U731" s="1088">
        <f>864*2</f>
        <v>1728</v>
      </c>
      <c r="V731" s="434">
        <f>PV_DATA[[#This Row],[QUANTITY]]*PV_DATA[[#This Row],[WATT]]/1000000</f>
        <v>0.86399999999999999</v>
      </c>
      <c r="W731" s="435">
        <f>PV_DATA[[#This Row],[QUANTITY]]/PV_DATA[[#This Row],[Qty/Pallet]]</f>
        <v>48</v>
      </c>
      <c r="X731" s="1040">
        <f>PV_DATA[[#This Row],[QUANTITY]]/PV_DATA[[#This Row],[Qty/CT]]</f>
        <v>2</v>
      </c>
      <c r="Y731" s="430" t="s">
        <v>2459</v>
      </c>
      <c r="Z731" s="430" t="str">
        <f t="shared" si="8"/>
        <v>COMPLETED</v>
      </c>
      <c r="AA731" s="545">
        <v>46211</v>
      </c>
      <c r="AB731" s="437">
        <v>46211</v>
      </c>
      <c r="AC731" s="485">
        <f>IF(PV_DATA[[#This Row],[Pick- Up Date]]&lt;&gt;"",_xlfn.ISOWEEKNUM(PV_DATA[[#This Row],[Pick- Up Date]]),"")</f>
        <v>28</v>
      </c>
      <c r="AD731" s="430" t="s">
        <v>5463</v>
      </c>
      <c r="AE731" s="430"/>
      <c r="AF731" s="430" t="s">
        <v>123</v>
      </c>
      <c r="AG731" s="430" t="s">
        <v>123</v>
      </c>
      <c r="AH731" s="430" t="s">
        <v>78</v>
      </c>
      <c r="AI731" s="437">
        <v>46216</v>
      </c>
      <c r="AJ731" s="437">
        <v>46232</v>
      </c>
      <c r="AK731" s="437">
        <v>46232</v>
      </c>
      <c r="AL731" s="437">
        <v>46260</v>
      </c>
      <c r="AM731" s="586">
        <f>IFERROR(VLOOKUP(AT731, Vessel!A:H, 8, FALSE), "")</f>
        <v>46272.833333333336</v>
      </c>
      <c r="AN731" s="586">
        <f>IFERROR(IF(VLOOKUP(AT731,Vessel!A:I,9,FALSE)=0,"",VLOOKUP(AT731,Vessel!A:I,9,FALSE)),"")</f>
        <v>46272.644375000003</v>
      </c>
      <c r="AP731" s="430" t="s">
        <v>5464</v>
      </c>
      <c r="AQ731" s="430" t="s">
        <v>80</v>
      </c>
      <c r="AR731" s="430" t="s">
        <v>5465</v>
      </c>
      <c r="AS731" s="430" t="s">
        <v>5466</v>
      </c>
      <c r="AT731" s="430" t="s">
        <v>5466</v>
      </c>
      <c r="AU7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1" s="437"/>
      <c r="AW731" s="437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7">
        <f>IF(ISERROR(PV_DATA[[#This Row],[New Ark PO status]]),"",_xlfn.XLOOKUP(PV_DATA[[#This Row],[SPTN-PVHK New Ark PO'#]],New_Ark_Data[Purchase order Number],New_Ark_Data[Estimated time of arrival],"",0))</f>
        <v>46260</v>
      </c>
      <c r="AZ73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7">
        <f>IFERROR(PV_DATA[[#This Row],[ODP ETA Port]]+PV_DATA[[#This Row],[Customs/Leg3 Assumption]],"n/a")</f>
        <v>46272.644375000003</v>
      </c>
      <c r="BB731" s="433">
        <f>YEAR(PV_DATA[[#This Row],[ETA for New Ark update]])</f>
        <v>2026</v>
      </c>
      <c r="BC731" s="430">
        <f>MONTH(PV_DATA[[#This Row],[ETA for New Ark update]])</f>
        <v>9</v>
      </c>
      <c r="BD731" s="430">
        <f>IFERROR(_xlfn.ISOWEEKNUM(PV_DATA[[#This Row],[ETA for New Ark update]]),0)</f>
        <v>37</v>
      </c>
      <c r="BE731" s="430">
        <f>_xlfn.XLOOKUP(PV_DATA[[#This Row],[New Ark SKU]],Table9[New Ark SKU],Table9[Total PCS per Pallet],,0)</f>
        <v>36</v>
      </c>
      <c r="BF731" s="430">
        <f>_xlfn.XLOOKUP(PV_DATA[[#This Row],[New Ark SKU]],Table9[New Ark SKU],Table9[Total PCS per 40HQ Container],,0)</f>
        <v>864</v>
      </c>
      <c r="BG731" s="430" t="str">
        <f>_xlfn.XLOOKUP(PV_DATA[[#This Row],[New Ark SKU]],Table9[New Ark SKU],Table9[Back Glass],,0)</f>
        <v>Black glazing</v>
      </c>
      <c r="BH731" s="430" t="str">
        <f>_xlfn.XLOOKUP(PV_DATA[[#This Row],[PORT DESTINATION]],Table12[PORT DESTINATION],Table12[Cosco Line],,0)</f>
        <v>AEM</v>
      </c>
      <c r="BJ731" s="430"/>
    </row>
    <row r="732" spans="1:62" ht="10.5">
      <c r="A732" s="462" t="s">
        <v>5467</v>
      </c>
      <c r="B732" s="462" t="s">
        <v>5318</v>
      </c>
      <c r="C732" s="462" t="str">
        <f>IFERROR(LEFT(PV_DATA[[#This Row],[TCL REFERENCE]],FIND(".",PV_DATA[[#This Row],[TCL REFERENCE]],1)-1),"Main Line")</f>
        <v>26Jun013</v>
      </c>
      <c r="D732" s="462" t="s">
        <v>63</v>
      </c>
      <c r="E732" s="462" t="s">
        <v>144</v>
      </c>
      <c r="F732" s="462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2" t="s">
        <v>146</v>
      </c>
      <c r="H732" s="462" t="s">
        <v>2716</v>
      </c>
      <c r="I732" s="462" t="s">
        <v>1395</v>
      </c>
      <c r="J732" s="430" t="s">
        <v>5319</v>
      </c>
      <c r="K732" s="431" t="s">
        <v>5468</v>
      </c>
      <c r="L732" s="431" t="s">
        <v>5321</v>
      </c>
      <c r="M732" s="430" t="s">
        <v>840</v>
      </c>
      <c r="N732" s="432">
        <v>46209</v>
      </c>
      <c r="O732" s="430" t="s">
        <v>4531</v>
      </c>
      <c r="P732" s="430" t="s">
        <v>706</v>
      </c>
      <c r="Q732" s="430" t="s">
        <v>707</v>
      </c>
      <c r="R732" s="430" t="str">
        <f>_xlfn.XLOOKUP(PV_DATA[[#This Row],[New Ark SKU]],Table9[New Ark SKU],Table9[Connector],,0)</f>
        <v>EVO2A</v>
      </c>
      <c r="S732" s="433" t="str">
        <f>_xlfn.XLOOKUP(PV_DATA[[#This Row],[New Ark SKU]],Table9[New Ark SKU],Table9[Cable],,0)</f>
        <v>±1200mm</v>
      </c>
      <c r="T732" s="433">
        <v>500</v>
      </c>
      <c r="U732" s="1088">
        <v>864</v>
      </c>
      <c r="V732" s="434">
        <f>PV_DATA[[#This Row],[QUANTITY]]*PV_DATA[[#This Row],[WATT]]/1000000</f>
        <v>0.432</v>
      </c>
      <c r="W732" s="435">
        <f>PV_DATA[[#This Row],[QUANTITY]]/PV_DATA[[#This Row],[Qty/Pallet]]</f>
        <v>24</v>
      </c>
      <c r="X732" s="1040">
        <f>PV_DATA[[#This Row],[QUANTITY]]/PV_DATA[[#This Row],[Qty/CT]]</f>
        <v>1</v>
      </c>
      <c r="Y732" s="430" t="s">
        <v>2459</v>
      </c>
      <c r="Z732" s="430" t="str">
        <f t="shared" si="8"/>
        <v>COMPLETED</v>
      </c>
      <c r="AA732" s="545">
        <v>46211</v>
      </c>
      <c r="AB732" s="437">
        <v>46211</v>
      </c>
      <c r="AC732" s="485">
        <f>IF(PV_DATA[[#This Row],[Pick- Up Date]]&lt;&gt;"",_xlfn.ISOWEEKNUM(PV_DATA[[#This Row],[Pick- Up Date]]),"")</f>
        <v>28</v>
      </c>
      <c r="AD732" s="430" t="s">
        <v>5469</v>
      </c>
      <c r="AE732" s="430"/>
      <c r="AF732" s="430" t="s">
        <v>123</v>
      </c>
      <c r="AG732" s="430" t="s">
        <v>123</v>
      </c>
      <c r="AH732" s="430" t="s">
        <v>78</v>
      </c>
      <c r="AI732" s="437">
        <v>46216</v>
      </c>
      <c r="AJ732" s="437">
        <v>46232</v>
      </c>
      <c r="AK732" s="437">
        <v>46232</v>
      </c>
      <c r="AL732" s="437">
        <v>46260</v>
      </c>
      <c r="AM732" s="586">
        <f>IFERROR(VLOOKUP(AT732, Vessel!A:H, 8, FALSE), "")</f>
        <v>46272.833333333336</v>
      </c>
      <c r="AN732" s="586">
        <f>IFERROR(IF(VLOOKUP(AT732,Vessel!A:I,9,FALSE)=0,"",VLOOKUP(AT732,Vessel!A:I,9,FALSE)),"")</f>
        <v>46272.644375000003</v>
      </c>
      <c r="AP732" s="430" t="s">
        <v>5470</v>
      </c>
      <c r="AQ732" s="430" t="s">
        <v>80</v>
      </c>
      <c r="AR732" s="430" t="s">
        <v>5471</v>
      </c>
      <c r="AS732" s="430" t="s">
        <v>5472</v>
      </c>
      <c r="AT732" s="430" t="s">
        <v>5472</v>
      </c>
      <c r="AU7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2" s="437"/>
      <c r="AW732" s="437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7">
        <f>IF(ISERROR(PV_DATA[[#This Row],[New Ark PO status]]),"",_xlfn.XLOOKUP(PV_DATA[[#This Row],[SPTN-PVHK New Ark PO'#]],New_Ark_Data[Purchase order Number],New_Ark_Data[Estimated time of arrival],"",0))</f>
        <v>46260</v>
      </c>
      <c r="AZ73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7">
        <f>IFERROR(PV_DATA[[#This Row],[ODP ETA Port]]+PV_DATA[[#This Row],[Customs/Leg3 Assumption]],"n/a")</f>
        <v>46272.644375000003</v>
      </c>
      <c r="BB732" s="433">
        <f>YEAR(PV_DATA[[#This Row],[ETA for New Ark update]])</f>
        <v>2026</v>
      </c>
      <c r="BC732" s="430">
        <f>MONTH(PV_DATA[[#This Row],[ETA for New Ark update]])</f>
        <v>9</v>
      </c>
      <c r="BD732" s="430">
        <f>IFERROR(_xlfn.ISOWEEKNUM(PV_DATA[[#This Row],[ETA for New Ark update]]),0)</f>
        <v>37</v>
      </c>
      <c r="BE732" s="430">
        <f>_xlfn.XLOOKUP(PV_DATA[[#This Row],[New Ark SKU]],Table9[New Ark SKU],Table9[Total PCS per Pallet],,0)</f>
        <v>36</v>
      </c>
      <c r="BF732" s="430">
        <f>_xlfn.XLOOKUP(PV_DATA[[#This Row],[New Ark SKU]],Table9[New Ark SKU],Table9[Total PCS per 40HQ Container],,0)</f>
        <v>864</v>
      </c>
      <c r="BG732" s="430" t="str">
        <f>_xlfn.XLOOKUP(PV_DATA[[#This Row],[New Ark SKU]],Table9[New Ark SKU],Table9[Back Glass],,0)</f>
        <v>Black glazing</v>
      </c>
      <c r="BH732" s="430" t="str">
        <f>_xlfn.XLOOKUP(PV_DATA[[#This Row],[PORT DESTINATION]],Table12[PORT DESTINATION],Table12[Cosco Line],,0)</f>
        <v>AEM</v>
      </c>
      <c r="BJ732" s="430"/>
    </row>
    <row r="733" spans="1:62" ht="10.5">
      <c r="A733" s="462" t="s">
        <v>5473</v>
      </c>
      <c r="B733" s="462" t="s">
        <v>5318</v>
      </c>
      <c r="C733" s="462" t="str">
        <f>IFERROR(LEFT(PV_DATA[[#This Row],[TCL REFERENCE]],FIND(".",PV_DATA[[#This Row],[TCL REFERENCE]],1)-1),"Main Line")</f>
        <v>26Jun013</v>
      </c>
      <c r="D733" s="462" t="s">
        <v>63</v>
      </c>
      <c r="E733" s="462" t="s">
        <v>144</v>
      </c>
      <c r="F733" s="462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2" t="s">
        <v>146</v>
      </c>
      <c r="H733" s="462" t="s">
        <v>2716</v>
      </c>
      <c r="I733" s="462" t="s">
        <v>1395</v>
      </c>
      <c r="J733" s="430" t="s">
        <v>5319</v>
      </c>
      <c r="K733" s="431" t="s">
        <v>5474</v>
      </c>
      <c r="L733" s="431" t="s">
        <v>5321</v>
      </c>
      <c r="M733" s="430" t="s">
        <v>840</v>
      </c>
      <c r="N733" s="432">
        <v>46209</v>
      </c>
      <c r="O733" s="430" t="s">
        <v>4531</v>
      </c>
      <c r="P733" s="430" t="s">
        <v>706</v>
      </c>
      <c r="Q733" s="430" t="s">
        <v>707</v>
      </c>
      <c r="R733" s="430" t="str">
        <f>_xlfn.XLOOKUP(PV_DATA[[#This Row],[New Ark SKU]],Table9[New Ark SKU],Table9[Connector],,0)</f>
        <v>EVO2A</v>
      </c>
      <c r="S733" s="433" t="str">
        <f>_xlfn.XLOOKUP(PV_DATA[[#This Row],[New Ark SKU]],Table9[New Ark SKU],Table9[Cable],,0)</f>
        <v>±1200mm</v>
      </c>
      <c r="T733" s="433">
        <v>500</v>
      </c>
      <c r="U733" s="1088">
        <v>864</v>
      </c>
      <c r="V733" s="434">
        <f>PV_DATA[[#This Row],[QUANTITY]]*PV_DATA[[#This Row],[WATT]]/1000000</f>
        <v>0.432</v>
      </c>
      <c r="W733" s="435">
        <f>PV_DATA[[#This Row],[QUANTITY]]/PV_DATA[[#This Row],[Qty/Pallet]]</f>
        <v>24</v>
      </c>
      <c r="X733" s="1040">
        <f>PV_DATA[[#This Row],[QUANTITY]]/PV_DATA[[#This Row],[Qty/CT]]</f>
        <v>1</v>
      </c>
      <c r="Y733" s="430" t="s">
        <v>2459</v>
      </c>
      <c r="Z733" s="430" t="str">
        <f t="shared" si="8"/>
        <v>COMPLETED</v>
      </c>
      <c r="AA733" s="545">
        <v>46211</v>
      </c>
      <c r="AB733" s="437">
        <v>46211</v>
      </c>
      <c r="AC733" s="485">
        <f>IF(PV_DATA[[#This Row],[Pick- Up Date]]&lt;&gt;"",_xlfn.ISOWEEKNUM(PV_DATA[[#This Row],[Pick- Up Date]]),"")</f>
        <v>28</v>
      </c>
      <c r="AD733" s="430" t="s">
        <v>5475</v>
      </c>
      <c r="AE733" s="430"/>
      <c r="AF733" s="430" t="s">
        <v>123</v>
      </c>
      <c r="AG733" s="430" t="s">
        <v>123</v>
      </c>
      <c r="AH733" s="430" t="s">
        <v>78</v>
      </c>
      <c r="AI733" s="437">
        <v>46216</v>
      </c>
      <c r="AJ733" s="437">
        <v>46232</v>
      </c>
      <c r="AK733" s="437">
        <v>46232</v>
      </c>
      <c r="AL733" s="437">
        <v>46260</v>
      </c>
      <c r="AM733" s="586">
        <f>IFERROR(VLOOKUP(AT733, Vessel!A:H, 8, FALSE), "")</f>
        <v>46272.833333333336</v>
      </c>
      <c r="AN733" s="586">
        <f>IFERROR(IF(VLOOKUP(AT733,Vessel!A:I,9,FALSE)=0,"",VLOOKUP(AT733,Vessel!A:I,9,FALSE)),"")</f>
        <v>46272.644375000003</v>
      </c>
      <c r="AP733" s="430" t="s">
        <v>5470</v>
      </c>
      <c r="AQ733" s="430" t="s">
        <v>80</v>
      </c>
      <c r="AR733" s="430" t="s">
        <v>5471</v>
      </c>
      <c r="AS733" s="430" t="s">
        <v>5472</v>
      </c>
      <c r="AT733" s="430" t="s">
        <v>5472</v>
      </c>
      <c r="AU7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3" s="437"/>
      <c r="AW733" s="437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7">
        <f>IF(ISERROR(PV_DATA[[#This Row],[New Ark PO status]]),"",_xlfn.XLOOKUP(PV_DATA[[#This Row],[SPTN-PVHK New Ark PO'#]],New_Ark_Data[Purchase order Number],New_Ark_Data[Estimated time of arrival],"",0))</f>
        <v>46260</v>
      </c>
      <c r="AZ73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7">
        <f>IFERROR(PV_DATA[[#This Row],[ODP ETA Port]]+PV_DATA[[#This Row],[Customs/Leg3 Assumption]],"n/a")</f>
        <v>46272.644375000003</v>
      </c>
      <c r="BB733" s="433">
        <f>YEAR(PV_DATA[[#This Row],[ETA for New Ark update]])</f>
        <v>2026</v>
      </c>
      <c r="BC733" s="430">
        <f>MONTH(PV_DATA[[#This Row],[ETA for New Ark update]])</f>
        <v>9</v>
      </c>
      <c r="BD733" s="430">
        <f>IFERROR(_xlfn.ISOWEEKNUM(PV_DATA[[#This Row],[ETA for New Ark update]]),0)</f>
        <v>37</v>
      </c>
      <c r="BE733" s="430">
        <f>_xlfn.XLOOKUP(PV_DATA[[#This Row],[New Ark SKU]],Table9[New Ark SKU],Table9[Total PCS per Pallet],,0)</f>
        <v>36</v>
      </c>
      <c r="BF733" s="430">
        <f>_xlfn.XLOOKUP(PV_DATA[[#This Row],[New Ark SKU]],Table9[New Ark SKU],Table9[Total PCS per 40HQ Container],,0)</f>
        <v>864</v>
      </c>
      <c r="BG733" s="430" t="str">
        <f>_xlfn.XLOOKUP(PV_DATA[[#This Row],[New Ark SKU]],Table9[New Ark SKU],Table9[Back Glass],,0)</f>
        <v>Black glazing</v>
      </c>
      <c r="BH733" s="430" t="str">
        <f>_xlfn.XLOOKUP(PV_DATA[[#This Row],[PORT DESTINATION]],Table12[PORT DESTINATION],Table12[Cosco Line],,0)</f>
        <v>AEM</v>
      </c>
      <c r="BJ733" s="430"/>
    </row>
    <row r="734" spans="1:62" ht="10.5">
      <c r="A734" s="462" t="s">
        <v>5476</v>
      </c>
      <c r="B734" s="462" t="s">
        <v>5318</v>
      </c>
      <c r="C734" s="462" t="str">
        <f>IFERROR(LEFT(PV_DATA[[#This Row],[TCL REFERENCE]],FIND(".",PV_DATA[[#This Row],[TCL REFERENCE]],1)-1),"Main Line")</f>
        <v>26Jun013</v>
      </c>
      <c r="D734" s="462" t="s">
        <v>63</v>
      </c>
      <c r="E734" s="462" t="s">
        <v>144</v>
      </c>
      <c r="F734" s="462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2" t="s">
        <v>146</v>
      </c>
      <c r="H734" s="462" t="s">
        <v>2716</v>
      </c>
      <c r="I734" s="462" t="s">
        <v>1395</v>
      </c>
      <c r="J734" s="430" t="s">
        <v>5319</v>
      </c>
      <c r="K734" s="431" t="s">
        <v>5477</v>
      </c>
      <c r="L734" s="431" t="s">
        <v>5321</v>
      </c>
      <c r="M734" s="430" t="s">
        <v>840</v>
      </c>
      <c r="N734" s="432">
        <v>46209</v>
      </c>
      <c r="O734" s="430" t="s">
        <v>4531</v>
      </c>
      <c r="P734" s="430" t="s">
        <v>706</v>
      </c>
      <c r="Q734" s="430" t="s">
        <v>707</v>
      </c>
      <c r="R734" s="430" t="str">
        <f>_xlfn.XLOOKUP(PV_DATA[[#This Row],[New Ark SKU]],Table9[New Ark SKU],Table9[Connector],,0)</f>
        <v>EVO2A</v>
      </c>
      <c r="S734" s="433" t="str">
        <f>_xlfn.XLOOKUP(PV_DATA[[#This Row],[New Ark SKU]],Table9[New Ark SKU],Table9[Cable],,0)</f>
        <v>±1200mm</v>
      </c>
      <c r="T734" s="433">
        <v>500</v>
      </c>
      <c r="U734" s="1088">
        <v>864</v>
      </c>
      <c r="V734" s="434">
        <f>PV_DATA[[#This Row],[QUANTITY]]*PV_DATA[[#This Row],[WATT]]/1000000</f>
        <v>0.432</v>
      </c>
      <c r="W734" s="435">
        <f>PV_DATA[[#This Row],[QUANTITY]]/PV_DATA[[#This Row],[Qty/Pallet]]</f>
        <v>24</v>
      </c>
      <c r="X734" s="1040">
        <f>PV_DATA[[#This Row],[QUANTITY]]/PV_DATA[[#This Row],[Qty/CT]]</f>
        <v>1</v>
      </c>
      <c r="Y734" s="430" t="s">
        <v>2459</v>
      </c>
      <c r="Z734" s="430" t="str">
        <f t="shared" si="8"/>
        <v>COMPLETED</v>
      </c>
      <c r="AA734" s="545">
        <v>46211</v>
      </c>
      <c r="AB734" s="437">
        <v>46211</v>
      </c>
      <c r="AC734" s="485">
        <f>IF(PV_DATA[[#This Row],[Pick- Up Date]]&lt;&gt;"",_xlfn.ISOWEEKNUM(PV_DATA[[#This Row],[Pick- Up Date]]),"")</f>
        <v>28</v>
      </c>
      <c r="AD734" s="430" t="s">
        <v>5478</v>
      </c>
      <c r="AE734" s="430"/>
      <c r="AF734" s="430" t="s">
        <v>123</v>
      </c>
      <c r="AG734" s="430" t="s">
        <v>123</v>
      </c>
      <c r="AH734" s="430" t="s">
        <v>78</v>
      </c>
      <c r="AI734" s="437">
        <v>46216</v>
      </c>
      <c r="AJ734" s="437">
        <v>46232</v>
      </c>
      <c r="AK734" s="437">
        <v>46232</v>
      </c>
      <c r="AL734" s="437">
        <v>46260</v>
      </c>
      <c r="AM734" s="586">
        <f>IFERROR(VLOOKUP(AT734, Vessel!A:H, 8, FALSE), "")</f>
        <v>46272.833333333336</v>
      </c>
      <c r="AN734" s="586">
        <f>IFERROR(IF(VLOOKUP(AT734,Vessel!A:I,9,FALSE)=0,"",VLOOKUP(AT734,Vessel!A:I,9,FALSE)),"")</f>
        <v>46272.644375000003</v>
      </c>
      <c r="AP734" s="430" t="s">
        <v>5470</v>
      </c>
      <c r="AQ734" s="430" t="s">
        <v>80</v>
      </c>
      <c r="AR734" s="430" t="s">
        <v>5471</v>
      </c>
      <c r="AS734" s="430" t="s">
        <v>5472</v>
      </c>
      <c r="AT734" s="430" t="s">
        <v>5472</v>
      </c>
      <c r="AU7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4" s="437"/>
      <c r="AW734" s="437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7">
        <f>IF(ISERROR(PV_DATA[[#This Row],[New Ark PO status]]),"",_xlfn.XLOOKUP(PV_DATA[[#This Row],[SPTN-PVHK New Ark PO'#]],New_Ark_Data[Purchase order Number],New_Ark_Data[Estimated time of arrival],"",0))</f>
        <v>46260</v>
      </c>
      <c r="AZ73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7">
        <f>IFERROR(PV_DATA[[#This Row],[ODP ETA Port]]+PV_DATA[[#This Row],[Customs/Leg3 Assumption]],"n/a")</f>
        <v>46272.644375000003</v>
      </c>
      <c r="BB734" s="433">
        <f>YEAR(PV_DATA[[#This Row],[ETA for New Ark update]])</f>
        <v>2026</v>
      </c>
      <c r="BC734" s="430">
        <f>MONTH(PV_DATA[[#This Row],[ETA for New Ark update]])</f>
        <v>9</v>
      </c>
      <c r="BD734" s="430">
        <f>IFERROR(_xlfn.ISOWEEKNUM(PV_DATA[[#This Row],[ETA for New Ark update]]),0)</f>
        <v>37</v>
      </c>
      <c r="BE734" s="430">
        <f>_xlfn.XLOOKUP(PV_DATA[[#This Row],[New Ark SKU]],Table9[New Ark SKU],Table9[Total PCS per Pallet],,0)</f>
        <v>36</v>
      </c>
      <c r="BF734" s="430">
        <f>_xlfn.XLOOKUP(PV_DATA[[#This Row],[New Ark SKU]],Table9[New Ark SKU],Table9[Total PCS per 40HQ Container],,0)</f>
        <v>864</v>
      </c>
      <c r="BG734" s="430" t="str">
        <f>_xlfn.XLOOKUP(PV_DATA[[#This Row],[New Ark SKU]],Table9[New Ark SKU],Table9[Back Glass],,0)</f>
        <v>Black glazing</v>
      </c>
      <c r="BH734" s="430" t="str">
        <f>_xlfn.XLOOKUP(PV_DATA[[#This Row],[PORT DESTINATION]],Table12[PORT DESTINATION],Table12[Cosco Line],,0)</f>
        <v>AEM</v>
      </c>
      <c r="BJ734" s="430"/>
    </row>
    <row r="735" spans="1:62" ht="10.5">
      <c r="A735" s="462" t="s">
        <v>5479</v>
      </c>
      <c r="B735" s="462" t="s">
        <v>5318</v>
      </c>
      <c r="C735" s="462" t="str">
        <f>IFERROR(LEFT(PV_DATA[[#This Row],[TCL REFERENCE]],FIND(".",PV_DATA[[#This Row],[TCL REFERENCE]],1)-1),"Main Line")</f>
        <v>26Jun013</v>
      </c>
      <c r="D735" s="462" t="s">
        <v>63</v>
      </c>
      <c r="E735" s="462" t="s">
        <v>144</v>
      </c>
      <c r="F735" s="462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2" t="s">
        <v>146</v>
      </c>
      <c r="H735" s="462" t="s">
        <v>2716</v>
      </c>
      <c r="I735" s="462" t="s">
        <v>1395</v>
      </c>
      <c r="J735" s="430" t="s">
        <v>5319</v>
      </c>
      <c r="K735" s="431" t="s">
        <v>5480</v>
      </c>
      <c r="L735" s="431" t="s">
        <v>5321</v>
      </c>
      <c r="M735" s="430" t="s">
        <v>840</v>
      </c>
      <c r="N735" s="432">
        <v>46209</v>
      </c>
      <c r="O735" s="430" t="s">
        <v>4531</v>
      </c>
      <c r="P735" s="430" t="s">
        <v>706</v>
      </c>
      <c r="Q735" s="430" t="s">
        <v>707</v>
      </c>
      <c r="R735" s="430" t="str">
        <f>_xlfn.XLOOKUP(PV_DATA[[#This Row],[New Ark SKU]],Table9[New Ark SKU],Table9[Connector],,0)</f>
        <v>EVO2A</v>
      </c>
      <c r="S735" s="433" t="str">
        <f>_xlfn.XLOOKUP(PV_DATA[[#This Row],[New Ark SKU]],Table9[New Ark SKU],Table9[Cable],,0)</f>
        <v>±1200mm</v>
      </c>
      <c r="T735" s="433">
        <v>500</v>
      </c>
      <c r="U735" s="1088">
        <v>864</v>
      </c>
      <c r="V735" s="434">
        <f>PV_DATA[[#This Row],[QUANTITY]]*PV_DATA[[#This Row],[WATT]]/1000000</f>
        <v>0.432</v>
      </c>
      <c r="W735" s="435">
        <f>PV_DATA[[#This Row],[QUANTITY]]/PV_DATA[[#This Row],[Qty/Pallet]]</f>
        <v>24</v>
      </c>
      <c r="X735" s="1040">
        <f>PV_DATA[[#This Row],[QUANTITY]]/PV_DATA[[#This Row],[Qty/CT]]</f>
        <v>1</v>
      </c>
      <c r="Y735" s="430" t="s">
        <v>2459</v>
      </c>
      <c r="Z735" s="430" t="str">
        <f t="shared" si="8"/>
        <v>COMPLETED</v>
      </c>
      <c r="AA735" s="545">
        <v>46211</v>
      </c>
      <c r="AB735" s="437">
        <v>46211</v>
      </c>
      <c r="AC735" s="485">
        <f>IF(PV_DATA[[#This Row],[Pick- Up Date]]&lt;&gt;"",_xlfn.ISOWEEKNUM(PV_DATA[[#This Row],[Pick- Up Date]]),"")</f>
        <v>28</v>
      </c>
      <c r="AD735" s="430" t="s">
        <v>5481</v>
      </c>
      <c r="AE735" s="430"/>
      <c r="AF735" s="430" t="s">
        <v>123</v>
      </c>
      <c r="AG735" s="430" t="s">
        <v>123</v>
      </c>
      <c r="AH735" s="430" t="s">
        <v>78</v>
      </c>
      <c r="AI735" s="437">
        <v>46216</v>
      </c>
      <c r="AJ735" s="437">
        <v>46232</v>
      </c>
      <c r="AK735" s="437">
        <v>46232</v>
      </c>
      <c r="AL735" s="437">
        <v>46260</v>
      </c>
      <c r="AM735" s="586">
        <f>IFERROR(VLOOKUP(AT735, Vessel!A:H, 8, FALSE), "")</f>
        <v>46272.833333333336</v>
      </c>
      <c r="AN735" s="586">
        <f>IFERROR(IF(VLOOKUP(AT735,Vessel!A:I,9,FALSE)=0,"",VLOOKUP(AT735,Vessel!A:I,9,FALSE)),"")</f>
        <v>46272.644375000003</v>
      </c>
      <c r="AP735" s="430" t="s">
        <v>5470</v>
      </c>
      <c r="AQ735" s="430" t="s">
        <v>80</v>
      </c>
      <c r="AR735" s="430" t="s">
        <v>5471</v>
      </c>
      <c r="AS735" s="430" t="s">
        <v>5472</v>
      </c>
      <c r="AT735" s="430" t="s">
        <v>5472</v>
      </c>
      <c r="AU7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5" s="437"/>
      <c r="AW735" s="437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7">
        <f>IF(ISERROR(PV_DATA[[#This Row],[New Ark PO status]]),"",_xlfn.XLOOKUP(PV_DATA[[#This Row],[SPTN-PVHK New Ark PO'#]],New_Ark_Data[Purchase order Number],New_Ark_Data[Estimated time of arrival],"",0))</f>
        <v>46260</v>
      </c>
      <c r="AZ73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7">
        <f>IFERROR(PV_DATA[[#This Row],[ODP ETA Port]]+PV_DATA[[#This Row],[Customs/Leg3 Assumption]],"n/a")</f>
        <v>46272.644375000003</v>
      </c>
      <c r="BB735" s="433">
        <f>YEAR(PV_DATA[[#This Row],[ETA for New Ark update]])</f>
        <v>2026</v>
      </c>
      <c r="BC735" s="430">
        <f>MONTH(PV_DATA[[#This Row],[ETA for New Ark update]])</f>
        <v>9</v>
      </c>
      <c r="BD735" s="430">
        <f>IFERROR(_xlfn.ISOWEEKNUM(PV_DATA[[#This Row],[ETA for New Ark update]]),0)</f>
        <v>37</v>
      </c>
      <c r="BE735" s="430">
        <f>_xlfn.XLOOKUP(PV_DATA[[#This Row],[New Ark SKU]],Table9[New Ark SKU],Table9[Total PCS per Pallet],,0)</f>
        <v>36</v>
      </c>
      <c r="BF735" s="430">
        <f>_xlfn.XLOOKUP(PV_DATA[[#This Row],[New Ark SKU]],Table9[New Ark SKU],Table9[Total PCS per 40HQ Container],,0)</f>
        <v>864</v>
      </c>
      <c r="BG735" s="430" t="str">
        <f>_xlfn.XLOOKUP(PV_DATA[[#This Row],[New Ark SKU]],Table9[New Ark SKU],Table9[Back Glass],,0)</f>
        <v>Black glazing</v>
      </c>
      <c r="BH735" s="430" t="str">
        <f>_xlfn.XLOOKUP(PV_DATA[[#This Row],[PORT DESTINATION]],Table12[PORT DESTINATION],Table12[Cosco Line],,0)</f>
        <v>AEM</v>
      </c>
      <c r="BJ735" s="430"/>
    </row>
    <row r="736" spans="1:62" ht="10.5">
      <c r="A736" s="462" t="s">
        <v>5482</v>
      </c>
      <c r="B736" s="462" t="s">
        <v>61</v>
      </c>
      <c r="C736" s="462" t="str">
        <f>IFERROR(LEFT(PV_DATA[[#This Row],[TCL REFERENCE]],FIND(".",PV_DATA[[#This Row],[TCL REFERENCE]],1)-1),"Main Line")</f>
        <v>26Jun014</v>
      </c>
      <c r="D736" s="462" t="s">
        <v>63</v>
      </c>
      <c r="E736" s="462" t="s">
        <v>64</v>
      </c>
      <c r="F736" s="462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2" t="s">
        <v>402</v>
      </c>
      <c r="H736" s="462" t="s">
        <v>67</v>
      </c>
      <c r="I736" s="462" t="s">
        <v>689</v>
      </c>
      <c r="J736" s="430" t="s">
        <v>96</v>
      </c>
      <c r="K736" s="431"/>
      <c r="L736" s="431"/>
      <c r="M736" s="430" t="s">
        <v>68</v>
      </c>
      <c r="N736" s="432">
        <v>46209</v>
      </c>
      <c r="O736" s="430" t="s">
        <v>4531</v>
      </c>
      <c r="P736" s="430" t="s">
        <v>691</v>
      </c>
      <c r="Q736" s="430" t="s">
        <v>692</v>
      </c>
      <c r="R736" s="430" t="str">
        <f>_xlfn.XLOOKUP(PV_DATA[[#This Row],[New Ark SKU]],Table9[New Ark SKU],Table9[Connector],,0)</f>
        <v>EVO2A</v>
      </c>
      <c r="S736" s="433" t="str">
        <f>_xlfn.XLOOKUP(PV_DATA[[#This Row],[New Ark SKU]],Table9[New Ark SKU],Table9[Cable],,0)</f>
        <v>±1200mm</v>
      </c>
      <c r="T736" s="433">
        <v>505</v>
      </c>
      <c r="U736" s="1088">
        <v>3456</v>
      </c>
      <c r="V736" s="434">
        <f>PV_DATA[[#This Row],[QUANTITY]]*PV_DATA[[#This Row],[WATT]]/1000000</f>
        <v>1.7452799999999999</v>
      </c>
      <c r="W736" s="435">
        <f>PV_DATA[[#This Row],[QUANTITY]]/PV_DATA[[#This Row],[Qty/Pallet]]</f>
        <v>96</v>
      </c>
      <c r="X736" s="1040">
        <f>PV_DATA[[#This Row],[QUANTITY]]/PV_DATA[[#This Row],[Qty/CT]]</f>
        <v>4</v>
      </c>
      <c r="Y736" s="430" t="s">
        <v>2459</v>
      </c>
      <c r="Z736" s="430" t="str">
        <f t="shared" si="8"/>
        <v>COMPLETED</v>
      </c>
      <c r="AA736" s="430"/>
      <c r="AB736" s="437">
        <v>46211</v>
      </c>
      <c r="AC736" s="485">
        <f>IF(PV_DATA[[#This Row],[Pick- Up Date]]&lt;&gt;"",_xlfn.ISOWEEKNUM(PV_DATA[[#This Row],[Pick- Up Date]]),"")</f>
        <v>28</v>
      </c>
      <c r="AD736" s="430" t="s">
        <v>5483</v>
      </c>
      <c r="AE736" s="430"/>
      <c r="AF736" s="430" t="s">
        <v>61</v>
      </c>
      <c r="AG736" s="430" t="s">
        <v>61</v>
      </c>
      <c r="AH736" s="430" t="s">
        <v>78</v>
      </c>
      <c r="AI736" s="437">
        <v>46218</v>
      </c>
      <c r="AJ736" s="437">
        <v>46219</v>
      </c>
      <c r="AK736" s="437">
        <v>46219</v>
      </c>
      <c r="AL736" s="437">
        <v>46286</v>
      </c>
      <c r="AM736" s="586">
        <f>IFERROR(VLOOKUP(AT736, Vessel!A:H, 8, FALSE), "")</f>
        <v>46299.041666666664</v>
      </c>
      <c r="AN736" s="586">
        <v>46299</v>
      </c>
      <c r="AP736" s="430" t="s">
        <v>5484</v>
      </c>
      <c r="AQ736" s="438" t="s">
        <v>80</v>
      </c>
      <c r="AR736" s="430" t="s">
        <v>5485</v>
      </c>
      <c r="AS736" s="430" t="s">
        <v>5486</v>
      </c>
      <c r="AT736" s="430" t="s">
        <v>5486</v>
      </c>
      <c r="AU7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V736" s="437"/>
      <c r="AW736" s="437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7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7">
        <f>IF(ISERROR(PV_DATA[[#This Row],[New Ark PO status]]),"",_xlfn.XLOOKUP(PV_DATA[[#This Row],[SPTN-PVHK New Ark PO'#]],New_Ark_Data[Purchase order Number],New_Ark_Data[Estimated time of arrival],"",0))</f>
        <v>46300</v>
      </c>
      <c r="AZ7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7">
        <f>IFERROR(PV_DATA[[#This Row],[ODP ETA Port]]+PV_DATA[[#This Row],[Customs/Leg3 Assumption]],"n/a")</f>
        <v>46307</v>
      </c>
      <c r="BB736" s="433">
        <f>YEAR(PV_DATA[[#This Row],[ETA for New Ark update]])</f>
        <v>2026</v>
      </c>
      <c r="BC736" s="430">
        <f>MONTH(PV_DATA[[#This Row],[ETA for New Ark update]])</f>
        <v>10</v>
      </c>
      <c r="BD736" s="430">
        <f>IFERROR(_xlfn.ISOWEEKNUM(PV_DATA[[#This Row],[ETA for New Ark update]]),0)</f>
        <v>42</v>
      </c>
      <c r="BE736" s="430">
        <f>_xlfn.XLOOKUP(PV_DATA[[#This Row],[New Ark SKU]],Table9[New Ark SKU],Table9[Total PCS per Pallet],,0)</f>
        <v>36</v>
      </c>
      <c r="BF736" s="430">
        <f>_xlfn.XLOOKUP(PV_DATA[[#This Row],[New Ark SKU]],Table9[New Ark SKU],Table9[Total PCS per 40HQ Container],,0)</f>
        <v>864</v>
      </c>
      <c r="BG736" s="430" t="str">
        <f>_xlfn.XLOOKUP(PV_DATA[[#This Row],[New Ark SKU]],Table9[New Ark SKU],Table9[Back Glass],,0)</f>
        <v>Black glazing</v>
      </c>
      <c r="BH736" s="430" t="str">
        <f>_xlfn.XLOOKUP(PV_DATA[[#This Row],[PORT DESTINATION]],Table12[PORT DESTINATION],Table12[Cosco Line],,0)</f>
        <v>AEM</v>
      </c>
      <c r="BJ736" s="430"/>
    </row>
    <row r="737" spans="1:62" ht="10.5">
      <c r="A737" s="462" t="s">
        <v>5487</v>
      </c>
      <c r="B737" s="462" t="s">
        <v>61</v>
      </c>
      <c r="C737" s="462" t="str">
        <f>IFERROR(LEFT(PV_DATA[[#This Row],[TCL REFERENCE]],FIND(".",PV_DATA[[#This Row],[TCL REFERENCE]],1)-1),"Main Line")</f>
        <v>26Jun014</v>
      </c>
      <c r="D737" s="462" t="s">
        <v>63</v>
      </c>
      <c r="E737" s="462" t="s">
        <v>64</v>
      </c>
      <c r="F737" s="462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2" t="s">
        <v>402</v>
      </c>
      <c r="H737" s="462" t="s">
        <v>67</v>
      </c>
      <c r="I737" s="462" t="s">
        <v>689</v>
      </c>
      <c r="J737" s="430" t="s">
        <v>96</v>
      </c>
      <c r="K737" s="431"/>
      <c r="L737" s="431"/>
      <c r="M737" s="430" t="s">
        <v>68</v>
      </c>
      <c r="N737" s="432">
        <v>46209</v>
      </c>
      <c r="O737" s="430" t="s">
        <v>4531</v>
      </c>
      <c r="P737" s="430" t="s">
        <v>691</v>
      </c>
      <c r="Q737" s="430" t="s">
        <v>692</v>
      </c>
      <c r="R737" s="430" t="str">
        <f>_xlfn.XLOOKUP(PV_DATA[[#This Row],[New Ark SKU]],Table9[New Ark SKU],Table9[Connector],,0)</f>
        <v>EVO2A</v>
      </c>
      <c r="S737" s="433" t="str">
        <f>_xlfn.XLOOKUP(PV_DATA[[#This Row],[New Ark SKU]],Table9[New Ark SKU],Table9[Cable],,0)</f>
        <v>±1200mm</v>
      </c>
      <c r="T737" s="433">
        <v>505</v>
      </c>
      <c r="U737" s="1088">
        <v>1728</v>
      </c>
      <c r="V737" s="434">
        <f>PV_DATA[[#This Row],[QUANTITY]]*PV_DATA[[#This Row],[WATT]]/1000000</f>
        <v>0.87263999999999997</v>
      </c>
      <c r="W737" s="435">
        <f>PV_DATA[[#This Row],[QUANTITY]]/PV_DATA[[#This Row],[Qty/Pallet]]</f>
        <v>48</v>
      </c>
      <c r="X737" s="1040">
        <f>PV_DATA[[#This Row],[QUANTITY]]/PV_DATA[[#This Row],[Qty/CT]]</f>
        <v>2</v>
      </c>
      <c r="Y737" s="430" t="s">
        <v>2459</v>
      </c>
      <c r="Z737" s="430" t="str">
        <f t="shared" si="8"/>
        <v>COMPLETED</v>
      </c>
      <c r="AA737" s="430"/>
      <c r="AB737" s="437">
        <v>46211</v>
      </c>
      <c r="AC737" s="485">
        <f>IF(PV_DATA[[#This Row],[Pick- Up Date]]&lt;&gt;"",_xlfn.ISOWEEKNUM(PV_DATA[[#This Row],[Pick- Up Date]]),"")</f>
        <v>28</v>
      </c>
      <c r="AD737" s="430" t="s">
        <v>5488</v>
      </c>
      <c r="AE737" s="430"/>
      <c r="AF737" s="430" t="s">
        <v>61</v>
      </c>
      <c r="AG737" s="430" t="s">
        <v>61</v>
      </c>
      <c r="AH737" s="430" t="s">
        <v>78</v>
      </c>
      <c r="AI737" s="437">
        <v>46218</v>
      </c>
      <c r="AJ737" s="437">
        <v>46219</v>
      </c>
      <c r="AK737" s="437">
        <v>46219</v>
      </c>
      <c r="AL737" s="437">
        <v>46281</v>
      </c>
      <c r="AM737" s="586">
        <f>IFERROR(VLOOKUP(AT737, Vessel!A:H, 8, FALSE), "")</f>
        <v>46283.416666666664</v>
      </c>
      <c r="AN737" s="586">
        <f>IFERROR(IF(VLOOKUP(AT737,Vessel!A:I,9,FALSE)=0,"",VLOOKUP(AT737,Vessel!A:I,9,FALSE)),"")</f>
        <v>46283.4372337963</v>
      </c>
      <c r="AP737" s="430" t="s">
        <v>5484</v>
      </c>
      <c r="AQ737" s="438" t="s">
        <v>80</v>
      </c>
      <c r="AR737" s="430" t="s">
        <v>5489</v>
      </c>
      <c r="AS737" s="430" t="s">
        <v>5490</v>
      </c>
      <c r="AT737" s="430" t="s">
        <v>5490</v>
      </c>
      <c r="AU7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64.437233796299552</v>
      </c>
      <c r="AV737" s="437"/>
      <c r="AW737" s="437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7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7">
        <f>IF(ISERROR(PV_DATA[[#This Row],[New Ark PO status]]),"",_xlfn.XLOOKUP(PV_DATA[[#This Row],[SPTN-PVHK New Ark PO'#]],New_Ark_Data[Purchase order Number],New_Ark_Data[Estimated time of arrival],"",0))</f>
        <v>46295</v>
      </c>
      <c r="AZ73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7">
        <f>IFERROR(PV_DATA[[#This Row],[ODP ETA Port]]+PV_DATA[[#This Row],[Customs/Leg3 Assumption]],"n/a")</f>
        <v>46291.4372337963</v>
      </c>
      <c r="BB737" s="433">
        <f>YEAR(PV_DATA[[#This Row],[ETA for New Ark update]])</f>
        <v>2026</v>
      </c>
      <c r="BC737" s="430">
        <f>MONTH(PV_DATA[[#This Row],[ETA for New Ark update]])</f>
        <v>9</v>
      </c>
      <c r="BD737" s="430">
        <f>IFERROR(_xlfn.ISOWEEKNUM(PV_DATA[[#This Row],[ETA for New Ark update]]),0)</f>
        <v>39</v>
      </c>
      <c r="BE737" s="430">
        <f>_xlfn.XLOOKUP(PV_DATA[[#This Row],[New Ark SKU]],Table9[New Ark SKU],Table9[Total PCS per Pallet],,0)</f>
        <v>36</v>
      </c>
      <c r="BF737" s="430">
        <f>_xlfn.XLOOKUP(PV_DATA[[#This Row],[New Ark SKU]],Table9[New Ark SKU],Table9[Total PCS per 40HQ Container],,0)</f>
        <v>864</v>
      </c>
      <c r="BG737" s="430" t="str">
        <f>_xlfn.XLOOKUP(PV_DATA[[#This Row],[New Ark SKU]],Table9[New Ark SKU],Table9[Back Glass],,0)</f>
        <v>Black glazing</v>
      </c>
      <c r="BH737" s="430" t="str">
        <f>_xlfn.XLOOKUP(PV_DATA[[#This Row],[PORT DESTINATION]],Table12[PORT DESTINATION],Table12[Cosco Line],,0)</f>
        <v>AEM</v>
      </c>
      <c r="BJ737" s="430"/>
    </row>
    <row r="738" spans="1:62" ht="10.5">
      <c r="A738" s="462" t="s">
        <v>5491</v>
      </c>
      <c r="B738" s="462" t="s">
        <v>61</v>
      </c>
      <c r="C738" s="462" t="str">
        <f>IFERROR(LEFT(PV_DATA[[#This Row],[TCL REFERENCE]],FIND(".",PV_DATA[[#This Row],[TCL REFERENCE]],1)-1),"Main Line")</f>
        <v>26Jun009</v>
      </c>
      <c r="D738" s="462" t="s">
        <v>63</v>
      </c>
      <c r="E738" s="462" t="s">
        <v>64</v>
      </c>
      <c r="F738" s="462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2" t="s">
        <v>402</v>
      </c>
      <c r="H738" s="462" t="s">
        <v>67</v>
      </c>
      <c r="I738" s="462" t="s">
        <v>689</v>
      </c>
      <c r="J738" s="430" t="s">
        <v>96</v>
      </c>
      <c r="K738" s="431"/>
      <c r="L738" s="431"/>
      <c r="M738" s="430" t="s">
        <v>68</v>
      </c>
      <c r="N738" s="432">
        <v>46188</v>
      </c>
      <c r="O738" s="430" t="s">
        <v>4531</v>
      </c>
      <c r="P738" s="430" t="s">
        <v>195</v>
      </c>
      <c r="Q738" s="430" t="s">
        <v>196</v>
      </c>
      <c r="R738" s="430" t="str">
        <f>_xlfn.XLOOKUP(PV_DATA[[#This Row],[New Ark SKU]],Table9[New Ark SKU],Table9[Connector],,0)</f>
        <v>EVO2A</v>
      </c>
      <c r="S738" s="433" t="str">
        <f>_xlfn.XLOOKUP(PV_DATA[[#This Row],[New Ark SKU]],Table9[New Ark SKU],Table9[Cable],,0)</f>
        <v>±1200mm</v>
      </c>
      <c r="T738" s="433">
        <v>450</v>
      </c>
      <c r="U738" s="1088">
        <v>4680</v>
      </c>
      <c r="V738" s="434">
        <f>PV_DATA[[#This Row],[QUANTITY]]*PV_DATA[[#This Row],[WATT]]/1000000</f>
        <v>2.1059999999999999</v>
      </c>
      <c r="W738" s="435">
        <f>PV_DATA[[#This Row],[QUANTITY]]/PV_DATA[[#This Row],[Qty/Pallet]]</f>
        <v>130</v>
      </c>
      <c r="X738" s="1040">
        <f>PV_DATA[[#This Row],[QUANTITY]]/PV_DATA[[#This Row],[Qty/CT]]</f>
        <v>5</v>
      </c>
      <c r="Y738" s="430" t="s">
        <v>2458</v>
      </c>
      <c r="Z738" s="430" t="str">
        <f t="shared" si="8"/>
        <v>COMPLETED</v>
      </c>
      <c r="AA738" s="430"/>
      <c r="AB738" s="437">
        <v>46211</v>
      </c>
      <c r="AC738" s="485">
        <f>IF(PV_DATA[[#This Row],[Pick- Up Date]]&lt;&gt;"",_xlfn.ISOWEEKNUM(PV_DATA[[#This Row],[Pick- Up Date]]),"")</f>
        <v>28</v>
      </c>
      <c r="AD738" s="430" t="s">
        <v>5492</v>
      </c>
      <c r="AE738" s="430"/>
      <c r="AF738" s="430" t="s">
        <v>61</v>
      </c>
      <c r="AG738" s="430" t="s">
        <v>61</v>
      </c>
      <c r="AH738" s="430" t="s">
        <v>105</v>
      </c>
      <c r="AI738" s="437">
        <v>46218</v>
      </c>
      <c r="AJ738" s="437">
        <v>46219</v>
      </c>
      <c r="AK738" s="437">
        <v>46219</v>
      </c>
      <c r="AL738" s="437">
        <v>46252</v>
      </c>
      <c r="AM738" s="586">
        <v>46266</v>
      </c>
      <c r="AN738" s="586">
        <v>46265</v>
      </c>
      <c r="AP738" s="430" t="s">
        <v>5484</v>
      </c>
      <c r="AQ738" s="430" t="s">
        <v>80</v>
      </c>
      <c r="AR738" s="430" t="s">
        <v>5493</v>
      </c>
      <c r="AS738" s="430" t="s">
        <v>5494</v>
      </c>
      <c r="AT738" s="430" t="s">
        <v>5494</v>
      </c>
      <c r="AU7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38" s="437"/>
      <c r="AW738" s="437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7">
        <f>IF(ISERROR(PV_DATA[[#This Row],[New Ark PO status]]),"",_xlfn.XLOOKUP(PV_DATA[[#This Row],[SPTN-PVHK New Ark PO'#]],New_Ark_Data[Purchase order Number],New_Ark_Data[Estimated time of arrival],"",0))</f>
        <v>46279</v>
      </c>
      <c r="AZ73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7">
        <f>IFERROR(PV_DATA[[#This Row],[ODP ETA Port]]+PV_DATA[[#This Row],[Customs/Leg3 Assumption]],"n/a")</f>
        <v>46272</v>
      </c>
      <c r="BB738" s="433">
        <f>YEAR(PV_DATA[[#This Row],[ETA for New Ark update]])</f>
        <v>2026</v>
      </c>
      <c r="BC738" s="430">
        <f>MONTH(PV_DATA[[#This Row],[ETA for New Ark update]])</f>
        <v>9</v>
      </c>
      <c r="BD738" s="430">
        <f>IFERROR(_xlfn.ISOWEEKNUM(PV_DATA[[#This Row],[ETA for New Ark update]]),0)</f>
        <v>37</v>
      </c>
      <c r="BE738" s="430">
        <f>_xlfn.XLOOKUP(PV_DATA[[#This Row],[New Ark SKU]],Table9[New Ark SKU],Table9[Total PCS per Pallet],,0)</f>
        <v>36</v>
      </c>
      <c r="BF738" s="430">
        <f>_xlfn.XLOOKUP(PV_DATA[[#This Row],[New Ark SKU]],Table9[New Ark SKU],Table9[Total PCS per 40HQ Container],,0)</f>
        <v>936</v>
      </c>
      <c r="BG738" s="430" t="str">
        <f>_xlfn.XLOOKUP(PV_DATA[[#This Row],[New Ark SKU]],Table9[New Ark SKU],Table9[Back Glass],,0)</f>
        <v>Black glazing</v>
      </c>
      <c r="BH738" s="430" t="str">
        <f>_xlfn.XLOOKUP(PV_DATA[[#This Row],[PORT DESTINATION]],Table12[PORT DESTINATION],Table12[Cosco Line],,0)</f>
        <v>AEU</v>
      </c>
      <c r="BJ738" s="430"/>
    </row>
    <row r="739" spans="1:62" s="463" customFormat="1" ht="10.5">
      <c r="A739" s="462" t="s">
        <v>5495</v>
      </c>
      <c r="B739" s="462" t="s">
        <v>61</v>
      </c>
      <c r="C739" s="462" t="str">
        <f>IFERROR(LEFT(PV_DATA[[#This Row],[TCL REFERENCE]],FIND(".",PV_DATA[[#This Row],[TCL REFERENCE]],1)-1),"Main Line")</f>
        <v>26Jul012</v>
      </c>
      <c r="D739" s="462" t="s">
        <v>63</v>
      </c>
      <c r="E739" s="462" t="s">
        <v>64</v>
      </c>
      <c r="F739" s="462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2" t="s">
        <v>402</v>
      </c>
      <c r="H739" s="462" t="s">
        <v>311</v>
      </c>
      <c r="I739" s="462" t="s">
        <v>689</v>
      </c>
      <c r="J739" s="430" t="s">
        <v>96</v>
      </c>
      <c r="K739" s="431"/>
      <c r="L739" s="431"/>
      <c r="M739" s="430" t="s">
        <v>68</v>
      </c>
      <c r="N739" s="432">
        <v>46202</v>
      </c>
      <c r="O739" s="430" t="s">
        <v>284</v>
      </c>
      <c r="P739" s="462" t="s">
        <v>5496</v>
      </c>
      <c r="Q739" s="430" t="s">
        <v>5346</v>
      </c>
      <c r="R739" s="430" t="str">
        <f>_xlfn.XLOOKUP(PV_DATA[[#This Row],[New Ark SKU]],Table9[New Ark SKU],Table9[Connector],,0)</f>
        <v>H4(Com)</v>
      </c>
      <c r="S739" s="433" t="str">
        <f>_xlfn.XLOOKUP(PV_DATA[[#This Row],[New Ark SKU]],Table9[New Ark SKU],Table9[Cable],,0)</f>
        <v>±1400mm</v>
      </c>
      <c r="T739" s="433">
        <v>655</v>
      </c>
      <c r="U739" s="1088">
        <v>720</v>
      </c>
      <c r="V739" s="434">
        <f>PV_DATA[[#This Row],[QUANTITY]]*PV_DATA[[#This Row],[WATT]]/1000000</f>
        <v>0.47160000000000002</v>
      </c>
      <c r="W739" s="435">
        <f>PV_DATA[[#This Row],[QUANTITY]]/PV_DATA[[#This Row],[Qty/Pallet]]</f>
        <v>20</v>
      </c>
      <c r="X739" s="1040">
        <f>PV_DATA[[#This Row],[QUANTITY]]/PV_DATA[[#This Row],[Qty/CT]]</f>
        <v>1</v>
      </c>
      <c r="Y739" s="430" t="s">
        <v>2460</v>
      </c>
      <c r="Z739" s="430" t="str">
        <f t="shared" si="8"/>
        <v>IN-TRANSIT</v>
      </c>
      <c r="AA739" s="430" t="s">
        <v>5497</v>
      </c>
      <c r="AB739" s="437">
        <v>46213</v>
      </c>
      <c r="AC739" s="485">
        <f>IF(PV_DATA[[#This Row],[Pick- Up Date]]&lt;&gt;"",_xlfn.ISOWEEKNUM(PV_DATA[[#This Row],[Pick- Up Date]]),"")</f>
        <v>28</v>
      </c>
      <c r="AD739" s="430" t="s">
        <v>5498</v>
      </c>
      <c r="AE739" s="430"/>
      <c r="AF739" s="430" t="s">
        <v>61</v>
      </c>
      <c r="AG739" s="430" t="s">
        <v>61</v>
      </c>
      <c r="AH739" s="430" t="s">
        <v>1561</v>
      </c>
      <c r="AI739" s="437">
        <v>46218</v>
      </c>
      <c r="AJ739" s="437">
        <v>46219</v>
      </c>
      <c r="AK739" s="437">
        <v>46219</v>
      </c>
      <c r="AL739" s="437">
        <v>46278</v>
      </c>
      <c r="AM739" s="586">
        <f>IFERROR(VLOOKUP(AT739, Vessel!A:H, 8, FALSE), "")</f>
        <v>46308.75</v>
      </c>
      <c r="AN739" s="586" t="str">
        <f>IFERROR(IF(VLOOKUP(AT739,Vessel!A:I,9,FALSE)=0,"",VLOOKUP(AT739,Vessel!A:I,9,FALSE)),"")</f>
        <v/>
      </c>
      <c r="AO739" s="430"/>
      <c r="AP739" s="430" t="s">
        <v>5484</v>
      </c>
      <c r="AQ739" s="430" t="s">
        <v>80</v>
      </c>
      <c r="AR739" s="430" t="s">
        <v>5427</v>
      </c>
      <c r="AS739" s="430" t="s">
        <v>5499</v>
      </c>
      <c r="AT739" s="430" t="s">
        <v>5499</v>
      </c>
      <c r="AU7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89.75</v>
      </c>
      <c r="AV739" s="430"/>
      <c r="AW739" s="437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7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7">
        <f>IF(ISERROR(PV_DATA[[#This Row],[New Ark PO status]]),"",_xlfn.XLOOKUP(PV_DATA[[#This Row],[SPTN-PVHK New Ark PO'#]],New_Ark_Data[Purchase order Number],New_Ark_Data[Estimated time of arrival],"",0))</f>
        <v>46290</v>
      </c>
      <c r="AZ739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39" s="437">
        <f>IFERROR(PV_DATA[[#This Row],[ODP ETA Port]]+PV_DATA[[#This Row],[Customs/Leg3 Assumption]],"n/a")</f>
        <v>46318.75</v>
      </c>
      <c r="BB739" s="433">
        <f>YEAR(PV_DATA[[#This Row],[ETA for New Ark update]])</f>
        <v>2026</v>
      </c>
      <c r="BC739" s="430">
        <f>MONTH(PV_DATA[[#This Row],[ETA for New Ark update]])</f>
        <v>10</v>
      </c>
      <c r="BD739" s="430">
        <f>IFERROR(_xlfn.ISOWEEKNUM(PV_DATA[[#This Row],[ETA for New Ark update]]),0)</f>
        <v>43</v>
      </c>
      <c r="BE739" s="430">
        <f>_xlfn.XLOOKUP(PV_DATA[[#This Row],[New Ark SKU]],Table9[New Ark SKU],Table9[Total PCS per Pallet],,0)</f>
        <v>36</v>
      </c>
      <c r="BF739" s="430">
        <f>_xlfn.XLOOKUP(PV_DATA[[#This Row],[New Ark SKU]],Table9[New Ark SKU],Table9[Total PCS per 40HQ Container],,0)</f>
        <v>720</v>
      </c>
      <c r="BG739" s="430" t="str">
        <f>_xlfn.XLOOKUP(PV_DATA[[#This Row],[New Ark SKU]],Table9[New Ark SKU],Table9[Back Glass],,0)</f>
        <v>White glazing</v>
      </c>
      <c r="BH739" s="430" t="str">
        <f>_xlfn.XLOOKUP(PV_DATA[[#This Row],[PORT DESTINATION]],Table12[PORT DESTINATION],Table12[Cosco Line],,0)</f>
        <v>AEM</v>
      </c>
    </row>
    <row r="740" spans="1:62" ht="10.5">
      <c r="A740" s="462" t="s">
        <v>5500</v>
      </c>
      <c r="B740" s="462" t="s">
        <v>111</v>
      </c>
      <c r="C740" s="462" t="str">
        <f>IFERROR(LEFT(PV_DATA[[#This Row],[TCL REFERENCE]],FIND(".",PV_DATA[[#This Row],[TCL REFERENCE]],1)-1),"Main Line")</f>
        <v>26Jun016</v>
      </c>
      <c r="D740" s="462" t="s">
        <v>63</v>
      </c>
      <c r="E740" s="462" t="s">
        <v>64</v>
      </c>
      <c r="F740" s="462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2" t="s">
        <v>402</v>
      </c>
      <c r="H740" s="462" t="s">
        <v>67</v>
      </c>
      <c r="I740" s="462" t="s">
        <v>1395</v>
      </c>
      <c r="J740" s="430" t="s">
        <v>96</v>
      </c>
      <c r="K740" s="430"/>
      <c r="L740" s="430"/>
      <c r="M740" s="430" t="s">
        <v>68</v>
      </c>
      <c r="N740" s="432">
        <v>46202</v>
      </c>
      <c r="O740" s="430" t="s">
        <v>5379</v>
      </c>
      <c r="P740" s="430" t="s">
        <v>5380</v>
      </c>
      <c r="Q740" s="430" t="s">
        <v>5381</v>
      </c>
      <c r="R740" s="430" t="str">
        <f>_xlfn.XLOOKUP(PV_DATA[[#This Row],[New Ark SKU]],Table9[New Ark SKU],Table9[Connector],,0)</f>
        <v>EVO2A</v>
      </c>
      <c r="S740" s="433" t="str">
        <f>_xlfn.XLOOKUP(PV_DATA[[#This Row],[New Ark SKU]],Table9[New Ark SKU],Table9[Cable],,0)</f>
        <v>±1200mm</v>
      </c>
      <c r="T740" s="433">
        <v>470</v>
      </c>
      <c r="U740" s="1088">
        <f>936*2</f>
        <v>1872</v>
      </c>
      <c r="V740" s="434">
        <f>PV_DATA[[#This Row],[QUANTITY]]*PV_DATA[[#This Row],[WATT]]/1000000</f>
        <v>0.87983999999999996</v>
      </c>
      <c r="W740" s="435">
        <f>PV_DATA[[#This Row],[QUANTITY]]/PV_DATA[[#This Row],[Qty/Pallet]]</f>
        <v>52</v>
      </c>
      <c r="X740" s="1040">
        <f>PV_DATA[[#This Row],[QUANTITY]]/PV_DATA[[#This Row],[Qty/CT]]</f>
        <v>2</v>
      </c>
      <c r="Y740" s="430" t="s">
        <v>2460</v>
      </c>
      <c r="Z740" s="430" t="str">
        <f t="shared" si="8"/>
        <v>COMPLETED</v>
      </c>
      <c r="AA740" s="430" t="s">
        <v>5422</v>
      </c>
      <c r="AB740" s="437">
        <v>46215</v>
      </c>
      <c r="AC740" s="485">
        <f>IF(PV_DATA[[#This Row],[Pick- Up Date]]&lt;&gt;"",_xlfn.ISOWEEKNUM(PV_DATA[[#This Row],[Pick- Up Date]]),"")</f>
        <v>28</v>
      </c>
      <c r="AD740" s="430" t="s">
        <v>5501</v>
      </c>
      <c r="AE740" s="430"/>
      <c r="AF740" s="430" t="s">
        <v>122</v>
      </c>
      <c r="AG740" s="430" t="s">
        <v>123</v>
      </c>
      <c r="AH740" s="430" t="s">
        <v>456</v>
      </c>
      <c r="AI740" s="437">
        <v>46224</v>
      </c>
      <c r="AJ740" s="437">
        <v>46228</v>
      </c>
      <c r="AK740" s="437">
        <v>46228</v>
      </c>
      <c r="AL740" s="437">
        <v>46264</v>
      </c>
      <c r="AM740" s="586">
        <f>IFERROR(VLOOKUP(AT740, Vessel!A:H, 8, FALSE), "")</f>
        <v>46274.999305555553</v>
      </c>
      <c r="AN740" s="586">
        <f>IFERROR(IF(VLOOKUP(AT740,Vessel!A:I,9,FALSE)=0,"",VLOOKUP(AT740,Vessel!A:I,9,FALSE)),"")</f>
        <v>46275.009525462963</v>
      </c>
      <c r="AP740" s="430" t="s">
        <v>5502</v>
      </c>
      <c r="AQ740" s="438" t="s">
        <v>80</v>
      </c>
      <c r="AR740" s="430" t="s">
        <v>5503</v>
      </c>
      <c r="AS740" s="430" t="s">
        <v>5504</v>
      </c>
      <c r="AT740" s="430" t="s">
        <v>5504</v>
      </c>
      <c r="AU7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W740" s="437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7">
        <f>IF(ISERROR(PV_DATA[[#This Row],[New Ark PO status]]),"",_xlfn.XLOOKUP(PV_DATA[[#This Row],[SPTN-PVHK New Ark PO'#]],New_Ark_Data[Purchase order Number],New_Ark_Data[Estimated time of arrival],"",0))</f>
        <v>46288</v>
      </c>
      <c r="AZ74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7">
        <f>IFERROR(PV_DATA[[#This Row],[ODP ETA Port]]+PV_DATA[[#This Row],[Customs/Leg3 Assumption]],"n/a")</f>
        <v>46282.009525462963</v>
      </c>
      <c r="BB740" s="433">
        <f>YEAR(PV_DATA[[#This Row],[ETA for New Ark update]])</f>
        <v>2026</v>
      </c>
      <c r="BC740" s="430">
        <f>MONTH(PV_DATA[[#This Row],[ETA for New Ark update]])</f>
        <v>9</v>
      </c>
      <c r="BD740" s="430">
        <f>IFERROR(_xlfn.ISOWEEKNUM(PV_DATA[[#This Row],[ETA for New Ark update]]),0)</f>
        <v>38</v>
      </c>
      <c r="BE740" s="430">
        <f>_xlfn.XLOOKUP(PV_DATA[[#This Row],[New Ark SKU]],Table9[New Ark SKU],Table9[Total PCS per Pallet],,0)</f>
        <v>36</v>
      </c>
      <c r="BF740" s="430">
        <f>_xlfn.XLOOKUP(PV_DATA[[#This Row],[New Ark SKU]],Table9[New Ark SKU],Table9[Total PCS per 40HQ Container],,0)</f>
        <v>936</v>
      </c>
      <c r="BG740" s="430" t="str">
        <f>_xlfn.XLOOKUP(PV_DATA[[#This Row],[New Ark SKU]],Table9[New Ark SKU],Table9[Back Glass],,0)</f>
        <v>Black glazing</v>
      </c>
      <c r="BH740" s="430" t="str">
        <f>_xlfn.XLOOKUP(PV_DATA[[#This Row],[PORT DESTINATION]],Table12[PORT DESTINATION],Table12[Cosco Line],,0)</f>
        <v>AEU</v>
      </c>
      <c r="BJ740" s="430"/>
    </row>
    <row r="741" spans="1:62" ht="10.5">
      <c r="A741" s="462" t="s">
        <v>5505</v>
      </c>
      <c r="B741" s="462" t="s">
        <v>1757</v>
      </c>
      <c r="C741" s="462" t="str">
        <f>IFERROR(LEFT(PV_DATA[[#This Row],[TCL REFERENCE]],FIND(".",PV_DATA[[#This Row],[TCL REFERENCE]],1)-1),"Main Line")</f>
        <v>26Jun012</v>
      </c>
      <c r="D741" s="462" t="s">
        <v>63</v>
      </c>
      <c r="E741" s="462" t="s">
        <v>64</v>
      </c>
      <c r="F741" s="462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2" t="s">
        <v>402</v>
      </c>
      <c r="H741" s="462" t="s">
        <v>451</v>
      </c>
      <c r="I741" s="462" t="s">
        <v>1395</v>
      </c>
      <c r="J741" s="430" t="s">
        <v>1832</v>
      </c>
      <c r="K741" s="430"/>
      <c r="L741" s="430"/>
      <c r="M741" s="430" t="s">
        <v>68</v>
      </c>
      <c r="N741" s="432">
        <v>46195</v>
      </c>
      <c r="O741" s="430" t="s">
        <v>4531</v>
      </c>
      <c r="P741" s="430" t="s">
        <v>1151</v>
      </c>
      <c r="Q741" s="430" t="s">
        <v>421</v>
      </c>
      <c r="R741" s="430" t="str">
        <f>_xlfn.XLOOKUP(PV_DATA[[#This Row],[New Ark SKU]],Table9[New Ark SKU],Table9[Connector],,0)</f>
        <v>EVO2A</v>
      </c>
      <c r="S741" s="433" t="str">
        <f>_xlfn.XLOOKUP(PV_DATA[[#This Row],[New Ark SKU]],Table9[New Ark SKU],Table9[Cable],,0)</f>
        <v>±1200mm</v>
      </c>
      <c r="T741" s="433">
        <v>505</v>
      </c>
      <c r="U741" s="1088">
        <f>864*3</f>
        <v>2592</v>
      </c>
      <c r="V741" s="434">
        <f>PV_DATA[[#This Row],[QUANTITY]]*PV_DATA[[#This Row],[WATT]]/1000000</f>
        <v>1.3089599999999999</v>
      </c>
      <c r="W741" s="435">
        <f>PV_DATA[[#This Row],[QUANTITY]]/PV_DATA[[#This Row],[Qty/Pallet]]</f>
        <v>72</v>
      </c>
      <c r="X741" s="1040">
        <f>PV_DATA[[#This Row],[QUANTITY]]/PV_DATA[[#This Row],[Qty/CT]]</f>
        <v>3</v>
      </c>
      <c r="Y741" s="430" t="s">
        <v>2460</v>
      </c>
      <c r="Z741" s="430" t="str">
        <f t="shared" si="8"/>
        <v>COMPLETED</v>
      </c>
      <c r="AA741" s="430"/>
      <c r="AB741" s="437">
        <v>46221</v>
      </c>
      <c r="AC741" s="485">
        <f>IF(PV_DATA[[#This Row],[Pick- Up Date]]&lt;&gt;"",_xlfn.ISOWEEKNUM(PV_DATA[[#This Row],[Pick- Up Date]]),"")</f>
        <v>29</v>
      </c>
      <c r="AD741" s="430" t="s">
        <v>5506</v>
      </c>
      <c r="AE741" s="430"/>
      <c r="AF741" s="459" t="s">
        <v>5034</v>
      </c>
      <c r="AG741" s="459" t="s">
        <v>123</v>
      </c>
      <c r="AH741" s="430" t="s">
        <v>456</v>
      </c>
      <c r="AI741" s="437">
        <v>46224</v>
      </c>
      <c r="AJ741" s="437">
        <v>46228</v>
      </c>
      <c r="AK741" s="437">
        <v>46228</v>
      </c>
      <c r="AL741" s="437">
        <v>46264</v>
      </c>
      <c r="AM741" s="586">
        <f>IFERROR(VLOOKUP(AT741, Vessel!A:H, 8, FALSE), "")</f>
        <v>46274.999305555553</v>
      </c>
      <c r="AN741" s="586">
        <f>IFERROR(IF(VLOOKUP(AT741,Vessel!A:I,9,FALSE)=0,"",VLOOKUP(AT741,Vessel!A:I,9,FALSE)),"")</f>
        <v>46275.009525462963</v>
      </c>
      <c r="AP741" s="430" t="s">
        <v>5502</v>
      </c>
      <c r="AQ741" s="430" t="s">
        <v>80</v>
      </c>
      <c r="AR741" s="430" t="s">
        <v>5507</v>
      </c>
      <c r="AS741" s="430" t="s">
        <v>5508</v>
      </c>
      <c r="AT741" s="430" t="s">
        <v>5508</v>
      </c>
      <c r="AU7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V741" s="437"/>
      <c r="AW741" s="437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7">
        <f>IF(ISERROR(PV_DATA[[#This Row],[New Ark PO status]]),"",_xlfn.XLOOKUP(PV_DATA[[#This Row],[SPTN-PVHK New Ark PO'#]],New_Ark_Data[Purchase order Number],New_Ark_Data[Estimated time of arrival],"",0))</f>
        <v>46288</v>
      </c>
      <c r="AZ74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7">
        <f>IFERROR(PV_DATA[[#This Row],[ODP ETA Port]]+PV_DATA[[#This Row],[Customs/Leg3 Assumption]],"n/a")</f>
        <v>46282.009525462963</v>
      </c>
      <c r="BB741" s="433">
        <f>YEAR(PV_DATA[[#This Row],[ETA for New Ark update]])</f>
        <v>2026</v>
      </c>
      <c r="BC741" s="430">
        <f>MONTH(PV_DATA[[#This Row],[ETA for New Ark update]])</f>
        <v>9</v>
      </c>
      <c r="BD741" s="430">
        <f>IFERROR(_xlfn.ISOWEEKNUM(PV_DATA[[#This Row],[ETA for New Ark update]]),0)</f>
        <v>38</v>
      </c>
      <c r="BE741" s="430">
        <f>_xlfn.XLOOKUP(PV_DATA[[#This Row],[New Ark SKU]],Table9[New Ark SKU],Table9[Total PCS per Pallet],,0)</f>
        <v>36</v>
      </c>
      <c r="BF741" s="430">
        <f>_xlfn.XLOOKUP(PV_DATA[[#This Row],[New Ark SKU]],Table9[New Ark SKU],Table9[Total PCS per 40HQ Container],,0)</f>
        <v>864</v>
      </c>
      <c r="BG741" s="430" t="str">
        <f>_xlfn.XLOOKUP(PV_DATA[[#This Row],[New Ark SKU]],Table9[New Ark SKU],Table9[Back Glass],,0)</f>
        <v>Black glazing</v>
      </c>
      <c r="BH741" s="430" t="str">
        <f>_xlfn.XLOOKUP(PV_DATA[[#This Row],[PORT DESTINATION]],Table12[PORT DESTINATION],Table12[Cosco Line],,0)</f>
        <v>AEU</v>
      </c>
      <c r="BJ741" s="430"/>
    </row>
    <row r="742" spans="1:62" ht="10.5">
      <c r="A742" s="462" t="s">
        <v>5509</v>
      </c>
      <c r="B742" s="462" t="s">
        <v>2132</v>
      </c>
      <c r="C742" s="462" t="str">
        <f>IFERROR(LEFT(PV_DATA[[#This Row],[TCL REFERENCE]],FIND(".",PV_DATA[[#This Row],[TCL REFERENCE]],1)-1),"Main Line")</f>
        <v>26Jun008</v>
      </c>
      <c r="D742" s="462" t="s">
        <v>63</v>
      </c>
      <c r="E742" s="462" t="s">
        <v>64</v>
      </c>
      <c r="F742" s="462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2" t="s">
        <v>402</v>
      </c>
      <c r="H742" s="462" t="s">
        <v>67</v>
      </c>
      <c r="I742" s="462" t="s">
        <v>882</v>
      </c>
      <c r="J742" s="430" t="s">
        <v>1047</v>
      </c>
      <c r="K742" s="430"/>
      <c r="L742" s="430"/>
      <c r="M742" s="430" t="s">
        <v>68</v>
      </c>
      <c r="N742" s="432">
        <v>46188</v>
      </c>
      <c r="O742" s="430" t="s">
        <v>4531</v>
      </c>
      <c r="P742" s="430" t="s">
        <v>5090</v>
      </c>
      <c r="Q742" s="430" t="s">
        <v>330</v>
      </c>
      <c r="R742" s="430" t="str">
        <f>_xlfn.XLOOKUP(PV_DATA[[#This Row],[New Ark SKU]],Table9[New Ark SKU],Table9[Connector],,0)</f>
        <v>H4(Com)</v>
      </c>
      <c r="S742" s="433" t="str">
        <f>_xlfn.XLOOKUP(PV_DATA[[#This Row],[New Ark SKU]],Table9[New Ark SKU],Table9[Cable],,0)</f>
        <v>±1400mm</v>
      </c>
      <c r="T742" s="433">
        <v>625</v>
      </c>
      <c r="U742" s="1088">
        <v>2880</v>
      </c>
      <c r="V742" s="544">
        <f>PV_DATA[[#This Row],[QUANTITY]]*PV_DATA[[#This Row],[WATT]]/1000000</f>
        <v>1.8</v>
      </c>
      <c r="W742" s="435">
        <f>PV_DATA[[#This Row],[QUANTITY]]/PV_DATA[[#This Row],[Qty/Pallet]]</f>
        <v>80</v>
      </c>
      <c r="X742" s="1040">
        <f>PV_DATA[[#This Row],[QUANTITY]]/PV_DATA[[#This Row],[Qty/CT]]</f>
        <v>4</v>
      </c>
      <c r="Y742" s="430" t="s">
        <v>2459</v>
      </c>
      <c r="Z742" s="430" t="str">
        <f t="shared" si="8"/>
        <v>COMPLETED</v>
      </c>
      <c r="AA742" s="430" t="s">
        <v>5510</v>
      </c>
      <c r="AB742" s="437">
        <v>46217</v>
      </c>
      <c r="AC742" s="485">
        <f>IF(PV_DATA[[#This Row],[Pick- Up Date]]&lt;&gt;"",_xlfn.ISOWEEKNUM(PV_DATA[[#This Row],[Pick- Up Date]]),"")</f>
        <v>29</v>
      </c>
      <c r="AD742" s="435" t="s">
        <v>5511</v>
      </c>
      <c r="AE742" s="435"/>
      <c r="AF742" s="430" t="s">
        <v>122</v>
      </c>
      <c r="AG742" s="430" t="s">
        <v>123</v>
      </c>
      <c r="AH742" s="430" t="s">
        <v>105</v>
      </c>
      <c r="AI742" s="437">
        <v>46223</v>
      </c>
      <c r="AJ742" s="437">
        <v>46225</v>
      </c>
      <c r="AK742" s="437">
        <v>46225</v>
      </c>
      <c r="AL742" s="437">
        <v>46260</v>
      </c>
      <c r="AM742" s="586">
        <f>IFERROR(VLOOKUP(AT742, Vessel!A:H, 8, FALSE), "")</f>
        <v>46270.833333333336</v>
      </c>
      <c r="AN742" s="586">
        <f>IFERROR(IF(VLOOKUP(AT742,Vessel!A:I,9,FALSE)=0,"",VLOOKUP(AT742,Vessel!A:I,9,FALSE)),"")</f>
        <v>46270.874618055554</v>
      </c>
      <c r="AP742" s="430" t="s">
        <v>5512</v>
      </c>
      <c r="AQ742" s="430" t="s">
        <v>80</v>
      </c>
      <c r="AR742" s="430" t="s">
        <v>5513</v>
      </c>
      <c r="AS742" s="430" t="s">
        <v>5514</v>
      </c>
      <c r="AT742" s="430" t="s">
        <v>5514</v>
      </c>
      <c r="AU7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2" s="437"/>
      <c r="AW742" s="437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7">
        <f>IF(ISERROR(PV_DATA[[#This Row],[New Ark PO status]]),"",_xlfn.XLOOKUP(PV_DATA[[#This Row],[SPTN-PVHK New Ark PO'#]],New_Ark_Data[Purchase order Number],New_Ark_Data[Estimated time of arrival],"",0))</f>
        <v>46282</v>
      </c>
      <c r="AZ74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7">
        <f>IFERROR(PV_DATA[[#This Row],[ODP ETA Port]]+PV_DATA[[#This Row],[Customs/Leg3 Assumption]],"n/a")</f>
        <v>46277.874618055554</v>
      </c>
      <c r="BB742" s="433">
        <f>YEAR(PV_DATA[[#This Row],[ETA for New Ark update]])</f>
        <v>2026</v>
      </c>
      <c r="BC742" s="430">
        <f>MONTH(PV_DATA[[#This Row],[ETA for New Ark update]])</f>
        <v>9</v>
      </c>
      <c r="BD742" s="430">
        <f>IFERROR(_xlfn.ISOWEEKNUM(PV_DATA[[#This Row],[ETA for New Ark update]]),0)</f>
        <v>37</v>
      </c>
      <c r="BE742" s="430">
        <f>_xlfn.XLOOKUP(PV_DATA[[#This Row],[New Ark SKU]],Table9[New Ark SKU],Table9[Total PCS per Pallet],,0)</f>
        <v>36</v>
      </c>
      <c r="BF742" s="430">
        <f>_xlfn.XLOOKUP(PV_DATA[[#This Row],[New Ark SKU]],Table9[New Ark SKU],Table9[Total PCS per 40HQ Container],,0)</f>
        <v>720</v>
      </c>
      <c r="BG742" s="430" t="str">
        <f>_xlfn.XLOOKUP(PV_DATA[[#This Row],[New Ark SKU]],Table9[New Ark SKU],Table9[Back Glass],,0)</f>
        <v>Transparent</v>
      </c>
      <c r="BH742" s="610" t="str">
        <f>_xlfn.XLOOKUP(PV_DATA[[#This Row],[PORT DESTINATION]],Table12[PORT DESTINATION],Table12[Cosco Line],,0)</f>
        <v>AEU</v>
      </c>
      <c r="BJ742" s="430"/>
    </row>
    <row r="743" spans="1:62" ht="10.5">
      <c r="A743" s="462" t="s">
        <v>5515</v>
      </c>
      <c r="B743" s="462" t="s">
        <v>2132</v>
      </c>
      <c r="C743" s="462" t="str">
        <f>IFERROR(LEFT(PV_DATA[[#This Row],[TCL REFERENCE]],FIND(".",PV_DATA[[#This Row],[TCL REFERENCE]],1)-1),"Main Line")</f>
        <v>26Jun008</v>
      </c>
      <c r="D743" s="462" t="s">
        <v>63</v>
      </c>
      <c r="E743" s="462" t="s">
        <v>64</v>
      </c>
      <c r="F743" s="462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2" t="s">
        <v>402</v>
      </c>
      <c r="H743" s="462" t="s">
        <v>67</v>
      </c>
      <c r="I743" s="462" t="s">
        <v>1395</v>
      </c>
      <c r="J743" s="430" t="s">
        <v>1047</v>
      </c>
      <c r="K743" s="430"/>
      <c r="L743" s="430"/>
      <c r="M743" s="430" t="s">
        <v>68</v>
      </c>
      <c r="N743" s="432">
        <v>46188</v>
      </c>
      <c r="O743" s="430" t="s">
        <v>4531</v>
      </c>
      <c r="P743" s="430" t="s">
        <v>5090</v>
      </c>
      <c r="Q743" s="430" t="s">
        <v>330</v>
      </c>
      <c r="R743" s="430" t="str">
        <f>_xlfn.XLOOKUP(PV_DATA[[#This Row],[New Ark SKU]],Table9[New Ark SKU],Table9[Connector],,0)</f>
        <v>H4(Com)</v>
      </c>
      <c r="S743" s="433" t="str">
        <f>_xlfn.XLOOKUP(PV_DATA[[#This Row],[New Ark SKU]],Table9[New Ark SKU],Table9[Cable],,0)</f>
        <v>±1400mm</v>
      </c>
      <c r="T743" s="433">
        <v>625</v>
      </c>
      <c r="U743" s="1088">
        <v>720</v>
      </c>
      <c r="V743" s="434">
        <f>PV_DATA[[#This Row],[QUANTITY]]*PV_DATA[[#This Row],[WATT]]/1000000</f>
        <v>0.45</v>
      </c>
      <c r="W743" s="435">
        <f>PV_DATA[[#This Row],[QUANTITY]]/PV_DATA[[#This Row],[Qty/Pallet]]</f>
        <v>20</v>
      </c>
      <c r="X743" s="1040">
        <f>PV_DATA[[#This Row],[QUANTITY]]/PV_DATA[[#This Row],[Qty/CT]]</f>
        <v>1</v>
      </c>
      <c r="Y743" s="430" t="s">
        <v>2458</v>
      </c>
      <c r="Z743" s="430" t="str">
        <f t="shared" si="8"/>
        <v>COMPLETED</v>
      </c>
      <c r="AA743" s="430" t="s">
        <v>5510</v>
      </c>
      <c r="AB743" s="437">
        <v>46217</v>
      </c>
      <c r="AC743" s="485">
        <f>IF(PV_DATA[[#This Row],[Pick- Up Date]]&lt;&gt;"",_xlfn.ISOWEEKNUM(PV_DATA[[#This Row],[Pick- Up Date]]),"")</f>
        <v>29</v>
      </c>
      <c r="AD743" s="430" t="s">
        <v>5516</v>
      </c>
      <c r="AE743" s="430"/>
      <c r="AF743" s="430" t="s">
        <v>122</v>
      </c>
      <c r="AG743" s="430" t="s">
        <v>123</v>
      </c>
      <c r="AH743" s="430" t="s">
        <v>105</v>
      </c>
      <c r="AI743" s="437">
        <v>46223</v>
      </c>
      <c r="AJ743" s="437">
        <v>46225</v>
      </c>
      <c r="AK743" s="437">
        <v>46225</v>
      </c>
      <c r="AL743" s="437">
        <v>46260</v>
      </c>
      <c r="AM743" s="588">
        <f>IFERROR(VLOOKUP(AT743, Vessel!A:H, 8, FALSE), "")</f>
        <v>46270.833333333336</v>
      </c>
      <c r="AN743" s="586">
        <f>IFERROR(IF(VLOOKUP(AT743,Vessel!A:I,9,FALSE)=0,"",VLOOKUP(AT743,Vessel!A:I,9,FALSE)),"")</f>
        <v>46270.874618055554</v>
      </c>
      <c r="AP743" s="430" t="s">
        <v>5512</v>
      </c>
      <c r="AQ743" s="430" t="s">
        <v>80</v>
      </c>
      <c r="AR743" s="430" t="s">
        <v>5513</v>
      </c>
      <c r="AS743" s="430" t="s">
        <v>5514</v>
      </c>
      <c r="AT743" s="430" t="s">
        <v>5514</v>
      </c>
      <c r="AU7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3" s="437"/>
      <c r="AW743" s="437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7">
        <f>IF(ISERROR(PV_DATA[[#This Row],[New Ark PO status]]),"",_xlfn.XLOOKUP(PV_DATA[[#This Row],[SPTN-PVHK New Ark PO'#]],New_Ark_Data[Purchase order Number],New_Ark_Data[Estimated time of arrival],"",0))</f>
        <v>46282</v>
      </c>
      <c r="AZ74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7">
        <f>IFERROR(PV_DATA[[#This Row],[ODP ETA Port]]+PV_DATA[[#This Row],[Customs/Leg3 Assumption]],"n/a")</f>
        <v>46277.874618055554</v>
      </c>
      <c r="BB743" s="433">
        <f>YEAR(PV_DATA[[#This Row],[ETA for New Ark update]])</f>
        <v>2026</v>
      </c>
      <c r="BC743" s="430">
        <f>MONTH(PV_DATA[[#This Row],[ETA for New Ark update]])</f>
        <v>9</v>
      </c>
      <c r="BD743" s="430">
        <f>IFERROR(_xlfn.ISOWEEKNUM(PV_DATA[[#This Row],[ETA for New Ark update]]),0)</f>
        <v>37</v>
      </c>
      <c r="BE743" s="430">
        <f>_xlfn.XLOOKUP(PV_DATA[[#This Row],[New Ark SKU]],Table9[New Ark SKU],Table9[Total PCS per Pallet],,0)</f>
        <v>36</v>
      </c>
      <c r="BF743" s="430">
        <f>_xlfn.XLOOKUP(PV_DATA[[#This Row],[New Ark SKU]],Table9[New Ark SKU],Table9[Total PCS per 40HQ Container],,0)</f>
        <v>720</v>
      </c>
      <c r="BG743" s="430" t="str">
        <f>_xlfn.XLOOKUP(PV_DATA[[#This Row],[New Ark SKU]],Table9[New Ark SKU],Table9[Back Glass],,0)</f>
        <v>Transparent</v>
      </c>
      <c r="BH743" s="610" t="str">
        <f>_xlfn.XLOOKUP(PV_DATA[[#This Row],[PORT DESTINATION]],Table12[PORT DESTINATION],Table12[Cosco Line],,0)</f>
        <v>AEU</v>
      </c>
      <c r="BJ743" s="430"/>
    </row>
    <row r="744" spans="1:62" ht="10.5">
      <c r="A744" s="462" t="s">
        <v>5517</v>
      </c>
      <c r="B744" s="462" t="s">
        <v>111</v>
      </c>
      <c r="C744" s="462" t="str">
        <f>IFERROR(LEFT(PV_DATA[[#This Row],[TCL REFERENCE]],FIND(".",PV_DATA[[#This Row],[TCL REFERENCE]],1)-1),"Main Line")</f>
        <v>26Jul002</v>
      </c>
      <c r="D744" s="462" t="s">
        <v>63</v>
      </c>
      <c r="E744" s="462" t="s">
        <v>64</v>
      </c>
      <c r="F744" s="462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2" t="s">
        <v>402</v>
      </c>
      <c r="H744" s="462" t="s">
        <v>311</v>
      </c>
      <c r="I744" s="462" t="s">
        <v>689</v>
      </c>
      <c r="J744" s="430" t="s">
        <v>96</v>
      </c>
      <c r="K744" s="430"/>
      <c r="L744" s="430"/>
      <c r="M744" s="430" t="s">
        <v>68</v>
      </c>
      <c r="N744" s="432">
        <v>46209</v>
      </c>
      <c r="O744" s="430" t="s">
        <v>550</v>
      </c>
      <c r="P744" s="430" t="s">
        <v>2134</v>
      </c>
      <c r="Q744" s="430" t="s">
        <v>2135</v>
      </c>
      <c r="R744" s="430" t="str">
        <f>_xlfn.XLOOKUP(PV_DATA[[#This Row],[New Ark SKU]],Table9[New Ark SKU],Table9[Connector],,0)</f>
        <v>EVO2A</v>
      </c>
      <c r="S744" s="433" t="str">
        <f>_xlfn.XLOOKUP(PV_DATA[[#This Row],[New Ark SKU]],Table9[New Ark SKU],Table9[Cable],,0)</f>
        <v>±1350mm</v>
      </c>
      <c r="T744" s="433">
        <v>515</v>
      </c>
      <c r="U744" s="1088">
        <f>792*3</f>
        <v>2376</v>
      </c>
      <c r="V744" s="434">
        <f>PV_DATA[[#This Row],[QUANTITY]]*PV_DATA[[#This Row],[WATT]]/1000000</f>
        <v>1.2236400000000001</v>
      </c>
      <c r="W744" s="435">
        <f>PV_DATA[[#This Row],[QUANTITY]]/PV_DATA[[#This Row],[Qty/Pallet]]</f>
        <v>66</v>
      </c>
      <c r="X744" s="1040">
        <f>PV_DATA[[#This Row],[QUANTITY]]/PV_DATA[[#This Row],[Qty/CT]]</f>
        <v>3</v>
      </c>
      <c r="Y744" s="430" t="s">
        <v>2460</v>
      </c>
      <c r="Z744" s="430" t="str">
        <f t="shared" si="8"/>
        <v>COMPLETED</v>
      </c>
      <c r="AA744" s="430"/>
      <c r="AB744" s="437">
        <v>46227</v>
      </c>
      <c r="AC744" s="485">
        <f>IF(PV_DATA[[#This Row],[Pick- Up Date]]&lt;&gt;"",_xlfn.ISOWEEKNUM(PV_DATA[[#This Row],[Pick- Up Date]]),"")</f>
        <v>30</v>
      </c>
      <c r="AD744" s="430" t="s">
        <v>5518</v>
      </c>
      <c r="AE744" s="430"/>
      <c r="AF744" s="430" t="s">
        <v>122</v>
      </c>
      <c r="AG744" s="430" t="s">
        <v>123</v>
      </c>
      <c r="AH744" s="430" t="s">
        <v>314</v>
      </c>
      <c r="AI744" s="437">
        <v>46230</v>
      </c>
      <c r="AJ744" s="437">
        <v>46236</v>
      </c>
      <c r="AK744" s="437">
        <v>46236</v>
      </c>
      <c r="AL744" s="968">
        <v>46274</v>
      </c>
      <c r="AM744" s="1192">
        <f>IFERROR(VLOOKUP(AT744, Vessel!A:H, 8, FALSE), "")</f>
        <v>46288.666666666664</v>
      </c>
      <c r="AN744" s="586">
        <f>IFERROR(IF(VLOOKUP(AT744,Vessel!A:I,9,FALSE)=0,"",VLOOKUP(AT744,Vessel!A:I,9,FALSE)),"")</f>
        <v>46288.792233796295</v>
      </c>
      <c r="AP744" s="430" t="s">
        <v>5519</v>
      </c>
      <c r="AQ744" s="438" t="s">
        <v>80</v>
      </c>
      <c r="AR744" s="430" t="s">
        <v>5520</v>
      </c>
      <c r="AS744" s="430" t="s">
        <v>5521</v>
      </c>
      <c r="AT744" s="430" t="s">
        <v>5521</v>
      </c>
      <c r="AU7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52.792233796295477</v>
      </c>
      <c r="AW744" s="437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46288.792233796295</v>
      </c>
      <c r="AX7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7">
        <f>IF(ISERROR(PV_DATA[[#This Row],[New Ark PO status]]),"",_xlfn.XLOOKUP(PV_DATA[[#This Row],[SPTN-PVHK New Ark PO'#]],New_Ark_Data[Purchase order Number],New_Ark_Data[Estimated time of arrival],"",0))</f>
        <v>46293</v>
      </c>
      <c r="AZ744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44" s="437">
        <f>IFERROR(PV_DATA[[#This Row],[ODP ETA Port]]+PV_DATA[[#This Row],[Customs/Leg3 Assumption]],"n/a")</f>
        <v>46298.792233796295</v>
      </c>
      <c r="BB744" s="433">
        <f>YEAR(PV_DATA[[#This Row],[ETA for New Ark update]])</f>
        <v>2026</v>
      </c>
      <c r="BC744" s="430">
        <f>MONTH(PV_DATA[[#This Row],[ETA for New Ark update]])</f>
        <v>10</v>
      </c>
      <c r="BD744" s="430">
        <f>IFERROR(_xlfn.ISOWEEKNUM(PV_DATA[[#This Row],[ETA for New Ark update]]),0)</f>
        <v>40</v>
      </c>
      <c r="BE744" s="430">
        <f>_xlfn.XLOOKUP(PV_DATA[[#This Row],[New Ark SKU]],Table9[New Ark SKU],Table9[Total PCS per Pallet],,0)</f>
        <v>36</v>
      </c>
      <c r="BF744" s="430">
        <f>_xlfn.XLOOKUP(PV_DATA[[#This Row],[New Ark SKU]],Table9[New Ark SKU],Table9[Total PCS per 40HQ Container],,0)</f>
        <v>792</v>
      </c>
      <c r="BG744" s="430" t="str">
        <f>_xlfn.XLOOKUP(PV_DATA[[#This Row],[New Ark SKU]],Table9[New Ark SKU],Table9[Back Glass],,0)</f>
        <v>Black glazing</v>
      </c>
      <c r="BH744" s="430" t="str">
        <f>_xlfn.XLOOKUP(PV_DATA[[#This Row],[PORT DESTINATION]],Table12[PORT DESTINATION],Table12[Cosco Line],,0)</f>
        <v>AEM</v>
      </c>
      <c r="BJ744" s="430"/>
    </row>
    <row r="745" spans="1:62" ht="10.5">
      <c r="A745" s="462" t="s">
        <v>5522</v>
      </c>
      <c r="B745" s="462" t="s">
        <v>1757</v>
      </c>
      <c r="C745" s="462" t="str">
        <f>IFERROR(LEFT(PV_DATA[[#This Row],[TCL REFERENCE]],FIND(".",PV_DATA[[#This Row],[TCL REFERENCE]],1)-1),"Main Line")</f>
        <v>26Jul008</v>
      </c>
      <c r="D745" s="462" t="s">
        <v>63</v>
      </c>
      <c r="E745" s="462" t="s">
        <v>64</v>
      </c>
      <c r="F745" s="462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2" t="s">
        <v>402</v>
      </c>
      <c r="H745" s="462" t="s">
        <v>67</v>
      </c>
      <c r="I745" s="462" t="s">
        <v>689</v>
      </c>
      <c r="J745" s="430" t="s">
        <v>96</v>
      </c>
      <c r="K745" s="430"/>
      <c r="L745" s="430"/>
      <c r="M745" s="430" t="s">
        <v>68</v>
      </c>
      <c r="N745" s="432">
        <v>46209</v>
      </c>
      <c r="O745" s="430" t="s">
        <v>4531</v>
      </c>
      <c r="P745" s="430" t="s">
        <v>1151</v>
      </c>
      <c r="Q745" s="430" t="s">
        <v>421</v>
      </c>
      <c r="R745" s="430" t="str">
        <f>_xlfn.XLOOKUP(PV_DATA[[#This Row],[New Ark SKU]],Table9[New Ark SKU],Table9[Connector],,0)</f>
        <v>EVO2A</v>
      </c>
      <c r="S745" s="433" t="str">
        <f>_xlfn.XLOOKUP(PV_DATA[[#This Row],[New Ark SKU]],Table9[New Ark SKU],Table9[Cable],,0)</f>
        <v>±1200mm</v>
      </c>
      <c r="T745" s="433">
        <v>505</v>
      </c>
      <c r="U745" s="1088">
        <f>864*5</f>
        <v>4320</v>
      </c>
      <c r="V745" s="434">
        <f>PV_DATA[[#This Row],[QUANTITY]]*PV_DATA[[#This Row],[WATT]]/1000000</f>
        <v>2.1816</v>
      </c>
      <c r="W745" s="435">
        <f>PV_DATA[[#This Row],[QUANTITY]]/PV_DATA[[#This Row],[Qty/Pallet]]</f>
        <v>120</v>
      </c>
      <c r="X745" s="1040">
        <f>PV_DATA[[#This Row],[QUANTITY]]/PV_DATA[[#This Row],[Qty/CT]]</f>
        <v>5</v>
      </c>
      <c r="Y745" s="430" t="s">
        <v>2460</v>
      </c>
      <c r="Z745" s="430" t="str">
        <f t="shared" si="8"/>
        <v>COMPLETED</v>
      </c>
      <c r="AA745" s="430" t="s">
        <v>5523</v>
      </c>
      <c r="AB745" s="437">
        <v>46225</v>
      </c>
      <c r="AC745" s="485">
        <f>IF(PV_DATA[[#This Row],[Pick- Up Date]]&lt;&gt;"",_xlfn.ISOWEEKNUM(PV_DATA[[#This Row],[Pick- Up Date]]),"")</f>
        <v>30</v>
      </c>
      <c r="AD745" s="430" t="s">
        <v>5524</v>
      </c>
      <c r="AE745" s="430"/>
      <c r="AF745" s="459" t="s">
        <v>5525</v>
      </c>
      <c r="AG745" s="459" t="s">
        <v>123</v>
      </c>
      <c r="AH745" s="430" t="s">
        <v>78</v>
      </c>
      <c r="AI745" s="437">
        <v>46230</v>
      </c>
      <c r="AJ745" s="437">
        <v>46236</v>
      </c>
      <c r="AK745" s="437">
        <v>46236</v>
      </c>
      <c r="AL745" s="437">
        <v>46279</v>
      </c>
      <c r="AM745" s="588">
        <f>IFERROR(VLOOKUP(AT745, Vessel!A:H, 8, FALSE), "")</f>
        <v>46285.041666666664</v>
      </c>
      <c r="AN745" s="586">
        <f>IFERROR(IF(VLOOKUP(AT745,Vessel!A:I,9,FALSE)=0,"",VLOOKUP(AT745,Vessel!A:I,9,FALSE)),"")</f>
        <v>46284.921701388892</v>
      </c>
      <c r="AP745" s="430" t="s">
        <v>5519</v>
      </c>
      <c r="AQ745" s="430" t="s">
        <v>80</v>
      </c>
      <c r="AR745" s="430" t="s">
        <v>5526</v>
      </c>
      <c r="AS745" s="430" t="s">
        <v>5527</v>
      </c>
      <c r="AT745" s="430" t="s">
        <v>5527</v>
      </c>
      <c r="AU7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W745" s="437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7">
        <f>IF(ISERROR(PV_DATA[[#This Row],[New Ark PO status]]),"",_xlfn.XLOOKUP(PV_DATA[[#This Row],[SPTN-PVHK New Ark PO'#]],New_Ark_Data[Purchase order Number],New_Ark_Data[Estimated time of arrival],"",0))</f>
        <v>46297</v>
      </c>
      <c r="AZ7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7">
        <f>IFERROR(PV_DATA[[#This Row],[ODP ETA Port]]+PV_DATA[[#This Row],[Customs/Leg3 Assumption]],"n/a")</f>
        <v>46292.921701388892</v>
      </c>
      <c r="BB745" s="433">
        <f>YEAR(PV_DATA[[#This Row],[ETA for New Ark update]])</f>
        <v>2026</v>
      </c>
      <c r="BC745" s="430">
        <f>MONTH(PV_DATA[[#This Row],[ETA for New Ark update]])</f>
        <v>9</v>
      </c>
      <c r="BD745" s="430">
        <f>IFERROR(_xlfn.ISOWEEKNUM(PV_DATA[[#This Row],[ETA for New Ark update]]),0)</f>
        <v>39</v>
      </c>
      <c r="BE745" s="430">
        <f>_xlfn.XLOOKUP(PV_DATA[[#This Row],[New Ark SKU]],Table9[New Ark SKU],Table9[Total PCS per Pallet],,0)</f>
        <v>36</v>
      </c>
      <c r="BF745" s="430">
        <f>_xlfn.XLOOKUP(PV_DATA[[#This Row],[New Ark SKU]],Table9[New Ark SKU],Table9[Total PCS per 40HQ Container],,0)</f>
        <v>864</v>
      </c>
      <c r="BG745" s="430" t="str">
        <f>_xlfn.XLOOKUP(PV_DATA[[#This Row],[New Ark SKU]],Table9[New Ark SKU],Table9[Back Glass],,0)</f>
        <v>Black glazing</v>
      </c>
      <c r="BH745" s="430" t="str">
        <f>_xlfn.XLOOKUP(PV_DATA[[#This Row],[PORT DESTINATION]],Table12[PORT DESTINATION],Table12[Cosco Line],,0)</f>
        <v>AEM</v>
      </c>
      <c r="BJ745" s="430"/>
    </row>
    <row r="746" spans="1:62" ht="10.5">
      <c r="A746" s="462" t="s">
        <v>5528</v>
      </c>
      <c r="B746" s="462" t="s">
        <v>1757</v>
      </c>
      <c r="C746" s="462" t="str">
        <f>IFERROR(LEFT(PV_DATA[[#This Row],[TCL REFERENCE]],FIND(".",PV_DATA[[#This Row],[TCL REFERENCE]],1)-1),"Main Line")</f>
        <v>26Jun011</v>
      </c>
      <c r="D746" s="462" t="s">
        <v>63</v>
      </c>
      <c r="E746" s="462" t="s">
        <v>64</v>
      </c>
      <c r="F746" s="462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2" t="s">
        <v>402</v>
      </c>
      <c r="H746" s="462" t="s">
        <v>67</v>
      </c>
      <c r="I746" s="462" t="s">
        <v>689</v>
      </c>
      <c r="J746" s="430" t="s">
        <v>96</v>
      </c>
      <c r="K746" s="430"/>
      <c r="L746" s="430"/>
      <c r="M746" s="430" t="s">
        <v>68</v>
      </c>
      <c r="N746" s="432">
        <v>46195</v>
      </c>
      <c r="O746" s="430" t="s">
        <v>4531</v>
      </c>
      <c r="P746" s="430" t="s">
        <v>71</v>
      </c>
      <c r="Q746" s="430" t="s">
        <v>72</v>
      </c>
      <c r="R746" s="430" t="str">
        <f>_xlfn.XLOOKUP(PV_DATA[[#This Row],[New Ark SKU]],Table9[New Ark SKU],Table9[Connector],,0)</f>
        <v>EVO2A</v>
      </c>
      <c r="S746" s="433" t="str">
        <f>_xlfn.XLOOKUP(PV_DATA[[#This Row],[New Ark SKU]],Table9[New Ark SKU],Table9[Cable],,0)</f>
        <v>±1200mm</v>
      </c>
      <c r="T746" s="433">
        <v>500</v>
      </c>
      <c r="U746" s="1088">
        <v>1728</v>
      </c>
      <c r="V746" s="434">
        <f>PV_DATA[[#This Row],[QUANTITY]]*PV_DATA[[#This Row],[WATT]]/1000000</f>
        <v>0.86399999999999999</v>
      </c>
      <c r="W746" s="435">
        <f>PV_DATA[[#This Row],[QUANTITY]]/PV_DATA[[#This Row],[Qty/Pallet]]</f>
        <v>48</v>
      </c>
      <c r="X746" s="1040">
        <f>PV_DATA[[#This Row],[QUANTITY]]/PV_DATA[[#This Row],[Qty/CT]]</f>
        <v>2</v>
      </c>
      <c r="Y746" s="430" t="s">
        <v>2461</v>
      </c>
      <c r="Z746" s="430" t="str">
        <f t="shared" si="8"/>
        <v>COMPLETED</v>
      </c>
      <c r="AA746" s="430"/>
      <c r="AB746" s="437">
        <v>46225</v>
      </c>
      <c r="AC746" s="485">
        <f>IF(PV_DATA[[#This Row],[Pick- Up Date]]&lt;&gt;"",_xlfn.ISOWEEKNUM(PV_DATA[[#This Row],[Pick- Up Date]]),"")</f>
        <v>30</v>
      </c>
      <c r="AD746" s="430" t="s">
        <v>5529</v>
      </c>
      <c r="AE746" s="430"/>
      <c r="AF746" s="459" t="s">
        <v>5034</v>
      </c>
      <c r="AG746" s="459" t="s">
        <v>123</v>
      </c>
      <c r="AH746" s="430" t="s">
        <v>78</v>
      </c>
      <c r="AI746" s="437">
        <v>46230</v>
      </c>
      <c r="AJ746" s="437">
        <v>46236</v>
      </c>
      <c r="AK746" s="437">
        <v>46236</v>
      </c>
      <c r="AL746" s="437">
        <v>46279</v>
      </c>
      <c r="AM746" s="588">
        <f>IFERROR(VLOOKUP(AT746, Vessel!A:H, 8, FALSE), "")</f>
        <v>46285.041666666664</v>
      </c>
      <c r="AN746" s="586">
        <f>IFERROR(IF(VLOOKUP(AT746,Vessel!A:I,9,FALSE)=0,"",VLOOKUP(AT746,Vessel!A:I,9,FALSE)),"")</f>
        <v>46284.921701388892</v>
      </c>
      <c r="AP746" s="430" t="s">
        <v>5519</v>
      </c>
      <c r="AQ746" s="430" t="s">
        <v>80</v>
      </c>
      <c r="AR746" s="430" t="s">
        <v>5526</v>
      </c>
      <c r="AS746" s="430" t="s">
        <v>5527</v>
      </c>
      <c r="AT746" s="430" t="s">
        <v>5527</v>
      </c>
      <c r="AU7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6" s="437"/>
      <c r="AW746" s="437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7">
        <f>IF(ISERROR(PV_DATA[[#This Row],[New Ark PO status]]),"",_xlfn.XLOOKUP(PV_DATA[[#This Row],[SPTN-PVHK New Ark PO'#]],New_Ark_Data[Purchase order Number],New_Ark_Data[Estimated time of arrival],"",0))</f>
        <v>46297</v>
      </c>
      <c r="AZ74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7">
        <f>IFERROR(PV_DATA[[#This Row],[ODP ETA Port]]+PV_DATA[[#This Row],[Customs/Leg3 Assumption]],"n/a")</f>
        <v>46292.921701388892</v>
      </c>
      <c r="BB746" s="433">
        <f>YEAR(PV_DATA[[#This Row],[ETA for New Ark update]])</f>
        <v>2026</v>
      </c>
      <c r="BC746" s="430">
        <f>MONTH(PV_DATA[[#This Row],[ETA for New Ark update]])</f>
        <v>9</v>
      </c>
      <c r="BD746" s="430">
        <f>IFERROR(_xlfn.ISOWEEKNUM(PV_DATA[[#This Row],[ETA for New Ark update]]),0)</f>
        <v>39</v>
      </c>
      <c r="BE746" s="430">
        <f>_xlfn.XLOOKUP(PV_DATA[[#This Row],[New Ark SKU]],Table9[New Ark SKU],Table9[Total PCS per Pallet],,0)</f>
        <v>36</v>
      </c>
      <c r="BF746" s="430">
        <f>_xlfn.XLOOKUP(PV_DATA[[#This Row],[New Ark SKU]],Table9[New Ark SKU],Table9[Total PCS per 40HQ Container],,0)</f>
        <v>864</v>
      </c>
      <c r="BG746" s="430" t="str">
        <f>_xlfn.XLOOKUP(PV_DATA[[#This Row],[New Ark SKU]],Table9[New Ark SKU],Table9[Back Glass],,0)</f>
        <v>Black glazing</v>
      </c>
      <c r="BH746" s="610" t="str">
        <f>_xlfn.XLOOKUP(PV_DATA[[#This Row],[PORT DESTINATION]],Table12[PORT DESTINATION],Table12[Cosco Line],,0)</f>
        <v>AEM</v>
      </c>
      <c r="BJ746" s="430"/>
    </row>
    <row r="747" spans="1:62" ht="10.5">
      <c r="A747" s="462" t="s">
        <v>5530</v>
      </c>
      <c r="B747" s="462" t="s">
        <v>1757</v>
      </c>
      <c r="C747" s="462" t="str">
        <f>IFERROR(LEFT(PV_DATA[[#This Row],[TCL REFERENCE]],FIND(".",PV_DATA[[#This Row],[TCL REFERENCE]],1)-1),"Main Line")</f>
        <v>26Jun012</v>
      </c>
      <c r="D747" s="462" t="s">
        <v>63</v>
      </c>
      <c r="E747" s="462" t="s">
        <v>64</v>
      </c>
      <c r="F747" s="462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2" t="s">
        <v>402</v>
      </c>
      <c r="H747" s="462" t="s">
        <v>67</v>
      </c>
      <c r="I747" s="462" t="s">
        <v>882</v>
      </c>
      <c r="J747" s="430" t="s">
        <v>96</v>
      </c>
      <c r="K747" s="430"/>
      <c r="L747" s="430"/>
      <c r="M747" s="430" t="s">
        <v>68</v>
      </c>
      <c r="N747" s="432">
        <v>46195</v>
      </c>
      <c r="O747" s="430" t="s">
        <v>4531</v>
      </c>
      <c r="P747" s="430" t="s">
        <v>1151</v>
      </c>
      <c r="Q747" s="430" t="s">
        <v>421</v>
      </c>
      <c r="R747" s="430" t="str">
        <f>_xlfn.XLOOKUP(PV_DATA[[#This Row],[New Ark SKU]],Table9[New Ark SKU],Table9[Connector],,0)</f>
        <v>EVO2A</v>
      </c>
      <c r="S747" s="433" t="str">
        <f>_xlfn.XLOOKUP(PV_DATA[[#This Row],[New Ark SKU]],Table9[New Ark SKU],Table9[Cable],,0)</f>
        <v>±1200mm</v>
      </c>
      <c r="T747" s="433">
        <v>505</v>
      </c>
      <c r="U747" s="1088">
        <v>1728</v>
      </c>
      <c r="V747" s="434">
        <f>PV_DATA[[#This Row],[QUANTITY]]*PV_DATA[[#This Row],[WATT]]/1000000</f>
        <v>0.87263999999999997</v>
      </c>
      <c r="W747" s="435">
        <f>PV_DATA[[#This Row],[QUANTITY]]/PV_DATA[[#This Row],[Qty/Pallet]]</f>
        <v>48</v>
      </c>
      <c r="X747" s="1040">
        <f>PV_DATA[[#This Row],[QUANTITY]]/PV_DATA[[#This Row],[Qty/CT]]</f>
        <v>2</v>
      </c>
      <c r="Y747" s="430" t="s">
        <v>2460</v>
      </c>
      <c r="Z747" s="430" t="str">
        <f t="shared" si="8"/>
        <v>COMPLETED</v>
      </c>
      <c r="AA747" s="430" t="s">
        <v>5523</v>
      </c>
      <c r="AB747" s="437">
        <v>46225</v>
      </c>
      <c r="AC747" s="485">
        <f>IF(PV_DATA[[#This Row],[Pick- Up Date]]&lt;&gt;"",_xlfn.ISOWEEKNUM(PV_DATA[[#This Row],[Pick- Up Date]]),"")</f>
        <v>30</v>
      </c>
      <c r="AD747" s="430" t="s">
        <v>5531</v>
      </c>
      <c r="AE747" s="430"/>
      <c r="AF747" s="459" t="s">
        <v>5034</v>
      </c>
      <c r="AG747" s="459" t="s">
        <v>123</v>
      </c>
      <c r="AH747" s="430" t="s">
        <v>78</v>
      </c>
      <c r="AI747" s="437">
        <v>46230</v>
      </c>
      <c r="AJ747" s="437">
        <v>46236</v>
      </c>
      <c r="AK747" s="437">
        <v>46236</v>
      </c>
      <c r="AL747" s="437">
        <v>46279</v>
      </c>
      <c r="AM747" s="588">
        <f>IFERROR(VLOOKUP(AT747, Vessel!A:H, 8, FALSE), "")</f>
        <v>46285.041666666664</v>
      </c>
      <c r="AN747" s="586">
        <f>IFERROR(IF(VLOOKUP(AT747,Vessel!A:I,9,FALSE)=0,"",VLOOKUP(AT747,Vessel!A:I,9,FALSE)),"")</f>
        <v>46284.921701388892</v>
      </c>
      <c r="AP747" s="430" t="s">
        <v>5519</v>
      </c>
      <c r="AQ747" s="430" t="s">
        <v>80</v>
      </c>
      <c r="AR747" s="430" t="s">
        <v>5526</v>
      </c>
      <c r="AS747" s="430" t="s">
        <v>5527</v>
      </c>
      <c r="AT747" s="430" t="s">
        <v>5527</v>
      </c>
      <c r="AU7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7" s="437"/>
      <c r="AW747" s="437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7">
        <f>IF(ISERROR(PV_DATA[[#This Row],[New Ark PO status]]),"",_xlfn.XLOOKUP(PV_DATA[[#This Row],[SPTN-PVHK New Ark PO'#]],New_Ark_Data[Purchase order Number],New_Ark_Data[Estimated time of arrival],"",0))</f>
        <v>46297</v>
      </c>
      <c r="AZ7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7">
        <f>IFERROR(PV_DATA[[#This Row],[ODP ETA Port]]+PV_DATA[[#This Row],[Customs/Leg3 Assumption]],"n/a")</f>
        <v>46292.921701388892</v>
      </c>
      <c r="BB747" s="433">
        <f>YEAR(PV_DATA[[#This Row],[ETA for New Ark update]])</f>
        <v>2026</v>
      </c>
      <c r="BC747" s="430">
        <f>MONTH(PV_DATA[[#This Row],[ETA for New Ark update]])</f>
        <v>9</v>
      </c>
      <c r="BD747" s="430">
        <f>IFERROR(_xlfn.ISOWEEKNUM(PV_DATA[[#This Row],[ETA for New Ark update]]),0)</f>
        <v>39</v>
      </c>
      <c r="BE747" s="430">
        <f>_xlfn.XLOOKUP(PV_DATA[[#This Row],[New Ark SKU]],Table9[New Ark SKU],Table9[Total PCS per Pallet],,0)</f>
        <v>36</v>
      </c>
      <c r="BF747" s="430">
        <f>_xlfn.XLOOKUP(PV_DATA[[#This Row],[New Ark SKU]],Table9[New Ark SKU],Table9[Total PCS per 40HQ Container],,0)</f>
        <v>864</v>
      </c>
      <c r="BG747" s="430" t="str">
        <f>_xlfn.XLOOKUP(PV_DATA[[#This Row],[New Ark SKU]],Table9[New Ark SKU],Table9[Back Glass],,0)</f>
        <v>Black glazing</v>
      </c>
      <c r="BH747" s="430" t="str">
        <f>_xlfn.XLOOKUP(PV_DATA[[#This Row],[PORT DESTINATION]],Table12[PORT DESTINATION],Table12[Cosco Line],,0)</f>
        <v>AEM</v>
      </c>
      <c r="BJ747" s="430"/>
    </row>
    <row r="748" spans="1:62" ht="10.5">
      <c r="A748" s="462" t="s">
        <v>5532</v>
      </c>
      <c r="B748" s="462" t="s">
        <v>5203</v>
      </c>
      <c r="C748" s="462" t="str">
        <f>IFERROR(LEFT(PV_DATA[[#This Row],[TCL REFERENCE]],FIND(".",PV_DATA[[#This Row],[TCL REFERENCE]],1)-1),"Main Line")</f>
        <v>26Jun007</v>
      </c>
      <c r="D748" s="462" t="s">
        <v>63</v>
      </c>
      <c r="E748" s="462" t="s">
        <v>64</v>
      </c>
      <c r="F748" s="462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2" t="s">
        <v>402</v>
      </c>
      <c r="H748" s="462" t="s">
        <v>67</v>
      </c>
      <c r="I748" s="462" t="s">
        <v>2004</v>
      </c>
      <c r="J748" s="430" t="s">
        <v>1047</v>
      </c>
      <c r="K748" s="430"/>
      <c r="L748" s="430"/>
      <c r="M748" s="430" t="s">
        <v>68</v>
      </c>
      <c r="N748" s="432">
        <v>46188</v>
      </c>
      <c r="O748" s="430" t="s">
        <v>4531</v>
      </c>
      <c r="P748" s="430" t="s">
        <v>5102</v>
      </c>
      <c r="Q748" s="430" t="s">
        <v>103</v>
      </c>
      <c r="R748" s="430" t="str">
        <f>_xlfn.XLOOKUP(PV_DATA[[#This Row],[New Ark SKU]],Table9[New Ark SKU],Table9[Connector],,0)</f>
        <v>H4(Com)</v>
      </c>
      <c r="S748" s="433" t="str">
        <f>_xlfn.XLOOKUP(PV_DATA[[#This Row],[New Ark SKU]],Table9[New Ark SKU],Table9[Cable],,0)</f>
        <v>±1400mm</v>
      </c>
      <c r="T748" s="433">
        <v>620</v>
      </c>
      <c r="U748" s="1088">
        <v>720</v>
      </c>
      <c r="V748" s="434">
        <f>PV_DATA[[#This Row],[QUANTITY]]*PV_DATA[[#This Row],[WATT]]/1000000</f>
        <v>0.44640000000000002</v>
      </c>
      <c r="W748" s="435">
        <f>PV_DATA[[#This Row],[QUANTITY]]/PV_DATA[[#This Row],[Qty/Pallet]]</f>
        <v>20</v>
      </c>
      <c r="X748" s="1040">
        <f>PV_DATA[[#This Row],[QUANTITY]]/PV_DATA[[#This Row],[Qty/CT]]</f>
        <v>1</v>
      </c>
      <c r="Y748" s="430" t="s">
        <v>2460</v>
      </c>
      <c r="Z748" s="430" t="str">
        <f t="shared" si="8"/>
        <v>COMPLETED</v>
      </c>
      <c r="AA748" s="430" t="s">
        <v>5533</v>
      </c>
      <c r="AB748" s="437">
        <v>46226</v>
      </c>
      <c r="AC748" s="485">
        <f>IF(PV_DATA[[#This Row],[Pick- Up Date]]&lt;&gt;"",_xlfn.ISOWEEKNUM(PV_DATA[[#This Row],[Pick- Up Date]]),"")</f>
        <v>30</v>
      </c>
      <c r="AD748" s="430" t="s">
        <v>5534</v>
      </c>
      <c r="AE748" s="430"/>
      <c r="AF748" s="430" t="s">
        <v>122</v>
      </c>
      <c r="AG748" s="430" t="s">
        <v>123</v>
      </c>
      <c r="AH748" s="430" t="s">
        <v>78</v>
      </c>
      <c r="AI748" s="437">
        <v>46230</v>
      </c>
      <c r="AJ748" s="437">
        <v>46236</v>
      </c>
      <c r="AK748" s="437">
        <v>46236</v>
      </c>
      <c r="AL748" s="437">
        <v>46279</v>
      </c>
      <c r="AM748" s="588">
        <f>IFERROR(VLOOKUP(AT748, Vessel!A:H, 8, FALSE), "")</f>
        <v>46285.041666666664</v>
      </c>
      <c r="AN748" s="586">
        <f>IFERROR(IF(VLOOKUP(AT748,Vessel!A:I,9,FALSE)=0,"",VLOOKUP(AT748,Vessel!A:I,9,FALSE)),"")</f>
        <v>46284.921701388892</v>
      </c>
      <c r="AP748" s="430" t="s">
        <v>5519</v>
      </c>
      <c r="AQ748" s="430" t="s">
        <v>80</v>
      </c>
      <c r="AR748" s="430" t="s">
        <v>5535</v>
      </c>
      <c r="AS748" s="430" t="s">
        <v>5536</v>
      </c>
      <c r="AT748" s="430" t="s">
        <v>5536</v>
      </c>
      <c r="AU7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8" s="437"/>
      <c r="AW748" s="437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7">
        <f>IF(ISERROR(PV_DATA[[#This Row],[New Ark PO status]]),"",_xlfn.XLOOKUP(PV_DATA[[#This Row],[SPTN-PVHK New Ark PO'#]],New_Ark_Data[Purchase order Number],New_Ark_Data[Estimated time of arrival],"",0))</f>
        <v>46297</v>
      </c>
      <c r="AZ74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7">
        <f>IFERROR(PV_DATA[[#This Row],[ODP ETA Port]]+PV_DATA[[#This Row],[Customs/Leg3 Assumption]],"n/a")</f>
        <v>46292.921701388892</v>
      </c>
      <c r="BB748" s="433">
        <f>YEAR(PV_DATA[[#This Row],[ETA for New Ark update]])</f>
        <v>2026</v>
      </c>
      <c r="BC748" s="430">
        <f>MONTH(PV_DATA[[#This Row],[ETA for New Ark update]])</f>
        <v>9</v>
      </c>
      <c r="BD748" s="430">
        <f>IFERROR(_xlfn.ISOWEEKNUM(PV_DATA[[#This Row],[ETA for New Ark update]]),0)</f>
        <v>39</v>
      </c>
      <c r="BE748" s="430">
        <f>_xlfn.XLOOKUP(PV_DATA[[#This Row],[New Ark SKU]],Table9[New Ark SKU],Table9[Total PCS per Pallet],,0)</f>
        <v>36</v>
      </c>
      <c r="BF748" s="430">
        <f>_xlfn.XLOOKUP(PV_DATA[[#This Row],[New Ark SKU]],Table9[New Ark SKU],Table9[Total PCS per 40HQ Container],,0)</f>
        <v>720</v>
      </c>
      <c r="BG748" s="430" t="str">
        <f>_xlfn.XLOOKUP(PV_DATA[[#This Row],[New Ark SKU]],Table9[New Ark SKU],Table9[Back Glass],,0)</f>
        <v>Transparent</v>
      </c>
      <c r="BH748" s="610" t="str">
        <f>_xlfn.XLOOKUP(PV_DATA[[#This Row],[PORT DESTINATION]],Table12[PORT DESTINATION],Table12[Cosco Line],,0)</f>
        <v>AEM</v>
      </c>
      <c r="BJ748" s="430"/>
    </row>
    <row r="749" spans="1:62" ht="10.5">
      <c r="A749" s="462" t="s">
        <v>5537</v>
      </c>
      <c r="B749" s="462" t="s">
        <v>5318</v>
      </c>
      <c r="C749" s="462" t="str">
        <f>IFERROR(LEFT(PV_DATA[[#This Row],[TCL REFERENCE]],FIND(".",PV_DATA[[#This Row],[TCL REFERENCE]],1)-1),"Main Line")</f>
        <v>26Jun005</v>
      </c>
      <c r="D749" s="462" t="s">
        <v>63</v>
      </c>
      <c r="E749" s="462" t="s">
        <v>64</v>
      </c>
      <c r="F749" s="462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2" t="s">
        <v>402</v>
      </c>
      <c r="H749" s="462" t="s">
        <v>67</v>
      </c>
      <c r="I749" s="462" t="s">
        <v>689</v>
      </c>
      <c r="J749" s="430" t="s">
        <v>96</v>
      </c>
      <c r="K749" s="430"/>
      <c r="L749" s="430"/>
      <c r="M749" s="430" t="s">
        <v>68</v>
      </c>
      <c r="N749" s="432">
        <v>46188</v>
      </c>
      <c r="O749" s="430" t="s">
        <v>4531</v>
      </c>
      <c r="P749" s="430" t="s">
        <v>1461</v>
      </c>
      <c r="Q749" s="430" t="s">
        <v>103</v>
      </c>
      <c r="R749" s="430" t="str">
        <f>_xlfn.XLOOKUP(PV_DATA[[#This Row],[New Ark SKU]],Table9[New Ark SKU],Table9[Connector],,0)</f>
        <v>EVO2A</v>
      </c>
      <c r="S749" s="433" t="str">
        <f>_xlfn.XLOOKUP(PV_DATA[[#This Row],[New Ark SKU]],Table9[New Ark SKU],Table9[Cable],,0)</f>
        <v>±1400mm</v>
      </c>
      <c r="T749" s="433">
        <v>620</v>
      </c>
      <c r="U749" s="1088">
        <f>720*1</f>
        <v>720</v>
      </c>
      <c r="V749" s="434">
        <f>PV_DATA[[#This Row],[QUANTITY]]*PV_DATA[[#This Row],[WATT]]/1000000</f>
        <v>0.44640000000000002</v>
      </c>
      <c r="W749" s="435">
        <f>PV_DATA[[#This Row],[QUANTITY]]/PV_DATA[[#This Row],[Qty/Pallet]]</f>
        <v>20</v>
      </c>
      <c r="X749" s="1040">
        <f>PV_DATA[[#This Row],[QUANTITY]]/PV_DATA[[#This Row],[Qty/CT]]</f>
        <v>1</v>
      </c>
      <c r="Y749" s="430" t="s">
        <v>2460</v>
      </c>
      <c r="Z749" s="430" t="str">
        <f t="shared" si="8"/>
        <v>COMPLETED</v>
      </c>
      <c r="AA749" s="430" t="s">
        <v>5533</v>
      </c>
      <c r="AB749" s="437">
        <v>46226</v>
      </c>
      <c r="AC749" s="485">
        <f>IF(PV_DATA[[#This Row],[Pick- Up Date]]&lt;&gt;"",_xlfn.ISOWEEKNUM(PV_DATA[[#This Row],[Pick- Up Date]]),"")</f>
        <v>30</v>
      </c>
      <c r="AD749" s="430" t="s">
        <v>5538</v>
      </c>
      <c r="AE749" s="430"/>
      <c r="AF749" s="430" t="s">
        <v>122</v>
      </c>
      <c r="AG749" s="430" t="s">
        <v>123</v>
      </c>
      <c r="AH749" s="430" t="s">
        <v>78</v>
      </c>
      <c r="AI749" s="437">
        <v>46230</v>
      </c>
      <c r="AJ749" s="437">
        <v>46236</v>
      </c>
      <c r="AK749" s="437">
        <v>46236</v>
      </c>
      <c r="AL749" s="437">
        <v>46279</v>
      </c>
      <c r="AM749" s="588">
        <f>IFERROR(VLOOKUP(AT749, Vessel!A:H, 8, FALSE), "")</f>
        <v>46285.041666666664</v>
      </c>
      <c r="AN749" s="586">
        <f>IFERROR(IF(VLOOKUP(AT749,Vessel!A:I,9,FALSE)=0,"",VLOOKUP(AT749,Vessel!A:I,9,FALSE)),"")</f>
        <v>46284.921701388892</v>
      </c>
      <c r="AP749" s="430" t="s">
        <v>5519</v>
      </c>
      <c r="AQ749" s="430" t="s">
        <v>80</v>
      </c>
      <c r="AR749" s="430" t="s">
        <v>5535</v>
      </c>
      <c r="AS749" s="430" t="s">
        <v>5536</v>
      </c>
      <c r="AT749" s="430" t="s">
        <v>5536</v>
      </c>
      <c r="AU7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9" s="437"/>
      <c r="AW749" s="437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7">
        <f>IF(ISERROR(PV_DATA[[#This Row],[New Ark PO status]]),"",_xlfn.XLOOKUP(PV_DATA[[#This Row],[SPTN-PVHK New Ark PO'#]],New_Ark_Data[Purchase order Number],New_Ark_Data[Estimated time of arrival],"",0))</f>
        <v>46297</v>
      </c>
      <c r="AZ74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7">
        <f>IFERROR(PV_DATA[[#This Row],[ODP ETA Port]]+PV_DATA[[#This Row],[Customs/Leg3 Assumption]],"n/a")</f>
        <v>46292.921701388892</v>
      </c>
      <c r="BB749" s="433">
        <f>YEAR(PV_DATA[[#This Row],[ETA for New Ark update]])</f>
        <v>2026</v>
      </c>
      <c r="BC749" s="430">
        <f>MONTH(PV_DATA[[#This Row],[ETA for New Ark update]])</f>
        <v>9</v>
      </c>
      <c r="BD749" s="430">
        <f>IFERROR(_xlfn.ISOWEEKNUM(PV_DATA[[#This Row],[ETA for New Ark update]]),0)</f>
        <v>39</v>
      </c>
      <c r="BE749" s="430">
        <f>_xlfn.XLOOKUP(PV_DATA[[#This Row],[New Ark SKU]],Table9[New Ark SKU],Table9[Total PCS per Pallet],,0)</f>
        <v>36</v>
      </c>
      <c r="BF749" s="430">
        <f>_xlfn.XLOOKUP(PV_DATA[[#This Row],[New Ark SKU]],Table9[New Ark SKU],Table9[Total PCS per 40HQ Container],,0)</f>
        <v>720</v>
      </c>
      <c r="BG749" s="430" t="str">
        <f>_xlfn.XLOOKUP(PV_DATA[[#This Row],[New Ark SKU]],Table9[New Ark SKU],Table9[Back Glass],,0)</f>
        <v>Redirection Film</v>
      </c>
      <c r="BH749" s="430" t="str">
        <f>_xlfn.XLOOKUP(PV_DATA[[#This Row],[PORT DESTINATION]],Table12[PORT DESTINATION],Table12[Cosco Line],,0)</f>
        <v>AEM</v>
      </c>
      <c r="BJ749" s="430"/>
    </row>
    <row r="750" spans="1:62" ht="10.5">
      <c r="A750" s="462" t="s">
        <v>5539</v>
      </c>
      <c r="B750" s="462" t="s">
        <v>5318</v>
      </c>
      <c r="C750" s="462" t="str">
        <f>IFERROR(LEFT(PV_DATA[[#This Row],[TCL REFERENCE]],FIND(".",PV_DATA[[#This Row],[TCL REFERENCE]],1)-1),"Main Line")</f>
        <v>26Jun014</v>
      </c>
      <c r="D750" s="462" t="s">
        <v>63</v>
      </c>
      <c r="E750" s="462" t="s">
        <v>64</v>
      </c>
      <c r="F750" s="462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2" t="s">
        <v>402</v>
      </c>
      <c r="H750" s="462" t="s">
        <v>67</v>
      </c>
      <c r="I750" s="462" t="s">
        <v>1395</v>
      </c>
      <c r="J750" s="430" t="s">
        <v>96</v>
      </c>
      <c r="K750" s="430"/>
      <c r="L750" s="430"/>
      <c r="M750" s="430" t="s">
        <v>68</v>
      </c>
      <c r="N750" s="432">
        <v>46209</v>
      </c>
      <c r="O750" s="430" t="s">
        <v>4531</v>
      </c>
      <c r="P750" s="430" t="s">
        <v>691</v>
      </c>
      <c r="Q750" s="430" t="s">
        <v>692</v>
      </c>
      <c r="R750" s="430" t="str">
        <f>_xlfn.XLOOKUP(PV_DATA[[#This Row],[New Ark SKU]],Table9[New Ark SKU],Table9[Connector],,0)</f>
        <v>EVO2A</v>
      </c>
      <c r="S750" s="433" t="str">
        <f>_xlfn.XLOOKUP(PV_DATA[[#This Row],[New Ark SKU]],Table9[New Ark SKU],Table9[Cable],,0)</f>
        <v>±1200mm</v>
      </c>
      <c r="T750" s="433">
        <v>505</v>
      </c>
      <c r="U750" s="1088">
        <f>864*3</f>
        <v>2592</v>
      </c>
      <c r="V750" s="434">
        <f>PV_DATA[[#This Row],[QUANTITY]]*PV_DATA[[#This Row],[WATT]]/1000000</f>
        <v>1.3089599999999999</v>
      </c>
      <c r="W750" s="435">
        <f>PV_DATA[[#This Row],[QUANTITY]]/PV_DATA[[#This Row],[Qty/Pallet]]</f>
        <v>72</v>
      </c>
      <c r="X750" s="1040">
        <f>PV_DATA[[#This Row],[QUANTITY]]/PV_DATA[[#This Row],[Qty/CT]]</f>
        <v>3</v>
      </c>
      <c r="Y750" s="430" t="s">
        <v>2459</v>
      </c>
      <c r="Z750" s="430" t="str">
        <f t="shared" si="8"/>
        <v>COMPLETED</v>
      </c>
      <c r="AA750" s="545" t="s">
        <v>5540</v>
      </c>
      <c r="AB750" s="437">
        <v>46226</v>
      </c>
      <c r="AC750" s="485">
        <f>IF(PV_DATA[[#This Row],[Pick- Up Date]]&lt;&gt;"",_xlfn.ISOWEEKNUM(PV_DATA[[#This Row],[Pick- Up Date]]),"")</f>
        <v>30</v>
      </c>
      <c r="AD750" s="430" t="s">
        <v>5541</v>
      </c>
      <c r="AE750" s="430"/>
      <c r="AF750" s="430" t="s">
        <v>122</v>
      </c>
      <c r="AG750" s="430" t="s">
        <v>123</v>
      </c>
      <c r="AH750" s="430" t="s">
        <v>78</v>
      </c>
      <c r="AI750" s="437">
        <v>46230</v>
      </c>
      <c r="AJ750" s="437">
        <v>46236</v>
      </c>
      <c r="AK750" s="437">
        <v>46236</v>
      </c>
      <c r="AL750" s="437">
        <v>46279</v>
      </c>
      <c r="AM750" s="588">
        <f>IFERROR(VLOOKUP(AT750, Vessel!A:H, 8, FALSE), "")</f>
        <v>46285.041666666664</v>
      </c>
      <c r="AN750" s="586">
        <f>IFERROR(IF(VLOOKUP(AT750,Vessel!A:I,9,FALSE)=0,"",VLOOKUP(AT750,Vessel!A:I,9,FALSE)),"")</f>
        <v>46284.921701388892</v>
      </c>
      <c r="AP750" s="430" t="s">
        <v>5519</v>
      </c>
      <c r="AQ750" s="430" t="s">
        <v>80</v>
      </c>
      <c r="AR750" s="430" t="s">
        <v>5535</v>
      </c>
      <c r="AS750" s="430" t="s">
        <v>5536</v>
      </c>
      <c r="AT750" s="430" t="s">
        <v>5536</v>
      </c>
      <c r="AU7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50" s="437"/>
      <c r="AW750" s="437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7">
        <f>IF(ISERROR(PV_DATA[[#This Row],[New Ark PO status]]),"",_xlfn.XLOOKUP(PV_DATA[[#This Row],[SPTN-PVHK New Ark PO'#]],New_Ark_Data[Purchase order Number],New_Ark_Data[Estimated time of arrival],"",0))</f>
        <v>46297</v>
      </c>
      <c r="AZ75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7">
        <f>IFERROR(PV_DATA[[#This Row],[ODP ETA Port]]+PV_DATA[[#This Row],[Customs/Leg3 Assumption]],"n/a")</f>
        <v>46292.921701388892</v>
      </c>
      <c r="BB750" s="433">
        <f>YEAR(PV_DATA[[#This Row],[ETA for New Ark update]])</f>
        <v>2026</v>
      </c>
      <c r="BC750" s="430">
        <f>MONTH(PV_DATA[[#This Row],[ETA for New Ark update]])</f>
        <v>9</v>
      </c>
      <c r="BD750" s="430">
        <f>IFERROR(_xlfn.ISOWEEKNUM(PV_DATA[[#This Row],[ETA for New Ark update]]),0)</f>
        <v>39</v>
      </c>
      <c r="BE750" s="430">
        <f>_xlfn.XLOOKUP(PV_DATA[[#This Row],[New Ark SKU]],Table9[New Ark SKU],Table9[Total PCS per Pallet],,0)</f>
        <v>36</v>
      </c>
      <c r="BF750" s="430">
        <f>_xlfn.XLOOKUP(PV_DATA[[#This Row],[New Ark SKU]],Table9[New Ark SKU],Table9[Total PCS per 40HQ Container],,0)</f>
        <v>864</v>
      </c>
      <c r="BG750" s="430" t="str">
        <f>_xlfn.XLOOKUP(PV_DATA[[#This Row],[New Ark SKU]],Table9[New Ark SKU],Table9[Back Glass],,0)</f>
        <v>Black glazing</v>
      </c>
      <c r="BH750" s="430" t="str">
        <f>_xlfn.XLOOKUP(PV_DATA[[#This Row],[PORT DESTINATION]],Table12[PORT DESTINATION],Table12[Cosco Line],,0)</f>
        <v>AEM</v>
      </c>
      <c r="BJ750" s="430"/>
    </row>
    <row r="751" spans="1:62" ht="10.5">
      <c r="A751" s="462" t="s">
        <v>5542</v>
      </c>
      <c r="B751" s="462" t="s">
        <v>111</v>
      </c>
      <c r="C751" s="462" t="str">
        <f>IFERROR(LEFT(PV_DATA[[#This Row],[TCL REFERENCE]],FIND(".",PV_DATA[[#This Row],[TCL REFERENCE]],1)-1),"Main Line")</f>
        <v>Main Line</v>
      </c>
      <c r="D751" s="462" t="s">
        <v>63</v>
      </c>
      <c r="E751" s="462" t="s">
        <v>64</v>
      </c>
      <c r="F751" s="462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2" t="s">
        <v>402</v>
      </c>
      <c r="H751" s="462" t="s">
        <v>115</v>
      </c>
      <c r="I751" s="462" t="s">
        <v>882</v>
      </c>
      <c r="J751" s="430" t="s">
        <v>96</v>
      </c>
      <c r="K751" s="430"/>
      <c r="L751" s="430"/>
      <c r="M751" s="430" t="s">
        <v>68</v>
      </c>
      <c r="N751" s="432">
        <v>46174</v>
      </c>
      <c r="O751" s="430" t="s">
        <v>132</v>
      </c>
      <c r="P751" s="430" t="s">
        <v>5543</v>
      </c>
      <c r="Q751" s="430" t="s">
        <v>5544</v>
      </c>
      <c r="R751" s="430" t="str">
        <f>_xlfn.XLOOKUP(PV_DATA[[#This Row],[New Ark SKU]],Table9[New Ark SKU],Table9[Connector],,0)</f>
        <v>EVO2A</v>
      </c>
      <c r="S751" s="433" t="str">
        <f>_xlfn.XLOOKUP(PV_DATA[[#This Row],[New Ark SKU]],Table9[New Ark SKU],Table9[Cable],,0)</f>
        <v>±1400mm</v>
      </c>
      <c r="T751" s="433">
        <v>550</v>
      </c>
      <c r="U751" s="1088">
        <v>660</v>
      </c>
      <c r="V751" s="434">
        <f>PV_DATA[[#This Row],[QUANTITY]]*PV_DATA[[#This Row],[WATT]]/1000000</f>
        <v>0.36299999999999999</v>
      </c>
      <c r="W751" s="435">
        <f>PV_DATA[[#This Row],[QUANTITY]]/PV_DATA[[#This Row],[Qty/Pallet]]</f>
        <v>20</v>
      </c>
      <c r="X751" s="1040">
        <f>PV_DATA[[#This Row],[QUANTITY]]/PV_DATA[[#This Row],[Qty/CT]]</f>
        <v>1</v>
      </c>
      <c r="Y751" s="459" t="s">
        <v>2456</v>
      </c>
      <c r="Z751" s="430" t="str">
        <f t="shared" si="8"/>
        <v>COMPLETED</v>
      </c>
      <c r="AA751" s="430" t="s">
        <v>4990</v>
      </c>
      <c r="AB751" s="437">
        <v>46227</v>
      </c>
      <c r="AC751" s="485">
        <f>IF(PV_DATA[[#This Row],[Pick- Up Date]]&lt;&gt;"",_xlfn.ISOWEEKNUM(PV_DATA[[#This Row],[Pick- Up Date]]),"")</f>
        <v>30</v>
      </c>
      <c r="AD751" s="430" t="s">
        <v>5545</v>
      </c>
      <c r="AE751" s="430"/>
      <c r="AF751" s="430" t="s">
        <v>122</v>
      </c>
      <c r="AG751" s="430" t="s">
        <v>123</v>
      </c>
      <c r="AH751" s="430" t="s">
        <v>124</v>
      </c>
      <c r="AI751" s="437">
        <v>46230</v>
      </c>
      <c r="AJ751" s="437">
        <v>46236</v>
      </c>
      <c r="AK751" s="437">
        <v>46236</v>
      </c>
      <c r="AL751" s="437">
        <v>46282</v>
      </c>
      <c r="AM751" s="588">
        <f>IFERROR(VLOOKUP(AT751, Vessel!A:H, 8, FALSE), "")</f>
        <v>46296.25</v>
      </c>
      <c r="AN751" s="586">
        <v>46295</v>
      </c>
      <c r="AP751" s="430" t="s">
        <v>5519</v>
      </c>
      <c r="AQ751" s="430" t="s">
        <v>80</v>
      </c>
      <c r="AR751" s="430" t="s">
        <v>5546</v>
      </c>
      <c r="AS751" s="430" t="s">
        <v>5547</v>
      </c>
      <c r="AT751" s="430" t="s">
        <v>5547</v>
      </c>
      <c r="AU7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751" s="437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7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7">
        <f>IF(ISERROR(PV_DATA[[#This Row],[New Ark PO status]]),"",_xlfn.XLOOKUP(PV_DATA[[#This Row],[SPTN-PVHK New Ark PO'#]],New_Ark_Data[Purchase order Number],New_Ark_Data[Estimated time of arrival],"",0))</f>
        <v>46300</v>
      </c>
      <c r="AZ751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7">
        <f>IFERROR(PV_DATA[[#This Row],[ODP ETA Port]]+PV_DATA[[#This Row],[Customs/Leg3 Assumption]],"n/a")</f>
        <v>46304</v>
      </c>
      <c r="BB751" s="433">
        <f>YEAR(PV_DATA[[#This Row],[ETA for New Ark update]])</f>
        <v>2026</v>
      </c>
      <c r="BC751" s="430">
        <f>MONTH(PV_DATA[[#This Row],[ETA for New Ark update]])</f>
        <v>10</v>
      </c>
      <c r="BD751" s="430">
        <f>IFERROR(_xlfn.ISOWEEKNUM(PV_DATA[[#This Row],[ETA for New Ark update]]),0)</f>
        <v>41</v>
      </c>
      <c r="BE751" s="430">
        <f>_xlfn.XLOOKUP(PV_DATA[[#This Row],[New Ark SKU]],Table9[New Ark SKU],Table9[Total PCS per Pallet],,0)</f>
        <v>33</v>
      </c>
      <c r="BF751" s="430">
        <f>_xlfn.XLOOKUP(PV_DATA[[#This Row],[New Ark SKU]],Table9[New Ark SKU],Table9[Total PCS per 40HQ Container],,0)</f>
        <v>660</v>
      </c>
      <c r="BG751" s="430" t="str">
        <f>_xlfn.XLOOKUP(PV_DATA[[#This Row],[New Ark SKU]],Table9[New Ark SKU],Table9[Back Glass],,0)</f>
        <v>White glazing</v>
      </c>
      <c r="BH751" s="430" t="str">
        <f>_xlfn.XLOOKUP(PV_DATA[[#This Row],[PORT DESTINATION]],Table12[PORT DESTINATION],Table12[Cosco Line],,0)</f>
        <v>AEM</v>
      </c>
      <c r="BJ751" s="430"/>
    </row>
    <row r="752" spans="1:62" ht="10.5">
      <c r="A752" s="462" t="s">
        <v>5548</v>
      </c>
      <c r="B752" s="462" t="s">
        <v>111</v>
      </c>
      <c r="C752" s="462" t="str">
        <f>IFERROR(LEFT(PV_DATA[[#This Row],[TCL REFERENCE]],FIND(".",PV_DATA[[#This Row],[TCL REFERENCE]],1)-1),"Main Line")</f>
        <v>26Jul013</v>
      </c>
      <c r="D752" s="462" t="s">
        <v>63</v>
      </c>
      <c r="E752" s="462" t="s">
        <v>144</v>
      </c>
      <c r="F752" s="462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2" t="s">
        <v>402</v>
      </c>
      <c r="H752" s="462" t="s">
        <v>1912</v>
      </c>
      <c r="I752" s="462" t="s">
        <v>1395</v>
      </c>
      <c r="J752" s="430" t="s">
        <v>1912</v>
      </c>
      <c r="K752" s="430" t="s">
        <v>5549</v>
      </c>
      <c r="L752" s="430">
        <v>3</v>
      </c>
      <c r="M752" s="430" t="s">
        <v>840</v>
      </c>
      <c r="N752" s="432">
        <v>46202</v>
      </c>
      <c r="O752" s="430" t="s">
        <v>5336</v>
      </c>
      <c r="P752" s="459" t="s">
        <v>5337</v>
      </c>
      <c r="Q752" s="430" t="s">
        <v>5338</v>
      </c>
      <c r="R752" s="430" t="str">
        <f>_xlfn.XLOOKUP(PV_DATA[[#This Row],[New Ark SKU]],Table9[New Ark SKU],Table9[Connector],,0)</f>
        <v>EVO2A</v>
      </c>
      <c r="S752" s="433" t="str">
        <f>_xlfn.XLOOKUP(PV_DATA[[#This Row],[New Ark SKU]],Table9[New Ark SKU],Table9[Cable],,0)</f>
        <v>±1400mm</v>
      </c>
      <c r="T752" s="433">
        <v>580</v>
      </c>
      <c r="U752" s="1088">
        <f>720*1</f>
        <v>720</v>
      </c>
      <c r="V752" s="434">
        <f>PV_DATA[[#This Row],[QUANTITY]]*PV_DATA[[#This Row],[WATT]]/1000000</f>
        <v>0.41760000000000003</v>
      </c>
      <c r="W752" s="435">
        <f>PV_DATA[[#This Row],[QUANTITY]]/PV_DATA[[#This Row],[Qty/Pallet]]</f>
        <v>20</v>
      </c>
      <c r="X752" s="1040">
        <f>PV_DATA[[#This Row],[QUANTITY]]/PV_DATA[[#This Row],[Qty/CT]]</f>
        <v>1</v>
      </c>
      <c r="Y752" s="430" t="s">
        <v>2460</v>
      </c>
      <c r="Z752" s="430" t="str">
        <f t="shared" si="8"/>
        <v>COMPLETED</v>
      </c>
      <c r="AA752" s="430" t="s">
        <v>5339</v>
      </c>
      <c r="AB752" s="437">
        <v>46220</v>
      </c>
      <c r="AC752" s="485">
        <f>IF(PV_DATA[[#This Row],[Pick- Up Date]]&lt;&gt;"",_xlfn.ISOWEEKNUM(PV_DATA[[#This Row],[Pick- Up Date]]),"")</f>
        <v>29</v>
      </c>
      <c r="AD752" s="430" t="s">
        <v>5550</v>
      </c>
      <c r="AE752" s="430"/>
      <c r="AF752" s="430" t="s">
        <v>122</v>
      </c>
      <c r="AG752" s="430" t="s">
        <v>123</v>
      </c>
      <c r="AH752" s="430" t="s">
        <v>124</v>
      </c>
      <c r="AI752" s="437">
        <v>46229</v>
      </c>
      <c r="AJ752" s="437">
        <v>46233</v>
      </c>
      <c r="AK752" s="437">
        <v>46233</v>
      </c>
      <c r="AL752" s="437">
        <v>46268</v>
      </c>
      <c r="AM752" s="588">
        <f>IFERROR(VLOOKUP(AT752, Vessel!A:H, 8, FALSE), "")</f>
        <v>46280.541666666664</v>
      </c>
      <c r="AN752" s="586">
        <v>46280.541666666664</v>
      </c>
      <c r="AP752" s="430" t="s">
        <v>5551</v>
      </c>
      <c r="AQ752" s="438" t="s">
        <v>80</v>
      </c>
      <c r="AR752" s="430" t="s">
        <v>5552</v>
      </c>
      <c r="AS752" s="430" t="s">
        <v>5553</v>
      </c>
      <c r="AT752" s="430" t="s">
        <v>5553</v>
      </c>
      <c r="AU7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2" s="437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7">
        <f>IF(ISERROR(PV_DATA[[#This Row],[New Ark PO status]]),"",_xlfn.XLOOKUP(PV_DATA[[#This Row],[SPTN-PVHK New Ark PO'#]],New_Ark_Data[Purchase order Number],New_Ark_Data[Estimated time of arrival],"",0))</f>
        <v>46268</v>
      </c>
      <c r="AZ75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7">
        <f>IFERROR(PV_DATA[[#This Row],[ODP ETA Port]]+PV_DATA[[#This Row],[Customs/Leg3 Assumption]],"n/a")</f>
        <v>46280.541666666664</v>
      </c>
      <c r="BB752" s="433">
        <f>YEAR(PV_DATA[[#This Row],[ETA for New Ark update]])</f>
        <v>2026</v>
      </c>
      <c r="BC752" s="430">
        <f>MONTH(PV_DATA[[#This Row],[ETA for New Ark update]])</f>
        <v>9</v>
      </c>
      <c r="BD752" s="430">
        <f>IFERROR(_xlfn.ISOWEEKNUM(PV_DATA[[#This Row],[ETA for New Ark update]]),0)</f>
        <v>38</v>
      </c>
      <c r="BE752" s="430">
        <f>_xlfn.XLOOKUP(PV_DATA[[#This Row],[New Ark SKU]],Table9[New Ark SKU],Table9[Total PCS per Pallet],,0)</f>
        <v>36</v>
      </c>
      <c r="BF752" s="430">
        <f>_xlfn.XLOOKUP(PV_DATA[[#This Row],[New Ark SKU]],Table9[New Ark SKU],Table9[Total PCS per 40HQ Container],,0)</f>
        <v>720</v>
      </c>
      <c r="BG752" s="430" t="str">
        <f>_xlfn.XLOOKUP(PV_DATA[[#This Row],[New Ark SKU]],Table9[New Ark SKU],Table9[Back Glass],,0)</f>
        <v>Transparent</v>
      </c>
      <c r="BH752" s="430" t="str">
        <f>_xlfn.XLOOKUP(PV_DATA[[#This Row],[PORT DESTINATION]],Table12[PORT DESTINATION],Table12[Cosco Line],,0)</f>
        <v>AEM</v>
      </c>
      <c r="BJ752" s="430"/>
    </row>
    <row r="753" spans="1:62" ht="10.5">
      <c r="A753" s="462" t="s">
        <v>5554</v>
      </c>
      <c r="B753" s="462" t="s">
        <v>111</v>
      </c>
      <c r="C753" s="462" t="str">
        <f>IFERROR(LEFT(PV_DATA[[#This Row],[TCL REFERENCE]],FIND(".",PV_DATA[[#This Row],[TCL REFERENCE]],1)-1),"Main Line")</f>
        <v>26Jul014</v>
      </c>
      <c r="D753" s="462" t="s">
        <v>63</v>
      </c>
      <c r="E753" s="462" t="s">
        <v>144</v>
      </c>
      <c r="F753" s="462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2" t="s">
        <v>402</v>
      </c>
      <c r="H753" s="462" t="s">
        <v>1912</v>
      </c>
      <c r="I753" s="462" t="s">
        <v>1395</v>
      </c>
      <c r="J753" s="430" t="s">
        <v>1912</v>
      </c>
      <c r="K753" s="430" t="s">
        <v>5549</v>
      </c>
      <c r="L753" s="430">
        <v>2</v>
      </c>
      <c r="M753" s="430" t="s">
        <v>840</v>
      </c>
      <c r="N753" s="432">
        <v>46202</v>
      </c>
      <c r="O753" s="430" t="s">
        <v>5336</v>
      </c>
      <c r="P753" s="459" t="s">
        <v>5555</v>
      </c>
      <c r="Q753" s="430" t="s">
        <v>5556</v>
      </c>
      <c r="R753" s="430" t="str">
        <f>_xlfn.XLOOKUP(PV_DATA[[#This Row],[New Ark SKU]],Table9[New Ark SKU],Table9[Connector],,0)</f>
        <v>EVO2A</v>
      </c>
      <c r="S753" s="433" t="str">
        <f>_xlfn.XLOOKUP(PV_DATA[[#This Row],[New Ark SKU]],Table9[New Ark SKU],Table9[Cable],,0)</f>
        <v>±1400mm</v>
      </c>
      <c r="T753" s="433">
        <v>580</v>
      </c>
      <c r="U753" s="1088">
        <f>720*1</f>
        <v>720</v>
      </c>
      <c r="V753" s="434">
        <f>PV_DATA[[#This Row],[QUANTITY]]*PV_DATA[[#This Row],[WATT]]/1000000</f>
        <v>0.41760000000000003</v>
      </c>
      <c r="W753" s="435">
        <f>PV_DATA[[#This Row],[QUANTITY]]/PV_DATA[[#This Row],[Qty/Pallet]]</f>
        <v>20</v>
      </c>
      <c r="X753" s="1040">
        <f>PV_DATA[[#This Row],[QUANTITY]]/PV_DATA[[#This Row],[Qty/CT]]</f>
        <v>1</v>
      </c>
      <c r="Y753" s="430" t="s">
        <v>2460</v>
      </c>
      <c r="Z753" s="430" t="str">
        <f t="shared" si="8"/>
        <v>COMPLETED</v>
      </c>
      <c r="AA753" s="430"/>
      <c r="AB753" s="437">
        <v>46220</v>
      </c>
      <c r="AC753" s="485">
        <f>IF(PV_DATA[[#This Row],[Pick- Up Date]]&lt;&gt;"",_xlfn.ISOWEEKNUM(PV_DATA[[#This Row],[Pick- Up Date]]),"")</f>
        <v>29</v>
      </c>
      <c r="AD753" s="430" t="s">
        <v>5557</v>
      </c>
      <c r="AE753" s="430"/>
      <c r="AF753" s="430" t="s">
        <v>122</v>
      </c>
      <c r="AG753" s="430" t="s">
        <v>123</v>
      </c>
      <c r="AH753" s="430" t="s">
        <v>124</v>
      </c>
      <c r="AI753" s="437">
        <v>46229</v>
      </c>
      <c r="AJ753" s="437">
        <v>46233</v>
      </c>
      <c r="AK753" s="437">
        <v>46233</v>
      </c>
      <c r="AL753" s="437">
        <v>46268</v>
      </c>
      <c r="AM753" s="586">
        <f>IFERROR(VLOOKUP(AT753, Vessel!A:H, 8, FALSE), "")</f>
        <v>46280.541666666664</v>
      </c>
      <c r="AN753" s="586">
        <v>46280.541666666664</v>
      </c>
      <c r="AP753" s="430" t="s">
        <v>5551</v>
      </c>
      <c r="AQ753" s="438" t="s">
        <v>80</v>
      </c>
      <c r="AR753" s="430" t="s">
        <v>5552</v>
      </c>
      <c r="AS753" s="430" t="s">
        <v>5553</v>
      </c>
      <c r="AT753" s="430" t="s">
        <v>5553</v>
      </c>
      <c r="AU7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3" s="437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7">
        <f>IF(ISERROR(PV_DATA[[#This Row],[New Ark PO status]]),"",_xlfn.XLOOKUP(PV_DATA[[#This Row],[SPTN-PVHK New Ark PO'#]],New_Ark_Data[Purchase order Number],New_Ark_Data[Estimated time of arrival],"",0))</f>
        <v>46268</v>
      </c>
      <c r="AZ75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7">
        <f>IFERROR(PV_DATA[[#This Row],[ODP ETA Port]]+PV_DATA[[#This Row],[Customs/Leg3 Assumption]],"n/a")</f>
        <v>46280.541666666664</v>
      </c>
      <c r="BB753" s="433">
        <f>YEAR(PV_DATA[[#This Row],[ETA for New Ark update]])</f>
        <v>2026</v>
      </c>
      <c r="BC753" s="430">
        <f>MONTH(PV_DATA[[#This Row],[ETA for New Ark update]])</f>
        <v>9</v>
      </c>
      <c r="BD753" s="430">
        <f>IFERROR(_xlfn.ISOWEEKNUM(PV_DATA[[#This Row],[ETA for New Ark update]]),0)</f>
        <v>38</v>
      </c>
      <c r="BE753" s="430">
        <f>_xlfn.XLOOKUP(PV_DATA[[#This Row],[New Ark SKU]],Table9[New Ark SKU],Table9[Total PCS per Pallet],,0)</f>
        <v>36</v>
      </c>
      <c r="BF753" s="430">
        <f>_xlfn.XLOOKUP(PV_DATA[[#This Row],[New Ark SKU]],Table9[New Ark SKU],Table9[Total PCS per 40HQ Container],,0)</f>
        <v>720</v>
      </c>
      <c r="BG753" s="430" t="str">
        <f>_xlfn.XLOOKUP(PV_DATA[[#This Row],[New Ark SKU]],Table9[New Ark SKU],Table9[Back Glass],,0)</f>
        <v>Transparent</v>
      </c>
      <c r="BH753" s="610" t="str">
        <f>_xlfn.XLOOKUP(PV_DATA[[#This Row],[PORT DESTINATION]],Table12[PORT DESTINATION],Table12[Cosco Line],,0)</f>
        <v>AEM</v>
      </c>
      <c r="BJ753" s="430"/>
    </row>
    <row r="754" spans="1:62" ht="10.5">
      <c r="A754" s="462" t="s">
        <v>5558</v>
      </c>
      <c r="B754" s="462" t="s">
        <v>111</v>
      </c>
      <c r="C754" s="462" t="str">
        <f>IFERROR(LEFT(PV_DATA[[#This Row],[TCL REFERENCE]],FIND(".",PV_DATA[[#This Row],[TCL REFERENCE]],1)-1),"Main Line")</f>
        <v>26Jun002</v>
      </c>
      <c r="D754" s="462" t="s">
        <v>63</v>
      </c>
      <c r="E754" s="462" t="s">
        <v>64</v>
      </c>
      <c r="F754" s="462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2" t="s">
        <v>402</v>
      </c>
      <c r="H754" s="462" t="s">
        <v>115</v>
      </c>
      <c r="I754" s="462" t="s">
        <v>689</v>
      </c>
      <c r="J754" s="430" t="s">
        <v>96</v>
      </c>
      <c r="K754" s="430"/>
      <c r="L754" s="430"/>
      <c r="M754" s="430" t="s">
        <v>68</v>
      </c>
      <c r="N754" s="432">
        <v>46194</v>
      </c>
      <c r="O754" s="430" t="s">
        <v>550</v>
      </c>
      <c r="P754" s="430" t="s">
        <v>2134</v>
      </c>
      <c r="Q754" s="430" t="s">
        <v>2135</v>
      </c>
      <c r="R754" s="430" t="str">
        <f>_xlfn.XLOOKUP(PV_DATA[[#This Row],[New Ark SKU]],Table9[New Ark SKU],Table9[Connector],,0)</f>
        <v>EVO2A</v>
      </c>
      <c r="S754" s="433" t="str">
        <f>_xlfn.XLOOKUP(PV_DATA[[#This Row],[New Ark SKU]],Table9[New Ark SKU],Table9[Cable],,0)</f>
        <v>±1350mm</v>
      </c>
      <c r="T754" s="433">
        <v>515</v>
      </c>
      <c r="U754" s="1088">
        <v>144</v>
      </c>
      <c r="V754" s="434">
        <f>PV_DATA[[#This Row],[QUANTITY]]*PV_DATA[[#This Row],[WATT]]/1000000</f>
        <v>7.4160000000000004E-2</v>
      </c>
      <c r="W754" s="435">
        <f>PV_DATA[[#This Row],[QUANTITY]]/PV_DATA[[#This Row],[Qty/Pallet]]</f>
        <v>4</v>
      </c>
      <c r="X754" s="1084">
        <v>0.18</v>
      </c>
      <c r="Y754" s="430" t="s">
        <v>2460</v>
      </c>
      <c r="Z754" s="430" t="str">
        <f t="shared" si="8"/>
        <v>COMPLETED</v>
      </c>
      <c r="AA754" s="430" t="s">
        <v>5559</v>
      </c>
      <c r="AB754" s="437">
        <v>46220</v>
      </c>
      <c r="AC754" s="485">
        <f>IF(PV_DATA[[#This Row],[Pick- Up Date]]&lt;&gt;"",_xlfn.ISOWEEKNUM(PV_DATA[[#This Row],[Pick- Up Date]]),"")</f>
        <v>29</v>
      </c>
      <c r="AD754" s="430" t="s">
        <v>5560</v>
      </c>
      <c r="AE754" s="430"/>
      <c r="AF754" s="430" t="s">
        <v>122</v>
      </c>
      <c r="AG754" s="430" t="s">
        <v>123</v>
      </c>
      <c r="AH754" s="430" t="s">
        <v>124</v>
      </c>
      <c r="AI754" s="437">
        <v>46229</v>
      </c>
      <c r="AJ754" s="437">
        <v>46233</v>
      </c>
      <c r="AK754" s="437">
        <v>46233</v>
      </c>
      <c r="AL754" s="968">
        <v>46268</v>
      </c>
      <c r="AM754" s="1189">
        <f>IFERROR(VLOOKUP(AT754, Vessel!A:H, 8, FALSE), "")</f>
        <v>46280.541666666664</v>
      </c>
      <c r="AN754" s="586">
        <v>46280.541666666664</v>
      </c>
      <c r="AP754" s="430" t="s">
        <v>5551</v>
      </c>
      <c r="AQ754" s="430" t="s">
        <v>80</v>
      </c>
      <c r="AR754" s="430" t="s">
        <v>5561</v>
      </c>
      <c r="AS754" s="430" t="s">
        <v>5562</v>
      </c>
      <c r="AT754" s="430" t="s">
        <v>5562</v>
      </c>
      <c r="AU7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V754" s="437"/>
      <c r="AW754" s="437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7">
        <f>IF(ISERROR(PV_DATA[[#This Row],[New Ark PO status]]),"",_xlfn.XLOOKUP(PV_DATA[[#This Row],[SPTN-PVHK New Ark PO'#]],New_Ark_Data[Purchase order Number],New_Ark_Data[Estimated time of arrival],"",0))</f>
        <v>46294</v>
      </c>
      <c r="AZ754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7">
        <f>IFERROR(PV_DATA[[#This Row],[ODP ETA Port]]+PV_DATA[[#This Row],[Customs/Leg3 Assumption]],"n/a")</f>
        <v>46289.541666666664</v>
      </c>
      <c r="BB754" s="433">
        <f>YEAR(PV_DATA[[#This Row],[ETA for New Ark update]])</f>
        <v>2026</v>
      </c>
      <c r="BC754" s="430">
        <f>MONTH(PV_DATA[[#This Row],[ETA for New Ark update]])</f>
        <v>9</v>
      </c>
      <c r="BD754" s="430">
        <f>IFERROR(_xlfn.ISOWEEKNUM(PV_DATA[[#This Row],[ETA for New Ark update]]),0)</f>
        <v>39</v>
      </c>
      <c r="BE754" s="430">
        <f>_xlfn.XLOOKUP(PV_DATA[[#This Row],[New Ark SKU]],Table9[New Ark SKU],Table9[Total PCS per Pallet],,0)</f>
        <v>36</v>
      </c>
      <c r="BF754" s="430">
        <f>_xlfn.XLOOKUP(PV_DATA[[#This Row],[New Ark SKU]],Table9[New Ark SKU],Table9[Total PCS per 40HQ Container],,0)</f>
        <v>792</v>
      </c>
      <c r="BG754" s="430" t="str">
        <f>_xlfn.XLOOKUP(PV_DATA[[#This Row],[New Ark SKU]],Table9[New Ark SKU],Table9[Back Glass],,0)</f>
        <v>Black glazing</v>
      </c>
      <c r="BH754" s="430" t="str">
        <f>_xlfn.XLOOKUP(PV_DATA[[#This Row],[PORT DESTINATION]],Table12[PORT DESTINATION],Table12[Cosco Line],,0)</f>
        <v>AEM</v>
      </c>
      <c r="BJ754" s="430"/>
    </row>
    <row r="755" spans="1:62" ht="10.5">
      <c r="A755" s="462" t="s">
        <v>5563</v>
      </c>
      <c r="B755" s="462" t="s">
        <v>111</v>
      </c>
      <c r="C755" s="462" t="str">
        <f>IFERROR(LEFT(PV_DATA[[#This Row],[TCL REFERENCE]],FIND(".",PV_DATA[[#This Row],[TCL REFERENCE]],1)-1),"Main Line")</f>
        <v>26Jul002</v>
      </c>
      <c r="D755" s="462" t="s">
        <v>63</v>
      </c>
      <c r="E755" s="462" t="s">
        <v>64</v>
      </c>
      <c r="F755" s="462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2" t="s">
        <v>402</v>
      </c>
      <c r="H755" s="462" t="s">
        <v>115</v>
      </c>
      <c r="I755" s="462" t="s">
        <v>689</v>
      </c>
      <c r="J755" s="430" t="s">
        <v>96</v>
      </c>
      <c r="K755" s="430"/>
      <c r="L755" s="430"/>
      <c r="M755" s="430" t="s">
        <v>68</v>
      </c>
      <c r="N755" s="432">
        <v>46209</v>
      </c>
      <c r="O755" s="430" t="s">
        <v>550</v>
      </c>
      <c r="P755" s="430" t="s">
        <v>2134</v>
      </c>
      <c r="Q755" s="430" t="s">
        <v>2135</v>
      </c>
      <c r="R755" s="430" t="str">
        <f>_xlfn.XLOOKUP(PV_DATA[[#This Row],[New Ark SKU]],Table9[New Ark SKU],Table9[Connector],,0)</f>
        <v>EVO2A</v>
      </c>
      <c r="S755" s="433" t="str">
        <f>_xlfn.XLOOKUP(PV_DATA[[#This Row],[New Ark SKU]],Table9[New Ark SKU],Table9[Cable],,0)</f>
        <v>±1350mm</v>
      </c>
      <c r="T755" s="433">
        <v>515</v>
      </c>
      <c r="U755" s="1088">
        <f>792*3-144</f>
        <v>2232</v>
      </c>
      <c r="V755" s="434">
        <f>PV_DATA[[#This Row],[QUANTITY]]*PV_DATA[[#This Row],[WATT]]/1000000</f>
        <v>1.1494800000000001</v>
      </c>
      <c r="W755" s="435">
        <f>PV_DATA[[#This Row],[QUANTITY]]/PV_DATA[[#This Row],[Qty/Pallet]]</f>
        <v>62</v>
      </c>
      <c r="X755" s="1084">
        <f>PV_DATA[[#This Row],[QUANTITY]]/PV_DATA[[#This Row],[Qty/CT]]</f>
        <v>2.8181818181818183</v>
      </c>
      <c r="Y755" s="430" t="s">
        <v>2460</v>
      </c>
      <c r="Z755" s="430" t="str">
        <f t="shared" ref="Z755:Z818" si="9">IF(AN755&lt;&gt;"","COMPLETED",IF(AK755&lt;&gt;"","IN-TRANSIT",""))</f>
        <v>COMPLETED</v>
      </c>
      <c r="AA755" s="430" t="s">
        <v>5559</v>
      </c>
      <c r="AB755" s="437">
        <v>46220</v>
      </c>
      <c r="AC755" s="485">
        <f>IF(PV_DATA[[#This Row],[Pick- Up Date]]&lt;&gt;"",_xlfn.ISOWEEKNUM(PV_DATA[[#This Row],[Pick- Up Date]]),"")</f>
        <v>29</v>
      </c>
      <c r="AD755" s="430" t="s">
        <v>5564</v>
      </c>
      <c r="AE755" s="430"/>
      <c r="AF755" s="430" t="s">
        <v>122</v>
      </c>
      <c r="AG755" s="430" t="s">
        <v>123</v>
      </c>
      <c r="AH755" s="430" t="s">
        <v>124</v>
      </c>
      <c r="AI755" s="437">
        <v>46229</v>
      </c>
      <c r="AJ755" s="437">
        <v>46233</v>
      </c>
      <c r="AK755" s="437">
        <v>46233</v>
      </c>
      <c r="AL755" s="968">
        <v>46268</v>
      </c>
      <c r="AM755" s="1189">
        <f>IFERROR(VLOOKUP(AT755, Vessel!A:H, 8, FALSE), "")</f>
        <v>46280.541666666664</v>
      </c>
      <c r="AN755" s="586">
        <v>46280.541666666664</v>
      </c>
      <c r="AP755" s="430" t="s">
        <v>5551</v>
      </c>
      <c r="AQ755" s="438" t="s">
        <v>80</v>
      </c>
      <c r="AR755" s="430" t="s">
        <v>5561</v>
      </c>
      <c r="AS755" s="430" t="s">
        <v>5562</v>
      </c>
      <c r="AT755" s="430" t="s">
        <v>5562</v>
      </c>
      <c r="AU7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5" s="437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7">
        <f>IF(ISERROR(PV_DATA[[#This Row],[New Ark PO status]]),"",_xlfn.XLOOKUP(PV_DATA[[#This Row],[SPTN-PVHK New Ark PO'#]],New_Ark_Data[Purchase order Number],New_Ark_Data[Estimated time of arrival],"",0))</f>
        <v>46294</v>
      </c>
      <c r="AZ755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7">
        <f>IFERROR(PV_DATA[[#This Row],[ODP ETA Port]]+PV_DATA[[#This Row],[Customs/Leg3 Assumption]],"n/a")</f>
        <v>46289.541666666664</v>
      </c>
      <c r="BB755" s="433">
        <f>YEAR(PV_DATA[[#This Row],[ETA for New Ark update]])</f>
        <v>2026</v>
      </c>
      <c r="BC755" s="430">
        <f>MONTH(PV_DATA[[#This Row],[ETA for New Ark update]])</f>
        <v>9</v>
      </c>
      <c r="BD755" s="430">
        <f>IFERROR(_xlfn.ISOWEEKNUM(PV_DATA[[#This Row],[ETA for New Ark update]]),0)</f>
        <v>39</v>
      </c>
      <c r="BE755" s="430">
        <f>_xlfn.XLOOKUP(PV_DATA[[#This Row],[New Ark SKU]],Table9[New Ark SKU],Table9[Total PCS per Pallet],,0)</f>
        <v>36</v>
      </c>
      <c r="BF755" s="430">
        <f>_xlfn.XLOOKUP(PV_DATA[[#This Row],[New Ark SKU]],Table9[New Ark SKU],Table9[Total PCS per 40HQ Container],,0)</f>
        <v>792</v>
      </c>
      <c r="BG755" s="430" t="str">
        <f>_xlfn.XLOOKUP(PV_DATA[[#This Row],[New Ark SKU]],Table9[New Ark SKU],Table9[Back Glass],,0)</f>
        <v>Black glazing</v>
      </c>
      <c r="BH755" s="430" t="str">
        <f>_xlfn.XLOOKUP(PV_DATA[[#This Row],[PORT DESTINATION]],Table12[PORT DESTINATION],Table12[Cosco Line],,0)</f>
        <v>AEM</v>
      </c>
      <c r="BJ755" s="430"/>
    </row>
    <row r="756" spans="1:62" s="463" customFormat="1" ht="10.5">
      <c r="A756" s="462" t="s">
        <v>5565</v>
      </c>
      <c r="B756" s="462" t="s">
        <v>61</v>
      </c>
      <c r="C756" s="462" t="str">
        <f>IFERROR(LEFT(PV_DATA[[#This Row],[TCL REFERENCE]],FIND(".",PV_DATA[[#This Row],[TCL REFERENCE]],1)-1),"Main Line")</f>
        <v>26Jun014</v>
      </c>
      <c r="D756" s="462" t="s">
        <v>63</v>
      </c>
      <c r="E756" s="462" t="s">
        <v>64</v>
      </c>
      <c r="F756" s="462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2" t="s">
        <v>402</v>
      </c>
      <c r="H756" s="462" t="s">
        <v>67</v>
      </c>
      <c r="I756" s="462" t="s">
        <v>882</v>
      </c>
      <c r="J756" s="430" t="s">
        <v>96</v>
      </c>
      <c r="K756" s="430"/>
      <c r="L756" s="430"/>
      <c r="M756" s="430" t="s">
        <v>68</v>
      </c>
      <c r="N756" s="432">
        <v>46209</v>
      </c>
      <c r="O756" s="430" t="s">
        <v>4531</v>
      </c>
      <c r="P756" s="430" t="s">
        <v>691</v>
      </c>
      <c r="Q756" s="430" t="s">
        <v>692</v>
      </c>
      <c r="R756" s="430" t="str">
        <f>_xlfn.XLOOKUP(PV_DATA[[#This Row],[New Ark SKU]],Table9[New Ark SKU],Table9[Connector],,0)</f>
        <v>EVO2A</v>
      </c>
      <c r="S756" s="433" t="str">
        <f>_xlfn.XLOOKUP(PV_DATA[[#This Row],[New Ark SKU]],Table9[New Ark SKU],Table9[Cable],,0)</f>
        <v>±1200mm</v>
      </c>
      <c r="T756" s="433">
        <v>505</v>
      </c>
      <c r="U756" s="1088">
        <v>3456</v>
      </c>
      <c r="V756" s="434">
        <f>PV_DATA[[#This Row],[QUANTITY]]*PV_DATA[[#This Row],[WATT]]/1000000</f>
        <v>1.7452799999999999</v>
      </c>
      <c r="W756" s="435">
        <f>PV_DATA[[#This Row],[QUANTITY]]/PV_DATA[[#This Row],[Qty/Pallet]]</f>
        <v>96</v>
      </c>
      <c r="X756" s="1040">
        <f>PV_DATA[[#This Row],[QUANTITY]]/PV_DATA[[#This Row],[Qty/CT]]</f>
        <v>4</v>
      </c>
      <c r="Y756" s="430" t="s">
        <v>2460</v>
      </c>
      <c r="Z756" s="430" t="str">
        <f t="shared" si="9"/>
        <v>IN-TRANSIT</v>
      </c>
      <c r="AA756" s="430"/>
      <c r="AB756" s="543">
        <v>46216</v>
      </c>
      <c r="AC756" s="485">
        <f>IF(PV_DATA[[#This Row],[Pick- Up Date]]&lt;&gt;"",_xlfn.ISOWEEKNUM(PV_DATA[[#This Row],[Pick- Up Date]]),"")</f>
        <v>29</v>
      </c>
      <c r="AD756" s="430" t="s">
        <v>5566</v>
      </c>
      <c r="AE756" s="430"/>
      <c r="AF756" s="430" t="s">
        <v>61</v>
      </c>
      <c r="AG756" s="430" t="s">
        <v>61</v>
      </c>
      <c r="AH756" s="430" t="s">
        <v>78</v>
      </c>
      <c r="AI756" s="437">
        <v>46222.458333333336</v>
      </c>
      <c r="AJ756" s="437">
        <v>46225</v>
      </c>
      <c r="AK756" s="437">
        <v>46225</v>
      </c>
      <c r="AL756" s="437">
        <v>46293</v>
      </c>
      <c r="AM756" s="586">
        <f>IFERROR(VLOOKUP(AT756, Vessel!A:H, 8, FALSE), "")</f>
        <v>46316.916666666664</v>
      </c>
      <c r="AN756" s="586" t="str">
        <f>IFERROR(IF(VLOOKUP(AT756,Vessel!A:I,9,FALSE)=0,"",VLOOKUP(AT756,Vessel!A:I,9,FALSE)),"")</f>
        <v/>
      </c>
      <c r="AO756" s="430"/>
      <c r="AP756" s="430" t="s">
        <v>5567</v>
      </c>
      <c r="AQ756" s="430" t="s">
        <v>80</v>
      </c>
      <c r="AR756" s="462" t="s">
        <v>5568</v>
      </c>
      <c r="AS756" s="462" t="s">
        <v>5569</v>
      </c>
      <c r="AT756" s="462" t="s">
        <v>5569</v>
      </c>
      <c r="AU7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91.916666666664241</v>
      </c>
      <c r="AV756" s="437"/>
      <c r="AW756" s="437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46316.916666666664</v>
      </c>
      <c r="AX7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7">
        <f>IF(ISERROR(PV_DATA[[#This Row],[New Ark PO status]]),"",_xlfn.XLOOKUP(PV_DATA[[#This Row],[SPTN-PVHK New Ark PO'#]],New_Ark_Data[Purchase order Number],New_Ark_Data[Estimated time of arrival],"",0))</f>
        <v>46314</v>
      </c>
      <c r="AZ75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7">
        <f>IFERROR(PV_DATA[[#This Row],[ODP ETA Port]]+PV_DATA[[#This Row],[Customs/Leg3 Assumption]],"n/a")</f>
        <v>46324.916666666664</v>
      </c>
      <c r="BB756" s="433">
        <f>YEAR(PV_DATA[[#This Row],[ETA for New Ark update]])</f>
        <v>2026</v>
      </c>
      <c r="BC756" s="430">
        <f>MONTH(PV_DATA[[#This Row],[ETA for New Ark update]])</f>
        <v>10</v>
      </c>
      <c r="BD756" s="430">
        <f>IFERROR(_xlfn.ISOWEEKNUM(PV_DATA[[#This Row],[ETA for New Ark update]]),0)</f>
        <v>44</v>
      </c>
      <c r="BE756" s="430">
        <f>_xlfn.XLOOKUP(PV_DATA[[#This Row],[New Ark SKU]],Table9[New Ark SKU],Table9[Total PCS per Pallet],,0)</f>
        <v>36</v>
      </c>
      <c r="BF756" s="430">
        <f>_xlfn.XLOOKUP(PV_DATA[[#This Row],[New Ark SKU]],Table9[New Ark SKU],Table9[Total PCS per 40HQ Container],,0)</f>
        <v>864</v>
      </c>
      <c r="BG756" s="430" t="str">
        <f>_xlfn.XLOOKUP(PV_DATA[[#This Row],[New Ark SKU]],Table9[New Ark SKU],Table9[Back Glass],,0)</f>
        <v>Black glazing</v>
      </c>
      <c r="BH756" s="430" t="str">
        <f>_xlfn.XLOOKUP(PV_DATA[[#This Row],[PORT DESTINATION]],Table12[PORT DESTINATION],Table12[Cosco Line],,0)</f>
        <v>AEM</v>
      </c>
    </row>
    <row r="757" spans="1:62" s="463" customFormat="1" ht="10.5">
      <c r="A757" s="462" t="s">
        <v>5570</v>
      </c>
      <c r="B757" s="462" t="s">
        <v>61</v>
      </c>
      <c r="C757" s="462" t="str">
        <f>IFERROR(LEFT(PV_DATA[[#This Row],[TCL REFERENCE]],FIND(".",PV_DATA[[#This Row],[TCL REFERENCE]],1)-1),"Main Line")</f>
        <v>26Jun014</v>
      </c>
      <c r="D757" s="462" t="s">
        <v>63</v>
      </c>
      <c r="E757" s="462" t="s">
        <v>64</v>
      </c>
      <c r="F757" s="462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2" t="s">
        <v>402</v>
      </c>
      <c r="H757" s="462" t="s">
        <v>67</v>
      </c>
      <c r="I757" s="462" t="s">
        <v>882</v>
      </c>
      <c r="J757" s="430" t="s">
        <v>96</v>
      </c>
      <c r="K757" s="430"/>
      <c r="L757" s="430"/>
      <c r="M757" s="430" t="s">
        <v>68</v>
      </c>
      <c r="N757" s="432">
        <v>46209</v>
      </c>
      <c r="O757" s="430" t="s">
        <v>4531</v>
      </c>
      <c r="P757" s="430" t="s">
        <v>691</v>
      </c>
      <c r="Q757" s="430" t="s">
        <v>692</v>
      </c>
      <c r="R757" s="430" t="str">
        <f>_xlfn.XLOOKUP(PV_DATA[[#This Row],[New Ark SKU]],Table9[New Ark SKU],Table9[Connector],,0)</f>
        <v>EVO2A</v>
      </c>
      <c r="S757" s="433" t="str">
        <f>_xlfn.XLOOKUP(PV_DATA[[#This Row],[New Ark SKU]],Table9[New Ark SKU],Table9[Cable],,0)</f>
        <v>±1200mm</v>
      </c>
      <c r="T757" s="433">
        <v>505</v>
      </c>
      <c r="U757" s="1088">
        <v>864</v>
      </c>
      <c r="V757" s="434">
        <f>PV_DATA[[#This Row],[QUANTITY]]*PV_DATA[[#This Row],[WATT]]/1000000</f>
        <v>0.43631999999999999</v>
      </c>
      <c r="W757" s="435">
        <f>PV_DATA[[#This Row],[QUANTITY]]/PV_DATA[[#This Row],[Qty/Pallet]]</f>
        <v>24</v>
      </c>
      <c r="X757" s="1040">
        <f>PV_DATA[[#This Row],[QUANTITY]]/PV_DATA[[#This Row],[Qty/CT]]</f>
        <v>1</v>
      </c>
      <c r="Y757" s="430" t="s">
        <v>2460</v>
      </c>
      <c r="Z757" s="430" t="str">
        <f t="shared" si="9"/>
        <v>COMPLETED</v>
      </c>
      <c r="AA757" s="430"/>
      <c r="AB757" s="543">
        <v>46216</v>
      </c>
      <c r="AC757" s="485">
        <f>IF(PV_DATA[[#This Row],[Pick- Up Date]]&lt;&gt;"",_xlfn.ISOWEEKNUM(PV_DATA[[#This Row],[Pick- Up Date]]),"")</f>
        <v>29</v>
      </c>
      <c r="AD757" s="430" t="s">
        <v>5571</v>
      </c>
      <c r="AE757" s="430"/>
      <c r="AF757" s="430" t="s">
        <v>61</v>
      </c>
      <c r="AG757" s="430" t="s">
        <v>61</v>
      </c>
      <c r="AH757" s="430" t="s">
        <v>78</v>
      </c>
      <c r="AI757" s="437">
        <v>46222.458333333336</v>
      </c>
      <c r="AJ757" s="437">
        <v>46225</v>
      </c>
      <c r="AK757" s="437">
        <v>46225</v>
      </c>
      <c r="AL757" s="437">
        <v>46288</v>
      </c>
      <c r="AM757" s="586">
        <f>IFERROR(VLOOKUP(AT757, Vessel!A:H, 8, FALSE), "")</f>
        <v>46290.25</v>
      </c>
      <c r="AN757" s="586">
        <f>IFERROR(IF(VLOOKUP(AT757,Vessel!A:I,9,FALSE)=0,"",VLOOKUP(AT757,Vessel!A:I,9,FALSE)),"")</f>
        <v>46290.232800925929</v>
      </c>
      <c r="AO757" s="430"/>
      <c r="AP757" s="430" t="s">
        <v>5567</v>
      </c>
      <c r="AQ757" s="430" t="s">
        <v>80</v>
      </c>
      <c r="AR757" s="430" t="s">
        <v>5572</v>
      </c>
      <c r="AS757" s="430" t="s">
        <v>5573</v>
      </c>
      <c r="AT757" s="430" t="s">
        <v>5573</v>
      </c>
      <c r="AU7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65.232800925929041</v>
      </c>
      <c r="AV757" s="437"/>
      <c r="AW757" s="437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7">
        <f>IF(ISERROR(PV_DATA[[#This Row],[New Ark PO status]]),"",_xlfn.XLOOKUP(PV_DATA[[#This Row],[SPTN-PVHK New Ark PO'#]],New_Ark_Data[Purchase order Number],New_Ark_Data[Estimated time of arrival],"",0))</f>
        <v>46314</v>
      </c>
      <c r="AZ75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7">
        <f>IFERROR(PV_DATA[[#This Row],[ODP ETA Port]]+PV_DATA[[#This Row],[Customs/Leg3 Assumption]],"n/a")</f>
        <v>46298.232800925929</v>
      </c>
      <c r="BB757" s="433">
        <f>YEAR(PV_DATA[[#This Row],[ETA for New Ark update]])</f>
        <v>2026</v>
      </c>
      <c r="BC757" s="430">
        <f>MONTH(PV_DATA[[#This Row],[ETA for New Ark update]])</f>
        <v>10</v>
      </c>
      <c r="BD757" s="430">
        <f>IFERROR(_xlfn.ISOWEEKNUM(PV_DATA[[#This Row],[ETA for New Ark update]]),0)</f>
        <v>40</v>
      </c>
      <c r="BE757" s="430">
        <f>_xlfn.XLOOKUP(PV_DATA[[#This Row],[New Ark SKU]],Table9[New Ark SKU],Table9[Total PCS per Pallet],,0)</f>
        <v>36</v>
      </c>
      <c r="BF757" s="430">
        <f>_xlfn.XLOOKUP(PV_DATA[[#This Row],[New Ark SKU]],Table9[New Ark SKU],Table9[Total PCS per 40HQ Container],,0)</f>
        <v>864</v>
      </c>
      <c r="BG757" s="430" t="str">
        <f>_xlfn.XLOOKUP(PV_DATA[[#This Row],[New Ark SKU]],Table9[New Ark SKU],Table9[Back Glass],,0)</f>
        <v>Black glazing</v>
      </c>
      <c r="BH757" s="430" t="str">
        <f>_xlfn.XLOOKUP(PV_DATA[[#This Row],[PORT DESTINATION]],Table12[PORT DESTINATION],Table12[Cosco Line],,0)</f>
        <v>AEM</v>
      </c>
    </row>
    <row r="758" spans="1:62" ht="10.5">
      <c r="A758" s="462" t="s">
        <v>5574</v>
      </c>
      <c r="B758" s="462" t="s">
        <v>61</v>
      </c>
      <c r="C758" s="462" t="str">
        <f>IFERROR(LEFT(PV_DATA[[#This Row],[TCL REFERENCE]],FIND(".",PV_DATA[[#This Row],[TCL REFERENCE]],1)-1),"Main Line")</f>
        <v>26Jun014</v>
      </c>
      <c r="D758" s="462" t="s">
        <v>63</v>
      </c>
      <c r="E758" s="462" t="s">
        <v>64</v>
      </c>
      <c r="F758" s="462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2" t="s">
        <v>402</v>
      </c>
      <c r="H758" s="462" t="s">
        <v>67</v>
      </c>
      <c r="I758" s="462" t="s">
        <v>882</v>
      </c>
      <c r="J758" s="430" t="s">
        <v>96</v>
      </c>
      <c r="K758" s="430"/>
      <c r="L758" s="430"/>
      <c r="M758" s="430" t="s">
        <v>68</v>
      </c>
      <c r="N758" s="432">
        <v>46209</v>
      </c>
      <c r="O758" s="430" t="s">
        <v>4531</v>
      </c>
      <c r="P758" s="430" t="s">
        <v>691</v>
      </c>
      <c r="Q758" s="430" t="s">
        <v>692</v>
      </c>
      <c r="R758" s="430" t="str">
        <f>_xlfn.XLOOKUP(PV_DATA[[#This Row],[New Ark SKU]],Table9[New Ark SKU],Table9[Connector],,0)</f>
        <v>EVO2A</v>
      </c>
      <c r="S758" s="433" t="str">
        <f>_xlfn.XLOOKUP(PV_DATA[[#This Row],[New Ark SKU]],Table9[New Ark SKU],Table9[Cable],,0)</f>
        <v>±1200mm</v>
      </c>
      <c r="T758" s="433">
        <v>505</v>
      </c>
      <c r="U758" s="1088">
        <v>864</v>
      </c>
      <c r="V758" s="434">
        <f>PV_DATA[[#This Row],[QUANTITY]]*PV_DATA[[#This Row],[WATT]]/1000000</f>
        <v>0.43631999999999999</v>
      </c>
      <c r="W758" s="435">
        <f>PV_DATA[[#This Row],[QUANTITY]]/PV_DATA[[#This Row],[Qty/Pallet]]</f>
        <v>24</v>
      </c>
      <c r="X758" s="1040">
        <f>PV_DATA[[#This Row],[QUANTITY]]/PV_DATA[[#This Row],[Qty/CT]]</f>
        <v>1</v>
      </c>
      <c r="Y758" s="430" t="s">
        <v>2460</v>
      </c>
      <c r="Z758" s="430" t="str">
        <f t="shared" si="9"/>
        <v>COMPLETED</v>
      </c>
      <c r="AA758" s="430"/>
      <c r="AB758" s="437">
        <v>46216</v>
      </c>
      <c r="AC758" s="485">
        <f>IF(PV_DATA[[#This Row],[Pick- Up Date]]&lt;&gt;"",_xlfn.ISOWEEKNUM(PV_DATA[[#This Row],[Pick- Up Date]]),"")</f>
        <v>29</v>
      </c>
      <c r="AD758" s="430" t="s">
        <v>5575</v>
      </c>
      <c r="AE758" s="430"/>
      <c r="AF758" s="430" t="s">
        <v>61</v>
      </c>
      <c r="AG758" s="430" t="s">
        <v>61</v>
      </c>
      <c r="AH758" s="430" t="s">
        <v>78</v>
      </c>
      <c r="AI758" s="437">
        <v>46222</v>
      </c>
      <c r="AJ758" s="437">
        <v>46225</v>
      </c>
      <c r="AK758" s="437">
        <v>46225</v>
      </c>
      <c r="AL758" s="437">
        <v>46288</v>
      </c>
      <c r="AM758" s="586">
        <f>IFERROR(VLOOKUP(AT758, Vessel!A:H, 8, FALSE), "")</f>
        <v>46290.25</v>
      </c>
      <c r="AN758" s="586">
        <f>IFERROR(IF(VLOOKUP(AT758,Vessel!A:I,9,FALSE)=0,"",VLOOKUP(AT758,Vessel!A:I,9,FALSE)),"")</f>
        <v>46290.232800925929</v>
      </c>
      <c r="AP758" s="430" t="s">
        <v>5567</v>
      </c>
      <c r="AQ758" s="430" t="s">
        <v>80</v>
      </c>
      <c r="AR758" s="430" t="s">
        <v>5572</v>
      </c>
      <c r="AS758" s="430" t="s">
        <v>5573</v>
      </c>
      <c r="AT758" s="430" t="s">
        <v>5573</v>
      </c>
      <c r="AU7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65.232800925929041</v>
      </c>
      <c r="AV758" s="437"/>
      <c r="AW758" s="437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7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7">
        <f>IF(ISERROR(PV_DATA[[#This Row],[New Ark PO status]]),"",_xlfn.XLOOKUP(PV_DATA[[#This Row],[SPTN-PVHK New Ark PO'#]],New_Ark_Data[Purchase order Number],New_Ark_Data[Estimated time of arrival],"",0))</f>
        <v>46314</v>
      </c>
      <c r="AZ75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7">
        <f>IFERROR(PV_DATA[[#This Row],[ODP ETA Port]]+PV_DATA[[#This Row],[Customs/Leg3 Assumption]],"n/a")</f>
        <v>46298.232800925929</v>
      </c>
      <c r="BB758" s="433">
        <f>YEAR(PV_DATA[[#This Row],[ETA for New Ark update]])</f>
        <v>2026</v>
      </c>
      <c r="BC758" s="430">
        <f>MONTH(PV_DATA[[#This Row],[ETA for New Ark update]])</f>
        <v>10</v>
      </c>
      <c r="BD758" s="430">
        <f>IFERROR(_xlfn.ISOWEEKNUM(PV_DATA[[#This Row],[ETA for New Ark update]]),0)</f>
        <v>40</v>
      </c>
      <c r="BE758" s="430">
        <f>_xlfn.XLOOKUP(PV_DATA[[#This Row],[New Ark SKU]],Table9[New Ark SKU],Table9[Total PCS per Pallet],,0)</f>
        <v>36</v>
      </c>
      <c r="BF758" s="430">
        <f>_xlfn.XLOOKUP(PV_DATA[[#This Row],[New Ark SKU]],Table9[New Ark SKU],Table9[Total PCS per 40HQ Container],,0)</f>
        <v>864</v>
      </c>
      <c r="BG758" s="430" t="str">
        <f>_xlfn.XLOOKUP(PV_DATA[[#This Row],[New Ark SKU]],Table9[New Ark SKU],Table9[Back Glass],,0)</f>
        <v>Black glazing</v>
      </c>
      <c r="BH758" s="430" t="str">
        <f>_xlfn.XLOOKUP(PV_DATA[[#This Row],[PORT DESTINATION]],Table12[PORT DESTINATION],Table12[Cosco Line],,0)</f>
        <v>AEM</v>
      </c>
      <c r="BJ758" s="430"/>
    </row>
    <row r="759" spans="1:62" ht="10.5">
      <c r="A759" s="462" t="s">
        <v>5576</v>
      </c>
      <c r="B759" s="462" t="s">
        <v>61</v>
      </c>
      <c r="C759" s="462" t="str">
        <f>IFERROR(LEFT(PV_DATA[[#This Row],[TCL REFERENCE]],FIND(".",PV_DATA[[#This Row],[TCL REFERENCE]],1)-1),"Main Line")</f>
        <v>26Jun009</v>
      </c>
      <c r="D759" s="462" t="s">
        <v>63</v>
      </c>
      <c r="E759" s="462" t="s">
        <v>64</v>
      </c>
      <c r="F759" s="462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2" t="s">
        <v>402</v>
      </c>
      <c r="H759" s="462" t="s">
        <v>67</v>
      </c>
      <c r="I759" s="462" t="s">
        <v>882</v>
      </c>
      <c r="J759" s="430" t="s">
        <v>96</v>
      </c>
      <c r="K759" s="430"/>
      <c r="L759" s="430"/>
      <c r="M759" s="430" t="s">
        <v>68</v>
      </c>
      <c r="N759" s="432">
        <v>46188</v>
      </c>
      <c r="O759" s="430" t="s">
        <v>4531</v>
      </c>
      <c r="P759" s="430" t="s">
        <v>195</v>
      </c>
      <c r="Q759" s="430" t="s">
        <v>196</v>
      </c>
      <c r="R759" s="430" t="str">
        <f>_xlfn.XLOOKUP(PV_DATA[[#This Row],[New Ark SKU]],Table9[New Ark SKU],Table9[Connector],,0)</f>
        <v>EVO2A</v>
      </c>
      <c r="S759" s="433" t="str">
        <f>_xlfn.XLOOKUP(PV_DATA[[#This Row],[New Ark SKU]],Table9[New Ark SKU],Table9[Cable],,0)</f>
        <v>±1200mm</v>
      </c>
      <c r="T759" s="433">
        <v>450</v>
      </c>
      <c r="U759" s="1088">
        <v>2808</v>
      </c>
      <c r="V759" s="434">
        <f>PV_DATA[[#This Row],[QUANTITY]]*PV_DATA[[#This Row],[WATT]]/1000000</f>
        <v>1.2636000000000001</v>
      </c>
      <c r="W759" s="435">
        <f>PV_DATA[[#This Row],[QUANTITY]]/PV_DATA[[#This Row],[Qty/Pallet]]</f>
        <v>78</v>
      </c>
      <c r="X759" s="1040">
        <f>PV_DATA[[#This Row],[QUANTITY]]/PV_DATA[[#This Row],[Qty/CT]]</f>
        <v>3</v>
      </c>
      <c r="Y759" s="430" t="s">
        <v>2458</v>
      </c>
      <c r="Z759" s="430" t="str">
        <f t="shared" si="9"/>
        <v>COMPLETED</v>
      </c>
      <c r="AA759" s="430"/>
      <c r="AB759" s="437">
        <v>46216</v>
      </c>
      <c r="AC759" s="485">
        <f>IF(PV_DATA[[#This Row],[Pick- Up Date]]&lt;&gt;"",_xlfn.ISOWEEKNUM(PV_DATA[[#This Row],[Pick- Up Date]]),"")</f>
        <v>29</v>
      </c>
      <c r="AD759" s="430" t="s">
        <v>5577</v>
      </c>
      <c r="AE759" s="430"/>
      <c r="AF759" s="430" t="s">
        <v>61</v>
      </c>
      <c r="AG759" s="430" t="s">
        <v>61</v>
      </c>
      <c r="AH759" s="430" t="s">
        <v>105</v>
      </c>
      <c r="AI759" s="437">
        <v>46222</v>
      </c>
      <c r="AJ759" s="437">
        <v>46225</v>
      </c>
      <c r="AK759" s="437">
        <v>46225</v>
      </c>
      <c r="AL759" s="437">
        <v>46266</v>
      </c>
      <c r="AM759" s="586">
        <f>IFERROR(VLOOKUP(AT759, Vessel!A:H, 8, FALSE), "")</f>
        <v>46270.645833333336</v>
      </c>
      <c r="AN759" s="586">
        <f>IFERROR(IF(VLOOKUP(AT759,Vessel!A:I,9,FALSE)=0,"",VLOOKUP(AT759,Vessel!A:I,9,FALSE)),"")</f>
        <v>46270.66238425926</v>
      </c>
      <c r="AP759" s="430" t="s">
        <v>5567</v>
      </c>
      <c r="AQ759" s="430" t="s">
        <v>80</v>
      </c>
      <c r="AR759" s="430" t="s">
        <v>5578</v>
      </c>
      <c r="AS759" s="430" t="s">
        <v>5579</v>
      </c>
      <c r="AT759" s="430" t="s">
        <v>5579</v>
      </c>
      <c r="AU7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59" s="437"/>
      <c r="AW759" s="437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7">
        <f>IF(ISERROR(PV_DATA[[#This Row],[New Ark PO status]]),"",_xlfn.XLOOKUP(PV_DATA[[#This Row],[SPTN-PVHK New Ark PO'#]],New_Ark_Data[Purchase order Number],New_Ark_Data[Estimated time of arrival],"",0))</f>
        <v>46283</v>
      </c>
      <c r="AZ75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7">
        <f>IFERROR(PV_DATA[[#This Row],[ODP ETA Port]]+PV_DATA[[#This Row],[Customs/Leg3 Assumption]],"n/a")</f>
        <v>46277.66238425926</v>
      </c>
      <c r="BB759" s="433">
        <f>YEAR(PV_DATA[[#This Row],[ETA for New Ark update]])</f>
        <v>2026</v>
      </c>
      <c r="BC759" s="430">
        <f>MONTH(PV_DATA[[#This Row],[ETA for New Ark update]])</f>
        <v>9</v>
      </c>
      <c r="BD759" s="430">
        <f>IFERROR(_xlfn.ISOWEEKNUM(PV_DATA[[#This Row],[ETA for New Ark update]]),0)</f>
        <v>37</v>
      </c>
      <c r="BE759" s="430">
        <f>_xlfn.XLOOKUP(PV_DATA[[#This Row],[New Ark SKU]],Table9[New Ark SKU],Table9[Total PCS per Pallet],,0)</f>
        <v>36</v>
      </c>
      <c r="BF759" s="430">
        <f>_xlfn.XLOOKUP(PV_DATA[[#This Row],[New Ark SKU]],Table9[New Ark SKU],Table9[Total PCS per 40HQ Container],,0)</f>
        <v>936</v>
      </c>
      <c r="BG759" s="430" t="str">
        <f>_xlfn.XLOOKUP(PV_DATA[[#This Row],[New Ark SKU]],Table9[New Ark SKU],Table9[Back Glass],,0)</f>
        <v>Black glazing</v>
      </c>
      <c r="BH759" s="430" t="str">
        <f>_xlfn.XLOOKUP(PV_DATA[[#This Row],[PORT DESTINATION]],Table12[PORT DESTINATION],Table12[Cosco Line],,0)</f>
        <v>AEU</v>
      </c>
      <c r="BJ759" s="430"/>
    </row>
    <row r="760" spans="1:62" ht="10.5">
      <c r="A760" s="462" t="s">
        <v>5580</v>
      </c>
      <c r="B760" s="462" t="s">
        <v>61</v>
      </c>
      <c r="C760" s="462" t="str">
        <f>IFERROR(LEFT(PV_DATA[[#This Row],[TCL REFERENCE]],FIND(".",PV_DATA[[#This Row],[TCL REFERENCE]],1)-1),"Main Line")</f>
        <v>26Jun009</v>
      </c>
      <c r="D760" s="462" t="s">
        <v>63</v>
      </c>
      <c r="E760" s="462" t="s">
        <v>64</v>
      </c>
      <c r="F760" s="462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2" t="s">
        <v>402</v>
      </c>
      <c r="H760" s="462" t="s">
        <v>67</v>
      </c>
      <c r="I760" s="462" t="s">
        <v>689</v>
      </c>
      <c r="J760" s="430" t="s">
        <v>96</v>
      </c>
      <c r="K760" s="430"/>
      <c r="L760" s="430"/>
      <c r="M760" s="430" t="s">
        <v>68</v>
      </c>
      <c r="N760" s="432">
        <v>46188</v>
      </c>
      <c r="O760" s="430" t="s">
        <v>4531</v>
      </c>
      <c r="P760" s="430" t="s">
        <v>195</v>
      </c>
      <c r="Q760" s="430" t="s">
        <v>196</v>
      </c>
      <c r="R760" s="430" t="str">
        <f>_xlfn.XLOOKUP(PV_DATA[[#This Row],[New Ark SKU]],Table9[New Ark SKU],Table9[Connector],,0)</f>
        <v>EVO2A</v>
      </c>
      <c r="S760" s="433" t="str">
        <f>_xlfn.XLOOKUP(PV_DATA[[#This Row],[New Ark SKU]],Table9[New Ark SKU],Table9[Cable],,0)</f>
        <v>±1200mm</v>
      </c>
      <c r="T760" s="433">
        <v>450</v>
      </c>
      <c r="U760" s="1088">
        <v>936</v>
      </c>
      <c r="V760" s="434">
        <f>PV_DATA[[#This Row],[QUANTITY]]*PV_DATA[[#This Row],[WATT]]/1000000</f>
        <v>0.42120000000000002</v>
      </c>
      <c r="W760" s="435">
        <f>PV_DATA[[#This Row],[QUANTITY]]/PV_DATA[[#This Row],[Qty/Pallet]]</f>
        <v>26</v>
      </c>
      <c r="X760" s="1040">
        <f>PV_DATA[[#This Row],[QUANTITY]]/PV_DATA[[#This Row],[Qty/CT]]</f>
        <v>1</v>
      </c>
      <c r="Y760" s="430" t="s">
        <v>2459</v>
      </c>
      <c r="Z760" s="430" t="str">
        <f t="shared" si="9"/>
        <v>COMPLETED</v>
      </c>
      <c r="AA760" s="430"/>
      <c r="AB760" s="437">
        <v>46216</v>
      </c>
      <c r="AC760" s="485">
        <f>IF(PV_DATA[[#This Row],[Pick- Up Date]]&lt;&gt;"",_xlfn.ISOWEEKNUM(PV_DATA[[#This Row],[Pick- Up Date]]),"")</f>
        <v>29</v>
      </c>
      <c r="AD760" s="430" t="s">
        <v>5581</v>
      </c>
      <c r="AE760" s="430"/>
      <c r="AF760" s="430" t="s">
        <v>61</v>
      </c>
      <c r="AG760" s="430" t="s">
        <v>61</v>
      </c>
      <c r="AH760" s="430" t="s">
        <v>105</v>
      </c>
      <c r="AI760" s="437">
        <v>46222</v>
      </c>
      <c r="AJ760" s="437">
        <v>46225</v>
      </c>
      <c r="AK760" s="437">
        <v>46225</v>
      </c>
      <c r="AL760" s="437">
        <v>46266</v>
      </c>
      <c r="AM760" s="586">
        <f>IFERROR(VLOOKUP(AT760, Vessel!A:H, 8, FALSE), "")</f>
        <v>46270.645833333336</v>
      </c>
      <c r="AN760" s="586">
        <f>IFERROR(IF(VLOOKUP(AT760,Vessel!A:I,9,FALSE)=0,"",VLOOKUP(AT760,Vessel!A:I,9,FALSE)),"")</f>
        <v>46270.66238425926</v>
      </c>
      <c r="AP760" s="430" t="s">
        <v>5567</v>
      </c>
      <c r="AQ760" s="430" t="s">
        <v>80</v>
      </c>
      <c r="AR760" s="430" t="s">
        <v>5578</v>
      </c>
      <c r="AS760" s="430" t="s">
        <v>5579</v>
      </c>
      <c r="AT760" s="430" t="s">
        <v>5579</v>
      </c>
      <c r="AU7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60" s="437"/>
      <c r="AW760" s="437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7">
        <f>IF(ISERROR(PV_DATA[[#This Row],[New Ark PO status]]),"",_xlfn.XLOOKUP(PV_DATA[[#This Row],[SPTN-PVHK New Ark PO'#]],New_Ark_Data[Purchase order Number],New_Ark_Data[Estimated time of arrival],"",0))</f>
        <v>46283</v>
      </c>
      <c r="AZ76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7">
        <f>IFERROR(PV_DATA[[#This Row],[ODP ETA Port]]+PV_DATA[[#This Row],[Customs/Leg3 Assumption]],"n/a")</f>
        <v>46277.66238425926</v>
      </c>
      <c r="BB760" s="433">
        <f>YEAR(PV_DATA[[#This Row],[ETA for New Ark update]])</f>
        <v>2026</v>
      </c>
      <c r="BC760" s="430">
        <f>MONTH(PV_DATA[[#This Row],[ETA for New Ark update]])</f>
        <v>9</v>
      </c>
      <c r="BD760" s="430">
        <f>IFERROR(_xlfn.ISOWEEKNUM(PV_DATA[[#This Row],[ETA for New Ark update]]),0)</f>
        <v>37</v>
      </c>
      <c r="BE760" s="430">
        <f>_xlfn.XLOOKUP(PV_DATA[[#This Row],[New Ark SKU]],Table9[New Ark SKU],Table9[Total PCS per Pallet],,0)</f>
        <v>36</v>
      </c>
      <c r="BF760" s="430">
        <f>_xlfn.XLOOKUP(PV_DATA[[#This Row],[New Ark SKU]],Table9[New Ark SKU],Table9[Total PCS per 40HQ Container],,0)</f>
        <v>936</v>
      </c>
      <c r="BG760" s="430" t="str">
        <f>_xlfn.XLOOKUP(PV_DATA[[#This Row],[New Ark SKU]],Table9[New Ark SKU],Table9[Back Glass],,0)</f>
        <v>Black glazing</v>
      </c>
      <c r="BH760" s="430" t="str">
        <f>_xlfn.XLOOKUP(PV_DATA[[#This Row],[PORT DESTINATION]],Table12[PORT DESTINATION],Table12[Cosco Line],,0)</f>
        <v>AEU</v>
      </c>
      <c r="BJ760" s="430"/>
    </row>
    <row r="761" spans="1:62" s="463" customFormat="1" ht="10.5">
      <c r="A761" s="462" t="s">
        <v>5582</v>
      </c>
      <c r="B761" s="462" t="s">
        <v>61</v>
      </c>
      <c r="C761" s="462" t="str">
        <f>IFERROR(LEFT(PV_DATA[[#This Row],[TCL REFERENCE]],FIND(".",PV_DATA[[#This Row],[TCL REFERENCE]],1)-1),"Main Line")</f>
        <v>26Jul011</v>
      </c>
      <c r="D761" s="462" t="s">
        <v>63</v>
      </c>
      <c r="E761" s="462" t="s">
        <v>64</v>
      </c>
      <c r="F761" s="462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2" t="s">
        <v>402</v>
      </c>
      <c r="H761" s="462" t="s">
        <v>311</v>
      </c>
      <c r="I761" s="462" t="s">
        <v>689</v>
      </c>
      <c r="J761" s="430" t="s">
        <v>96</v>
      </c>
      <c r="K761" s="430"/>
      <c r="L761" s="430"/>
      <c r="M761" s="430" t="s">
        <v>68</v>
      </c>
      <c r="N761" s="432">
        <v>46202</v>
      </c>
      <c r="O761" s="430" t="s">
        <v>284</v>
      </c>
      <c r="P761" s="430" t="s">
        <v>5583</v>
      </c>
      <c r="Q761" s="430" t="s">
        <v>1570</v>
      </c>
      <c r="R761" s="430" t="str">
        <f>_xlfn.XLOOKUP(PV_DATA[[#This Row],[New Ark SKU]],Table9[New Ark SKU],Table9[Connector],,0)</f>
        <v>H4(Com)</v>
      </c>
      <c r="S761" s="433" t="str">
        <f>_xlfn.XLOOKUP(PV_DATA[[#This Row],[New Ark SKU]],Table9[New Ark SKU],Table9[Cable],,0)</f>
        <v>±1400mm</v>
      </c>
      <c r="T761" s="433">
        <v>650</v>
      </c>
      <c r="U761" s="1088">
        <f>720*1</f>
        <v>720</v>
      </c>
      <c r="V761" s="434">
        <f>PV_DATA[[#This Row],[QUANTITY]]*PV_DATA[[#This Row],[WATT]]/1000000</f>
        <v>0.46800000000000003</v>
      </c>
      <c r="W761" s="435">
        <f>PV_DATA[[#This Row],[QUANTITY]]/PV_DATA[[#This Row],[Qty/Pallet]]</f>
        <v>20</v>
      </c>
      <c r="X761" s="1040">
        <f>PV_DATA[[#This Row],[QUANTITY]]/PV_DATA[[#This Row],[Qty/CT]]</f>
        <v>1</v>
      </c>
      <c r="Y761" s="430" t="s">
        <v>2460</v>
      </c>
      <c r="Z761" s="430" t="str">
        <f t="shared" si="9"/>
        <v>COMPLETED</v>
      </c>
      <c r="AA761" s="430" t="s">
        <v>5497</v>
      </c>
      <c r="AB761" s="437">
        <v>46217</v>
      </c>
      <c r="AC761" s="485">
        <f>IF(PV_DATA[[#This Row],[Pick- Up Date]]&lt;&gt;"",_xlfn.ISOWEEKNUM(PV_DATA[[#This Row],[Pick- Up Date]]),"")</f>
        <v>29</v>
      </c>
      <c r="AD761" s="430" t="s">
        <v>5584</v>
      </c>
      <c r="AE761" s="430"/>
      <c r="AF761" s="430" t="s">
        <v>61</v>
      </c>
      <c r="AG761" s="430" t="s">
        <v>61</v>
      </c>
      <c r="AH761" s="430" t="s">
        <v>1561</v>
      </c>
      <c r="AI761" s="437">
        <v>46222.458333333336</v>
      </c>
      <c r="AJ761" s="437">
        <v>46225</v>
      </c>
      <c r="AK761" s="437">
        <v>46225</v>
      </c>
      <c r="AL761" s="437">
        <v>46271</v>
      </c>
      <c r="AM761" s="586">
        <f>IFERROR(VLOOKUP(AT761, Vessel!A:H, 8, FALSE), "")</f>
        <v>46300.75</v>
      </c>
      <c r="AN761" s="586">
        <v>46299</v>
      </c>
      <c r="AO761" s="430"/>
      <c r="AP761" s="430" t="s">
        <v>5567</v>
      </c>
      <c r="AQ761" s="430" t="s">
        <v>80</v>
      </c>
      <c r="AR761" s="430" t="s">
        <v>5585</v>
      </c>
      <c r="AS761" s="430" t="s">
        <v>5586</v>
      </c>
      <c r="AT761" s="430" t="s">
        <v>5586</v>
      </c>
      <c r="AU7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761" s="430"/>
      <c r="AW761" s="437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7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7">
        <f>IF(ISERROR(PV_DATA[[#This Row],[New Ark PO status]]),"",_xlfn.XLOOKUP(PV_DATA[[#This Row],[SPTN-PVHK New Ark PO'#]],New_Ark_Data[Purchase order Number],New_Ark_Data[Estimated time of arrival],"",0))</f>
        <v>46304</v>
      </c>
      <c r="AZ76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61" s="437">
        <f>IFERROR(PV_DATA[[#This Row],[ODP ETA Port]]+PV_DATA[[#This Row],[Customs/Leg3 Assumption]],"n/a")</f>
        <v>46309</v>
      </c>
      <c r="BB761" s="433">
        <f>YEAR(PV_DATA[[#This Row],[ETA for New Ark update]])</f>
        <v>2026</v>
      </c>
      <c r="BC761" s="430">
        <f>MONTH(PV_DATA[[#This Row],[ETA for New Ark update]])</f>
        <v>10</v>
      </c>
      <c r="BD761" s="430">
        <f>IFERROR(_xlfn.ISOWEEKNUM(PV_DATA[[#This Row],[ETA for New Ark update]]),0)</f>
        <v>42</v>
      </c>
      <c r="BE761" s="430">
        <f>_xlfn.XLOOKUP(PV_DATA[[#This Row],[New Ark SKU]],Table9[New Ark SKU],Table9[Total PCS per Pallet],,0)</f>
        <v>36</v>
      </c>
      <c r="BF761" s="430">
        <f>_xlfn.XLOOKUP(PV_DATA[[#This Row],[New Ark SKU]],Table9[New Ark SKU],Table9[Total PCS per 40HQ Container],,0)</f>
        <v>720</v>
      </c>
      <c r="BG761" s="430" t="str">
        <f>_xlfn.XLOOKUP(PV_DATA[[#This Row],[New Ark SKU]],Table9[New Ark SKU],Table9[Back Glass],,0)</f>
        <v>White glazing</v>
      </c>
      <c r="BH761" s="430" t="str">
        <f>_xlfn.XLOOKUP(PV_DATA[[#This Row],[PORT DESTINATION]],Table12[PORT DESTINATION],Table12[Cosco Line],,0)</f>
        <v>AEM</v>
      </c>
    </row>
    <row r="762" spans="1:62" ht="10.5">
      <c r="A762" s="462" t="s">
        <v>5587</v>
      </c>
      <c r="B762" s="462" t="s">
        <v>1757</v>
      </c>
      <c r="C762" s="462" t="str">
        <f>IFERROR(LEFT(PV_DATA[[#This Row],[TCL REFERENCE]],FIND(".",PV_DATA[[#This Row],[TCL REFERENCE]],1)-1),"Main Line")</f>
        <v>26Jun012</v>
      </c>
      <c r="D762" s="462" t="s">
        <v>63</v>
      </c>
      <c r="E762" s="462" t="s">
        <v>64</v>
      </c>
      <c r="F762" s="462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2" t="s">
        <v>402</v>
      </c>
      <c r="H762" s="462" t="s">
        <v>67</v>
      </c>
      <c r="I762" s="462" t="s">
        <v>1395</v>
      </c>
      <c r="J762" s="430" t="s">
        <v>96</v>
      </c>
      <c r="K762" s="430"/>
      <c r="L762" s="430"/>
      <c r="M762" s="430" t="s">
        <v>68</v>
      </c>
      <c r="N762" s="432">
        <v>46195</v>
      </c>
      <c r="O762" s="430" t="s">
        <v>4531</v>
      </c>
      <c r="P762" s="430" t="s">
        <v>1151</v>
      </c>
      <c r="Q762" s="430" t="s">
        <v>421</v>
      </c>
      <c r="R762" s="430" t="str">
        <f>_xlfn.XLOOKUP(PV_DATA[[#This Row],[New Ark SKU]],Table9[New Ark SKU],Table9[Connector],,0)</f>
        <v>EVO2A</v>
      </c>
      <c r="S762" s="433" t="str">
        <f>_xlfn.XLOOKUP(PV_DATA[[#This Row],[New Ark SKU]],Table9[New Ark SKU],Table9[Cable],,0)</f>
        <v>±1200mm</v>
      </c>
      <c r="T762" s="433">
        <v>505</v>
      </c>
      <c r="U762" s="1088">
        <v>1728</v>
      </c>
      <c r="V762" s="434">
        <f>PV_DATA[[#This Row],[QUANTITY]]*PV_DATA[[#This Row],[WATT]]/1000000</f>
        <v>0.87263999999999997</v>
      </c>
      <c r="W762" s="435">
        <f>PV_DATA[[#This Row],[QUANTITY]]/PV_DATA[[#This Row],[Qty/Pallet]]</f>
        <v>48</v>
      </c>
      <c r="X762" s="1040">
        <f>PV_DATA[[#This Row],[QUANTITY]]/PV_DATA[[#This Row],[Qty/CT]]</f>
        <v>2</v>
      </c>
      <c r="Y762" s="430" t="s">
        <v>2460</v>
      </c>
      <c r="Z762" s="430" t="str">
        <f t="shared" si="9"/>
        <v>COMPLETED</v>
      </c>
      <c r="AA762" s="430"/>
      <c r="AB762" s="437">
        <v>46224</v>
      </c>
      <c r="AC762" s="485">
        <f>IF(PV_DATA[[#This Row],[Pick- Up Date]]&lt;&gt;"",_xlfn.ISOWEEKNUM(PV_DATA[[#This Row],[Pick- Up Date]]),"")</f>
        <v>30</v>
      </c>
      <c r="AD762" s="430" t="s">
        <v>5588</v>
      </c>
      <c r="AE762" s="430"/>
      <c r="AF762" s="459" t="s">
        <v>5034</v>
      </c>
      <c r="AG762" s="459" t="s">
        <v>123</v>
      </c>
      <c r="AH762" s="430" t="s">
        <v>105</v>
      </c>
      <c r="AI762" s="437">
        <v>46232</v>
      </c>
      <c r="AJ762" s="437">
        <v>46231</v>
      </c>
      <c r="AK762" s="437">
        <v>46231</v>
      </c>
      <c r="AL762" s="437">
        <v>46277</v>
      </c>
      <c r="AM762" s="586">
        <v>46266</v>
      </c>
      <c r="AN762" s="586">
        <v>46265</v>
      </c>
      <c r="AP762" s="430" t="s">
        <v>5589</v>
      </c>
      <c r="AQ762" s="430" t="s">
        <v>80</v>
      </c>
      <c r="AR762" s="430" t="s">
        <v>5590</v>
      </c>
      <c r="AS762" s="430" t="s">
        <v>5591</v>
      </c>
      <c r="AT762" s="430" t="s">
        <v>5591</v>
      </c>
      <c r="AU7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2" s="437"/>
      <c r="AW762" s="437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7">
        <f>IF(ISERROR(PV_DATA[[#This Row],[New Ark PO status]]),"",_xlfn.XLOOKUP(PV_DATA[[#This Row],[SPTN-PVHK New Ark PO'#]],New_Ark_Data[Purchase order Number],New_Ark_Data[Estimated time of arrival],"",0))</f>
        <v>46279</v>
      </c>
      <c r="AZ76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7">
        <f>IFERROR(PV_DATA[[#This Row],[ODP ETA Port]]+PV_DATA[[#This Row],[Customs/Leg3 Assumption]],"n/a")</f>
        <v>46272</v>
      </c>
      <c r="BB762" s="433">
        <f>YEAR(PV_DATA[[#This Row],[ETA for New Ark update]])</f>
        <v>2026</v>
      </c>
      <c r="BC762" s="430">
        <f>MONTH(PV_DATA[[#This Row],[ETA for New Ark update]])</f>
        <v>9</v>
      </c>
      <c r="BD762" s="430">
        <f>IFERROR(_xlfn.ISOWEEKNUM(PV_DATA[[#This Row],[ETA for New Ark update]]),0)</f>
        <v>37</v>
      </c>
      <c r="BE762" s="430">
        <f>_xlfn.XLOOKUP(PV_DATA[[#This Row],[New Ark SKU]],Table9[New Ark SKU],Table9[Total PCS per Pallet],,0)</f>
        <v>36</v>
      </c>
      <c r="BF762" s="430">
        <f>_xlfn.XLOOKUP(PV_DATA[[#This Row],[New Ark SKU]],Table9[New Ark SKU],Table9[Total PCS per 40HQ Container],,0)</f>
        <v>864</v>
      </c>
      <c r="BG762" s="430" t="str">
        <f>_xlfn.XLOOKUP(PV_DATA[[#This Row],[New Ark SKU]],Table9[New Ark SKU],Table9[Back Glass],,0)</f>
        <v>Black glazing</v>
      </c>
      <c r="BH762" s="610" t="str">
        <f>_xlfn.XLOOKUP(PV_DATA[[#This Row],[PORT DESTINATION]],Table12[PORT DESTINATION],Table12[Cosco Line],,0)</f>
        <v>AEU</v>
      </c>
      <c r="BJ762" s="430"/>
    </row>
    <row r="763" spans="1:62" ht="10.5">
      <c r="A763" s="462" t="s">
        <v>5592</v>
      </c>
      <c r="B763" s="462" t="s">
        <v>1757</v>
      </c>
      <c r="C763" s="462" t="str">
        <f>IFERROR(LEFT(PV_DATA[[#This Row],[TCL REFERENCE]],FIND(".",PV_DATA[[#This Row],[TCL REFERENCE]],1)-1),"Main Line")</f>
        <v>26Jun012</v>
      </c>
      <c r="D763" s="462" t="s">
        <v>63</v>
      </c>
      <c r="E763" s="462" t="s">
        <v>64</v>
      </c>
      <c r="F763" s="462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2" t="s">
        <v>402</v>
      </c>
      <c r="H763" s="462" t="s">
        <v>67</v>
      </c>
      <c r="I763" s="462" t="s">
        <v>869</v>
      </c>
      <c r="J763" s="430" t="s">
        <v>96</v>
      </c>
      <c r="K763" s="430"/>
      <c r="L763" s="430"/>
      <c r="M763" s="430" t="s">
        <v>68</v>
      </c>
      <c r="N763" s="432">
        <v>46195</v>
      </c>
      <c r="O763" s="430" t="s">
        <v>4531</v>
      </c>
      <c r="P763" s="430" t="s">
        <v>1151</v>
      </c>
      <c r="Q763" s="430" t="s">
        <v>421</v>
      </c>
      <c r="R763" s="430" t="str">
        <f>_xlfn.XLOOKUP(PV_DATA[[#This Row],[New Ark SKU]],Table9[New Ark SKU],Table9[Connector],,0)</f>
        <v>EVO2A</v>
      </c>
      <c r="S763" s="433" t="str">
        <f>_xlfn.XLOOKUP(PV_DATA[[#This Row],[New Ark SKU]],Table9[New Ark SKU],Table9[Cable],,0)</f>
        <v>±1200mm</v>
      </c>
      <c r="T763" s="433">
        <v>505</v>
      </c>
      <c r="U763" s="1088">
        <v>1728</v>
      </c>
      <c r="V763" s="434">
        <f>PV_DATA[[#This Row],[QUANTITY]]*PV_DATA[[#This Row],[WATT]]/1000000</f>
        <v>0.87263999999999997</v>
      </c>
      <c r="W763" s="435">
        <f>PV_DATA[[#This Row],[QUANTITY]]/PV_DATA[[#This Row],[Qty/Pallet]]</f>
        <v>48</v>
      </c>
      <c r="X763" s="1040">
        <f>PV_DATA[[#This Row],[QUANTITY]]/PV_DATA[[#This Row],[Qty/CT]]</f>
        <v>2</v>
      </c>
      <c r="Y763" s="430" t="s">
        <v>2460</v>
      </c>
      <c r="Z763" s="430" t="str">
        <f t="shared" si="9"/>
        <v>COMPLETED</v>
      </c>
      <c r="AA763" s="430"/>
      <c r="AB763" s="437">
        <v>46224</v>
      </c>
      <c r="AC763" s="485">
        <f>IF(PV_DATA[[#This Row],[Pick- Up Date]]&lt;&gt;"",_xlfn.ISOWEEKNUM(PV_DATA[[#This Row],[Pick- Up Date]]),"")</f>
        <v>30</v>
      </c>
      <c r="AD763" s="430" t="s">
        <v>5593</v>
      </c>
      <c r="AE763" s="430"/>
      <c r="AF763" s="459" t="s">
        <v>5034</v>
      </c>
      <c r="AG763" s="459" t="s">
        <v>123</v>
      </c>
      <c r="AH763" s="430" t="s">
        <v>105</v>
      </c>
      <c r="AI763" s="437">
        <v>46232</v>
      </c>
      <c r="AJ763" s="437">
        <v>46231</v>
      </c>
      <c r="AK763" s="437">
        <v>46231</v>
      </c>
      <c r="AL763" s="437">
        <v>46277</v>
      </c>
      <c r="AM763" s="586">
        <v>46266</v>
      </c>
      <c r="AN763" s="586">
        <v>46265</v>
      </c>
      <c r="AP763" s="430" t="s">
        <v>5589</v>
      </c>
      <c r="AQ763" s="430" t="s">
        <v>80</v>
      </c>
      <c r="AR763" s="430" t="s">
        <v>5590</v>
      </c>
      <c r="AS763" s="430" t="s">
        <v>5591</v>
      </c>
      <c r="AT763" s="430" t="s">
        <v>5591</v>
      </c>
      <c r="AU7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3" s="437"/>
      <c r="AW763" s="437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7">
        <f>IF(ISERROR(PV_DATA[[#This Row],[New Ark PO status]]),"",_xlfn.XLOOKUP(PV_DATA[[#This Row],[SPTN-PVHK New Ark PO'#]],New_Ark_Data[Purchase order Number],New_Ark_Data[Estimated time of arrival],"",0))</f>
        <v>46279</v>
      </c>
      <c r="AZ76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7">
        <f>IFERROR(PV_DATA[[#This Row],[ODP ETA Port]]+PV_DATA[[#This Row],[Customs/Leg3 Assumption]],"n/a")</f>
        <v>46272</v>
      </c>
      <c r="BB763" s="433">
        <f>YEAR(PV_DATA[[#This Row],[ETA for New Ark update]])</f>
        <v>2026</v>
      </c>
      <c r="BC763" s="430">
        <f>MONTH(PV_DATA[[#This Row],[ETA for New Ark update]])</f>
        <v>9</v>
      </c>
      <c r="BD763" s="430">
        <f>IFERROR(_xlfn.ISOWEEKNUM(PV_DATA[[#This Row],[ETA for New Ark update]]),0)</f>
        <v>37</v>
      </c>
      <c r="BE763" s="430">
        <f>_xlfn.XLOOKUP(PV_DATA[[#This Row],[New Ark SKU]],Table9[New Ark SKU],Table9[Total PCS per Pallet],,0)</f>
        <v>36</v>
      </c>
      <c r="BF763" s="430">
        <f>_xlfn.XLOOKUP(PV_DATA[[#This Row],[New Ark SKU]],Table9[New Ark SKU],Table9[Total PCS per 40HQ Container],,0)</f>
        <v>864</v>
      </c>
      <c r="BG763" s="430" t="str">
        <f>_xlfn.XLOOKUP(PV_DATA[[#This Row],[New Ark SKU]],Table9[New Ark SKU],Table9[Back Glass],,0)</f>
        <v>Black glazing</v>
      </c>
      <c r="BH763" s="610" t="str">
        <f>_xlfn.XLOOKUP(PV_DATA[[#This Row],[PORT DESTINATION]],Table12[PORT DESTINATION],Table12[Cosco Line],,0)</f>
        <v>AEU</v>
      </c>
      <c r="BJ763" s="430"/>
    </row>
    <row r="764" spans="1:62" ht="10.5">
      <c r="A764" s="462" t="s">
        <v>5594</v>
      </c>
      <c r="B764" s="462" t="s">
        <v>1757</v>
      </c>
      <c r="C764" s="462" t="str">
        <f>IFERROR(LEFT(PV_DATA[[#This Row],[TCL REFERENCE]],FIND(".",PV_DATA[[#This Row],[TCL REFERENCE]],1)-1),"Main Line")</f>
        <v>26Jun012</v>
      </c>
      <c r="D764" s="462" t="s">
        <v>63</v>
      </c>
      <c r="E764" s="462" t="s">
        <v>64</v>
      </c>
      <c r="F764" s="462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2" t="s">
        <v>402</v>
      </c>
      <c r="H764" s="462" t="s">
        <v>67</v>
      </c>
      <c r="I764" s="462" t="s">
        <v>869</v>
      </c>
      <c r="J764" s="430" t="s">
        <v>96</v>
      </c>
      <c r="K764" s="430"/>
      <c r="L764" s="430"/>
      <c r="M764" s="430" t="s">
        <v>68</v>
      </c>
      <c r="N764" s="432">
        <v>46195</v>
      </c>
      <c r="O764" s="430" t="s">
        <v>4531</v>
      </c>
      <c r="P764" s="430" t="s">
        <v>1151</v>
      </c>
      <c r="Q764" s="430" t="s">
        <v>421</v>
      </c>
      <c r="R764" s="430" t="str">
        <f>_xlfn.XLOOKUP(PV_DATA[[#This Row],[New Ark SKU]],Table9[New Ark SKU],Table9[Connector],,0)</f>
        <v>EVO2A</v>
      </c>
      <c r="S764" s="433" t="str">
        <f>_xlfn.XLOOKUP(PV_DATA[[#This Row],[New Ark SKU]],Table9[New Ark SKU],Table9[Cable],,0)</f>
        <v>±1200mm</v>
      </c>
      <c r="T764" s="433">
        <v>505</v>
      </c>
      <c r="U764" s="1088">
        <v>3456</v>
      </c>
      <c r="V764" s="434">
        <f>PV_DATA[[#This Row],[QUANTITY]]*PV_DATA[[#This Row],[WATT]]/1000000</f>
        <v>1.7452799999999999</v>
      </c>
      <c r="W764" s="435">
        <f>PV_DATA[[#This Row],[QUANTITY]]/PV_DATA[[#This Row],[Qty/Pallet]]</f>
        <v>96</v>
      </c>
      <c r="X764" s="1040">
        <f>PV_DATA[[#This Row],[QUANTITY]]/PV_DATA[[#This Row],[Qty/CT]]</f>
        <v>4</v>
      </c>
      <c r="Y764" s="430" t="s">
        <v>2460</v>
      </c>
      <c r="Z764" s="430" t="str">
        <f t="shared" si="9"/>
        <v>COMPLETED</v>
      </c>
      <c r="AA764" s="430"/>
      <c r="AB764" s="437">
        <v>46226</v>
      </c>
      <c r="AC764" s="485">
        <f>IF(PV_DATA[[#This Row],[Pick- Up Date]]&lt;&gt;"",_xlfn.ISOWEEKNUM(PV_DATA[[#This Row],[Pick- Up Date]]),"")</f>
        <v>30</v>
      </c>
      <c r="AD764" s="430" t="s">
        <v>5595</v>
      </c>
      <c r="AE764" s="430"/>
      <c r="AF764" s="459" t="s">
        <v>5034</v>
      </c>
      <c r="AG764" s="459" t="s">
        <v>123</v>
      </c>
      <c r="AH764" s="430" t="s">
        <v>105</v>
      </c>
      <c r="AI764" s="437">
        <v>46232</v>
      </c>
      <c r="AJ764" s="437">
        <v>46231</v>
      </c>
      <c r="AK764" s="437">
        <v>46231</v>
      </c>
      <c r="AL764" s="437">
        <v>46277</v>
      </c>
      <c r="AM764" s="586">
        <v>46266</v>
      </c>
      <c r="AN764" s="586">
        <v>46265</v>
      </c>
      <c r="AP764" s="430" t="s">
        <v>5589</v>
      </c>
      <c r="AQ764" s="430" t="s">
        <v>80</v>
      </c>
      <c r="AR764" s="430" t="s">
        <v>5590</v>
      </c>
      <c r="AS764" s="430" t="s">
        <v>5591</v>
      </c>
      <c r="AT764" s="430" t="s">
        <v>5591</v>
      </c>
      <c r="AU7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4" s="437"/>
      <c r="AW764" s="437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7">
        <f>IF(ISERROR(PV_DATA[[#This Row],[New Ark PO status]]),"",_xlfn.XLOOKUP(PV_DATA[[#This Row],[SPTN-PVHK New Ark PO'#]],New_Ark_Data[Purchase order Number],New_Ark_Data[Estimated time of arrival],"",0))</f>
        <v>46279</v>
      </c>
      <c r="AZ76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7">
        <f>IFERROR(PV_DATA[[#This Row],[ODP ETA Port]]+PV_DATA[[#This Row],[Customs/Leg3 Assumption]],"n/a")</f>
        <v>46272</v>
      </c>
      <c r="BB764" s="433">
        <f>YEAR(PV_DATA[[#This Row],[ETA for New Ark update]])</f>
        <v>2026</v>
      </c>
      <c r="BC764" s="430">
        <f>MONTH(PV_DATA[[#This Row],[ETA for New Ark update]])</f>
        <v>9</v>
      </c>
      <c r="BD764" s="430">
        <f>IFERROR(_xlfn.ISOWEEKNUM(PV_DATA[[#This Row],[ETA for New Ark update]]),0)</f>
        <v>37</v>
      </c>
      <c r="BE764" s="430">
        <f>_xlfn.XLOOKUP(PV_DATA[[#This Row],[New Ark SKU]],Table9[New Ark SKU],Table9[Total PCS per Pallet],,0)</f>
        <v>36</v>
      </c>
      <c r="BF764" s="430">
        <f>_xlfn.XLOOKUP(PV_DATA[[#This Row],[New Ark SKU]],Table9[New Ark SKU],Table9[Total PCS per 40HQ Container],,0)</f>
        <v>864</v>
      </c>
      <c r="BG764" s="430" t="str">
        <f>_xlfn.XLOOKUP(PV_DATA[[#This Row],[New Ark SKU]],Table9[New Ark SKU],Table9[Back Glass],,0)</f>
        <v>Black glazing</v>
      </c>
      <c r="BH764" s="430" t="str">
        <f>_xlfn.XLOOKUP(PV_DATA[[#This Row],[PORT DESTINATION]],Table12[PORT DESTINATION],Table12[Cosco Line],,0)</f>
        <v>AEU</v>
      </c>
      <c r="BJ764" s="430"/>
    </row>
    <row r="765" spans="1:62" ht="10.5">
      <c r="A765" s="462" t="s">
        <v>5596</v>
      </c>
      <c r="B765" s="462" t="s">
        <v>2132</v>
      </c>
      <c r="C765" s="462" t="str">
        <f>IFERROR(LEFT(PV_DATA[[#This Row],[TCL REFERENCE]],FIND(".",PV_DATA[[#This Row],[TCL REFERENCE]],1)-1),"Main Line")</f>
        <v>26Jun008</v>
      </c>
      <c r="D765" s="462" t="s">
        <v>63</v>
      </c>
      <c r="E765" s="462" t="s">
        <v>64</v>
      </c>
      <c r="F765" s="462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2" t="s">
        <v>402</v>
      </c>
      <c r="H765" s="462" t="s">
        <v>67</v>
      </c>
      <c r="I765" s="462" t="s">
        <v>882</v>
      </c>
      <c r="J765" s="430" t="s">
        <v>1047</v>
      </c>
      <c r="K765" s="430"/>
      <c r="L765" s="430"/>
      <c r="M765" s="430" t="s">
        <v>68</v>
      </c>
      <c r="N765" s="432">
        <v>46188</v>
      </c>
      <c r="O765" s="430" t="s">
        <v>4531</v>
      </c>
      <c r="P765" s="430" t="s">
        <v>5090</v>
      </c>
      <c r="Q765" s="430" t="s">
        <v>330</v>
      </c>
      <c r="R765" s="430" t="str">
        <f>_xlfn.XLOOKUP(PV_DATA[[#This Row],[New Ark SKU]],Table9[New Ark SKU],Table9[Connector],,0)</f>
        <v>H4(Com)</v>
      </c>
      <c r="S765" s="433" t="str">
        <f>_xlfn.XLOOKUP(PV_DATA[[#This Row],[New Ark SKU]],Table9[New Ark SKU],Table9[Cable],,0)</f>
        <v>±1400mm</v>
      </c>
      <c r="T765" s="433">
        <v>625</v>
      </c>
      <c r="U765" s="1088">
        <v>4320</v>
      </c>
      <c r="V765" s="434">
        <f>PV_DATA[[#This Row],[QUANTITY]]*PV_DATA[[#This Row],[WATT]]/1000000</f>
        <v>2.7</v>
      </c>
      <c r="W765" s="435">
        <f>PV_DATA[[#This Row],[QUANTITY]]/PV_DATA[[#This Row],[Qty/Pallet]]</f>
        <v>120</v>
      </c>
      <c r="X765" s="1040">
        <f>PV_DATA[[#This Row],[QUANTITY]]/PV_DATA[[#This Row],[Qty/CT]]</f>
        <v>6</v>
      </c>
      <c r="Y765" s="430" t="s">
        <v>2459</v>
      </c>
      <c r="Z765" s="430" t="str">
        <f t="shared" si="9"/>
        <v>COMPLETED</v>
      </c>
      <c r="AA765" s="430" t="s">
        <v>5597</v>
      </c>
      <c r="AB765" s="437">
        <v>46231</v>
      </c>
      <c r="AC765" s="485">
        <f>IF(PV_DATA[[#This Row],[Pick- Up Date]]&lt;&gt;"",_xlfn.ISOWEEKNUM(PV_DATA[[#This Row],[Pick- Up Date]]),"")</f>
        <v>31</v>
      </c>
      <c r="AD765" s="430" t="s">
        <v>5598</v>
      </c>
      <c r="AE765" s="430"/>
      <c r="AF765" s="430" t="s">
        <v>122</v>
      </c>
      <c r="AG765" s="430" t="s">
        <v>123</v>
      </c>
      <c r="AH765" s="430" t="s">
        <v>105</v>
      </c>
      <c r="AI765" s="437">
        <v>46236</v>
      </c>
      <c r="AJ765" s="437">
        <v>46241</v>
      </c>
      <c r="AK765" s="437">
        <v>46239</v>
      </c>
      <c r="AL765" s="437">
        <v>46273</v>
      </c>
      <c r="AM765" s="437">
        <v>46279.5</v>
      </c>
      <c r="AN765" s="437">
        <v>46284</v>
      </c>
      <c r="AP765" s="430" t="s">
        <v>5599</v>
      </c>
      <c r="AQ765" s="430" t="s">
        <v>161</v>
      </c>
      <c r="AR765" s="430" t="s">
        <v>5600</v>
      </c>
      <c r="AS765" s="430" t="s">
        <v>5601</v>
      </c>
      <c r="AT765" s="430" t="s">
        <v>5601</v>
      </c>
      <c r="AU7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5" s="437"/>
      <c r="AW765" s="437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7">
        <f>IF(ISERROR(PV_DATA[[#This Row],[New Ark PO status]]),"",_xlfn.XLOOKUP(PV_DATA[[#This Row],[SPTN-PVHK New Ark PO'#]],New_Ark_Data[Purchase order Number],New_Ark_Data[Estimated time of arrival],"",0))</f>
        <v>46287</v>
      </c>
      <c r="AZ76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7">
        <f>IFERROR(PV_DATA[[#This Row],[ODP ETA Port]]+PV_DATA[[#This Row],[Customs/Leg3 Assumption]],"n/a")</f>
        <v>46291</v>
      </c>
      <c r="BB765" s="433">
        <f>YEAR(PV_DATA[[#This Row],[ETA for New Ark update]])</f>
        <v>2026</v>
      </c>
      <c r="BC765" s="430">
        <f>MONTH(PV_DATA[[#This Row],[ETA for New Ark update]])</f>
        <v>9</v>
      </c>
      <c r="BD765" s="430">
        <f>IFERROR(_xlfn.ISOWEEKNUM(PV_DATA[[#This Row],[ETA for New Ark update]]),0)</f>
        <v>39</v>
      </c>
      <c r="BE765" s="430">
        <f>_xlfn.XLOOKUP(PV_DATA[[#This Row],[New Ark SKU]],Table9[New Ark SKU],Table9[Total PCS per Pallet],,0)</f>
        <v>36</v>
      </c>
      <c r="BF765" s="430">
        <f>_xlfn.XLOOKUP(PV_DATA[[#This Row],[New Ark SKU]],Table9[New Ark SKU],Table9[Total PCS per 40HQ Container],,0)</f>
        <v>720</v>
      </c>
      <c r="BG765" s="430" t="str">
        <f>_xlfn.XLOOKUP(PV_DATA[[#This Row],[New Ark SKU]],Table9[New Ark SKU],Table9[Back Glass],,0)</f>
        <v>Transparent</v>
      </c>
      <c r="BH765" s="430" t="str">
        <f>_xlfn.XLOOKUP(PV_DATA[[#This Row],[PORT DESTINATION]],Table12[PORT DESTINATION],Table12[Cosco Line],,0)</f>
        <v>AEU</v>
      </c>
      <c r="BJ765" s="430"/>
    </row>
    <row r="766" spans="1:62" ht="10.5">
      <c r="A766" s="462" t="s">
        <v>5602</v>
      </c>
      <c r="B766" s="462" t="s">
        <v>111</v>
      </c>
      <c r="C766" s="462" t="str">
        <f>IFERROR(LEFT(PV_DATA[[#This Row],[TCL REFERENCE]],FIND(".",PV_DATA[[#This Row],[TCL REFERENCE]],1)-1),"Main Line")</f>
        <v>26Jun015</v>
      </c>
      <c r="D766" s="462" t="s">
        <v>63</v>
      </c>
      <c r="E766" s="462" t="s">
        <v>64</v>
      </c>
      <c r="F766" s="462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2" t="s">
        <v>402</v>
      </c>
      <c r="H766" s="462" t="s">
        <v>67</v>
      </c>
      <c r="I766" s="462" t="s">
        <v>869</v>
      </c>
      <c r="J766" s="430" t="s">
        <v>96</v>
      </c>
      <c r="K766" s="430"/>
      <c r="L766" s="430"/>
      <c r="M766" s="430" t="s">
        <v>68</v>
      </c>
      <c r="N766" s="432">
        <v>46202</v>
      </c>
      <c r="O766" s="430" t="s">
        <v>5379</v>
      </c>
      <c r="P766" s="430" t="s">
        <v>5400</v>
      </c>
      <c r="Q766" s="430" t="s">
        <v>5401</v>
      </c>
      <c r="R766" s="430" t="str">
        <f>_xlfn.XLOOKUP(PV_DATA[[#This Row],[New Ark SKU]],Table9[New Ark SKU],Table9[Connector],,0)</f>
        <v>EVO2A</v>
      </c>
      <c r="S766" s="433" t="str">
        <f>_xlfn.XLOOKUP(PV_DATA[[#This Row],[New Ark SKU]],Table9[New Ark SKU],Table9[Cable],,0)</f>
        <v>±1200mm</v>
      </c>
      <c r="T766" s="433">
        <v>465</v>
      </c>
      <c r="U766" s="1088">
        <v>936</v>
      </c>
      <c r="V766" s="544">
        <f>PV_DATA[[#This Row],[QUANTITY]]*PV_DATA[[#This Row],[WATT]]/1000000</f>
        <v>0.43524000000000002</v>
      </c>
      <c r="W766" s="435">
        <f>PV_DATA[[#This Row],[QUANTITY]]/PV_DATA[[#This Row],[Qty/Pallet]]</f>
        <v>26</v>
      </c>
      <c r="X766" s="1040">
        <f>PV_DATA[[#This Row],[QUANTITY]]/PV_DATA[[#This Row],[Qty/CT]]</f>
        <v>1</v>
      </c>
      <c r="Y766" s="430" t="s">
        <v>2459</v>
      </c>
      <c r="Z766" s="430" t="str">
        <f t="shared" si="9"/>
        <v>COMPLETED</v>
      </c>
      <c r="AA766" s="430"/>
      <c r="AB766" s="437">
        <v>46231</v>
      </c>
      <c r="AC766" s="485">
        <f>IF(PV_DATA[[#This Row],[Pick- Up Date]]&lt;&gt;"",_xlfn.ISOWEEKNUM(PV_DATA[[#This Row],[Pick- Up Date]]),"")</f>
        <v>31</v>
      </c>
      <c r="AD766" s="430" t="s">
        <v>5603</v>
      </c>
      <c r="AE766" s="430"/>
      <c r="AF766" s="430" t="s">
        <v>122</v>
      </c>
      <c r="AG766" s="430" t="s">
        <v>123</v>
      </c>
      <c r="AH766" s="430" t="s">
        <v>105</v>
      </c>
      <c r="AI766" s="437">
        <v>46236</v>
      </c>
      <c r="AJ766" s="437">
        <v>46241</v>
      </c>
      <c r="AK766" s="437">
        <v>46239</v>
      </c>
      <c r="AL766" s="437">
        <v>46273</v>
      </c>
      <c r="AM766" s="437">
        <v>46279.5</v>
      </c>
      <c r="AN766" s="437">
        <v>46284</v>
      </c>
      <c r="AP766" s="430" t="s">
        <v>5599</v>
      </c>
      <c r="AQ766" s="430" t="s">
        <v>161</v>
      </c>
      <c r="AR766" s="430" t="s">
        <v>5600</v>
      </c>
      <c r="AS766" s="430" t="s">
        <v>5601</v>
      </c>
      <c r="AT766" s="430" t="s">
        <v>5601</v>
      </c>
      <c r="AU7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6" s="437"/>
      <c r="AW766" s="437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7">
        <f>IF(ISERROR(PV_DATA[[#This Row],[New Ark PO status]]),"",_xlfn.XLOOKUP(PV_DATA[[#This Row],[SPTN-PVHK New Ark PO'#]],New_Ark_Data[Purchase order Number],New_Ark_Data[Estimated time of arrival],"",0))</f>
        <v>46287</v>
      </c>
      <c r="AZ76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7">
        <f>IFERROR(PV_DATA[[#This Row],[ODP ETA Port]]+PV_DATA[[#This Row],[Customs/Leg3 Assumption]],"n/a")</f>
        <v>46291</v>
      </c>
      <c r="BB766" s="433">
        <f>YEAR(PV_DATA[[#This Row],[ETA for New Ark update]])</f>
        <v>2026</v>
      </c>
      <c r="BC766" s="430">
        <f>MONTH(PV_DATA[[#This Row],[ETA for New Ark update]])</f>
        <v>9</v>
      </c>
      <c r="BD766" s="430">
        <f>IFERROR(_xlfn.ISOWEEKNUM(PV_DATA[[#This Row],[ETA for New Ark update]]),0)</f>
        <v>39</v>
      </c>
      <c r="BE766" s="430">
        <f>_xlfn.XLOOKUP(PV_DATA[[#This Row],[New Ark SKU]],Table9[New Ark SKU],Table9[Total PCS per Pallet],,0)</f>
        <v>36</v>
      </c>
      <c r="BF766" s="430">
        <f>_xlfn.XLOOKUP(PV_DATA[[#This Row],[New Ark SKU]],Table9[New Ark SKU],Table9[Total PCS per 40HQ Container],,0)</f>
        <v>936</v>
      </c>
      <c r="BG766" s="430" t="str">
        <f>_xlfn.XLOOKUP(PV_DATA[[#This Row],[New Ark SKU]],Table9[New Ark SKU],Table9[Back Glass],,0)</f>
        <v>Black glazing</v>
      </c>
      <c r="BH766" s="610" t="str">
        <f>_xlfn.XLOOKUP(PV_DATA[[#This Row],[PORT DESTINATION]],Table12[PORT DESTINATION],Table12[Cosco Line],,0)</f>
        <v>AEU</v>
      </c>
      <c r="BJ766" s="430"/>
    </row>
    <row r="767" spans="1:62" ht="10.5">
      <c r="A767" s="462" t="s">
        <v>5604</v>
      </c>
      <c r="B767" s="462" t="s">
        <v>111</v>
      </c>
      <c r="C767" s="462" t="str">
        <f>IFERROR(LEFT(PV_DATA[[#This Row],[TCL REFERENCE]],FIND(".",PV_DATA[[#This Row],[TCL REFERENCE]],1)-1),"Main Line")</f>
        <v>26May011</v>
      </c>
      <c r="D767" s="462" t="s">
        <v>63</v>
      </c>
      <c r="E767" s="462" t="s">
        <v>144</v>
      </c>
      <c r="F767" s="462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2" t="s">
        <v>402</v>
      </c>
      <c r="H767" s="713" t="s">
        <v>670</v>
      </c>
      <c r="I767" s="462" t="s">
        <v>869</v>
      </c>
      <c r="J767" s="463" t="s">
        <v>5392</v>
      </c>
      <c r="K767" s="430" t="s">
        <v>5393</v>
      </c>
      <c r="L767" s="430">
        <v>3</v>
      </c>
      <c r="M767" s="430" t="s">
        <v>840</v>
      </c>
      <c r="N767" s="432">
        <v>46167</v>
      </c>
      <c r="O767" s="430" t="s">
        <v>4531</v>
      </c>
      <c r="P767" s="430" t="s">
        <v>4592</v>
      </c>
      <c r="Q767" s="430" t="s">
        <v>330</v>
      </c>
      <c r="R767" s="430" t="str">
        <f>_xlfn.XLOOKUP(PV_DATA[[#This Row],[New Ark SKU]],Table9[New Ark SKU],Table9[Connector],,0)</f>
        <v>H4(Com)</v>
      </c>
      <c r="S767" s="433" t="str">
        <f>_xlfn.XLOOKUP(PV_DATA[[#This Row],[New Ark SKU]],Table9[New Ark SKU],Table9[Cable],,0)</f>
        <v>+400mm/-200mm</v>
      </c>
      <c r="T767" s="433">
        <v>625</v>
      </c>
      <c r="U767" s="1088">
        <v>3600</v>
      </c>
      <c r="V767" s="544">
        <f>PV_DATA[[#This Row],[QUANTITY]]*PV_DATA[[#This Row],[WATT]]/1000000</f>
        <v>2.25</v>
      </c>
      <c r="W767" s="435">
        <f>PV_DATA[[#This Row],[QUANTITY]]/PV_DATA[[#This Row],[Qty/Pallet]]</f>
        <v>100</v>
      </c>
      <c r="X767" s="1045">
        <f>PV_DATA[[#This Row],[QUANTITY]]/PV_DATA[[#This Row],[Qty/CT]]</f>
        <v>5</v>
      </c>
      <c r="Y767" s="430" t="s">
        <v>2458</v>
      </c>
      <c r="Z767" s="430" t="str">
        <f t="shared" si="9"/>
        <v>COMPLETED</v>
      </c>
      <c r="AA767" s="430" t="s">
        <v>5394</v>
      </c>
      <c r="AB767" s="437">
        <v>46227</v>
      </c>
      <c r="AC767" s="485">
        <f>IF(PV_DATA[[#This Row],[Pick- Up Date]]&lt;&gt;"",_xlfn.ISOWEEKNUM(PV_DATA[[#This Row],[Pick- Up Date]]),"")</f>
        <v>30</v>
      </c>
      <c r="AD767" s="430" t="s">
        <v>5605</v>
      </c>
      <c r="AE767" s="430"/>
      <c r="AF767" s="430" t="s">
        <v>122</v>
      </c>
      <c r="AG767" s="430" t="s">
        <v>123</v>
      </c>
      <c r="AH767" s="430" t="s">
        <v>105</v>
      </c>
      <c r="AI767" s="437">
        <v>46234</v>
      </c>
      <c r="AJ767" s="437">
        <v>46232</v>
      </c>
      <c r="AK767" s="437">
        <v>46232</v>
      </c>
      <c r="AL767" s="437">
        <v>46277</v>
      </c>
      <c r="AM767" s="588">
        <f>IFERROR(VLOOKUP(AT767, Vessel!A:H, 8, FALSE), "")</f>
        <v>46279.083333333336</v>
      </c>
      <c r="AN767" s="586">
        <f>IFERROR(IF(VLOOKUP(AT767,Vessel!A:I,9,FALSE)=0,"",VLOOKUP(AT767,Vessel!A:I,9,FALSE)),"")</f>
        <v>46279.139525462961</v>
      </c>
      <c r="AP767" s="430" t="s">
        <v>5589</v>
      </c>
      <c r="AQ767" s="430" t="s">
        <v>80</v>
      </c>
      <c r="AR767" s="430" t="s">
        <v>5606</v>
      </c>
      <c r="AS767" s="430" t="s">
        <v>5607</v>
      </c>
      <c r="AT767" s="430" t="s">
        <v>5607</v>
      </c>
      <c r="AU7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47.139525462960592</v>
      </c>
      <c r="AV767" s="437"/>
      <c r="AW767" s="437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46279.139525462961</v>
      </c>
      <c r="AX7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7">
        <f>IF(ISERROR(PV_DATA[[#This Row],[New Ark PO status]]),"",_xlfn.XLOOKUP(PV_DATA[[#This Row],[SPTN-PVHK New Ark PO'#]],New_Ark_Data[Purchase order Number],New_Ark_Data[Estimated time of arrival],"",0))</f>
        <v>46276</v>
      </c>
      <c r="AZ76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7">
        <f>IFERROR(PV_DATA[[#This Row],[ODP ETA Port]]+PV_DATA[[#This Row],[Customs/Leg3 Assumption]],"n/a")</f>
        <v>46279.139525462961</v>
      </c>
      <c r="BB767" s="433">
        <f>YEAR(PV_DATA[[#This Row],[ETA for New Ark update]])</f>
        <v>2026</v>
      </c>
      <c r="BC767" s="430">
        <f>MONTH(PV_DATA[[#This Row],[ETA for New Ark update]])</f>
        <v>9</v>
      </c>
      <c r="BD767" s="430">
        <f>IFERROR(_xlfn.ISOWEEKNUM(PV_DATA[[#This Row],[ETA for New Ark update]]),0)</f>
        <v>38</v>
      </c>
      <c r="BE767" s="430">
        <f>_xlfn.XLOOKUP(PV_DATA[[#This Row],[New Ark SKU]],Table9[New Ark SKU],Table9[Total PCS per Pallet],,0)</f>
        <v>36</v>
      </c>
      <c r="BF767" s="430">
        <f>_xlfn.XLOOKUP(PV_DATA[[#This Row],[New Ark SKU]],Table9[New Ark SKU],Table9[Total PCS per 40HQ Container],,0)</f>
        <v>720</v>
      </c>
      <c r="BG767" s="430" t="str">
        <f>_xlfn.XLOOKUP(PV_DATA[[#This Row],[New Ark SKU]],Table9[New Ark SKU],Table9[Back Glass],,0)</f>
        <v>Transparent</v>
      </c>
      <c r="BH767" s="430" t="str">
        <f>_xlfn.XLOOKUP(PV_DATA[[#This Row],[PORT DESTINATION]],Table12[PORT DESTINATION],Table12[Cosco Line],,0)</f>
        <v>AEU</v>
      </c>
      <c r="BJ767" s="430"/>
    </row>
    <row r="768" spans="1:62" s="463" customFormat="1" ht="10.5">
      <c r="A768" s="462" t="s">
        <v>5608</v>
      </c>
      <c r="B768" s="462" t="s">
        <v>111</v>
      </c>
      <c r="C768" s="462" t="str">
        <f>IFERROR(LEFT(PV_DATA[[#This Row],[TCL REFERENCE]],FIND(".",PV_DATA[[#This Row],[TCL REFERENCE]],1)-1),"Main Line")</f>
        <v>26Jul001</v>
      </c>
      <c r="D768" s="462" t="s">
        <v>63</v>
      </c>
      <c r="E768" s="462" t="s">
        <v>64</v>
      </c>
      <c r="F768" s="462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2" t="s">
        <v>402</v>
      </c>
      <c r="H768" s="462" t="s">
        <v>67</v>
      </c>
      <c r="I768" s="462" t="s">
        <v>882</v>
      </c>
      <c r="J768" s="430" t="s">
        <v>96</v>
      </c>
      <c r="K768" s="430"/>
      <c r="L768" s="430"/>
      <c r="M768" s="430" t="s">
        <v>68</v>
      </c>
      <c r="N768" s="432">
        <v>46209</v>
      </c>
      <c r="O768" s="430" t="s">
        <v>550</v>
      </c>
      <c r="P768" s="430" t="s">
        <v>551</v>
      </c>
      <c r="Q768" s="430" t="s">
        <v>2151</v>
      </c>
      <c r="R768" s="430" t="str">
        <f>_xlfn.XLOOKUP(PV_DATA[[#This Row],[New Ark SKU]],Table9[New Ark SKU],Table9[Connector],,0)</f>
        <v>EVO2A</v>
      </c>
      <c r="S768" s="433" t="str">
        <f>_xlfn.XLOOKUP(PV_DATA[[#This Row],[New Ark SKU]],Table9[New Ark SKU],Table9[Cable],,0)</f>
        <v>±1350mm</v>
      </c>
      <c r="T768" s="433">
        <v>510</v>
      </c>
      <c r="U768" s="1088">
        <v>2376</v>
      </c>
      <c r="V768" s="434">
        <f>PV_DATA[[#This Row],[QUANTITY]]*PV_DATA[[#This Row],[WATT]]/1000000</f>
        <v>1.2117599999999999</v>
      </c>
      <c r="W768" s="435">
        <f>PV_DATA[[#This Row],[QUANTITY]]/PV_DATA[[#This Row],[Qty/Pallet]]</f>
        <v>66</v>
      </c>
      <c r="X768" s="1040">
        <f>PV_DATA[[#This Row],[QUANTITY]]/PV_DATA[[#This Row],[Qty/CT]]</f>
        <v>3</v>
      </c>
      <c r="Y768" s="430" t="s">
        <v>2461</v>
      </c>
      <c r="Z768" s="430" t="str">
        <f t="shared" si="9"/>
        <v>COMPLETED</v>
      </c>
      <c r="AA768" s="430" t="s">
        <v>5523</v>
      </c>
      <c r="AB768" s="437">
        <v>46224</v>
      </c>
      <c r="AC768" s="485">
        <f>IF(PV_DATA[[#This Row],[Pick- Up Date]]&lt;&gt;"",_xlfn.ISOWEEKNUM(PV_DATA[[#This Row],[Pick- Up Date]]),"")</f>
        <v>30</v>
      </c>
      <c r="AD768" s="430" t="s">
        <v>5609</v>
      </c>
      <c r="AE768" s="430"/>
      <c r="AF768" s="430" t="s">
        <v>122</v>
      </c>
      <c r="AG768" s="430" t="s">
        <v>123</v>
      </c>
      <c r="AH768" s="430" t="s">
        <v>78</v>
      </c>
      <c r="AI768" s="437">
        <v>46231</v>
      </c>
      <c r="AJ768" s="437">
        <v>46232</v>
      </c>
      <c r="AK768" s="437">
        <v>46232</v>
      </c>
      <c r="AL768" s="968">
        <v>46274</v>
      </c>
      <c r="AM768" s="1189">
        <f>IFERROR(VLOOKUP(AT768, Vessel!A:H, 8, FALSE), "")</f>
        <v>46272.833333333336</v>
      </c>
      <c r="AN768" s="586">
        <v>46272.833333333336</v>
      </c>
      <c r="AO768" s="430"/>
      <c r="AP768" s="430" t="s">
        <v>5610</v>
      </c>
      <c r="AQ768" s="430" t="s">
        <v>80</v>
      </c>
      <c r="AR768" s="430" t="s">
        <v>5611</v>
      </c>
      <c r="AS768" s="430" t="s">
        <v>5612</v>
      </c>
      <c r="AT768" s="430" t="s">
        <v>5612</v>
      </c>
      <c r="AU7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68" s="430"/>
      <c r="AW768" s="437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7">
        <f>IF(ISERROR(PV_DATA[[#This Row],[New Ark PO status]]),"",_xlfn.XLOOKUP(PV_DATA[[#This Row],[SPTN-PVHK New Ark PO'#]],New_Ark_Data[Purchase order Number],New_Ark_Data[Estimated time of arrival],"",0))</f>
        <v>46282</v>
      </c>
      <c r="AZ76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7">
        <f>IFERROR(PV_DATA[[#This Row],[ODP ETA Port]]+PV_DATA[[#This Row],[Customs/Leg3 Assumption]],"n/a")</f>
        <v>46280.833333333336</v>
      </c>
      <c r="BB768" s="433">
        <f>YEAR(PV_DATA[[#This Row],[ETA for New Ark update]])</f>
        <v>2026</v>
      </c>
      <c r="BC768" s="430">
        <f>MONTH(PV_DATA[[#This Row],[ETA for New Ark update]])</f>
        <v>9</v>
      </c>
      <c r="BD768" s="430">
        <f>IFERROR(_xlfn.ISOWEEKNUM(PV_DATA[[#This Row],[ETA for New Ark update]]),0)</f>
        <v>38</v>
      </c>
      <c r="BE768" s="430">
        <f>_xlfn.XLOOKUP(PV_DATA[[#This Row],[New Ark SKU]],Table9[New Ark SKU],Table9[Total PCS per Pallet],,0)</f>
        <v>36</v>
      </c>
      <c r="BF768" s="430">
        <f>_xlfn.XLOOKUP(PV_DATA[[#This Row],[New Ark SKU]],Table9[New Ark SKU],Table9[Total PCS per 40HQ Container],,0)</f>
        <v>792</v>
      </c>
      <c r="BG768" s="430" t="str">
        <f>_xlfn.XLOOKUP(PV_DATA[[#This Row],[New Ark SKU]],Table9[New Ark SKU],Table9[Back Glass],,0)</f>
        <v>Black glazing</v>
      </c>
      <c r="BH768" s="610" t="str">
        <f>_xlfn.XLOOKUP(PV_DATA[[#This Row],[PORT DESTINATION]],Table12[PORT DESTINATION],Table12[Cosco Line],,0)</f>
        <v>AEM</v>
      </c>
    </row>
    <row r="769" spans="1:62" ht="10.5">
      <c r="A769" s="462" t="s">
        <v>5613</v>
      </c>
      <c r="B769" s="462" t="s">
        <v>1757</v>
      </c>
      <c r="C769" s="462" t="str">
        <f>IFERROR(LEFT(PV_DATA[[#This Row],[TCL REFERENCE]],FIND(".",PV_DATA[[#This Row],[TCL REFERENCE]],1)-1),"Main Line")</f>
        <v>26Jun012</v>
      </c>
      <c r="D769" s="462" t="s">
        <v>63</v>
      </c>
      <c r="E769" s="462" t="s">
        <v>64</v>
      </c>
      <c r="F769" s="462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2" t="s">
        <v>402</v>
      </c>
      <c r="H769" s="462" t="s">
        <v>451</v>
      </c>
      <c r="I769" s="462" t="s">
        <v>1395</v>
      </c>
      <c r="J769" s="430" t="s">
        <v>1832</v>
      </c>
      <c r="K769" s="430"/>
      <c r="L769" s="430"/>
      <c r="M769" s="430" t="s">
        <v>68</v>
      </c>
      <c r="N769" s="432">
        <v>46195</v>
      </c>
      <c r="O769" s="430" t="s">
        <v>4531</v>
      </c>
      <c r="P769" s="430" t="s">
        <v>1151</v>
      </c>
      <c r="Q769" s="430" t="s">
        <v>421</v>
      </c>
      <c r="R769" s="430" t="str">
        <f>_xlfn.XLOOKUP(PV_DATA[[#This Row],[New Ark SKU]],Table9[New Ark SKU],Table9[Connector],,0)</f>
        <v>EVO2A</v>
      </c>
      <c r="S769" s="433" t="str">
        <f>_xlfn.XLOOKUP(PV_DATA[[#This Row],[New Ark SKU]],Table9[New Ark SKU],Table9[Cable],,0)</f>
        <v>±1200mm</v>
      </c>
      <c r="T769" s="433">
        <v>505</v>
      </c>
      <c r="U769" s="1088">
        <f>864*2</f>
        <v>1728</v>
      </c>
      <c r="V769" s="434">
        <f>PV_DATA[[#This Row],[QUANTITY]]*PV_DATA[[#This Row],[WATT]]/1000000</f>
        <v>0.87263999999999997</v>
      </c>
      <c r="W769" s="435">
        <f>PV_DATA[[#This Row],[QUANTITY]]/PV_DATA[[#This Row],[Qty/Pallet]]</f>
        <v>48</v>
      </c>
      <c r="X769" s="1040">
        <f>PV_DATA[[#This Row],[QUANTITY]]/PV_DATA[[#This Row],[Qty/CT]]</f>
        <v>2</v>
      </c>
      <c r="Y769" s="430" t="s">
        <v>2462</v>
      </c>
      <c r="Z769" s="430" t="str">
        <f t="shared" si="9"/>
        <v>COMPLETED</v>
      </c>
      <c r="AA769" s="430" t="s">
        <v>5614</v>
      </c>
      <c r="AB769" s="543">
        <v>46221</v>
      </c>
      <c r="AC769" s="485">
        <f>IF(PV_DATA[[#This Row],[Pick- Up Date]]&lt;&gt;"",_xlfn.ISOWEEKNUM(PV_DATA[[#This Row],[Pick- Up Date]]),"")</f>
        <v>29</v>
      </c>
      <c r="AD769" s="430" t="s">
        <v>5615</v>
      </c>
      <c r="AE769" s="430"/>
      <c r="AF769" s="459" t="s">
        <v>1525</v>
      </c>
      <c r="AG769" s="459" t="s">
        <v>1525</v>
      </c>
      <c r="AH769" s="430" t="s">
        <v>456</v>
      </c>
      <c r="AI769" s="437">
        <v>46225</v>
      </c>
      <c r="AJ769" s="437">
        <v>46233</v>
      </c>
      <c r="AK769" s="437">
        <v>46234</v>
      </c>
      <c r="AL769" s="437">
        <v>46260</v>
      </c>
      <c r="AM769" s="588">
        <f>IFERROR(VLOOKUP(AT769, Vessel!A:H, 8, FALSE), "")</f>
        <v>46274.999305555553</v>
      </c>
      <c r="AN769" s="586">
        <f>IFERROR(IF(VLOOKUP(AT769,Vessel!A:I,9,FALSE)=0,"",VLOOKUP(AT769,Vessel!A:I,9,FALSE)),"")</f>
        <v>46275.009525462963</v>
      </c>
      <c r="AP769" s="430" t="s">
        <v>5502</v>
      </c>
      <c r="AQ769" s="430" t="s">
        <v>80</v>
      </c>
      <c r="AR769" s="430" t="s">
        <v>5616</v>
      </c>
      <c r="AS769" s="430" t="s">
        <v>5617</v>
      </c>
      <c r="AT769" s="430" t="s">
        <v>5617</v>
      </c>
      <c r="AU7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41.009525462963211</v>
      </c>
      <c r="AV769" s="437"/>
      <c r="AW769" s="437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7">
        <f>IF(ISERROR(PV_DATA[[#This Row],[New Ark PO status]]),"",_xlfn.XLOOKUP(PV_DATA[[#This Row],[SPTN-PVHK New Ark PO'#]],New_Ark_Data[Purchase order Number],New_Ark_Data[Estimated time of arrival],"",0))</f>
        <v>46288</v>
      </c>
      <c r="AZ76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7">
        <f>IFERROR(PV_DATA[[#This Row],[ODP ETA Port]]+PV_DATA[[#This Row],[Customs/Leg3 Assumption]],"n/a")</f>
        <v>46282.009525462963</v>
      </c>
      <c r="BB769" s="433">
        <f>YEAR(PV_DATA[[#This Row],[ETA for New Ark update]])</f>
        <v>2026</v>
      </c>
      <c r="BC769" s="430">
        <f>MONTH(PV_DATA[[#This Row],[ETA for New Ark update]])</f>
        <v>9</v>
      </c>
      <c r="BD769" s="430">
        <f>IFERROR(_xlfn.ISOWEEKNUM(PV_DATA[[#This Row],[ETA for New Ark update]]),0)</f>
        <v>38</v>
      </c>
      <c r="BE769" s="430">
        <f>_xlfn.XLOOKUP(PV_DATA[[#This Row],[New Ark SKU]],Table9[New Ark SKU],Table9[Total PCS per Pallet],,0)</f>
        <v>36</v>
      </c>
      <c r="BF769" s="430">
        <f>_xlfn.XLOOKUP(PV_DATA[[#This Row],[New Ark SKU]],Table9[New Ark SKU],Table9[Total PCS per 40HQ Container],,0)</f>
        <v>864</v>
      </c>
      <c r="BG769" s="430" t="str">
        <f>_xlfn.XLOOKUP(PV_DATA[[#This Row],[New Ark SKU]],Table9[New Ark SKU],Table9[Back Glass],,0)</f>
        <v>Black glazing</v>
      </c>
      <c r="BH769" s="430" t="str">
        <f>_xlfn.XLOOKUP(PV_DATA[[#This Row],[PORT DESTINATION]],Table12[PORT DESTINATION],Table12[Cosco Line],,0)</f>
        <v>AEU</v>
      </c>
      <c r="BJ769" s="430"/>
    </row>
    <row r="770" spans="1:62" ht="10.5">
      <c r="A770" s="462" t="s">
        <v>5618</v>
      </c>
      <c r="B770" s="462" t="s">
        <v>1757</v>
      </c>
      <c r="C770" s="462" t="str">
        <f>IFERROR(LEFT(PV_DATA[[#This Row],[TCL REFERENCE]],FIND(".",PV_DATA[[#This Row],[TCL REFERENCE]],1)-1),"Main Line")</f>
        <v>26Jul007</v>
      </c>
      <c r="D770" s="462" t="s">
        <v>63</v>
      </c>
      <c r="E770" s="462" t="s">
        <v>64</v>
      </c>
      <c r="F770" s="462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2" t="s">
        <v>402</v>
      </c>
      <c r="H770" s="462" t="s">
        <v>67</v>
      </c>
      <c r="I770" s="462" t="s">
        <v>1395</v>
      </c>
      <c r="J770" s="430" t="s">
        <v>96</v>
      </c>
      <c r="K770" s="430"/>
      <c r="L770" s="430"/>
      <c r="M770" s="430" t="s">
        <v>68</v>
      </c>
      <c r="N770" s="432">
        <v>46209</v>
      </c>
      <c r="O770" s="430" t="s">
        <v>4531</v>
      </c>
      <c r="P770" s="430" t="s">
        <v>71</v>
      </c>
      <c r="Q770" s="430" t="s">
        <v>72</v>
      </c>
      <c r="R770" s="430" t="str">
        <f>_xlfn.XLOOKUP(PV_DATA[[#This Row],[New Ark SKU]],Table9[New Ark SKU],Table9[Connector],,0)</f>
        <v>EVO2A</v>
      </c>
      <c r="S770" s="433" t="str">
        <f>_xlfn.XLOOKUP(PV_DATA[[#This Row],[New Ark SKU]],Table9[New Ark SKU],Table9[Cable],,0)</f>
        <v>±1200mm</v>
      </c>
      <c r="T770" s="433">
        <v>500</v>
      </c>
      <c r="U770" s="1088">
        <v>4320</v>
      </c>
      <c r="V770" s="434">
        <f>PV_DATA[[#This Row],[QUANTITY]]*PV_DATA[[#This Row],[WATT]]/1000000</f>
        <v>2.16</v>
      </c>
      <c r="W770" s="435">
        <f>PV_DATA[[#This Row],[QUANTITY]]/PV_DATA[[#This Row],[Qty/Pallet]]</f>
        <v>120</v>
      </c>
      <c r="X770" s="1040">
        <f>PV_DATA[[#This Row],[QUANTITY]]/PV_DATA[[#This Row],[Qty/CT]]</f>
        <v>5</v>
      </c>
      <c r="Y770" s="430" t="s">
        <v>2461</v>
      </c>
      <c r="Z770" s="430" t="str">
        <f t="shared" si="9"/>
        <v>COMPLETED</v>
      </c>
      <c r="AA770" s="430" t="s">
        <v>5614</v>
      </c>
      <c r="AB770" s="543">
        <v>46225</v>
      </c>
      <c r="AC770" s="485">
        <f>IF(PV_DATA[[#This Row],[Pick- Up Date]]&lt;&gt;"",_xlfn.ISOWEEKNUM(PV_DATA[[#This Row],[Pick- Up Date]]),"")</f>
        <v>30</v>
      </c>
      <c r="AD770" s="430" t="s">
        <v>5619</v>
      </c>
      <c r="AE770" s="430"/>
      <c r="AF770" s="459" t="s">
        <v>1525</v>
      </c>
      <c r="AG770" s="459" t="s">
        <v>1525</v>
      </c>
      <c r="AH770" s="430" t="s">
        <v>105</v>
      </c>
      <c r="AI770" s="437">
        <v>46231</v>
      </c>
      <c r="AJ770" s="437">
        <v>46232</v>
      </c>
      <c r="AK770" s="437">
        <v>46232</v>
      </c>
      <c r="AL770" s="437">
        <v>46266</v>
      </c>
      <c r="AM770" s="588">
        <f>IFERROR(VLOOKUP(AT770, Vessel!A:H, 8, FALSE), "")</f>
        <v>46270.645833333336</v>
      </c>
      <c r="AN770" s="586">
        <f>IFERROR(IF(VLOOKUP(AT770,Vessel!A:I,9,FALSE)=0,"",VLOOKUP(AT770,Vessel!A:I,9,FALSE)),"")</f>
        <v>46270.66238425926</v>
      </c>
      <c r="AP770" s="430" t="s">
        <v>5567</v>
      </c>
      <c r="AQ770" s="430" t="s">
        <v>80</v>
      </c>
      <c r="AR770" s="430" t="s">
        <v>5620</v>
      </c>
      <c r="AS770" s="430" t="s">
        <v>5621</v>
      </c>
      <c r="AT770" s="430" t="s">
        <v>5621</v>
      </c>
      <c r="AU7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38.662384259259852</v>
      </c>
      <c r="AW770" s="437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7">
        <f>IF(ISERROR(PV_DATA[[#This Row],[New Ark PO status]]),"",_xlfn.XLOOKUP(PV_DATA[[#This Row],[SPTN-PVHK New Ark PO'#]],New_Ark_Data[Purchase order Number],New_Ark_Data[Estimated time of arrival],"",0))</f>
        <v>46283</v>
      </c>
      <c r="AZ77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7">
        <f>IFERROR(PV_DATA[[#This Row],[ODP ETA Port]]+PV_DATA[[#This Row],[Customs/Leg3 Assumption]],"n/a")</f>
        <v>46277.66238425926</v>
      </c>
      <c r="BB770" s="433">
        <f>YEAR(PV_DATA[[#This Row],[ETA for New Ark update]])</f>
        <v>2026</v>
      </c>
      <c r="BC770" s="430">
        <f>MONTH(PV_DATA[[#This Row],[ETA for New Ark update]])</f>
        <v>9</v>
      </c>
      <c r="BD770" s="430">
        <f>IFERROR(_xlfn.ISOWEEKNUM(PV_DATA[[#This Row],[ETA for New Ark update]]),0)</f>
        <v>37</v>
      </c>
      <c r="BE770" s="430">
        <f>_xlfn.XLOOKUP(PV_DATA[[#This Row],[New Ark SKU]],Table9[New Ark SKU],Table9[Total PCS per Pallet],,0)</f>
        <v>36</v>
      </c>
      <c r="BF770" s="430">
        <f>_xlfn.XLOOKUP(PV_DATA[[#This Row],[New Ark SKU]],Table9[New Ark SKU],Table9[Total PCS per 40HQ Container],,0)</f>
        <v>864</v>
      </c>
      <c r="BG770" s="430" t="str">
        <f>_xlfn.XLOOKUP(PV_DATA[[#This Row],[New Ark SKU]],Table9[New Ark SKU],Table9[Back Glass],,0)</f>
        <v>Black glazing</v>
      </c>
      <c r="BH770" s="430" t="str">
        <f>_xlfn.XLOOKUP(PV_DATA[[#This Row],[PORT DESTINATION]],Table12[PORT DESTINATION],Table12[Cosco Line],,0)</f>
        <v>AEU</v>
      </c>
      <c r="BJ770" s="430"/>
    </row>
    <row r="771" spans="1:62" ht="10.5" customHeight="1">
      <c r="A771" s="462" t="s">
        <v>5622</v>
      </c>
      <c r="B771" s="462" t="s">
        <v>1757</v>
      </c>
      <c r="C771" s="462" t="str">
        <f>IFERROR(LEFT(PV_DATA[[#This Row],[TCL REFERENCE]],FIND(".",PV_DATA[[#This Row],[TCL REFERENCE]],1)-1),"Main Line")</f>
        <v>26Jun012</v>
      </c>
      <c r="D771" s="462" t="s">
        <v>63</v>
      </c>
      <c r="E771" s="462" t="s">
        <v>64</v>
      </c>
      <c r="F771" s="462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2" t="s">
        <v>402</v>
      </c>
      <c r="H771" s="462" t="s">
        <v>67</v>
      </c>
      <c r="I771" s="462" t="s">
        <v>1395</v>
      </c>
      <c r="J771" s="430" t="s">
        <v>96</v>
      </c>
      <c r="K771" s="430"/>
      <c r="L771" s="430"/>
      <c r="M771" s="430" t="s">
        <v>68</v>
      </c>
      <c r="N771" s="432">
        <v>46195</v>
      </c>
      <c r="O771" s="430" t="s">
        <v>4531</v>
      </c>
      <c r="P771" s="430" t="s">
        <v>1151</v>
      </c>
      <c r="Q771" s="430" t="s">
        <v>421</v>
      </c>
      <c r="R771" s="430" t="str">
        <f>_xlfn.XLOOKUP(PV_DATA[[#This Row],[New Ark SKU]],Table9[New Ark SKU],Table9[Connector],,0)</f>
        <v>EVO2A</v>
      </c>
      <c r="S771" s="433" t="str">
        <f>_xlfn.XLOOKUP(PV_DATA[[#This Row],[New Ark SKU]],Table9[New Ark SKU],Table9[Cable],,0)</f>
        <v>±1200mm</v>
      </c>
      <c r="T771" s="433">
        <v>505</v>
      </c>
      <c r="U771" s="1088">
        <v>1728</v>
      </c>
      <c r="V771" s="434">
        <f>PV_DATA[[#This Row],[QUANTITY]]*PV_DATA[[#This Row],[WATT]]/1000000</f>
        <v>0.87263999999999997</v>
      </c>
      <c r="W771" s="435">
        <f>PV_DATA[[#This Row],[QUANTITY]]/PV_DATA[[#This Row],[Qty/Pallet]]</f>
        <v>48</v>
      </c>
      <c r="X771" s="1040">
        <f>PV_DATA[[#This Row],[QUANTITY]]/PV_DATA[[#This Row],[Qty/CT]]</f>
        <v>2</v>
      </c>
      <c r="Y771" s="430" t="s">
        <v>2460</v>
      </c>
      <c r="Z771" s="430" t="str">
        <f t="shared" si="9"/>
        <v>COMPLETED</v>
      </c>
      <c r="AA771" s="430" t="s">
        <v>5614</v>
      </c>
      <c r="AB771" s="437">
        <v>46221</v>
      </c>
      <c r="AC771" s="485">
        <f>IF(PV_DATA[[#This Row],[Pick- Up Date]]&lt;&gt;"",_xlfn.ISOWEEKNUM(PV_DATA[[#This Row],[Pick- Up Date]]),"")</f>
        <v>29</v>
      </c>
      <c r="AD771" s="430" t="s">
        <v>5623</v>
      </c>
      <c r="AE771" s="430"/>
      <c r="AF771" s="459" t="s">
        <v>1525</v>
      </c>
      <c r="AG771" s="459" t="s">
        <v>1525</v>
      </c>
      <c r="AH771" s="430" t="s">
        <v>105</v>
      </c>
      <c r="AI771" s="437">
        <v>46225</v>
      </c>
      <c r="AJ771" s="437">
        <v>46234</v>
      </c>
      <c r="AK771" s="437">
        <v>46234</v>
      </c>
      <c r="AL771" s="437">
        <v>46260</v>
      </c>
      <c r="AM771" s="588">
        <f>IFERROR(VLOOKUP(AT771, Vessel!A:H, 8, FALSE), "")</f>
        <v>46275.083333333336</v>
      </c>
      <c r="AN771" s="586">
        <f>IFERROR(IF(VLOOKUP(AT771,Vessel!A:I,9,FALSE)=0,"",VLOOKUP(AT771,Vessel!A:I,9,FALSE)),"")</f>
        <v>46275.088877314818</v>
      </c>
      <c r="AP771" s="430" t="s">
        <v>5624</v>
      </c>
      <c r="AQ771" s="430" t="s">
        <v>80</v>
      </c>
      <c r="AR771" s="430" t="s">
        <v>5625</v>
      </c>
      <c r="AS771" s="430" t="s">
        <v>5626</v>
      </c>
      <c r="AT771" s="430" t="s">
        <v>5626</v>
      </c>
      <c r="AU7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V771" s="437"/>
      <c r="AW771" s="437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7">
        <f>IF(ISERROR(PV_DATA[[#This Row],[New Ark PO status]]),"",_xlfn.XLOOKUP(PV_DATA[[#This Row],[SPTN-PVHK New Ark PO'#]],New_Ark_Data[Purchase order Number],New_Ark_Data[Estimated time of arrival],"",0))</f>
        <v>46286</v>
      </c>
      <c r="AZ77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7">
        <f>IFERROR(PV_DATA[[#This Row],[ODP ETA Port]]+PV_DATA[[#This Row],[Customs/Leg3 Assumption]],"n/a")</f>
        <v>46282.088877314818</v>
      </c>
      <c r="BB771" s="433">
        <f>YEAR(PV_DATA[[#This Row],[ETA for New Ark update]])</f>
        <v>2026</v>
      </c>
      <c r="BC771" s="430">
        <f>MONTH(PV_DATA[[#This Row],[ETA for New Ark update]])</f>
        <v>9</v>
      </c>
      <c r="BD771" s="430">
        <f>IFERROR(_xlfn.ISOWEEKNUM(PV_DATA[[#This Row],[ETA for New Ark update]]),0)</f>
        <v>38</v>
      </c>
      <c r="BE771" s="430">
        <f>_xlfn.XLOOKUP(PV_DATA[[#This Row],[New Ark SKU]],Table9[New Ark SKU],Table9[Total PCS per Pallet],,0)</f>
        <v>36</v>
      </c>
      <c r="BF771" s="430">
        <f>_xlfn.XLOOKUP(PV_DATA[[#This Row],[New Ark SKU]],Table9[New Ark SKU],Table9[Total PCS per 40HQ Container],,0)</f>
        <v>864</v>
      </c>
      <c r="BG771" s="430" t="str">
        <f>_xlfn.XLOOKUP(PV_DATA[[#This Row],[New Ark SKU]],Table9[New Ark SKU],Table9[Back Glass],,0)</f>
        <v>Black glazing</v>
      </c>
      <c r="BH771" s="430" t="str">
        <f>_xlfn.XLOOKUP(PV_DATA[[#This Row],[PORT DESTINATION]],Table12[PORT DESTINATION],Table12[Cosco Line],,0)</f>
        <v>AEU</v>
      </c>
      <c r="BJ771" s="430"/>
    </row>
    <row r="772" spans="1:62" ht="10.5" customHeight="1">
      <c r="A772" s="462" t="s">
        <v>5627</v>
      </c>
      <c r="B772" s="462" t="s">
        <v>1757</v>
      </c>
      <c r="C772" s="462" t="str">
        <f>IFERROR(LEFT(PV_DATA[[#This Row],[TCL REFERENCE]],FIND(".",PV_DATA[[#This Row],[TCL REFERENCE]],1)-1),"Main Line")</f>
        <v>26Jul007</v>
      </c>
      <c r="D772" s="462" t="s">
        <v>63</v>
      </c>
      <c r="E772" s="462" t="s">
        <v>64</v>
      </c>
      <c r="F772" s="462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2" t="s">
        <v>402</v>
      </c>
      <c r="H772" s="462" t="s">
        <v>67</v>
      </c>
      <c r="I772" s="462" t="s">
        <v>1395</v>
      </c>
      <c r="J772" s="430" t="s">
        <v>96</v>
      </c>
      <c r="K772" s="430"/>
      <c r="L772" s="430"/>
      <c r="M772" s="430" t="s">
        <v>68</v>
      </c>
      <c r="N772" s="432">
        <v>46209</v>
      </c>
      <c r="O772" s="430" t="s">
        <v>4531</v>
      </c>
      <c r="P772" s="430" t="s">
        <v>71</v>
      </c>
      <c r="Q772" s="430" t="s">
        <v>72</v>
      </c>
      <c r="R772" s="430" t="str">
        <f>_xlfn.XLOOKUP(PV_DATA[[#This Row],[New Ark SKU]],Table9[New Ark SKU],Table9[Connector],,0)</f>
        <v>EVO2A</v>
      </c>
      <c r="S772" s="433" t="str">
        <f>_xlfn.XLOOKUP(PV_DATA[[#This Row],[New Ark SKU]],Table9[New Ark SKU],Table9[Cable],,0)</f>
        <v>±1200mm</v>
      </c>
      <c r="T772" s="433">
        <v>500</v>
      </c>
      <c r="U772" s="1088">
        <v>864</v>
      </c>
      <c r="V772" s="434">
        <f>PV_DATA[[#This Row],[QUANTITY]]*PV_DATA[[#This Row],[WATT]]/1000000</f>
        <v>0.432</v>
      </c>
      <c r="W772" s="435">
        <f>PV_DATA[[#This Row],[QUANTITY]]/PV_DATA[[#This Row],[Qty/Pallet]]</f>
        <v>24</v>
      </c>
      <c r="X772" s="1040">
        <f>PV_DATA[[#This Row],[QUANTITY]]/PV_DATA[[#This Row],[Qty/CT]]</f>
        <v>1</v>
      </c>
      <c r="Y772" s="430" t="s">
        <v>2461</v>
      </c>
      <c r="Z772" s="430" t="str">
        <f t="shared" si="9"/>
        <v>COMPLETED</v>
      </c>
      <c r="AA772" s="430" t="s">
        <v>5614</v>
      </c>
      <c r="AB772" s="437">
        <v>46221</v>
      </c>
      <c r="AC772" s="485">
        <f>IF(PV_DATA[[#This Row],[Pick- Up Date]]&lt;&gt;"",_xlfn.ISOWEEKNUM(PV_DATA[[#This Row],[Pick- Up Date]]),"")</f>
        <v>29</v>
      </c>
      <c r="AD772" s="430" t="s">
        <v>5628</v>
      </c>
      <c r="AE772" s="430"/>
      <c r="AF772" s="459" t="s">
        <v>1525</v>
      </c>
      <c r="AG772" s="459" t="s">
        <v>1525</v>
      </c>
      <c r="AH772" s="430" t="s">
        <v>105</v>
      </c>
      <c r="AI772" s="437">
        <v>46225</v>
      </c>
      <c r="AJ772" s="437">
        <v>46234</v>
      </c>
      <c r="AK772" s="437">
        <v>46234</v>
      </c>
      <c r="AL772" s="437">
        <v>46260</v>
      </c>
      <c r="AM772" s="588">
        <f>IFERROR(VLOOKUP(AT772, Vessel!A:H, 8, FALSE), "")</f>
        <v>46275.083333333336</v>
      </c>
      <c r="AN772" s="586">
        <f>IFERROR(IF(VLOOKUP(AT772,Vessel!A:I,9,FALSE)=0,"",VLOOKUP(AT772,Vessel!A:I,9,FALSE)),"")</f>
        <v>46275.088877314818</v>
      </c>
      <c r="AP772" s="430" t="s">
        <v>5624</v>
      </c>
      <c r="AQ772" s="430" t="s">
        <v>80</v>
      </c>
      <c r="AR772" s="430" t="s">
        <v>5625</v>
      </c>
      <c r="AS772" s="430" t="s">
        <v>5626</v>
      </c>
      <c r="AT772" s="430" t="s">
        <v>5626</v>
      </c>
      <c r="AU7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W772" s="437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7">
        <f>IF(ISERROR(PV_DATA[[#This Row],[New Ark PO status]]),"",_xlfn.XLOOKUP(PV_DATA[[#This Row],[SPTN-PVHK New Ark PO'#]],New_Ark_Data[Purchase order Number],New_Ark_Data[Estimated time of arrival],"",0))</f>
        <v>46286</v>
      </c>
      <c r="AZ77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7">
        <f>IFERROR(PV_DATA[[#This Row],[ODP ETA Port]]+PV_DATA[[#This Row],[Customs/Leg3 Assumption]],"n/a")</f>
        <v>46282.088877314818</v>
      </c>
      <c r="BB772" s="433">
        <f>YEAR(PV_DATA[[#This Row],[ETA for New Ark update]])</f>
        <v>2026</v>
      </c>
      <c r="BC772" s="430">
        <f>MONTH(PV_DATA[[#This Row],[ETA for New Ark update]])</f>
        <v>9</v>
      </c>
      <c r="BD772" s="430">
        <f>IFERROR(_xlfn.ISOWEEKNUM(PV_DATA[[#This Row],[ETA for New Ark update]]),0)</f>
        <v>38</v>
      </c>
      <c r="BE772" s="430">
        <f>_xlfn.XLOOKUP(PV_DATA[[#This Row],[New Ark SKU]],Table9[New Ark SKU],Table9[Total PCS per Pallet],,0)</f>
        <v>36</v>
      </c>
      <c r="BF772" s="430">
        <f>_xlfn.XLOOKUP(PV_DATA[[#This Row],[New Ark SKU]],Table9[New Ark SKU],Table9[Total PCS per 40HQ Container],,0)</f>
        <v>864</v>
      </c>
      <c r="BG772" s="430" t="str">
        <f>_xlfn.XLOOKUP(PV_DATA[[#This Row],[New Ark SKU]],Table9[New Ark SKU],Table9[Back Glass],,0)</f>
        <v>Black glazing</v>
      </c>
      <c r="BH772" s="610" t="str">
        <f>_xlfn.XLOOKUP(PV_DATA[[#This Row],[PORT DESTINATION]],Table12[PORT DESTINATION],Table12[Cosco Line],,0)</f>
        <v>AEU</v>
      </c>
      <c r="BJ772" s="430"/>
    </row>
    <row r="773" spans="1:62" ht="10.5">
      <c r="A773" s="462" t="s">
        <v>5629</v>
      </c>
      <c r="B773" s="462" t="s">
        <v>1757</v>
      </c>
      <c r="C773" s="462" t="str">
        <f>IFERROR(LEFT(PV_DATA[[#This Row],[TCL REFERENCE]],FIND(".",PV_DATA[[#This Row],[TCL REFERENCE]],1)-1),"Main Line")</f>
        <v>26Jun011</v>
      </c>
      <c r="D773" s="462" t="s">
        <v>63</v>
      </c>
      <c r="E773" s="462" t="s">
        <v>64</v>
      </c>
      <c r="F773" s="462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2" t="s">
        <v>402</v>
      </c>
      <c r="H773" s="462" t="s">
        <v>67</v>
      </c>
      <c r="I773" s="462" t="s">
        <v>689</v>
      </c>
      <c r="J773" s="430" t="s">
        <v>96</v>
      </c>
      <c r="K773" s="430"/>
      <c r="L773" s="430"/>
      <c r="M773" s="430" t="s">
        <v>68</v>
      </c>
      <c r="N773" s="432">
        <v>46195</v>
      </c>
      <c r="O773" s="430" t="s">
        <v>4531</v>
      </c>
      <c r="P773" s="430" t="s">
        <v>71</v>
      </c>
      <c r="Q773" s="430" t="s">
        <v>72</v>
      </c>
      <c r="R773" s="430" t="str">
        <f>_xlfn.XLOOKUP(PV_DATA[[#This Row],[New Ark SKU]],Table9[New Ark SKU],Table9[Connector],,0)</f>
        <v>EVO2A</v>
      </c>
      <c r="S773" s="433" t="str">
        <f>_xlfn.XLOOKUP(PV_DATA[[#This Row],[New Ark SKU]],Table9[New Ark SKU],Table9[Cable],,0)</f>
        <v>±1200mm</v>
      </c>
      <c r="T773" s="433">
        <v>500</v>
      </c>
      <c r="U773" s="1088">
        <v>864</v>
      </c>
      <c r="V773" s="434">
        <f>PV_DATA[[#This Row],[QUANTITY]]*PV_DATA[[#This Row],[WATT]]/1000000</f>
        <v>0.432</v>
      </c>
      <c r="W773" s="435">
        <f>PV_DATA[[#This Row],[QUANTITY]]/PV_DATA[[#This Row],[Qty/Pallet]]</f>
        <v>24</v>
      </c>
      <c r="X773" s="1040">
        <f>PV_DATA[[#This Row],[QUANTITY]]/PV_DATA[[#This Row],[Qty/CT]]</f>
        <v>1</v>
      </c>
      <c r="Y773" s="430" t="s">
        <v>2461</v>
      </c>
      <c r="Z773" s="430" t="str">
        <f t="shared" si="9"/>
        <v>COMPLETED</v>
      </c>
      <c r="AA773" s="430" t="s">
        <v>5630</v>
      </c>
      <c r="AB773" s="543">
        <v>46228</v>
      </c>
      <c r="AC773" s="485">
        <f>IF(PV_DATA[[#This Row],[Pick- Up Date]]&lt;&gt;"",_xlfn.ISOWEEKNUM(PV_DATA[[#This Row],[Pick- Up Date]]),"")</f>
        <v>30</v>
      </c>
      <c r="AD773" s="430" t="s">
        <v>5631</v>
      </c>
      <c r="AE773" s="430"/>
      <c r="AF773" s="459" t="s">
        <v>1525</v>
      </c>
      <c r="AG773" s="459" t="s">
        <v>1525</v>
      </c>
      <c r="AH773" s="430" t="s">
        <v>78</v>
      </c>
      <c r="AI773" s="437">
        <v>46233</v>
      </c>
      <c r="AJ773" s="437">
        <v>46233</v>
      </c>
      <c r="AK773" s="437">
        <v>46232</v>
      </c>
      <c r="AL773" s="437">
        <v>46274</v>
      </c>
      <c r="AM773" s="588">
        <f>IFERROR(VLOOKUP(AT773, Vessel!A:H, 8, FALSE), "")</f>
        <v>46276.625</v>
      </c>
      <c r="AN773" s="586">
        <f>IFERROR(IF(VLOOKUP(AT773,Vessel!A:I,9,FALSE)=0,"",VLOOKUP(AT773,Vessel!A:I,9,FALSE)),"")</f>
        <v>46276.681458333333</v>
      </c>
      <c r="AP773" s="430" t="s">
        <v>5632</v>
      </c>
      <c r="AQ773" s="430" t="s">
        <v>80</v>
      </c>
      <c r="AR773" s="430" t="s">
        <v>5633</v>
      </c>
      <c r="AS773" s="430" t="s">
        <v>5634</v>
      </c>
      <c r="AT773" s="430" t="s">
        <v>5634</v>
      </c>
      <c r="AU7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44.681458333332557</v>
      </c>
      <c r="AV773" s="437"/>
      <c r="AW773" s="437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46276.681458333333</v>
      </c>
      <c r="AX7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7">
        <f>IF(ISERROR(PV_DATA[[#This Row],[New Ark PO status]]),"",_xlfn.XLOOKUP(PV_DATA[[#This Row],[SPTN-PVHK New Ark PO'#]],New_Ark_Data[Purchase order Number],New_Ark_Data[Estimated time of arrival],"",0))</f>
        <v>46288</v>
      </c>
      <c r="AZ77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7">
        <f>IFERROR(PV_DATA[[#This Row],[ODP ETA Port]]+PV_DATA[[#This Row],[Customs/Leg3 Assumption]],"n/a")</f>
        <v>46284.681458333333</v>
      </c>
      <c r="BB773" s="433">
        <f>YEAR(PV_DATA[[#This Row],[ETA for New Ark update]])</f>
        <v>2026</v>
      </c>
      <c r="BC773" s="430">
        <f>MONTH(PV_DATA[[#This Row],[ETA for New Ark update]])</f>
        <v>9</v>
      </c>
      <c r="BD773" s="430">
        <f>IFERROR(_xlfn.ISOWEEKNUM(PV_DATA[[#This Row],[ETA for New Ark update]]),0)</f>
        <v>38</v>
      </c>
      <c r="BE773" s="430">
        <f>_xlfn.XLOOKUP(PV_DATA[[#This Row],[New Ark SKU]],Table9[New Ark SKU],Table9[Total PCS per Pallet],,0)</f>
        <v>36</v>
      </c>
      <c r="BF773" s="430">
        <f>_xlfn.XLOOKUP(PV_DATA[[#This Row],[New Ark SKU]],Table9[New Ark SKU],Table9[Total PCS per 40HQ Container],,0)</f>
        <v>864</v>
      </c>
      <c r="BG773" s="430" t="str">
        <f>_xlfn.XLOOKUP(PV_DATA[[#This Row],[New Ark SKU]],Table9[New Ark SKU],Table9[Back Glass],,0)</f>
        <v>Black glazing</v>
      </c>
      <c r="BH773" s="610" t="str">
        <f>_xlfn.XLOOKUP(PV_DATA[[#This Row],[PORT DESTINATION]],Table12[PORT DESTINATION],Table12[Cosco Line],,0)</f>
        <v>AEM</v>
      </c>
      <c r="BJ773" s="430"/>
    </row>
    <row r="774" spans="1:62" ht="10.5">
      <c r="A774" s="462" t="s">
        <v>5635</v>
      </c>
      <c r="B774" s="462" t="s">
        <v>1757</v>
      </c>
      <c r="C774" s="462" t="str">
        <f>IFERROR(LEFT(PV_DATA[[#This Row],[TCL REFERENCE]],FIND(".",PV_DATA[[#This Row],[TCL REFERENCE]],1)-1),"Main Line")</f>
        <v>26Jun011</v>
      </c>
      <c r="D774" s="462" t="s">
        <v>63</v>
      </c>
      <c r="E774" s="462" t="s">
        <v>64</v>
      </c>
      <c r="F774" s="462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2" t="s">
        <v>402</v>
      </c>
      <c r="H774" s="462" t="s">
        <v>67</v>
      </c>
      <c r="I774" s="462" t="s">
        <v>689</v>
      </c>
      <c r="J774" s="430" t="s">
        <v>96</v>
      </c>
      <c r="K774" s="430"/>
      <c r="L774" s="430"/>
      <c r="M774" s="430" t="s">
        <v>68</v>
      </c>
      <c r="N774" s="432">
        <v>46195</v>
      </c>
      <c r="O774" s="430" t="s">
        <v>4531</v>
      </c>
      <c r="P774" s="430" t="s">
        <v>71</v>
      </c>
      <c r="Q774" s="430" t="s">
        <v>72</v>
      </c>
      <c r="R774" s="430" t="str">
        <f>_xlfn.XLOOKUP(PV_DATA[[#This Row],[New Ark SKU]],Table9[New Ark SKU],Table9[Connector],,0)</f>
        <v>EVO2A</v>
      </c>
      <c r="S774" s="433" t="str">
        <f>_xlfn.XLOOKUP(PV_DATA[[#This Row],[New Ark SKU]],Table9[New Ark SKU],Table9[Cable],,0)</f>
        <v>±1200mm</v>
      </c>
      <c r="T774" s="433">
        <v>500</v>
      </c>
      <c r="U774" s="1088">
        <v>864</v>
      </c>
      <c r="V774" s="434">
        <f>PV_DATA[[#This Row],[QUANTITY]]*PV_DATA[[#This Row],[WATT]]/1000000</f>
        <v>0.432</v>
      </c>
      <c r="W774" s="435">
        <f>PV_DATA[[#This Row],[QUANTITY]]/PV_DATA[[#This Row],[Qty/Pallet]]</f>
        <v>24</v>
      </c>
      <c r="X774" s="1040">
        <f>PV_DATA[[#This Row],[QUANTITY]]/PV_DATA[[#This Row],[Qty/CT]]</f>
        <v>1</v>
      </c>
      <c r="Y774" s="430" t="s">
        <v>2461</v>
      </c>
      <c r="Z774" s="430" t="str">
        <f t="shared" si="9"/>
        <v>COMPLETED</v>
      </c>
      <c r="AA774" s="430" t="s">
        <v>5630</v>
      </c>
      <c r="AB774" s="543">
        <v>46228</v>
      </c>
      <c r="AC774" s="485">
        <f>IF(PV_DATA[[#This Row],[Pick- Up Date]]&lt;&gt;"",_xlfn.ISOWEEKNUM(PV_DATA[[#This Row],[Pick- Up Date]]),"")</f>
        <v>30</v>
      </c>
      <c r="AD774" s="430" t="s">
        <v>5636</v>
      </c>
      <c r="AE774" s="430"/>
      <c r="AF774" s="459" t="s">
        <v>1525</v>
      </c>
      <c r="AG774" s="459" t="s">
        <v>1525</v>
      </c>
      <c r="AH774" s="430" t="s">
        <v>78</v>
      </c>
      <c r="AI774" s="437">
        <v>46234</v>
      </c>
      <c r="AJ774" s="437" t="str">
        <f>IFERROR(IF(VLOOKUP(AS774,Vessel!#REF!,5,FALSE)=0,"",VLOOKUP(AS774,Vessel!#REF!,5,FALSE)),"")</f>
        <v/>
      </c>
      <c r="AK774" s="437">
        <f>IFERROR(IF(VLOOKUP(AT774,Vessel!A:F,5,FALSE)=0,"",VLOOKUP(AT774,Vessel!A:F,5,FALSE)),"")</f>
        <v>46240.833252314813</v>
      </c>
      <c r="AL774" s="437">
        <v>46279</v>
      </c>
      <c r="AM774" s="588">
        <f>IFERROR(VLOOKUP(AT774, Vessel!A:H, 8, FALSE), "")</f>
        <v>46285.041666666664</v>
      </c>
      <c r="AN774" s="586">
        <f>IFERROR(IF(VLOOKUP(AT774,Vessel!A:I,9,FALSE)=0,"",VLOOKUP(AT774,Vessel!A:I,9,FALSE)),"")</f>
        <v>46284.921701388892</v>
      </c>
      <c r="AP774" s="430" t="s">
        <v>5519</v>
      </c>
      <c r="AQ774" s="430" t="s">
        <v>80</v>
      </c>
      <c r="AR774" s="430" t="s">
        <v>5637</v>
      </c>
      <c r="AS774" s="430" t="s">
        <v>5638</v>
      </c>
      <c r="AT774" s="430" t="s">
        <v>5638</v>
      </c>
      <c r="AU7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44.088449074079108</v>
      </c>
      <c r="AV774" s="437"/>
      <c r="AW774" s="437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7">
        <f>IF(ISERROR(PV_DATA[[#This Row],[New Ark PO status]]),"",_xlfn.XLOOKUP(PV_DATA[[#This Row],[SPTN-PVHK New Ark PO'#]],New_Ark_Data[Purchase order Number],New_Ark_Data[Estimated time of arrival],"",0))</f>
        <v>46297</v>
      </c>
      <c r="AZ77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7">
        <f>IFERROR(PV_DATA[[#This Row],[ODP ETA Port]]+PV_DATA[[#This Row],[Customs/Leg3 Assumption]],"n/a")</f>
        <v>46292.921701388892</v>
      </c>
      <c r="BB774" s="433">
        <f>YEAR(PV_DATA[[#This Row],[ETA for New Ark update]])</f>
        <v>2026</v>
      </c>
      <c r="BC774" s="430">
        <f>MONTH(PV_DATA[[#This Row],[ETA for New Ark update]])</f>
        <v>9</v>
      </c>
      <c r="BD774" s="430">
        <f>IFERROR(_xlfn.ISOWEEKNUM(PV_DATA[[#This Row],[ETA for New Ark update]]),0)</f>
        <v>39</v>
      </c>
      <c r="BE774" s="430">
        <f>_xlfn.XLOOKUP(PV_DATA[[#This Row],[New Ark SKU]],Table9[New Ark SKU],Table9[Total PCS per Pallet],,0)</f>
        <v>36</v>
      </c>
      <c r="BF774" s="430">
        <f>_xlfn.XLOOKUP(PV_DATA[[#This Row],[New Ark SKU]],Table9[New Ark SKU],Table9[Total PCS per 40HQ Container],,0)</f>
        <v>864</v>
      </c>
      <c r="BG774" s="430" t="str">
        <f>_xlfn.XLOOKUP(PV_DATA[[#This Row],[New Ark SKU]],Table9[New Ark SKU],Table9[Back Glass],,0)</f>
        <v>Black glazing</v>
      </c>
      <c r="BH774" s="610" t="str">
        <f>_xlfn.XLOOKUP(PV_DATA[[#This Row],[PORT DESTINATION]],Table12[PORT DESTINATION],Table12[Cosco Line],,0)</f>
        <v>AEM</v>
      </c>
      <c r="BJ774" s="430"/>
    </row>
    <row r="775" spans="1:62" ht="10.5">
      <c r="A775" s="462" t="s">
        <v>5639</v>
      </c>
      <c r="B775" s="462" t="s">
        <v>1757</v>
      </c>
      <c r="C775" s="462" t="str">
        <f>IFERROR(LEFT(PV_DATA[[#This Row],[TCL REFERENCE]],FIND(".",PV_DATA[[#This Row],[TCL REFERENCE]],1)-1),"Main Line")</f>
        <v>26Jun011</v>
      </c>
      <c r="D775" s="462" t="s">
        <v>63</v>
      </c>
      <c r="E775" s="462" t="s">
        <v>64</v>
      </c>
      <c r="F775" s="462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2" t="s">
        <v>402</v>
      </c>
      <c r="H775" s="462" t="s">
        <v>67</v>
      </c>
      <c r="I775" s="462" t="s">
        <v>689</v>
      </c>
      <c r="J775" s="430" t="s">
        <v>96</v>
      </c>
      <c r="K775" s="430"/>
      <c r="L775" s="430"/>
      <c r="M775" s="430" t="s">
        <v>68</v>
      </c>
      <c r="N775" s="432">
        <v>46195</v>
      </c>
      <c r="O775" s="430" t="s">
        <v>4531</v>
      </c>
      <c r="P775" s="430" t="s">
        <v>71</v>
      </c>
      <c r="Q775" s="430" t="s">
        <v>72</v>
      </c>
      <c r="R775" s="430" t="str">
        <f>_xlfn.XLOOKUP(PV_DATA[[#This Row],[New Ark SKU]],Table9[New Ark SKU],Table9[Connector],,0)</f>
        <v>EVO2A</v>
      </c>
      <c r="S775" s="433" t="str">
        <f>_xlfn.XLOOKUP(PV_DATA[[#This Row],[New Ark SKU]],Table9[New Ark SKU],Table9[Cable],,0)</f>
        <v>±1200mm</v>
      </c>
      <c r="T775" s="433">
        <v>500</v>
      </c>
      <c r="U775" s="1088">
        <v>864</v>
      </c>
      <c r="V775" s="434">
        <f>PV_DATA[[#This Row],[QUANTITY]]*PV_DATA[[#This Row],[WATT]]/1000000</f>
        <v>0.432</v>
      </c>
      <c r="W775" s="435">
        <f>PV_DATA[[#This Row],[QUANTITY]]/PV_DATA[[#This Row],[Qty/Pallet]]</f>
        <v>24</v>
      </c>
      <c r="X775" s="1040">
        <f>PV_DATA[[#This Row],[QUANTITY]]/PV_DATA[[#This Row],[Qty/CT]]</f>
        <v>1</v>
      </c>
      <c r="Y775" s="430" t="s">
        <v>2461</v>
      </c>
      <c r="Z775" s="430" t="str">
        <f t="shared" si="9"/>
        <v>IN-TRANSIT</v>
      </c>
      <c r="AA775" s="430" t="s">
        <v>5630</v>
      </c>
      <c r="AB775" s="543">
        <v>46233</v>
      </c>
      <c r="AC775" s="485">
        <f>IF(PV_DATA[[#This Row],[Pick- Up Date]]&lt;&gt;"",_xlfn.ISOWEEKNUM(PV_DATA[[#This Row],[Pick- Up Date]]),"")</f>
        <v>31</v>
      </c>
      <c r="AD775" s="430" t="s">
        <v>5640</v>
      </c>
      <c r="AE775" s="430"/>
      <c r="AF775" s="459" t="s">
        <v>1525</v>
      </c>
      <c r="AG775" s="459" t="s">
        <v>1525</v>
      </c>
      <c r="AH775" s="430" t="s">
        <v>78</v>
      </c>
      <c r="AI775" s="437">
        <v>46235</v>
      </c>
      <c r="AK775" s="437">
        <f>IFERROR(IF(VLOOKUP(AT775,Vessel!A:F,5,FALSE)=0,"",VLOOKUP(AT775,Vessel!A:F,5,FALSE)),"")</f>
        <v>46255.885057870371</v>
      </c>
      <c r="AL775" s="437">
        <v>46286</v>
      </c>
      <c r="AM775" s="588">
        <f>IFERROR(VLOOKUP(AT775, Vessel!A:H, 8, FALSE), "")</f>
        <v>46316.916666666664</v>
      </c>
      <c r="AN775" s="586" t="str">
        <f>IFERROR(IF(VLOOKUP(AT775,Vessel!A:I,9,FALSE)=0,"",VLOOKUP(AT775,Vessel!A:I,9,FALSE)),"")</f>
        <v/>
      </c>
      <c r="AP775" s="430" t="s">
        <v>5641</v>
      </c>
      <c r="AQ775" s="430" t="s">
        <v>80</v>
      </c>
      <c r="AR775" s="430" t="s">
        <v>5642</v>
      </c>
      <c r="AS775" s="430" t="s">
        <v>5643</v>
      </c>
      <c r="AT775" s="430" t="s">
        <v>5643</v>
      </c>
      <c r="AU7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61.031608796292858</v>
      </c>
      <c r="AV775" s="437"/>
      <c r="AW775" s="437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46316.916666666664</v>
      </c>
      <c r="AX7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7">
        <f>IF(ISERROR(PV_DATA[[#This Row],[New Ark PO status]]),"",_xlfn.XLOOKUP(PV_DATA[[#This Row],[SPTN-PVHK New Ark PO'#]],New_Ark_Data[Purchase order Number],New_Ark_Data[Estimated time of arrival],"",0))</f>
        <v>46321</v>
      </c>
      <c r="AZ77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7">
        <f>IFERROR(PV_DATA[[#This Row],[ODP ETA Port]]+PV_DATA[[#This Row],[Customs/Leg3 Assumption]],"n/a")</f>
        <v>46324.916666666664</v>
      </c>
      <c r="BB775" s="433">
        <f>YEAR(PV_DATA[[#This Row],[ETA for New Ark update]])</f>
        <v>2026</v>
      </c>
      <c r="BC775" s="430">
        <f>MONTH(PV_DATA[[#This Row],[ETA for New Ark update]])</f>
        <v>10</v>
      </c>
      <c r="BD775" s="430">
        <f>IFERROR(_xlfn.ISOWEEKNUM(PV_DATA[[#This Row],[ETA for New Ark update]]),0)</f>
        <v>44</v>
      </c>
      <c r="BE775" s="430">
        <f>_xlfn.XLOOKUP(PV_DATA[[#This Row],[New Ark SKU]],Table9[New Ark SKU],Table9[Total PCS per Pallet],,0)</f>
        <v>36</v>
      </c>
      <c r="BF775" s="430">
        <f>_xlfn.XLOOKUP(PV_DATA[[#This Row],[New Ark SKU]],Table9[New Ark SKU],Table9[Total PCS per 40HQ Container],,0)</f>
        <v>864</v>
      </c>
      <c r="BG775" s="430" t="str">
        <f>_xlfn.XLOOKUP(PV_DATA[[#This Row],[New Ark SKU]],Table9[New Ark SKU],Table9[Back Glass],,0)</f>
        <v>Black glazing</v>
      </c>
      <c r="BH775" s="610" t="str">
        <f>_xlfn.XLOOKUP(PV_DATA[[#This Row],[PORT DESTINATION]],Table12[PORT DESTINATION],Table12[Cosco Line],,0)</f>
        <v>AEM</v>
      </c>
      <c r="BJ775" s="430"/>
    </row>
    <row r="776" spans="1:62" ht="10.5">
      <c r="A776" s="462" t="s">
        <v>5644</v>
      </c>
      <c r="B776" s="462" t="s">
        <v>1757</v>
      </c>
      <c r="C776" s="462" t="str">
        <f>IFERROR(LEFT(PV_DATA[[#This Row],[TCL REFERENCE]],FIND(".",PV_DATA[[#This Row],[TCL REFERENCE]],1)-1),"Main Line")</f>
        <v>26Jun011</v>
      </c>
      <c r="D776" s="462" t="s">
        <v>63</v>
      </c>
      <c r="E776" s="462" t="s">
        <v>64</v>
      </c>
      <c r="F776" s="462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2" t="s">
        <v>402</v>
      </c>
      <c r="H776" s="462" t="s">
        <v>67</v>
      </c>
      <c r="I776" s="462" t="s">
        <v>689</v>
      </c>
      <c r="J776" s="430" t="s">
        <v>96</v>
      </c>
      <c r="K776" s="430"/>
      <c r="L776" s="430"/>
      <c r="M776" s="430" t="s">
        <v>68</v>
      </c>
      <c r="N776" s="432">
        <v>46195</v>
      </c>
      <c r="O776" s="430" t="s">
        <v>4531</v>
      </c>
      <c r="P776" s="430" t="s">
        <v>71</v>
      </c>
      <c r="Q776" s="430" t="s">
        <v>72</v>
      </c>
      <c r="R776" s="430" t="str">
        <f>_xlfn.XLOOKUP(PV_DATA[[#This Row],[New Ark SKU]],Table9[New Ark SKU],Table9[Connector],,0)</f>
        <v>EVO2A</v>
      </c>
      <c r="S776" s="433" t="str">
        <f>_xlfn.XLOOKUP(PV_DATA[[#This Row],[New Ark SKU]],Table9[New Ark SKU],Table9[Cable],,0)</f>
        <v>±1200mm</v>
      </c>
      <c r="T776" s="433">
        <v>500</v>
      </c>
      <c r="U776" s="1088">
        <v>864</v>
      </c>
      <c r="V776" s="434">
        <f>PV_DATA[[#This Row],[QUANTITY]]*PV_DATA[[#This Row],[WATT]]/1000000</f>
        <v>0.432</v>
      </c>
      <c r="W776" s="435">
        <f>PV_DATA[[#This Row],[QUANTITY]]/PV_DATA[[#This Row],[Qty/Pallet]]</f>
        <v>24</v>
      </c>
      <c r="X776" s="1040">
        <f>PV_DATA[[#This Row],[QUANTITY]]/PV_DATA[[#This Row],[Qty/CT]]</f>
        <v>1</v>
      </c>
      <c r="Y776" s="430" t="s">
        <v>2461</v>
      </c>
      <c r="Z776" s="430" t="str">
        <f t="shared" si="9"/>
        <v>COMPLETED</v>
      </c>
      <c r="AA776" s="430" t="s">
        <v>5630</v>
      </c>
      <c r="AB776" s="437">
        <v>46221</v>
      </c>
      <c r="AC776" s="485">
        <f>IF(PV_DATA[[#This Row],[Pick- Up Date]]&lt;&gt;"",_xlfn.ISOWEEKNUM(PV_DATA[[#This Row],[Pick- Up Date]]),"")</f>
        <v>29</v>
      </c>
      <c r="AD776" s="430" t="s">
        <v>5645</v>
      </c>
      <c r="AE776" s="430"/>
      <c r="AF776" s="459" t="s">
        <v>1525</v>
      </c>
      <c r="AG776" s="459" t="s">
        <v>1525</v>
      </c>
      <c r="AH776" s="430" t="s">
        <v>78</v>
      </c>
      <c r="AI776" s="437">
        <v>46227</v>
      </c>
      <c r="AJ776" s="437">
        <v>46230</v>
      </c>
      <c r="AK776" s="437">
        <v>46230</v>
      </c>
      <c r="AL776" s="437">
        <v>46272</v>
      </c>
      <c r="AM776" s="588">
        <f>IFERROR(VLOOKUP(AT776, Vessel!A:H, 8, FALSE), "")</f>
        <v>46297.25</v>
      </c>
      <c r="AN776" s="586">
        <v>46296</v>
      </c>
      <c r="AP776" s="430" t="s">
        <v>5646</v>
      </c>
      <c r="AQ776" s="430" t="s">
        <v>80</v>
      </c>
      <c r="AR776" s="430" t="s">
        <v>5647</v>
      </c>
      <c r="AS776" s="430" t="s">
        <v>5648</v>
      </c>
      <c r="AT776" s="430" t="s">
        <v>5648</v>
      </c>
      <c r="AU7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776" s="437"/>
      <c r="AW776" s="437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7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7">
        <f>IF(ISERROR(PV_DATA[[#This Row],[New Ark PO status]]),"",_xlfn.XLOOKUP(PV_DATA[[#This Row],[SPTN-PVHK New Ark PO'#]],New_Ark_Data[Purchase order Number],New_Ark_Data[Estimated time of arrival],"",0))</f>
        <v>46293</v>
      </c>
      <c r="AZ77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7">
        <f>IFERROR(PV_DATA[[#This Row],[ODP ETA Port]]+PV_DATA[[#This Row],[Customs/Leg3 Assumption]],"n/a")</f>
        <v>46304</v>
      </c>
      <c r="BB776" s="433">
        <f>YEAR(PV_DATA[[#This Row],[ETA for New Ark update]])</f>
        <v>2026</v>
      </c>
      <c r="BC776" s="430">
        <f>MONTH(PV_DATA[[#This Row],[ETA for New Ark update]])</f>
        <v>10</v>
      </c>
      <c r="BD776" s="430">
        <f>IFERROR(_xlfn.ISOWEEKNUM(PV_DATA[[#This Row],[ETA for New Ark update]]),0)</f>
        <v>41</v>
      </c>
      <c r="BE776" s="430">
        <f>_xlfn.XLOOKUP(PV_DATA[[#This Row],[New Ark SKU]],Table9[New Ark SKU],Table9[Total PCS per Pallet],,0)</f>
        <v>36</v>
      </c>
      <c r="BF776" s="430">
        <f>_xlfn.XLOOKUP(PV_DATA[[#This Row],[New Ark SKU]],Table9[New Ark SKU],Table9[Total PCS per 40HQ Container],,0)</f>
        <v>864</v>
      </c>
      <c r="BG776" s="430" t="str">
        <f>_xlfn.XLOOKUP(PV_DATA[[#This Row],[New Ark SKU]],Table9[New Ark SKU],Table9[Back Glass],,0)</f>
        <v>Black glazing</v>
      </c>
      <c r="BH776" s="610" t="str">
        <f>_xlfn.XLOOKUP(PV_DATA[[#This Row],[PORT DESTINATION]],Table12[PORT DESTINATION],Table12[Cosco Line],,0)</f>
        <v>AEM</v>
      </c>
      <c r="BJ776" s="430"/>
    </row>
    <row r="777" spans="1:62" ht="10.5">
      <c r="A777" s="462" t="s">
        <v>5649</v>
      </c>
      <c r="B777" s="462" t="s">
        <v>111</v>
      </c>
      <c r="C777" s="462" t="str">
        <f>IFERROR(LEFT(PV_DATA[[#This Row],[TCL REFERENCE]],FIND(".",PV_DATA[[#This Row],[TCL REFERENCE]],1)-1),"Main Line")</f>
        <v>26Jul013</v>
      </c>
      <c r="D777" s="462" t="s">
        <v>63</v>
      </c>
      <c r="E777" s="462" t="s">
        <v>64</v>
      </c>
      <c r="F777" s="462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2" t="s">
        <v>402</v>
      </c>
      <c r="H777" s="462" t="s">
        <v>115</v>
      </c>
      <c r="I777" s="462" t="s">
        <v>689</v>
      </c>
      <c r="J777" s="430" t="s">
        <v>96</v>
      </c>
      <c r="K777" s="430"/>
      <c r="L777" s="430"/>
      <c r="M777" s="430" t="s">
        <v>68</v>
      </c>
      <c r="N777" s="432">
        <v>46202</v>
      </c>
      <c r="O777" s="430" t="s">
        <v>5336</v>
      </c>
      <c r="P777" s="430" t="s">
        <v>5337</v>
      </c>
      <c r="Q777" s="430" t="s">
        <v>5338</v>
      </c>
      <c r="R777" s="430" t="str">
        <f>_xlfn.XLOOKUP(PV_DATA[[#This Row],[New Ark SKU]],Table9[New Ark SKU],Table9[Connector],,0)</f>
        <v>EVO2A</v>
      </c>
      <c r="S777" s="433" t="str">
        <f>_xlfn.XLOOKUP(PV_DATA[[#This Row],[New Ark SKU]],Table9[New Ark SKU],Table9[Cable],,0)</f>
        <v>±1400mm</v>
      </c>
      <c r="T777" s="433">
        <v>580</v>
      </c>
      <c r="U777" s="1088">
        <v>720</v>
      </c>
      <c r="V777" s="434">
        <f>PV_DATA[[#This Row],[QUANTITY]]*PV_DATA[[#This Row],[WATT]]/1000000</f>
        <v>0.41760000000000003</v>
      </c>
      <c r="W777" s="435">
        <f>PV_DATA[[#This Row],[QUANTITY]]/PV_DATA[[#This Row],[Qty/Pallet]]</f>
        <v>20</v>
      </c>
      <c r="X777" s="1040">
        <f>PV_DATA[[#This Row],[QUANTITY]]/PV_DATA[[#This Row],[Qty/CT]]</f>
        <v>1</v>
      </c>
      <c r="Y777" s="430" t="s">
        <v>2460</v>
      </c>
      <c r="Z777" s="430" t="str">
        <f t="shared" si="9"/>
        <v>COMPLETED</v>
      </c>
      <c r="AA777" s="430" t="s">
        <v>5650</v>
      </c>
      <c r="AB777" s="543">
        <v>46232</v>
      </c>
      <c r="AC777" s="485">
        <f>IF(PV_DATA[[#This Row],[Pick- Up Date]]&lt;&gt;"",_xlfn.ISOWEEKNUM(PV_DATA[[#This Row],[Pick- Up Date]]),"")</f>
        <v>31</v>
      </c>
      <c r="AD777" s="430" t="s">
        <v>5651</v>
      </c>
      <c r="AE777" s="430"/>
      <c r="AF777" s="430" t="s">
        <v>1525</v>
      </c>
      <c r="AG777" s="430" t="s">
        <v>1525</v>
      </c>
      <c r="AH777" s="430" t="s">
        <v>124</v>
      </c>
      <c r="AI777" s="437">
        <v>46227</v>
      </c>
      <c r="AJ777" s="437">
        <f>IFERROR(IF(VLOOKUP(AT777,Vessel!A:D,4,FALSE)=0,"",VLOOKUP(AT777,Vessel!A:D,4,FALSE)),"")</f>
        <v>46237.5625</v>
      </c>
      <c r="AK777" s="437">
        <v>46237</v>
      </c>
      <c r="AL777" s="437">
        <v>46268</v>
      </c>
      <c r="AM777" s="588">
        <f>IFERROR(VLOOKUP(AT777, Vessel!A:H, 8, FALSE), "")</f>
        <v>46280.541666666664</v>
      </c>
      <c r="AN777" s="586">
        <v>46280.541666666664</v>
      </c>
      <c r="AP777" s="430" t="s">
        <v>5551</v>
      </c>
      <c r="AQ777" s="430" t="s">
        <v>80</v>
      </c>
      <c r="AR777" s="430" t="s">
        <v>5652</v>
      </c>
      <c r="AS777" s="430" t="s">
        <v>5653</v>
      </c>
      <c r="AT777" s="430" t="s">
        <v>5653</v>
      </c>
      <c r="AU7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W777" s="437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7">
        <f>IF(ISERROR(PV_DATA[[#This Row],[New Ark PO status]]),"",_xlfn.XLOOKUP(PV_DATA[[#This Row],[SPTN-PVHK New Ark PO'#]],New_Ark_Data[Purchase order Number],New_Ark_Data[Estimated time of arrival],"",0))</f>
        <v>46294</v>
      </c>
      <c r="AZ777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7">
        <f>IFERROR(PV_DATA[[#This Row],[ODP ETA Port]]+PV_DATA[[#This Row],[Customs/Leg3 Assumption]],"n/a")</f>
        <v>46289.541666666664</v>
      </c>
      <c r="BB777" s="433">
        <f>YEAR(PV_DATA[[#This Row],[ETA for New Ark update]])</f>
        <v>2026</v>
      </c>
      <c r="BC777" s="430">
        <f>MONTH(PV_DATA[[#This Row],[ETA for New Ark update]])</f>
        <v>9</v>
      </c>
      <c r="BD777" s="430">
        <f>IFERROR(_xlfn.ISOWEEKNUM(PV_DATA[[#This Row],[ETA for New Ark update]]),0)</f>
        <v>39</v>
      </c>
      <c r="BE777" s="430">
        <f>_xlfn.XLOOKUP(PV_DATA[[#This Row],[New Ark SKU]],Table9[New Ark SKU],Table9[Total PCS per Pallet],,0)</f>
        <v>36</v>
      </c>
      <c r="BF777" s="430">
        <f>_xlfn.XLOOKUP(PV_DATA[[#This Row],[New Ark SKU]],Table9[New Ark SKU],Table9[Total PCS per 40HQ Container],,0)</f>
        <v>720</v>
      </c>
      <c r="BG777" s="430" t="str">
        <f>_xlfn.XLOOKUP(PV_DATA[[#This Row],[New Ark SKU]],Table9[New Ark SKU],Table9[Back Glass],,0)</f>
        <v>Transparent</v>
      </c>
      <c r="BH777" s="610" t="str">
        <f>_xlfn.XLOOKUP(PV_DATA[[#This Row],[PORT DESTINATION]],Table12[PORT DESTINATION],Table12[Cosco Line],,0)</f>
        <v>AEM</v>
      </c>
      <c r="BJ777" s="430"/>
    </row>
    <row r="778" spans="1:62" ht="10.5">
      <c r="A778" s="462" t="s">
        <v>5654</v>
      </c>
      <c r="B778" s="462" t="s">
        <v>61</v>
      </c>
      <c r="C778" s="462" t="str">
        <f>IFERROR(LEFT(PV_DATA[[#This Row],[TCL REFERENCE]],FIND(".",PV_DATA[[#This Row],[TCL REFERENCE]],1)-1),"Main Line")</f>
        <v>26May007</v>
      </c>
      <c r="D778" s="462" t="s">
        <v>63</v>
      </c>
      <c r="E778" s="462" t="s">
        <v>64</v>
      </c>
      <c r="F778" s="462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2" t="s">
        <v>402</v>
      </c>
      <c r="H778" s="462" t="s">
        <v>451</v>
      </c>
      <c r="I778" s="462" t="s">
        <v>689</v>
      </c>
      <c r="J778" s="430" t="s">
        <v>96</v>
      </c>
      <c r="K778" s="430"/>
      <c r="L778" s="430"/>
      <c r="M778" s="430" t="s">
        <v>68</v>
      </c>
      <c r="N778" s="432">
        <v>45809</v>
      </c>
      <c r="O778" s="430" t="s">
        <v>4531</v>
      </c>
      <c r="P778" s="430" t="s">
        <v>195</v>
      </c>
      <c r="Q778" s="430" t="s">
        <v>196</v>
      </c>
      <c r="R778" s="430" t="str">
        <f>_xlfn.XLOOKUP(PV_DATA[[#This Row],[New Ark SKU]],Table9[New Ark SKU],Table9[Connector],,0)</f>
        <v>EVO2A</v>
      </c>
      <c r="S778" s="433" t="str">
        <f>_xlfn.XLOOKUP(PV_DATA[[#This Row],[New Ark SKU]],Table9[New Ark SKU],Table9[Cable],,0)</f>
        <v>±1200mm</v>
      </c>
      <c r="T778" s="433">
        <v>450</v>
      </c>
      <c r="U778" s="1088">
        <v>936</v>
      </c>
      <c r="V778" s="434">
        <f>PV_DATA[[#This Row],[QUANTITY]]*PV_DATA[[#This Row],[WATT]]/1000000</f>
        <v>0.42120000000000002</v>
      </c>
      <c r="W778" s="435">
        <f>PV_DATA[[#This Row],[QUANTITY]]/PV_DATA[[#This Row],[Qty/Pallet]]</f>
        <v>26</v>
      </c>
      <c r="X778" s="1040">
        <f>PV_DATA[[#This Row],[QUANTITY]]/PV_DATA[[#This Row],[Qty/CT]]</f>
        <v>1</v>
      </c>
      <c r="Y778" s="430" t="s">
        <v>2459</v>
      </c>
      <c r="Z778" s="430" t="str">
        <f t="shared" si="9"/>
        <v>COMPLETED</v>
      </c>
      <c r="AA778" s="430" t="s">
        <v>5655</v>
      </c>
      <c r="AB778" s="437">
        <v>46224</v>
      </c>
      <c r="AC778" s="485">
        <f>IF(PV_DATA[[#This Row],[Pick- Up Date]]&lt;&gt;"",_xlfn.ISOWEEKNUM(PV_DATA[[#This Row],[Pick- Up Date]]),"")</f>
        <v>30</v>
      </c>
      <c r="AD778" s="430" t="s">
        <v>5656</v>
      </c>
      <c r="AE778" s="430"/>
      <c r="AF778" s="430" t="s">
        <v>61</v>
      </c>
      <c r="AG778" s="430" t="s">
        <v>61</v>
      </c>
      <c r="AH778" s="430" t="s">
        <v>456</v>
      </c>
      <c r="AI778" s="437">
        <v>46229</v>
      </c>
      <c r="AJ778" s="437">
        <v>46229</v>
      </c>
      <c r="AK778" s="437">
        <v>46229</v>
      </c>
      <c r="AL778" s="437">
        <v>46278</v>
      </c>
      <c r="AM778" s="588">
        <f>IFERROR(VLOOKUP(AT778, Vessel!A:H, 8, FALSE), "")</f>
        <v>46290.041666666664</v>
      </c>
      <c r="AN778" s="586">
        <f>IFERROR(IF(VLOOKUP(AT778,Vessel!A:I,9,FALSE)=0,"",VLOOKUP(AT778,Vessel!A:I,9,FALSE)),"")</f>
        <v>46290.087800925925</v>
      </c>
      <c r="AP778" s="430" t="s">
        <v>5599</v>
      </c>
      <c r="AQ778" s="430" t="s">
        <v>80</v>
      </c>
      <c r="AR778" s="430" t="s">
        <v>5657</v>
      </c>
      <c r="AS778" s="430" t="s">
        <v>5658</v>
      </c>
      <c r="AT778" s="430" t="s">
        <v>5658</v>
      </c>
      <c r="AU7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61.087800925924967</v>
      </c>
      <c r="AV778" s="437"/>
      <c r="AW778" s="437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46290.087800925925</v>
      </c>
      <c r="AX7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7">
        <f>IF(ISERROR(PV_DATA[[#This Row],[New Ark PO status]]),"",_xlfn.XLOOKUP(PV_DATA[[#This Row],[SPTN-PVHK New Ark PO'#]],New_Ark_Data[Purchase order Number],New_Ark_Data[Estimated time of arrival],"",0))</f>
        <v>46668</v>
      </c>
      <c r="AZ77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7">
        <f>IFERROR(PV_DATA[[#This Row],[ODP ETA Port]]+PV_DATA[[#This Row],[Customs/Leg3 Assumption]],"n/a")</f>
        <v>46297.087800925925</v>
      </c>
      <c r="BB778" s="433">
        <f>YEAR(PV_DATA[[#This Row],[ETA for New Ark update]])</f>
        <v>2026</v>
      </c>
      <c r="BC778" s="430">
        <f>MONTH(PV_DATA[[#This Row],[ETA for New Ark update]])</f>
        <v>10</v>
      </c>
      <c r="BD778" s="430">
        <f>IFERROR(_xlfn.ISOWEEKNUM(PV_DATA[[#This Row],[ETA for New Ark update]]),0)</f>
        <v>40</v>
      </c>
      <c r="BE778" s="430">
        <f>_xlfn.XLOOKUP(PV_DATA[[#This Row],[New Ark SKU]],Table9[New Ark SKU],Table9[Total PCS per Pallet],,0)</f>
        <v>36</v>
      </c>
      <c r="BF778" s="430">
        <f>_xlfn.XLOOKUP(PV_DATA[[#This Row],[New Ark SKU]],Table9[New Ark SKU],Table9[Total PCS per 40HQ Container],,0)</f>
        <v>936</v>
      </c>
      <c r="BG778" s="430" t="str">
        <f>_xlfn.XLOOKUP(PV_DATA[[#This Row],[New Ark SKU]],Table9[New Ark SKU],Table9[Back Glass],,0)</f>
        <v>Black glazing</v>
      </c>
      <c r="BH778" s="430" t="str">
        <f>_xlfn.XLOOKUP(PV_DATA[[#This Row],[PORT DESTINATION]],Table12[PORT DESTINATION],Table12[Cosco Line],,0)</f>
        <v>AEU</v>
      </c>
      <c r="BJ778" s="430"/>
    </row>
    <row r="779" spans="1:62" ht="10.5">
      <c r="A779" s="462" t="s">
        <v>5659</v>
      </c>
      <c r="B779" s="462" t="s">
        <v>61</v>
      </c>
      <c r="C779" s="462" t="str">
        <f>IFERROR(LEFT(PV_DATA[[#This Row],[TCL REFERENCE]],FIND(".",PV_DATA[[#This Row],[TCL REFERENCE]],1)-1),"Main Line")</f>
        <v>26Jul011</v>
      </c>
      <c r="D779" s="462" t="s">
        <v>63</v>
      </c>
      <c r="E779" s="462" t="s">
        <v>64</v>
      </c>
      <c r="F779" s="462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2" t="s">
        <v>402</v>
      </c>
      <c r="H779" s="462" t="s">
        <v>67</v>
      </c>
      <c r="I779" s="462" t="s">
        <v>882</v>
      </c>
      <c r="J779" s="430" t="s">
        <v>96</v>
      </c>
      <c r="K779" s="430"/>
      <c r="L779" s="430"/>
      <c r="M779" s="430" t="s">
        <v>68</v>
      </c>
      <c r="N779" s="432">
        <v>46209</v>
      </c>
      <c r="O779" s="430" t="s">
        <v>284</v>
      </c>
      <c r="P779" s="430" t="s">
        <v>5583</v>
      </c>
      <c r="Q779" s="430" t="s">
        <v>1570</v>
      </c>
      <c r="R779" s="430" t="str">
        <f>_xlfn.XLOOKUP(PV_DATA[[#This Row],[New Ark SKU]],Table9[New Ark SKU],Table9[Connector],,0)</f>
        <v>H4(Com)</v>
      </c>
      <c r="S779" s="433" t="str">
        <f>_xlfn.XLOOKUP(PV_DATA[[#This Row],[New Ark SKU]],Table9[New Ark SKU],Table9[Cable],,0)</f>
        <v>±1400mm</v>
      </c>
      <c r="T779" s="433">
        <v>650</v>
      </c>
      <c r="U779" s="1088">
        <f>720*7</f>
        <v>5040</v>
      </c>
      <c r="V779" s="434">
        <f>PV_DATA[[#This Row],[QUANTITY]]*PV_DATA[[#This Row],[WATT]]/1000000</f>
        <v>3.2759999999999998</v>
      </c>
      <c r="W779" s="435">
        <f>PV_DATA[[#This Row],[QUANTITY]]/PV_DATA[[#This Row],[Qty/Pallet]]</f>
        <v>140</v>
      </c>
      <c r="X779" s="1040">
        <f>PV_DATA[[#This Row],[QUANTITY]]/PV_DATA[[#This Row],[Qty/CT]]</f>
        <v>7</v>
      </c>
      <c r="Y779" s="430" t="s">
        <v>2460</v>
      </c>
      <c r="Z779" s="430" t="str">
        <f t="shared" si="9"/>
        <v>COMPLETED</v>
      </c>
      <c r="AA779" s="430"/>
      <c r="AB779" s="437">
        <v>46224</v>
      </c>
      <c r="AC779" s="485">
        <f>IF(PV_DATA[[#This Row],[Pick- Up Date]]&lt;&gt;"",_xlfn.ISOWEEKNUM(PV_DATA[[#This Row],[Pick- Up Date]]),"")</f>
        <v>30</v>
      </c>
      <c r="AD779" s="430" t="s">
        <v>5660</v>
      </c>
      <c r="AE779" s="430"/>
      <c r="AF779" s="430" t="s">
        <v>77</v>
      </c>
      <c r="AG779" s="430" t="s">
        <v>61</v>
      </c>
      <c r="AH779" s="430" t="s">
        <v>105</v>
      </c>
      <c r="AI779" s="437">
        <v>46229</v>
      </c>
      <c r="AJ779" s="437">
        <v>46229</v>
      </c>
      <c r="AK779" s="437">
        <v>46229</v>
      </c>
      <c r="AL779" s="437">
        <v>46271</v>
      </c>
      <c r="AM779" s="588">
        <f>IFERROR(VLOOKUP(AT779, Vessel!A:H, 8, FALSE), "")</f>
        <v>46279.958333333336</v>
      </c>
      <c r="AN779" s="586">
        <v>46279</v>
      </c>
      <c r="AP779" s="430" t="s">
        <v>5599</v>
      </c>
      <c r="AQ779" s="430" t="s">
        <v>80</v>
      </c>
      <c r="AR779" s="430" t="s">
        <v>5661</v>
      </c>
      <c r="AS779" s="430" t="s">
        <v>5662</v>
      </c>
      <c r="AT779" s="430" t="s">
        <v>5662</v>
      </c>
      <c r="AU7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79" s="437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7">
        <f>IF(ISERROR(PV_DATA[[#This Row],[New Ark PO status]]),"",_xlfn.XLOOKUP(PV_DATA[[#This Row],[SPTN-PVHK New Ark PO'#]],New_Ark_Data[Purchase order Number],New_Ark_Data[Estimated time of arrival],"",0))</f>
        <v>46293</v>
      </c>
      <c r="AZ77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7">
        <f>IFERROR(PV_DATA[[#This Row],[ODP ETA Port]]+PV_DATA[[#This Row],[Customs/Leg3 Assumption]],"n/a")</f>
        <v>46286</v>
      </c>
      <c r="BB779" s="433">
        <f>YEAR(PV_DATA[[#This Row],[ETA for New Ark update]])</f>
        <v>2026</v>
      </c>
      <c r="BC779" s="430">
        <f>MONTH(PV_DATA[[#This Row],[ETA for New Ark update]])</f>
        <v>9</v>
      </c>
      <c r="BD779" s="430">
        <f>IFERROR(_xlfn.ISOWEEKNUM(PV_DATA[[#This Row],[ETA for New Ark update]]),0)</f>
        <v>39</v>
      </c>
      <c r="BE779" s="430">
        <f>_xlfn.XLOOKUP(PV_DATA[[#This Row],[New Ark SKU]],Table9[New Ark SKU],Table9[Total PCS per Pallet],,0)</f>
        <v>36</v>
      </c>
      <c r="BF779" s="430">
        <f>_xlfn.XLOOKUP(PV_DATA[[#This Row],[New Ark SKU]],Table9[New Ark SKU],Table9[Total PCS per 40HQ Container],,0)</f>
        <v>720</v>
      </c>
      <c r="BG779" s="430" t="str">
        <f>_xlfn.XLOOKUP(PV_DATA[[#This Row],[New Ark SKU]],Table9[New Ark SKU],Table9[Back Glass],,0)</f>
        <v>White glazing</v>
      </c>
      <c r="BH779" s="430" t="str">
        <f>_xlfn.XLOOKUP(PV_DATA[[#This Row],[PORT DESTINATION]],Table12[PORT DESTINATION],Table12[Cosco Line],,0)</f>
        <v>AEU</v>
      </c>
      <c r="BJ779" s="430"/>
    </row>
    <row r="780" spans="1:62" ht="10.5">
      <c r="A780" s="462" t="s">
        <v>5663</v>
      </c>
      <c r="B780" s="462" t="s">
        <v>61</v>
      </c>
      <c r="C780" s="462" t="str">
        <f>IFERROR(LEFT(PV_DATA[[#This Row],[TCL REFERENCE]],FIND(".",PV_DATA[[#This Row],[TCL REFERENCE]],1)-1),"Main Line")</f>
        <v>26May007</v>
      </c>
      <c r="D780" s="462" t="s">
        <v>63</v>
      </c>
      <c r="E780" s="462" t="s">
        <v>64</v>
      </c>
      <c r="F780" s="462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2" t="s">
        <v>402</v>
      </c>
      <c r="H780" s="462" t="s">
        <v>67</v>
      </c>
      <c r="I780" s="462" t="s">
        <v>689</v>
      </c>
      <c r="J780" s="430"/>
      <c r="K780" s="430"/>
      <c r="L780" s="430"/>
      <c r="M780" s="430" t="s">
        <v>68</v>
      </c>
      <c r="N780" s="432">
        <v>46111</v>
      </c>
      <c r="O780" s="430" t="s">
        <v>70</v>
      </c>
      <c r="P780" s="430" t="s">
        <v>195</v>
      </c>
      <c r="Q780" s="430" t="s">
        <v>196</v>
      </c>
      <c r="R780" s="430" t="str">
        <f>_xlfn.XLOOKUP(PV_DATA[[#This Row],[New Ark SKU]],Table9[New Ark SKU],Table9[Connector],,0)</f>
        <v>EVO2A</v>
      </c>
      <c r="S780" s="433" t="str">
        <f>_xlfn.XLOOKUP(PV_DATA[[#This Row],[New Ark SKU]],Table9[New Ark SKU],Table9[Cable],,0)</f>
        <v>±1200mm</v>
      </c>
      <c r="T780" s="433">
        <v>450</v>
      </c>
      <c r="U780" s="1088">
        <v>936</v>
      </c>
      <c r="V780" s="544">
        <f>PV_DATA[[#This Row],[QUANTITY]]*PV_DATA[[#This Row],[WATT]]/1000000</f>
        <v>0.42120000000000002</v>
      </c>
      <c r="W780" s="435">
        <f>PV_DATA[[#This Row],[QUANTITY]]/PV_DATA[[#This Row],[Qty/Pallet]]</f>
        <v>26</v>
      </c>
      <c r="X780" s="1040">
        <f>PV_DATA[[#This Row],[QUANTITY]]/PV_DATA[[#This Row],[Qty/CT]]</f>
        <v>1</v>
      </c>
      <c r="Y780" s="430" t="s">
        <v>2460</v>
      </c>
      <c r="Z780" s="430" t="str">
        <f t="shared" si="9"/>
        <v>COMPLETED</v>
      </c>
      <c r="AA780" s="430" t="s">
        <v>5050</v>
      </c>
      <c r="AB780" s="437">
        <v>46224</v>
      </c>
      <c r="AC780" s="485">
        <f>IF(PV_DATA[[#This Row],[Pick- Up Date]]&lt;&gt;"",_xlfn.ISOWEEKNUM(PV_DATA[[#This Row],[Pick- Up Date]]),"")</f>
        <v>30</v>
      </c>
      <c r="AD780" s="430" t="s">
        <v>5664</v>
      </c>
      <c r="AE780" s="430"/>
      <c r="AF780" s="430" t="s">
        <v>77</v>
      </c>
      <c r="AG780" s="430" t="s">
        <v>61</v>
      </c>
      <c r="AH780" s="430" t="s">
        <v>105</v>
      </c>
      <c r="AI780" s="437">
        <v>46229</v>
      </c>
      <c r="AJ780" s="437">
        <v>46229</v>
      </c>
      <c r="AK780" s="437">
        <v>46229</v>
      </c>
      <c r="AL780" s="437">
        <v>46271</v>
      </c>
      <c r="AM780" s="586">
        <f>IFERROR(VLOOKUP(AT780, Vessel!A:H, 8, FALSE), "")</f>
        <v>46279.958333333336</v>
      </c>
      <c r="AN780" s="586">
        <v>46279</v>
      </c>
      <c r="AP780" s="430" t="s">
        <v>5599</v>
      </c>
      <c r="AQ780" s="430" t="s">
        <v>80</v>
      </c>
      <c r="AR780" s="430" t="s">
        <v>5661</v>
      </c>
      <c r="AS780" s="430" t="s">
        <v>5662</v>
      </c>
      <c r="AT780" s="430" t="s">
        <v>5662</v>
      </c>
      <c r="AU7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80" s="437"/>
      <c r="AW780" s="437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7">
        <f>IF(ISERROR(PV_DATA[[#This Row],[New Ark PO status]]),"",_xlfn.XLOOKUP(PV_DATA[[#This Row],[SPTN-PVHK New Ark PO'#]],New_Ark_Data[Purchase order Number],New_Ark_Data[Estimated time of arrival],"",0))</f>
        <v>46293</v>
      </c>
      <c r="AZ78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7">
        <f>IFERROR(PV_DATA[[#This Row],[ODP ETA Port]]+PV_DATA[[#This Row],[Customs/Leg3 Assumption]],"n/a")</f>
        <v>46286</v>
      </c>
      <c r="BB780" s="433">
        <f>YEAR(PV_DATA[[#This Row],[ETA for New Ark update]])</f>
        <v>2026</v>
      </c>
      <c r="BC780" s="430">
        <f>MONTH(PV_DATA[[#This Row],[ETA for New Ark update]])</f>
        <v>9</v>
      </c>
      <c r="BD780" s="430">
        <f>IFERROR(_xlfn.ISOWEEKNUM(PV_DATA[[#This Row],[ETA for New Ark update]]),0)</f>
        <v>39</v>
      </c>
      <c r="BE780" s="430">
        <f>_xlfn.XLOOKUP(PV_DATA[[#This Row],[New Ark SKU]],Table9[New Ark SKU],Table9[Total PCS per Pallet],,0)</f>
        <v>36</v>
      </c>
      <c r="BF780" s="430">
        <f>_xlfn.XLOOKUP(PV_DATA[[#This Row],[New Ark SKU]],Table9[New Ark SKU],Table9[Total PCS per 40HQ Container],,0)</f>
        <v>936</v>
      </c>
      <c r="BG780" s="430" t="str">
        <f>_xlfn.XLOOKUP(PV_DATA[[#This Row],[New Ark SKU]],Table9[New Ark SKU],Table9[Back Glass],,0)</f>
        <v>Black glazing</v>
      </c>
      <c r="BH780" s="610" t="str">
        <f>_xlfn.XLOOKUP(PV_DATA[[#This Row],[PORT DESTINATION]],Table12[PORT DESTINATION],Table12[Cosco Line],,0)</f>
        <v>AEU</v>
      </c>
      <c r="BJ780" s="430"/>
    </row>
    <row r="781" spans="1:62" ht="10.5">
      <c r="A781" s="462" t="s">
        <v>5665</v>
      </c>
      <c r="B781" s="462" t="s">
        <v>1757</v>
      </c>
      <c r="C781" s="462" t="str">
        <f>IFERROR(LEFT(PV_DATA[[#This Row],[TCL REFERENCE]],FIND(".",PV_DATA[[#This Row],[TCL REFERENCE]],1)-1),"Main Line")</f>
        <v>26Jul008</v>
      </c>
      <c r="D781" s="462" t="s">
        <v>63</v>
      </c>
      <c r="E781" s="462" t="s">
        <v>64</v>
      </c>
      <c r="F781" s="462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2" t="s">
        <v>402</v>
      </c>
      <c r="H781" s="462" t="s">
        <v>451</v>
      </c>
      <c r="I781" s="462" t="s">
        <v>882</v>
      </c>
      <c r="J781" s="430" t="s">
        <v>5666</v>
      </c>
      <c r="K781" s="430"/>
      <c r="L781" s="430"/>
      <c r="M781" s="430" t="s">
        <v>68</v>
      </c>
      <c r="N781" s="432">
        <v>46209</v>
      </c>
      <c r="O781" s="430" t="s">
        <v>4531</v>
      </c>
      <c r="P781" s="430" t="s">
        <v>1151</v>
      </c>
      <c r="Q781" s="430" t="s">
        <v>421</v>
      </c>
      <c r="R781" s="430" t="str">
        <f>_xlfn.XLOOKUP(PV_DATA[[#This Row],[New Ark SKU]],Table9[New Ark SKU],Table9[Connector],,0)</f>
        <v>EVO2A</v>
      </c>
      <c r="S781" s="433" t="str">
        <f>_xlfn.XLOOKUP(PV_DATA[[#This Row],[New Ark SKU]],Table9[New Ark SKU],Table9[Cable],,0)</f>
        <v>±1200mm</v>
      </c>
      <c r="T781" s="433">
        <v>505</v>
      </c>
      <c r="U781" s="1088">
        <v>2592</v>
      </c>
      <c r="V781" s="434">
        <f>PV_DATA[[#This Row],[QUANTITY]]*PV_DATA[[#This Row],[WATT]]/1000000</f>
        <v>1.3089599999999999</v>
      </c>
      <c r="W781" s="435">
        <f>PV_DATA[[#This Row],[QUANTITY]]/PV_DATA[[#This Row],[Qty/Pallet]]</f>
        <v>72</v>
      </c>
      <c r="X781" s="1040">
        <f>PV_DATA[[#This Row],[QUANTITY]]/PV_DATA[[#This Row],[Qty/CT]]</f>
        <v>3</v>
      </c>
      <c r="Y781" s="430" t="s">
        <v>2465</v>
      </c>
      <c r="Z781" s="430" t="str">
        <f t="shared" si="9"/>
        <v>COMPLETED</v>
      </c>
      <c r="AA781" s="430" t="s">
        <v>5667</v>
      </c>
      <c r="AB781" s="437">
        <v>46234</v>
      </c>
      <c r="AC781" s="485">
        <f>IF(PV_DATA[[#This Row],[Pick- Up Date]]&lt;&gt;"",_xlfn.ISOWEEKNUM(PV_DATA[[#This Row],[Pick- Up Date]]),"")</f>
        <v>31</v>
      </c>
      <c r="AD781" s="430" t="s">
        <v>5668</v>
      </c>
      <c r="AE781" s="430"/>
      <c r="AF781" s="459" t="s">
        <v>5034</v>
      </c>
      <c r="AG781" s="430" t="s">
        <v>123</v>
      </c>
      <c r="AH781" s="430" t="s">
        <v>456</v>
      </c>
      <c r="AI781" s="437">
        <v>46239</v>
      </c>
      <c r="AK781" s="437">
        <v>46239</v>
      </c>
      <c r="AL781" s="437">
        <v>46278</v>
      </c>
      <c r="AM781" s="588">
        <f>IFERROR(VLOOKUP(AT781, Vessel!A:H, 8, FALSE), "")</f>
        <v>46286.270833333336</v>
      </c>
      <c r="AN781" s="586">
        <f>IFERROR(IF(VLOOKUP(AT781,Vessel!A:I,9,FALSE)=0,"",VLOOKUP(AT781,Vessel!A:I,9,FALSE)),"")</f>
        <v>46286.275081018517</v>
      </c>
      <c r="AP781" s="430" t="s">
        <v>5669</v>
      </c>
      <c r="AQ781" s="438" t="s">
        <v>80</v>
      </c>
      <c r="AR781" s="430" t="s">
        <v>5670</v>
      </c>
      <c r="AS781" s="430" t="s">
        <v>5671</v>
      </c>
      <c r="AT781" s="430" t="s">
        <v>5671</v>
      </c>
      <c r="AU7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W781" s="437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7">
        <f>IF(ISERROR(PV_DATA[[#This Row],[New Ark PO status]]),"",_xlfn.XLOOKUP(PV_DATA[[#This Row],[SPTN-PVHK New Ark PO'#]],New_Ark_Data[Purchase order Number],New_Ark_Data[Estimated time of arrival],"",0))</f>
        <v>46288</v>
      </c>
      <c r="AZ78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7">
        <f>IFERROR(PV_DATA[[#This Row],[ODP ETA Port]]+PV_DATA[[#This Row],[Customs/Leg3 Assumption]],"n/a")</f>
        <v>46293.275081018517</v>
      </c>
      <c r="BB781" s="433">
        <f>YEAR(PV_DATA[[#This Row],[ETA for New Ark update]])</f>
        <v>2026</v>
      </c>
      <c r="BC781" s="430">
        <f>MONTH(PV_DATA[[#This Row],[ETA for New Ark update]])</f>
        <v>9</v>
      </c>
      <c r="BD781" s="430">
        <f>IFERROR(_xlfn.ISOWEEKNUM(PV_DATA[[#This Row],[ETA for New Ark update]]),0)</f>
        <v>40</v>
      </c>
      <c r="BE781" s="430">
        <f>_xlfn.XLOOKUP(PV_DATA[[#This Row],[New Ark SKU]],Table9[New Ark SKU],Table9[Total PCS per Pallet],,0)</f>
        <v>36</v>
      </c>
      <c r="BF781" s="430">
        <f>_xlfn.XLOOKUP(PV_DATA[[#This Row],[New Ark SKU]],Table9[New Ark SKU],Table9[Total PCS per 40HQ Container],,0)</f>
        <v>864</v>
      </c>
      <c r="BG781" s="430" t="str">
        <f>_xlfn.XLOOKUP(PV_DATA[[#This Row],[New Ark SKU]],Table9[New Ark SKU],Table9[Back Glass],,0)</f>
        <v>Black glazing</v>
      </c>
      <c r="BH781" s="430" t="str">
        <f>_xlfn.XLOOKUP(PV_DATA[[#This Row],[PORT DESTINATION]],Table12[PORT DESTINATION],Table12[Cosco Line],,0)</f>
        <v>AEU</v>
      </c>
      <c r="BJ781" s="430"/>
    </row>
    <row r="782" spans="1:62" ht="10.5">
      <c r="A782" s="462" t="s">
        <v>5672</v>
      </c>
      <c r="B782" s="462" t="s">
        <v>111</v>
      </c>
      <c r="C782" s="462" t="str">
        <f>IFERROR(LEFT(PV_DATA[[#This Row],[TCL REFERENCE]],FIND(".",PV_DATA[[#This Row],[TCL REFERENCE]],1)-1),"Main Line")</f>
        <v>26Jun002</v>
      </c>
      <c r="D782" s="462" t="s">
        <v>63</v>
      </c>
      <c r="E782" s="462" t="s">
        <v>64</v>
      </c>
      <c r="F782" s="462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2" t="s">
        <v>402</v>
      </c>
      <c r="H782" s="462" t="s">
        <v>451</v>
      </c>
      <c r="I782" s="462" t="s">
        <v>882</v>
      </c>
      <c r="J782" s="430" t="s">
        <v>96</v>
      </c>
      <c r="K782" s="430"/>
      <c r="L782" s="430"/>
      <c r="M782" s="430" t="s">
        <v>68</v>
      </c>
      <c r="N782" s="432">
        <v>46193</v>
      </c>
      <c r="O782" s="430" t="s">
        <v>550</v>
      </c>
      <c r="P782" s="430" t="s">
        <v>2134</v>
      </c>
      <c r="Q782" s="430" t="s">
        <v>2135</v>
      </c>
      <c r="R782" s="430" t="str">
        <f>_xlfn.XLOOKUP(PV_DATA[[#This Row],[New Ark SKU]],Table9[New Ark SKU],Table9[Connector],,0)</f>
        <v>EVO2A</v>
      </c>
      <c r="S782" s="433" t="str">
        <f>_xlfn.XLOOKUP(PV_DATA[[#This Row],[New Ark SKU]],Table9[New Ark SKU],Table9[Cable],,0)</f>
        <v>±1350mm</v>
      </c>
      <c r="T782" s="433">
        <v>515</v>
      </c>
      <c r="U782" s="1088">
        <f>792*1</f>
        <v>792</v>
      </c>
      <c r="V782" s="434">
        <f>PV_DATA[[#This Row],[QUANTITY]]*PV_DATA[[#This Row],[WATT]]/1000000</f>
        <v>0.40788000000000002</v>
      </c>
      <c r="W782" s="435">
        <f>PV_DATA[[#This Row],[QUANTITY]]/PV_DATA[[#This Row],[Qty/Pallet]]</f>
        <v>22</v>
      </c>
      <c r="X782" s="1040">
        <f>PV_DATA[[#This Row],[QUANTITY]]/PV_DATA[[#This Row],[Qty/CT]]</f>
        <v>1</v>
      </c>
      <c r="Y782" s="430" t="s">
        <v>2462</v>
      </c>
      <c r="Z782" s="430" t="str">
        <f t="shared" si="9"/>
        <v>COMPLETED</v>
      </c>
      <c r="AA782" s="430"/>
      <c r="AB782" s="437">
        <v>46234</v>
      </c>
      <c r="AC782" s="485">
        <f>IF(PV_DATA[[#This Row],[Pick- Up Date]]&lt;&gt;"",_xlfn.ISOWEEKNUM(PV_DATA[[#This Row],[Pick- Up Date]]),"")</f>
        <v>31</v>
      </c>
      <c r="AD782" s="430" t="s">
        <v>5673</v>
      </c>
      <c r="AE782" s="430"/>
      <c r="AF782" s="430" t="s">
        <v>122</v>
      </c>
      <c r="AG782" s="430" t="s">
        <v>123</v>
      </c>
      <c r="AH782" s="430" t="s">
        <v>456</v>
      </c>
      <c r="AI782" s="437">
        <v>46239</v>
      </c>
      <c r="AK782" s="437">
        <v>46239</v>
      </c>
      <c r="AL782" s="968">
        <v>46278</v>
      </c>
      <c r="AM782" s="1192">
        <f>IFERROR(VLOOKUP(AT782, Vessel!A:H, 8, FALSE), "")</f>
        <v>46286.270833333336</v>
      </c>
      <c r="AN782" s="586">
        <f>IFERROR(IF(VLOOKUP(AT782,Vessel!A:I,9,FALSE)=0,"",VLOOKUP(AT782,Vessel!A:I,9,FALSE)),"")</f>
        <v>46286.275081018517</v>
      </c>
      <c r="AP782" s="430" t="s">
        <v>5669</v>
      </c>
      <c r="AQ782" s="430" t="s">
        <v>80</v>
      </c>
      <c r="AR782" s="430" t="s">
        <v>5674</v>
      </c>
      <c r="AS782" s="430" t="s">
        <v>5675</v>
      </c>
      <c r="AT782" s="430" t="s">
        <v>5675</v>
      </c>
      <c r="AU7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V782" s="437"/>
      <c r="AW782" s="437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7">
        <f>IF(ISERROR(PV_DATA[[#This Row],[New Ark PO status]]),"",_xlfn.XLOOKUP(PV_DATA[[#This Row],[SPTN-PVHK New Ark PO'#]],New_Ark_Data[Purchase order Number],New_Ark_Data[Estimated time of arrival],"",0))</f>
        <v>46288</v>
      </c>
      <c r="AZ78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7">
        <f>IFERROR(PV_DATA[[#This Row],[ODP ETA Port]]+PV_DATA[[#This Row],[Customs/Leg3 Assumption]],"n/a")</f>
        <v>46293.275081018517</v>
      </c>
      <c r="BB782" s="433">
        <f>YEAR(PV_DATA[[#This Row],[ETA for New Ark update]])</f>
        <v>2026</v>
      </c>
      <c r="BC782" s="430">
        <f>MONTH(PV_DATA[[#This Row],[ETA for New Ark update]])</f>
        <v>9</v>
      </c>
      <c r="BD782" s="430">
        <f>IFERROR(_xlfn.ISOWEEKNUM(PV_DATA[[#This Row],[ETA for New Ark update]]),0)</f>
        <v>40</v>
      </c>
      <c r="BE782" s="430">
        <f>_xlfn.XLOOKUP(PV_DATA[[#This Row],[New Ark SKU]],Table9[New Ark SKU],Table9[Total PCS per Pallet],,0)</f>
        <v>36</v>
      </c>
      <c r="BF782" s="430">
        <f>_xlfn.XLOOKUP(PV_DATA[[#This Row],[New Ark SKU]],Table9[New Ark SKU],Table9[Total PCS per 40HQ Container],,0)</f>
        <v>792</v>
      </c>
      <c r="BG782" s="430" t="str">
        <f>_xlfn.XLOOKUP(PV_DATA[[#This Row],[New Ark SKU]],Table9[New Ark SKU],Table9[Back Glass],,0)</f>
        <v>Black glazing</v>
      </c>
      <c r="BH782" s="430" t="str">
        <f>_xlfn.XLOOKUP(PV_DATA[[#This Row],[PORT DESTINATION]],Table12[PORT DESTINATION],Table12[Cosco Line],,0)</f>
        <v>AEU</v>
      </c>
      <c r="BJ782" s="430"/>
    </row>
    <row r="783" spans="1:62" ht="10.5">
      <c r="A783" s="462" t="s">
        <v>5676</v>
      </c>
      <c r="B783" s="462" t="s">
        <v>111</v>
      </c>
      <c r="C783" s="462" t="str">
        <f>IFERROR(LEFT(PV_DATA[[#This Row],[TCL REFERENCE]],FIND(".",PV_DATA[[#This Row],[TCL REFERENCE]],1)-1),"Main Line")</f>
        <v>26Jun002</v>
      </c>
      <c r="D783" s="462" t="s">
        <v>63</v>
      </c>
      <c r="E783" s="462" t="s">
        <v>64</v>
      </c>
      <c r="F783" s="462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2" t="s">
        <v>402</v>
      </c>
      <c r="H783" s="462" t="s">
        <v>451</v>
      </c>
      <c r="I783" s="462" t="s">
        <v>882</v>
      </c>
      <c r="J783" s="430" t="s">
        <v>96</v>
      </c>
      <c r="K783" s="430"/>
      <c r="L783" s="430"/>
      <c r="M783" s="430" t="s">
        <v>68</v>
      </c>
      <c r="N783" s="432">
        <v>46193</v>
      </c>
      <c r="O783" s="430" t="s">
        <v>550</v>
      </c>
      <c r="P783" s="430" t="s">
        <v>2134</v>
      </c>
      <c r="Q783" s="430" t="s">
        <v>2135</v>
      </c>
      <c r="R783" s="430" t="str">
        <f>_xlfn.XLOOKUP(PV_DATA[[#This Row],[New Ark SKU]],Table9[New Ark SKU],Table9[Connector],,0)</f>
        <v>EVO2A</v>
      </c>
      <c r="S783" s="433" t="str">
        <f>_xlfn.XLOOKUP(PV_DATA[[#This Row],[New Ark SKU]],Table9[New Ark SKU],Table9[Cable],,0)</f>
        <v>±1350mm</v>
      </c>
      <c r="T783" s="433">
        <v>515</v>
      </c>
      <c r="U783" s="1088">
        <f>792*1</f>
        <v>792</v>
      </c>
      <c r="V783" s="434">
        <f>PV_DATA[[#This Row],[QUANTITY]]*PV_DATA[[#This Row],[WATT]]/1000000</f>
        <v>0.40788000000000002</v>
      </c>
      <c r="W783" s="435">
        <f>PV_DATA[[#This Row],[QUANTITY]]/PV_DATA[[#This Row],[Qty/Pallet]]</f>
        <v>22</v>
      </c>
      <c r="X783" s="1040">
        <f>PV_DATA[[#This Row],[QUANTITY]]/PV_DATA[[#This Row],[Qty/CT]]</f>
        <v>1</v>
      </c>
      <c r="Y783" s="430" t="s">
        <v>2463</v>
      </c>
      <c r="Z783" s="430" t="str">
        <f t="shared" si="9"/>
        <v>COMPLETED</v>
      </c>
      <c r="AA783" s="430"/>
      <c r="AB783" s="437">
        <v>46234</v>
      </c>
      <c r="AC783" s="485">
        <f>IF(PV_DATA[[#This Row],[Pick- Up Date]]&lt;&gt;"",_xlfn.ISOWEEKNUM(PV_DATA[[#This Row],[Pick- Up Date]]),"")</f>
        <v>31</v>
      </c>
      <c r="AD783" s="430" t="s">
        <v>5677</v>
      </c>
      <c r="AE783" s="430"/>
      <c r="AF783" s="430" t="s">
        <v>122</v>
      </c>
      <c r="AG783" s="430" t="s">
        <v>123</v>
      </c>
      <c r="AH783" s="430" t="s">
        <v>456</v>
      </c>
      <c r="AI783" s="437">
        <v>46239</v>
      </c>
      <c r="AK783" s="437">
        <v>46239</v>
      </c>
      <c r="AL783" s="968">
        <v>46278</v>
      </c>
      <c r="AM783" s="1192">
        <f>IFERROR(VLOOKUP(AT783, Vessel!A:H, 8, FALSE), "")</f>
        <v>46286.270833333336</v>
      </c>
      <c r="AN783" s="586">
        <f>IFERROR(IF(VLOOKUP(AT783,Vessel!A:I,9,FALSE)=0,"",VLOOKUP(AT783,Vessel!A:I,9,FALSE)),"")</f>
        <v>46286.275081018517</v>
      </c>
      <c r="AP783" s="430" t="s">
        <v>5669</v>
      </c>
      <c r="AQ783" s="430" t="s">
        <v>80</v>
      </c>
      <c r="AR783" s="430" t="s">
        <v>5674</v>
      </c>
      <c r="AS783" s="430" t="s">
        <v>5675</v>
      </c>
      <c r="AT783" s="430" t="s">
        <v>5675</v>
      </c>
      <c r="AU7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V783" s="437"/>
      <c r="AW783" s="437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7">
        <f>IF(ISERROR(PV_DATA[[#This Row],[New Ark PO status]]),"",_xlfn.XLOOKUP(PV_DATA[[#This Row],[SPTN-PVHK New Ark PO'#]],New_Ark_Data[Purchase order Number],New_Ark_Data[Estimated time of arrival],"",0))</f>
        <v>46288</v>
      </c>
      <c r="AZ78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7">
        <f>IFERROR(PV_DATA[[#This Row],[ODP ETA Port]]+PV_DATA[[#This Row],[Customs/Leg3 Assumption]],"n/a")</f>
        <v>46293.275081018517</v>
      </c>
      <c r="BB783" s="433">
        <f>YEAR(PV_DATA[[#This Row],[ETA for New Ark update]])</f>
        <v>2026</v>
      </c>
      <c r="BC783" s="430">
        <f>MONTH(PV_DATA[[#This Row],[ETA for New Ark update]])</f>
        <v>9</v>
      </c>
      <c r="BD783" s="430">
        <f>IFERROR(_xlfn.ISOWEEKNUM(PV_DATA[[#This Row],[ETA for New Ark update]]),0)</f>
        <v>40</v>
      </c>
      <c r="BE783" s="430">
        <f>_xlfn.XLOOKUP(PV_DATA[[#This Row],[New Ark SKU]],Table9[New Ark SKU],Table9[Total PCS per Pallet],,0)</f>
        <v>36</v>
      </c>
      <c r="BF783" s="430">
        <f>_xlfn.XLOOKUP(PV_DATA[[#This Row],[New Ark SKU]],Table9[New Ark SKU],Table9[Total PCS per 40HQ Container],,0)</f>
        <v>792</v>
      </c>
      <c r="BG783" s="430" t="str">
        <f>_xlfn.XLOOKUP(PV_DATA[[#This Row],[New Ark SKU]],Table9[New Ark SKU],Table9[Back Glass],,0)</f>
        <v>Black glazing</v>
      </c>
      <c r="BH783" s="430" t="str">
        <f>_xlfn.XLOOKUP(PV_DATA[[#This Row],[PORT DESTINATION]],Table12[PORT DESTINATION],Table12[Cosco Line],,0)</f>
        <v>AEU</v>
      </c>
      <c r="BJ783" s="430"/>
    </row>
    <row r="784" spans="1:62" ht="10.5">
      <c r="A784" s="462" t="s">
        <v>5678</v>
      </c>
      <c r="B784" s="462" t="s">
        <v>111</v>
      </c>
      <c r="C784" s="462" t="str">
        <f>IFERROR(LEFT(PV_DATA[[#This Row],[TCL REFERENCE]],FIND(".",PV_DATA[[#This Row],[TCL REFERENCE]],1)-1),"Main Line")</f>
        <v>26Jun004</v>
      </c>
      <c r="D784" s="462" t="s">
        <v>63</v>
      </c>
      <c r="E784" s="462" t="s">
        <v>64</v>
      </c>
      <c r="F784" s="462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2" t="s">
        <v>402</v>
      </c>
      <c r="H784" s="462" t="s">
        <v>67</v>
      </c>
      <c r="I784" s="462" t="s">
        <v>882</v>
      </c>
      <c r="J784" s="430" t="s">
        <v>96</v>
      </c>
      <c r="K784" s="430"/>
      <c r="L784" s="430"/>
      <c r="M784" s="430" t="s">
        <v>68</v>
      </c>
      <c r="N784" s="432">
        <v>46188</v>
      </c>
      <c r="O784" s="430" t="s">
        <v>132</v>
      </c>
      <c r="P784" s="430" t="s">
        <v>1062</v>
      </c>
      <c r="Q784" s="430" t="s">
        <v>1063</v>
      </c>
      <c r="R784" s="430" t="str">
        <f>_xlfn.XLOOKUP(PV_DATA[[#This Row],[New Ark SKU]],Table9[New Ark SKU],Table9[Connector],,0)</f>
        <v>EVO2A</v>
      </c>
      <c r="S784" s="433" t="str">
        <f>_xlfn.XLOOKUP(PV_DATA[[#This Row],[New Ark SKU]],Table9[New Ark SKU],Table9[Cable],,0)</f>
        <v>±1200mm</v>
      </c>
      <c r="T784" s="433">
        <v>470</v>
      </c>
      <c r="U784" s="1088">
        <f>864*5</f>
        <v>4320</v>
      </c>
      <c r="V784" s="434">
        <f>PV_DATA[[#This Row],[QUANTITY]]*PV_DATA[[#This Row],[WATT]]/1000000</f>
        <v>2.0304000000000002</v>
      </c>
      <c r="W784" s="435">
        <f>PV_DATA[[#This Row],[QUANTITY]]/PV_DATA[[#This Row],[Qty/Pallet]]</f>
        <v>120</v>
      </c>
      <c r="X784" s="1040">
        <f>PV_DATA[[#This Row],[QUANTITY]]/PV_DATA[[#This Row],[Qty/CT]]</f>
        <v>5</v>
      </c>
      <c r="Y784" s="430" t="s">
        <v>2460</v>
      </c>
      <c r="Z784" s="430" t="str">
        <f t="shared" si="9"/>
        <v>COMPLETED</v>
      </c>
      <c r="AA784" s="430" t="s">
        <v>5047</v>
      </c>
      <c r="AB784" s="437">
        <v>46232</v>
      </c>
      <c r="AC784" s="485">
        <f>IF(PV_DATA[[#This Row],[Pick- Up Date]]&lt;&gt;"",_xlfn.ISOWEEKNUM(PV_DATA[[#This Row],[Pick- Up Date]]),"")</f>
        <v>31</v>
      </c>
      <c r="AD784" s="430" t="s">
        <v>5679</v>
      </c>
      <c r="AE784" s="430"/>
      <c r="AF784" s="430" t="s">
        <v>122</v>
      </c>
      <c r="AG784" s="430" t="s">
        <v>123</v>
      </c>
      <c r="AH784" s="430" t="s">
        <v>105</v>
      </c>
      <c r="AI784" s="437">
        <v>46235</v>
      </c>
      <c r="AJ784" s="437">
        <v>46238</v>
      </c>
      <c r="AK784" s="437">
        <v>46238</v>
      </c>
      <c r="AL784" s="437">
        <v>46277</v>
      </c>
      <c r="AM784" s="437">
        <v>46285</v>
      </c>
      <c r="AN784" s="437">
        <v>46285</v>
      </c>
      <c r="AP784" s="430" t="s">
        <v>5680</v>
      </c>
      <c r="AQ784" s="430" t="s">
        <v>161</v>
      </c>
      <c r="AR784" s="430" t="s">
        <v>5681</v>
      </c>
      <c r="AS784" s="430" t="s">
        <v>5682</v>
      </c>
      <c r="AT784" s="430" t="s">
        <v>5683</v>
      </c>
      <c r="AU7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4" s="437"/>
      <c r="AW784" s="437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7">
        <f>IF(ISERROR(PV_DATA[[#This Row],[New Ark PO status]]),"",_xlfn.XLOOKUP(PV_DATA[[#This Row],[SPTN-PVHK New Ark PO'#]],New_Ark_Data[Purchase order Number],New_Ark_Data[Estimated time of arrival],"",0))</f>
        <v>46290</v>
      </c>
      <c r="AZ78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7">
        <f>IFERROR(PV_DATA[[#This Row],[ODP ETA Port]]+PV_DATA[[#This Row],[Customs/Leg3 Assumption]],"n/a")</f>
        <v>46292</v>
      </c>
      <c r="BB784" s="433">
        <f>YEAR(PV_DATA[[#This Row],[ETA for New Ark update]])</f>
        <v>2026</v>
      </c>
      <c r="BC784" s="430">
        <f>MONTH(PV_DATA[[#This Row],[ETA for New Ark update]])</f>
        <v>9</v>
      </c>
      <c r="BD784" s="430">
        <f>IFERROR(_xlfn.ISOWEEKNUM(PV_DATA[[#This Row],[ETA for New Ark update]]),0)</f>
        <v>39</v>
      </c>
      <c r="BE784" s="430">
        <f>_xlfn.XLOOKUP(PV_DATA[[#This Row],[New Ark SKU]],Table9[New Ark SKU],Table9[Total PCS per Pallet],,0)</f>
        <v>36</v>
      </c>
      <c r="BF784" s="430">
        <f>_xlfn.XLOOKUP(PV_DATA[[#This Row],[New Ark SKU]],Table9[New Ark SKU],Table9[Total PCS per 40HQ Container],,0)</f>
        <v>864</v>
      </c>
      <c r="BG784" s="430" t="str">
        <f>_xlfn.XLOOKUP(PV_DATA[[#This Row],[New Ark SKU]],Table9[New Ark SKU],Table9[Back Glass],,0)</f>
        <v>White glazing</v>
      </c>
      <c r="BH784" s="430" t="str">
        <f>_xlfn.XLOOKUP(PV_DATA[[#This Row],[PORT DESTINATION]],Table12[PORT DESTINATION],Table12[Cosco Line],,0)</f>
        <v>AEU</v>
      </c>
      <c r="BJ784" s="430"/>
    </row>
    <row r="785" spans="1:62" ht="10.5">
      <c r="A785" s="462" t="s">
        <v>5684</v>
      </c>
      <c r="B785" s="462" t="s">
        <v>111</v>
      </c>
      <c r="C785" s="462" t="str">
        <f>IFERROR(LEFT(PV_DATA[[#This Row],[TCL REFERENCE]],FIND(".",PV_DATA[[#This Row],[TCL REFERENCE]],1)-1),"Main Line")</f>
        <v>26Jun016</v>
      </c>
      <c r="D785" s="462" t="s">
        <v>63</v>
      </c>
      <c r="E785" s="462" t="s">
        <v>64</v>
      </c>
      <c r="F785" s="462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2" t="s">
        <v>402</v>
      </c>
      <c r="H785" s="462" t="s">
        <v>67</v>
      </c>
      <c r="I785" s="462" t="s">
        <v>822</v>
      </c>
      <c r="J785" s="430" t="s">
        <v>96</v>
      </c>
      <c r="K785" s="430"/>
      <c r="L785" s="430"/>
      <c r="M785" s="430" t="s">
        <v>68</v>
      </c>
      <c r="N785" s="432">
        <v>46202</v>
      </c>
      <c r="O785" s="430" t="s">
        <v>5379</v>
      </c>
      <c r="P785" s="430" t="s">
        <v>5380</v>
      </c>
      <c r="Q785" s="430" t="s">
        <v>5381</v>
      </c>
      <c r="R785" s="430" t="str">
        <f>_xlfn.XLOOKUP(PV_DATA[[#This Row],[New Ark SKU]],Table9[New Ark SKU],Table9[Connector],,0)</f>
        <v>EVO2A</v>
      </c>
      <c r="S785" s="433" t="str">
        <f>_xlfn.XLOOKUP(PV_DATA[[#This Row],[New Ark SKU]],Table9[New Ark SKU],Table9[Cable],,0)</f>
        <v>±1200mm</v>
      </c>
      <c r="T785" s="433">
        <v>470</v>
      </c>
      <c r="U785" s="1088">
        <v>936</v>
      </c>
      <c r="V785" s="434">
        <f>PV_DATA[[#This Row],[QUANTITY]]*PV_DATA[[#This Row],[WATT]]/1000000</f>
        <v>0.43991999999999998</v>
      </c>
      <c r="W785" s="435">
        <f>PV_DATA[[#This Row],[QUANTITY]]/PV_DATA[[#This Row],[Qty/Pallet]]</f>
        <v>26</v>
      </c>
      <c r="X785" s="1040">
        <f>PV_DATA[[#This Row],[QUANTITY]]/PV_DATA[[#This Row],[Qty/CT]]</f>
        <v>1</v>
      </c>
      <c r="Y785" s="430" t="s">
        <v>2460</v>
      </c>
      <c r="Z785" s="430" t="str">
        <f t="shared" si="9"/>
        <v>COMPLETED</v>
      </c>
      <c r="AA785" s="430" t="s">
        <v>5422</v>
      </c>
      <c r="AB785" s="437">
        <v>46232</v>
      </c>
      <c r="AC785" s="485">
        <f>IF(PV_DATA[[#This Row],[Pick- Up Date]]&lt;&gt;"",_xlfn.ISOWEEKNUM(PV_DATA[[#This Row],[Pick- Up Date]]),"")</f>
        <v>31</v>
      </c>
      <c r="AD785" s="430" t="s">
        <v>5685</v>
      </c>
      <c r="AE785" s="430"/>
      <c r="AF785" s="430" t="s">
        <v>122</v>
      </c>
      <c r="AG785" s="430" t="s">
        <v>123</v>
      </c>
      <c r="AH785" s="430" t="s">
        <v>105</v>
      </c>
      <c r="AI785" s="437">
        <v>46235</v>
      </c>
      <c r="AJ785" s="437">
        <v>46238</v>
      </c>
      <c r="AK785" s="437">
        <v>46238</v>
      </c>
      <c r="AL785" s="437">
        <v>46277</v>
      </c>
      <c r="AM785" s="437">
        <v>46285</v>
      </c>
      <c r="AN785" s="437">
        <v>46285</v>
      </c>
      <c r="AP785" s="430" t="s">
        <v>5680</v>
      </c>
      <c r="AQ785" s="430" t="s">
        <v>161</v>
      </c>
      <c r="AR785" s="430" t="s">
        <v>5681</v>
      </c>
      <c r="AS785" s="430" t="s">
        <v>5682</v>
      </c>
      <c r="AT785" s="430" t="s">
        <v>5683</v>
      </c>
      <c r="AU7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5" s="437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7">
        <f>IF(ISERROR(PV_DATA[[#This Row],[New Ark PO status]]),"",_xlfn.XLOOKUP(PV_DATA[[#This Row],[SPTN-PVHK New Ark PO'#]],New_Ark_Data[Purchase order Number],New_Ark_Data[Estimated time of arrival],"",0))</f>
        <v>46290</v>
      </c>
      <c r="AZ78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7">
        <f>IFERROR(PV_DATA[[#This Row],[ODP ETA Port]]+PV_DATA[[#This Row],[Customs/Leg3 Assumption]],"n/a")</f>
        <v>46292</v>
      </c>
      <c r="BB785" s="433">
        <f>YEAR(PV_DATA[[#This Row],[ETA for New Ark update]])</f>
        <v>2026</v>
      </c>
      <c r="BC785" s="430">
        <f>MONTH(PV_DATA[[#This Row],[ETA for New Ark update]])</f>
        <v>9</v>
      </c>
      <c r="BD785" s="430">
        <f>IFERROR(_xlfn.ISOWEEKNUM(PV_DATA[[#This Row],[ETA for New Ark update]]),0)</f>
        <v>39</v>
      </c>
      <c r="BE785" s="430">
        <f>_xlfn.XLOOKUP(PV_DATA[[#This Row],[New Ark SKU]],Table9[New Ark SKU],Table9[Total PCS per Pallet],,0)</f>
        <v>36</v>
      </c>
      <c r="BF785" s="430">
        <f>_xlfn.XLOOKUP(PV_DATA[[#This Row],[New Ark SKU]],Table9[New Ark SKU],Table9[Total PCS per 40HQ Container],,0)</f>
        <v>936</v>
      </c>
      <c r="BG785" s="430" t="str">
        <f>_xlfn.XLOOKUP(PV_DATA[[#This Row],[New Ark SKU]],Table9[New Ark SKU],Table9[Back Glass],,0)</f>
        <v>Black glazing</v>
      </c>
      <c r="BH785" s="430" t="str">
        <f>_xlfn.XLOOKUP(PV_DATA[[#This Row],[PORT DESTINATION]],Table12[PORT DESTINATION],Table12[Cosco Line],,0)</f>
        <v>AEU</v>
      </c>
      <c r="BJ785" s="430"/>
    </row>
    <row r="786" spans="1:62" ht="10.5">
      <c r="A786" s="462" t="s">
        <v>5686</v>
      </c>
      <c r="B786" s="462" t="s">
        <v>111</v>
      </c>
      <c r="C786" s="462" t="str">
        <f>IFERROR(LEFT(PV_DATA[[#This Row],[TCL REFERENCE]],FIND(".",PV_DATA[[#This Row],[TCL REFERENCE]],1)-1),"Main Line")</f>
        <v>26Jun004</v>
      </c>
      <c r="D786" s="462" t="s">
        <v>63</v>
      </c>
      <c r="E786" s="462" t="s">
        <v>64</v>
      </c>
      <c r="F786" s="462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2" t="s">
        <v>402</v>
      </c>
      <c r="H786" s="462" t="s">
        <v>67</v>
      </c>
      <c r="I786" s="462" t="s">
        <v>882</v>
      </c>
      <c r="J786" s="430" t="s">
        <v>96</v>
      </c>
      <c r="K786" s="430"/>
      <c r="L786" s="430"/>
      <c r="M786" s="430" t="s">
        <v>68</v>
      </c>
      <c r="N786" s="432">
        <v>46188</v>
      </c>
      <c r="O786" s="430" t="s">
        <v>132</v>
      </c>
      <c r="P786" s="430" t="s">
        <v>1062</v>
      </c>
      <c r="Q786" s="430" t="s">
        <v>1063</v>
      </c>
      <c r="R786" s="430" t="str">
        <f>_xlfn.XLOOKUP(PV_DATA[[#This Row],[New Ark SKU]],Table9[New Ark SKU],Table9[Connector],,0)</f>
        <v>EVO2A</v>
      </c>
      <c r="S786" s="433" t="str">
        <f>_xlfn.XLOOKUP(PV_DATA[[#This Row],[New Ark SKU]],Table9[New Ark SKU],Table9[Cable],,0)</f>
        <v>±1200mm</v>
      </c>
      <c r="T786" s="433">
        <v>470</v>
      </c>
      <c r="U786" s="1088">
        <v>1728</v>
      </c>
      <c r="V786" s="434">
        <f>PV_DATA[[#This Row],[QUANTITY]]*PV_DATA[[#This Row],[WATT]]/1000000</f>
        <v>0.81215999999999999</v>
      </c>
      <c r="W786" s="435">
        <f>PV_DATA[[#This Row],[QUANTITY]]/PV_DATA[[#This Row],[Qty/Pallet]]</f>
        <v>48</v>
      </c>
      <c r="X786" s="1040">
        <f>PV_DATA[[#This Row],[QUANTITY]]/PV_DATA[[#This Row],[Qty/CT]]</f>
        <v>2</v>
      </c>
      <c r="Y786" s="430" t="s">
        <v>2458</v>
      </c>
      <c r="Z786" s="430" t="str">
        <f t="shared" si="9"/>
        <v>COMPLETED</v>
      </c>
      <c r="AA786" s="430"/>
      <c r="AB786" s="437">
        <v>46232</v>
      </c>
      <c r="AC786" s="485">
        <f>IF(PV_DATA[[#This Row],[Pick- Up Date]]&lt;&gt;"",_xlfn.ISOWEEKNUM(PV_DATA[[#This Row],[Pick- Up Date]]),"")</f>
        <v>31</v>
      </c>
      <c r="AD786" s="430" t="s">
        <v>5687</v>
      </c>
      <c r="AE786" s="430"/>
      <c r="AF786" s="430" t="s">
        <v>122</v>
      </c>
      <c r="AG786" s="430" t="s">
        <v>123</v>
      </c>
      <c r="AH786" s="430" t="s">
        <v>105</v>
      </c>
      <c r="AI786" s="437">
        <v>46235</v>
      </c>
      <c r="AJ786" s="437">
        <v>46238</v>
      </c>
      <c r="AK786" s="437">
        <v>46238</v>
      </c>
      <c r="AL786" s="437">
        <v>46277</v>
      </c>
      <c r="AM786" s="437">
        <v>46285</v>
      </c>
      <c r="AN786" s="437">
        <v>46285</v>
      </c>
      <c r="AP786" s="430" t="s">
        <v>5680</v>
      </c>
      <c r="AQ786" s="430" t="s">
        <v>161</v>
      </c>
      <c r="AR786" s="430" t="s">
        <v>5681</v>
      </c>
      <c r="AS786" s="430" t="s">
        <v>5682</v>
      </c>
      <c r="AT786" s="430" t="s">
        <v>5683</v>
      </c>
      <c r="AU7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6" s="437"/>
      <c r="AW786" s="437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7">
        <f>IF(ISERROR(PV_DATA[[#This Row],[New Ark PO status]]),"",_xlfn.XLOOKUP(PV_DATA[[#This Row],[SPTN-PVHK New Ark PO'#]],New_Ark_Data[Purchase order Number],New_Ark_Data[Estimated time of arrival],"",0))</f>
        <v>46283</v>
      </c>
      <c r="AZ78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7">
        <f>IFERROR(PV_DATA[[#This Row],[ODP ETA Port]]+PV_DATA[[#This Row],[Customs/Leg3 Assumption]],"n/a")</f>
        <v>46292</v>
      </c>
      <c r="BB786" s="433">
        <f>YEAR(PV_DATA[[#This Row],[ETA for New Ark update]])</f>
        <v>2026</v>
      </c>
      <c r="BC786" s="430">
        <f>MONTH(PV_DATA[[#This Row],[ETA for New Ark update]])</f>
        <v>9</v>
      </c>
      <c r="BD786" s="430">
        <f>IFERROR(_xlfn.ISOWEEKNUM(PV_DATA[[#This Row],[ETA for New Ark update]]),0)</f>
        <v>39</v>
      </c>
      <c r="BE786" s="430">
        <f>_xlfn.XLOOKUP(PV_DATA[[#This Row],[New Ark SKU]],Table9[New Ark SKU],Table9[Total PCS per Pallet],,0)</f>
        <v>36</v>
      </c>
      <c r="BF786" s="430">
        <f>_xlfn.XLOOKUP(PV_DATA[[#This Row],[New Ark SKU]],Table9[New Ark SKU],Table9[Total PCS per 40HQ Container],,0)</f>
        <v>864</v>
      </c>
      <c r="BG786" s="430" t="str">
        <f>_xlfn.XLOOKUP(PV_DATA[[#This Row],[New Ark SKU]],Table9[New Ark SKU],Table9[Back Glass],,0)</f>
        <v>White glazing</v>
      </c>
      <c r="BH786" s="430" t="str">
        <f>_xlfn.XLOOKUP(PV_DATA[[#This Row],[PORT DESTINATION]],Table12[PORT DESTINATION],Table12[Cosco Line],,0)</f>
        <v>AEU</v>
      </c>
      <c r="BJ786" s="430"/>
    </row>
    <row r="787" spans="1:62" ht="10.5">
      <c r="A787" s="462" t="s">
        <v>5688</v>
      </c>
      <c r="B787" s="462" t="s">
        <v>111</v>
      </c>
      <c r="C787" s="462" t="str">
        <f>IFERROR(LEFT(PV_DATA[[#This Row],[TCL REFERENCE]],FIND(".",PV_DATA[[#This Row],[TCL REFERENCE]],1)-1),"Main Line")</f>
        <v>26Jun016</v>
      </c>
      <c r="D787" s="462" t="s">
        <v>63</v>
      </c>
      <c r="E787" s="462" t="s">
        <v>64</v>
      </c>
      <c r="F787" s="462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2" t="s">
        <v>402</v>
      </c>
      <c r="H787" s="462" t="s">
        <v>67</v>
      </c>
      <c r="I787" s="462" t="s">
        <v>882</v>
      </c>
      <c r="J787" s="430" t="s">
        <v>96</v>
      </c>
      <c r="K787" s="430"/>
      <c r="L787" s="430"/>
      <c r="M787" s="430" t="s">
        <v>68</v>
      </c>
      <c r="N787" s="432">
        <v>46202</v>
      </c>
      <c r="O787" s="430" t="s">
        <v>5379</v>
      </c>
      <c r="P787" s="430" t="s">
        <v>5380</v>
      </c>
      <c r="Q787" s="430" t="s">
        <v>5381</v>
      </c>
      <c r="R787" s="430" t="str">
        <f>_xlfn.XLOOKUP(PV_DATA[[#This Row],[New Ark SKU]],Table9[New Ark SKU],Table9[Connector],,0)</f>
        <v>EVO2A</v>
      </c>
      <c r="S787" s="433" t="str">
        <f>_xlfn.XLOOKUP(PV_DATA[[#This Row],[New Ark SKU]],Table9[New Ark SKU],Table9[Cable],,0)</f>
        <v>±1200mm</v>
      </c>
      <c r="T787" s="433">
        <v>470</v>
      </c>
      <c r="U787" s="1088">
        <f>936*2</f>
        <v>1872</v>
      </c>
      <c r="V787" s="434">
        <f>PV_DATA[[#This Row],[QUANTITY]]*PV_DATA[[#This Row],[WATT]]/1000000</f>
        <v>0.87983999999999996</v>
      </c>
      <c r="W787" s="435">
        <f>PV_DATA[[#This Row],[QUANTITY]]/PV_DATA[[#This Row],[Qty/Pallet]]</f>
        <v>52</v>
      </c>
      <c r="X787" s="1040">
        <f>PV_DATA[[#This Row],[QUANTITY]]/PV_DATA[[#This Row],[Qty/CT]]</f>
        <v>2</v>
      </c>
      <c r="Y787" s="430" t="s">
        <v>2460</v>
      </c>
      <c r="Z787" s="430" t="str">
        <f t="shared" si="9"/>
        <v>COMPLETED</v>
      </c>
      <c r="AA787" s="430" t="s">
        <v>5386</v>
      </c>
      <c r="AB787" s="437">
        <v>46232</v>
      </c>
      <c r="AC787" s="485">
        <f>IF(PV_DATA[[#This Row],[Pick- Up Date]]&lt;&gt;"",_xlfn.ISOWEEKNUM(PV_DATA[[#This Row],[Pick- Up Date]]),"")</f>
        <v>31</v>
      </c>
      <c r="AD787" s="430" t="s">
        <v>5689</v>
      </c>
      <c r="AE787" s="430"/>
      <c r="AF787" s="430" t="s">
        <v>122</v>
      </c>
      <c r="AG787" s="430" t="s">
        <v>123</v>
      </c>
      <c r="AH787" s="430" t="s">
        <v>105</v>
      </c>
      <c r="AI787" s="437">
        <v>46235</v>
      </c>
      <c r="AJ787" s="437">
        <v>46238</v>
      </c>
      <c r="AK787" s="437">
        <v>46238</v>
      </c>
      <c r="AL787" s="437">
        <v>46277</v>
      </c>
      <c r="AM787" s="437">
        <v>46285</v>
      </c>
      <c r="AN787" s="437">
        <v>46285</v>
      </c>
      <c r="AP787" s="430" t="s">
        <v>5680</v>
      </c>
      <c r="AQ787" s="430" t="s">
        <v>161</v>
      </c>
      <c r="AR787" s="430" t="s">
        <v>5681</v>
      </c>
      <c r="AS787" s="430" t="s">
        <v>5682</v>
      </c>
      <c r="AT787" s="430" t="s">
        <v>5683</v>
      </c>
      <c r="AU7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7" s="437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7">
        <f>IF(ISERROR(PV_DATA[[#This Row],[New Ark PO status]]),"",_xlfn.XLOOKUP(PV_DATA[[#This Row],[SPTN-PVHK New Ark PO'#]],New_Ark_Data[Purchase order Number],New_Ark_Data[Estimated time of arrival],"",0))</f>
        <v>46290</v>
      </c>
      <c r="AZ78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7">
        <f>IFERROR(PV_DATA[[#This Row],[ODP ETA Port]]+PV_DATA[[#This Row],[Customs/Leg3 Assumption]],"n/a")</f>
        <v>46292</v>
      </c>
      <c r="BB787" s="433">
        <f>YEAR(PV_DATA[[#This Row],[ETA for New Ark update]])</f>
        <v>2026</v>
      </c>
      <c r="BC787" s="430">
        <f>MONTH(PV_DATA[[#This Row],[ETA for New Ark update]])</f>
        <v>9</v>
      </c>
      <c r="BD787" s="430">
        <f>IFERROR(_xlfn.ISOWEEKNUM(PV_DATA[[#This Row],[ETA for New Ark update]]),0)</f>
        <v>39</v>
      </c>
      <c r="BE787" s="430">
        <f>_xlfn.XLOOKUP(PV_DATA[[#This Row],[New Ark SKU]],Table9[New Ark SKU],Table9[Total PCS per Pallet],,0)</f>
        <v>36</v>
      </c>
      <c r="BF787" s="430">
        <f>_xlfn.XLOOKUP(PV_DATA[[#This Row],[New Ark SKU]],Table9[New Ark SKU],Table9[Total PCS per 40HQ Container],,0)</f>
        <v>936</v>
      </c>
      <c r="BG787" s="430" t="str">
        <f>_xlfn.XLOOKUP(PV_DATA[[#This Row],[New Ark SKU]],Table9[New Ark SKU],Table9[Back Glass],,0)</f>
        <v>Black glazing</v>
      </c>
      <c r="BH787" s="430" t="str">
        <f>_xlfn.XLOOKUP(PV_DATA[[#This Row],[PORT DESTINATION]],Table12[PORT DESTINATION],Table12[Cosco Line],,0)</f>
        <v>AEU</v>
      </c>
      <c r="BJ787" s="430"/>
    </row>
    <row r="788" spans="1:62" ht="10.5">
      <c r="A788" s="462" t="s">
        <v>5690</v>
      </c>
      <c r="B788" s="462" t="s">
        <v>111</v>
      </c>
      <c r="C788" s="462" t="str">
        <f>IFERROR(LEFT(PV_DATA[[#This Row],[TCL REFERENCE]],FIND(".",PV_DATA[[#This Row],[TCL REFERENCE]],1)-1),"Main Line")</f>
        <v>26Jul002</v>
      </c>
      <c r="D788" s="462" t="s">
        <v>63</v>
      </c>
      <c r="E788" s="462" t="s">
        <v>64</v>
      </c>
      <c r="F788" s="462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2" t="s">
        <v>402</v>
      </c>
      <c r="H788" s="462" t="s">
        <v>67</v>
      </c>
      <c r="I788" s="462" t="s">
        <v>882</v>
      </c>
      <c r="J788" s="430" t="s">
        <v>96</v>
      </c>
      <c r="K788" s="430"/>
      <c r="L788" s="430"/>
      <c r="M788" s="430" t="s">
        <v>68</v>
      </c>
      <c r="N788" s="432">
        <v>46209</v>
      </c>
      <c r="O788" s="430" t="s">
        <v>550</v>
      </c>
      <c r="P788" s="430" t="s">
        <v>2134</v>
      </c>
      <c r="Q788" s="430" t="s">
        <v>2135</v>
      </c>
      <c r="R788" s="430" t="str">
        <f>_xlfn.XLOOKUP(PV_DATA[[#This Row],[New Ark SKU]],Table9[New Ark SKU],Table9[Connector],,0)</f>
        <v>EVO2A</v>
      </c>
      <c r="S788" s="433" t="str">
        <f>_xlfn.XLOOKUP(PV_DATA[[#This Row],[New Ark SKU]],Table9[New Ark SKU],Table9[Cable],,0)</f>
        <v>±1350mm</v>
      </c>
      <c r="T788" s="433">
        <v>515</v>
      </c>
      <c r="U788" s="1088">
        <v>1584</v>
      </c>
      <c r="V788" s="434">
        <f>PV_DATA[[#This Row],[QUANTITY]]*PV_DATA[[#This Row],[WATT]]/1000000</f>
        <v>0.81576000000000004</v>
      </c>
      <c r="W788" s="435">
        <f>PV_DATA[[#This Row],[QUANTITY]]/PV_DATA[[#This Row],[Qty/Pallet]]</f>
        <v>44</v>
      </c>
      <c r="X788" s="1040">
        <f>PV_DATA[[#This Row],[QUANTITY]]/PV_DATA[[#This Row],[Qty/CT]]</f>
        <v>2</v>
      </c>
      <c r="Y788" s="430" t="s">
        <v>2461</v>
      </c>
      <c r="Z788" s="430" t="str">
        <f t="shared" si="9"/>
        <v>COMPLETED</v>
      </c>
      <c r="AA788" s="430"/>
      <c r="AB788" s="437">
        <v>46232</v>
      </c>
      <c r="AC788" s="485">
        <f>IF(PV_DATA[[#This Row],[Pick- Up Date]]&lt;&gt;"",_xlfn.ISOWEEKNUM(PV_DATA[[#This Row],[Pick- Up Date]]),"")</f>
        <v>31</v>
      </c>
      <c r="AD788" s="430" t="s">
        <v>5691</v>
      </c>
      <c r="AE788" s="430"/>
      <c r="AF788" s="430" t="s">
        <v>122</v>
      </c>
      <c r="AG788" s="430" t="s">
        <v>123</v>
      </c>
      <c r="AH788" s="430" t="s">
        <v>105</v>
      </c>
      <c r="AI788" s="437">
        <v>46235</v>
      </c>
      <c r="AJ788" s="437">
        <v>46238</v>
      </c>
      <c r="AK788" s="437">
        <v>46238</v>
      </c>
      <c r="AL788" s="968">
        <v>46277</v>
      </c>
      <c r="AM788" s="1249">
        <v>46285</v>
      </c>
      <c r="AN788" s="437">
        <v>46285</v>
      </c>
      <c r="AP788" s="430" t="s">
        <v>5680</v>
      </c>
      <c r="AQ788" s="430" t="s">
        <v>161</v>
      </c>
      <c r="AR788" s="430" t="s">
        <v>5681</v>
      </c>
      <c r="AS788" s="430" t="s">
        <v>5682</v>
      </c>
      <c r="AT788" s="430" t="s">
        <v>5683</v>
      </c>
      <c r="AU7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8" s="437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7">
        <f>IF(ISERROR(PV_DATA[[#This Row],[New Ark PO status]]),"",_xlfn.XLOOKUP(PV_DATA[[#This Row],[SPTN-PVHK New Ark PO'#]],New_Ark_Data[Purchase order Number],New_Ark_Data[Estimated time of arrival],"",0))</f>
        <v>46283</v>
      </c>
      <c r="AZ78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7">
        <f>IFERROR(PV_DATA[[#This Row],[ODP ETA Port]]+PV_DATA[[#This Row],[Customs/Leg3 Assumption]],"n/a")</f>
        <v>46292</v>
      </c>
      <c r="BB788" s="433">
        <f>YEAR(PV_DATA[[#This Row],[ETA for New Ark update]])</f>
        <v>2026</v>
      </c>
      <c r="BC788" s="430">
        <f>MONTH(PV_DATA[[#This Row],[ETA for New Ark update]])</f>
        <v>9</v>
      </c>
      <c r="BD788" s="430">
        <f>IFERROR(_xlfn.ISOWEEKNUM(PV_DATA[[#This Row],[ETA for New Ark update]]),0)</f>
        <v>39</v>
      </c>
      <c r="BE788" s="430">
        <f>_xlfn.XLOOKUP(PV_DATA[[#This Row],[New Ark SKU]],Table9[New Ark SKU],Table9[Total PCS per Pallet],,0)</f>
        <v>36</v>
      </c>
      <c r="BF788" s="430">
        <f>_xlfn.XLOOKUP(PV_DATA[[#This Row],[New Ark SKU]],Table9[New Ark SKU],Table9[Total PCS per 40HQ Container],,0)</f>
        <v>792</v>
      </c>
      <c r="BG788" s="430" t="str">
        <f>_xlfn.XLOOKUP(PV_DATA[[#This Row],[New Ark SKU]],Table9[New Ark SKU],Table9[Back Glass],,0)</f>
        <v>Black glazing</v>
      </c>
      <c r="BH788" s="430" t="str">
        <f>_xlfn.XLOOKUP(PV_DATA[[#This Row],[PORT DESTINATION]],Table12[PORT DESTINATION],Table12[Cosco Line],,0)</f>
        <v>AEU</v>
      </c>
      <c r="BJ788" s="430"/>
    </row>
    <row r="789" spans="1:62" ht="11.25" customHeight="1">
      <c r="A789" s="462" t="s">
        <v>5692</v>
      </c>
      <c r="B789" s="462" t="s">
        <v>111</v>
      </c>
      <c r="C789" s="462" t="str">
        <f>IFERROR(LEFT(PV_DATA[[#This Row],[TCL REFERENCE]],FIND(".",PV_DATA[[#This Row],[TCL REFERENCE]],1)-1),"Main Line")</f>
        <v>26Jun004</v>
      </c>
      <c r="D789" s="462" t="s">
        <v>63</v>
      </c>
      <c r="E789" s="462" t="s">
        <v>64</v>
      </c>
      <c r="F789" s="462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2" t="s">
        <v>402</v>
      </c>
      <c r="H789" s="462" t="s">
        <v>67</v>
      </c>
      <c r="I789" s="462" t="s">
        <v>882</v>
      </c>
      <c r="J789" s="430" t="s">
        <v>96</v>
      </c>
      <c r="K789" s="430"/>
      <c r="L789" s="430"/>
      <c r="M789" s="430" t="s">
        <v>68</v>
      </c>
      <c r="N789" s="432">
        <v>46188</v>
      </c>
      <c r="O789" s="430" t="s">
        <v>132</v>
      </c>
      <c r="P789" s="430" t="s">
        <v>1062</v>
      </c>
      <c r="Q789" s="430" t="s">
        <v>1063</v>
      </c>
      <c r="R789" s="430" t="str">
        <f>_xlfn.XLOOKUP(PV_DATA[[#This Row],[New Ark SKU]],Table9[New Ark SKU],Table9[Connector],,0)</f>
        <v>EVO2A</v>
      </c>
      <c r="S789" s="433" t="str">
        <f>_xlfn.XLOOKUP(PV_DATA[[#This Row],[New Ark SKU]],Table9[New Ark SKU],Table9[Cable],,0)</f>
        <v>±1200mm</v>
      </c>
      <c r="T789" s="433">
        <v>470</v>
      </c>
      <c r="U789" s="1088">
        <v>2592</v>
      </c>
      <c r="V789" s="434">
        <f>PV_DATA[[#This Row],[QUANTITY]]*PV_DATA[[#This Row],[WATT]]/1000000</f>
        <v>1.21824</v>
      </c>
      <c r="W789" s="435">
        <f>PV_DATA[[#This Row],[QUANTITY]]/PV_DATA[[#This Row],[Qty/Pallet]]</f>
        <v>72</v>
      </c>
      <c r="X789" s="1040">
        <f>PV_DATA[[#This Row],[QUANTITY]]/PV_DATA[[#This Row],[Qty/CT]]</f>
        <v>3</v>
      </c>
      <c r="Y789" s="430" t="s">
        <v>2458</v>
      </c>
      <c r="Z789" s="430" t="str">
        <f t="shared" si="9"/>
        <v>COMPLETED</v>
      </c>
      <c r="AA789" s="430"/>
      <c r="AB789" s="437">
        <v>46232</v>
      </c>
      <c r="AC789" s="485">
        <f>IF(PV_DATA[[#This Row],[Pick- Up Date]]&lt;&gt;"",_xlfn.ISOWEEKNUM(PV_DATA[[#This Row],[Pick- Up Date]]),"")</f>
        <v>31</v>
      </c>
      <c r="AD789" s="430" t="s">
        <v>5693</v>
      </c>
      <c r="AE789" s="430"/>
      <c r="AF789" s="430" t="s">
        <v>122</v>
      </c>
      <c r="AG789" s="430" t="s">
        <v>123</v>
      </c>
      <c r="AH789" s="430" t="s">
        <v>105</v>
      </c>
      <c r="AI789" s="437">
        <v>46235</v>
      </c>
      <c r="AJ789" s="437">
        <v>46238</v>
      </c>
      <c r="AK789" s="437">
        <v>46238</v>
      </c>
      <c r="AL789" s="437">
        <v>46277</v>
      </c>
      <c r="AM789" s="437">
        <v>46285</v>
      </c>
      <c r="AN789" s="437">
        <v>46285</v>
      </c>
      <c r="AP789" s="430" t="s">
        <v>5680</v>
      </c>
      <c r="AQ789" s="430" t="s">
        <v>161</v>
      </c>
      <c r="AR789" s="430" t="s">
        <v>5681</v>
      </c>
      <c r="AS789" s="430" t="s">
        <v>5682</v>
      </c>
      <c r="AT789" s="430" t="s">
        <v>5683</v>
      </c>
      <c r="AU7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9" s="437"/>
      <c r="AW789" s="437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7">
        <f>IF(ISERROR(PV_DATA[[#This Row],[New Ark PO status]]),"",_xlfn.XLOOKUP(PV_DATA[[#This Row],[SPTN-PVHK New Ark PO'#]],New_Ark_Data[Purchase order Number],New_Ark_Data[Estimated time of arrival],"",0))</f>
        <v>46290</v>
      </c>
      <c r="AZ78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7">
        <f>IFERROR(PV_DATA[[#This Row],[ODP ETA Port]]+PV_DATA[[#This Row],[Customs/Leg3 Assumption]],"n/a")</f>
        <v>46292</v>
      </c>
      <c r="BB789" s="433">
        <f>YEAR(PV_DATA[[#This Row],[ETA for New Ark update]])</f>
        <v>2026</v>
      </c>
      <c r="BC789" s="430">
        <f>MONTH(PV_DATA[[#This Row],[ETA for New Ark update]])</f>
        <v>9</v>
      </c>
      <c r="BD789" s="430">
        <f>IFERROR(_xlfn.ISOWEEKNUM(PV_DATA[[#This Row],[ETA for New Ark update]]),0)</f>
        <v>39</v>
      </c>
      <c r="BE789" s="430">
        <f>_xlfn.XLOOKUP(PV_DATA[[#This Row],[New Ark SKU]],Table9[New Ark SKU],Table9[Total PCS per Pallet],,0)</f>
        <v>36</v>
      </c>
      <c r="BF789" s="430">
        <f>_xlfn.XLOOKUP(PV_DATA[[#This Row],[New Ark SKU]],Table9[New Ark SKU],Table9[Total PCS per 40HQ Container],,0)</f>
        <v>864</v>
      </c>
      <c r="BG789" s="430" t="str">
        <f>_xlfn.XLOOKUP(PV_DATA[[#This Row],[New Ark SKU]],Table9[New Ark SKU],Table9[Back Glass],,0)</f>
        <v>White glazing</v>
      </c>
      <c r="BH789" s="430" t="str">
        <f>_xlfn.XLOOKUP(PV_DATA[[#This Row],[PORT DESTINATION]],Table12[PORT DESTINATION],Table12[Cosco Line],,0)</f>
        <v>AEU</v>
      </c>
      <c r="BJ789" s="430"/>
    </row>
    <row r="790" spans="1:62" ht="10.5">
      <c r="A790" s="462" t="s">
        <v>5694</v>
      </c>
      <c r="B790" s="462" t="s">
        <v>111</v>
      </c>
      <c r="C790" s="462" t="str">
        <f>IFERROR(LEFT(PV_DATA[[#This Row],[TCL REFERENCE]],FIND(".",PV_DATA[[#This Row],[TCL REFERENCE]],1)-1),"Main Line")</f>
        <v>26May014</v>
      </c>
      <c r="D790" s="462" t="s">
        <v>63</v>
      </c>
      <c r="E790" s="462" t="s">
        <v>144</v>
      </c>
      <c r="F790" s="462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2" t="s">
        <v>402</v>
      </c>
      <c r="H790" s="713" t="s">
        <v>1449</v>
      </c>
      <c r="I790" s="462" t="s">
        <v>689</v>
      </c>
      <c r="J790" s="430" t="s">
        <v>4591</v>
      </c>
      <c r="K790" s="430" t="s">
        <v>1451</v>
      </c>
      <c r="L790" s="430">
        <v>43</v>
      </c>
      <c r="M790" s="430" t="s">
        <v>840</v>
      </c>
      <c r="N790" s="432">
        <v>46181</v>
      </c>
      <c r="O790" s="430" t="s">
        <v>4531</v>
      </c>
      <c r="P790" s="430" t="s">
        <v>5057</v>
      </c>
      <c r="Q790" s="430" t="s">
        <v>1484</v>
      </c>
      <c r="R790" s="430" t="str">
        <f>_xlfn.XLOOKUP(PV_DATA[[#This Row],[New Ark SKU]],Table9[New Ark SKU],Table9[Connector],,0)</f>
        <v>H4(Com)</v>
      </c>
      <c r="S790" s="433" t="str">
        <f>_xlfn.XLOOKUP(PV_DATA[[#This Row],[New Ark SKU]],Table9[New Ark SKU],Table9[Cable],,0)</f>
        <v>+400mm/-200mm</v>
      </c>
      <c r="T790" s="433">
        <v>725</v>
      </c>
      <c r="U790" s="1088">
        <v>2376</v>
      </c>
      <c r="V790" s="544">
        <f>PV_DATA[[#This Row],[QUANTITY]]*PV_DATA[[#This Row],[WATT]]/1000000</f>
        <v>1.7225999999999999</v>
      </c>
      <c r="W790" s="435">
        <f>PV_DATA[[#This Row],[QUANTITY]]/PV_DATA[[#This Row],[Qty/Pallet]]</f>
        <v>72</v>
      </c>
      <c r="X790" s="1040">
        <f>PV_DATA[[#This Row],[QUANTITY]]/PV_DATA[[#This Row],[Qty/CT]]</f>
        <v>4</v>
      </c>
      <c r="Y790" s="430" t="s">
        <v>2458</v>
      </c>
      <c r="Z790" s="430" t="str">
        <f t="shared" si="9"/>
        <v>COMPLETED</v>
      </c>
      <c r="AA790" s="430" t="s">
        <v>5407</v>
      </c>
      <c r="AB790" s="437">
        <v>46233</v>
      </c>
      <c r="AC790" s="485">
        <f>IF(PV_DATA[[#This Row],[Pick- Up Date]]&lt;&gt;"",_xlfn.ISOWEEKNUM(PV_DATA[[#This Row],[Pick- Up Date]]),"")</f>
        <v>31</v>
      </c>
      <c r="AD790" s="435" t="s">
        <v>5695</v>
      </c>
      <c r="AE790" s="435"/>
      <c r="AF790" s="430" t="s">
        <v>122</v>
      </c>
      <c r="AG790" s="430" t="s">
        <v>123</v>
      </c>
      <c r="AH790" s="430" t="s">
        <v>105</v>
      </c>
      <c r="AI790" s="437">
        <v>46235</v>
      </c>
      <c r="AJ790" s="437">
        <v>46238</v>
      </c>
      <c r="AK790" s="437">
        <v>46238</v>
      </c>
      <c r="AL790" s="437">
        <v>46277</v>
      </c>
      <c r="AM790" s="437">
        <v>46285</v>
      </c>
      <c r="AN790" s="437">
        <v>46285</v>
      </c>
      <c r="AP790" s="430" t="s">
        <v>5680</v>
      </c>
      <c r="AQ790" s="430" t="s">
        <v>161</v>
      </c>
      <c r="AR790" s="430" t="s">
        <v>5696</v>
      </c>
      <c r="AS790" s="430" t="s">
        <v>5697</v>
      </c>
      <c r="AT790" s="430" t="s">
        <v>5698</v>
      </c>
      <c r="AU7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0" s="437"/>
      <c r="AW790" s="437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7">
        <f>IF(ISERROR(PV_DATA[[#This Row],[New Ark PO status]]),"",_xlfn.XLOOKUP(PV_DATA[[#This Row],[SPTN-PVHK New Ark PO'#]],New_Ark_Data[Purchase order Number],New_Ark_Data[Estimated time of arrival],"",0))</f>
        <v>46277</v>
      </c>
      <c r="AZ7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7">
        <f>IFERROR(PV_DATA[[#This Row],[ODP ETA Port]]+PV_DATA[[#This Row],[Customs/Leg3 Assumption]],"n/a")</f>
        <v>46285</v>
      </c>
      <c r="BB790" s="433">
        <f>YEAR(PV_DATA[[#This Row],[ETA for New Ark update]])</f>
        <v>2026</v>
      </c>
      <c r="BC790" s="430">
        <f>MONTH(PV_DATA[[#This Row],[ETA for New Ark update]])</f>
        <v>9</v>
      </c>
      <c r="BD790" s="430">
        <f>IFERROR(_xlfn.ISOWEEKNUM(PV_DATA[[#This Row],[ETA for New Ark update]]),0)</f>
        <v>38</v>
      </c>
      <c r="BE790" s="430">
        <f>_xlfn.XLOOKUP(PV_DATA[[#This Row],[New Ark SKU]],Table9[New Ark SKU],Table9[Total PCS per Pallet],,0)</f>
        <v>33</v>
      </c>
      <c r="BF790" s="430">
        <f>_xlfn.XLOOKUP(PV_DATA[[#This Row],[New Ark SKU]],Table9[New Ark SKU],Table9[Total PCS per 40HQ Container],,0)</f>
        <v>594</v>
      </c>
      <c r="BG790" s="430" t="str">
        <f>_xlfn.XLOOKUP(PV_DATA[[#This Row],[New Ark SKU]],Table9[New Ark SKU],Table9[Back Glass],,0)</f>
        <v>Transparent</v>
      </c>
      <c r="BH790" s="430" t="str">
        <f>_xlfn.XLOOKUP(PV_DATA[[#This Row],[PORT DESTINATION]],Table12[PORT DESTINATION],Table12[Cosco Line],,0)</f>
        <v>AEU</v>
      </c>
      <c r="BJ790" s="430"/>
    </row>
    <row r="791" spans="1:62" ht="10.5">
      <c r="A791" s="462" t="s">
        <v>5699</v>
      </c>
      <c r="B791" s="462" t="s">
        <v>111</v>
      </c>
      <c r="C791" s="462" t="str">
        <f>IFERROR(LEFT(PV_DATA[[#This Row],[TCL REFERENCE]],FIND(".",PV_DATA[[#This Row],[TCL REFERENCE]],1)-1),"Main Line")</f>
        <v>26May014</v>
      </c>
      <c r="D791" s="462" t="s">
        <v>63</v>
      </c>
      <c r="E791" s="462" t="s">
        <v>144</v>
      </c>
      <c r="F791" s="462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2" t="s">
        <v>402</v>
      </c>
      <c r="H791" s="713" t="s">
        <v>1449</v>
      </c>
      <c r="I791" s="462" t="s">
        <v>689</v>
      </c>
      <c r="J791" s="430" t="s">
        <v>4591</v>
      </c>
      <c r="K791" s="430" t="s">
        <v>1451</v>
      </c>
      <c r="L791" s="430">
        <v>54</v>
      </c>
      <c r="M791" s="430" t="s">
        <v>840</v>
      </c>
      <c r="N791" s="432">
        <v>46181</v>
      </c>
      <c r="O791" s="430" t="s">
        <v>4531</v>
      </c>
      <c r="P791" s="430" t="s">
        <v>5057</v>
      </c>
      <c r="Q791" s="430" t="s">
        <v>1484</v>
      </c>
      <c r="R791" s="430" t="str">
        <f>_xlfn.XLOOKUP(PV_DATA[[#This Row],[New Ark SKU]],Table9[New Ark SKU],Table9[Connector],,0)</f>
        <v>H4(Com)</v>
      </c>
      <c r="S791" s="433" t="str">
        <f>_xlfn.XLOOKUP(PV_DATA[[#This Row],[New Ark SKU]],Table9[New Ark SKU],Table9[Cable],,0)</f>
        <v>+400mm/-200mm</v>
      </c>
      <c r="T791" s="433">
        <v>725</v>
      </c>
      <c r="U791" s="1088">
        <v>3564</v>
      </c>
      <c r="V791" s="544">
        <f>PV_DATA[[#This Row],[QUANTITY]]*PV_DATA[[#This Row],[WATT]]/1000000</f>
        <v>2.5838999999999999</v>
      </c>
      <c r="W791" s="435">
        <f>PV_DATA[[#This Row],[QUANTITY]]/PV_DATA[[#This Row],[Qty/Pallet]]</f>
        <v>108</v>
      </c>
      <c r="X791" s="1040">
        <f>PV_DATA[[#This Row],[QUANTITY]]/PV_DATA[[#This Row],[Qty/CT]]</f>
        <v>6</v>
      </c>
      <c r="Y791" s="430" t="s">
        <v>2458</v>
      </c>
      <c r="Z791" s="430" t="str">
        <f t="shared" si="9"/>
        <v>COMPLETED</v>
      </c>
      <c r="AA791" s="430" t="s">
        <v>5407</v>
      </c>
      <c r="AB791" s="437">
        <v>46233</v>
      </c>
      <c r="AC791" s="485">
        <f>IF(PV_DATA[[#This Row],[Pick- Up Date]]&lt;&gt;"",_xlfn.ISOWEEKNUM(PV_DATA[[#This Row],[Pick- Up Date]]),"")</f>
        <v>31</v>
      </c>
      <c r="AD791" s="435" t="s">
        <v>5700</v>
      </c>
      <c r="AE791" s="435"/>
      <c r="AF791" s="430" t="s">
        <v>122</v>
      </c>
      <c r="AG791" s="430" t="s">
        <v>123</v>
      </c>
      <c r="AH791" s="430" t="s">
        <v>105</v>
      </c>
      <c r="AI791" s="437">
        <v>46235</v>
      </c>
      <c r="AJ791" s="437">
        <v>46238</v>
      </c>
      <c r="AK791" s="437">
        <v>46238</v>
      </c>
      <c r="AL791" s="437">
        <v>46277</v>
      </c>
      <c r="AM791" s="437">
        <v>46285</v>
      </c>
      <c r="AN791" s="437">
        <v>46285</v>
      </c>
      <c r="AP791" s="430" t="s">
        <v>5680</v>
      </c>
      <c r="AQ791" s="430" t="s">
        <v>161</v>
      </c>
      <c r="AR791" s="430" t="s">
        <v>5696</v>
      </c>
      <c r="AS791" s="430" t="s">
        <v>5697</v>
      </c>
      <c r="AT791" s="430" t="s">
        <v>5698</v>
      </c>
      <c r="AU7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1" s="437"/>
      <c r="AW791" s="437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7">
        <f>IF(ISERROR(PV_DATA[[#This Row],[New Ark PO status]]),"",_xlfn.XLOOKUP(PV_DATA[[#This Row],[SPTN-PVHK New Ark PO'#]],New_Ark_Data[Purchase order Number],New_Ark_Data[Estimated time of arrival],"",0))</f>
        <v>46276</v>
      </c>
      <c r="AZ7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7">
        <f>IFERROR(PV_DATA[[#This Row],[ODP ETA Port]]+PV_DATA[[#This Row],[Customs/Leg3 Assumption]],"n/a")</f>
        <v>46285</v>
      </c>
      <c r="BB791" s="433">
        <f>YEAR(PV_DATA[[#This Row],[ETA for New Ark update]])</f>
        <v>2026</v>
      </c>
      <c r="BC791" s="430">
        <f>MONTH(PV_DATA[[#This Row],[ETA for New Ark update]])</f>
        <v>9</v>
      </c>
      <c r="BD791" s="430">
        <f>IFERROR(_xlfn.ISOWEEKNUM(PV_DATA[[#This Row],[ETA for New Ark update]]),0)</f>
        <v>38</v>
      </c>
      <c r="BE791" s="430">
        <f>_xlfn.XLOOKUP(PV_DATA[[#This Row],[New Ark SKU]],Table9[New Ark SKU],Table9[Total PCS per Pallet],,0)</f>
        <v>33</v>
      </c>
      <c r="BF791" s="430">
        <f>_xlfn.XLOOKUP(PV_DATA[[#This Row],[New Ark SKU]],Table9[New Ark SKU],Table9[Total PCS per 40HQ Container],,0)</f>
        <v>594</v>
      </c>
      <c r="BG791" s="430" t="str">
        <f>_xlfn.XLOOKUP(PV_DATA[[#This Row],[New Ark SKU]],Table9[New Ark SKU],Table9[Back Glass],,0)</f>
        <v>Transparent</v>
      </c>
      <c r="BH791" s="430" t="str">
        <f>_xlfn.XLOOKUP(PV_DATA[[#This Row],[PORT DESTINATION]],Table12[PORT DESTINATION],Table12[Cosco Line],,0)</f>
        <v>AEU</v>
      </c>
      <c r="BJ791" s="430"/>
    </row>
    <row r="792" spans="1:62" s="463" customFormat="1" ht="10.5">
      <c r="A792" s="462" t="s">
        <v>5701</v>
      </c>
      <c r="B792" s="462" t="s">
        <v>111</v>
      </c>
      <c r="C792" s="462" t="str">
        <f>IFERROR(LEFT(PV_DATA[[#This Row],[TCL REFERENCE]],FIND(".",PV_DATA[[#This Row],[TCL REFERENCE]],1)-1),"Main Line")</f>
        <v>26May013</v>
      </c>
      <c r="D792" s="462" t="s">
        <v>63</v>
      </c>
      <c r="E792" s="462" t="s">
        <v>144</v>
      </c>
      <c r="F792" s="462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2" t="s">
        <v>402</v>
      </c>
      <c r="H792" s="713" t="s">
        <v>1449</v>
      </c>
      <c r="I792" s="462" t="s">
        <v>822</v>
      </c>
      <c r="J792" s="430" t="s">
        <v>4591</v>
      </c>
      <c r="K792" s="430" t="s">
        <v>1451</v>
      </c>
      <c r="L792" s="430">
        <v>52</v>
      </c>
      <c r="M792" s="430" t="s">
        <v>840</v>
      </c>
      <c r="N792" s="432">
        <v>46181</v>
      </c>
      <c r="O792" s="430" t="s">
        <v>4531</v>
      </c>
      <c r="P792" s="430" t="s">
        <v>5041</v>
      </c>
      <c r="Q792" s="430" t="s">
        <v>1807</v>
      </c>
      <c r="R792" s="430" t="str">
        <f>_xlfn.XLOOKUP(PV_DATA[[#This Row],[New Ark SKU]],Table9[New Ark SKU],Table9[Connector],,0)</f>
        <v>H4(Com)</v>
      </c>
      <c r="S792" s="433" t="str">
        <f>_xlfn.XLOOKUP(PV_DATA[[#This Row],[New Ark SKU]],Table9[New Ark SKU],Table9[Cable],,0)</f>
        <v>+400mm/-200mm</v>
      </c>
      <c r="T792" s="433">
        <v>720</v>
      </c>
      <c r="U792" s="1088">
        <v>2970</v>
      </c>
      <c r="V792" s="544">
        <f>PV_DATA[[#This Row],[QUANTITY]]*PV_DATA[[#This Row],[WATT]]/1000000</f>
        <v>2.1383999999999999</v>
      </c>
      <c r="W792" s="435">
        <f>PV_DATA[[#This Row],[QUANTITY]]/PV_DATA[[#This Row],[Qty/Pallet]]</f>
        <v>90</v>
      </c>
      <c r="X792" s="1040">
        <f>PV_DATA[[#This Row],[QUANTITY]]/PV_DATA[[#This Row],[Qty/CT]]</f>
        <v>5</v>
      </c>
      <c r="Y792" s="430" t="s">
        <v>2459</v>
      </c>
      <c r="Z792" s="430" t="str">
        <f t="shared" si="9"/>
        <v>COMPLETED</v>
      </c>
      <c r="AA792" s="430" t="s">
        <v>5407</v>
      </c>
      <c r="AB792" s="437">
        <v>46233</v>
      </c>
      <c r="AC792" s="485">
        <f>IF(PV_DATA[[#This Row],[Pick- Up Date]]&lt;&gt;"",_xlfn.ISOWEEKNUM(PV_DATA[[#This Row],[Pick- Up Date]]),"")</f>
        <v>31</v>
      </c>
      <c r="AD792" s="435" t="s">
        <v>5702</v>
      </c>
      <c r="AE792" s="435"/>
      <c r="AF792" s="430" t="s">
        <v>122</v>
      </c>
      <c r="AG792" s="430" t="s">
        <v>123</v>
      </c>
      <c r="AH792" s="430" t="s">
        <v>105</v>
      </c>
      <c r="AI792" s="437">
        <v>46235</v>
      </c>
      <c r="AJ792" s="437">
        <v>46238</v>
      </c>
      <c r="AK792" s="437">
        <v>46238</v>
      </c>
      <c r="AL792" s="437">
        <v>46277</v>
      </c>
      <c r="AM792" s="437">
        <v>46285</v>
      </c>
      <c r="AN792" s="437">
        <v>46285</v>
      </c>
      <c r="AO792" s="430"/>
      <c r="AP792" s="430" t="s">
        <v>5680</v>
      </c>
      <c r="AQ792" s="430" t="s">
        <v>161</v>
      </c>
      <c r="AR792" s="430" t="s">
        <v>5696</v>
      </c>
      <c r="AS792" s="430" t="s">
        <v>5697</v>
      </c>
      <c r="AT792" s="430" t="s">
        <v>5698</v>
      </c>
      <c r="AU7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2" s="437"/>
      <c r="AW792" s="437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7">
        <f>IF(ISERROR(PV_DATA[[#This Row],[New Ark PO status]]),"",_xlfn.XLOOKUP(PV_DATA[[#This Row],[SPTN-PVHK New Ark PO'#]],New_Ark_Data[Purchase order Number],New_Ark_Data[Estimated time of arrival],"",0))</f>
        <v>46277</v>
      </c>
      <c r="AZ7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7">
        <f>IFERROR(PV_DATA[[#This Row],[ODP ETA Port]]+PV_DATA[[#This Row],[Customs/Leg3 Assumption]],"n/a")</f>
        <v>46285</v>
      </c>
      <c r="BB792" s="433">
        <f>YEAR(PV_DATA[[#This Row],[ETA for New Ark update]])</f>
        <v>2026</v>
      </c>
      <c r="BC792" s="430">
        <f>MONTH(PV_DATA[[#This Row],[ETA for New Ark update]])</f>
        <v>9</v>
      </c>
      <c r="BD792" s="430">
        <f>IFERROR(_xlfn.ISOWEEKNUM(PV_DATA[[#This Row],[ETA for New Ark update]]),0)</f>
        <v>38</v>
      </c>
      <c r="BE792" s="430">
        <f>_xlfn.XLOOKUP(PV_DATA[[#This Row],[New Ark SKU]],Table9[New Ark SKU],Table9[Total PCS per Pallet],,0)</f>
        <v>33</v>
      </c>
      <c r="BF792" s="430">
        <f>_xlfn.XLOOKUP(PV_DATA[[#This Row],[New Ark SKU]],Table9[New Ark SKU],Table9[Total PCS per 40HQ Container],,0)</f>
        <v>594</v>
      </c>
      <c r="BG792" s="430" t="str">
        <f>_xlfn.XLOOKUP(PV_DATA[[#This Row],[New Ark SKU]],Table9[New Ark SKU],Table9[Back Glass],,0)</f>
        <v>Transparent</v>
      </c>
      <c r="BH792" s="430" t="str">
        <f>_xlfn.XLOOKUP(PV_DATA[[#This Row],[PORT DESTINATION]],Table12[PORT DESTINATION],Table12[Cosco Line],,0)</f>
        <v>AEU</v>
      </c>
    </row>
    <row r="793" spans="1:62" ht="10.5">
      <c r="A793" s="462" t="s">
        <v>5703</v>
      </c>
      <c r="B793" s="462" t="s">
        <v>111</v>
      </c>
      <c r="C793" s="462" t="str">
        <f>IFERROR(LEFT(PV_DATA[[#This Row],[TCL REFERENCE]],FIND(".",PV_DATA[[#This Row],[TCL REFERENCE]],1)-1),"Main Line")</f>
        <v>26May011</v>
      </c>
      <c r="D793" s="462" t="s">
        <v>63</v>
      </c>
      <c r="E793" s="462" t="s">
        <v>144</v>
      </c>
      <c r="F793" s="462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2" t="s">
        <v>402</v>
      </c>
      <c r="H793" s="713" t="s">
        <v>670</v>
      </c>
      <c r="I793" s="462" t="s">
        <v>869</v>
      </c>
      <c r="J793" s="463" t="s">
        <v>5392</v>
      </c>
      <c r="K793" s="430" t="s">
        <v>5393</v>
      </c>
      <c r="L793" s="430">
        <v>5</v>
      </c>
      <c r="M793" s="430" t="s">
        <v>840</v>
      </c>
      <c r="N793" s="432">
        <v>46167</v>
      </c>
      <c r="O793" s="430" t="s">
        <v>4531</v>
      </c>
      <c r="P793" s="430" t="s">
        <v>4592</v>
      </c>
      <c r="Q793" s="430" t="s">
        <v>330</v>
      </c>
      <c r="R793" s="430" t="str">
        <f>_xlfn.XLOOKUP(PV_DATA[[#This Row],[New Ark SKU]],Table9[New Ark SKU],Table9[Connector],,0)</f>
        <v>H4(Com)</v>
      </c>
      <c r="S793" s="433" t="str">
        <f>_xlfn.XLOOKUP(PV_DATA[[#This Row],[New Ark SKU]],Table9[New Ark SKU],Table9[Cable],,0)</f>
        <v>+400mm/-200mm</v>
      </c>
      <c r="T793" s="433">
        <v>625</v>
      </c>
      <c r="U793" s="1088">
        <f>720*6</f>
        <v>4320</v>
      </c>
      <c r="V793" s="544">
        <f>PV_DATA[[#This Row],[QUANTITY]]*PV_DATA[[#This Row],[WATT]]/1000000</f>
        <v>2.7</v>
      </c>
      <c r="W793" s="435">
        <f>PV_DATA[[#This Row],[QUANTITY]]/PV_DATA[[#This Row],[Qty/Pallet]]</f>
        <v>120</v>
      </c>
      <c r="X793" s="1045">
        <v>6</v>
      </c>
      <c r="Y793" s="430" t="s">
        <v>2458</v>
      </c>
      <c r="Z793" s="430" t="str">
        <f t="shared" si="9"/>
        <v>COMPLETED</v>
      </c>
      <c r="AA793" s="430" t="s">
        <v>5394</v>
      </c>
      <c r="AB793" s="437">
        <v>46237</v>
      </c>
      <c r="AC793" s="485">
        <f>IF(PV_DATA[[#This Row],[Pick- Up Date]]&lt;&gt;"",_xlfn.ISOWEEKNUM(PV_DATA[[#This Row],[Pick- Up Date]]),"")</f>
        <v>32</v>
      </c>
      <c r="AD793" s="430" t="s">
        <v>5704</v>
      </c>
      <c r="AE793" s="430"/>
      <c r="AF793" s="430" t="s">
        <v>122</v>
      </c>
      <c r="AG793" s="430" t="s">
        <v>123</v>
      </c>
      <c r="AH793" s="430" t="s">
        <v>105</v>
      </c>
      <c r="AI793" s="713">
        <v>46239</v>
      </c>
      <c r="AJ793" s="437">
        <v>46241</v>
      </c>
      <c r="AK793" s="437">
        <f>IFERROR(VLOOKUP(AT793, Vessel!A:E, 5, FALSE), "")</f>
        <v>46240.230393518519</v>
      </c>
      <c r="AL793" s="437">
        <v>46274</v>
      </c>
      <c r="AM793" s="588">
        <f>IFERROR(VLOOKUP(AT793, Vessel!A:H, 8, FALSE), "")</f>
        <v>46279.958333333336</v>
      </c>
      <c r="AN793" s="586">
        <v>46279.958333333336</v>
      </c>
      <c r="AP793" s="430" t="s">
        <v>5599</v>
      </c>
      <c r="AQ793" s="430" t="s">
        <v>80</v>
      </c>
      <c r="AR793" s="430" t="s">
        <v>5705</v>
      </c>
      <c r="AS793" s="430" t="s">
        <v>5706</v>
      </c>
      <c r="AT793" s="430" t="s">
        <v>5706</v>
      </c>
      <c r="AU7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39.727939814816636</v>
      </c>
      <c r="AV793" s="437"/>
      <c r="AW793" s="437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7">
        <f>IF(ISERROR(PV_DATA[[#This Row],[New Ark PO status]]),"",_xlfn.XLOOKUP(PV_DATA[[#This Row],[SPTN-PVHK New Ark PO'#]],New_Ark_Data[Purchase order Number],New_Ark_Data[Estimated time of arrival],"",0))</f>
        <v>46280</v>
      </c>
      <c r="AZ79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7">
        <f>IFERROR(PV_DATA[[#This Row],[ODP ETA Port]]+PV_DATA[[#This Row],[Customs/Leg3 Assumption]],"n/a")</f>
        <v>46279.958333333336</v>
      </c>
      <c r="BB793" s="433">
        <f>YEAR(PV_DATA[[#This Row],[ETA for New Ark update]])</f>
        <v>2026</v>
      </c>
      <c r="BC793" s="430">
        <f>MONTH(PV_DATA[[#This Row],[ETA for New Ark update]])</f>
        <v>9</v>
      </c>
      <c r="BD793" s="430">
        <f>IFERROR(_xlfn.ISOWEEKNUM(PV_DATA[[#This Row],[ETA for New Ark update]]),0)</f>
        <v>38</v>
      </c>
      <c r="BE793" s="430">
        <f>_xlfn.XLOOKUP(PV_DATA[[#This Row],[New Ark SKU]],Table9[New Ark SKU],Table9[Total PCS per Pallet],,0)</f>
        <v>36</v>
      </c>
      <c r="BF793" s="430">
        <f>_xlfn.XLOOKUP(PV_DATA[[#This Row],[New Ark SKU]],Table9[New Ark SKU],Table9[Total PCS per 40HQ Container],,0)</f>
        <v>720</v>
      </c>
      <c r="BG793" s="430" t="str">
        <f>_xlfn.XLOOKUP(PV_DATA[[#This Row],[New Ark SKU]],Table9[New Ark SKU],Table9[Back Glass],,0)</f>
        <v>Transparent</v>
      </c>
      <c r="BH793" s="430" t="str">
        <f>_xlfn.XLOOKUP(PV_DATA[[#This Row],[PORT DESTINATION]],Table12[PORT DESTINATION],Table12[Cosco Line],,0)</f>
        <v>AEU</v>
      </c>
      <c r="BJ793" s="430"/>
    </row>
    <row r="794" spans="1:62" ht="10.5">
      <c r="A794" s="462" t="s">
        <v>5707</v>
      </c>
      <c r="B794" s="462" t="s">
        <v>111</v>
      </c>
      <c r="C794" s="462" t="str">
        <f>IFERROR(LEFT(PV_DATA[[#This Row],[TCL REFERENCE]],FIND(".",PV_DATA[[#This Row],[TCL REFERENCE]],1)-1),"Main Line")</f>
        <v>26Jun015</v>
      </c>
      <c r="D794" s="462" t="s">
        <v>63</v>
      </c>
      <c r="E794" s="462" t="s">
        <v>144</v>
      </c>
      <c r="F794" s="462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62" t="s">
        <v>402</v>
      </c>
      <c r="H794" s="462" t="s">
        <v>1080</v>
      </c>
      <c r="I794" s="462" t="s">
        <v>869</v>
      </c>
      <c r="J794" s="430" t="s">
        <v>1080</v>
      </c>
      <c r="K794" s="430" t="s">
        <v>5399</v>
      </c>
      <c r="L794" s="430">
        <v>2</v>
      </c>
      <c r="M794" s="430" t="s">
        <v>840</v>
      </c>
      <c r="N794" s="432">
        <v>46202</v>
      </c>
      <c r="O794" s="430" t="s">
        <v>5379</v>
      </c>
      <c r="P794" s="430" t="s">
        <v>5400</v>
      </c>
      <c r="Q794" s="430" t="s">
        <v>5401</v>
      </c>
      <c r="R794" s="430" t="str">
        <f>_xlfn.XLOOKUP(PV_DATA[[#This Row],[New Ark SKU]],Table9[New Ark SKU],Table9[Connector],,0)</f>
        <v>EVO2A</v>
      </c>
      <c r="S794" s="433" t="str">
        <f>_xlfn.XLOOKUP(PV_DATA[[#This Row],[New Ark SKU]],Table9[New Ark SKU],Table9[Cable],,0)</f>
        <v>±1200mm</v>
      </c>
      <c r="T794" s="433">
        <v>465</v>
      </c>
      <c r="U794" s="1088">
        <v>3744</v>
      </c>
      <c r="V794" s="434">
        <f>PV_DATA[[#This Row],[QUANTITY]]*PV_DATA[[#This Row],[WATT]]/1000000</f>
        <v>1.7409600000000001</v>
      </c>
      <c r="W794" s="435">
        <f>PV_DATA[[#This Row],[QUANTITY]]/PV_DATA[[#This Row],[Qty/Pallet]]</f>
        <v>104</v>
      </c>
      <c r="X794" s="1040">
        <f>PV_DATA[[#This Row],[QUANTITY]]/PV_DATA[[#This Row],[Qty/CT]]</f>
        <v>4</v>
      </c>
      <c r="Y794" s="430" t="s">
        <v>2460</v>
      </c>
      <c r="Z794" s="430" t="str">
        <f t="shared" si="9"/>
        <v>COMPLETED</v>
      </c>
      <c r="AA794" s="430" t="s">
        <v>5402</v>
      </c>
      <c r="AB794" s="437">
        <v>46231</v>
      </c>
      <c r="AC794" s="485">
        <f>IF(PV_DATA[[#This Row],[Pick- Up Date]]&lt;&gt;"",_xlfn.ISOWEEKNUM(PV_DATA[[#This Row],[Pick- Up Date]]),"")</f>
        <v>31</v>
      </c>
      <c r="AD794" s="430" t="s">
        <v>5708</v>
      </c>
      <c r="AE794" s="430"/>
      <c r="AF794" s="430" t="s">
        <v>122</v>
      </c>
      <c r="AG794" s="430" t="s">
        <v>123</v>
      </c>
      <c r="AH794" s="430" t="s">
        <v>105</v>
      </c>
      <c r="AI794" s="437">
        <v>46239</v>
      </c>
      <c r="AJ794" s="437">
        <f>IFERROR(IF(VLOOKUP(AT794,Vessel!A:D,4,FALSE)=0,"",VLOOKUP(AT794,Vessel!A:D,4,FALSE)),"")</f>
        <v>46240.333333333336</v>
      </c>
      <c r="AK794" s="437">
        <f>IFERROR(VLOOKUP(AT794, Vessel!A:E, 5, FALSE), "")</f>
        <v>46240.230393518519</v>
      </c>
      <c r="AL794" s="437">
        <v>46274</v>
      </c>
      <c r="AM794" s="588">
        <f>IFERROR(VLOOKUP(AT794, Vessel!A:H, 8, FALSE), "")</f>
        <v>46279.958333333336</v>
      </c>
      <c r="AN794" s="586">
        <f>IFERROR(IF(VLOOKUP(AT794,Vessel!A:I,9,FALSE)=0,"",VLOOKUP(AT794,Vessel!A:I,9,FALSE)),"")</f>
        <v>46279.935393518521</v>
      </c>
      <c r="AP794" s="430" t="s">
        <v>5599</v>
      </c>
      <c r="AQ794" s="430" t="s">
        <v>80</v>
      </c>
      <c r="AR794" s="430" t="s">
        <v>5709</v>
      </c>
      <c r="AS794" s="463" t="s">
        <v>5710</v>
      </c>
      <c r="AT794" s="463" t="s">
        <v>5710</v>
      </c>
      <c r="AU7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V794" s="430" t="s">
        <v>2538</v>
      </c>
      <c r="AW794" s="437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7">
        <f>IF(ISERROR(PV_DATA[[#This Row],[New Ark PO status]]),"",_xlfn.XLOOKUP(PV_DATA[[#This Row],[SPTN-PVHK New Ark PO'#]],New_Ark_Data[Purchase order Number],New_Ark_Data[Estimated time of arrival],"",0))</f>
        <v>46274</v>
      </c>
      <c r="AZ79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7">
        <f>IFERROR(PV_DATA[[#This Row],[ODP ETA Port]]+PV_DATA[[#This Row],[Customs/Leg3 Assumption]],"n/a")</f>
        <v>46279.935393518521</v>
      </c>
      <c r="BB794" s="433">
        <f>YEAR(PV_DATA[[#This Row],[ETA for New Ark update]])</f>
        <v>2026</v>
      </c>
      <c r="BC794" s="430">
        <f>MONTH(PV_DATA[[#This Row],[ETA for New Ark update]])</f>
        <v>9</v>
      </c>
      <c r="BD794" s="430">
        <f>IFERROR(_xlfn.ISOWEEKNUM(PV_DATA[[#This Row],[ETA for New Ark update]]),0)</f>
        <v>38</v>
      </c>
      <c r="BE794" s="430">
        <f>_xlfn.XLOOKUP(PV_DATA[[#This Row],[New Ark SKU]],Table9[New Ark SKU],Table9[Total PCS per Pallet],,0)</f>
        <v>36</v>
      </c>
      <c r="BF794" s="430">
        <f>_xlfn.XLOOKUP(PV_DATA[[#This Row],[New Ark SKU]],Table9[New Ark SKU],Table9[Total PCS per 40HQ Container],,0)</f>
        <v>936</v>
      </c>
      <c r="BG794" s="430" t="str">
        <f>_xlfn.XLOOKUP(PV_DATA[[#This Row],[New Ark SKU]],Table9[New Ark SKU],Table9[Back Glass],,0)</f>
        <v>Black glazing</v>
      </c>
      <c r="BH794" s="430" t="str">
        <f>_xlfn.XLOOKUP(PV_DATA[[#This Row],[PORT DESTINATION]],Table12[PORT DESTINATION],Table12[Cosco Line],,0)</f>
        <v>AEU</v>
      </c>
      <c r="BJ794" s="430"/>
    </row>
    <row r="795" spans="1:62" ht="10.5">
      <c r="A795" s="462" t="s">
        <v>5711</v>
      </c>
      <c r="B795" s="462" t="s">
        <v>111</v>
      </c>
      <c r="C795" s="462" t="str">
        <f>IFERROR(LEFT(PV_DATA[[#This Row],[TCL REFERENCE]],FIND(".",PV_DATA[[#This Row],[TCL REFERENCE]],1)-1),"Main Line")</f>
        <v>26Jun016</v>
      </c>
      <c r="D795" s="462" t="s">
        <v>63</v>
      </c>
      <c r="E795" s="462" t="s">
        <v>64</v>
      </c>
      <c r="F795" s="462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2" t="s">
        <v>402</v>
      </c>
      <c r="H795" s="462" t="s">
        <v>67</v>
      </c>
      <c r="I795" s="462" t="s">
        <v>822</v>
      </c>
      <c r="J795" s="430" t="s">
        <v>96</v>
      </c>
      <c r="K795" s="430"/>
      <c r="L795" s="430"/>
      <c r="M795" s="430" t="s">
        <v>68</v>
      </c>
      <c r="N795" s="432">
        <v>46202</v>
      </c>
      <c r="O795" s="430" t="s">
        <v>5379</v>
      </c>
      <c r="P795" s="430" t="s">
        <v>5380</v>
      </c>
      <c r="Q795" s="430" t="s">
        <v>5381</v>
      </c>
      <c r="R795" s="430" t="str">
        <f>_xlfn.XLOOKUP(PV_DATA[[#This Row],[New Ark SKU]],Table9[New Ark SKU],Table9[Connector],,0)</f>
        <v>EVO2A</v>
      </c>
      <c r="S795" s="433" t="str">
        <f>_xlfn.XLOOKUP(PV_DATA[[#This Row],[New Ark SKU]],Table9[New Ark SKU],Table9[Cable],,0)</f>
        <v>±1200mm</v>
      </c>
      <c r="T795" s="433">
        <v>470</v>
      </c>
      <c r="U795" s="1088">
        <v>936</v>
      </c>
      <c r="V795" s="434">
        <f>PV_DATA[[#This Row],[QUANTITY]]*PV_DATA[[#This Row],[WATT]]/1000000</f>
        <v>0.43991999999999998</v>
      </c>
      <c r="W795" s="435">
        <f>PV_DATA[[#This Row],[QUANTITY]]/PV_DATA[[#This Row],[Qty/Pallet]]</f>
        <v>26</v>
      </c>
      <c r="X795" s="1040">
        <f>PV_DATA[[#This Row],[QUANTITY]]/PV_DATA[[#This Row],[Qty/CT]]</f>
        <v>1</v>
      </c>
      <c r="Y795" s="430" t="s">
        <v>2460</v>
      </c>
      <c r="Z795" s="430" t="str">
        <f t="shared" si="9"/>
        <v>COMPLETED</v>
      </c>
      <c r="AA795" s="430" t="s">
        <v>5422</v>
      </c>
      <c r="AB795" s="437">
        <v>46231</v>
      </c>
      <c r="AC795" s="485">
        <f>IF(PV_DATA[[#This Row],[Pick- Up Date]]&lt;&gt;"",_xlfn.ISOWEEKNUM(PV_DATA[[#This Row],[Pick- Up Date]]),"")</f>
        <v>31</v>
      </c>
      <c r="AD795" s="430" t="s">
        <v>5712</v>
      </c>
      <c r="AE795" s="430"/>
      <c r="AF795" s="430" t="s">
        <v>122</v>
      </c>
      <c r="AG795" s="430" t="s">
        <v>123</v>
      </c>
      <c r="AH795" s="430" t="s">
        <v>105</v>
      </c>
      <c r="AI795" s="437">
        <v>46239</v>
      </c>
      <c r="AJ795" s="437">
        <f>IFERROR(IF(VLOOKUP(AT795,Vessel!A:D,4,FALSE)=0,"",VLOOKUP(AT795,Vessel!A:D,4,FALSE)),"")</f>
        <v>46240.333333333336</v>
      </c>
      <c r="AK795" s="437">
        <f>IFERROR(VLOOKUP(AT795, Vessel!A:E, 5, FALSE), "")</f>
        <v>46240.230393518519</v>
      </c>
      <c r="AL795" s="437">
        <v>46274</v>
      </c>
      <c r="AM795" s="588">
        <f>IFERROR(VLOOKUP(AT795, Vessel!A:H, 8, FALSE), "")</f>
        <v>46279.958333333336</v>
      </c>
      <c r="AN795" s="586">
        <f>IFERROR(IF(VLOOKUP(AT795,Vessel!A:I,9,FALSE)=0,"",VLOOKUP(AT795,Vessel!A:I,9,FALSE)),"")</f>
        <v>46279.935393518521</v>
      </c>
      <c r="AP795" s="430" t="s">
        <v>5599</v>
      </c>
      <c r="AQ795" s="430" t="s">
        <v>80</v>
      </c>
      <c r="AR795" s="430" t="s">
        <v>5713</v>
      </c>
      <c r="AS795" s="484" t="s">
        <v>5714</v>
      </c>
      <c r="AT795" s="484" t="s">
        <v>5710</v>
      </c>
      <c r="AU7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W795" s="437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7">
        <f>IF(ISERROR(PV_DATA[[#This Row],[New Ark PO status]]),"",_xlfn.XLOOKUP(PV_DATA[[#This Row],[SPTN-PVHK New Ark PO'#]],New_Ark_Data[Purchase order Number],New_Ark_Data[Estimated time of arrival],"",0))</f>
        <v>46293</v>
      </c>
      <c r="AZ79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7">
        <f>IFERROR(PV_DATA[[#This Row],[ODP ETA Port]]+PV_DATA[[#This Row],[Customs/Leg3 Assumption]],"n/a")</f>
        <v>46286.935393518521</v>
      </c>
      <c r="BB795" s="433">
        <f>YEAR(PV_DATA[[#This Row],[ETA for New Ark update]])</f>
        <v>2026</v>
      </c>
      <c r="BC795" s="430">
        <f>MONTH(PV_DATA[[#This Row],[ETA for New Ark update]])</f>
        <v>9</v>
      </c>
      <c r="BD795" s="430">
        <f>IFERROR(_xlfn.ISOWEEKNUM(PV_DATA[[#This Row],[ETA for New Ark update]]),0)</f>
        <v>39</v>
      </c>
      <c r="BE795" s="430">
        <f>_xlfn.XLOOKUP(PV_DATA[[#This Row],[New Ark SKU]],Table9[New Ark SKU],Table9[Total PCS per Pallet],,0)</f>
        <v>36</v>
      </c>
      <c r="BF795" s="430">
        <f>_xlfn.XLOOKUP(PV_DATA[[#This Row],[New Ark SKU]],Table9[New Ark SKU],Table9[Total PCS per 40HQ Container],,0)</f>
        <v>936</v>
      </c>
      <c r="BG795" s="430" t="str">
        <f>_xlfn.XLOOKUP(PV_DATA[[#This Row],[New Ark SKU]],Table9[New Ark SKU],Table9[Back Glass],,0)</f>
        <v>Black glazing</v>
      </c>
      <c r="BH795" s="430" t="str">
        <f>_xlfn.XLOOKUP(PV_DATA[[#This Row],[PORT DESTINATION]],Table12[PORT DESTINATION],Table12[Cosco Line],,0)</f>
        <v>AEU</v>
      </c>
      <c r="BJ795" s="430"/>
    </row>
    <row r="796" spans="1:62" ht="10.5">
      <c r="A796" s="462" t="s">
        <v>5715</v>
      </c>
      <c r="B796" s="462" t="s">
        <v>111</v>
      </c>
      <c r="C796" s="462" t="str">
        <f>IFERROR(LEFT(PV_DATA[[#This Row],[TCL REFERENCE]],FIND(".",PV_DATA[[#This Row],[TCL REFERENCE]],1)-1),"Main Line")</f>
        <v>26Jun015</v>
      </c>
      <c r="D796" s="462" t="s">
        <v>63</v>
      </c>
      <c r="E796" s="462" t="s">
        <v>64</v>
      </c>
      <c r="F796" s="462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2" t="s">
        <v>402</v>
      </c>
      <c r="H796" s="462" t="s">
        <v>67</v>
      </c>
      <c r="I796" s="462" t="s">
        <v>869</v>
      </c>
      <c r="J796" s="430" t="s">
        <v>96</v>
      </c>
      <c r="K796" s="430"/>
      <c r="L796" s="430"/>
      <c r="M796" s="430" t="s">
        <v>68</v>
      </c>
      <c r="N796" s="432">
        <v>46202</v>
      </c>
      <c r="O796" s="430" t="s">
        <v>5379</v>
      </c>
      <c r="P796" s="430" t="s">
        <v>5400</v>
      </c>
      <c r="Q796" s="430" t="s">
        <v>5401</v>
      </c>
      <c r="R796" s="430" t="str">
        <f>_xlfn.XLOOKUP(PV_DATA[[#This Row],[New Ark SKU]],Table9[New Ark SKU],Table9[Connector],,0)</f>
        <v>EVO2A</v>
      </c>
      <c r="S796" s="433" t="str">
        <f>_xlfn.XLOOKUP(PV_DATA[[#This Row],[New Ark SKU]],Table9[New Ark SKU],Table9[Cable],,0)</f>
        <v>±1200mm</v>
      </c>
      <c r="T796" s="433">
        <v>465</v>
      </c>
      <c r="U796" s="1088">
        <v>1872</v>
      </c>
      <c r="V796" s="434">
        <f>PV_DATA[[#This Row],[QUANTITY]]*PV_DATA[[#This Row],[WATT]]/1000000</f>
        <v>0.87048000000000003</v>
      </c>
      <c r="W796" s="435">
        <f>PV_DATA[[#This Row],[QUANTITY]]/PV_DATA[[#This Row],[Qty/Pallet]]</f>
        <v>52</v>
      </c>
      <c r="X796" s="1040">
        <f>PV_DATA[[#This Row],[QUANTITY]]/PV_DATA[[#This Row],[Qty/CT]]</f>
        <v>2</v>
      </c>
      <c r="Y796" s="430" t="s">
        <v>2459</v>
      </c>
      <c r="Z796" s="430" t="str">
        <f t="shared" si="9"/>
        <v>COMPLETED</v>
      </c>
      <c r="AA796" s="430" t="s">
        <v>5716</v>
      </c>
      <c r="AB796" s="437">
        <v>46230</v>
      </c>
      <c r="AC796" s="485">
        <f>IF(PV_DATA[[#This Row],[Pick- Up Date]]&lt;&gt;"",_xlfn.ISOWEEKNUM(PV_DATA[[#This Row],[Pick- Up Date]]),"")</f>
        <v>31</v>
      </c>
      <c r="AD796" s="430" t="s">
        <v>5717</v>
      </c>
      <c r="AE796" s="430"/>
      <c r="AF796" s="430" t="s">
        <v>122</v>
      </c>
      <c r="AG796" s="430" t="s">
        <v>123</v>
      </c>
      <c r="AH796" s="430" t="s">
        <v>105</v>
      </c>
      <c r="AI796" s="437">
        <v>46237</v>
      </c>
      <c r="AJ796" s="437">
        <f>IFERROR(IF(VLOOKUP(AT796,Vessel!A:D,4,FALSE)=0,"",VLOOKUP(AT796,Vessel!A:D,4,FALSE)),"")</f>
        <v>46240.875</v>
      </c>
      <c r="AK796" s="437">
        <f>IFERROR(VLOOKUP(AT796, Vessel!A:E, 5, FALSE), "")</f>
        <v>46240.874942129631</v>
      </c>
      <c r="AL796" s="437">
        <v>46274</v>
      </c>
      <c r="AM796" s="588">
        <f>IFERROR(VLOOKUP(AT796, Vessel!A:H, 8, FALSE), "")</f>
        <v>46283.875</v>
      </c>
      <c r="AN796" s="586">
        <f>IFERROR(IF(VLOOKUP(AT796,Vessel!A:I,9,FALSE)=0,"",VLOOKUP(AT796,Vessel!A:I,9,FALSE)),"")</f>
        <v>46283.912627314814</v>
      </c>
      <c r="AP796" s="430" t="s">
        <v>5718</v>
      </c>
      <c r="AQ796" s="438" t="s">
        <v>80</v>
      </c>
      <c r="AR796" s="430" t="s">
        <v>5719</v>
      </c>
      <c r="AS796" s="430" t="s">
        <v>5720</v>
      </c>
      <c r="AT796" s="430" t="s">
        <v>5720</v>
      </c>
      <c r="AU7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43.037685185183364</v>
      </c>
      <c r="AW796" s="437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7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7">
        <f>IF(ISERROR(PV_DATA[[#This Row],[New Ark PO status]]),"",_xlfn.XLOOKUP(PV_DATA[[#This Row],[SPTN-PVHK New Ark PO'#]],New_Ark_Data[Purchase order Number],New_Ark_Data[Estimated time of arrival],"",0))</f>
        <v>46296</v>
      </c>
      <c r="AZ79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7">
        <f>IFERROR(PV_DATA[[#This Row],[ODP ETA Port]]+PV_DATA[[#This Row],[Customs/Leg3 Assumption]],"n/a")</f>
        <v>46290.912627314814</v>
      </c>
      <c r="BB796" s="433">
        <f>YEAR(PV_DATA[[#This Row],[ETA for New Ark update]])</f>
        <v>2026</v>
      </c>
      <c r="BC796" s="430">
        <f>MONTH(PV_DATA[[#This Row],[ETA for New Ark update]])</f>
        <v>9</v>
      </c>
      <c r="BD796" s="430">
        <f>IFERROR(_xlfn.ISOWEEKNUM(PV_DATA[[#This Row],[ETA for New Ark update]]),0)</f>
        <v>39</v>
      </c>
      <c r="BE796" s="430">
        <f>_xlfn.XLOOKUP(PV_DATA[[#This Row],[New Ark SKU]],Table9[New Ark SKU],Table9[Total PCS per Pallet],,0)</f>
        <v>36</v>
      </c>
      <c r="BF796" s="430">
        <f>_xlfn.XLOOKUP(PV_DATA[[#This Row],[New Ark SKU]],Table9[New Ark SKU],Table9[Total PCS per 40HQ Container],,0)</f>
        <v>936</v>
      </c>
      <c r="BG796" s="430" t="str">
        <f>_xlfn.XLOOKUP(PV_DATA[[#This Row],[New Ark SKU]],Table9[New Ark SKU],Table9[Back Glass],,0)</f>
        <v>Black glazing</v>
      </c>
      <c r="BH796" s="430" t="str">
        <f>_xlfn.XLOOKUP(PV_DATA[[#This Row],[PORT DESTINATION]],Table12[PORT DESTINATION],Table12[Cosco Line],,0)</f>
        <v>AEU</v>
      </c>
      <c r="BJ796" s="430"/>
    </row>
    <row r="797" spans="1:62" ht="9.75" customHeight="1">
      <c r="A797" s="462" t="s">
        <v>5721</v>
      </c>
      <c r="B797" s="462" t="s">
        <v>111</v>
      </c>
      <c r="C797" s="462" t="str">
        <f>IFERROR(LEFT(PV_DATA[[#This Row],[TCL REFERENCE]],FIND(".",PV_DATA[[#This Row],[TCL REFERENCE]],1)-1),"Main Line")</f>
        <v>26Jun004</v>
      </c>
      <c r="D797" s="462" t="s">
        <v>63</v>
      </c>
      <c r="E797" s="462" t="s">
        <v>64</v>
      </c>
      <c r="F797" s="462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2" t="s">
        <v>402</v>
      </c>
      <c r="H797" s="462" t="s">
        <v>67</v>
      </c>
      <c r="I797" s="462" t="s">
        <v>882</v>
      </c>
      <c r="J797" s="430" t="s">
        <v>96</v>
      </c>
      <c r="K797" s="430"/>
      <c r="L797" s="430"/>
      <c r="M797" s="430" t="s">
        <v>68</v>
      </c>
      <c r="N797" s="432">
        <v>46188</v>
      </c>
      <c r="O797" s="430" t="s">
        <v>132</v>
      </c>
      <c r="P797" s="430" t="s">
        <v>1062</v>
      </c>
      <c r="Q797" s="430" t="s">
        <v>1063</v>
      </c>
      <c r="R797" s="430" t="str">
        <f>_xlfn.XLOOKUP(PV_DATA[[#This Row],[New Ark SKU]],Table9[New Ark SKU],Table9[Connector],,0)</f>
        <v>EVO2A</v>
      </c>
      <c r="S797" s="433" t="str">
        <f>_xlfn.XLOOKUP(PV_DATA[[#This Row],[New Ark SKU]],Table9[New Ark SKU],Table9[Cable],,0)</f>
        <v>±1200mm</v>
      </c>
      <c r="T797" s="433">
        <v>470</v>
      </c>
      <c r="U797" s="1088">
        <v>2592</v>
      </c>
      <c r="V797" s="434">
        <f>PV_DATA[[#This Row],[QUANTITY]]*PV_DATA[[#This Row],[WATT]]/1000000</f>
        <v>1.21824</v>
      </c>
      <c r="W797" s="435">
        <f>PV_DATA[[#This Row],[QUANTITY]]/PV_DATA[[#This Row],[Qty/Pallet]]</f>
        <v>72</v>
      </c>
      <c r="X797" s="1040">
        <f>PV_DATA[[#This Row],[QUANTITY]]/PV_DATA[[#This Row],[Qty/CT]]</f>
        <v>3</v>
      </c>
      <c r="Y797" s="430" t="s">
        <v>2458</v>
      </c>
      <c r="Z797" s="430" t="str">
        <f t="shared" si="9"/>
        <v>COMPLETED</v>
      </c>
      <c r="AA797" s="430"/>
      <c r="AB797" s="437">
        <v>46230</v>
      </c>
      <c r="AC797" s="485">
        <f>IF(PV_DATA[[#This Row],[Pick- Up Date]]&lt;&gt;"",_xlfn.ISOWEEKNUM(PV_DATA[[#This Row],[Pick- Up Date]]),"")</f>
        <v>31</v>
      </c>
      <c r="AD797" s="430" t="s">
        <v>5722</v>
      </c>
      <c r="AE797" s="430"/>
      <c r="AF797" s="430" t="s">
        <v>122</v>
      </c>
      <c r="AG797" s="430" t="s">
        <v>123</v>
      </c>
      <c r="AH797" s="430" t="s">
        <v>105</v>
      </c>
      <c r="AI797" s="437">
        <v>46237</v>
      </c>
      <c r="AJ797" s="437">
        <f>IFERROR(IF(VLOOKUP(AT797,Vessel!A:D,4,FALSE)=0,"",VLOOKUP(AT797,Vessel!A:D,4,FALSE)),"")</f>
        <v>46240.875</v>
      </c>
      <c r="AK797" s="437">
        <f>IFERROR(VLOOKUP(AT797, Vessel!A:E, 5, FALSE), "")</f>
        <v>46240.874942129631</v>
      </c>
      <c r="AL797" s="437">
        <v>46274</v>
      </c>
      <c r="AM797" s="588">
        <f>IFERROR(VLOOKUP(AT797, Vessel!A:H, 8, FALSE), "")</f>
        <v>46283.875</v>
      </c>
      <c r="AN797" s="586">
        <f>IFERROR(IF(VLOOKUP(AT797,Vessel!A:I,9,FALSE)=0,"",VLOOKUP(AT797,Vessel!A:I,9,FALSE)),"")</f>
        <v>46283.912627314814</v>
      </c>
      <c r="AP797" s="430" t="s">
        <v>5718</v>
      </c>
      <c r="AQ797" s="430" t="s">
        <v>80</v>
      </c>
      <c r="AR797" s="430" t="s">
        <v>5719</v>
      </c>
      <c r="AS797" s="430" t="s">
        <v>5720</v>
      </c>
      <c r="AT797" s="430" t="s">
        <v>5720</v>
      </c>
      <c r="AU7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43.037685185183364</v>
      </c>
      <c r="AV797" s="437"/>
      <c r="AW797" s="437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7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7">
        <f>IF(ISERROR(PV_DATA[[#This Row],[New Ark PO status]]),"",_xlfn.XLOOKUP(PV_DATA[[#This Row],[SPTN-PVHK New Ark PO'#]],New_Ark_Data[Purchase order Number],New_Ark_Data[Estimated time of arrival],"",0))</f>
        <v>46296</v>
      </c>
      <c r="AZ79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7">
        <f>IFERROR(PV_DATA[[#This Row],[ODP ETA Port]]+PV_DATA[[#This Row],[Customs/Leg3 Assumption]],"n/a")</f>
        <v>46290.912627314814</v>
      </c>
      <c r="BB797" s="433">
        <f>YEAR(PV_DATA[[#This Row],[ETA for New Ark update]])</f>
        <v>2026</v>
      </c>
      <c r="BC797" s="430">
        <f>MONTH(PV_DATA[[#This Row],[ETA for New Ark update]])</f>
        <v>9</v>
      </c>
      <c r="BD797" s="430">
        <f>IFERROR(_xlfn.ISOWEEKNUM(PV_DATA[[#This Row],[ETA for New Ark update]]),0)</f>
        <v>39</v>
      </c>
      <c r="BE797" s="430">
        <f>_xlfn.XLOOKUP(PV_DATA[[#This Row],[New Ark SKU]],Table9[New Ark SKU],Table9[Total PCS per Pallet],,0)</f>
        <v>36</v>
      </c>
      <c r="BF797" s="430">
        <f>_xlfn.XLOOKUP(PV_DATA[[#This Row],[New Ark SKU]],Table9[New Ark SKU],Table9[Total PCS per 40HQ Container],,0)</f>
        <v>864</v>
      </c>
      <c r="BG797" s="430" t="str">
        <f>_xlfn.XLOOKUP(PV_DATA[[#This Row],[New Ark SKU]],Table9[New Ark SKU],Table9[Back Glass],,0)</f>
        <v>White glazing</v>
      </c>
      <c r="BH797" s="430" t="str">
        <f>_xlfn.XLOOKUP(PV_DATA[[#This Row],[PORT DESTINATION]],Table12[PORT DESTINATION],Table12[Cosco Line],,0)</f>
        <v>AEU</v>
      </c>
      <c r="BJ797" s="430"/>
    </row>
    <row r="798" spans="1:62" s="462" customFormat="1" ht="10.5">
      <c r="A798" s="462" t="s">
        <v>5723</v>
      </c>
      <c r="B798" s="462" t="s">
        <v>111</v>
      </c>
      <c r="C798" s="462" t="str">
        <f>IFERROR(LEFT(PV_DATA[[#This Row],[TCL REFERENCE]],FIND(".",PV_DATA[[#This Row],[TCL REFERENCE]],1)-1),"Main Line")</f>
        <v>26Jul002</v>
      </c>
      <c r="D798" s="462" t="s">
        <v>63</v>
      </c>
      <c r="E798" s="462" t="s">
        <v>64</v>
      </c>
      <c r="F798" s="462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2" t="s">
        <v>402</v>
      </c>
      <c r="H798" s="462" t="s">
        <v>311</v>
      </c>
      <c r="I798" s="462" t="s">
        <v>689</v>
      </c>
      <c r="J798" s="462" t="s">
        <v>96</v>
      </c>
      <c r="M798" s="462" t="s">
        <v>68</v>
      </c>
      <c r="N798" s="712">
        <v>46209</v>
      </c>
      <c r="O798" s="462" t="s">
        <v>550</v>
      </c>
      <c r="P798" s="462" t="s">
        <v>2134</v>
      </c>
      <c r="Q798" s="462" t="s">
        <v>2135</v>
      </c>
      <c r="R798" s="430" t="str">
        <f>_xlfn.XLOOKUP(PV_DATA[[#This Row],[New Ark SKU]],Table9[New Ark SKU],Table9[Connector],,0)</f>
        <v>EVO2A</v>
      </c>
      <c r="S798" s="433" t="str">
        <f>_xlfn.XLOOKUP(PV_DATA[[#This Row],[New Ark SKU]],Table9[New Ark SKU],Table9[Cable],,0)</f>
        <v>±1350mm</v>
      </c>
      <c r="T798" s="946">
        <v>515</v>
      </c>
      <c r="U798" s="1095">
        <f>792*3</f>
        <v>2376</v>
      </c>
      <c r="V798" s="458">
        <f>PV_DATA[[#This Row],[QUANTITY]]*PV_DATA[[#This Row],[WATT]]/1000000</f>
        <v>1.2236400000000001</v>
      </c>
      <c r="W798" s="714">
        <f>PV_DATA[[#This Row],[QUANTITY]]/PV_DATA[[#This Row],[Qty/Pallet]]</f>
        <v>66</v>
      </c>
      <c r="X798" s="1042">
        <f>PV_DATA[[#This Row],[QUANTITY]]/PV_DATA[[#This Row],[Qty/CT]]</f>
        <v>3</v>
      </c>
      <c r="Y798" s="462" t="s">
        <v>2461</v>
      </c>
      <c r="Z798" s="462" t="str">
        <f t="shared" si="9"/>
        <v>IN-TRANSIT</v>
      </c>
      <c r="AB798" s="713">
        <v>46252</v>
      </c>
      <c r="AC798" s="947">
        <f>IF(PV_DATA[[#This Row],[Pick- Up Date]]&lt;&gt;"",_xlfn.ISOWEEKNUM(PV_DATA[[#This Row],[Pick- Up Date]]),"")</f>
        <v>34</v>
      </c>
      <c r="AD798" s="462" t="s">
        <v>5724</v>
      </c>
      <c r="AE798" s="462" t="s">
        <v>5724</v>
      </c>
      <c r="AF798" s="462" t="s">
        <v>122</v>
      </c>
      <c r="AG798" s="462" t="s">
        <v>123</v>
      </c>
      <c r="AH798" s="462" t="s">
        <v>314</v>
      </c>
      <c r="AI798" s="713">
        <v>46248</v>
      </c>
      <c r="AJ798" s="713">
        <v>46263</v>
      </c>
      <c r="AK798" s="437">
        <f>IFERROR(IF(VLOOKUP(AT798,Vessel!A:F,5,FALSE)=0,"",VLOOKUP(AT798,Vessel!A:F,5,FALSE)),"")</f>
        <v>46263.48333333333</v>
      </c>
      <c r="AL798" s="1037">
        <v>46295</v>
      </c>
      <c r="AM798" s="1307">
        <f>IFERROR(VLOOKUP(AT798, Vessel!A:H, 8, FALSE), "")</f>
        <v>46316.5</v>
      </c>
      <c r="AN798" s="949" t="str">
        <f>IFERROR(IF(VLOOKUP(AT798,Vessel!A:I,9,FALSE)=0,"",VLOOKUP(AT798,Vessel!A:I,9,FALSE)),"")</f>
        <v/>
      </c>
      <c r="AP798" s="462" t="s">
        <v>5725</v>
      </c>
      <c r="AQ798" s="462" t="s">
        <v>80</v>
      </c>
      <c r="AR798" s="462" t="s">
        <v>5726</v>
      </c>
      <c r="AS798" s="462" t="s">
        <v>5727</v>
      </c>
      <c r="AT798" s="462" t="s">
        <v>5727</v>
      </c>
      <c r="AU7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53.016666666670062</v>
      </c>
      <c r="AW798" s="713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46316.5</v>
      </c>
      <c r="AX79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13">
        <f>IF(ISERROR(PV_DATA[[#This Row],[New Ark PO status]]),"",_xlfn.XLOOKUP(PV_DATA[[#This Row],[SPTN-PVHK New Ark PO'#]],New_Ark_Data[Purchase order Number],New_Ark_Data[Estimated time of arrival],"",0))</f>
        <v>46321</v>
      </c>
      <c r="AZ798" s="946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98" s="713">
        <f>IFERROR(PV_DATA[[#This Row],[ODP ETA Port]]+PV_DATA[[#This Row],[Customs/Leg3 Assumption]],"n/a")</f>
        <v>46326.5</v>
      </c>
      <c r="BB798" s="946">
        <f>YEAR(PV_DATA[[#This Row],[ETA for New Ark update]])</f>
        <v>2026</v>
      </c>
      <c r="BC798" s="462">
        <f>MONTH(PV_DATA[[#This Row],[ETA for New Ark update]])</f>
        <v>10</v>
      </c>
      <c r="BD798" s="462">
        <f>IFERROR(_xlfn.ISOWEEKNUM(PV_DATA[[#This Row],[ETA for New Ark update]]),0)</f>
        <v>44</v>
      </c>
      <c r="BE798" s="462">
        <f>_xlfn.XLOOKUP(PV_DATA[[#This Row],[New Ark SKU]],Table9[New Ark SKU],Table9[Total PCS per Pallet],,0)</f>
        <v>36</v>
      </c>
      <c r="BF798" s="462">
        <f>_xlfn.XLOOKUP(PV_DATA[[#This Row],[New Ark SKU]],Table9[New Ark SKU],Table9[Total PCS per 40HQ Container],,0)</f>
        <v>792</v>
      </c>
      <c r="BG798" s="462" t="str">
        <f>_xlfn.XLOOKUP(PV_DATA[[#This Row],[New Ark SKU]],Table9[New Ark SKU],Table9[Back Glass],,0)</f>
        <v>Black glazing</v>
      </c>
      <c r="BH798" s="462" t="str">
        <f>_xlfn.XLOOKUP(PV_DATA[[#This Row],[PORT DESTINATION]],Table12[PORT DESTINATION],Table12[Cosco Line],,0)</f>
        <v>AEM</v>
      </c>
    </row>
    <row r="799" spans="1:62" s="462" customFormat="1" ht="10.5">
      <c r="A799" s="462" t="s">
        <v>5728</v>
      </c>
      <c r="B799" s="462" t="s">
        <v>111</v>
      </c>
      <c r="C799" s="462" t="str">
        <f>IFERROR(LEFT(PV_DATA[[#This Row],[TCL REFERENCE]],FIND(".",PV_DATA[[#This Row],[TCL REFERENCE]],1)-1),"Main Line")</f>
        <v>26Jun015</v>
      </c>
      <c r="D799" s="462" t="s">
        <v>63</v>
      </c>
      <c r="E799" s="462" t="s">
        <v>64</v>
      </c>
      <c r="F799" s="462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2" t="s">
        <v>402</v>
      </c>
      <c r="H799" s="462" t="s">
        <v>67</v>
      </c>
      <c r="I799" s="462" t="s">
        <v>1395</v>
      </c>
      <c r="J799" s="462" t="s">
        <v>96</v>
      </c>
      <c r="M799" s="462" t="s">
        <v>68</v>
      </c>
      <c r="N799" s="712">
        <v>46202</v>
      </c>
      <c r="O799" s="462" t="s">
        <v>5379</v>
      </c>
      <c r="P799" s="462" t="s">
        <v>5400</v>
      </c>
      <c r="Q799" s="462" t="s">
        <v>5401</v>
      </c>
      <c r="R799" s="430" t="str">
        <f>_xlfn.XLOOKUP(PV_DATA[[#This Row],[New Ark SKU]],Table9[New Ark SKU],Table9[Connector],,0)</f>
        <v>EVO2A</v>
      </c>
      <c r="S799" s="433" t="str">
        <f>_xlfn.XLOOKUP(PV_DATA[[#This Row],[New Ark SKU]],Table9[New Ark SKU],Table9[Cable],,0)</f>
        <v>±1200mm</v>
      </c>
      <c r="T799" s="946">
        <v>465</v>
      </c>
      <c r="U799" s="1095">
        <f>5616-936</f>
        <v>4680</v>
      </c>
      <c r="V799" s="458">
        <f>PV_DATA[[#This Row],[QUANTITY]]*PV_DATA[[#This Row],[WATT]]/1000000</f>
        <v>2.1762000000000001</v>
      </c>
      <c r="W799" s="714">
        <f>PV_DATA[[#This Row],[QUANTITY]]/PV_DATA[[#This Row],[Qty/Pallet]]</f>
        <v>130</v>
      </c>
      <c r="X799" s="1042">
        <f>PV_DATA[[#This Row],[QUANTITY]]/PV_DATA[[#This Row],[Qty/CT]]</f>
        <v>5</v>
      </c>
      <c r="Y799" s="462" t="s">
        <v>2462</v>
      </c>
      <c r="Z799" s="462" t="str">
        <f t="shared" si="9"/>
        <v>IN-TRANSIT</v>
      </c>
      <c r="AA799" s="462" t="s">
        <v>5523</v>
      </c>
      <c r="AB799" s="713">
        <v>46252</v>
      </c>
      <c r="AC799" s="947">
        <f>IF(PV_DATA[[#This Row],[Pick- Up Date]]&lt;&gt;"",_xlfn.ISOWEEKNUM(PV_DATA[[#This Row],[Pick- Up Date]]),"")</f>
        <v>34</v>
      </c>
      <c r="AD799" s="462" t="s">
        <v>5729</v>
      </c>
      <c r="AE799" s="462" t="s">
        <v>5729</v>
      </c>
      <c r="AF799" s="462" t="s">
        <v>122</v>
      </c>
      <c r="AG799" s="462" t="s">
        <v>123</v>
      </c>
      <c r="AH799" s="462" t="s">
        <v>78</v>
      </c>
      <c r="AI799" s="713">
        <v>46248</v>
      </c>
      <c r="AJ799" s="713">
        <v>46263</v>
      </c>
      <c r="AK799" s="437">
        <f>IFERROR(IF(VLOOKUP(AT799,Vessel!A:F,5,FALSE)=0,"",VLOOKUP(AT799,Vessel!A:F,5,FALSE)),"")</f>
        <v>46263.48333333333</v>
      </c>
      <c r="AL799" s="713">
        <v>46300</v>
      </c>
      <c r="AM799" s="713">
        <f>IFERROR(VLOOKUP(AT799, Vessel!A:H, 8, FALSE), "")</f>
        <v>46320.25</v>
      </c>
      <c r="AN799" s="949" t="str">
        <f>IFERROR(IF(VLOOKUP(AT799,Vessel!A:I,9,FALSE)=0,"",VLOOKUP(AT799,Vessel!A:I,9,FALSE)),"")</f>
        <v/>
      </c>
      <c r="AP799" s="462" t="s">
        <v>5725</v>
      </c>
      <c r="AQ799" s="462" t="s">
        <v>80</v>
      </c>
      <c r="AR799" s="462" t="s">
        <v>5730</v>
      </c>
      <c r="AS799" s="462" t="s">
        <v>5731</v>
      </c>
      <c r="AT799" s="462" t="s">
        <v>5731</v>
      </c>
      <c r="AU7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799" s="713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79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13">
        <f>IF(ISERROR(PV_DATA[[#This Row],[New Ark PO status]]),"",_xlfn.XLOOKUP(PV_DATA[[#This Row],[SPTN-PVHK New Ark PO'#]],New_Ark_Data[Purchase order Number],New_Ark_Data[Estimated time of arrival],"",0))</f>
        <v>46322</v>
      </c>
      <c r="AZ799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13">
        <f>IFERROR(PV_DATA[[#This Row],[ODP ETA Port]]+PV_DATA[[#This Row],[Customs/Leg3 Assumption]],"n/a")</f>
        <v>46328.25</v>
      </c>
      <c r="BB799" s="946">
        <f>YEAR(PV_DATA[[#This Row],[ETA for New Ark update]])</f>
        <v>2026</v>
      </c>
      <c r="BC799" s="462">
        <f>MONTH(PV_DATA[[#This Row],[ETA for New Ark update]])</f>
        <v>11</v>
      </c>
      <c r="BD799" s="462">
        <f>IFERROR(_xlfn.ISOWEEKNUM(PV_DATA[[#This Row],[ETA for New Ark update]]),0)</f>
        <v>45</v>
      </c>
      <c r="BE799" s="462">
        <f>_xlfn.XLOOKUP(PV_DATA[[#This Row],[New Ark SKU]],Table9[New Ark SKU],Table9[Total PCS per Pallet],,0)</f>
        <v>36</v>
      </c>
      <c r="BF799" s="462">
        <f>_xlfn.XLOOKUP(PV_DATA[[#This Row],[New Ark SKU]],Table9[New Ark SKU],Table9[Total PCS per 40HQ Container],,0)</f>
        <v>936</v>
      </c>
      <c r="BG799" s="462" t="str">
        <f>_xlfn.XLOOKUP(PV_DATA[[#This Row],[New Ark SKU]],Table9[New Ark SKU],Table9[Back Glass],,0)</f>
        <v>Black glazing</v>
      </c>
      <c r="BH799" s="462" t="str">
        <f>_xlfn.XLOOKUP(PV_DATA[[#This Row],[PORT DESTINATION]],Table12[PORT DESTINATION],Table12[Cosco Line],,0)</f>
        <v>AEM</v>
      </c>
    </row>
    <row r="800" spans="1:62" s="462" customFormat="1" ht="10.5">
      <c r="A800" s="462" t="s">
        <v>5732</v>
      </c>
      <c r="B800" s="462" t="s">
        <v>111</v>
      </c>
      <c r="C800" s="462" t="str">
        <f>IFERROR(LEFT(PV_DATA[[#This Row],[TCL REFERENCE]],FIND(".",PV_DATA[[#This Row],[TCL REFERENCE]],1)-1),"Main Line")</f>
        <v>26Jul001</v>
      </c>
      <c r="D800" s="462" t="s">
        <v>63</v>
      </c>
      <c r="E800" s="462" t="s">
        <v>64</v>
      </c>
      <c r="F800" s="462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2" t="s">
        <v>402</v>
      </c>
      <c r="H800" s="462" t="s">
        <v>67</v>
      </c>
      <c r="I800" s="462" t="s">
        <v>882</v>
      </c>
      <c r="J800" s="462" t="s">
        <v>96</v>
      </c>
      <c r="M800" s="462" t="s">
        <v>68</v>
      </c>
      <c r="N800" s="712">
        <v>46209</v>
      </c>
      <c r="O800" s="462" t="s">
        <v>550</v>
      </c>
      <c r="P800" s="462" t="s">
        <v>551</v>
      </c>
      <c r="Q800" s="462" t="s">
        <v>2151</v>
      </c>
      <c r="R800" s="430" t="str">
        <f>_xlfn.XLOOKUP(PV_DATA[[#This Row],[New Ark SKU]],Table9[New Ark SKU],Table9[Connector],,0)</f>
        <v>EVO2A</v>
      </c>
      <c r="S800" s="433" t="str">
        <f>_xlfn.XLOOKUP(PV_DATA[[#This Row],[New Ark SKU]],Table9[New Ark SKU],Table9[Cable],,0)</f>
        <v>±1350mm</v>
      </c>
      <c r="T800" s="946">
        <v>510</v>
      </c>
      <c r="U800" s="1095">
        <v>792</v>
      </c>
      <c r="V800" s="458">
        <f>PV_DATA[[#This Row],[QUANTITY]]*PV_DATA[[#This Row],[WATT]]/1000000</f>
        <v>0.40392</v>
      </c>
      <c r="W800" s="714">
        <f>PV_DATA[[#This Row],[QUANTITY]]/PV_DATA[[#This Row],[Qty/Pallet]]</f>
        <v>22</v>
      </c>
      <c r="X800" s="1042">
        <f>PV_DATA[[#This Row],[QUANTITY]]/PV_DATA[[#This Row],[Qty/CT]]</f>
        <v>1</v>
      </c>
      <c r="Y800" s="462" t="s">
        <v>2461</v>
      </c>
      <c r="Z800" s="462" t="str">
        <f t="shared" si="9"/>
        <v>IN-TRANSIT</v>
      </c>
      <c r="AA800" s="462" t="s">
        <v>5523</v>
      </c>
      <c r="AB800" s="713">
        <v>46252</v>
      </c>
      <c r="AC800" s="947">
        <f>IF(PV_DATA[[#This Row],[Pick- Up Date]]&lt;&gt;"",_xlfn.ISOWEEKNUM(PV_DATA[[#This Row],[Pick- Up Date]]),"")</f>
        <v>34</v>
      </c>
      <c r="AD800" s="462" t="s">
        <v>5733</v>
      </c>
      <c r="AE800" s="462" t="s">
        <v>5733</v>
      </c>
      <c r="AF800" s="462" t="s">
        <v>122</v>
      </c>
      <c r="AG800" s="462" t="s">
        <v>123</v>
      </c>
      <c r="AH800" s="462" t="s">
        <v>78</v>
      </c>
      <c r="AI800" s="713">
        <v>46248</v>
      </c>
      <c r="AJ800" s="713">
        <v>46263</v>
      </c>
      <c r="AK800" s="437">
        <f>IFERROR(IF(VLOOKUP(AT800,Vessel!A:F,5,FALSE)=0,"",VLOOKUP(AT800,Vessel!A:F,5,FALSE)),"")</f>
        <v>46263.48333333333</v>
      </c>
      <c r="AL800" s="1037">
        <v>46300</v>
      </c>
      <c r="AM800" s="1307">
        <f>IFERROR(VLOOKUP(AT800, Vessel!A:H, 8, FALSE), "")</f>
        <v>46320.25</v>
      </c>
      <c r="AN800" s="949" t="str">
        <f>IFERROR(IF(VLOOKUP(AT800,Vessel!A:I,9,FALSE)=0,"",VLOOKUP(AT800,Vessel!A:I,9,FALSE)),"")</f>
        <v/>
      </c>
      <c r="AP800" s="462" t="s">
        <v>5725</v>
      </c>
      <c r="AQ800" s="462" t="s">
        <v>80</v>
      </c>
      <c r="AR800" s="462" t="s">
        <v>5730</v>
      </c>
      <c r="AS800" s="462" t="s">
        <v>5731</v>
      </c>
      <c r="AT800" s="462" t="s">
        <v>5731</v>
      </c>
      <c r="AU8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00" s="713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0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13">
        <f>IF(ISERROR(PV_DATA[[#This Row],[New Ark PO status]]),"",_xlfn.XLOOKUP(PV_DATA[[#This Row],[SPTN-PVHK New Ark PO'#]],New_Ark_Data[Purchase order Number],New_Ark_Data[Estimated time of arrival],"",0))</f>
        <v>46322</v>
      </c>
      <c r="AZ800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13">
        <f>IFERROR(PV_DATA[[#This Row],[ODP ETA Port]]+PV_DATA[[#This Row],[Customs/Leg3 Assumption]],"n/a")</f>
        <v>46328.25</v>
      </c>
      <c r="BB800" s="946">
        <f>YEAR(PV_DATA[[#This Row],[ETA for New Ark update]])</f>
        <v>2026</v>
      </c>
      <c r="BC800" s="462">
        <f>MONTH(PV_DATA[[#This Row],[ETA for New Ark update]])</f>
        <v>11</v>
      </c>
      <c r="BD800" s="462">
        <f>IFERROR(_xlfn.ISOWEEKNUM(PV_DATA[[#This Row],[ETA for New Ark update]]),0)</f>
        <v>45</v>
      </c>
      <c r="BE800" s="462">
        <f>_xlfn.XLOOKUP(PV_DATA[[#This Row],[New Ark SKU]],Table9[New Ark SKU],Table9[Total PCS per Pallet],,0)</f>
        <v>36</v>
      </c>
      <c r="BF800" s="462">
        <f>_xlfn.XLOOKUP(PV_DATA[[#This Row],[New Ark SKU]],Table9[New Ark SKU],Table9[Total PCS per 40HQ Container],,0)</f>
        <v>792</v>
      </c>
      <c r="BG800" s="462" t="str">
        <f>_xlfn.XLOOKUP(PV_DATA[[#This Row],[New Ark SKU]],Table9[New Ark SKU],Table9[Back Glass],,0)</f>
        <v>Black glazing</v>
      </c>
      <c r="BH800" s="462" t="str">
        <f>_xlfn.XLOOKUP(PV_DATA[[#This Row],[PORT DESTINATION]],Table12[PORT DESTINATION],Table12[Cosco Line],,0)</f>
        <v>AEM</v>
      </c>
    </row>
    <row r="801" spans="1:62" s="462" customFormat="1" ht="10.5">
      <c r="A801" s="730" t="s">
        <v>5734</v>
      </c>
      <c r="B801" s="462" t="s">
        <v>111</v>
      </c>
      <c r="C801" s="462" t="str">
        <f>IFERROR(LEFT(PV_DATA[[#This Row],[TCL REFERENCE]],FIND(".",PV_DATA[[#This Row],[TCL REFERENCE]],1)-1),"Main Line")</f>
        <v>26Jul016</v>
      </c>
      <c r="D801" s="462" t="s">
        <v>63</v>
      </c>
      <c r="E801" s="462" t="s">
        <v>64</v>
      </c>
      <c r="F801" s="462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2" t="s">
        <v>402</v>
      </c>
      <c r="H801" s="462" t="s">
        <v>67</v>
      </c>
      <c r="I801" s="462" t="s">
        <v>689</v>
      </c>
      <c r="J801" s="462" t="s">
        <v>96</v>
      </c>
      <c r="M801" s="462" t="s">
        <v>68</v>
      </c>
      <c r="N801" s="712">
        <v>46237</v>
      </c>
      <c r="O801" s="462" t="s">
        <v>5379</v>
      </c>
      <c r="P801" s="462" t="s">
        <v>5735</v>
      </c>
      <c r="Q801" s="462" t="s">
        <v>5736</v>
      </c>
      <c r="R801" s="430" t="str">
        <f>_xlfn.XLOOKUP(PV_DATA[[#This Row],[New Ark SKU]],Table9[New Ark SKU],Table9[Connector],,0)</f>
        <v>EVO2A</v>
      </c>
      <c r="S801" s="433" t="str">
        <f>_xlfn.XLOOKUP(PV_DATA[[#This Row],[New Ark SKU]],Table9[New Ark SKU],Table9[Cable],,0)</f>
        <v>±1200mm</v>
      </c>
      <c r="T801" s="946">
        <v>475</v>
      </c>
      <c r="U801" s="1095">
        <v>936</v>
      </c>
      <c r="V801" s="458">
        <f>PV_DATA[[#This Row],[QUANTITY]]*PV_DATA[[#This Row],[WATT]]/1000000</f>
        <v>0.4446</v>
      </c>
      <c r="W801" s="714">
        <f>PV_DATA[[#This Row],[QUANTITY]]/PV_DATA[[#This Row],[Qty/Pallet]]</f>
        <v>26</v>
      </c>
      <c r="X801" s="1042">
        <f>PV_DATA[[#This Row],[QUANTITY]]/PV_DATA[[#This Row],[Qty/CT]]</f>
        <v>1</v>
      </c>
      <c r="Y801" s="462" t="s">
        <v>2465</v>
      </c>
      <c r="Z801" s="462" t="str">
        <f t="shared" si="9"/>
        <v>IN-TRANSIT</v>
      </c>
      <c r="AB801" s="713">
        <v>46252</v>
      </c>
      <c r="AC801" s="947">
        <f>IF(PV_DATA[[#This Row],[Pick- Up Date]]&lt;&gt;"",_xlfn.ISOWEEKNUM(PV_DATA[[#This Row],[Pick- Up Date]]),"")</f>
        <v>34</v>
      </c>
      <c r="AD801" s="462" t="s">
        <v>5737</v>
      </c>
      <c r="AE801" s="462" t="s">
        <v>5737</v>
      </c>
      <c r="AF801" s="462" t="s">
        <v>122</v>
      </c>
      <c r="AG801" s="462" t="s">
        <v>123</v>
      </c>
      <c r="AH801" s="462" t="s">
        <v>78</v>
      </c>
      <c r="AI801" s="713">
        <v>46248</v>
      </c>
      <c r="AJ801" s="713">
        <v>46263</v>
      </c>
      <c r="AK801" s="437">
        <f>IFERROR(IF(VLOOKUP(AT801,Vessel!A:F,5,FALSE)=0,"",VLOOKUP(AT801,Vessel!A:F,5,FALSE)),"")</f>
        <v>46263.48333333333</v>
      </c>
      <c r="AL801" s="713">
        <v>46300</v>
      </c>
      <c r="AM801" s="713">
        <f>IFERROR(VLOOKUP(AT801, Vessel!A:H, 8, FALSE), "")</f>
        <v>46320.25</v>
      </c>
      <c r="AN801" s="949" t="str">
        <f>IFERROR(IF(VLOOKUP(AT801,Vessel!A:I,9,FALSE)=0,"",VLOOKUP(AT801,Vessel!A:I,9,FALSE)),"")</f>
        <v/>
      </c>
      <c r="AP801" s="462" t="s">
        <v>5725</v>
      </c>
      <c r="AQ801" s="462" t="s">
        <v>80</v>
      </c>
      <c r="AR801" s="462" t="s">
        <v>5730</v>
      </c>
      <c r="AS801" s="462" t="s">
        <v>5731</v>
      </c>
      <c r="AT801" s="462" t="s">
        <v>5731</v>
      </c>
      <c r="AU8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01" s="713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0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13">
        <f>IF(ISERROR(PV_DATA[[#This Row],[New Ark PO status]]),"",_xlfn.XLOOKUP(PV_DATA[[#This Row],[SPTN-PVHK New Ark PO'#]],New_Ark_Data[Purchase order Number],New_Ark_Data[Estimated time of arrival],"",0))</f>
        <v>46322</v>
      </c>
      <c r="AZ801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13">
        <f>IFERROR(PV_DATA[[#This Row],[ODP ETA Port]]+PV_DATA[[#This Row],[Customs/Leg3 Assumption]],"n/a")</f>
        <v>46328.25</v>
      </c>
      <c r="BB801" s="946">
        <f>YEAR(PV_DATA[[#This Row],[ETA for New Ark update]])</f>
        <v>2026</v>
      </c>
      <c r="BC801" s="462">
        <f>MONTH(PV_DATA[[#This Row],[ETA for New Ark update]])</f>
        <v>11</v>
      </c>
      <c r="BD801" s="462">
        <f>IFERROR(_xlfn.ISOWEEKNUM(PV_DATA[[#This Row],[ETA for New Ark update]]),0)</f>
        <v>45</v>
      </c>
      <c r="BE801" s="462">
        <f>_xlfn.XLOOKUP(PV_DATA[[#This Row],[New Ark SKU]],Table9[New Ark SKU],Table9[Total PCS per Pallet],,0)</f>
        <v>36</v>
      </c>
      <c r="BF801" s="462">
        <f>_xlfn.XLOOKUP(PV_DATA[[#This Row],[New Ark SKU]],Table9[New Ark SKU],Table9[Total PCS per 40HQ Container],,0)</f>
        <v>936</v>
      </c>
      <c r="BG801" s="462" t="str">
        <f>_xlfn.XLOOKUP(PV_DATA[[#This Row],[New Ark SKU]],Table9[New Ark SKU],Table9[Back Glass],,0)</f>
        <v>White glazing</v>
      </c>
      <c r="BH801" s="462" t="str">
        <f>_xlfn.XLOOKUP(PV_DATA[[#This Row],[PORT DESTINATION]],Table12[PORT DESTINATION],Table12[Cosco Line],,0)</f>
        <v>AEM</v>
      </c>
    </row>
    <row r="802" spans="1:62" s="463" customFormat="1" ht="10.5">
      <c r="A802" s="462" t="s">
        <v>5738</v>
      </c>
      <c r="B802" s="462" t="s">
        <v>111</v>
      </c>
      <c r="C802" s="462" t="str">
        <f>IFERROR(LEFT(PV_DATA[[#This Row],[TCL REFERENCE]],FIND(".",PV_DATA[[#This Row],[TCL REFERENCE]],1)-1),"Main Line")</f>
        <v>26Jul001</v>
      </c>
      <c r="D802" s="462" t="s">
        <v>63</v>
      </c>
      <c r="E802" s="462" t="s">
        <v>64</v>
      </c>
      <c r="F802" s="462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2" t="s">
        <v>402</v>
      </c>
      <c r="H802" s="462" t="s">
        <v>67</v>
      </c>
      <c r="I802" s="462" t="s">
        <v>882</v>
      </c>
      <c r="J802" s="430" t="s">
        <v>96</v>
      </c>
      <c r="K802" s="430"/>
      <c r="L802" s="430"/>
      <c r="M802" s="430" t="s">
        <v>68</v>
      </c>
      <c r="N802" s="432">
        <v>46209</v>
      </c>
      <c r="O802" s="430" t="s">
        <v>550</v>
      </c>
      <c r="P802" s="430" t="s">
        <v>551</v>
      </c>
      <c r="Q802" s="430" t="s">
        <v>2151</v>
      </c>
      <c r="R802" s="430" t="str">
        <f>_xlfn.XLOOKUP(PV_DATA[[#This Row],[New Ark SKU]],Table9[New Ark SKU],Table9[Connector],,0)</f>
        <v>EVO2A</v>
      </c>
      <c r="S802" s="433" t="str">
        <f>_xlfn.XLOOKUP(PV_DATA[[#This Row],[New Ark SKU]],Table9[New Ark SKU],Table9[Cable],,0)</f>
        <v>±1350mm</v>
      </c>
      <c r="T802" s="433">
        <v>510</v>
      </c>
      <c r="U802" s="1088">
        <v>1584</v>
      </c>
      <c r="V802" s="434">
        <f>PV_DATA[[#This Row],[QUANTITY]]*PV_DATA[[#This Row],[WATT]]/1000000</f>
        <v>0.80784</v>
      </c>
      <c r="W802" s="435">
        <f>PV_DATA[[#This Row],[QUANTITY]]/PV_DATA[[#This Row],[Qty/Pallet]]</f>
        <v>44</v>
      </c>
      <c r="X802" s="1040">
        <f>PV_DATA[[#This Row],[QUANTITY]]/PV_DATA[[#This Row],[Qty/CT]]</f>
        <v>2</v>
      </c>
      <c r="Y802" s="430" t="s">
        <v>2461</v>
      </c>
      <c r="Z802" s="430" t="str">
        <f t="shared" si="9"/>
        <v>COMPLETED</v>
      </c>
      <c r="AA802" s="430"/>
      <c r="AB802" s="437">
        <v>46230</v>
      </c>
      <c r="AC802" s="485">
        <f>IF(PV_DATA[[#This Row],[Pick- Up Date]]&lt;&gt;"",_xlfn.ISOWEEKNUM(PV_DATA[[#This Row],[Pick- Up Date]]),"")</f>
        <v>31</v>
      </c>
      <c r="AD802" s="430" t="s">
        <v>5739</v>
      </c>
      <c r="AE802" s="430"/>
      <c r="AF802" s="430" t="s">
        <v>122</v>
      </c>
      <c r="AG802" s="430" t="s">
        <v>123</v>
      </c>
      <c r="AH802" s="430" t="s">
        <v>78</v>
      </c>
      <c r="AI802" s="437">
        <v>46238</v>
      </c>
      <c r="AJ802" s="437">
        <f>IFERROR(VLOOKUP(AT802, Vessel!A:D, 4, FALSE), "")</f>
        <v>46241.770833333336</v>
      </c>
      <c r="AK802" s="437">
        <f>IFERROR(IF(VLOOKUP(AT802,Vessel!A:F,5,FALSE)=0,"",VLOOKUP(AT802,Vessel!A:F,5,FALSE)),"")</f>
        <v>46241.8122337963</v>
      </c>
      <c r="AL802" s="968">
        <v>46281</v>
      </c>
      <c r="AM802" s="1189">
        <f>IFERROR(VLOOKUP(AT802, Vessel!A:H, 8, FALSE), "")</f>
        <v>46283.416666666664</v>
      </c>
      <c r="AN802" s="586">
        <f>IFERROR(IF(VLOOKUP(AT802,Vessel!A:I,9,FALSE)=0,"",VLOOKUP(AT802,Vessel!A:I,9,FALSE)),"")</f>
        <v>46283.4372337963</v>
      </c>
      <c r="AO802" s="430"/>
      <c r="AP802" s="430" t="s">
        <v>5740</v>
      </c>
      <c r="AQ802" s="430" t="s">
        <v>80</v>
      </c>
      <c r="AR802" s="430" t="s">
        <v>5741</v>
      </c>
      <c r="AS802" s="430" t="s">
        <v>5742</v>
      </c>
      <c r="AT802" s="430" t="s">
        <v>5742</v>
      </c>
      <c r="AU8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41.625</v>
      </c>
      <c r="AV802" s="430"/>
      <c r="AW802" s="437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8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7">
        <f>IF(ISERROR(PV_DATA[[#This Row],[New Ark PO status]]),"",_xlfn.XLOOKUP(PV_DATA[[#This Row],[SPTN-PVHK New Ark PO'#]],New_Ark_Data[Purchase order Number],New_Ark_Data[Estimated time of arrival],"",0))</f>
        <v>46289</v>
      </c>
      <c r="AZ80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7">
        <f>IFERROR(PV_DATA[[#This Row],[ODP ETA Port]]+PV_DATA[[#This Row],[Customs/Leg3 Assumption]],"n/a")</f>
        <v>46291.4372337963</v>
      </c>
      <c r="BB802" s="433">
        <f>YEAR(PV_DATA[[#This Row],[ETA for New Ark update]])</f>
        <v>2026</v>
      </c>
      <c r="BC802" s="430">
        <f>MONTH(PV_DATA[[#This Row],[ETA for New Ark update]])</f>
        <v>9</v>
      </c>
      <c r="BD802" s="430">
        <f>IFERROR(_xlfn.ISOWEEKNUM(PV_DATA[[#This Row],[ETA for New Ark update]]),0)</f>
        <v>39</v>
      </c>
      <c r="BE802" s="430">
        <f>_xlfn.XLOOKUP(PV_DATA[[#This Row],[New Ark SKU]],Table9[New Ark SKU],Table9[Total PCS per Pallet],,0)</f>
        <v>36</v>
      </c>
      <c r="BF802" s="430">
        <f>_xlfn.XLOOKUP(PV_DATA[[#This Row],[New Ark SKU]],Table9[New Ark SKU],Table9[Total PCS per 40HQ Container],,0)</f>
        <v>792</v>
      </c>
      <c r="BG802" s="430" t="str">
        <f>_xlfn.XLOOKUP(PV_DATA[[#This Row],[New Ark SKU]],Table9[New Ark SKU],Table9[Back Glass],,0)</f>
        <v>Black glazing</v>
      </c>
      <c r="BH802" s="610" t="str">
        <f>_xlfn.XLOOKUP(PV_DATA[[#This Row],[PORT DESTINATION]],Table12[PORT DESTINATION],Table12[Cosco Line],,0)</f>
        <v>AEM</v>
      </c>
    </row>
    <row r="803" spans="1:62" ht="10.5">
      <c r="A803" s="462" t="s">
        <v>5743</v>
      </c>
      <c r="B803" s="462" t="s">
        <v>111</v>
      </c>
      <c r="C803" s="462" t="str">
        <f>IFERROR(LEFT(PV_DATA[[#This Row],[TCL REFERENCE]],FIND(".",PV_DATA[[#This Row],[TCL REFERENCE]],1)-1),"Main Line")</f>
        <v>26Jul013</v>
      </c>
      <c r="D803" s="462" t="s">
        <v>63</v>
      </c>
      <c r="E803" s="462" t="s">
        <v>64</v>
      </c>
      <c r="F803" s="462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2" t="s">
        <v>402</v>
      </c>
      <c r="H803" s="462" t="s">
        <v>115</v>
      </c>
      <c r="I803" s="462" t="s">
        <v>689</v>
      </c>
      <c r="J803" s="430" t="s">
        <v>96</v>
      </c>
      <c r="K803" s="430"/>
      <c r="L803" s="430"/>
      <c r="M803" s="430" t="s">
        <v>68</v>
      </c>
      <c r="N803" s="432">
        <v>46202</v>
      </c>
      <c r="O803" s="430" t="s">
        <v>5336</v>
      </c>
      <c r="P803" s="430" t="s">
        <v>5337</v>
      </c>
      <c r="Q803" s="430" t="s">
        <v>5338</v>
      </c>
      <c r="R803" s="430" t="str">
        <f>_xlfn.XLOOKUP(PV_DATA[[#This Row],[New Ark SKU]],Table9[New Ark SKU],Table9[Connector],,0)</f>
        <v>EVO2A</v>
      </c>
      <c r="S803" s="433" t="str">
        <f>_xlfn.XLOOKUP(PV_DATA[[#This Row],[New Ark SKU]],Table9[New Ark SKU],Table9[Cable],,0)</f>
        <v>±1400mm</v>
      </c>
      <c r="T803" s="433">
        <v>580</v>
      </c>
      <c r="U803" s="1096">
        <f>720*2</f>
        <v>1440</v>
      </c>
      <c r="V803" s="434">
        <f>PV_DATA[[#This Row],[QUANTITY]]*PV_DATA[[#This Row],[WATT]]/1000000</f>
        <v>0.83520000000000005</v>
      </c>
      <c r="W803" s="435">
        <f>PV_DATA[[#This Row],[QUANTITY]]/PV_DATA[[#This Row],[Qty/Pallet]]</f>
        <v>40</v>
      </c>
      <c r="X803" s="1040">
        <f>PV_DATA[[#This Row],[QUANTITY]]/PV_DATA[[#This Row],[Qty/CT]]</f>
        <v>2</v>
      </c>
      <c r="Y803" s="430" t="s">
        <v>2462</v>
      </c>
      <c r="Z803" s="430" t="str">
        <f t="shared" si="9"/>
        <v>IN-TRANSIT</v>
      </c>
      <c r="AA803" s="430" t="s">
        <v>5667</v>
      </c>
      <c r="AB803" s="437">
        <v>46237</v>
      </c>
      <c r="AC803" s="485">
        <f>IF(PV_DATA[[#This Row],[Pick- Up Date]]&lt;&gt;"",_xlfn.ISOWEEKNUM(PV_DATA[[#This Row],[Pick- Up Date]]),"")</f>
        <v>32</v>
      </c>
      <c r="AD803" s="430" t="s">
        <v>5744</v>
      </c>
      <c r="AE803" s="430"/>
      <c r="AF803" s="430" t="s">
        <v>122</v>
      </c>
      <c r="AG803" s="430" t="s">
        <v>123</v>
      </c>
      <c r="AH803" s="430" t="s">
        <v>124</v>
      </c>
      <c r="AI803" s="713">
        <v>46241</v>
      </c>
      <c r="AJ803" s="437">
        <f>IFERROR(IF(VLOOKUP(AT803,Vessel!A:D,4,FALSE)=0,"",VLOOKUP(AT803,Vessel!A:D,4,FALSE)),"")</f>
        <v>46241.770833333336</v>
      </c>
      <c r="AK803" s="437">
        <f>IFERROR(IF(VLOOKUP(AT803,Vessel!A:F,5,FALSE)=0,"",VLOOKUP(AT803,Vessel!A:F,5,FALSE)),"")</f>
        <v>46241.8122337963</v>
      </c>
      <c r="AL803" s="437">
        <v>46282</v>
      </c>
      <c r="AM803" s="588">
        <v>46306</v>
      </c>
      <c r="AN803" s="588" t="str">
        <f>IFERROR(IF(VLOOKUP(AT803,Vessel!A:I,9,FALSE)=0,"",VLOOKUP(AT803,Vessel!A:I,9,FALSE)),"")</f>
        <v/>
      </c>
      <c r="AP803" s="430" t="s">
        <v>5745</v>
      </c>
      <c r="AQ803" s="438" t="s">
        <v>80</v>
      </c>
      <c r="AR803" s="430" t="s">
        <v>5746</v>
      </c>
      <c r="AS803" s="430" t="s">
        <v>5747</v>
      </c>
      <c r="AT803" s="430" t="s">
        <v>5747</v>
      </c>
      <c r="AU8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64.187766203700448</v>
      </c>
      <c r="AW803" s="437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7">
        <f>IF(ISERROR(PV_DATA[[#This Row],[New Ark PO status]]),"",_xlfn.XLOOKUP(PV_DATA[[#This Row],[SPTN-PVHK New Ark PO'#]],New_Ark_Data[Purchase order Number],New_Ark_Data[Estimated time of arrival],"",0))</f>
        <v>46303</v>
      </c>
      <c r="AZ803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7">
        <f>IFERROR(PV_DATA[[#This Row],[ODP ETA Port]]+PV_DATA[[#This Row],[Customs/Leg3 Assumption]],"n/a")</f>
        <v>46315</v>
      </c>
      <c r="BB803" s="433">
        <f>YEAR(PV_DATA[[#This Row],[ETA for New Ark update]])</f>
        <v>2026</v>
      </c>
      <c r="BC803" s="430">
        <f>MONTH(PV_DATA[[#This Row],[ETA for New Ark update]])</f>
        <v>10</v>
      </c>
      <c r="BD803" s="430">
        <f>IFERROR(_xlfn.ISOWEEKNUM(PV_DATA[[#This Row],[ETA for New Ark update]]),0)</f>
        <v>43</v>
      </c>
      <c r="BE803" s="430">
        <f>_xlfn.XLOOKUP(PV_DATA[[#This Row],[New Ark SKU]],Table9[New Ark SKU],Table9[Total PCS per Pallet],,0)</f>
        <v>36</v>
      </c>
      <c r="BF803" s="430">
        <f>_xlfn.XLOOKUP(PV_DATA[[#This Row],[New Ark SKU]],Table9[New Ark SKU],Table9[Total PCS per 40HQ Container],,0)</f>
        <v>720</v>
      </c>
      <c r="BG803" s="430" t="str">
        <f>_xlfn.XLOOKUP(PV_DATA[[#This Row],[New Ark SKU]],Table9[New Ark SKU],Table9[Back Glass],,0)</f>
        <v>Transparent</v>
      </c>
      <c r="BH803" s="430" t="str">
        <f>_xlfn.XLOOKUP(PV_DATA[[#This Row],[PORT DESTINATION]],Table12[PORT DESTINATION],Table12[Cosco Line],,0)</f>
        <v>AEM</v>
      </c>
      <c r="BJ803" s="430"/>
    </row>
    <row r="804" spans="1:62" ht="10.5">
      <c r="A804" s="462" t="s">
        <v>5748</v>
      </c>
      <c r="B804" s="462" t="s">
        <v>111</v>
      </c>
      <c r="C804" s="462" t="str">
        <f>IFERROR(LEFT(PV_DATA[[#This Row],[TCL REFERENCE]],FIND(".",PV_DATA[[#This Row],[TCL REFERENCE]],1)-1),"Main Line")</f>
        <v>26Jun033</v>
      </c>
      <c r="D804" s="462" t="s">
        <v>63</v>
      </c>
      <c r="E804" s="462" t="s">
        <v>64</v>
      </c>
      <c r="F804" s="462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2" t="s">
        <v>402</v>
      </c>
      <c r="H804" s="462" t="s">
        <v>67</v>
      </c>
      <c r="I804" s="462" t="s">
        <v>689</v>
      </c>
      <c r="J804" s="430" t="s">
        <v>96</v>
      </c>
      <c r="K804" s="430"/>
      <c r="L804" s="430"/>
      <c r="M804" s="430" t="s">
        <v>68</v>
      </c>
      <c r="N804" s="432">
        <v>46209</v>
      </c>
      <c r="O804" s="430" t="s">
        <v>70</v>
      </c>
      <c r="P804" s="430" t="s">
        <v>5749</v>
      </c>
      <c r="Q804" s="430" t="s">
        <v>1484</v>
      </c>
      <c r="R804" s="430" t="str">
        <f>_xlfn.XLOOKUP(PV_DATA[[#This Row],[New Ark SKU]],Table9[New Ark SKU],Table9[Connector],,0)</f>
        <v>EVO2A</v>
      </c>
      <c r="S804" s="433" t="str">
        <f>_xlfn.XLOOKUP(PV_DATA[[#This Row],[New Ark SKU]],Table9[New Ark SKU],Table9[Cable],,0)</f>
        <v>±1400mm</v>
      </c>
      <c r="T804" s="433">
        <v>725</v>
      </c>
      <c r="U804" s="1096">
        <v>1188</v>
      </c>
      <c r="V804" s="434">
        <f>PV_DATA[[#This Row],[QUANTITY]]*PV_DATA[[#This Row],[WATT]]/1000000</f>
        <v>0.86129999999999995</v>
      </c>
      <c r="W804" s="435">
        <f>PV_DATA[[#This Row],[QUANTITY]]/PV_DATA[[#This Row],[Qty/Pallet]]</f>
        <v>36</v>
      </c>
      <c r="X804" s="1040">
        <f>PV_DATA[[#This Row],[QUANTITY]]/PV_DATA[[#This Row],[Qty/CT]]</f>
        <v>2</v>
      </c>
      <c r="Y804" s="430" t="s">
        <v>2466</v>
      </c>
      <c r="Z804" s="430" t="str">
        <f t="shared" si="9"/>
        <v>COMPLETED</v>
      </c>
      <c r="AA804" s="430" t="s">
        <v>5750</v>
      </c>
      <c r="AB804" s="437">
        <v>46235</v>
      </c>
      <c r="AC804" s="485">
        <f>IF(PV_DATA[[#This Row],[Pick- Up Date]]&lt;&gt;"",_xlfn.ISOWEEKNUM(PV_DATA[[#This Row],[Pick- Up Date]]),"")</f>
        <v>31</v>
      </c>
      <c r="AD804" s="430" t="s">
        <v>5751</v>
      </c>
      <c r="AE804" s="430"/>
      <c r="AF804" s="430" t="s">
        <v>122</v>
      </c>
      <c r="AG804" s="430" t="s">
        <v>123</v>
      </c>
      <c r="AH804" s="430" t="s">
        <v>105</v>
      </c>
      <c r="AI804" s="713">
        <v>46242</v>
      </c>
      <c r="AJ804" s="437">
        <v>46249</v>
      </c>
      <c r="AK804" s="437">
        <v>46249</v>
      </c>
      <c r="AL804" s="437">
        <v>46284</v>
      </c>
      <c r="AM804" s="437">
        <v>46293</v>
      </c>
      <c r="AN804" s="437">
        <v>46293</v>
      </c>
      <c r="AP804" s="430" t="s">
        <v>5752</v>
      </c>
      <c r="AQ804" s="430" t="s">
        <v>161</v>
      </c>
      <c r="AR804" s="430" t="s">
        <v>5753</v>
      </c>
      <c r="AS804" s="430" t="s">
        <v>5754</v>
      </c>
      <c r="AT804" s="430" t="s">
        <v>5755</v>
      </c>
      <c r="AU8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04" s="437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8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7">
        <f>IF(ISERROR(PV_DATA[[#This Row],[New Ark PO status]]),"",_xlfn.XLOOKUP(PV_DATA[[#This Row],[SPTN-PVHK New Ark PO'#]],New_Ark_Data[Purchase order Number],New_Ark_Data[Estimated time of arrival],"",0))</f>
        <v>46290</v>
      </c>
      <c r="AZ80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7">
        <f>IFERROR(PV_DATA[[#This Row],[ODP ETA Port]]+PV_DATA[[#This Row],[Customs/Leg3 Assumption]],"n/a")</f>
        <v>46300</v>
      </c>
      <c r="BB804" s="433">
        <f>YEAR(PV_DATA[[#This Row],[ETA for New Ark update]])</f>
        <v>2026</v>
      </c>
      <c r="BC804" s="430">
        <f>MONTH(PV_DATA[[#This Row],[ETA for New Ark update]])</f>
        <v>10</v>
      </c>
      <c r="BD804" s="430">
        <f>IFERROR(_xlfn.ISOWEEKNUM(PV_DATA[[#This Row],[ETA for New Ark update]]),0)</f>
        <v>41</v>
      </c>
      <c r="BE804" s="430">
        <f>_xlfn.XLOOKUP(PV_DATA[[#This Row],[New Ark SKU]],Table9[New Ark SKU],Table9[Total PCS per Pallet],,0)</f>
        <v>33</v>
      </c>
      <c r="BF804" s="430">
        <f>_xlfn.XLOOKUP(PV_DATA[[#This Row],[New Ark SKU]],Table9[New Ark SKU],Table9[Total PCS per 40HQ Container],,0)</f>
        <v>594</v>
      </c>
      <c r="BG804" s="430" t="str">
        <f>_xlfn.XLOOKUP(PV_DATA[[#This Row],[New Ark SKU]],Table9[New Ark SKU],Table9[Back Glass],,0)</f>
        <v>Transparent</v>
      </c>
      <c r="BH804" s="430" t="str">
        <f>_xlfn.XLOOKUP(PV_DATA[[#This Row],[PORT DESTINATION]],Table12[PORT DESTINATION],Table12[Cosco Line],,0)</f>
        <v>AEU</v>
      </c>
      <c r="BJ804" s="430"/>
    </row>
    <row r="805" spans="1:62" ht="10.5">
      <c r="A805" s="462" t="s">
        <v>5756</v>
      </c>
      <c r="B805" s="462" t="s">
        <v>111</v>
      </c>
      <c r="C805" s="462" t="str">
        <f>IFERROR(LEFT(PV_DATA[[#This Row],[TCL REFERENCE]],FIND(".",PV_DATA[[#This Row],[TCL REFERENCE]],1)-1),"Main Line")</f>
        <v>26Jun034</v>
      </c>
      <c r="D805" s="462" t="s">
        <v>63</v>
      </c>
      <c r="E805" s="462" t="s">
        <v>64</v>
      </c>
      <c r="F805" s="462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2" t="s">
        <v>402</v>
      </c>
      <c r="H805" s="462" t="s">
        <v>67</v>
      </c>
      <c r="I805" s="462" t="s">
        <v>689</v>
      </c>
      <c r="J805" s="430" t="s">
        <v>96</v>
      </c>
      <c r="K805" s="430"/>
      <c r="L805" s="430"/>
      <c r="M805" s="430" t="s">
        <v>68</v>
      </c>
      <c r="N805" s="432">
        <v>46209</v>
      </c>
      <c r="O805" s="430" t="s">
        <v>70</v>
      </c>
      <c r="P805" s="430" t="s">
        <v>1681</v>
      </c>
      <c r="Q805" s="430" t="s">
        <v>1682</v>
      </c>
      <c r="R805" s="430" t="str">
        <f>_xlfn.XLOOKUP(PV_DATA[[#This Row],[New Ark SKU]],Table9[New Ark SKU],Table9[Connector],,0)</f>
        <v>EVO2A</v>
      </c>
      <c r="S805" s="433" t="str">
        <f>_xlfn.XLOOKUP(PV_DATA[[#This Row],[New Ark SKU]],Table9[New Ark SKU],Table9[Cable],,0)</f>
        <v>±1400mm</v>
      </c>
      <c r="T805" s="433">
        <v>730</v>
      </c>
      <c r="U805" s="1096">
        <f>594*3</f>
        <v>1782</v>
      </c>
      <c r="V805" s="434">
        <f>PV_DATA[[#This Row],[QUANTITY]]*PV_DATA[[#This Row],[WATT]]/1000000</f>
        <v>1.3008599999999999</v>
      </c>
      <c r="W805" s="435">
        <f>PV_DATA[[#This Row],[QUANTITY]]/PV_DATA[[#This Row],[Qty/Pallet]]</f>
        <v>54</v>
      </c>
      <c r="X805" s="1040">
        <f>PV_DATA[[#This Row],[QUANTITY]]/PV_DATA[[#This Row],[Qty/CT]]</f>
        <v>3</v>
      </c>
      <c r="Y805" s="430" t="s">
        <v>2463</v>
      </c>
      <c r="Z805" s="430" t="str">
        <f t="shared" si="9"/>
        <v>COMPLETED</v>
      </c>
      <c r="AA805" s="430"/>
      <c r="AB805" s="437">
        <v>46235</v>
      </c>
      <c r="AC805" s="485">
        <f>IF(PV_DATA[[#This Row],[Pick- Up Date]]&lt;&gt;"",_xlfn.ISOWEEKNUM(PV_DATA[[#This Row],[Pick- Up Date]]),"")</f>
        <v>31</v>
      </c>
      <c r="AD805" s="430" t="s">
        <v>5757</v>
      </c>
      <c r="AE805" s="430"/>
      <c r="AF805" s="430" t="s">
        <v>122</v>
      </c>
      <c r="AG805" s="430" t="s">
        <v>123</v>
      </c>
      <c r="AH805" s="430" t="s">
        <v>105</v>
      </c>
      <c r="AI805" s="713">
        <v>46242</v>
      </c>
      <c r="AJ805" s="437">
        <v>46249</v>
      </c>
      <c r="AK805" s="437">
        <v>46249</v>
      </c>
      <c r="AL805" s="437">
        <v>46284</v>
      </c>
      <c r="AM805" s="437">
        <v>46293</v>
      </c>
      <c r="AN805" s="437">
        <v>46293</v>
      </c>
      <c r="AP805" s="430" t="s">
        <v>5752</v>
      </c>
      <c r="AQ805" s="430" t="s">
        <v>161</v>
      </c>
      <c r="AR805" s="430" t="s">
        <v>5753</v>
      </c>
      <c r="AS805" s="430" t="s">
        <v>5754</v>
      </c>
      <c r="AT805" s="430" t="s">
        <v>5755</v>
      </c>
      <c r="AU8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05" s="437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8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7">
        <f>IF(ISERROR(PV_DATA[[#This Row],[New Ark PO status]]),"",_xlfn.XLOOKUP(PV_DATA[[#This Row],[SPTN-PVHK New Ark PO'#]],New_Ark_Data[Purchase order Number],New_Ark_Data[Estimated time of arrival],"",0))</f>
        <v>46290</v>
      </c>
      <c r="AZ80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7">
        <f>IFERROR(PV_DATA[[#This Row],[ODP ETA Port]]+PV_DATA[[#This Row],[Customs/Leg3 Assumption]],"n/a")</f>
        <v>46300</v>
      </c>
      <c r="BB805" s="433">
        <f>YEAR(PV_DATA[[#This Row],[ETA for New Ark update]])</f>
        <v>2026</v>
      </c>
      <c r="BC805" s="430">
        <f>MONTH(PV_DATA[[#This Row],[ETA for New Ark update]])</f>
        <v>10</v>
      </c>
      <c r="BD805" s="430">
        <f>IFERROR(_xlfn.ISOWEEKNUM(PV_DATA[[#This Row],[ETA for New Ark update]]),0)</f>
        <v>41</v>
      </c>
      <c r="BE805" s="430">
        <f>_xlfn.XLOOKUP(PV_DATA[[#This Row],[New Ark SKU]],Table9[New Ark SKU],Table9[Total PCS per Pallet],,0)</f>
        <v>33</v>
      </c>
      <c r="BF805" s="430">
        <f>_xlfn.XLOOKUP(PV_DATA[[#This Row],[New Ark SKU]],Table9[New Ark SKU],Table9[Total PCS per 40HQ Container],,0)</f>
        <v>594</v>
      </c>
      <c r="BG805" s="430" t="str">
        <f>_xlfn.XLOOKUP(PV_DATA[[#This Row],[New Ark SKU]],Table9[New Ark SKU],Table9[Back Glass],,0)</f>
        <v>Transparent</v>
      </c>
      <c r="BH805" s="430" t="str">
        <f>_xlfn.XLOOKUP(PV_DATA[[#This Row],[PORT DESTINATION]],Table12[PORT DESTINATION],Table12[Cosco Line],,0)</f>
        <v>AEU</v>
      </c>
      <c r="BJ805" s="430"/>
    </row>
    <row r="806" spans="1:62" ht="10.5">
      <c r="A806" s="462" t="s">
        <v>5758</v>
      </c>
      <c r="B806" s="462" t="s">
        <v>111</v>
      </c>
      <c r="C806" s="462" t="str">
        <f>IFERROR(LEFT(PV_DATA[[#This Row],[TCL REFERENCE]],FIND(".",PV_DATA[[#This Row],[TCL REFERENCE]],1)-1),"Main Line")</f>
        <v>26Jul004</v>
      </c>
      <c r="D806" s="462" t="s">
        <v>63</v>
      </c>
      <c r="E806" s="462" t="s">
        <v>64</v>
      </c>
      <c r="F806" s="462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2" t="s">
        <v>402</v>
      </c>
      <c r="H806" s="462" t="s">
        <v>67</v>
      </c>
      <c r="I806" s="462" t="s">
        <v>882</v>
      </c>
      <c r="J806" s="430" t="s">
        <v>96</v>
      </c>
      <c r="K806" s="430"/>
      <c r="L806" s="430"/>
      <c r="M806" s="430" t="s">
        <v>68</v>
      </c>
      <c r="N806" s="432">
        <v>46223</v>
      </c>
      <c r="O806" s="430" t="s">
        <v>132</v>
      </c>
      <c r="P806" s="430" t="s">
        <v>1062</v>
      </c>
      <c r="Q806" s="430" t="s">
        <v>1063</v>
      </c>
      <c r="R806" s="430" t="str">
        <f>_xlfn.XLOOKUP(PV_DATA[[#This Row],[New Ark SKU]],Table9[New Ark SKU],Table9[Connector],,0)</f>
        <v>EVO2A</v>
      </c>
      <c r="S806" s="433" t="str">
        <f>_xlfn.XLOOKUP(PV_DATA[[#This Row],[New Ark SKU]],Table9[New Ark SKU],Table9[Cable],,0)</f>
        <v>±1200mm</v>
      </c>
      <c r="T806" s="433">
        <v>470</v>
      </c>
      <c r="U806" s="1088">
        <f>864*3</f>
        <v>2592</v>
      </c>
      <c r="V806" s="434">
        <f>PV_DATA[[#This Row],[QUANTITY]]*PV_DATA[[#This Row],[WATT]]/1000000</f>
        <v>1.21824</v>
      </c>
      <c r="W806" s="435">
        <f>PV_DATA[[#This Row],[QUANTITY]]/PV_DATA[[#This Row],[Qty/Pallet]]</f>
        <v>72</v>
      </c>
      <c r="X806" s="1040">
        <f>PV_DATA[[#This Row],[QUANTITY]]/PV_DATA[[#This Row],[Qty/CT]]</f>
        <v>3</v>
      </c>
      <c r="Y806" s="430" t="s">
        <v>2464</v>
      </c>
      <c r="Z806" s="430" t="str">
        <f t="shared" si="9"/>
        <v>COMPLETED</v>
      </c>
      <c r="AA806" s="430"/>
      <c r="AB806" s="437">
        <v>46234</v>
      </c>
      <c r="AC806" s="485">
        <f>IF(PV_DATA[[#This Row],[Pick- Up Date]]&lt;&gt;"",_xlfn.ISOWEEKNUM(PV_DATA[[#This Row],[Pick- Up Date]]),"")</f>
        <v>31</v>
      </c>
      <c r="AD806" s="430" t="s">
        <v>5759</v>
      </c>
      <c r="AE806" s="430"/>
      <c r="AF806" s="430" t="s">
        <v>122</v>
      </c>
      <c r="AG806" s="430" t="s">
        <v>123</v>
      </c>
      <c r="AH806" s="430" t="s">
        <v>105</v>
      </c>
      <c r="AI806" s="437">
        <v>46242</v>
      </c>
      <c r="AJ806" s="437">
        <v>46249</v>
      </c>
      <c r="AK806" s="437">
        <v>46249</v>
      </c>
      <c r="AL806" s="437">
        <v>46284</v>
      </c>
      <c r="AM806" s="437">
        <v>46293</v>
      </c>
      <c r="AN806" s="437">
        <v>46293</v>
      </c>
      <c r="AP806" s="430" t="s">
        <v>5752</v>
      </c>
      <c r="AQ806" s="430" t="s">
        <v>161</v>
      </c>
      <c r="AR806" s="430" t="s">
        <v>5753</v>
      </c>
      <c r="AS806" s="430" t="s">
        <v>5754</v>
      </c>
      <c r="AT806" s="430" t="s">
        <v>5755</v>
      </c>
      <c r="AU8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06" s="437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8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7">
        <f>IF(ISERROR(PV_DATA[[#This Row],[New Ark PO status]]),"",_xlfn.XLOOKUP(PV_DATA[[#This Row],[SPTN-PVHK New Ark PO'#]],New_Ark_Data[Purchase order Number],New_Ark_Data[Estimated time of arrival],"",0))</f>
        <v>46290</v>
      </c>
      <c r="AZ80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7">
        <f>IFERROR(PV_DATA[[#This Row],[ODP ETA Port]]+PV_DATA[[#This Row],[Customs/Leg3 Assumption]],"n/a")</f>
        <v>46300</v>
      </c>
      <c r="BB806" s="433">
        <f>YEAR(PV_DATA[[#This Row],[ETA for New Ark update]])</f>
        <v>2026</v>
      </c>
      <c r="BC806" s="430">
        <f>MONTH(PV_DATA[[#This Row],[ETA for New Ark update]])</f>
        <v>10</v>
      </c>
      <c r="BD806" s="430">
        <f>IFERROR(_xlfn.ISOWEEKNUM(PV_DATA[[#This Row],[ETA for New Ark update]]),0)</f>
        <v>41</v>
      </c>
      <c r="BE806" s="430">
        <f>_xlfn.XLOOKUP(PV_DATA[[#This Row],[New Ark SKU]],Table9[New Ark SKU],Table9[Total PCS per Pallet],,0)</f>
        <v>36</v>
      </c>
      <c r="BF806" s="430">
        <f>_xlfn.XLOOKUP(PV_DATA[[#This Row],[New Ark SKU]],Table9[New Ark SKU],Table9[Total PCS per 40HQ Container],,0)</f>
        <v>864</v>
      </c>
      <c r="BG806" s="430" t="str">
        <f>_xlfn.XLOOKUP(PV_DATA[[#This Row],[New Ark SKU]],Table9[New Ark SKU],Table9[Back Glass],,0)</f>
        <v>White glazing</v>
      </c>
      <c r="BH806" s="430" t="str">
        <f>_xlfn.XLOOKUP(PV_DATA[[#This Row],[PORT DESTINATION]],Table12[PORT DESTINATION],Table12[Cosco Line],,0)</f>
        <v>AEU</v>
      </c>
      <c r="BJ806" s="430"/>
    </row>
    <row r="807" spans="1:62" ht="10.5" customHeight="1">
      <c r="A807" s="462" t="s">
        <v>5760</v>
      </c>
      <c r="B807" s="462" t="s">
        <v>1757</v>
      </c>
      <c r="C807" s="462" t="str">
        <f>IFERROR(LEFT(PV_DATA[[#This Row],[TCL REFERENCE]],FIND(".",PV_DATA[[#This Row],[TCL REFERENCE]],1)-1),"Main Line")</f>
        <v>26Jun012</v>
      </c>
      <c r="D807" s="462" t="s">
        <v>63</v>
      </c>
      <c r="E807" s="462" t="s">
        <v>64</v>
      </c>
      <c r="F807" s="462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2" t="s">
        <v>402</v>
      </c>
      <c r="H807" s="462" t="s">
        <v>67</v>
      </c>
      <c r="I807" s="462" t="s">
        <v>1395</v>
      </c>
      <c r="J807" s="430" t="s">
        <v>96</v>
      </c>
      <c r="K807" s="430"/>
      <c r="L807" s="430"/>
      <c r="M807" s="430" t="s">
        <v>68</v>
      </c>
      <c r="N807" s="432">
        <v>46195</v>
      </c>
      <c r="O807" s="430" t="s">
        <v>4531</v>
      </c>
      <c r="P807" s="430" t="s">
        <v>1151</v>
      </c>
      <c r="Q807" s="430" t="s">
        <v>421</v>
      </c>
      <c r="R807" s="430" t="str">
        <f>_xlfn.XLOOKUP(PV_DATA[[#This Row],[New Ark SKU]],Table9[New Ark SKU],Table9[Connector],,0)</f>
        <v>EVO2A</v>
      </c>
      <c r="S807" s="433" t="str">
        <f>_xlfn.XLOOKUP(PV_DATA[[#This Row],[New Ark SKU]],Table9[New Ark SKU],Table9[Cable],,0)</f>
        <v>±1200mm</v>
      </c>
      <c r="T807" s="433">
        <v>505</v>
      </c>
      <c r="U807" s="1088">
        <v>4320</v>
      </c>
      <c r="V807" s="434">
        <f>PV_DATA[[#This Row],[QUANTITY]]*PV_DATA[[#This Row],[WATT]]/1000000</f>
        <v>2.1816</v>
      </c>
      <c r="W807" s="435">
        <f>PV_DATA[[#This Row],[QUANTITY]]/PV_DATA[[#This Row],[Qty/Pallet]]</f>
        <v>120</v>
      </c>
      <c r="X807" s="1040">
        <f>PV_DATA[[#This Row],[QUANTITY]]/PV_DATA[[#This Row],[Qty/CT]]</f>
        <v>5</v>
      </c>
      <c r="Y807" s="430" t="s">
        <v>2460</v>
      </c>
      <c r="Z807" s="430" t="str">
        <f t="shared" si="9"/>
        <v>COMPLETED</v>
      </c>
      <c r="AA807" s="430" t="s">
        <v>5667</v>
      </c>
      <c r="AB807" s="543">
        <v>46233</v>
      </c>
      <c r="AC807" s="485">
        <f>IF(PV_DATA[[#This Row],[Pick- Up Date]]&lt;&gt;"",_xlfn.ISOWEEKNUM(PV_DATA[[#This Row],[Pick- Up Date]]),"")</f>
        <v>31</v>
      </c>
      <c r="AD807" s="430" t="s">
        <v>5761</v>
      </c>
      <c r="AE807" s="430"/>
      <c r="AF807" s="459" t="s">
        <v>1525</v>
      </c>
      <c r="AG807" s="459" t="s">
        <v>1525</v>
      </c>
      <c r="AH807" s="430" t="s">
        <v>105</v>
      </c>
      <c r="AI807" s="437">
        <v>46238</v>
      </c>
      <c r="AJ807" s="437">
        <f>IFERROR(IF(VLOOKUP(AT807,Vessel!A:D,4,FALSE)=0,"",VLOOKUP(AT807,Vessel!A:D,4,FALSE)),"")</f>
        <v>46246.375</v>
      </c>
      <c r="AK807" s="437">
        <f>IFERROR(IF(VLOOKUP(AT807,Vessel!A:F,5,FALSE)=0,"",VLOOKUP(AT807,Vessel!A:F,5,FALSE)),"")</f>
        <v>46246.423298611109</v>
      </c>
      <c r="AL807" s="437">
        <v>46274</v>
      </c>
      <c r="AM807" s="588">
        <f>IFERROR(VLOOKUP(AT807, Vessel!A:H, 8, FALSE), "")</f>
        <v>46279.958333333336</v>
      </c>
      <c r="AN807" s="588">
        <v>46279.958333333336</v>
      </c>
      <c r="AP807" s="430" t="s">
        <v>5599</v>
      </c>
      <c r="AQ807" s="430" t="s">
        <v>80</v>
      </c>
      <c r="AR807" s="430" t="s">
        <v>5762</v>
      </c>
      <c r="AS807" s="430" t="s">
        <v>5763</v>
      </c>
      <c r="AT807" s="430" t="s">
        <v>5763</v>
      </c>
      <c r="AU8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33.535034722226555</v>
      </c>
      <c r="AV807" s="437"/>
      <c r="AW807" s="437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8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7">
        <f>IF(ISERROR(PV_DATA[[#This Row],[New Ark PO status]]),"",_xlfn.XLOOKUP(PV_DATA[[#This Row],[SPTN-PVHK New Ark PO'#]],New_Ark_Data[Purchase order Number],New_Ark_Data[Estimated time of arrival],"",0))</f>
        <v>46293</v>
      </c>
      <c r="AZ80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7">
        <f>IFERROR(PV_DATA[[#This Row],[ODP ETA Port]]+PV_DATA[[#This Row],[Customs/Leg3 Assumption]],"n/a")</f>
        <v>46286.958333333336</v>
      </c>
      <c r="BB807" s="433">
        <f>YEAR(PV_DATA[[#This Row],[ETA for New Ark update]])</f>
        <v>2026</v>
      </c>
      <c r="BC807" s="430">
        <f>MONTH(PV_DATA[[#This Row],[ETA for New Ark update]])</f>
        <v>9</v>
      </c>
      <c r="BD807" s="430">
        <f>IFERROR(_xlfn.ISOWEEKNUM(PV_DATA[[#This Row],[ETA for New Ark update]]),0)</f>
        <v>39</v>
      </c>
      <c r="BE807" s="430">
        <f>_xlfn.XLOOKUP(PV_DATA[[#This Row],[New Ark SKU]],Table9[New Ark SKU],Table9[Total PCS per Pallet],,0)</f>
        <v>36</v>
      </c>
      <c r="BF807" s="430">
        <f>_xlfn.XLOOKUP(PV_DATA[[#This Row],[New Ark SKU]],Table9[New Ark SKU],Table9[Total PCS per 40HQ Container],,0)</f>
        <v>864</v>
      </c>
      <c r="BG807" s="430" t="str">
        <f>_xlfn.XLOOKUP(PV_DATA[[#This Row],[New Ark SKU]],Table9[New Ark SKU],Table9[Back Glass],,0)</f>
        <v>Black glazing</v>
      </c>
      <c r="BH807" s="430" t="str">
        <f>_xlfn.XLOOKUP(PV_DATA[[#This Row],[PORT DESTINATION]],Table12[PORT DESTINATION],Table12[Cosco Line],,0)</f>
        <v>AEU</v>
      </c>
      <c r="BJ807" s="430"/>
    </row>
    <row r="808" spans="1:62" ht="10.5">
      <c r="A808" s="462" t="s">
        <v>5764</v>
      </c>
      <c r="B808" s="462" t="s">
        <v>1757</v>
      </c>
      <c r="C808" s="462" t="str">
        <f>IFERROR(LEFT(PV_DATA[[#This Row],[TCL REFERENCE]],FIND(".",PV_DATA[[#This Row],[TCL REFERENCE]],1)-1),"Main Line")</f>
        <v>26Jul008</v>
      </c>
      <c r="D808" s="462" t="s">
        <v>63</v>
      </c>
      <c r="E808" s="462" t="s">
        <v>64</v>
      </c>
      <c r="F808" s="462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2" t="s">
        <v>402</v>
      </c>
      <c r="H808" s="462" t="s">
        <v>67</v>
      </c>
      <c r="I808" s="462" t="s">
        <v>882</v>
      </c>
      <c r="J808" s="430" t="s">
        <v>96</v>
      </c>
      <c r="K808" s="430"/>
      <c r="L808" s="430"/>
      <c r="M808" s="430" t="s">
        <v>68</v>
      </c>
      <c r="N808" s="432">
        <v>46209</v>
      </c>
      <c r="O808" s="430" t="s">
        <v>4531</v>
      </c>
      <c r="P808" s="430" t="s">
        <v>1151</v>
      </c>
      <c r="Q808" s="430" t="s">
        <v>421</v>
      </c>
      <c r="R808" s="430" t="str">
        <f>_xlfn.XLOOKUP(PV_DATA[[#This Row],[New Ark SKU]],Table9[New Ark SKU],Table9[Connector],,0)</f>
        <v>EVO2A</v>
      </c>
      <c r="S808" s="433" t="str">
        <f>_xlfn.XLOOKUP(PV_DATA[[#This Row],[New Ark SKU]],Table9[New Ark SKU],Table9[Cable],,0)</f>
        <v>±1200mm</v>
      </c>
      <c r="T808" s="433">
        <v>505</v>
      </c>
      <c r="U808" s="1088">
        <v>864</v>
      </c>
      <c r="V808" s="434">
        <f>PV_DATA[[#This Row],[QUANTITY]]*PV_DATA[[#This Row],[WATT]]/1000000</f>
        <v>0.43631999999999999</v>
      </c>
      <c r="W808" s="435">
        <f>PV_DATA[[#This Row],[QUANTITY]]/PV_DATA[[#This Row],[Qty/Pallet]]</f>
        <v>24</v>
      </c>
      <c r="X808" s="1040">
        <f>PV_DATA[[#This Row],[QUANTITY]]/PV_DATA[[#This Row],[Qty/CT]]</f>
        <v>1</v>
      </c>
      <c r="Y808" s="430" t="s">
        <v>2462</v>
      </c>
      <c r="Z808" s="430" t="str">
        <f t="shared" si="9"/>
        <v>COMPLETED</v>
      </c>
      <c r="AA808" s="430"/>
      <c r="AB808" s="543">
        <v>46234</v>
      </c>
      <c r="AC808" s="485">
        <f>IF(PV_DATA[[#This Row],[Pick- Up Date]]&lt;&gt;"",_xlfn.ISOWEEKNUM(PV_DATA[[#This Row],[Pick- Up Date]]),"")</f>
        <v>31</v>
      </c>
      <c r="AD808" s="430" t="s">
        <v>5765</v>
      </c>
      <c r="AE808" s="430"/>
      <c r="AF808" s="459" t="s">
        <v>1525</v>
      </c>
      <c r="AG808" s="459" t="s">
        <v>1525</v>
      </c>
      <c r="AH808" s="430" t="s">
        <v>78</v>
      </c>
      <c r="AI808" s="437">
        <v>46238</v>
      </c>
      <c r="AJ808" s="437">
        <f>IFERROR(IF(VLOOKUP(AT808,Vessel!A:D,4,FALSE)=0,"",VLOOKUP(AT808,Vessel!A:D,4,FALSE)),"")</f>
        <v>46239.75</v>
      </c>
      <c r="AK808" s="437">
        <v>46239</v>
      </c>
      <c r="AL808" s="437">
        <v>46281</v>
      </c>
      <c r="AM808" s="588">
        <f>IFERROR(VLOOKUP(AT808, Vessel!A:H, 8, FALSE), "")</f>
        <v>46283.416666666664</v>
      </c>
      <c r="AN808" s="588">
        <f>IFERROR(IF(VLOOKUP(AT808,Vessel!A:I,9,FALSE)=0,"",VLOOKUP(AT808,Vessel!A:I,9,FALSE)),"")</f>
        <v>46283.4372337963</v>
      </c>
      <c r="AP808" s="430" t="s">
        <v>5766</v>
      </c>
      <c r="AQ808" s="430" t="s">
        <v>80</v>
      </c>
      <c r="AR808" s="430" t="s">
        <v>5767</v>
      </c>
      <c r="AS808" s="430" t="s">
        <v>5768</v>
      </c>
      <c r="AT808" s="430" t="s">
        <v>5768</v>
      </c>
      <c r="AU8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44.437233796299552</v>
      </c>
      <c r="AW808" s="437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8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7">
        <f>IF(ISERROR(PV_DATA[[#This Row],[New Ark PO status]]),"",_xlfn.XLOOKUP(PV_DATA[[#This Row],[SPTN-PVHK New Ark PO'#]],New_Ark_Data[Purchase order Number],New_Ark_Data[Estimated time of arrival],"",0))</f>
        <v>46295</v>
      </c>
      <c r="AZ80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7">
        <f>IFERROR(PV_DATA[[#This Row],[ODP ETA Port]]+PV_DATA[[#This Row],[Customs/Leg3 Assumption]],"n/a")</f>
        <v>46291.4372337963</v>
      </c>
      <c r="BB808" s="433">
        <f>YEAR(PV_DATA[[#This Row],[ETA for New Ark update]])</f>
        <v>2026</v>
      </c>
      <c r="BC808" s="430">
        <f>MONTH(PV_DATA[[#This Row],[ETA for New Ark update]])</f>
        <v>9</v>
      </c>
      <c r="BD808" s="430">
        <f>IFERROR(_xlfn.ISOWEEKNUM(PV_DATA[[#This Row],[ETA for New Ark update]]),0)</f>
        <v>39</v>
      </c>
      <c r="BE808" s="430">
        <f>_xlfn.XLOOKUP(PV_DATA[[#This Row],[New Ark SKU]],Table9[New Ark SKU],Table9[Total PCS per Pallet],,0)</f>
        <v>36</v>
      </c>
      <c r="BF808" s="430">
        <f>_xlfn.XLOOKUP(PV_DATA[[#This Row],[New Ark SKU]],Table9[New Ark SKU],Table9[Total PCS per 40HQ Container],,0)</f>
        <v>864</v>
      </c>
      <c r="BG808" s="430" t="str">
        <f>_xlfn.XLOOKUP(PV_DATA[[#This Row],[New Ark SKU]],Table9[New Ark SKU],Table9[Back Glass],,0)</f>
        <v>Black glazing</v>
      </c>
      <c r="BH808" s="430" t="str">
        <f>_xlfn.XLOOKUP(PV_DATA[[#This Row],[PORT DESTINATION]],Table12[PORT DESTINATION],Table12[Cosco Line],,0)</f>
        <v>AEM</v>
      </c>
      <c r="BJ808" s="430"/>
    </row>
    <row r="809" spans="1:62" ht="10.5">
      <c r="A809" s="462" t="s">
        <v>5769</v>
      </c>
      <c r="B809" s="462" t="s">
        <v>111</v>
      </c>
      <c r="C809" s="462" t="str">
        <f>IFERROR(LEFT(PV_DATA[[#This Row],[TCL REFERENCE]],FIND(".",PV_DATA[[#This Row],[TCL REFERENCE]],1)-1),"Main Line")</f>
        <v>26Jul014</v>
      </c>
      <c r="D809" s="462" t="s">
        <v>63</v>
      </c>
      <c r="E809" s="462" t="s">
        <v>64</v>
      </c>
      <c r="F809" s="462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2" t="s">
        <v>402</v>
      </c>
      <c r="H809" s="462" t="s">
        <v>115</v>
      </c>
      <c r="I809" s="462" t="s">
        <v>689</v>
      </c>
      <c r="J809" s="430" t="s">
        <v>96</v>
      </c>
      <c r="K809" s="430"/>
      <c r="L809" s="430"/>
      <c r="M809" s="430" t="s">
        <v>68</v>
      </c>
      <c r="N809" s="432">
        <v>46202</v>
      </c>
      <c r="O809" s="430" t="s">
        <v>5336</v>
      </c>
      <c r="P809" s="430" t="s">
        <v>5555</v>
      </c>
      <c r="Q809" s="430" t="s">
        <v>5556</v>
      </c>
      <c r="R809" s="430" t="str">
        <f>_xlfn.XLOOKUP(PV_DATA[[#This Row],[New Ark SKU]],Table9[New Ark SKU],Table9[Connector],,0)</f>
        <v>EVO2A</v>
      </c>
      <c r="S809" s="433" t="str">
        <f>_xlfn.XLOOKUP(PV_DATA[[#This Row],[New Ark SKU]],Table9[New Ark SKU],Table9[Cable],,0)</f>
        <v>±1400mm</v>
      </c>
      <c r="T809" s="433">
        <v>585</v>
      </c>
      <c r="U809" s="1096">
        <v>720</v>
      </c>
      <c r="V809" s="434">
        <f>PV_DATA[[#This Row],[QUANTITY]]*PV_DATA[[#This Row],[WATT]]/1000000</f>
        <v>0.42120000000000002</v>
      </c>
      <c r="W809" s="435">
        <f>PV_DATA[[#This Row],[QUANTITY]]/PV_DATA[[#This Row],[Qty/Pallet]]</f>
        <v>20</v>
      </c>
      <c r="X809" s="1040">
        <f>PV_DATA[[#This Row],[QUANTITY]]/PV_DATA[[#This Row],[Qty/CT]]</f>
        <v>1</v>
      </c>
      <c r="Y809" s="430" t="s">
        <v>2462</v>
      </c>
      <c r="Z809" s="430" t="str">
        <f t="shared" si="9"/>
        <v>COMPLETED</v>
      </c>
      <c r="AA809" s="430" t="s">
        <v>5650</v>
      </c>
      <c r="AB809" s="543">
        <v>46238</v>
      </c>
      <c r="AC809" s="485">
        <f>IF(PV_DATA[[#This Row],[Pick- Up Date]]&lt;&gt;"",_xlfn.ISOWEEKNUM(PV_DATA[[#This Row],[Pick- Up Date]]),"")</f>
        <v>32</v>
      </c>
      <c r="AD809" s="430" t="s">
        <v>5770</v>
      </c>
      <c r="AE809" s="430"/>
      <c r="AF809" s="430" t="s">
        <v>1525</v>
      </c>
      <c r="AG809" s="430" t="s">
        <v>1525</v>
      </c>
      <c r="AH809" s="430" t="s">
        <v>124</v>
      </c>
      <c r="AI809" s="713">
        <v>46245</v>
      </c>
      <c r="AJ809" s="437">
        <f>IFERROR(IF(VLOOKUP(AT809,Vessel!A:D,4,FALSE)=0,"",VLOOKUP(AT809,Vessel!A:D,4,FALSE)),"")</f>
        <v>46241.541666666664</v>
      </c>
      <c r="AK809" s="437">
        <f>IFERROR(IF(VLOOKUP(AT809,Vessel!A:F,5,FALSE)=0,"",VLOOKUP(AT809,Vessel!A:F,5,FALSE)),"")</f>
        <v>46241.557245370372</v>
      </c>
      <c r="AL809" s="437">
        <v>46282</v>
      </c>
      <c r="AM809" s="588">
        <f>IFERROR(VLOOKUP(AT809, Vessel!A:H, 8, FALSE), "")</f>
        <v>46284</v>
      </c>
      <c r="AN809" s="588">
        <f>IFERROR(IF(VLOOKUP(AT809,Vessel!A:I,9,FALSE)=0,"",VLOOKUP(AT809,Vessel!A:I,9,FALSE)),"")</f>
        <v>46284.052731481483</v>
      </c>
      <c r="AP809" s="430" t="s">
        <v>5745</v>
      </c>
      <c r="AQ809" s="430" t="s">
        <v>80</v>
      </c>
      <c r="AR809" s="430" t="s">
        <v>5771</v>
      </c>
      <c r="AS809" s="430" t="s">
        <v>5772</v>
      </c>
      <c r="AT809" s="430" t="s">
        <v>5772</v>
      </c>
      <c r="AU8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42.495486111110949</v>
      </c>
      <c r="AW809" s="437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46284.052731481483</v>
      </c>
      <c r="AX8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7">
        <f>IF(ISERROR(PV_DATA[[#This Row],[New Ark PO status]]),"",_xlfn.XLOOKUP(PV_DATA[[#This Row],[SPTN-PVHK New Ark PO'#]],New_Ark_Data[Purchase order Number],New_Ark_Data[Estimated time of arrival],"",0))</f>
        <v>46296</v>
      </c>
      <c r="AZ809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7">
        <f>IFERROR(PV_DATA[[#This Row],[ODP ETA Port]]+PV_DATA[[#This Row],[Customs/Leg3 Assumption]],"n/a")</f>
        <v>46293.052731481483</v>
      </c>
      <c r="BB809" s="433">
        <f>YEAR(PV_DATA[[#This Row],[ETA for New Ark update]])</f>
        <v>2026</v>
      </c>
      <c r="BC809" s="430">
        <f>MONTH(PV_DATA[[#This Row],[ETA for New Ark update]])</f>
        <v>9</v>
      </c>
      <c r="BD809" s="430">
        <f>IFERROR(_xlfn.ISOWEEKNUM(PV_DATA[[#This Row],[ETA for New Ark update]]),0)</f>
        <v>40</v>
      </c>
      <c r="BE809" s="430">
        <f>_xlfn.XLOOKUP(PV_DATA[[#This Row],[New Ark SKU]],Table9[New Ark SKU],Table9[Total PCS per Pallet],,0)</f>
        <v>36</v>
      </c>
      <c r="BF809" s="430">
        <f>_xlfn.XLOOKUP(PV_DATA[[#This Row],[New Ark SKU]],Table9[New Ark SKU],Table9[Total PCS per 40HQ Container],,0)</f>
        <v>720</v>
      </c>
      <c r="BG809" s="430" t="str">
        <f>_xlfn.XLOOKUP(PV_DATA[[#This Row],[New Ark SKU]],Table9[New Ark SKU],Table9[Back Glass],,0)</f>
        <v>Transparent</v>
      </c>
      <c r="BH809" s="430" t="str">
        <f>_xlfn.XLOOKUP(PV_DATA[[#This Row],[PORT DESTINATION]],Table12[PORT DESTINATION],Table12[Cosco Line],,0)</f>
        <v>AEM</v>
      </c>
      <c r="BJ809" s="430"/>
    </row>
    <row r="810" spans="1:62" ht="10.5">
      <c r="A810" s="462" t="s">
        <v>5773</v>
      </c>
      <c r="B810" s="462" t="s">
        <v>5774</v>
      </c>
      <c r="C810" s="462" t="str">
        <f>IFERROR(LEFT(PV_DATA[[#This Row],[TCL REFERENCE]],FIND(".",PV_DATA[[#This Row],[TCL REFERENCE]],1)-1),"Main Line")</f>
        <v>26Jul006</v>
      </c>
      <c r="D810" s="462" t="s">
        <v>63</v>
      </c>
      <c r="E810" s="462" t="s">
        <v>144</v>
      </c>
      <c r="F810" s="462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2" t="s">
        <v>156</v>
      </c>
      <c r="H810" s="462" t="s">
        <v>2710</v>
      </c>
      <c r="I810" s="462" t="s">
        <v>1395</v>
      </c>
      <c r="J810" s="430" t="s">
        <v>2710</v>
      </c>
      <c r="K810" s="430" t="s">
        <v>5775</v>
      </c>
      <c r="L810" s="430">
        <v>1</v>
      </c>
      <c r="M810" s="430" t="s">
        <v>4967</v>
      </c>
      <c r="N810" s="432">
        <v>46223</v>
      </c>
      <c r="O810" s="430" t="s">
        <v>4531</v>
      </c>
      <c r="P810" s="430" t="s">
        <v>965</v>
      </c>
      <c r="Q810" s="430" t="s">
        <v>966</v>
      </c>
      <c r="R810" s="430" t="str">
        <f>_xlfn.XLOOKUP(PV_DATA[[#This Row],[New Ark SKU]],Table9[New Ark SKU],Table9[Connector],,0)</f>
        <v>EVO2A</v>
      </c>
      <c r="S810" s="433" t="str">
        <f>_xlfn.XLOOKUP(PV_DATA[[#This Row],[New Ark SKU]],Table9[New Ark SKU],Table9[Cable],,0)</f>
        <v>±1200mm</v>
      </c>
      <c r="T810" s="433">
        <v>455</v>
      </c>
      <c r="U810" s="1096">
        <f>936</f>
        <v>936</v>
      </c>
      <c r="V810" s="434">
        <f>PV_DATA[[#This Row],[QUANTITY]]*PV_DATA[[#This Row],[WATT]]/1000000</f>
        <v>0.42587999999999998</v>
      </c>
      <c r="W810" s="435">
        <f>PV_DATA[[#This Row],[QUANTITY]]/PV_DATA[[#This Row],[Qty/Pallet]]</f>
        <v>26</v>
      </c>
      <c r="X810" s="1040">
        <f>PV_DATA[[#This Row],[QUANTITY]]/PV_DATA[[#This Row],[Qty/CT]]</f>
        <v>1</v>
      </c>
      <c r="Y810" s="430" t="s">
        <v>2463</v>
      </c>
      <c r="Z810" s="430" t="str">
        <f t="shared" si="9"/>
        <v>COMPLETED</v>
      </c>
      <c r="AA810" s="430"/>
      <c r="AB810" s="543">
        <v>46238</v>
      </c>
      <c r="AC810" s="485">
        <f>IF(PV_DATA[[#This Row],[Pick- Up Date]]&lt;&gt;"",_xlfn.ISOWEEKNUM(PV_DATA[[#This Row],[Pick- Up Date]]),"")</f>
        <v>32</v>
      </c>
      <c r="AD810" s="730" t="s">
        <v>5776</v>
      </c>
      <c r="AE810" s="430"/>
      <c r="AF810" s="459" t="s">
        <v>1525</v>
      </c>
      <c r="AG810" s="459" t="s">
        <v>1525</v>
      </c>
      <c r="AH810" s="430" t="s">
        <v>5777</v>
      </c>
      <c r="AI810" s="713">
        <v>46244</v>
      </c>
      <c r="AK810" s="437">
        <v>46246</v>
      </c>
      <c r="AL810" s="437">
        <v>46279</v>
      </c>
      <c r="AM810" s="437">
        <v>46279</v>
      </c>
      <c r="AN810" s="437">
        <v>46282</v>
      </c>
      <c r="AP810" s="430" t="s">
        <v>5778</v>
      </c>
      <c r="AQ810" s="438" t="s">
        <v>161</v>
      </c>
      <c r="AR810" s="430" t="s">
        <v>5779</v>
      </c>
      <c r="AS810" s="430" t="s">
        <v>5780</v>
      </c>
      <c r="AT810" s="430" t="s">
        <v>5781</v>
      </c>
      <c r="AU8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10" s="437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7">
        <f>IF(ISERROR(PV_DATA[[#This Row],[New Ark PO status]]),"",_xlfn.XLOOKUP(PV_DATA[[#This Row],[SPTN-PVHK New Ark PO'#]],New_Ark_Data[Purchase order Number],New_Ark_Data[Estimated time of arrival],"",0))</f>
        <v>46279</v>
      </c>
      <c r="AZ81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7">
        <f>IFERROR(PV_DATA[[#This Row],[ODP ETA Port]]+PV_DATA[[#This Row],[Customs/Leg3 Assumption]],"n/a")</f>
        <v>46282</v>
      </c>
      <c r="BB810" s="433">
        <f>YEAR(PV_DATA[[#This Row],[ETA for New Ark update]])</f>
        <v>2026</v>
      </c>
      <c r="BC810" s="430">
        <f>MONTH(PV_DATA[[#This Row],[ETA for New Ark update]])</f>
        <v>9</v>
      </c>
      <c r="BD810" s="430">
        <f>IFERROR(_xlfn.ISOWEEKNUM(PV_DATA[[#This Row],[ETA for New Ark update]]),0)</f>
        <v>38</v>
      </c>
      <c r="BE810" s="430">
        <f>_xlfn.XLOOKUP(PV_DATA[[#This Row],[New Ark SKU]],Table9[New Ark SKU],Table9[Total PCS per Pallet],,0)</f>
        <v>36</v>
      </c>
      <c r="BF810" s="430">
        <f>_xlfn.XLOOKUP(PV_DATA[[#This Row],[New Ark SKU]],Table9[New Ark SKU],Table9[Total PCS per 40HQ Container],,0)</f>
        <v>936</v>
      </c>
      <c r="BG810" s="430" t="str">
        <f>_xlfn.XLOOKUP(PV_DATA[[#This Row],[New Ark SKU]],Table9[New Ark SKU],Table9[Back Glass],,0)</f>
        <v>Black glazing</v>
      </c>
      <c r="BH810" s="430" t="str">
        <f>_xlfn.XLOOKUP(PV_DATA[[#This Row],[PORT DESTINATION]],Table12[PORT DESTINATION],Table12[Cosco Line],,0)</f>
        <v>n/a</v>
      </c>
      <c r="BJ810" s="430"/>
    </row>
    <row r="811" spans="1:62" ht="10.5">
      <c r="A811" s="462" t="s">
        <v>5782</v>
      </c>
      <c r="B811" s="462" t="s">
        <v>61</v>
      </c>
      <c r="C811" s="462" t="str">
        <f>IFERROR(LEFT(PV_DATA[[#This Row],[TCL REFERENCE]],FIND(".",PV_DATA[[#This Row],[TCL REFERENCE]],1)-1),"Main Line")</f>
        <v>26Jun010</v>
      </c>
      <c r="D811" s="462" t="s">
        <v>63</v>
      </c>
      <c r="E811" s="462" t="s">
        <v>144</v>
      </c>
      <c r="F811" s="462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62" t="s">
        <v>402</v>
      </c>
      <c r="H811" s="462" t="s">
        <v>5783</v>
      </c>
      <c r="I811" s="462" t="s">
        <v>689</v>
      </c>
      <c r="J811" s="430" t="s">
        <v>5783</v>
      </c>
      <c r="K811" s="430" t="s">
        <v>5784</v>
      </c>
      <c r="L811" s="430">
        <v>2</v>
      </c>
      <c r="M811" s="430" t="s">
        <v>4967</v>
      </c>
      <c r="N811" s="432">
        <v>46188</v>
      </c>
      <c r="O811" s="430" t="s">
        <v>4531</v>
      </c>
      <c r="P811" s="430" t="s">
        <v>965</v>
      </c>
      <c r="Q811" s="430" t="s">
        <v>966</v>
      </c>
      <c r="R811" s="430" t="str">
        <f>_xlfn.XLOOKUP(PV_DATA[[#This Row],[New Ark SKU]],Table9[New Ark SKU],Table9[Connector],,0)</f>
        <v>EVO2A</v>
      </c>
      <c r="S811" s="433" t="str">
        <f>_xlfn.XLOOKUP(PV_DATA[[#This Row],[New Ark SKU]],Table9[New Ark SKU],Table9[Cable],,0)</f>
        <v>±1200mm</v>
      </c>
      <c r="T811" s="433">
        <v>455</v>
      </c>
      <c r="U811" s="1088">
        <f>936*2</f>
        <v>1872</v>
      </c>
      <c r="V811" s="434">
        <f>PV_DATA[[#This Row],[QUANTITY]]*PV_DATA[[#This Row],[WATT]]/1000000</f>
        <v>0.85175999999999996</v>
      </c>
      <c r="W811" s="435">
        <f>PV_DATA[[#This Row],[QUANTITY]]/PV_DATA[[#This Row],[Qty/Pallet]]</f>
        <v>52</v>
      </c>
      <c r="X811" s="1040">
        <f>PV_DATA[[#This Row],[QUANTITY]]/PV_DATA[[#This Row],[Qty/CT]]</f>
        <v>2</v>
      </c>
      <c r="Y811" s="430" t="s">
        <v>2462</v>
      </c>
      <c r="Z811" s="430" t="str">
        <f t="shared" si="9"/>
        <v>IN-TRANSIT</v>
      </c>
      <c r="AA811" s="430" t="s">
        <v>5785</v>
      </c>
      <c r="AB811" s="437">
        <v>46232</v>
      </c>
      <c r="AC811" s="485">
        <f>IF(PV_DATA[[#This Row],[Pick- Up Date]]&lt;&gt;"",_xlfn.ISOWEEKNUM(PV_DATA[[#This Row],[Pick- Up Date]]),"")</f>
        <v>31</v>
      </c>
      <c r="AD811" s="430" t="s">
        <v>5786</v>
      </c>
      <c r="AE811" s="430"/>
      <c r="AF811" s="430" t="s">
        <v>61</v>
      </c>
      <c r="AG811" s="430" t="s">
        <v>61</v>
      </c>
      <c r="AH811" s="430" t="s">
        <v>5787</v>
      </c>
      <c r="AI811" s="437">
        <v>46240</v>
      </c>
      <c r="AK811" s="437">
        <v>46243</v>
      </c>
      <c r="AL811" s="437">
        <v>46307</v>
      </c>
      <c r="AM811" s="437">
        <v>46332</v>
      </c>
      <c r="AN811" s="586"/>
      <c r="AP811" s="430" t="s">
        <v>5788</v>
      </c>
      <c r="AQ811" s="430" t="s">
        <v>161</v>
      </c>
      <c r="AR811" s="430" t="s">
        <v>5789</v>
      </c>
      <c r="AS811" s="430" t="s">
        <v>5790</v>
      </c>
      <c r="AT811" s="430" t="s">
        <v>5790</v>
      </c>
      <c r="AU8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7"/>
      <c r="AW811" s="437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7">
        <f>IF(ISERROR(PV_DATA[[#This Row],[New Ark PO status]]),"",_xlfn.XLOOKUP(PV_DATA[[#This Row],[SPTN-PVHK New Ark PO'#]],New_Ark_Data[Purchase order Number],New_Ark_Data[Estimated time of arrival],"",0))</f>
        <v>46307</v>
      </c>
      <c r="AZ81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7">
        <f>IFERROR(PV_DATA[[#This Row],[ODP ETA Port]]+PV_DATA[[#This Row],[Customs/Leg3 Assumption]],"n/a")</f>
        <v>46332</v>
      </c>
      <c r="BB811" s="433">
        <f>YEAR(PV_DATA[[#This Row],[ETA for New Ark update]])</f>
        <v>2026</v>
      </c>
      <c r="BC811" s="430">
        <f>MONTH(PV_DATA[[#This Row],[ETA for New Ark update]])</f>
        <v>11</v>
      </c>
      <c r="BD811" s="430">
        <f>IFERROR(_xlfn.ISOWEEKNUM(PV_DATA[[#This Row],[ETA for New Ark update]]),0)</f>
        <v>45</v>
      </c>
      <c r="BE811" s="430">
        <f>_xlfn.XLOOKUP(PV_DATA[[#This Row],[New Ark SKU]],Table9[New Ark SKU],Table9[Total PCS per Pallet],,0)</f>
        <v>36</v>
      </c>
      <c r="BF811" s="430">
        <f>_xlfn.XLOOKUP(PV_DATA[[#This Row],[New Ark SKU]],Table9[New Ark SKU],Table9[Total PCS per 40HQ Container],,0)</f>
        <v>936</v>
      </c>
      <c r="BG811" s="430" t="str">
        <f>_xlfn.XLOOKUP(PV_DATA[[#This Row],[New Ark SKU]],Table9[New Ark SKU],Table9[Back Glass],,0)</f>
        <v>Black glazing</v>
      </c>
      <c r="BH811" s="430" t="str">
        <f>_xlfn.XLOOKUP(PV_DATA[[#This Row],[PORT DESTINATION]],Table12[PORT DESTINATION],Table12[Cosco Line],,0)</f>
        <v>n/a</v>
      </c>
      <c r="BJ811" s="430"/>
    </row>
    <row r="812" spans="1:62" ht="10.5">
      <c r="A812" s="462" t="s">
        <v>5791</v>
      </c>
      <c r="B812" s="462" t="s">
        <v>61</v>
      </c>
      <c r="C812" s="462" t="str">
        <f>IFERROR(LEFT(PV_DATA[[#This Row],[TCL REFERENCE]],FIND(".",PV_DATA[[#This Row],[TCL REFERENCE]],1)-1),"Main Line")</f>
        <v>26May008</v>
      </c>
      <c r="D812" s="462" t="s">
        <v>63</v>
      </c>
      <c r="E812" s="462" t="s">
        <v>144</v>
      </c>
      <c r="F812" s="462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62" t="s">
        <v>402</v>
      </c>
      <c r="H812" s="462" t="s">
        <v>1080</v>
      </c>
      <c r="I812" s="462" t="s">
        <v>1395</v>
      </c>
      <c r="J812" s="430" t="s">
        <v>5792</v>
      </c>
      <c r="K812" s="430" t="s">
        <v>2253</v>
      </c>
      <c r="L812" s="430">
        <v>5</v>
      </c>
      <c r="M812" s="430" t="s">
        <v>4967</v>
      </c>
      <c r="N812" s="432">
        <v>46111</v>
      </c>
      <c r="O812" s="430" t="s">
        <v>70</v>
      </c>
      <c r="P812" s="430" t="s">
        <v>965</v>
      </c>
      <c r="Q812" s="430" t="s">
        <v>966</v>
      </c>
      <c r="R812" s="430" t="str">
        <f>_xlfn.XLOOKUP(PV_DATA[[#This Row],[New Ark SKU]],Table9[New Ark SKU],Table9[Connector],,0)</f>
        <v>EVO2A</v>
      </c>
      <c r="S812" s="433" t="str">
        <f>_xlfn.XLOOKUP(PV_DATA[[#This Row],[New Ark SKU]],Table9[New Ark SKU],Table9[Cable],,0)</f>
        <v>±1200mm</v>
      </c>
      <c r="T812" s="433">
        <v>455</v>
      </c>
      <c r="U812" s="1088">
        <f>936*2</f>
        <v>1872</v>
      </c>
      <c r="V812" s="544">
        <f>PV_DATA[[#This Row],[QUANTITY]]*PV_DATA[[#This Row],[WATT]]/1000000</f>
        <v>0.85175999999999996</v>
      </c>
      <c r="W812" s="435">
        <f>PV_DATA[[#This Row],[QUANTITY]]/PV_DATA[[#This Row],[Qty/Pallet]]</f>
        <v>52</v>
      </c>
      <c r="X812" s="1040">
        <f>PV_DATA[[#This Row],[QUANTITY]]/PV_DATA[[#This Row],[Qty/CT]]</f>
        <v>2</v>
      </c>
      <c r="Y812" s="430" t="s">
        <v>2462</v>
      </c>
      <c r="Z812" s="430" t="str">
        <f t="shared" si="9"/>
        <v>IN-TRANSIT</v>
      </c>
      <c r="AA812" s="430"/>
      <c r="AB812" s="437">
        <v>46232</v>
      </c>
      <c r="AC812" s="438">
        <f>IF(PV_DATA[[#This Row],[Pick- Up Date]]&lt;&gt;"",_xlfn.ISOWEEKNUM(PV_DATA[[#This Row],[Pick- Up Date]]),"")</f>
        <v>31</v>
      </c>
      <c r="AD812" s="430" t="s">
        <v>5793</v>
      </c>
      <c r="AE812" s="430"/>
      <c r="AF812" s="430" t="s">
        <v>77</v>
      </c>
      <c r="AG812" s="430" t="s">
        <v>61</v>
      </c>
      <c r="AH812" s="430" t="s">
        <v>1084</v>
      </c>
      <c r="AI812" s="437">
        <v>46239</v>
      </c>
      <c r="AJ812" s="437">
        <v>46240</v>
      </c>
      <c r="AK812" s="437">
        <v>46240</v>
      </c>
      <c r="AL812" s="437">
        <v>46294</v>
      </c>
      <c r="AM812" s="713">
        <v>46317</v>
      </c>
      <c r="AN812" s="586"/>
      <c r="AO812" s="430" t="s">
        <v>402</v>
      </c>
      <c r="AP812" s="430" t="s">
        <v>5794</v>
      </c>
      <c r="AQ812" s="430" t="s">
        <v>161</v>
      </c>
      <c r="AR812" s="430" t="s">
        <v>5795</v>
      </c>
      <c r="AS812" s="430" t="s">
        <v>5796</v>
      </c>
      <c r="AT812" s="430" t="s">
        <v>5797</v>
      </c>
      <c r="AU8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812" s="437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8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7">
        <f>IF(ISERROR(PV_DATA[[#This Row],[New Ark PO status]]),"",_xlfn.XLOOKUP(PV_DATA[[#This Row],[SPTN-PVHK New Ark PO'#]],New_Ark_Data[Purchase order Number],New_Ark_Data[Estimated time of arrival],"",0))</f>
        <v>46294</v>
      </c>
      <c r="AZ81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7">
        <f>IFERROR(PV_DATA[[#This Row],[ODP ETA Port]]+PV_DATA[[#This Row],[Customs/Leg3 Assumption]],"n/a")</f>
        <v>46317</v>
      </c>
      <c r="BB812" s="433">
        <f>YEAR(PV_DATA[[#This Row],[ETA for New Ark update]])</f>
        <v>2026</v>
      </c>
      <c r="BC812" s="430">
        <f>MONTH(PV_DATA[[#This Row],[ETA for New Ark update]])</f>
        <v>10</v>
      </c>
      <c r="BD812" s="430">
        <f>IFERROR(_xlfn.ISOWEEKNUM(PV_DATA[[#This Row],[ETA for New Ark update]]),0)</f>
        <v>43</v>
      </c>
      <c r="BE812" s="430">
        <f>_xlfn.XLOOKUP(PV_DATA[[#This Row],[New Ark SKU]],Table9[New Ark SKU],Table9[Total PCS per Pallet],,0)</f>
        <v>36</v>
      </c>
      <c r="BF812" s="430">
        <f>_xlfn.XLOOKUP(PV_DATA[[#This Row],[New Ark SKU]],Table9[New Ark SKU],Table9[Total PCS per 40HQ Container],,0)</f>
        <v>936</v>
      </c>
      <c r="BG812" s="430" t="str">
        <f>_xlfn.XLOOKUP(PV_DATA[[#This Row],[New Ark SKU]],Table9[New Ark SKU],Table9[Back Glass],,0)</f>
        <v>Black glazing</v>
      </c>
      <c r="BH812" s="430" t="str">
        <f>_xlfn.XLOOKUP(PV_DATA[[#This Row],[PORT DESTINATION]],Table12[PORT DESTINATION],Table12[Cosco Line],,0)</f>
        <v>AEU</v>
      </c>
      <c r="BJ812" s="430"/>
    </row>
    <row r="813" spans="1:62" ht="10.5">
      <c r="A813" s="462" t="s">
        <v>5798</v>
      </c>
      <c r="B813" s="462" t="s">
        <v>61</v>
      </c>
      <c r="C813" s="462" t="str">
        <f>IFERROR(LEFT(PV_DATA[[#This Row],[TCL REFERENCE]],FIND(".",PV_DATA[[#This Row],[TCL REFERENCE]],1)-1),"Main Line")</f>
        <v>26May007</v>
      </c>
      <c r="D813" s="462" t="s">
        <v>63</v>
      </c>
      <c r="E813" s="462" t="s">
        <v>64</v>
      </c>
      <c r="F813" s="462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2" t="s">
        <v>402</v>
      </c>
      <c r="H813" s="462" t="s">
        <v>451</v>
      </c>
      <c r="I813" s="462" t="s">
        <v>689</v>
      </c>
      <c r="J813" s="430" t="s">
        <v>96</v>
      </c>
      <c r="K813" s="430"/>
      <c r="L813" s="430"/>
      <c r="M813" s="430" t="s">
        <v>68</v>
      </c>
      <c r="N813" s="432">
        <v>45809</v>
      </c>
      <c r="O813" s="430" t="s">
        <v>4531</v>
      </c>
      <c r="P813" s="430" t="s">
        <v>195</v>
      </c>
      <c r="Q813" s="430" t="s">
        <v>196</v>
      </c>
      <c r="R813" s="430" t="str">
        <f>_xlfn.XLOOKUP(PV_DATA[[#This Row],[New Ark SKU]],Table9[New Ark SKU],Table9[Connector],,0)</f>
        <v>EVO2A</v>
      </c>
      <c r="S813" s="433" t="str">
        <f>_xlfn.XLOOKUP(PV_DATA[[#This Row],[New Ark SKU]],Table9[New Ark SKU],Table9[Cable],,0)</f>
        <v>±1200mm</v>
      </c>
      <c r="T813" s="433">
        <v>450</v>
      </c>
      <c r="U813" s="1088">
        <v>936</v>
      </c>
      <c r="V813" s="434">
        <f>PV_DATA[[#This Row],[QUANTITY]]*PV_DATA[[#This Row],[WATT]]/1000000</f>
        <v>0.42120000000000002</v>
      </c>
      <c r="W813" s="435">
        <f>PV_DATA[[#This Row],[QUANTITY]]/PV_DATA[[#This Row],[Qty/Pallet]]</f>
        <v>26</v>
      </c>
      <c r="X813" s="1040">
        <f>PV_DATA[[#This Row],[QUANTITY]]/PV_DATA[[#This Row],[Qty/CT]]</f>
        <v>1</v>
      </c>
      <c r="Y813" s="430" t="s">
        <v>2459</v>
      </c>
      <c r="Z813" s="430" t="str">
        <f t="shared" si="9"/>
        <v>COMPLETED</v>
      </c>
      <c r="AA813" s="430" t="s">
        <v>5655</v>
      </c>
      <c r="AB813" s="437">
        <v>46231</v>
      </c>
      <c r="AC813" s="485">
        <f>IF(PV_DATA[[#This Row],[Pick- Up Date]]&lt;&gt;"",_xlfn.ISOWEEKNUM(PV_DATA[[#This Row],[Pick- Up Date]]),"")</f>
        <v>31</v>
      </c>
      <c r="AD813" s="430" t="s">
        <v>5799</v>
      </c>
      <c r="AE813" s="430"/>
      <c r="AF813" s="430" t="s">
        <v>61</v>
      </c>
      <c r="AG813" s="430" t="s">
        <v>61</v>
      </c>
      <c r="AH813" s="430" t="s">
        <v>456</v>
      </c>
      <c r="AI813" s="437">
        <v>46236</v>
      </c>
      <c r="AK813" s="437">
        <f>IFERROR(IF(VLOOKUP(AT813,Vessel!A:F,5,FALSE)=0,"",VLOOKUP(AT813,Vessel!A:F,5,FALSE)),"")</f>
        <v>46236.170567129629</v>
      </c>
      <c r="AL813" s="437">
        <v>46285</v>
      </c>
      <c r="AM813" s="588">
        <f>IFERROR(VLOOKUP(AT813, Vessel!A:H, 8, FALSE), "")</f>
        <v>46299.291666666664</v>
      </c>
      <c r="AN813" s="437">
        <v>46299</v>
      </c>
      <c r="AO813" s="430" t="s">
        <v>402</v>
      </c>
      <c r="AP813" s="430" t="s">
        <v>5800</v>
      </c>
      <c r="AQ813" s="430" t="s">
        <v>80</v>
      </c>
      <c r="AR813" s="430" t="s">
        <v>5801</v>
      </c>
      <c r="AS813" s="430" t="s">
        <v>5802</v>
      </c>
      <c r="AT813" s="430" t="s">
        <v>5802</v>
      </c>
      <c r="AU8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62.82943287037051</v>
      </c>
      <c r="AW813" s="437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7">
        <f>IF(ISERROR(PV_DATA[[#This Row],[New Ark PO status]]),"",_xlfn.XLOOKUP(PV_DATA[[#This Row],[SPTN-PVHK New Ark PO'#]],New_Ark_Data[Purchase order Number],New_Ark_Data[Estimated time of arrival],"",0))</f>
        <v>46308</v>
      </c>
      <c r="AZ81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7">
        <f>IFERROR(PV_DATA[[#This Row],[ODP ETA Port]]+PV_DATA[[#This Row],[Customs/Leg3 Assumption]],"n/a")</f>
        <v>46306</v>
      </c>
      <c r="BB813" s="433">
        <f>YEAR(PV_DATA[[#This Row],[ETA for New Ark update]])</f>
        <v>2026</v>
      </c>
      <c r="BC813" s="430">
        <f>MONTH(PV_DATA[[#This Row],[ETA for New Ark update]])</f>
        <v>10</v>
      </c>
      <c r="BD813" s="430">
        <f>IFERROR(_xlfn.ISOWEEKNUM(PV_DATA[[#This Row],[ETA for New Ark update]]),0)</f>
        <v>41</v>
      </c>
      <c r="BE813" s="430">
        <f>_xlfn.XLOOKUP(PV_DATA[[#This Row],[New Ark SKU]],Table9[New Ark SKU],Table9[Total PCS per Pallet],,0)</f>
        <v>36</v>
      </c>
      <c r="BF813" s="430">
        <f>_xlfn.XLOOKUP(PV_DATA[[#This Row],[New Ark SKU]],Table9[New Ark SKU],Table9[Total PCS per 40HQ Container],,0)</f>
        <v>936</v>
      </c>
      <c r="BG813" s="430" t="str">
        <f>_xlfn.XLOOKUP(PV_DATA[[#This Row],[New Ark SKU]],Table9[New Ark SKU],Table9[Back Glass],,0)</f>
        <v>Black glazing</v>
      </c>
      <c r="BH813" s="610" t="str">
        <f>_xlfn.XLOOKUP(PV_DATA[[#This Row],[PORT DESTINATION]],Table12[PORT DESTINATION],Table12[Cosco Line],,0)</f>
        <v>AEU</v>
      </c>
      <c r="BJ813" s="430"/>
    </row>
    <row r="814" spans="1:62" ht="10.5">
      <c r="A814" s="462" t="s">
        <v>5803</v>
      </c>
      <c r="B814" s="462" t="s">
        <v>61</v>
      </c>
      <c r="C814" s="462" t="str">
        <f>IFERROR(LEFT(PV_DATA[[#This Row],[TCL REFERENCE]],FIND(".",PV_DATA[[#This Row],[TCL REFERENCE]],1)-1),"Main Line")</f>
        <v>26May010</v>
      </c>
      <c r="D814" s="462" t="s">
        <v>63</v>
      </c>
      <c r="E814" s="462" t="s">
        <v>64</v>
      </c>
      <c r="F814" s="462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2" t="s">
        <v>402</v>
      </c>
      <c r="H814" s="462" t="s">
        <v>451</v>
      </c>
      <c r="I814" s="462" t="s">
        <v>689</v>
      </c>
      <c r="J814" s="430" t="s">
        <v>96</v>
      </c>
      <c r="K814" s="430"/>
      <c r="L814" s="430"/>
      <c r="M814" s="430" t="s">
        <v>68</v>
      </c>
      <c r="N814" s="432">
        <v>45809</v>
      </c>
      <c r="O814" s="430" t="s">
        <v>4531</v>
      </c>
      <c r="P814" s="430" t="s">
        <v>1151</v>
      </c>
      <c r="Q814" s="430" t="s">
        <v>421</v>
      </c>
      <c r="R814" s="430" t="str">
        <f>_xlfn.XLOOKUP(PV_DATA[[#This Row],[New Ark SKU]],Table9[New Ark SKU],Table9[Connector],,0)</f>
        <v>EVO2A</v>
      </c>
      <c r="S814" s="433" t="str">
        <f>_xlfn.XLOOKUP(PV_DATA[[#This Row],[New Ark SKU]],Table9[New Ark SKU],Table9[Cable],,0)</f>
        <v>±1200mm</v>
      </c>
      <c r="T814" s="433">
        <v>505</v>
      </c>
      <c r="U814" s="1088">
        <f>864*1</f>
        <v>864</v>
      </c>
      <c r="V814" s="434">
        <f>PV_DATA[[#This Row],[QUANTITY]]*PV_DATA[[#This Row],[WATT]]/1000000</f>
        <v>0.43631999999999999</v>
      </c>
      <c r="W814" s="435">
        <f>PV_DATA[[#This Row],[QUANTITY]]/PV_DATA[[#This Row],[Qty/Pallet]]</f>
        <v>24</v>
      </c>
      <c r="X814" s="1040">
        <f>PV_DATA[[#This Row],[QUANTITY]]/PV_DATA[[#This Row],[Qty/CT]]</f>
        <v>1</v>
      </c>
      <c r="Y814" s="430" t="s">
        <v>2462</v>
      </c>
      <c r="Z814" s="430" t="str">
        <f t="shared" si="9"/>
        <v>COMPLETED</v>
      </c>
      <c r="AA814" s="430"/>
      <c r="AB814" s="437">
        <v>46231</v>
      </c>
      <c r="AC814" s="485">
        <f>IF(PV_DATA[[#This Row],[Pick- Up Date]]&lt;&gt;"",_xlfn.ISOWEEKNUM(PV_DATA[[#This Row],[Pick- Up Date]]),"")</f>
        <v>31</v>
      </c>
      <c r="AD814" s="430" t="s">
        <v>5804</v>
      </c>
      <c r="AE814" s="430"/>
      <c r="AF814" s="430" t="s">
        <v>61</v>
      </c>
      <c r="AG814" s="430" t="s">
        <v>61</v>
      </c>
      <c r="AH814" s="430" t="s">
        <v>456</v>
      </c>
      <c r="AI814" s="437">
        <v>46237</v>
      </c>
      <c r="AJ814" s="437">
        <f>IFERROR(VLOOKUP(AT814, Vessel!A:D, 4, FALSE), "")</f>
        <v>46236.145833333336</v>
      </c>
      <c r="AK814" s="437">
        <f>IFERROR(IF(VLOOKUP(AT814,Vessel!A:F,5,FALSE)=0,"",VLOOKUP(AT814,Vessel!A:F,5,FALSE)),"")</f>
        <v>46236.170567129629</v>
      </c>
      <c r="AL814" s="437">
        <v>46292</v>
      </c>
      <c r="AM814" s="588">
        <f>IFERROR(VLOOKUP(AT814, Vessel!A:H, 8, FALSE), "")</f>
        <v>46299.291666666664</v>
      </c>
      <c r="AN814" s="437">
        <v>46299</v>
      </c>
      <c r="AO814" s="430" t="s">
        <v>402</v>
      </c>
      <c r="AP814" s="430" t="s">
        <v>5800</v>
      </c>
      <c r="AQ814" s="430" t="s">
        <v>80</v>
      </c>
      <c r="AR814" s="430" t="s">
        <v>5805</v>
      </c>
      <c r="AS814" s="430" t="s">
        <v>5806</v>
      </c>
      <c r="AT814" s="430" t="s">
        <v>5806</v>
      </c>
      <c r="AU8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62.82943287037051</v>
      </c>
      <c r="AV814" s="437"/>
      <c r="AW814" s="437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7">
        <f>IF(ISERROR(PV_DATA[[#This Row],[New Ark PO status]]),"",_xlfn.XLOOKUP(PV_DATA[[#This Row],[SPTN-PVHK New Ark PO'#]],New_Ark_Data[Purchase order Number],New_Ark_Data[Estimated time of arrival],"",0))</f>
        <v>46308</v>
      </c>
      <c r="AZ81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7">
        <f>IFERROR(PV_DATA[[#This Row],[ODP ETA Port]]+PV_DATA[[#This Row],[Customs/Leg3 Assumption]],"n/a")</f>
        <v>46306</v>
      </c>
      <c r="BB814" s="433">
        <f>YEAR(PV_DATA[[#This Row],[ETA for New Ark update]])</f>
        <v>2026</v>
      </c>
      <c r="BC814" s="430">
        <f>MONTH(PV_DATA[[#This Row],[ETA for New Ark update]])</f>
        <v>10</v>
      </c>
      <c r="BD814" s="430">
        <f>IFERROR(_xlfn.ISOWEEKNUM(PV_DATA[[#This Row],[ETA for New Ark update]]),0)</f>
        <v>41</v>
      </c>
      <c r="BE814" s="430">
        <f>_xlfn.XLOOKUP(PV_DATA[[#This Row],[New Ark SKU]],Table9[New Ark SKU],Table9[Total PCS per Pallet],,0)</f>
        <v>36</v>
      </c>
      <c r="BF814" s="430">
        <f>_xlfn.XLOOKUP(PV_DATA[[#This Row],[New Ark SKU]],Table9[New Ark SKU],Table9[Total PCS per 40HQ Container],,0)</f>
        <v>864</v>
      </c>
      <c r="BG814" s="430" t="str">
        <f>_xlfn.XLOOKUP(PV_DATA[[#This Row],[New Ark SKU]],Table9[New Ark SKU],Table9[Back Glass],,0)</f>
        <v>Black glazing</v>
      </c>
      <c r="BH814" s="430" t="str">
        <f>_xlfn.XLOOKUP(PV_DATA[[#This Row],[PORT DESTINATION]],Table12[PORT DESTINATION],Table12[Cosco Line],,0)</f>
        <v>AEU</v>
      </c>
      <c r="BJ814" s="430"/>
    </row>
    <row r="815" spans="1:62" ht="10.5">
      <c r="A815" s="462" t="s">
        <v>5807</v>
      </c>
      <c r="B815" s="462" t="s">
        <v>61</v>
      </c>
      <c r="C815" s="462" t="str">
        <f>IFERROR(LEFT(PV_DATA[[#This Row],[TCL REFERENCE]],FIND(".",PV_DATA[[#This Row],[TCL REFERENCE]],1)-1),"Main Line")</f>
        <v>26Jun009</v>
      </c>
      <c r="D815" s="462" t="s">
        <v>63</v>
      </c>
      <c r="E815" s="462" t="s">
        <v>64</v>
      </c>
      <c r="F815" s="462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2" t="s">
        <v>402</v>
      </c>
      <c r="H815" s="462" t="s">
        <v>67</v>
      </c>
      <c r="I815" s="462" t="s">
        <v>689</v>
      </c>
      <c r="J815" s="430" t="s">
        <v>96</v>
      </c>
      <c r="K815" s="430"/>
      <c r="L815" s="430"/>
      <c r="M815" s="430" t="s">
        <v>68</v>
      </c>
      <c r="N815" s="432">
        <v>46188</v>
      </c>
      <c r="O815" s="430" t="s">
        <v>4531</v>
      </c>
      <c r="P815" s="430" t="s">
        <v>195</v>
      </c>
      <c r="Q815" s="430" t="s">
        <v>196</v>
      </c>
      <c r="R815" s="430" t="str">
        <f>_xlfn.XLOOKUP(PV_DATA[[#This Row],[New Ark SKU]],Table9[New Ark SKU],Table9[Connector],,0)</f>
        <v>EVO2A</v>
      </c>
      <c r="S815" s="433" t="str">
        <f>_xlfn.XLOOKUP(PV_DATA[[#This Row],[New Ark SKU]],Table9[New Ark SKU],Table9[Cable],,0)</f>
        <v>±1200mm</v>
      </c>
      <c r="T815" s="433">
        <v>450</v>
      </c>
      <c r="U815" s="1088">
        <v>5616</v>
      </c>
      <c r="V815" s="434">
        <f>PV_DATA[[#This Row],[QUANTITY]]*PV_DATA[[#This Row],[WATT]]/1000000</f>
        <v>2.5272000000000001</v>
      </c>
      <c r="W815" s="435">
        <f>PV_DATA[[#This Row],[QUANTITY]]/PV_DATA[[#This Row],[Qty/Pallet]]</f>
        <v>156</v>
      </c>
      <c r="X815" s="1040">
        <f>PV_DATA[[#This Row],[QUANTITY]]/PV_DATA[[#This Row],[Qty/CT]]</f>
        <v>6</v>
      </c>
      <c r="Y815" s="430" t="s">
        <v>2459</v>
      </c>
      <c r="Z815" s="430" t="str">
        <f t="shared" si="9"/>
        <v>IN-TRANSIT</v>
      </c>
      <c r="AA815" s="430"/>
      <c r="AB815" s="437">
        <v>46228</v>
      </c>
      <c r="AC815" s="485">
        <f>IF(PV_DATA[[#This Row],[Pick- Up Date]]&lt;&gt;"",_xlfn.ISOWEEKNUM(PV_DATA[[#This Row],[Pick- Up Date]]),"")</f>
        <v>30</v>
      </c>
      <c r="AD815" s="430" t="s">
        <v>5808</v>
      </c>
      <c r="AE815" s="430"/>
      <c r="AF815" s="430" t="s">
        <v>61</v>
      </c>
      <c r="AG815" s="430" t="s">
        <v>61</v>
      </c>
      <c r="AH815" s="430" t="s">
        <v>105</v>
      </c>
      <c r="AI815" s="437">
        <v>46242</v>
      </c>
      <c r="AJ815" s="437">
        <v>46242</v>
      </c>
      <c r="AK815" s="437">
        <v>46242</v>
      </c>
      <c r="AL815" s="437">
        <v>46284</v>
      </c>
      <c r="AM815" s="437">
        <v>46306</v>
      </c>
      <c r="AN815" s="437"/>
      <c r="AO815" s="430" t="s">
        <v>402</v>
      </c>
      <c r="AP815" s="430" t="s">
        <v>5809</v>
      </c>
      <c r="AQ815" s="430" t="s">
        <v>161</v>
      </c>
      <c r="AR815" s="430" t="s">
        <v>5810</v>
      </c>
      <c r="AS815" s="430"/>
      <c r="AT815" s="430" t="s">
        <v>5811</v>
      </c>
      <c r="AU8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15" s="437"/>
      <c r="AW815" s="437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7">
        <f>IF(ISERROR(PV_DATA[[#This Row],[New Ark PO status]]),"",_xlfn.XLOOKUP(PV_DATA[[#This Row],[SPTN-PVHK New Ark PO'#]],New_Ark_Data[Purchase order Number],New_Ark_Data[Estimated time of arrival],"",0))</f>
        <v>46293</v>
      </c>
      <c r="AZ81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7">
        <f>IFERROR(PV_DATA[[#This Row],[ODP ETA Port]]+PV_DATA[[#This Row],[Customs/Leg3 Assumption]],"n/a")</f>
        <v>46313</v>
      </c>
      <c r="BB815" s="433">
        <f>YEAR(PV_DATA[[#This Row],[ETA for New Ark update]])</f>
        <v>2026</v>
      </c>
      <c r="BC815" s="430">
        <f>MONTH(PV_DATA[[#This Row],[ETA for New Ark update]])</f>
        <v>10</v>
      </c>
      <c r="BD815" s="430">
        <f>IFERROR(_xlfn.ISOWEEKNUM(PV_DATA[[#This Row],[ETA for New Ark update]]),0)</f>
        <v>42</v>
      </c>
      <c r="BE815" s="430">
        <f>_xlfn.XLOOKUP(PV_DATA[[#This Row],[New Ark SKU]],Table9[New Ark SKU],Table9[Total PCS per Pallet],,0)</f>
        <v>36</v>
      </c>
      <c r="BF815" s="430">
        <f>_xlfn.XLOOKUP(PV_DATA[[#This Row],[New Ark SKU]],Table9[New Ark SKU],Table9[Total PCS per 40HQ Container],,0)</f>
        <v>936</v>
      </c>
      <c r="BG815" s="430" t="str">
        <f>_xlfn.XLOOKUP(PV_DATA[[#This Row],[New Ark SKU]],Table9[New Ark SKU],Table9[Back Glass],,0)</f>
        <v>Black glazing</v>
      </c>
      <c r="BH815" s="430" t="str">
        <f>_xlfn.XLOOKUP(PV_DATA[[#This Row],[PORT DESTINATION]],Table12[PORT DESTINATION],Table12[Cosco Line],,0)</f>
        <v>AEU</v>
      </c>
      <c r="BJ815" s="430"/>
    </row>
    <row r="816" spans="1:62" ht="10.5">
      <c r="A816" s="462" t="s">
        <v>5812</v>
      </c>
      <c r="B816" s="462" t="s">
        <v>61</v>
      </c>
      <c r="C816" s="462" t="str">
        <f>IFERROR(LEFT(PV_DATA[[#This Row],[TCL REFERENCE]],FIND(".",PV_DATA[[#This Row],[TCL REFERENCE]],1)-1),"Main Line")</f>
        <v>26Jul011</v>
      </c>
      <c r="D816" s="462" t="s">
        <v>63</v>
      </c>
      <c r="E816" s="462" t="s">
        <v>64</v>
      </c>
      <c r="F816" s="462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2" t="s">
        <v>402</v>
      </c>
      <c r="H816" s="462" t="s">
        <v>67</v>
      </c>
      <c r="I816" s="462" t="s">
        <v>882</v>
      </c>
      <c r="J816" s="430" t="s">
        <v>96</v>
      </c>
      <c r="K816" s="430"/>
      <c r="L816" s="430"/>
      <c r="M816" s="430" t="s">
        <v>68</v>
      </c>
      <c r="N816" s="432">
        <v>46209</v>
      </c>
      <c r="O816" s="430" t="s">
        <v>284</v>
      </c>
      <c r="P816" s="430" t="s">
        <v>5583</v>
      </c>
      <c r="Q816" s="430" t="s">
        <v>1570</v>
      </c>
      <c r="R816" s="430" t="str">
        <f>_xlfn.XLOOKUP(PV_DATA[[#This Row],[New Ark SKU]],Table9[New Ark SKU],Table9[Connector],,0)</f>
        <v>H4(Com)</v>
      </c>
      <c r="S816" s="433" t="str">
        <f>_xlfn.XLOOKUP(PV_DATA[[#This Row],[New Ark SKU]],Table9[New Ark SKU],Table9[Cable],,0)</f>
        <v>±1400mm</v>
      </c>
      <c r="T816" s="433">
        <v>650</v>
      </c>
      <c r="U816" s="1088">
        <f>720*5</f>
        <v>3600</v>
      </c>
      <c r="V816" s="434">
        <f>PV_DATA[[#This Row],[QUANTITY]]*PV_DATA[[#This Row],[WATT]]/1000000</f>
        <v>2.34</v>
      </c>
      <c r="W816" s="435">
        <f>PV_DATA[[#This Row],[QUANTITY]]/PV_DATA[[#This Row],[Qty/Pallet]]</f>
        <v>100</v>
      </c>
      <c r="X816" s="1040">
        <f>PV_DATA[[#This Row],[QUANTITY]]/PV_DATA[[#This Row],[Qty/CT]]</f>
        <v>5</v>
      </c>
      <c r="Y816" s="430" t="s">
        <v>2462</v>
      </c>
      <c r="Z816" s="430" t="str">
        <f t="shared" si="9"/>
        <v>IN-TRANSIT</v>
      </c>
      <c r="AA816" s="430"/>
      <c r="AB816" s="437">
        <v>46228</v>
      </c>
      <c r="AC816" s="485">
        <f>IF(PV_DATA[[#This Row],[Pick- Up Date]]&lt;&gt;"",_xlfn.ISOWEEKNUM(PV_DATA[[#This Row],[Pick- Up Date]]),"")</f>
        <v>30</v>
      </c>
      <c r="AD816" s="430" t="s">
        <v>5813</v>
      </c>
      <c r="AE816" s="430"/>
      <c r="AF816" s="430" t="s">
        <v>77</v>
      </c>
      <c r="AG816" s="430" t="s">
        <v>61</v>
      </c>
      <c r="AH816" s="430" t="s">
        <v>105</v>
      </c>
      <c r="AI816" s="437">
        <v>46242</v>
      </c>
      <c r="AJ816" s="437">
        <v>46242</v>
      </c>
      <c r="AK816" s="437">
        <v>46242</v>
      </c>
      <c r="AL816" s="437">
        <v>46284</v>
      </c>
      <c r="AM816" s="437">
        <v>46306</v>
      </c>
      <c r="AN816" s="437"/>
      <c r="AO816" s="430" t="s">
        <v>402</v>
      </c>
      <c r="AP816" s="430" t="s">
        <v>5809</v>
      </c>
      <c r="AQ816" s="430" t="s">
        <v>161</v>
      </c>
      <c r="AR816" s="430" t="s">
        <v>5810</v>
      </c>
      <c r="AS816" s="430"/>
      <c r="AT816" s="430" t="s">
        <v>5811</v>
      </c>
      <c r="AU8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6" s="437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7">
        <f>IF(ISERROR(PV_DATA[[#This Row],[New Ark PO status]]),"",_xlfn.XLOOKUP(PV_DATA[[#This Row],[SPTN-PVHK New Ark PO'#]],New_Ark_Data[Purchase order Number],New_Ark_Data[Estimated time of arrival],"",0))</f>
        <v>46293</v>
      </c>
      <c r="AZ81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7">
        <f>IFERROR(PV_DATA[[#This Row],[ODP ETA Port]]+PV_DATA[[#This Row],[Customs/Leg3 Assumption]],"n/a")</f>
        <v>46313</v>
      </c>
      <c r="BB816" s="433">
        <f>YEAR(PV_DATA[[#This Row],[ETA for New Ark update]])</f>
        <v>2026</v>
      </c>
      <c r="BC816" s="430">
        <f>MONTH(PV_DATA[[#This Row],[ETA for New Ark update]])</f>
        <v>10</v>
      </c>
      <c r="BD816" s="430">
        <f>IFERROR(_xlfn.ISOWEEKNUM(PV_DATA[[#This Row],[ETA for New Ark update]]),0)</f>
        <v>42</v>
      </c>
      <c r="BE816" s="430">
        <f>_xlfn.XLOOKUP(PV_DATA[[#This Row],[New Ark SKU]],Table9[New Ark SKU],Table9[Total PCS per Pallet],,0)</f>
        <v>36</v>
      </c>
      <c r="BF816" s="430">
        <f>_xlfn.XLOOKUP(PV_DATA[[#This Row],[New Ark SKU]],Table9[New Ark SKU],Table9[Total PCS per 40HQ Container],,0)</f>
        <v>720</v>
      </c>
      <c r="BG816" s="430" t="str">
        <f>_xlfn.XLOOKUP(PV_DATA[[#This Row],[New Ark SKU]],Table9[New Ark SKU],Table9[Back Glass],,0)</f>
        <v>White glazing</v>
      </c>
      <c r="BH816" s="430" t="str">
        <f>_xlfn.XLOOKUP(PV_DATA[[#This Row],[PORT DESTINATION]],Table12[PORT DESTINATION],Table12[Cosco Line],,0)</f>
        <v>AEU</v>
      </c>
      <c r="BJ816" s="430"/>
    </row>
    <row r="817" spans="1:62" s="865" customFormat="1" ht="10.5">
      <c r="A817" s="462" t="s">
        <v>5814</v>
      </c>
      <c r="B817" s="864" t="s">
        <v>61</v>
      </c>
      <c r="C817" s="864" t="str">
        <f>IFERROR(LEFT(PV_DATA[[#This Row],[TCL REFERENCE]],FIND(".",PV_DATA[[#This Row],[TCL REFERENCE]],1)-1),"Main Line")</f>
        <v>26May007</v>
      </c>
      <c r="D817" s="864" t="s">
        <v>63</v>
      </c>
      <c r="E817" s="462" t="s">
        <v>64</v>
      </c>
      <c r="F817" s="462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2" t="s">
        <v>402</v>
      </c>
      <c r="H817" s="462" t="s">
        <v>67</v>
      </c>
      <c r="I817" s="462" t="s">
        <v>689</v>
      </c>
      <c r="J817" s="430"/>
      <c r="K817" s="614"/>
      <c r="L817" s="430"/>
      <c r="M817" s="430" t="s">
        <v>68</v>
      </c>
      <c r="N817" s="432">
        <v>46111</v>
      </c>
      <c r="O817" s="430" t="s">
        <v>70</v>
      </c>
      <c r="P817" s="865" t="s">
        <v>195</v>
      </c>
      <c r="Q817" s="865" t="s">
        <v>196</v>
      </c>
      <c r="R817" s="430" t="str">
        <f>_xlfn.XLOOKUP(PV_DATA[[#This Row],[New Ark SKU]],Table9[New Ark SKU],Table9[Connector],,0)</f>
        <v>EVO2A</v>
      </c>
      <c r="S817" s="433" t="str">
        <f>_xlfn.XLOOKUP(PV_DATA[[#This Row],[New Ark SKU]],Table9[New Ark SKU],Table9[Cable],,0)</f>
        <v>±1200mm</v>
      </c>
      <c r="T817" s="866">
        <v>450</v>
      </c>
      <c r="U817" s="1097">
        <v>1872</v>
      </c>
      <c r="V817" s="867">
        <f>PV_DATA[[#This Row],[QUANTITY]]*PV_DATA[[#This Row],[WATT]]/1000000</f>
        <v>0.84240000000000004</v>
      </c>
      <c r="W817" s="868">
        <f>PV_DATA[[#This Row],[QUANTITY]]/PV_DATA[[#This Row],[Qty/Pallet]]</f>
        <v>52</v>
      </c>
      <c r="X817" s="1041">
        <f>PV_DATA[[#This Row],[QUANTITY]]/PV_DATA[[#This Row],[Qty/CT]]</f>
        <v>2</v>
      </c>
      <c r="Y817" s="865" t="s">
        <v>2460</v>
      </c>
      <c r="Z817" s="430" t="str">
        <f t="shared" si="9"/>
        <v>COMPLETED</v>
      </c>
      <c r="AA817" s="865" t="s">
        <v>5050</v>
      </c>
      <c r="AB817" s="869">
        <v>46229</v>
      </c>
      <c r="AC817" s="870">
        <f>IF(PV_DATA[[#This Row],[Pick- Up Date]]&lt;&gt;"",_xlfn.ISOWEEKNUM(PV_DATA[[#This Row],[Pick- Up Date]]),"")</f>
        <v>30</v>
      </c>
      <c r="AD817" s="865" t="s">
        <v>5815</v>
      </c>
      <c r="AF817" s="865" t="s">
        <v>77</v>
      </c>
      <c r="AG817" s="865" t="s">
        <v>61</v>
      </c>
      <c r="AH817" s="865" t="s">
        <v>105</v>
      </c>
      <c r="AI817" s="869">
        <v>46235</v>
      </c>
      <c r="AJ817" s="869">
        <v>46236</v>
      </c>
      <c r="AK817" s="437">
        <f>IFERROR(IF(VLOOKUP(AT817,Vessel!A:F,5,FALSE)=0,"",VLOOKUP(AT817,Vessel!A:F,5,FALSE)),"")</f>
        <v>46236.170567129629</v>
      </c>
      <c r="AL817" s="869">
        <v>46281</v>
      </c>
      <c r="AM817" s="871">
        <f>IFERROR(VLOOKUP(AT817, Vessel!A:H, 8, FALSE), "")</f>
        <v>46284.875</v>
      </c>
      <c r="AN817" s="437">
        <f>IFERROR(IF(VLOOKUP(AT817,Vessel!A:I,9,FALSE)=0,"",VLOOKUP(AT817,Vessel!A:I,9,FALSE)),"")</f>
        <v>46285.134953703702</v>
      </c>
      <c r="AO817" s="865" t="s">
        <v>402</v>
      </c>
      <c r="AP817" s="865" t="s">
        <v>5800</v>
      </c>
      <c r="AQ817" s="870" t="s">
        <v>80</v>
      </c>
      <c r="AR817" s="865" t="s">
        <v>5816</v>
      </c>
      <c r="AS817" s="865" t="s">
        <v>5817</v>
      </c>
      <c r="AT817" s="865" t="s">
        <v>5817</v>
      </c>
      <c r="AU8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48.964386574072705</v>
      </c>
      <c r="AW817" s="869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17" s="86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869">
        <f>IF(ISERROR(PV_DATA[[#This Row],[New Ark PO status]]),"",_xlfn.XLOOKUP(PV_DATA[[#This Row],[SPTN-PVHK New Ark PO'#]],New_Ark_Data[Purchase order Number],New_Ark_Data[Estimated time of arrival],"",0))</f>
        <v>46300</v>
      </c>
      <c r="AZ817" s="86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869">
        <f>IFERROR(PV_DATA[[#This Row],[ODP ETA Port]]+PV_DATA[[#This Row],[Customs/Leg3 Assumption]],"n/a")</f>
        <v>46292.134953703702</v>
      </c>
      <c r="BB817" s="866">
        <f>YEAR(PV_DATA[[#This Row],[ETA for New Ark update]])</f>
        <v>2026</v>
      </c>
      <c r="BC817" s="865">
        <f>MONTH(PV_DATA[[#This Row],[ETA for New Ark update]])</f>
        <v>9</v>
      </c>
      <c r="BD817" s="865">
        <f>IFERROR(_xlfn.ISOWEEKNUM(PV_DATA[[#This Row],[ETA for New Ark update]]),0)</f>
        <v>39</v>
      </c>
      <c r="BE817" s="865">
        <f>_xlfn.XLOOKUP(PV_DATA[[#This Row],[New Ark SKU]],Table9[New Ark SKU],Table9[Total PCS per Pallet],,0)</f>
        <v>36</v>
      </c>
      <c r="BF817" s="865">
        <f>_xlfn.XLOOKUP(PV_DATA[[#This Row],[New Ark SKU]],Table9[New Ark SKU],Table9[Total PCS per 40HQ Container],,0)</f>
        <v>936</v>
      </c>
      <c r="BG817" s="865" t="str">
        <f>_xlfn.XLOOKUP(PV_DATA[[#This Row],[New Ark SKU]],Table9[New Ark SKU],Table9[Back Glass],,0)</f>
        <v>Black glazing</v>
      </c>
      <c r="BH817" s="865" t="str">
        <f>_xlfn.XLOOKUP(PV_DATA[[#This Row],[PORT DESTINATION]],Table12[PORT DESTINATION],Table12[Cosco Line],,0)</f>
        <v>AEU</v>
      </c>
    </row>
    <row r="818" spans="1:62" ht="10.5">
      <c r="A818" s="462" t="s">
        <v>5818</v>
      </c>
      <c r="B818" s="462" t="s">
        <v>61</v>
      </c>
      <c r="C818" s="462" t="str">
        <f>IFERROR(LEFT(PV_DATA[[#This Row],[TCL REFERENCE]],FIND(".",PV_DATA[[#This Row],[TCL REFERENCE]],1)-1),"Main Line")</f>
        <v>26Jul011</v>
      </c>
      <c r="D818" s="462" t="s">
        <v>63</v>
      </c>
      <c r="E818" s="462" t="s">
        <v>64</v>
      </c>
      <c r="F818" s="462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2" t="s">
        <v>402</v>
      </c>
      <c r="H818" s="462" t="s">
        <v>67</v>
      </c>
      <c r="I818" s="462" t="s">
        <v>822</v>
      </c>
      <c r="J818" s="430" t="s">
        <v>96</v>
      </c>
      <c r="K818" s="430"/>
      <c r="L818" s="430"/>
      <c r="M818" s="430" t="s">
        <v>68</v>
      </c>
      <c r="N818" s="432">
        <v>46209</v>
      </c>
      <c r="O818" s="430" t="s">
        <v>284</v>
      </c>
      <c r="P818" s="430" t="s">
        <v>5583</v>
      </c>
      <c r="Q818" s="430" t="s">
        <v>1570</v>
      </c>
      <c r="R818" s="430" t="str">
        <f>_xlfn.XLOOKUP(PV_DATA[[#This Row],[New Ark SKU]],Table9[New Ark SKU],Table9[Connector],,0)</f>
        <v>H4(Com)</v>
      </c>
      <c r="S818" s="433" t="str">
        <f>_xlfn.XLOOKUP(PV_DATA[[#This Row],[New Ark SKU]],Table9[New Ark SKU],Table9[Cable],,0)</f>
        <v>±1400mm</v>
      </c>
      <c r="T818" s="433">
        <v>650</v>
      </c>
      <c r="U818" s="1088">
        <f>720*6</f>
        <v>4320</v>
      </c>
      <c r="V818" s="434">
        <f>PV_DATA[[#This Row],[QUANTITY]]*PV_DATA[[#This Row],[WATT]]/1000000</f>
        <v>2.8079999999999998</v>
      </c>
      <c r="W818" s="435">
        <f>PV_DATA[[#This Row],[QUANTITY]]/PV_DATA[[#This Row],[Qty/Pallet]]</f>
        <v>120</v>
      </c>
      <c r="X818" s="1040">
        <f>PV_DATA[[#This Row],[QUANTITY]]/PV_DATA[[#This Row],[Qty/CT]]</f>
        <v>6</v>
      </c>
      <c r="Y818" s="430" t="s">
        <v>2461</v>
      </c>
      <c r="Z818" s="430" t="str">
        <f t="shared" si="9"/>
        <v>COMPLETED</v>
      </c>
      <c r="AA818" s="430"/>
      <c r="AB818" s="437">
        <v>46229</v>
      </c>
      <c r="AC818" s="485">
        <f>IF(PV_DATA[[#This Row],[Pick- Up Date]]&lt;&gt;"",_xlfn.ISOWEEKNUM(PV_DATA[[#This Row],[Pick- Up Date]]),"")</f>
        <v>30</v>
      </c>
      <c r="AD818" s="430" t="s">
        <v>5819</v>
      </c>
      <c r="AE818" s="430"/>
      <c r="AF818" s="430" t="s">
        <v>77</v>
      </c>
      <c r="AG818" s="430" t="s">
        <v>61</v>
      </c>
      <c r="AH818" s="430" t="s">
        <v>105</v>
      </c>
      <c r="AI818" s="437">
        <v>46235</v>
      </c>
      <c r="AJ818" s="437">
        <v>46236</v>
      </c>
      <c r="AK818" s="437">
        <f>IFERROR(IF(VLOOKUP(AT818,Vessel!A:F,5,FALSE)=0,"",VLOOKUP(AT818,Vessel!A:F,5,FALSE)),"")</f>
        <v>46236.170567129629</v>
      </c>
      <c r="AL818" s="437">
        <v>46281</v>
      </c>
      <c r="AM818" s="588">
        <f>IFERROR(VLOOKUP(AT818, Vessel!A:H, 8, FALSE), "")</f>
        <v>46284.875</v>
      </c>
      <c r="AN818" s="437">
        <f>IFERROR(IF(VLOOKUP(AT818,Vessel!A:I,9,FALSE)=0,"",VLOOKUP(AT818,Vessel!A:I,9,FALSE)),"")</f>
        <v>46285.134953703702</v>
      </c>
      <c r="AO818" s="430" t="s">
        <v>402</v>
      </c>
      <c r="AP818" s="430" t="s">
        <v>5800</v>
      </c>
      <c r="AQ818" s="438" t="s">
        <v>80</v>
      </c>
      <c r="AR818" s="430" t="s">
        <v>5816</v>
      </c>
      <c r="AS818" s="430" t="s">
        <v>5817</v>
      </c>
      <c r="AT818" s="430" t="s">
        <v>5817</v>
      </c>
      <c r="AU8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48.964386574072705</v>
      </c>
      <c r="AW818" s="437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7">
        <f>IF(ISERROR(PV_DATA[[#This Row],[New Ark PO status]]),"",_xlfn.XLOOKUP(PV_DATA[[#This Row],[SPTN-PVHK New Ark PO'#]],New_Ark_Data[Purchase order Number],New_Ark_Data[Estimated time of arrival],"",0))</f>
        <v>46300</v>
      </c>
      <c r="AZ81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7">
        <f>IFERROR(PV_DATA[[#This Row],[ODP ETA Port]]+PV_DATA[[#This Row],[Customs/Leg3 Assumption]],"n/a")</f>
        <v>46292.134953703702</v>
      </c>
      <c r="BB818" s="433">
        <f>YEAR(PV_DATA[[#This Row],[ETA for New Ark update]])</f>
        <v>2026</v>
      </c>
      <c r="BC818" s="430">
        <f>MONTH(PV_DATA[[#This Row],[ETA for New Ark update]])</f>
        <v>9</v>
      </c>
      <c r="BD818" s="430">
        <f>IFERROR(_xlfn.ISOWEEKNUM(PV_DATA[[#This Row],[ETA for New Ark update]]),0)</f>
        <v>39</v>
      </c>
      <c r="BE818" s="430">
        <f>_xlfn.XLOOKUP(PV_DATA[[#This Row],[New Ark SKU]],Table9[New Ark SKU],Table9[Total PCS per Pallet],,0)</f>
        <v>36</v>
      </c>
      <c r="BF818" s="430">
        <f>_xlfn.XLOOKUP(PV_DATA[[#This Row],[New Ark SKU]],Table9[New Ark SKU],Table9[Total PCS per 40HQ Container],,0)</f>
        <v>720</v>
      </c>
      <c r="BG818" s="430" t="str">
        <f>_xlfn.XLOOKUP(PV_DATA[[#This Row],[New Ark SKU]],Table9[New Ark SKU],Table9[Back Glass],,0)</f>
        <v>White glazing</v>
      </c>
      <c r="BH818" s="430" t="str">
        <f>_xlfn.XLOOKUP(PV_DATA[[#This Row],[PORT DESTINATION]],Table12[PORT DESTINATION],Table12[Cosco Line],,0)</f>
        <v>AEU</v>
      </c>
      <c r="BJ818" s="430"/>
    </row>
    <row r="819" spans="1:62" ht="12" customHeight="1">
      <c r="A819" s="462" t="s">
        <v>5820</v>
      </c>
      <c r="B819" s="462" t="s">
        <v>61</v>
      </c>
      <c r="C819" s="462" t="str">
        <f>IFERROR(LEFT(PV_DATA[[#This Row],[TCL REFERENCE]],FIND(".",PV_DATA[[#This Row],[TCL REFERENCE]],1)-1),"Main Line")</f>
        <v>26Jun014</v>
      </c>
      <c r="D819" s="462" t="s">
        <v>63</v>
      </c>
      <c r="E819" s="462" t="s">
        <v>64</v>
      </c>
      <c r="F819" s="462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2" t="s">
        <v>402</v>
      </c>
      <c r="H819" s="462" t="s">
        <v>67</v>
      </c>
      <c r="I819" s="462" t="s">
        <v>882</v>
      </c>
      <c r="J819" s="430" t="s">
        <v>96</v>
      </c>
      <c r="K819" s="430"/>
      <c r="L819" s="430"/>
      <c r="M819" s="430" t="s">
        <v>68</v>
      </c>
      <c r="N819" s="432">
        <v>46209</v>
      </c>
      <c r="O819" s="430" t="s">
        <v>4531</v>
      </c>
      <c r="P819" s="430" t="s">
        <v>691</v>
      </c>
      <c r="Q819" s="430" t="s">
        <v>692</v>
      </c>
      <c r="R819" s="430" t="str">
        <f>_xlfn.XLOOKUP(PV_DATA[[#This Row],[New Ark SKU]],Table9[New Ark SKU],Table9[Connector],,0)</f>
        <v>EVO2A</v>
      </c>
      <c r="S819" s="433" t="str">
        <f>_xlfn.XLOOKUP(PV_DATA[[#This Row],[New Ark SKU]],Table9[New Ark SKU],Table9[Cable],,0)</f>
        <v>±1200mm</v>
      </c>
      <c r="T819" s="433">
        <v>505</v>
      </c>
      <c r="U819" s="1088">
        <v>864</v>
      </c>
      <c r="V819" s="434">
        <f>PV_DATA[[#This Row],[QUANTITY]]*PV_DATA[[#This Row],[WATT]]/1000000</f>
        <v>0.43631999999999999</v>
      </c>
      <c r="W819" s="435">
        <f>PV_DATA[[#This Row],[QUANTITY]]/PV_DATA[[#This Row],[Qty/Pallet]]</f>
        <v>24</v>
      </c>
      <c r="X819" s="1040">
        <f>PV_DATA[[#This Row],[QUANTITY]]/PV_DATA[[#This Row],[Qty/CT]]</f>
        <v>1</v>
      </c>
      <c r="Y819" s="430" t="s">
        <v>2462</v>
      </c>
      <c r="Z819" s="430" t="str">
        <f t="shared" ref="Z819:Z878" si="10">IF(AN819&lt;&gt;"","COMPLETED",IF(AK819&lt;&gt;"","IN-TRANSIT",""))</f>
        <v>IN-TRANSIT</v>
      </c>
      <c r="AA819" s="430"/>
      <c r="AB819" s="437">
        <v>46229</v>
      </c>
      <c r="AC819" s="485">
        <f>IF(PV_DATA[[#This Row],[Pick- Up Date]]&lt;&gt;"",_xlfn.ISOWEEKNUM(PV_DATA[[#This Row],[Pick- Up Date]]),"")</f>
        <v>30</v>
      </c>
      <c r="AD819" s="430" t="s">
        <v>5821</v>
      </c>
      <c r="AE819" s="430"/>
      <c r="AF819" s="430" t="s">
        <v>61</v>
      </c>
      <c r="AG819" s="430" t="s">
        <v>61</v>
      </c>
      <c r="AH819" s="430" t="s">
        <v>78</v>
      </c>
      <c r="AI819" s="437">
        <v>46235</v>
      </c>
      <c r="AJ819" s="437">
        <v>46236</v>
      </c>
      <c r="AK819" s="437">
        <f>IFERROR(IF(VLOOKUP(AT819,Vessel!A:F,5,FALSE)=0,"",VLOOKUP(AT819,Vessel!A:F,5,FALSE)),"")</f>
        <v>46236.170567129629</v>
      </c>
      <c r="AL819" s="437">
        <v>46310</v>
      </c>
      <c r="AM819" s="588">
        <f>IFERROR(VLOOKUP(AT819, Vessel!A:H, 8, FALSE), "")</f>
        <v>46320.25</v>
      </c>
      <c r="AN819" s="437" t="str">
        <f>IFERROR(IF(VLOOKUP(AT819,Vessel!A:I,9,FALSE)=0,"",VLOOKUP(AT819,Vessel!A:I,9,FALSE)),"")</f>
        <v/>
      </c>
      <c r="AO819" s="430" t="s">
        <v>402</v>
      </c>
      <c r="AP819" s="430" t="s">
        <v>5800</v>
      </c>
      <c r="AQ819" s="430" t="s">
        <v>80</v>
      </c>
      <c r="AR819" s="430" t="s">
        <v>5822</v>
      </c>
      <c r="AS819" s="430" t="s">
        <v>5823</v>
      </c>
      <c r="AT819" s="430" t="s">
        <v>5823</v>
      </c>
      <c r="AU8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84.07943287037051</v>
      </c>
      <c r="AV819" s="437"/>
      <c r="AW819" s="437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7">
        <f>IF(ISERROR(PV_DATA[[#This Row],[New Ark PO status]]),"",_xlfn.XLOOKUP(PV_DATA[[#This Row],[SPTN-PVHK New Ark PO'#]],New_Ark_Data[Purchase order Number],New_Ark_Data[Estimated time of arrival],"",0))</f>
        <v>46324</v>
      </c>
      <c r="AZ81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7">
        <f>IFERROR(PV_DATA[[#This Row],[ODP ETA Port]]+PV_DATA[[#This Row],[Customs/Leg3 Assumption]],"n/a")</f>
        <v>46328.25</v>
      </c>
      <c r="BB819" s="433">
        <f>YEAR(PV_DATA[[#This Row],[ETA for New Ark update]])</f>
        <v>2026</v>
      </c>
      <c r="BC819" s="430">
        <f>MONTH(PV_DATA[[#This Row],[ETA for New Ark update]])</f>
        <v>11</v>
      </c>
      <c r="BD819" s="430">
        <f>IFERROR(_xlfn.ISOWEEKNUM(PV_DATA[[#This Row],[ETA for New Ark update]]),0)</f>
        <v>45</v>
      </c>
      <c r="BE819" s="430">
        <f>_xlfn.XLOOKUP(PV_DATA[[#This Row],[New Ark SKU]],Table9[New Ark SKU],Table9[Total PCS per Pallet],,0)</f>
        <v>36</v>
      </c>
      <c r="BF819" s="430">
        <f>_xlfn.XLOOKUP(PV_DATA[[#This Row],[New Ark SKU]],Table9[New Ark SKU],Table9[Total PCS per 40HQ Container],,0)</f>
        <v>864</v>
      </c>
      <c r="BG819" s="430" t="str">
        <f>_xlfn.XLOOKUP(PV_DATA[[#This Row],[New Ark SKU]],Table9[New Ark SKU],Table9[Back Glass],,0)</f>
        <v>Black glazing</v>
      </c>
      <c r="BH819" s="610" t="str">
        <f>_xlfn.XLOOKUP(PV_DATA[[#This Row],[PORT DESTINATION]],Table12[PORT DESTINATION],Table12[Cosco Line],,0)</f>
        <v>AEM</v>
      </c>
      <c r="BJ819" s="430"/>
    </row>
    <row r="820" spans="1:62" ht="10.5">
      <c r="A820" s="462" t="s">
        <v>5824</v>
      </c>
      <c r="B820" s="462" t="s">
        <v>61</v>
      </c>
      <c r="C820" s="462" t="str">
        <f>IFERROR(LEFT(PV_DATA[[#This Row],[TCL REFERENCE]],FIND(".",PV_DATA[[#This Row],[TCL REFERENCE]],1)-1),"Main Line")</f>
        <v>26Jun014</v>
      </c>
      <c r="D820" s="462" t="s">
        <v>63</v>
      </c>
      <c r="E820" s="462" t="s">
        <v>64</v>
      </c>
      <c r="F820" s="462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2" t="s">
        <v>402</v>
      </c>
      <c r="H820" s="462" t="s">
        <v>67</v>
      </c>
      <c r="I820" s="462" t="s">
        <v>882</v>
      </c>
      <c r="J820" s="430" t="s">
        <v>96</v>
      </c>
      <c r="K820" s="430"/>
      <c r="L820" s="430"/>
      <c r="M820" s="430" t="s">
        <v>68</v>
      </c>
      <c r="N820" s="432">
        <v>46209</v>
      </c>
      <c r="O820" s="430" t="s">
        <v>4531</v>
      </c>
      <c r="P820" s="430" t="s">
        <v>691</v>
      </c>
      <c r="Q820" s="430" t="s">
        <v>692</v>
      </c>
      <c r="R820" s="430" t="str">
        <f>_xlfn.XLOOKUP(PV_DATA[[#This Row],[New Ark SKU]],Table9[New Ark SKU],Table9[Connector],,0)</f>
        <v>EVO2A</v>
      </c>
      <c r="S820" s="433" t="str">
        <f>_xlfn.XLOOKUP(PV_DATA[[#This Row],[New Ark SKU]],Table9[New Ark SKU],Table9[Cable],,0)</f>
        <v>±1200mm</v>
      </c>
      <c r="T820" s="433">
        <v>505</v>
      </c>
      <c r="U820" s="1088">
        <v>1728</v>
      </c>
      <c r="V820" s="434">
        <f>PV_DATA[[#This Row],[QUANTITY]]*PV_DATA[[#This Row],[WATT]]/1000000</f>
        <v>0.87263999999999997</v>
      </c>
      <c r="W820" s="435">
        <f>PV_DATA[[#This Row],[QUANTITY]]/PV_DATA[[#This Row],[Qty/Pallet]]</f>
        <v>48</v>
      </c>
      <c r="X820" s="1040">
        <f>PV_DATA[[#This Row],[QUANTITY]]/PV_DATA[[#This Row],[Qty/CT]]</f>
        <v>2</v>
      </c>
      <c r="Y820" s="430" t="s">
        <v>2462</v>
      </c>
      <c r="Z820" s="430" t="str">
        <f t="shared" si="10"/>
        <v>COMPLETED</v>
      </c>
      <c r="AA820" s="430"/>
      <c r="AB820" s="437">
        <v>46229</v>
      </c>
      <c r="AC820" s="485">
        <f>IF(PV_DATA[[#This Row],[Pick- Up Date]]&lt;&gt;"",_xlfn.ISOWEEKNUM(PV_DATA[[#This Row],[Pick- Up Date]]),"")</f>
        <v>30</v>
      </c>
      <c r="AD820" s="430" t="s">
        <v>5825</v>
      </c>
      <c r="AE820" s="430"/>
      <c r="AF820" s="430" t="s">
        <v>61</v>
      </c>
      <c r="AG820" s="430" t="s">
        <v>61</v>
      </c>
      <c r="AH820" s="430" t="s">
        <v>78</v>
      </c>
      <c r="AI820" s="437">
        <v>46235</v>
      </c>
      <c r="AJ820" s="437">
        <v>46236</v>
      </c>
      <c r="AK820" s="437">
        <f>IFERROR(IF(VLOOKUP(AT820,Vessel!A:F,5,FALSE)=0,"",VLOOKUP(AT820,Vessel!A:F,5,FALSE)),"")</f>
        <v>46236.170567129629</v>
      </c>
      <c r="AL820" s="437">
        <v>46295</v>
      </c>
      <c r="AM820" s="588">
        <f>IFERROR(VLOOKUP(AT820, Vessel!A:H, 8, FALSE), "")</f>
        <v>46297.25</v>
      </c>
      <c r="AN820" s="437">
        <v>46296</v>
      </c>
      <c r="AO820" s="430" t="s">
        <v>402</v>
      </c>
      <c r="AP820" s="430" t="s">
        <v>5800</v>
      </c>
      <c r="AQ820" s="430" t="s">
        <v>80</v>
      </c>
      <c r="AR820" s="430" t="s">
        <v>5826</v>
      </c>
      <c r="AS820" s="430" t="s">
        <v>5827</v>
      </c>
      <c r="AT820" s="430" t="s">
        <v>5827</v>
      </c>
      <c r="AU8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59.82943287037051</v>
      </c>
      <c r="AV820" s="437"/>
      <c r="AW820" s="437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7">
        <f>IF(ISERROR(PV_DATA[[#This Row],[New Ark PO status]]),"",_xlfn.XLOOKUP(PV_DATA[[#This Row],[SPTN-PVHK New Ark PO'#]],New_Ark_Data[Purchase order Number],New_Ark_Data[Estimated time of arrival],"",0))</f>
        <v>46309</v>
      </c>
      <c r="AZ82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7">
        <f>IFERROR(PV_DATA[[#This Row],[ODP ETA Port]]+PV_DATA[[#This Row],[Customs/Leg3 Assumption]],"n/a")</f>
        <v>46304</v>
      </c>
      <c r="BB820" s="433">
        <f>YEAR(PV_DATA[[#This Row],[ETA for New Ark update]])</f>
        <v>2026</v>
      </c>
      <c r="BC820" s="430">
        <f>MONTH(PV_DATA[[#This Row],[ETA for New Ark update]])</f>
        <v>10</v>
      </c>
      <c r="BD820" s="430">
        <f>IFERROR(_xlfn.ISOWEEKNUM(PV_DATA[[#This Row],[ETA for New Ark update]]),0)</f>
        <v>41</v>
      </c>
      <c r="BE820" s="430">
        <f>_xlfn.XLOOKUP(PV_DATA[[#This Row],[New Ark SKU]],Table9[New Ark SKU],Table9[Total PCS per Pallet],,0)</f>
        <v>36</v>
      </c>
      <c r="BF820" s="430">
        <f>_xlfn.XLOOKUP(PV_DATA[[#This Row],[New Ark SKU]],Table9[New Ark SKU],Table9[Total PCS per 40HQ Container],,0)</f>
        <v>864</v>
      </c>
      <c r="BG820" s="430" t="str">
        <f>_xlfn.XLOOKUP(PV_DATA[[#This Row],[New Ark SKU]],Table9[New Ark SKU],Table9[Back Glass],,0)</f>
        <v>Black glazing</v>
      </c>
      <c r="BH820" s="430" t="str">
        <f>_xlfn.XLOOKUP(PV_DATA[[#This Row],[PORT DESTINATION]],Table12[PORT DESTINATION],Table12[Cosco Line],,0)</f>
        <v>AEM</v>
      </c>
      <c r="BJ820" s="430"/>
    </row>
    <row r="821" spans="1:62" ht="12.5">
      <c r="A821" s="462" t="s">
        <v>5828</v>
      </c>
      <c r="B821" s="462" t="s">
        <v>61</v>
      </c>
      <c r="C821" s="462" t="str">
        <f>IFERROR(LEFT(PV_DATA[[#This Row],[TCL REFERENCE]],FIND(".",PV_DATA[[#This Row],[TCL REFERENCE]],1)-1),"Main Line")</f>
        <v>26Jul011</v>
      </c>
      <c r="D821" s="462" t="s">
        <v>63</v>
      </c>
      <c r="E821" s="462" t="s">
        <v>64</v>
      </c>
      <c r="F821" s="462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2" t="s">
        <v>402</v>
      </c>
      <c r="H821" s="462" t="s">
        <v>311</v>
      </c>
      <c r="I821" s="462" t="s">
        <v>689</v>
      </c>
      <c r="J821" s="430" t="s">
        <v>96</v>
      </c>
      <c r="K821" s="1020"/>
      <c r="L821" s="430"/>
      <c r="M821" s="430" t="s">
        <v>68</v>
      </c>
      <c r="N821" s="432">
        <v>46202</v>
      </c>
      <c r="O821" s="430" t="s">
        <v>284</v>
      </c>
      <c r="P821" s="430" t="s">
        <v>5583</v>
      </c>
      <c r="Q821" s="430" t="s">
        <v>1570</v>
      </c>
      <c r="R821" s="430" t="str">
        <f>_xlfn.XLOOKUP(PV_DATA[[#This Row],[New Ark SKU]],Table9[New Ark SKU],Table9[Connector],,0)</f>
        <v>H4(Com)</v>
      </c>
      <c r="S821" s="433" t="str">
        <f>_xlfn.XLOOKUP(PV_DATA[[#This Row],[New Ark SKU]],Table9[New Ark SKU],Table9[Cable],,0)</f>
        <v>±1400mm</v>
      </c>
      <c r="T821" s="433">
        <v>650</v>
      </c>
      <c r="U821" s="1088">
        <v>2160</v>
      </c>
      <c r="V821" s="434">
        <f>PV_DATA[[#This Row],[QUANTITY]]*PV_DATA[[#This Row],[WATT]]/1000000</f>
        <v>1.4039999999999999</v>
      </c>
      <c r="W821" s="435">
        <f>PV_DATA[[#This Row],[QUANTITY]]/PV_DATA[[#This Row],[Qty/Pallet]]</f>
        <v>60</v>
      </c>
      <c r="X821" s="1040">
        <f>PV_DATA[[#This Row],[QUANTITY]]/PV_DATA[[#This Row],[Qty/CT]]</f>
        <v>3</v>
      </c>
      <c r="Y821" s="430" t="s">
        <v>2461</v>
      </c>
      <c r="Z821" s="430" t="str">
        <f t="shared" si="10"/>
        <v>IN-TRANSIT</v>
      </c>
      <c r="AA821" s="430" t="s">
        <v>5497</v>
      </c>
      <c r="AB821" s="437">
        <v>46229</v>
      </c>
      <c r="AC821" s="485">
        <f>IF(PV_DATA[[#This Row],[Pick- Up Date]]&lt;&gt;"",_xlfn.ISOWEEKNUM(PV_DATA[[#This Row],[Pick- Up Date]]),"")</f>
        <v>30</v>
      </c>
      <c r="AD821" s="430" t="s">
        <v>5829</v>
      </c>
      <c r="AE821" s="430"/>
      <c r="AF821" s="430" t="s">
        <v>61</v>
      </c>
      <c r="AG821" s="430" t="s">
        <v>61</v>
      </c>
      <c r="AH821" s="430" t="s">
        <v>1561</v>
      </c>
      <c r="AI821" s="437">
        <v>46235</v>
      </c>
      <c r="AJ821" s="437">
        <v>46236</v>
      </c>
      <c r="AK821" s="437">
        <f>IFERROR(IF(VLOOKUP(AT821,Vessel!A:F,5,FALSE)=0,"",VLOOKUP(AT821,Vessel!A:F,5,FALSE)),"")</f>
        <v>46236.170567129629</v>
      </c>
      <c r="AL821" s="437">
        <v>46292</v>
      </c>
      <c r="AM821" s="588">
        <f>IFERROR(VLOOKUP(AT821, Vessel!A:H, 8, FALSE), "")</f>
        <v>46327.75</v>
      </c>
      <c r="AN821" s="437" t="str">
        <f>IFERROR(IF(VLOOKUP(AT821,Vessel!A:I,9,FALSE)=0,"",VLOOKUP(AT821,Vessel!A:I,9,FALSE)),"")</f>
        <v/>
      </c>
      <c r="AO821" s="430" t="s">
        <v>402</v>
      </c>
      <c r="AP821" s="430" t="s">
        <v>5800</v>
      </c>
      <c r="AQ821" s="438" t="s">
        <v>80</v>
      </c>
      <c r="AR821" s="430" t="s">
        <v>5830</v>
      </c>
      <c r="AS821" s="430" t="s">
        <v>5831</v>
      </c>
      <c r="AT821" s="430" t="s">
        <v>5831</v>
      </c>
      <c r="AU8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91.57943287037051</v>
      </c>
      <c r="AW821" s="437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46327.75</v>
      </c>
      <c r="AX8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7">
        <f>IF(ISERROR(PV_DATA[[#This Row],[New Ark PO status]]),"",_xlfn.XLOOKUP(PV_DATA[[#This Row],[SPTN-PVHK New Ark PO'#]],New_Ark_Data[Purchase order Number],New_Ark_Data[Estimated time of arrival],"",0))</f>
        <v>46314</v>
      </c>
      <c r="AZ82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1" s="437">
        <f>IFERROR(PV_DATA[[#This Row],[ODP ETA Port]]+PV_DATA[[#This Row],[Customs/Leg3 Assumption]],"n/a")</f>
        <v>46337.75</v>
      </c>
      <c r="BB821" s="433">
        <f>YEAR(PV_DATA[[#This Row],[ETA for New Ark update]])</f>
        <v>2026</v>
      </c>
      <c r="BC821" s="430">
        <f>MONTH(PV_DATA[[#This Row],[ETA for New Ark update]])</f>
        <v>11</v>
      </c>
      <c r="BD821" s="430">
        <f>IFERROR(_xlfn.ISOWEEKNUM(PV_DATA[[#This Row],[ETA for New Ark update]]),0)</f>
        <v>46</v>
      </c>
      <c r="BE821" s="430">
        <f>_xlfn.XLOOKUP(PV_DATA[[#This Row],[New Ark SKU]],Table9[New Ark SKU],Table9[Total PCS per Pallet],,0)</f>
        <v>36</v>
      </c>
      <c r="BF821" s="430">
        <f>_xlfn.XLOOKUP(PV_DATA[[#This Row],[New Ark SKU]],Table9[New Ark SKU],Table9[Total PCS per 40HQ Container],,0)</f>
        <v>720</v>
      </c>
      <c r="BG821" s="430" t="str">
        <f>_xlfn.XLOOKUP(PV_DATA[[#This Row],[New Ark SKU]],Table9[New Ark SKU],Table9[Back Glass],,0)</f>
        <v>White glazing</v>
      </c>
      <c r="BH821" s="430" t="str">
        <f>_xlfn.XLOOKUP(PV_DATA[[#This Row],[PORT DESTINATION]],Table12[PORT DESTINATION],Table12[Cosco Line],,0)</f>
        <v>AEM</v>
      </c>
      <c r="BJ821" s="430"/>
    </row>
    <row r="822" spans="1:62" s="463" customFormat="1" ht="10.5">
      <c r="A822" s="462" t="s">
        <v>5832</v>
      </c>
      <c r="B822" s="462" t="s">
        <v>61</v>
      </c>
      <c r="C822" s="462" t="str">
        <f>IFERROR(LEFT(PV_DATA[[#This Row],[TCL REFERENCE]],FIND(".",PV_DATA[[#This Row],[TCL REFERENCE]],1)-1),"Main Line")</f>
        <v>26Jul011</v>
      </c>
      <c r="D822" s="462" t="s">
        <v>63</v>
      </c>
      <c r="E822" s="462" t="s">
        <v>64</v>
      </c>
      <c r="F822" s="462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2" t="s">
        <v>402</v>
      </c>
      <c r="H822" s="462" t="s">
        <v>311</v>
      </c>
      <c r="I822" s="462" t="s">
        <v>689</v>
      </c>
      <c r="J822" s="430" t="s">
        <v>96</v>
      </c>
      <c r="K822" s="430"/>
      <c r="L822" s="430"/>
      <c r="M822" s="430" t="s">
        <v>68</v>
      </c>
      <c r="N822" s="432">
        <v>46202</v>
      </c>
      <c r="O822" s="430" t="s">
        <v>284</v>
      </c>
      <c r="P822" s="430" t="s">
        <v>5583</v>
      </c>
      <c r="Q822" s="430" t="s">
        <v>1570</v>
      </c>
      <c r="R822" s="430" t="str">
        <f>_xlfn.XLOOKUP(PV_DATA[[#This Row],[New Ark SKU]],Table9[New Ark SKU],Table9[Connector],,0)</f>
        <v>H4(Com)</v>
      </c>
      <c r="S822" s="433" t="str">
        <f>_xlfn.XLOOKUP(PV_DATA[[#This Row],[New Ark SKU]],Table9[New Ark SKU],Table9[Cable],,0)</f>
        <v>±1400mm</v>
      </c>
      <c r="T822" s="433">
        <v>650</v>
      </c>
      <c r="U822" s="1088">
        <f>720*1</f>
        <v>720</v>
      </c>
      <c r="V822" s="434">
        <f>PV_DATA[[#This Row],[QUANTITY]]*PV_DATA[[#This Row],[WATT]]/1000000</f>
        <v>0.46800000000000003</v>
      </c>
      <c r="W822" s="435">
        <f>PV_DATA[[#This Row],[QUANTITY]]/PV_DATA[[#This Row],[Qty/Pallet]]</f>
        <v>20</v>
      </c>
      <c r="X822" s="1040">
        <f>PV_DATA[[#This Row],[QUANTITY]]/PV_DATA[[#This Row],[Qty/CT]]</f>
        <v>1</v>
      </c>
      <c r="Y822" s="430" t="s">
        <v>2462</v>
      </c>
      <c r="Z822" s="430" t="str">
        <f t="shared" si="10"/>
        <v>IN-TRANSIT</v>
      </c>
      <c r="AA822" s="430" t="s">
        <v>5497</v>
      </c>
      <c r="AB822" s="437">
        <v>46229</v>
      </c>
      <c r="AC822" s="485">
        <f>IF(PV_DATA[[#This Row],[Pick- Up Date]]&lt;&gt;"",_xlfn.ISOWEEKNUM(PV_DATA[[#This Row],[Pick- Up Date]]),"")</f>
        <v>30</v>
      </c>
      <c r="AD822" s="430" t="s">
        <v>5833</v>
      </c>
      <c r="AE822" s="430"/>
      <c r="AF822" s="430" t="s">
        <v>61</v>
      </c>
      <c r="AG822" s="430" t="s">
        <v>61</v>
      </c>
      <c r="AH822" s="430" t="s">
        <v>1561</v>
      </c>
      <c r="AI822" s="437">
        <v>46235</v>
      </c>
      <c r="AJ822" s="437">
        <v>46236</v>
      </c>
      <c r="AK822" s="437">
        <f>IFERROR(IF(VLOOKUP(AT822,Vessel!A:F,5,FALSE)=0,"",VLOOKUP(AT822,Vessel!A:F,5,FALSE)),"")</f>
        <v>46236.170567129629</v>
      </c>
      <c r="AL822" s="437">
        <v>46299</v>
      </c>
      <c r="AM822" s="588">
        <f>IFERROR(VLOOKUP(AT822, Vessel!A:H, 8, FALSE), "")</f>
        <v>46308.75</v>
      </c>
      <c r="AN822" s="437" t="str">
        <f>IFERROR(IF(VLOOKUP(AT822,Vessel!A:I,9,FALSE)=0,"",VLOOKUP(AT822,Vessel!A:I,9,FALSE)),"")</f>
        <v/>
      </c>
      <c r="AO822" s="430" t="s">
        <v>402</v>
      </c>
      <c r="AP822" s="430" t="s">
        <v>5800</v>
      </c>
      <c r="AQ822" s="438" t="s">
        <v>80</v>
      </c>
      <c r="AR822" s="430" t="s">
        <v>5834</v>
      </c>
      <c r="AS822" s="430" t="s">
        <v>5835</v>
      </c>
      <c r="AT822" s="430" t="s">
        <v>5835</v>
      </c>
      <c r="AU8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72.57943287037051</v>
      </c>
      <c r="AV822" s="430"/>
      <c r="AW822" s="437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8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7">
        <f>IF(ISERROR(PV_DATA[[#This Row],[New Ark PO status]]),"",_xlfn.XLOOKUP(PV_DATA[[#This Row],[SPTN-PVHK New Ark PO'#]],New_Ark_Data[Purchase order Number],New_Ark_Data[Estimated time of arrival],"",0))</f>
        <v>46315</v>
      </c>
      <c r="AZ82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2" s="437">
        <f>IFERROR(PV_DATA[[#This Row],[ODP ETA Port]]+PV_DATA[[#This Row],[Customs/Leg3 Assumption]],"n/a")</f>
        <v>46318.75</v>
      </c>
      <c r="BB822" s="433">
        <f>YEAR(PV_DATA[[#This Row],[ETA for New Ark update]])</f>
        <v>2026</v>
      </c>
      <c r="BC822" s="430">
        <f>MONTH(PV_DATA[[#This Row],[ETA for New Ark update]])</f>
        <v>10</v>
      </c>
      <c r="BD822" s="430">
        <f>IFERROR(_xlfn.ISOWEEKNUM(PV_DATA[[#This Row],[ETA for New Ark update]]),0)</f>
        <v>43</v>
      </c>
      <c r="BE822" s="430">
        <f>_xlfn.XLOOKUP(PV_DATA[[#This Row],[New Ark SKU]],Table9[New Ark SKU],Table9[Total PCS per Pallet],,0)</f>
        <v>36</v>
      </c>
      <c r="BF822" s="430">
        <f>_xlfn.XLOOKUP(PV_DATA[[#This Row],[New Ark SKU]],Table9[New Ark SKU],Table9[Total PCS per 40HQ Container],,0)</f>
        <v>720</v>
      </c>
      <c r="BG822" s="430" t="str">
        <f>_xlfn.XLOOKUP(PV_DATA[[#This Row],[New Ark SKU]],Table9[New Ark SKU],Table9[Back Glass],,0)</f>
        <v>White glazing</v>
      </c>
      <c r="BH822" s="430" t="str">
        <f>_xlfn.XLOOKUP(PV_DATA[[#This Row],[PORT DESTINATION]],Table12[PORT DESTINATION],Table12[Cosco Line],,0)</f>
        <v>AEM</v>
      </c>
    </row>
    <row r="823" spans="1:62" s="462" customFormat="1" ht="10.5">
      <c r="A823" s="462" t="s">
        <v>5836</v>
      </c>
      <c r="B823" s="462" t="s">
        <v>111</v>
      </c>
      <c r="C823" s="462" t="str">
        <f>IFERROR(LEFT(PV_DATA[[#This Row],[TCL REFERENCE]],FIND(".",PV_DATA[[#This Row],[TCL REFERENCE]],1)-1),"Main Line")</f>
        <v>26May012</v>
      </c>
      <c r="D823" s="462" t="s">
        <v>63</v>
      </c>
      <c r="E823" s="462" t="s">
        <v>144</v>
      </c>
      <c r="F823" s="462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2" t="s">
        <v>402</v>
      </c>
      <c r="H823" s="462" t="s">
        <v>5783</v>
      </c>
      <c r="I823" s="462" t="s">
        <v>689</v>
      </c>
      <c r="J823" s="462" t="s">
        <v>5783</v>
      </c>
      <c r="K823" s="462" t="s">
        <v>5784</v>
      </c>
      <c r="L823" s="462">
        <v>1</v>
      </c>
      <c r="M823" s="462" t="s">
        <v>4967</v>
      </c>
      <c r="N823" s="712">
        <v>46167</v>
      </c>
      <c r="O823" s="462" t="s">
        <v>4531</v>
      </c>
      <c r="P823" s="462" t="s">
        <v>4597</v>
      </c>
      <c r="Q823" s="462" t="s">
        <v>4598</v>
      </c>
      <c r="R823" s="430" t="str">
        <f>_xlfn.XLOOKUP(PV_DATA[[#This Row],[New Ark SKU]],Table9[New Ark SKU],Table9[Connector],,0)</f>
        <v>H4(Com)</v>
      </c>
      <c r="S823" s="433" t="str">
        <f>_xlfn.XLOOKUP(PV_DATA[[#This Row],[New Ark SKU]],Table9[New Ark SKU],Table9[Cable],,0)</f>
        <v>+400mm/-200mm</v>
      </c>
      <c r="T823" s="946">
        <v>630</v>
      </c>
      <c r="U823" s="1095">
        <f>720*1</f>
        <v>720</v>
      </c>
      <c r="V823" s="458">
        <f>PV_DATA[[#This Row],[QUANTITY]]*PV_DATA[[#This Row],[WATT]]/1000000</f>
        <v>0.4536</v>
      </c>
      <c r="W823" s="714">
        <f>PV_DATA[[#This Row],[QUANTITY]]/PV_DATA[[#This Row],[Qty/Pallet]]</f>
        <v>20</v>
      </c>
      <c r="X823" s="1042">
        <f>PV_DATA[[#This Row],[QUANTITY]]/PV_DATA[[#This Row],[Qty/CT]]</f>
        <v>1</v>
      </c>
      <c r="Y823" s="462" t="s">
        <v>2462</v>
      </c>
      <c r="Z823" s="462" t="str">
        <f t="shared" si="10"/>
        <v>IN-TRANSIT</v>
      </c>
      <c r="AA823" s="462" t="s">
        <v>5394</v>
      </c>
      <c r="AB823" s="713">
        <v>46247</v>
      </c>
      <c r="AC823" s="947">
        <f>IF(PV_DATA[[#This Row],[Pick- Up Date]]&lt;&gt;"",_xlfn.ISOWEEKNUM(PV_DATA[[#This Row],[Pick- Up Date]]),"")</f>
        <v>33</v>
      </c>
      <c r="AD823" s="462" t="s">
        <v>5837</v>
      </c>
      <c r="AF823" s="462" t="s">
        <v>122</v>
      </c>
      <c r="AG823" s="462" t="s">
        <v>123</v>
      </c>
      <c r="AH823" s="462" t="s">
        <v>5787</v>
      </c>
      <c r="AI823" s="713">
        <v>46248</v>
      </c>
      <c r="AJ823" s="713">
        <v>46254</v>
      </c>
      <c r="AK823" s="437">
        <v>46251</v>
      </c>
      <c r="AL823" s="713">
        <v>46308</v>
      </c>
      <c r="AM823" s="713">
        <v>46315</v>
      </c>
      <c r="AN823" s="713"/>
      <c r="AP823" s="462" t="s">
        <v>5838</v>
      </c>
      <c r="AQ823" s="462" t="s">
        <v>161</v>
      </c>
      <c r="AR823" s="462" t="s">
        <v>5839</v>
      </c>
      <c r="AS823" s="462" t="s">
        <v>5840</v>
      </c>
      <c r="AT823" s="462" t="s">
        <v>5841</v>
      </c>
      <c r="AU8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13"/>
      <c r="AW823" s="713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13">
        <f>IF(ISERROR(PV_DATA[[#This Row],[New Ark PO status]]),"",_xlfn.XLOOKUP(PV_DATA[[#This Row],[SPTN-PVHK New Ark PO'#]],New_Ark_Data[Purchase order Number],New_Ark_Data[Estimated time of arrival],"",0))</f>
        <v>46315</v>
      </c>
      <c r="AZ823" s="9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13">
        <f>IFERROR(PV_DATA[[#This Row],[ODP ETA Port]]+PV_DATA[[#This Row],[Customs/Leg3 Assumption]],"n/a")</f>
        <v>46315</v>
      </c>
      <c r="BB823" s="946">
        <f>YEAR(PV_DATA[[#This Row],[ETA for New Ark update]])</f>
        <v>2026</v>
      </c>
      <c r="BC823" s="462">
        <f>MONTH(PV_DATA[[#This Row],[ETA for New Ark update]])</f>
        <v>10</v>
      </c>
      <c r="BD823" s="462">
        <f>IFERROR(_xlfn.ISOWEEKNUM(PV_DATA[[#This Row],[ETA for New Ark update]]),0)</f>
        <v>43</v>
      </c>
      <c r="BE823" s="462">
        <f>_xlfn.XLOOKUP(PV_DATA[[#This Row],[New Ark SKU]],Table9[New Ark SKU],Table9[Total PCS per Pallet],,0)</f>
        <v>36</v>
      </c>
      <c r="BF823" s="462">
        <f>_xlfn.XLOOKUP(PV_DATA[[#This Row],[New Ark SKU]],Table9[New Ark SKU],Table9[Total PCS per 40HQ Container],,0)</f>
        <v>720</v>
      </c>
      <c r="BG823" s="462" t="str">
        <f>_xlfn.XLOOKUP(PV_DATA[[#This Row],[New Ark SKU]],Table9[New Ark SKU],Table9[Back Glass],,0)</f>
        <v>Transparent</v>
      </c>
      <c r="BH823" s="948" t="str">
        <f>_xlfn.XLOOKUP(PV_DATA[[#This Row],[PORT DESTINATION]],Table12[PORT DESTINATION],Table12[Cosco Line],,0)</f>
        <v>n/a</v>
      </c>
    </row>
    <row r="824" spans="1:62" s="462" customFormat="1" ht="10.5">
      <c r="A824" s="462" t="s">
        <v>5842</v>
      </c>
      <c r="B824" s="462" t="s">
        <v>1757</v>
      </c>
      <c r="C824" s="462" t="str">
        <f>IFERROR(LEFT(PV_DATA[[#This Row],[TCL REFERENCE]],FIND(".",PV_DATA[[#This Row],[TCL REFERENCE]],1)-1),"Main Line")</f>
        <v>26Jul007</v>
      </c>
      <c r="D824" s="462" t="s">
        <v>63</v>
      </c>
      <c r="E824" s="462" t="s">
        <v>144</v>
      </c>
      <c r="F824" s="462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2" t="s">
        <v>402</v>
      </c>
      <c r="H824" s="462" t="s">
        <v>1029</v>
      </c>
      <c r="I824" s="462" t="s">
        <v>1395</v>
      </c>
      <c r="J824" s="462" t="s">
        <v>1029</v>
      </c>
      <c r="K824" s="462" t="s">
        <v>5843</v>
      </c>
      <c r="L824" s="462">
        <v>1</v>
      </c>
      <c r="M824" s="462" t="s">
        <v>840</v>
      </c>
      <c r="N824" s="712">
        <v>46209</v>
      </c>
      <c r="O824" s="462" t="s">
        <v>4531</v>
      </c>
      <c r="P824" s="462" t="s">
        <v>71</v>
      </c>
      <c r="Q824" s="462" t="s">
        <v>72</v>
      </c>
      <c r="R824" s="430" t="str">
        <f>_xlfn.XLOOKUP(PV_DATA[[#This Row],[New Ark SKU]],Table9[New Ark SKU],Table9[Connector],,0)</f>
        <v>EVO2A</v>
      </c>
      <c r="S824" s="433" t="str">
        <f>_xlfn.XLOOKUP(PV_DATA[[#This Row],[New Ark SKU]],Table9[New Ark SKU],Table9[Cable],,0)</f>
        <v>±1200mm</v>
      </c>
      <c r="T824" s="946">
        <v>500</v>
      </c>
      <c r="U824" s="1095">
        <v>3456</v>
      </c>
      <c r="V824" s="458">
        <f>PV_DATA[[#This Row],[QUANTITY]]*PV_DATA[[#This Row],[WATT]]/1000000</f>
        <v>1.728</v>
      </c>
      <c r="W824" s="714">
        <f>PV_DATA[[#This Row],[QUANTITY]]/PV_DATA[[#This Row],[Qty/Pallet]]</f>
        <v>96</v>
      </c>
      <c r="X824" s="1042">
        <f>PV_DATA[[#This Row],[QUANTITY]]/PV_DATA[[#This Row],[Qty/CT]]</f>
        <v>4</v>
      </c>
      <c r="Y824" s="462" t="s">
        <v>2463</v>
      </c>
      <c r="Z824" s="462" t="str">
        <f t="shared" si="10"/>
        <v>COMPLETED</v>
      </c>
      <c r="AB824" s="713">
        <v>46245</v>
      </c>
      <c r="AC824" s="947">
        <f>IF(PV_DATA[[#This Row],[Pick- Up Date]]&lt;&gt;"",_xlfn.ISOWEEKNUM(PV_DATA[[#This Row],[Pick- Up Date]]),"")</f>
        <v>33</v>
      </c>
      <c r="AD824" s="462" t="s">
        <v>5844</v>
      </c>
      <c r="AF824" s="462" t="s">
        <v>5034</v>
      </c>
      <c r="AG824" s="462" t="s">
        <v>5845</v>
      </c>
      <c r="AH824" s="462" t="s">
        <v>888</v>
      </c>
      <c r="AI824" s="713">
        <v>46249</v>
      </c>
      <c r="AJ824" s="713"/>
      <c r="AK824" s="437">
        <f>IFERROR(IF(VLOOKUP(AT824,Vessel!A:F,5,FALSE)=0,"",VLOOKUP(AT824,Vessel!A:F,5,FALSE)),"")</f>
        <v>46251.127662037034</v>
      </c>
      <c r="AL824" s="713">
        <v>46295</v>
      </c>
      <c r="AM824" s="949">
        <f>IFERROR(VLOOKUP(AT824, Vessel!A:H, 8, FALSE), "")</f>
        <v>46301.25</v>
      </c>
      <c r="AN824" s="713">
        <v>46301</v>
      </c>
      <c r="AP824" s="462" t="s">
        <v>5846</v>
      </c>
      <c r="AQ824" s="950" t="s">
        <v>80</v>
      </c>
      <c r="AR824" s="462" t="s">
        <v>5847</v>
      </c>
      <c r="AS824" s="462" t="s">
        <v>5848</v>
      </c>
      <c r="AT824" s="462" t="s">
        <v>5848</v>
      </c>
      <c r="AU8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49.872337962966412</v>
      </c>
      <c r="AW824" s="713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</v>
      </c>
      <c r="AX82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13">
        <f>IF(ISERROR(PV_DATA[[#This Row],[New Ark PO status]]),"",_xlfn.XLOOKUP(PV_DATA[[#This Row],[SPTN-PVHK New Ark PO'#]],New_Ark_Data[Purchase order Number],New_Ark_Data[Estimated time of arrival],"",0))</f>
        <v>46296</v>
      </c>
      <c r="AZ824" s="9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13">
        <f>IFERROR(PV_DATA[[#This Row],[ODP ETA Port]]+PV_DATA[[#This Row],[Customs/Leg3 Assumption]],"n/a")</f>
        <v>46301</v>
      </c>
      <c r="BB824" s="946">
        <f>YEAR(PV_DATA[[#This Row],[ETA for New Ark update]])</f>
        <v>2026</v>
      </c>
      <c r="BC824" s="462">
        <f>MONTH(PV_DATA[[#This Row],[ETA for New Ark update]])</f>
        <v>10</v>
      </c>
      <c r="BD824" s="462">
        <f>IFERROR(_xlfn.ISOWEEKNUM(PV_DATA[[#This Row],[ETA for New Ark update]]),0)</f>
        <v>41</v>
      </c>
      <c r="BE824" s="462">
        <f>_xlfn.XLOOKUP(PV_DATA[[#This Row],[New Ark SKU]],Table9[New Ark SKU],Table9[Total PCS per Pallet],,0)</f>
        <v>36</v>
      </c>
      <c r="BF824" s="462">
        <f>_xlfn.XLOOKUP(PV_DATA[[#This Row],[New Ark SKU]],Table9[New Ark SKU],Table9[Total PCS per 40HQ Container],,0)</f>
        <v>864</v>
      </c>
      <c r="BG824" s="462" t="str">
        <f>_xlfn.XLOOKUP(PV_DATA[[#This Row],[New Ark SKU]],Table9[New Ark SKU],Table9[Back Glass],,0)</f>
        <v>Black glazing</v>
      </c>
      <c r="BH824" s="462" t="str">
        <f>_xlfn.XLOOKUP(PV_DATA[[#This Row],[PORT DESTINATION]],Table12[PORT DESTINATION],Table12[Cosco Line],,0)</f>
        <v>AEU</v>
      </c>
    </row>
    <row r="825" spans="1:62" s="462" customFormat="1" ht="10.5">
      <c r="A825" s="951" t="s">
        <v>5849</v>
      </c>
      <c r="B825" s="945" t="s">
        <v>1757</v>
      </c>
      <c r="C825" s="945" t="str">
        <f>IFERROR(LEFT(PV_DATA[[#This Row],[TCL REFERENCE]],FIND(".",PV_DATA[[#This Row],[TCL REFERENCE]],1)-1),"Main Line")</f>
        <v>26Jul017</v>
      </c>
      <c r="D825" s="462" t="s">
        <v>63</v>
      </c>
      <c r="E825" s="462" t="s">
        <v>64</v>
      </c>
      <c r="F825" s="945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2" t="s">
        <v>402</v>
      </c>
      <c r="H825" s="462" t="s">
        <v>451</v>
      </c>
      <c r="I825" s="462" t="s">
        <v>882</v>
      </c>
      <c r="J825" s="945" t="s">
        <v>5850</v>
      </c>
      <c r="M825" s="462" t="s">
        <v>68</v>
      </c>
      <c r="N825" s="712">
        <v>46230</v>
      </c>
      <c r="O825" s="462" t="s">
        <v>284</v>
      </c>
      <c r="P825" s="945" t="s">
        <v>5851</v>
      </c>
      <c r="Q825" s="945" t="s">
        <v>5852</v>
      </c>
      <c r="R825" s="430" t="str">
        <f>_xlfn.XLOOKUP(PV_DATA[[#This Row],[New Ark SKU]],Table9[New Ark SKU],Table9[Connector],,0)</f>
        <v>EVO2A</v>
      </c>
      <c r="S825" s="433" t="str">
        <f>_xlfn.XLOOKUP(PV_DATA[[#This Row],[New Ark SKU]],Table9[New Ark SKU],Table9[Cable],,0)</f>
        <v>±1200mm</v>
      </c>
      <c r="T825" s="952">
        <v>485</v>
      </c>
      <c r="U825" s="1098">
        <v>936</v>
      </c>
      <c r="V825" s="953">
        <f>PV_DATA[[#This Row],[QUANTITY]]*PV_DATA[[#This Row],[WATT]]/1000000</f>
        <v>0.45395999999999997</v>
      </c>
      <c r="W825" s="954">
        <f>PV_DATA[[#This Row],[QUANTITY]]/36</f>
        <v>26</v>
      </c>
      <c r="X825" s="1042">
        <f>PV_DATA[[#This Row],[QUANTITY]]/936</f>
        <v>1</v>
      </c>
      <c r="Y825" s="462" t="s">
        <v>2462</v>
      </c>
      <c r="Z825" s="462" t="str">
        <f t="shared" si="10"/>
        <v>COMPLETED</v>
      </c>
      <c r="AA825" s="945" t="s">
        <v>5853</v>
      </c>
      <c r="AB825" s="713">
        <v>46243</v>
      </c>
      <c r="AC825" s="947">
        <f>IF(PV_DATA[[#This Row],[Pick- Up Date]]&lt;&gt;"",_xlfn.ISOWEEKNUM(PV_DATA[[#This Row],[Pick- Up Date]]),"")</f>
        <v>32</v>
      </c>
      <c r="AD825" s="462" t="s">
        <v>5854</v>
      </c>
      <c r="AF825" s="945" t="s">
        <v>5855</v>
      </c>
      <c r="AG825" s="462" t="s">
        <v>123</v>
      </c>
      <c r="AH825" s="462" t="s">
        <v>456</v>
      </c>
      <c r="AI825" s="713">
        <v>46249</v>
      </c>
      <c r="AJ825" s="713"/>
      <c r="AK825" s="437">
        <f>IFERROR(IF(VLOOKUP(AT825,Vessel!A:F,5,FALSE)=0,"",VLOOKUP(AT825,Vessel!A:F,5,FALSE)),"")</f>
        <v>46251.127662037034</v>
      </c>
      <c r="AL825" s="718">
        <v>46285</v>
      </c>
      <c r="AM825" s="949">
        <f>IFERROR(VLOOKUP(AT825, Vessel!A:H, 8, FALSE), "")</f>
        <v>46290.041666666664</v>
      </c>
      <c r="AN825" s="713">
        <f>IFERROR(IF(VLOOKUP(AT825,Vessel!A:I,9,FALSE)=0,"",VLOOKUP(AT825,Vessel!A:I,9,FALSE)),"")</f>
        <v>46290.087800925925</v>
      </c>
      <c r="AP825" s="462" t="s">
        <v>5846</v>
      </c>
      <c r="AQ825" s="950" t="s">
        <v>80</v>
      </c>
      <c r="AR825" s="462" t="s">
        <v>5856</v>
      </c>
      <c r="AS825" s="462" t="s">
        <v>5857</v>
      </c>
      <c r="AT825" s="462" t="s">
        <v>5857</v>
      </c>
      <c r="AU8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38.960138888891379</v>
      </c>
      <c r="AW825" s="713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46290.087800925925</v>
      </c>
      <c r="AX82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13">
        <f>IF(ISERROR(PV_DATA[[#This Row],[New Ark PO status]]),"",_xlfn.XLOOKUP(PV_DATA[[#This Row],[SPTN-PVHK New Ark PO'#]],New_Ark_Data[Purchase order Number],New_Ark_Data[Estimated time of arrival],"",0))</f>
        <v>46303</v>
      </c>
      <c r="AZ825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13">
        <f>IFERROR(PV_DATA[[#This Row],[ODP ETA Port]]+PV_DATA[[#This Row],[Customs/Leg3 Assumption]],"n/a")</f>
        <v>46297.087800925925</v>
      </c>
      <c r="BB825" s="946">
        <f>YEAR(PV_DATA[[#This Row],[ETA for New Ark update]])</f>
        <v>2026</v>
      </c>
      <c r="BC825" s="462">
        <f>MONTH(PV_DATA[[#This Row],[ETA for New Ark update]])</f>
        <v>10</v>
      </c>
      <c r="BD825" s="462">
        <f>IFERROR(_xlfn.ISOWEEKNUM(PV_DATA[[#This Row],[ETA for New Ark update]]),0)</f>
        <v>40</v>
      </c>
      <c r="BE825" s="462">
        <f>_xlfn.XLOOKUP(PV_DATA[[#This Row],[New Ark SKU]],Table9[New Ark SKU],Table9[Total PCS per Pallet],,0)</f>
        <v>36</v>
      </c>
      <c r="BF825" s="462">
        <f>_xlfn.XLOOKUP(PV_DATA[[#This Row],[New Ark SKU]],Table9[New Ark SKU],Table9[Total PCS per 40HQ Container],,0)</f>
        <v>936</v>
      </c>
      <c r="BG825" s="462" t="str">
        <f>_xlfn.XLOOKUP(PV_DATA[[#This Row],[New Ark SKU]],Table9[New Ark SKU],Table9[Back Glass],,0)</f>
        <v>Black glazing</v>
      </c>
      <c r="BH825" s="948" t="str">
        <f>_xlfn.XLOOKUP(PV_DATA[[#This Row],[PORT DESTINATION]],Table12[PORT DESTINATION],Table12[Cosco Line],,0)</f>
        <v>AEU</v>
      </c>
    </row>
    <row r="826" spans="1:62" ht="10.5">
      <c r="A826" s="462" t="s">
        <v>5858</v>
      </c>
      <c r="B826" s="462" t="s">
        <v>111</v>
      </c>
      <c r="C826" s="462" t="str">
        <f>IFERROR(LEFT(PV_DATA[[#This Row],[TCL REFERENCE]],FIND(".",PV_DATA[[#This Row],[TCL REFERENCE]],1)-1),"Main Line")</f>
        <v>26Jun015</v>
      </c>
      <c r="D826" s="462" t="s">
        <v>63</v>
      </c>
      <c r="E826" s="462" t="s">
        <v>64</v>
      </c>
      <c r="F826" s="462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2" t="s">
        <v>402</v>
      </c>
      <c r="H826" s="462" t="s">
        <v>67</v>
      </c>
      <c r="I826" s="462" t="s">
        <v>1395</v>
      </c>
      <c r="J826" s="430" t="s">
        <v>96</v>
      </c>
      <c r="K826" s="614"/>
      <c r="L826" s="614"/>
      <c r="M826" s="430" t="s">
        <v>68</v>
      </c>
      <c r="N826" s="432">
        <v>46202</v>
      </c>
      <c r="O826" s="430" t="s">
        <v>5379</v>
      </c>
      <c r="P826" s="430" t="s">
        <v>5400</v>
      </c>
      <c r="Q826" s="430" t="s">
        <v>5401</v>
      </c>
      <c r="R826" s="430" t="str">
        <f>_xlfn.XLOOKUP(PV_DATA[[#This Row],[New Ark SKU]],Table9[New Ark SKU],Table9[Connector],,0)</f>
        <v>EVO2A</v>
      </c>
      <c r="S826" s="433" t="str">
        <f>_xlfn.XLOOKUP(PV_DATA[[#This Row],[New Ark SKU]],Table9[New Ark SKU],Table9[Cable],,0)</f>
        <v>±1200mm</v>
      </c>
      <c r="T826" s="433">
        <v>465</v>
      </c>
      <c r="U826" s="1096">
        <f>936*2</f>
        <v>1872</v>
      </c>
      <c r="V826" s="434">
        <f>PV_DATA[[#This Row],[QUANTITY]]*PV_DATA[[#This Row],[WATT]]/1000000</f>
        <v>0.87048000000000003</v>
      </c>
      <c r="W826" s="435">
        <f>PV_DATA[[#This Row],[QUANTITY]]/PV_DATA[[#This Row],[Qty/Pallet]]</f>
        <v>52</v>
      </c>
      <c r="X826" s="1040">
        <f>PV_DATA[[#This Row],[QUANTITY]]/PV_DATA[[#This Row],[Qty/CT]]</f>
        <v>2</v>
      </c>
      <c r="Y826" s="430" t="s">
        <v>2463</v>
      </c>
      <c r="Z826" s="430" t="str">
        <f t="shared" si="10"/>
        <v>COMPLETED</v>
      </c>
      <c r="AA826" s="430" t="s">
        <v>5523</v>
      </c>
      <c r="AB826" s="437">
        <v>46239</v>
      </c>
      <c r="AC826" s="485">
        <f>IF(PV_DATA[[#This Row],[Pick- Up Date]]&lt;&gt;"",_xlfn.ISOWEEKNUM(PV_DATA[[#This Row],[Pick- Up Date]]),"")</f>
        <v>32</v>
      </c>
      <c r="AD826" s="430" t="s">
        <v>5859</v>
      </c>
      <c r="AE826" s="430"/>
      <c r="AF826" s="430" t="s">
        <v>122</v>
      </c>
      <c r="AG826" s="430" t="s">
        <v>123</v>
      </c>
      <c r="AH826" s="430" t="s">
        <v>105</v>
      </c>
      <c r="AI826" s="713">
        <v>46245</v>
      </c>
      <c r="AK826" s="1049">
        <v>46248</v>
      </c>
      <c r="AL826" s="437">
        <v>46281</v>
      </c>
      <c r="AM826" s="588">
        <f>IFERROR(VLOOKUP(AT826, Vessel!A:H, 8, FALSE), "")</f>
        <v>46284.875</v>
      </c>
      <c r="AN826" s="437">
        <f>IFERROR(IF(VLOOKUP(AT826,Vessel!A:I,9,FALSE)=0,"",VLOOKUP(AT826,Vessel!A:I,9,FALSE)),"")</f>
        <v>46285.134953703702</v>
      </c>
      <c r="AP826" s="430" t="s">
        <v>5800</v>
      </c>
      <c r="AQ826" s="430" t="s">
        <v>80</v>
      </c>
      <c r="AR826" s="430" t="s">
        <v>5860</v>
      </c>
      <c r="AS826" s="430" t="s">
        <v>5861</v>
      </c>
      <c r="AT826" s="430" t="s">
        <v>5861</v>
      </c>
      <c r="AU8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6" s="437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7">
        <f>IF(ISERROR(PV_DATA[[#This Row],[New Ark PO status]]),"",_xlfn.XLOOKUP(PV_DATA[[#This Row],[SPTN-PVHK New Ark PO'#]],New_Ark_Data[Purchase order Number],New_Ark_Data[Estimated time of arrival],"",0))</f>
        <v>46300</v>
      </c>
      <c r="AZ82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7">
        <f>IFERROR(PV_DATA[[#This Row],[ODP ETA Port]]+PV_DATA[[#This Row],[Customs/Leg3 Assumption]],"n/a")</f>
        <v>46292.134953703702</v>
      </c>
      <c r="BB826" s="433">
        <f>YEAR(PV_DATA[[#This Row],[ETA for New Ark update]])</f>
        <v>2026</v>
      </c>
      <c r="BC826" s="430">
        <f>MONTH(PV_DATA[[#This Row],[ETA for New Ark update]])</f>
        <v>9</v>
      </c>
      <c r="BD826" s="430">
        <f>IFERROR(_xlfn.ISOWEEKNUM(PV_DATA[[#This Row],[ETA for New Ark update]]),0)</f>
        <v>39</v>
      </c>
      <c r="BE826" s="430">
        <f>_xlfn.XLOOKUP(PV_DATA[[#This Row],[New Ark SKU]],Table9[New Ark SKU],Table9[Total PCS per Pallet],,0)</f>
        <v>36</v>
      </c>
      <c r="BF826" s="430">
        <f>_xlfn.XLOOKUP(PV_DATA[[#This Row],[New Ark SKU]],Table9[New Ark SKU],Table9[Total PCS per 40HQ Container],,0)</f>
        <v>936</v>
      </c>
      <c r="BG826" s="430" t="str">
        <f>_xlfn.XLOOKUP(PV_DATA[[#This Row],[New Ark SKU]],Table9[New Ark SKU],Table9[Back Glass],,0)</f>
        <v>Black glazing</v>
      </c>
      <c r="BH826" s="430" t="str">
        <f>_xlfn.XLOOKUP(PV_DATA[[#This Row],[PORT DESTINATION]],Table12[PORT DESTINATION],Table12[Cosco Line],,0)</f>
        <v>AEU</v>
      </c>
      <c r="BJ826" s="430"/>
    </row>
    <row r="827" spans="1:62" ht="10.5">
      <c r="A827" s="462" t="s">
        <v>5862</v>
      </c>
      <c r="B827" s="462" t="s">
        <v>111</v>
      </c>
      <c r="C827" s="462" t="str">
        <f>IFERROR(LEFT(PV_DATA[[#This Row],[TCL REFERENCE]],FIND(".",PV_DATA[[#This Row],[TCL REFERENCE]],1)-1),"Main Line")</f>
        <v>26Jul002</v>
      </c>
      <c r="D827" s="462" t="s">
        <v>63</v>
      </c>
      <c r="E827" s="462" t="s">
        <v>64</v>
      </c>
      <c r="F827" s="462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2" t="s">
        <v>402</v>
      </c>
      <c r="H827" s="462" t="s">
        <v>67</v>
      </c>
      <c r="I827" s="462" t="s">
        <v>882</v>
      </c>
      <c r="J827" s="430" t="s">
        <v>96</v>
      </c>
      <c r="K827" s="430"/>
      <c r="L827" s="430"/>
      <c r="M827" s="430" t="s">
        <v>68</v>
      </c>
      <c r="N827" s="432">
        <v>46209</v>
      </c>
      <c r="O827" s="430" t="s">
        <v>550</v>
      </c>
      <c r="P827" s="430" t="s">
        <v>2134</v>
      </c>
      <c r="Q827" s="430" t="s">
        <v>2135</v>
      </c>
      <c r="R827" s="430" t="str">
        <f>_xlfn.XLOOKUP(PV_DATA[[#This Row],[New Ark SKU]],Table9[New Ark SKU],Table9[Connector],,0)</f>
        <v>EVO2A</v>
      </c>
      <c r="S827" s="433" t="str">
        <f>_xlfn.XLOOKUP(PV_DATA[[#This Row],[New Ark SKU]],Table9[New Ark SKU],Table9[Cable],,0)</f>
        <v>±1350mm</v>
      </c>
      <c r="T827" s="433">
        <v>515</v>
      </c>
      <c r="U827" s="1096">
        <v>1584</v>
      </c>
      <c r="V827" s="434">
        <f>PV_DATA[[#This Row],[QUANTITY]]*PV_DATA[[#This Row],[WATT]]/1000000</f>
        <v>0.81576000000000004</v>
      </c>
      <c r="W827" s="435">
        <f>PV_DATA[[#This Row],[QUANTITY]]/PV_DATA[[#This Row],[Qty/Pallet]]</f>
        <v>44</v>
      </c>
      <c r="X827" s="1040">
        <f>PV_DATA[[#This Row],[QUANTITY]]/PV_DATA[[#This Row],[Qty/CT]]</f>
        <v>2</v>
      </c>
      <c r="Y827" s="430" t="s">
        <v>2463</v>
      </c>
      <c r="Z827" s="430" t="str">
        <f t="shared" si="10"/>
        <v>COMPLETED</v>
      </c>
      <c r="AA827" s="430"/>
      <c r="AB827" s="437">
        <v>46238</v>
      </c>
      <c r="AC827" s="485">
        <f>IF(PV_DATA[[#This Row],[Pick- Up Date]]&lt;&gt;"",_xlfn.ISOWEEKNUM(PV_DATA[[#This Row],[Pick- Up Date]]),"")</f>
        <v>32</v>
      </c>
      <c r="AD827" s="430" t="s">
        <v>5863</v>
      </c>
      <c r="AE827" s="430"/>
      <c r="AF827" s="430" t="s">
        <v>122</v>
      </c>
      <c r="AG827" s="430" t="s">
        <v>123</v>
      </c>
      <c r="AH827" s="430" t="s">
        <v>105</v>
      </c>
      <c r="AI827" s="713">
        <v>46245</v>
      </c>
      <c r="AK827" s="1049">
        <v>46248</v>
      </c>
      <c r="AL827" s="968">
        <v>46281</v>
      </c>
      <c r="AM827" s="1189">
        <f>IFERROR(VLOOKUP(AT827, Vessel!A:H, 8, FALSE), "")</f>
        <v>46284.875</v>
      </c>
      <c r="AN827" s="437">
        <f>IFERROR(IF(VLOOKUP(AT827,Vessel!A:I,9,FALSE)=0,"",VLOOKUP(AT827,Vessel!A:I,9,FALSE)),"")</f>
        <v>46285.134953703702</v>
      </c>
      <c r="AP827" s="430" t="s">
        <v>5800</v>
      </c>
      <c r="AQ827" s="430" t="s">
        <v>80</v>
      </c>
      <c r="AR827" s="430" t="s">
        <v>5864</v>
      </c>
      <c r="AS827" s="430" t="s">
        <v>5865</v>
      </c>
      <c r="AT827" s="430" t="s">
        <v>5865</v>
      </c>
      <c r="AU8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7" s="437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7">
        <f>IF(ISERROR(PV_DATA[[#This Row],[New Ark PO status]]),"",_xlfn.XLOOKUP(PV_DATA[[#This Row],[SPTN-PVHK New Ark PO'#]],New_Ark_Data[Purchase order Number],New_Ark_Data[Estimated time of arrival],"",0))</f>
        <v>46300</v>
      </c>
      <c r="AZ82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7">
        <f>IFERROR(PV_DATA[[#This Row],[ODP ETA Port]]+PV_DATA[[#This Row],[Customs/Leg3 Assumption]],"n/a")</f>
        <v>46292.134953703702</v>
      </c>
      <c r="BB827" s="433">
        <f>YEAR(PV_DATA[[#This Row],[ETA for New Ark update]])</f>
        <v>2026</v>
      </c>
      <c r="BC827" s="430">
        <f>MONTH(PV_DATA[[#This Row],[ETA for New Ark update]])</f>
        <v>9</v>
      </c>
      <c r="BD827" s="430">
        <f>IFERROR(_xlfn.ISOWEEKNUM(PV_DATA[[#This Row],[ETA for New Ark update]]),0)</f>
        <v>39</v>
      </c>
      <c r="BE827" s="430">
        <f>_xlfn.XLOOKUP(PV_DATA[[#This Row],[New Ark SKU]],Table9[New Ark SKU],Table9[Total PCS per Pallet],,0)</f>
        <v>36</v>
      </c>
      <c r="BF827" s="430">
        <f>_xlfn.XLOOKUP(PV_DATA[[#This Row],[New Ark SKU]],Table9[New Ark SKU],Table9[Total PCS per 40HQ Container],,0)</f>
        <v>792</v>
      </c>
      <c r="BG827" s="430" t="str">
        <f>_xlfn.XLOOKUP(PV_DATA[[#This Row],[New Ark SKU]],Table9[New Ark SKU],Table9[Back Glass],,0)</f>
        <v>Black glazing</v>
      </c>
      <c r="BH827" s="430" t="str">
        <f>_xlfn.XLOOKUP(PV_DATA[[#This Row],[PORT DESTINATION]],Table12[PORT DESTINATION],Table12[Cosco Line],,0)</f>
        <v>AEU</v>
      </c>
      <c r="BJ827" s="430"/>
    </row>
    <row r="828" spans="1:62" ht="10.5">
      <c r="A828" s="462" t="s">
        <v>5866</v>
      </c>
      <c r="B828" s="462" t="s">
        <v>111</v>
      </c>
      <c r="C828" s="462" t="str">
        <f>IFERROR(LEFT(PV_DATA[[#This Row],[TCL REFERENCE]],FIND(".",PV_DATA[[#This Row],[TCL REFERENCE]],1)-1),"Main Line")</f>
        <v>26Jun004</v>
      </c>
      <c r="D828" s="462" t="s">
        <v>63</v>
      </c>
      <c r="E828" s="462" t="s">
        <v>64</v>
      </c>
      <c r="F828" s="462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2" t="s">
        <v>402</v>
      </c>
      <c r="H828" s="462" t="s">
        <v>67</v>
      </c>
      <c r="I828" s="462" t="s">
        <v>689</v>
      </c>
      <c r="J828" s="430" t="s">
        <v>96</v>
      </c>
      <c r="K828" s="430"/>
      <c r="L828" s="430"/>
      <c r="M828" s="430" t="s">
        <v>68</v>
      </c>
      <c r="N828" s="432">
        <v>46188</v>
      </c>
      <c r="O828" s="430" t="s">
        <v>132</v>
      </c>
      <c r="P828" s="430" t="s">
        <v>1062</v>
      </c>
      <c r="Q828" s="430" t="s">
        <v>1063</v>
      </c>
      <c r="R828" s="430" t="str">
        <f>_xlfn.XLOOKUP(PV_DATA[[#This Row],[New Ark SKU]],Table9[New Ark SKU],Table9[Connector],,0)</f>
        <v>EVO2A</v>
      </c>
      <c r="S828" s="433" t="str">
        <f>_xlfn.XLOOKUP(PV_DATA[[#This Row],[New Ark SKU]],Table9[New Ark SKU],Table9[Cable],,0)</f>
        <v>±1200mm</v>
      </c>
      <c r="T828" s="433">
        <v>470</v>
      </c>
      <c r="U828" s="1096">
        <f>864*5</f>
        <v>4320</v>
      </c>
      <c r="V828" s="434">
        <f>PV_DATA[[#This Row],[QUANTITY]]*PV_DATA[[#This Row],[WATT]]/1000000</f>
        <v>2.0304000000000002</v>
      </c>
      <c r="W828" s="435">
        <f>PV_DATA[[#This Row],[QUANTITY]]/PV_DATA[[#This Row],[Qty/Pallet]]</f>
        <v>120</v>
      </c>
      <c r="X828" s="1040">
        <f>PV_DATA[[#This Row],[QUANTITY]]/PV_DATA[[#This Row],[Qty/CT]]</f>
        <v>5</v>
      </c>
      <c r="Y828" s="430" t="s">
        <v>2460</v>
      </c>
      <c r="Z828" s="430" t="str">
        <f t="shared" si="10"/>
        <v>COMPLETED</v>
      </c>
      <c r="AA828" s="430"/>
      <c r="AB828" s="437">
        <v>46238</v>
      </c>
      <c r="AC828" s="485">
        <f>IF(PV_DATA[[#This Row],[Pick- Up Date]]&lt;&gt;"",_xlfn.ISOWEEKNUM(PV_DATA[[#This Row],[Pick- Up Date]]),"")</f>
        <v>32</v>
      </c>
      <c r="AD828" s="430" t="s">
        <v>5867</v>
      </c>
      <c r="AE828" s="430"/>
      <c r="AF828" s="430" t="s">
        <v>122</v>
      </c>
      <c r="AG828" s="430" t="s">
        <v>123</v>
      </c>
      <c r="AH828" s="430" t="s">
        <v>105</v>
      </c>
      <c r="AI828" s="713">
        <v>46245</v>
      </c>
      <c r="AK828" s="1049">
        <v>46248</v>
      </c>
      <c r="AL828" s="437">
        <v>46281</v>
      </c>
      <c r="AM828" s="588">
        <f>IFERROR(VLOOKUP(AT828, Vessel!A:H, 8, FALSE), "")</f>
        <v>46284.875</v>
      </c>
      <c r="AN828" s="437">
        <f>IFERROR(IF(VLOOKUP(AT828,Vessel!A:I,9,FALSE)=0,"",VLOOKUP(AT828,Vessel!A:I,9,FALSE)),"")</f>
        <v>46285.134953703702</v>
      </c>
      <c r="AP828" s="430" t="s">
        <v>5800</v>
      </c>
      <c r="AQ828" s="430" t="s">
        <v>80</v>
      </c>
      <c r="AR828" s="430" t="s">
        <v>5864</v>
      </c>
      <c r="AS828" s="430" t="s">
        <v>5865</v>
      </c>
      <c r="AT828" s="430" t="s">
        <v>5865</v>
      </c>
      <c r="AU8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28" s="437"/>
      <c r="AW828" s="437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7">
        <f>IF(ISERROR(PV_DATA[[#This Row],[New Ark PO status]]),"",_xlfn.XLOOKUP(PV_DATA[[#This Row],[SPTN-PVHK New Ark PO'#]],New_Ark_Data[Purchase order Number],New_Ark_Data[Estimated time of arrival],"",0))</f>
        <v>46300</v>
      </c>
      <c r="AZ82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7">
        <f>IFERROR(PV_DATA[[#This Row],[ODP ETA Port]]+PV_DATA[[#This Row],[Customs/Leg3 Assumption]],"n/a")</f>
        <v>46292.134953703702</v>
      </c>
      <c r="BB828" s="433">
        <f>YEAR(PV_DATA[[#This Row],[ETA for New Ark update]])</f>
        <v>2026</v>
      </c>
      <c r="BC828" s="430">
        <f>MONTH(PV_DATA[[#This Row],[ETA for New Ark update]])</f>
        <v>9</v>
      </c>
      <c r="BD828" s="430">
        <f>IFERROR(_xlfn.ISOWEEKNUM(PV_DATA[[#This Row],[ETA for New Ark update]]),0)</f>
        <v>39</v>
      </c>
      <c r="BE828" s="430">
        <f>_xlfn.XLOOKUP(PV_DATA[[#This Row],[New Ark SKU]],Table9[New Ark SKU],Table9[Total PCS per Pallet],,0)</f>
        <v>36</v>
      </c>
      <c r="BF828" s="430">
        <f>_xlfn.XLOOKUP(PV_DATA[[#This Row],[New Ark SKU]],Table9[New Ark SKU],Table9[Total PCS per 40HQ Container],,0)</f>
        <v>864</v>
      </c>
      <c r="BG828" s="430" t="str">
        <f>_xlfn.XLOOKUP(PV_DATA[[#This Row],[New Ark SKU]],Table9[New Ark SKU],Table9[Back Glass],,0)</f>
        <v>White glazing</v>
      </c>
      <c r="BH828" s="430" t="str">
        <f>_xlfn.XLOOKUP(PV_DATA[[#This Row],[PORT DESTINATION]],Table12[PORT DESTINATION],Table12[Cosco Line],,0)</f>
        <v>AEU</v>
      </c>
      <c r="BJ828" s="430"/>
    </row>
    <row r="829" spans="1:62">
      <c r="A829" s="462" t="s">
        <v>5868</v>
      </c>
      <c r="B829" s="462" t="s">
        <v>111</v>
      </c>
      <c r="C829" s="462" t="str">
        <f>IFERROR(LEFT(PV_DATA[[#This Row],[TCL REFERENCE]],FIND(".",PV_DATA[[#This Row],[TCL REFERENCE]],1)-1),"Main Line")</f>
        <v>Main Line</v>
      </c>
      <c r="D829" s="462" t="s">
        <v>63</v>
      </c>
      <c r="E829" s="462" t="s">
        <v>64</v>
      </c>
      <c r="F829" s="462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17" t="s">
        <v>402</v>
      </c>
      <c r="H829" s="462" t="s">
        <v>67</v>
      </c>
      <c r="I829" s="462" t="s">
        <v>689</v>
      </c>
      <c r="J829" s="430" t="s">
        <v>5869</v>
      </c>
      <c r="K829" s="430"/>
      <c r="L829" s="430"/>
      <c r="M829" s="430" t="s">
        <v>68</v>
      </c>
      <c r="N829" s="432">
        <v>46174</v>
      </c>
      <c r="O829" s="430" t="s">
        <v>132</v>
      </c>
      <c r="P829" s="430" t="s">
        <v>133</v>
      </c>
      <c r="Q829" s="430" t="s">
        <v>134</v>
      </c>
      <c r="R829" s="430" t="str">
        <f>_xlfn.XLOOKUP(PV_DATA[[#This Row],[New Ark SKU]],Table9[New Ark SKU],Table9[Connector],,0)</f>
        <v>EVO2A</v>
      </c>
      <c r="S829" s="433" t="str">
        <f>_xlfn.XLOOKUP(PV_DATA[[#This Row],[New Ark SKU]],Table9[New Ark SKU],Table9[Cable],,0)</f>
        <v>±1400mm</v>
      </c>
      <c r="T829" s="433">
        <v>720</v>
      </c>
      <c r="U829" s="1096" cm="1">
        <f t="array" ref="U829">3564-fx_qty</f>
        <v>594</v>
      </c>
      <c r="V829" s="434">
        <f>PV_DATA[[#This Row],[QUANTITY]]*PV_DATA[[#This Row],[WATT]]/1000000</f>
        <v>0.42768</v>
      </c>
      <c r="W829" s="435">
        <f>PV_DATA[[#This Row],[QUANTITY]]/PV_DATA[[#This Row],[Qty/Pallet]]</f>
        <v>18</v>
      </c>
      <c r="X829" s="1040">
        <f>PV_DATA[[#This Row],[QUANTITY]]/PV_DATA[[#This Row],[Qty/CT]]</f>
        <v>1</v>
      </c>
      <c r="Y829" s="430" t="s">
        <v>2461</v>
      </c>
      <c r="Z829" s="430" t="str">
        <f t="shared" si="10"/>
        <v>COMPLETED</v>
      </c>
      <c r="AA829" s="430" t="s">
        <v>4990</v>
      </c>
      <c r="AB829" s="437">
        <v>46238</v>
      </c>
      <c r="AC829" s="485">
        <f>IF(PV_DATA[[#This Row],[Pick- Up Date]]&lt;&gt;"",_xlfn.ISOWEEKNUM(PV_DATA[[#This Row],[Pick- Up Date]]),"")</f>
        <v>32</v>
      </c>
      <c r="AD829" s="430" t="s">
        <v>5870</v>
      </c>
      <c r="AE829" s="430"/>
      <c r="AF829" s="430" t="s">
        <v>111</v>
      </c>
      <c r="AG829" s="430" t="s">
        <v>123</v>
      </c>
      <c r="AH829" s="430" t="s">
        <v>105</v>
      </c>
      <c r="AI829" s="713">
        <v>46245</v>
      </c>
      <c r="AK829" s="1049">
        <v>46248</v>
      </c>
      <c r="AL829" s="437">
        <v>46281</v>
      </c>
      <c r="AM829" s="588">
        <f>IFERROR(VLOOKUP(AT829, Vessel!A:H, 8, FALSE), "")</f>
        <v>46284.875</v>
      </c>
      <c r="AN829" s="588">
        <f>IFERROR(IF(VLOOKUP(AT829,Vessel!A:I,9,FALSE)=0,"",VLOOKUP(AT829,Vessel!A:I,9,FALSE)),"")</f>
        <v>46285.134953703702</v>
      </c>
      <c r="AP829" s="430" t="s">
        <v>5800</v>
      </c>
      <c r="AQ829" s="430" t="s">
        <v>80</v>
      </c>
      <c r="AR829" s="430" t="s">
        <v>5864</v>
      </c>
      <c r="AS829" s="430" t="s">
        <v>5865</v>
      </c>
      <c r="AT829" s="430" t="s">
        <v>5865</v>
      </c>
      <c r="AU8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9" s="437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7">
        <f>IF(ISERROR(PV_DATA[[#This Row],[New Ark PO status]]),"",_xlfn.XLOOKUP(PV_DATA[[#This Row],[SPTN-PVHK New Ark PO'#]],New_Ark_Data[Purchase order Number],New_Ark_Data[Estimated time of arrival],"",0))</f>
        <v>46300</v>
      </c>
      <c r="AZ82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7">
        <f>IFERROR(PV_DATA[[#This Row],[ODP ETA Port]]+PV_DATA[[#This Row],[Customs/Leg3 Assumption]],"n/a")</f>
        <v>46292.134953703702</v>
      </c>
      <c r="BB829" s="433">
        <f>YEAR(PV_DATA[[#This Row],[ETA for New Ark update]])</f>
        <v>2026</v>
      </c>
      <c r="BC829" s="430">
        <f>MONTH(PV_DATA[[#This Row],[ETA for New Ark update]])</f>
        <v>9</v>
      </c>
      <c r="BD829" s="430">
        <f>IFERROR(_xlfn.ISOWEEKNUM(PV_DATA[[#This Row],[ETA for New Ark update]]),0)</f>
        <v>39</v>
      </c>
      <c r="BE829" s="430">
        <f>_xlfn.XLOOKUP(PV_DATA[[#This Row],[New Ark SKU]],Table9[New Ark SKU],Table9[Total PCS per Pallet],,0)</f>
        <v>33</v>
      </c>
      <c r="BF829" s="430">
        <f>_xlfn.XLOOKUP(PV_DATA[[#This Row],[New Ark SKU]],Table9[New Ark SKU],Table9[Total PCS per 40HQ Container],,0)</f>
        <v>594</v>
      </c>
      <c r="BG829" s="430" t="str">
        <f>_xlfn.XLOOKUP(PV_DATA[[#This Row],[New Ark SKU]],Table9[New Ark SKU],Table9[Back Glass],,0)</f>
        <v>White glazing</v>
      </c>
      <c r="BH829" s="430" t="str">
        <f>_xlfn.XLOOKUP(PV_DATA[[#This Row],[PORT DESTINATION]],Table12[PORT DESTINATION],Table12[Cosco Line],,0)</f>
        <v>AEU</v>
      </c>
      <c r="BJ829" s="430"/>
    </row>
    <row r="830" spans="1:62">
      <c r="A830" s="462" t="s">
        <v>5871</v>
      </c>
      <c r="B830" s="462" t="s">
        <v>111</v>
      </c>
      <c r="C830" s="462" t="str">
        <f>IFERROR(LEFT(PV_DATA[[#This Row],[TCL REFERENCE]],FIND(".",PV_DATA[[#This Row],[TCL REFERENCE]],1)-1),"Main Line")</f>
        <v>Main Line</v>
      </c>
      <c r="D830" s="462" t="s">
        <v>63</v>
      </c>
      <c r="E830" s="462" t="s">
        <v>64</v>
      </c>
      <c r="F830" s="462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17" t="s">
        <v>402</v>
      </c>
      <c r="H830" s="462" t="s">
        <v>67</v>
      </c>
      <c r="I830" s="462" t="s">
        <v>689</v>
      </c>
      <c r="J830" s="430" t="s">
        <v>5872</v>
      </c>
      <c r="K830" s="430"/>
      <c r="L830" s="430"/>
      <c r="M830" s="430" t="s">
        <v>68</v>
      </c>
      <c r="N830" s="432">
        <v>46174</v>
      </c>
      <c r="O830" s="430" t="s">
        <v>132</v>
      </c>
      <c r="P830" s="430" t="s">
        <v>5873</v>
      </c>
      <c r="Q830" s="430" t="s">
        <v>5874</v>
      </c>
      <c r="R830" s="430" t="str">
        <f>_xlfn.XLOOKUP(PV_DATA[[#This Row],[New Ark SKU]],Table9[New Ark SKU],Table9[Connector],,0)</f>
        <v>EVO2A</v>
      </c>
      <c r="S830" s="433" t="str">
        <f>_xlfn.XLOOKUP(PV_DATA[[#This Row],[New Ark SKU]],Table9[New Ark SKU],Table9[Cable],,0)</f>
        <v>±1400mm</v>
      </c>
      <c r="T830" s="433">
        <v>715</v>
      </c>
      <c r="U830" s="1096">
        <f>594</f>
        <v>594</v>
      </c>
      <c r="V830" s="434">
        <f>PV_DATA[[#This Row],[QUANTITY]]*PV_DATA[[#This Row],[WATT]]/1000000</f>
        <v>0.42470999999999998</v>
      </c>
      <c r="W830" s="435">
        <f>PV_DATA[[#This Row],[QUANTITY]]/PV_DATA[[#This Row],[Qty/Pallet]]</f>
        <v>18</v>
      </c>
      <c r="X830" s="1040">
        <f>PV_DATA[[#This Row],[QUANTITY]]/PV_DATA[[#This Row],[Qty/CT]]</f>
        <v>1</v>
      </c>
      <c r="Y830" s="430" t="s">
        <v>2461</v>
      </c>
      <c r="Z830" s="430" t="str">
        <f t="shared" si="10"/>
        <v>COMPLETED</v>
      </c>
      <c r="AA830" s="430" t="s">
        <v>4990</v>
      </c>
      <c r="AB830" s="437">
        <v>46238</v>
      </c>
      <c r="AC830" s="485">
        <f>IF(PV_DATA[[#This Row],[Pick- Up Date]]&lt;&gt;"",_xlfn.ISOWEEKNUM(PV_DATA[[#This Row],[Pick- Up Date]]),"")</f>
        <v>32</v>
      </c>
      <c r="AD830" s="430" t="s">
        <v>5875</v>
      </c>
      <c r="AE830" s="430"/>
      <c r="AF830" s="430" t="s">
        <v>111</v>
      </c>
      <c r="AG830" s="430" t="s">
        <v>123</v>
      </c>
      <c r="AH830" s="430" t="s">
        <v>105</v>
      </c>
      <c r="AI830" s="713">
        <v>46245</v>
      </c>
      <c r="AK830" s="1049">
        <v>46248</v>
      </c>
      <c r="AL830" s="437">
        <v>46281</v>
      </c>
      <c r="AM830" s="588">
        <f>IFERROR(VLOOKUP(AT830, Vessel!A:H, 8, FALSE), "")</f>
        <v>46284.875</v>
      </c>
      <c r="AN830" s="588">
        <f>IFERROR(IF(VLOOKUP(AT830,Vessel!A:I,9,FALSE)=0,"",VLOOKUP(AT830,Vessel!A:I,9,FALSE)),"")</f>
        <v>46285.134953703702</v>
      </c>
      <c r="AP830" s="430" t="s">
        <v>5800</v>
      </c>
      <c r="AQ830" s="430" t="s">
        <v>80</v>
      </c>
      <c r="AR830" s="430" t="s">
        <v>5864</v>
      </c>
      <c r="AS830" s="430" t="s">
        <v>5865</v>
      </c>
      <c r="AT830" s="430" t="s">
        <v>5865</v>
      </c>
      <c r="AU8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30" s="437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7">
        <f>IF(ISERROR(PV_DATA[[#This Row],[New Ark PO status]]),"",_xlfn.XLOOKUP(PV_DATA[[#This Row],[SPTN-PVHK New Ark PO'#]],New_Ark_Data[Purchase order Number],New_Ark_Data[Estimated time of arrival],"",0))</f>
        <v>46288</v>
      </c>
      <c r="AZ83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7">
        <f>IFERROR(PV_DATA[[#This Row],[ODP ETA Port]]+PV_DATA[[#This Row],[Customs/Leg3 Assumption]],"n/a")</f>
        <v>46292.134953703702</v>
      </c>
      <c r="BB830" s="433">
        <f>YEAR(PV_DATA[[#This Row],[ETA for New Ark update]])</f>
        <v>2026</v>
      </c>
      <c r="BC830" s="430">
        <f>MONTH(PV_DATA[[#This Row],[ETA for New Ark update]])</f>
        <v>9</v>
      </c>
      <c r="BD830" s="430">
        <f>IFERROR(_xlfn.ISOWEEKNUM(PV_DATA[[#This Row],[ETA for New Ark update]]),0)</f>
        <v>39</v>
      </c>
      <c r="BE830" s="430">
        <f>_xlfn.XLOOKUP(PV_DATA[[#This Row],[New Ark SKU]],Table9[New Ark SKU],Table9[Total PCS per Pallet],,0)</f>
        <v>33</v>
      </c>
      <c r="BF830" s="430">
        <f>_xlfn.XLOOKUP(PV_DATA[[#This Row],[New Ark SKU]],Table9[New Ark SKU],Table9[Total PCS per 40HQ Container],,0)</f>
        <v>594</v>
      </c>
      <c r="BG830" s="430" t="str">
        <f>_xlfn.XLOOKUP(PV_DATA[[#This Row],[New Ark SKU]],Table9[New Ark SKU],Table9[Back Glass],,0)</f>
        <v>White glazing</v>
      </c>
      <c r="BH830" s="430" t="str">
        <f>_xlfn.XLOOKUP(PV_DATA[[#This Row],[PORT DESTINATION]],Table12[PORT DESTINATION],Table12[Cosco Line],,0)</f>
        <v>AEU</v>
      </c>
      <c r="BJ830" s="430"/>
    </row>
    <row r="831" spans="1:62" ht="10.5">
      <c r="A831" s="462" t="s">
        <v>5876</v>
      </c>
      <c r="B831" s="462" t="s">
        <v>111</v>
      </c>
      <c r="C831" s="462" t="str">
        <f>IFERROR(LEFT(PV_DATA[[#This Row],[TCL REFERENCE]],FIND(".",PV_DATA[[#This Row],[TCL REFERENCE]],1)-1),"Main Line")</f>
        <v>26Jul002</v>
      </c>
      <c r="D831" s="462" t="s">
        <v>63</v>
      </c>
      <c r="E831" s="462" t="s">
        <v>64</v>
      </c>
      <c r="F831" s="462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2" t="s">
        <v>402</v>
      </c>
      <c r="H831" s="462" t="s">
        <v>67</v>
      </c>
      <c r="I831" s="462" t="s">
        <v>689</v>
      </c>
      <c r="J831" s="430" t="s">
        <v>96</v>
      </c>
      <c r="K831" s="430"/>
      <c r="L831" s="430"/>
      <c r="M831" s="430" t="s">
        <v>68</v>
      </c>
      <c r="N831" s="432">
        <v>46209</v>
      </c>
      <c r="O831" s="430" t="s">
        <v>550</v>
      </c>
      <c r="P831" s="430" t="s">
        <v>2134</v>
      </c>
      <c r="Q831" s="430" t="s">
        <v>2135</v>
      </c>
      <c r="R831" s="430" t="str">
        <f>_xlfn.XLOOKUP(PV_DATA[[#This Row],[New Ark SKU]],Table9[New Ark SKU],Table9[Connector],,0)</f>
        <v>EVO2A</v>
      </c>
      <c r="S831" s="433" t="str">
        <f>_xlfn.XLOOKUP(PV_DATA[[#This Row],[New Ark SKU]],Table9[New Ark SKU],Table9[Cable],,0)</f>
        <v>±1350mm</v>
      </c>
      <c r="T831" s="433">
        <v>515</v>
      </c>
      <c r="U831" s="1096">
        <f>792*3</f>
        <v>2376</v>
      </c>
      <c r="V831" s="434">
        <f>PV_DATA[[#This Row],[QUANTITY]]*PV_DATA[[#This Row],[WATT]]/1000000</f>
        <v>1.2236400000000001</v>
      </c>
      <c r="W831" s="435">
        <f>PV_DATA[[#This Row],[QUANTITY]]/PV_DATA[[#This Row],[Qty/Pallet]]</f>
        <v>66</v>
      </c>
      <c r="X831" s="1040">
        <f>PV_DATA[[#This Row],[QUANTITY]]/PV_DATA[[#This Row],[Qty/CT]]</f>
        <v>3</v>
      </c>
      <c r="Y831" s="430" t="s">
        <v>2463</v>
      </c>
      <c r="Z831" s="430" t="str">
        <f t="shared" si="10"/>
        <v>COMPLETED</v>
      </c>
      <c r="AA831" s="430"/>
      <c r="AB831" s="437">
        <v>46238</v>
      </c>
      <c r="AC831" s="485">
        <f>IF(PV_DATA[[#This Row],[Pick- Up Date]]&lt;&gt;"",_xlfn.ISOWEEKNUM(PV_DATA[[#This Row],[Pick- Up Date]]),"")</f>
        <v>32</v>
      </c>
      <c r="AD831" s="430" t="s">
        <v>5877</v>
      </c>
      <c r="AE831" s="430"/>
      <c r="AF831" s="430" t="s">
        <v>122</v>
      </c>
      <c r="AG831" s="430" t="s">
        <v>123</v>
      </c>
      <c r="AH831" s="430" t="s">
        <v>105</v>
      </c>
      <c r="AI831" s="713">
        <v>46248</v>
      </c>
      <c r="AK831" s="1049">
        <v>46248</v>
      </c>
      <c r="AL831" s="1138">
        <v>46291</v>
      </c>
      <c r="AM831" s="1189">
        <f>IFERROR(VLOOKUP(AT831, Vessel!A:H, 8, FALSE), "")</f>
        <v>46284.875</v>
      </c>
      <c r="AN831" s="588">
        <f>IFERROR(IF(VLOOKUP(AT831,Vessel!A:I,9,FALSE)=0,"",VLOOKUP(AT831,Vessel!A:I,9,FALSE)),"")</f>
        <v>46285.134953703702</v>
      </c>
      <c r="AP831" s="430" t="s">
        <v>5878</v>
      </c>
      <c r="AQ831" s="438" t="s">
        <v>80</v>
      </c>
      <c r="AR831" s="430" t="s">
        <v>5879</v>
      </c>
      <c r="AS831" s="430" t="s">
        <v>5880</v>
      </c>
      <c r="AT831" s="430" t="s">
        <v>5880</v>
      </c>
      <c r="AU8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31" s="437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7">
        <f>IF(ISERROR(PV_DATA[[#This Row],[New Ark PO status]]),"",_xlfn.XLOOKUP(PV_DATA[[#This Row],[SPTN-PVHK New Ark PO'#]],New_Ark_Data[Purchase order Number],New_Ark_Data[Estimated time of arrival],"",0))</f>
        <v>46300</v>
      </c>
      <c r="AZ83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7">
        <f>IFERROR(PV_DATA[[#This Row],[ODP ETA Port]]+PV_DATA[[#This Row],[Customs/Leg3 Assumption]],"n/a")</f>
        <v>46292.134953703702</v>
      </c>
      <c r="BB831" s="433">
        <f>YEAR(PV_DATA[[#This Row],[ETA for New Ark update]])</f>
        <v>2026</v>
      </c>
      <c r="BC831" s="430">
        <f>MONTH(PV_DATA[[#This Row],[ETA for New Ark update]])</f>
        <v>9</v>
      </c>
      <c r="BD831" s="430">
        <f>IFERROR(_xlfn.ISOWEEKNUM(PV_DATA[[#This Row],[ETA for New Ark update]]),0)</f>
        <v>39</v>
      </c>
      <c r="BE831" s="430">
        <f>_xlfn.XLOOKUP(PV_DATA[[#This Row],[New Ark SKU]],Table9[New Ark SKU],Table9[Total PCS per Pallet],,0)</f>
        <v>36</v>
      </c>
      <c r="BF831" s="430">
        <f>_xlfn.XLOOKUP(PV_DATA[[#This Row],[New Ark SKU]],Table9[New Ark SKU],Table9[Total PCS per 40HQ Container],,0)</f>
        <v>792</v>
      </c>
      <c r="BG831" s="430" t="str">
        <f>_xlfn.XLOOKUP(PV_DATA[[#This Row],[New Ark SKU]],Table9[New Ark SKU],Table9[Back Glass],,0)</f>
        <v>Black glazing</v>
      </c>
      <c r="BH831" s="430" t="str">
        <f>_xlfn.XLOOKUP(PV_DATA[[#This Row],[PORT DESTINATION]],Table12[PORT DESTINATION],Table12[Cosco Line],,0)</f>
        <v>AEU</v>
      </c>
      <c r="BJ831" s="430"/>
    </row>
    <row r="832" spans="1:62" ht="10.5">
      <c r="A832" s="462" t="s">
        <v>5881</v>
      </c>
      <c r="B832" s="462" t="s">
        <v>111</v>
      </c>
      <c r="C832" s="462" t="str">
        <f>IFERROR(LEFT(PV_DATA[[#This Row],[TCL REFERENCE]],FIND(".",PV_DATA[[#This Row],[TCL REFERENCE]],1)-1),"Main Line")</f>
        <v>26Jun015</v>
      </c>
      <c r="D832" s="462" t="s">
        <v>63</v>
      </c>
      <c r="E832" s="462" t="s">
        <v>64</v>
      </c>
      <c r="F832" s="462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2" t="s">
        <v>402</v>
      </c>
      <c r="H832" s="462" t="s">
        <v>67</v>
      </c>
      <c r="I832" s="462" t="s">
        <v>882</v>
      </c>
      <c r="J832" s="430" t="s">
        <v>96</v>
      </c>
      <c r="K832" s="430"/>
      <c r="L832" s="430"/>
      <c r="M832" s="430" t="s">
        <v>68</v>
      </c>
      <c r="N832" s="432">
        <v>46202</v>
      </c>
      <c r="O832" s="430" t="s">
        <v>5379</v>
      </c>
      <c r="P832" s="430" t="s">
        <v>5400</v>
      </c>
      <c r="Q832" s="430" t="s">
        <v>5401</v>
      </c>
      <c r="R832" s="430" t="str">
        <f>_xlfn.XLOOKUP(PV_DATA[[#This Row],[New Ark SKU]],Table9[New Ark SKU],Table9[Connector],,0)</f>
        <v>EVO2A</v>
      </c>
      <c r="S832" s="433" t="str">
        <f>_xlfn.XLOOKUP(PV_DATA[[#This Row],[New Ark SKU]],Table9[New Ark SKU],Table9[Cable],,0)</f>
        <v>±1200mm</v>
      </c>
      <c r="T832" s="433">
        <v>465</v>
      </c>
      <c r="U832" s="1096">
        <v>4680</v>
      </c>
      <c r="V832" s="544">
        <f>PV_DATA[[#This Row],[QUANTITY]]*PV_DATA[[#This Row],[WATT]]/1000000</f>
        <v>2.1762000000000001</v>
      </c>
      <c r="W832" s="435">
        <f>PV_DATA[[#This Row],[QUANTITY]]/PV_DATA[[#This Row],[Qty/Pallet]]</f>
        <v>130</v>
      </c>
      <c r="X832" s="1040">
        <f>PV_DATA[[#This Row],[QUANTITY]]/PV_DATA[[#This Row],[Qty/CT]]</f>
        <v>5</v>
      </c>
      <c r="Y832" s="430" t="s">
        <v>2463</v>
      </c>
      <c r="Z832" s="430" t="str">
        <f t="shared" si="10"/>
        <v>COMPLETED</v>
      </c>
      <c r="AA832" s="430" t="s">
        <v>5523</v>
      </c>
      <c r="AB832" s="437">
        <v>46238</v>
      </c>
      <c r="AC832" s="485">
        <f>IF(PV_DATA[[#This Row],[Pick- Up Date]]&lt;&gt;"",_xlfn.ISOWEEKNUM(PV_DATA[[#This Row],[Pick- Up Date]]),"")</f>
        <v>32</v>
      </c>
      <c r="AD832" s="430" t="s">
        <v>5882</v>
      </c>
      <c r="AE832" s="430"/>
      <c r="AF832" s="430" t="s">
        <v>122</v>
      </c>
      <c r="AG832" s="430" t="s">
        <v>123</v>
      </c>
      <c r="AH832" s="430" t="s">
        <v>105</v>
      </c>
      <c r="AI832" s="713">
        <v>46248</v>
      </c>
      <c r="AK832" s="1049">
        <v>46248</v>
      </c>
      <c r="AL832" s="437">
        <v>46291</v>
      </c>
      <c r="AM832" s="588">
        <f>IFERROR(VLOOKUP(AT832, Vessel!A:H, 8, FALSE), "")</f>
        <v>46284.875</v>
      </c>
      <c r="AN832" s="588">
        <f>IFERROR(IF(VLOOKUP(AT832,Vessel!A:I,9,FALSE)=0,"",VLOOKUP(AT832,Vessel!A:I,9,FALSE)),"")</f>
        <v>46285.134953703702</v>
      </c>
      <c r="AP832" s="430" t="s">
        <v>5878</v>
      </c>
      <c r="AQ832" s="430" t="s">
        <v>80</v>
      </c>
      <c r="AR832" s="430" t="s">
        <v>5879</v>
      </c>
      <c r="AS832" s="430" t="s">
        <v>5880</v>
      </c>
      <c r="AT832" s="430" t="s">
        <v>5880</v>
      </c>
      <c r="AU8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32" s="437"/>
      <c r="AW832" s="437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7">
        <f>IF(ISERROR(PV_DATA[[#This Row],[New Ark PO status]]),"",_xlfn.XLOOKUP(PV_DATA[[#This Row],[SPTN-PVHK New Ark PO'#]],New_Ark_Data[Purchase order Number],New_Ark_Data[Estimated time of arrival],"",0))</f>
        <v>46300</v>
      </c>
      <c r="AZ83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7">
        <f>IFERROR(PV_DATA[[#This Row],[ODP ETA Port]]+PV_DATA[[#This Row],[Customs/Leg3 Assumption]],"n/a")</f>
        <v>46292.134953703702</v>
      </c>
      <c r="BB832" s="433">
        <f>YEAR(PV_DATA[[#This Row],[ETA for New Ark update]])</f>
        <v>2026</v>
      </c>
      <c r="BC832" s="430">
        <f>MONTH(PV_DATA[[#This Row],[ETA for New Ark update]])</f>
        <v>9</v>
      </c>
      <c r="BD832" s="430">
        <f>IFERROR(_xlfn.ISOWEEKNUM(PV_DATA[[#This Row],[ETA for New Ark update]]),0)</f>
        <v>39</v>
      </c>
      <c r="BE832" s="430">
        <f>_xlfn.XLOOKUP(PV_DATA[[#This Row],[New Ark SKU]],Table9[New Ark SKU],Table9[Total PCS per Pallet],,0)</f>
        <v>36</v>
      </c>
      <c r="BF832" s="430">
        <f>_xlfn.XLOOKUP(PV_DATA[[#This Row],[New Ark SKU]],Table9[New Ark SKU],Table9[Total PCS per 40HQ Container],,0)</f>
        <v>936</v>
      </c>
      <c r="BG832" s="430" t="str">
        <f>_xlfn.XLOOKUP(PV_DATA[[#This Row],[New Ark SKU]],Table9[New Ark SKU],Table9[Back Glass],,0)</f>
        <v>Black glazing</v>
      </c>
      <c r="BH832" s="610" t="str">
        <f>_xlfn.XLOOKUP(PV_DATA[[#This Row],[PORT DESTINATION]],Table12[PORT DESTINATION],Table12[Cosco Line],,0)</f>
        <v>AEU</v>
      </c>
      <c r="BJ832" s="430"/>
    </row>
    <row r="833" spans="1:60" s="462" customFormat="1" ht="10.5">
      <c r="A833" s="462" t="s">
        <v>5883</v>
      </c>
      <c r="B833" s="462" t="s">
        <v>111</v>
      </c>
      <c r="C833" s="462" t="str">
        <f>IFERROR(LEFT(PV_DATA[[#This Row],[TCL REFERENCE]],FIND(".",PV_DATA[[#This Row],[TCL REFERENCE]],1)-1),"Main Line")</f>
        <v>26Jun015</v>
      </c>
      <c r="D833" s="462" t="s">
        <v>63</v>
      </c>
      <c r="E833" s="462" t="s">
        <v>64</v>
      </c>
      <c r="F833" s="462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2" t="s">
        <v>402</v>
      </c>
      <c r="H833" s="462" t="s">
        <v>67</v>
      </c>
      <c r="I833" s="462" t="s">
        <v>882</v>
      </c>
      <c r="J833" s="462" t="s">
        <v>96</v>
      </c>
      <c r="M833" s="462" t="s">
        <v>68</v>
      </c>
      <c r="N833" s="712">
        <v>46202</v>
      </c>
      <c r="O833" s="462" t="s">
        <v>5379</v>
      </c>
      <c r="P833" s="462" t="s">
        <v>5400</v>
      </c>
      <c r="Q833" s="462" t="s">
        <v>5401</v>
      </c>
      <c r="R833" s="430" t="str">
        <f>_xlfn.XLOOKUP(PV_DATA[[#This Row],[New Ark SKU]],Table9[New Ark SKU],Table9[Connector],,0)</f>
        <v>EVO2A</v>
      </c>
      <c r="S833" s="433" t="str">
        <f>_xlfn.XLOOKUP(PV_DATA[[#This Row],[New Ark SKU]],Table9[New Ark SKU],Table9[Cable],,0)</f>
        <v>±1200mm</v>
      </c>
      <c r="T833" s="946">
        <v>465</v>
      </c>
      <c r="U833" s="1095">
        <f>936*3</f>
        <v>2808</v>
      </c>
      <c r="V833" s="458">
        <f>PV_DATA[[#This Row],[QUANTITY]]*PV_DATA[[#This Row],[WATT]]/1000000</f>
        <v>1.30572</v>
      </c>
      <c r="W833" s="714">
        <f>PV_DATA[[#This Row],[QUANTITY]]/PV_DATA[[#This Row],[Qty/Pallet]]</f>
        <v>78</v>
      </c>
      <c r="X833" s="1042">
        <f>PV_DATA[[#This Row],[QUANTITY]]/PV_DATA[[#This Row],[Qty/CT]]</f>
        <v>3</v>
      </c>
      <c r="Y833" s="462" t="s">
        <v>2463</v>
      </c>
      <c r="Z833" s="462" t="str">
        <f t="shared" si="10"/>
        <v>COMPLETED</v>
      </c>
      <c r="AA833" s="462" t="s">
        <v>5523</v>
      </c>
      <c r="AB833" s="713">
        <v>46237</v>
      </c>
      <c r="AC833" s="947">
        <f>IF(PV_DATA[[#This Row],[Pick- Up Date]]&lt;&gt;"",_xlfn.ISOWEEKNUM(PV_DATA[[#This Row],[Pick- Up Date]]),"")</f>
        <v>32</v>
      </c>
      <c r="AD833" s="462" t="s">
        <v>5884</v>
      </c>
      <c r="AF833" s="462" t="s">
        <v>122</v>
      </c>
      <c r="AG833" s="462" t="s">
        <v>123</v>
      </c>
      <c r="AH833" s="462" t="s">
        <v>105</v>
      </c>
      <c r="AI833" s="713">
        <v>46244</v>
      </c>
      <c r="AJ833" s="713"/>
      <c r="AK833" s="437">
        <f>IFERROR(IF(VLOOKUP(AT833,Vessel!A:F,5,FALSE)=0,"",VLOOKUP(AT833,Vessel!A:F,5,FALSE)),"")</f>
        <v>46249.754317129627</v>
      </c>
      <c r="AL833" s="713">
        <v>46281</v>
      </c>
      <c r="AM833" s="949">
        <f>IFERROR(VLOOKUP(AT833, Vessel!A:H, 8, FALSE), "")</f>
        <v>46299.75</v>
      </c>
      <c r="AN833" s="949">
        <v>46300</v>
      </c>
      <c r="AP833" s="462" t="s">
        <v>5885</v>
      </c>
      <c r="AQ833" s="950" t="s">
        <v>80</v>
      </c>
      <c r="AR833" s="462" t="s">
        <v>5886</v>
      </c>
      <c r="AS833" s="462" t="s">
        <v>5887</v>
      </c>
      <c r="AT833" s="462" t="s">
        <v>5887</v>
      </c>
      <c r="AU8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50.245682870372548</v>
      </c>
      <c r="AW833" s="713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3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13">
        <f>IF(ISERROR(PV_DATA[[#This Row],[New Ark PO status]]),"",_xlfn.XLOOKUP(PV_DATA[[#This Row],[SPTN-PVHK New Ark PO'#]],New_Ark_Data[Purchase order Number],New_Ark_Data[Estimated time of arrival],"",0))</f>
        <v>46288</v>
      </c>
      <c r="AZ833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13">
        <f>IFERROR(PV_DATA[[#This Row],[ODP ETA Port]]+PV_DATA[[#This Row],[Customs/Leg3 Assumption]],"n/a")</f>
        <v>46307</v>
      </c>
      <c r="BB833" s="946">
        <f>YEAR(PV_DATA[[#This Row],[ETA for New Ark update]])</f>
        <v>2026</v>
      </c>
      <c r="BC833" s="462">
        <f>MONTH(PV_DATA[[#This Row],[ETA for New Ark update]])</f>
        <v>10</v>
      </c>
      <c r="BD833" s="462">
        <f>IFERROR(_xlfn.ISOWEEKNUM(PV_DATA[[#This Row],[ETA for New Ark update]]),0)</f>
        <v>42</v>
      </c>
      <c r="BE833" s="462">
        <f>_xlfn.XLOOKUP(PV_DATA[[#This Row],[New Ark SKU]],Table9[New Ark SKU],Table9[Total PCS per Pallet],,0)</f>
        <v>36</v>
      </c>
      <c r="BF833" s="462">
        <f>_xlfn.XLOOKUP(PV_DATA[[#This Row],[New Ark SKU]],Table9[New Ark SKU],Table9[Total PCS per 40HQ Container],,0)</f>
        <v>936</v>
      </c>
      <c r="BG833" s="462" t="str">
        <f>_xlfn.XLOOKUP(PV_DATA[[#This Row],[New Ark SKU]],Table9[New Ark SKU],Table9[Back Glass],,0)</f>
        <v>Black glazing</v>
      </c>
      <c r="BH833" s="462" t="str">
        <f>_xlfn.XLOOKUP(PV_DATA[[#This Row],[PORT DESTINATION]],Table12[PORT DESTINATION],Table12[Cosco Line],,0)</f>
        <v>AEU</v>
      </c>
    </row>
    <row r="834" spans="1:60" s="462" customFormat="1" ht="10.5">
      <c r="A834" s="462" t="s">
        <v>5888</v>
      </c>
      <c r="B834" s="462" t="s">
        <v>111</v>
      </c>
      <c r="C834" s="462" t="str">
        <f>IFERROR(LEFT(PV_DATA[[#This Row],[TCL REFERENCE]],FIND(".",PV_DATA[[#This Row],[TCL REFERENCE]],1)-1),"Main Line")</f>
        <v>26Jul002</v>
      </c>
      <c r="D834" s="462" t="s">
        <v>63</v>
      </c>
      <c r="E834" s="462" t="s">
        <v>64</v>
      </c>
      <c r="F834" s="462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2" t="s">
        <v>402</v>
      </c>
      <c r="H834" s="462" t="s">
        <v>67</v>
      </c>
      <c r="I834" s="462" t="s">
        <v>882</v>
      </c>
      <c r="J834" s="462" t="s">
        <v>96</v>
      </c>
      <c r="M834" s="462" t="s">
        <v>68</v>
      </c>
      <c r="N834" s="712">
        <v>46209</v>
      </c>
      <c r="O834" s="462" t="s">
        <v>550</v>
      </c>
      <c r="P834" s="462" t="s">
        <v>2134</v>
      </c>
      <c r="Q834" s="462" t="s">
        <v>2135</v>
      </c>
      <c r="R834" s="430" t="str">
        <f>_xlfn.XLOOKUP(PV_DATA[[#This Row],[New Ark SKU]],Table9[New Ark SKU],Table9[Connector],,0)</f>
        <v>EVO2A</v>
      </c>
      <c r="S834" s="433" t="str">
        <f>_xlfn.XLOOKUP(PV_DATA[[#This Row],[New Ark SKU]],Table9[New Ark SKU],Table9[Cable],,0)</f>
        <v>±1350mm</v>
      </c>
      <c r="T834" s="946">
        <v>515</v>
      </c>
      <c r="U834" s="1095">
        <v>1584</v>
      </c>
      <c r="V834" s="458">
        <f>PV_DATA[[#This Row],[QUANTITY]]*PV_DATA[[#This Row],[WATT]]/1000000</f>
        <v>0.81576000000000004</v>
      </c>
      <c r="W834" s="714">
        <f>PV_DATA[[#This Row],[QUANTITY]]/PV_DATA[[#This Row],[Qty/Pallet]]</f>
        <v>44</v>
      </c>
      <c r="X834" s="1042">
        <f>PV_DATA[[#This Row],[QUANTITY]]/PV_DATA[[#This Row],[Qty/CT]]</f>
        <v>2</v>
      </c>
      <c r="Y834" s="462" t="s">
        <v>2461</v>
      </c>
      <c r="Z834" s="462" t="str">
        <f t="shared" si="10"/>
        <v>COMPLETED</v>
      </c>
      <c r="AB834" s="713">
        <v>46237</v>
      </c>
      <c r="AC834" s="947">
        <f>IF(PV_DATA[[#This Row],[Pick- Up Date]]&lt;&gt;"",_xlfn.ISOWEEKNUM(PV_DATA[[#This Row],[Pick- Up Date]]),"")</f>
        <v>32</v>
      </c>
      <c r="AD834" s="462" t="s">
        <v>5889</v>
      </c>
      <c r="AF834" s="462" t="s">
        <v>122</v>
      </c>
      <c r="AG834" s="462" t="s">
        <v>123</v>
      </c>
      <c r="AH834" s="462" t="s">
        <v>105</v>
      </c>
      <c r="AI834" s="713">
        <v>46244</v>
      </c>
      <c r="AJ834" s="713"/>
      <c r="AK834" s="437">
        <f>IFERROR(IF(VLOOKUP(AT834,Vessel!A:F,5,FALSE)=0,"",VLOOKUP(AT834,Vessel!A:F,5,FALSE)),"")</f>
        <v>46249.754317129627</v>
      </c>
      <c r="AL834" s="1036">
        <v>46281</v>
      </c>
      <c r="AM834" s="1192">
        <f>IFERROR(VLOOKUP(AT834, Vessel!A:H, 8, FALSE), "")</f>
        <v>46299.75</v>
      </c>
      <c r="AN834" s="949">
        <v>46300</v>
      </c>
      <c r="AP834" s="462" t="s">
        <v>5885</v>
      </c>
      <c r="AQ834" s="950" t="s">
        <v>80</v>
      </c>
      <c r="AR834" s="462" t="s">
        <v>5886</v>
      </c>
      <c r="AS834" s="462" t="s">
        <v>5887</v>
      </c>
      <c r="AT834" s="462" t="s">
        <v>5887</v>
      </c>
      <c r="AU8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50.245682870372548</v>
      </c>
      <c r="AW834" s="713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3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13">
        <f>IF(ISERROR(PV_DATA[[#This Row],[New Ark PO status]]),"",_xlfn.XLOOKUP(PV_DATA[[#This Row],[SPTN-PVHK New Ark PO'#]],New_Ark_Data[Purchase order Number],New_Ark_Data[Estimated time of arrival],"",0))</f>
        <v>46309</v>
      </c>
      <c r="AZ834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13">
        <f>IFERROR(PV_DATA[[#This Row],[ODP ETA Port]]+PV_DATA[[#This Row],[Customs/Leg3 Assumption]],"n/a")</f>
        <v>46307</v>
      </c>
      <c r="BB834" s="946">
        <f>YEAR(PV_DATA[[#This Row],[ETA for New Ark update]])</f>
        <v>2026</v>
      </c>
      <c r="BC834" s="462">
        <f>MONTH(PV_DATA[[#This Row],[ETA for New Ark update]])</f>
        <v>10</v>
      </c>
      <c r="BD834" s="462">
        <f>IFERROR(_xlfn.ISOWEEKNUM(PV_DATA[[#This Row],[ETA for New Ark update]]),0)</f>
        <v>42</v>
      </c>
      <c r="BE834" s="462">
        <f>_xlfn.XLOOKUP(PV_DATA[[#This Row],[New Ark SKU]],Table9[New Ark SKU],Table9[Total PCS per Pallet],,0)</f>
        <v>36</v>
      </c>
      <c r="BF834" s="462">
        <f>_xlfn.XLOOKUP(PV_DATA[[#This Row],[New Ark SKU]],Table9[New Ark SKU],Table9[Total PCS per 40HQ Container],,0)</f>
        <v>792</v>
      </c>
      <c r="BG834" s="462" t="str">
        <f>_xlfn.XLOOKUP(PV_DATA[[#This Row],[New Ark SKU]],Table9[New Ark SKU],Table9[Back Glass],,0)</f>
        <v>Black glazing</v>
      </c>
      <c r="BH834" s="462" t="str">
        <f>_xlfn.XLOOKUP(PV_DATA[[#This Row],[PORT DESTINATION]],Table12[PORT DESTINATION],Table12[Cosco Line],,0)</f>
        <v>AEU</v>
      </c>
    </row>
    <row r="835" spans="1:60" s="996" customFormat="1" ht="10.5">
      <c r="A835" s="996" t="s">
        <v>5890</v>
      </c>
      <c r="B835" s="996" t="s">
        <v>111</v>
      </c>
      <c r="C835" s="996" t="str">
        <f>IFERROR(LEFT(PV_DATA[[#This Row],[TCL REFERENCE]],FIND(".",PV_DATA[[#This Row],[TCL REFERENCE]],1)-1),"Main Line")</f>
        <v>26May012</v>
      </c>
      <c r="D835" s="996" t="s">
        <v>63</v>
      </c>
      <c r="E835" s="462" t="s">
        <v>144</v>
      </c>
      <c r="F835" s="996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5" s="996" t="s">
        <v>402</v>
      </c>
      <c r="H835" s="997" t="s">
        <v>670</v>
      </c>
      <c r="I835" s="996" t="s">
        <v>882</v>
      </c>
      <c r="J835" s="996" t="s">
        <v>5891</v>
      </c>
      <c r="K835" s="996" t="s">
        <v>5892</v>
      </c>
      <c r="L835" s="996">
        <v>24</v>
      </c>
      <c r="M835" s="996" t="s">
        <v>4967</v>
      </c>
      <c r="N835" s="998">
        <v>46167</v>
      </c>
      <c r="O835" s="996" t="s">
        <v>4531</v>
      </c>
      <c r="P835" s="996" t="s">
        <v>4597</v>
      </c>
      <c r="Q835" s="996" t="s">
        <v>4598</v>
      </c>
      <c r="R835" s="430" t="str">
        <f>_xlfn.XLOOKUP(PV_DATA[[#This Row],[New Ark SKU]],Table9[New Ark SKU],Table9[Connector],,0)</f>
        <v>H4(Com)</v>
      </c>
      <c r="S835" s="433" t="str">
        <f>_xlfn.XLOOKUP(PV_DATA[[#This Row],[New Ark SKU]],Table9[New Ark SKU],Table9[Cable],,0)</f>
        <v>+400mm/-200mm</v>
      </c>
      <c r="T835" s="999">
        <v>630</v>
      </c>
      <c r="U835" s="1099">
        <v>2160</v>
      </c>
      <c r="V835" s="1000">
        <f>PV_DATA[[#This Row],[QUANTITY]]*PV_DATA[[#This Row],[WATT]]/1000000</f>
        <v>1.3608</v>
      </c>
      <c r="W835" s="1001">
        <f>PV_DATA[[#This Row],[QUANTITY]]/PV_DATA[[#This Row],[Qty/Pallet]]</f>
        <v>60</v>
      </c>
      <c r="X835" s="1043">
        <f>PV_DATA[[#This Row],[QUANTITY]]/PV_DATA[[#This Row],[Qty/CT]]</f>
        <v>3</v>
      </c>
      <c r="Y835" s="996" t="s">
        <v>2463</v>
      </c>
      <c r="Z835" s="996" t="str">
        <f t="shared" si="10"/>
        <v>COMPLETED</v>
      </c>
      <c r="AA835" s="996" t="s">
        <v>5394</v>
      </c>
      <c r="AB835" s="997">
        <v>46238</v>
      </c>
      <c r="AC835" s="1002">
        <f>IF(PV_DATA[[#This Row],[Pick- Up Date]]&lt;&gt;"",_xlfn.ISOWEEKNUM(PV_DATA[[#This Row],[Pick- Up Date]]),"")</f>
        <v>32</v>
      </c>
      <c r="AD835" s="996" t="s">
        <v>5893</v>
      </c>
      <c r="AF835" s="996" t="s">
        <v>122</v>
      </c>
      <c r="AG835" s="996" t="s">
        <v>123</v>
      </c>
      <c r="AH835" s="996" t="s">
        <v>105</v>
      </c>
      <c r="AI835" s="997">
        <v>46237</v>
      </c>
      <c r="AJ835" s="997">
        <v>46240</v>
      </c>
      <c r="AK835" s="437">
        <v>46240</v>
      </c>
      <c r="AL835" s="997">
        <v>46274</v>
      </c>
      <c r="AM835" s="997">
        <v>46284</v>
      </c>
      <c r="AN835" s="997">
        <v>46287</v>
      </c>
      <c r="AP835" s="996" t="s">
        <v>5718</v>
      </c>
      <c r="AQ835" s="996" t="s">
        <v>161</v>
      </c>
      <c r="AR835" s="996" t="s">
        <v>5894</v>
      </c>
      <c r="AS835" s="996" t="s">
        <v>5895</v>
      </c>
      <c r="AT835" s="996" t="s">
        <v>5896</v>
      </c>
      <c r="AU8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5" s="997"/>
      <c r="AW835" s="997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5" s="99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5" s="997">
        <f>IF(ISERROR(PV_DATA[[#This Row],[New Ark PO status]]),"",_xlfn.XLOOKUP(PV_DATA[[#This Row],[SPTN-PVHK New Ark PO'#]],New_Ark_Data[Purchase order Number],New_Ark_Data[Estimated time of arrival],"",0))</f>
        <v>46276</v>
      </c>
      <c r="AZ835" s="99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5" s="997">
        <f>IFERROR(PV_DATA[[#This Row],[ODP ETA Port]]+PV_DATA[[#This Row],[Customs/Leg3 Assumption]],"n/a")</f>
        <v>46287</v>
      </c>
      <c r="BB835" s="999">
        <f>YEAR(PV_DATA[[#This Row],[ETA for New Ark update]])</f>
        <v>2026</v>
      </c>
      <c r="BC835" s="996">
        <f>MONTH(PV_DATA[[#This Row],[ETA for New Ark update]])</f>
        <v>9</v>
      </c>
      <c r="BD835" s="996">
        <f>IFERROR(_xlfn.ISOWEEKNUM(PV_DATA[[#This Row],[ETA for New Ark update]]),0)</f>
        <v>39</v>
      </c>
      <c r="BE835" s="996">
        <f>_xlfn.XLOOKUP(PV_DATA[[#This Row],[New Ark SKU]],Table9[New Ark SKU],Table9[Total PCS per Pallet],,0)</f>
        <v>36</v>
      </c>
      <c r="BF835" s="996">
        <f>_xlfn.XLOOKUP(PV_DATA[[#This Row],[New Ark SKU]],Table9[New Ark SKU],Table9[Total PCS per 40HQ Container],,0)</f>
        <v>720</v>
      </c>
      <c r="BG835" s="996" t="str">
        <f>_xlfn.XLOOKUP(PV_DATA[[#This Row],[New Ark SKU]],Table9[New Ark SKU],Table9[Back Glass],,0)</f>
        <v>Transparent</v>
      </c>
      <c r="BH835" s="996" t="str">
        <f>_xlfn.XLOOKUP(PV_DATA[[#This Row],[PORT DESTINATION]],Table12[PORT DESTINATION],Table12[Cosco Line],,0)</f>
        <v>AEU</v>
      </c>
    </row>
    <row r="836" spans="1:60" s="462" customFormat="1" ht="10.5">
      <c r="A836" s="462" t="s">
        <v>5897</v>
      </c>
      <c r="B836" s="462" t="s">
        <v>111</v>
      </c>
      <c r="C836" s="462" t="str">
        <f>IFERROR(LEFT(PV_DATA[[#This Row],[TCL REFERENCE]],FIND(".",PV_DATA[[#This Row],[TCL REFERENCE]],1)-1),"Main Line")</f>
        <v>26May011</v>
      </c>
      <c r="D836" s="462" t="s">
        <v>63</v>
      </c>
      <c r="E836" s="462" t="s">
        <v>64</v>
      </c>
      <c r="F836" s="462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2" t="s">
        <v>402</v>
      </c>
      <c r="H836" s="713" t="s">
        <v>67</v>
      </c>
      <c r="I836" s="462" t="s">
        <v>689</v>
      </c>
      <c r="J836" s="462" t="s">
        <v>5898</v>
      </c>
      <c r="M836" s="462" t="s">
        <v>68</v>
      </c>
      <c r="N836" s="712">
        <v>46167</v>
      </c>
      <c r="O836" s="462" t="s">
        <v>4531</v>
      </c>
      <c r="P836" s="462" t="s">
        <v>4592</v>
      </c>
      <c r="Q836" s="462" t="s">
        <v>330</v>
      </c>
      <c r="R836" s="430" t="str">
        <f>_xlfn.XLOOKUP(PV_DATA[[#This Row],[New Ark SKU]],Table9[New Ark SKU],Table9[Connector],,0)</f>
        <v>H4(Com)</v>
      </c>
      <c r="S836" s="433" t="str">
        <f>_xlfn.XLOOKUP(PV_DATA[[#This Row],[New Ark SKU]],Table9[New Ark SKU],Table9[Cable],,0)</f>
        <v>+400mm/-200mm</v>
      </c>
      <c r="T836" s="946">
        <v>625</v>
      </c>
      <c r="U836" s="1095">
        <f>720*2</f>
        <v>1440</v>
      </c>
      <c r="V836" s="969">
        <f>PV_DATA[[#This Row],[QUANTITY]]*PV_DATA[[#This Row],[WATT]]/1000000</f>
        <v>0.9</v>
      </c>
      <c r="W836" s="714">
        <f>PV_DATA[[#This Row],[QUANTITY]]/PV_DATA[[#This Row],[Qty/Pallet]]</f>
        <v>40</v>
      </c>
      <c r="X836" s="1042">
        <f>PV_DATA[[#This Row],[QUANTITY]]/PV_DATA[[#This Row],[Qty/CT]]</f>
        <v>2</v>
      </c>
      <c r="Y836" s="462" t="s">
        <v>2458</v>
      </c>
      <c r="Z836" s="462" t="str">
        <f t="shared" si="10"/>
        <v>COMPLETED</v>
      </c>
      <c r="AA836" s="462" t="s">
        <v>5394</v>
      </c>
      <c r="AB836" s="713">
        <v>46238</v>
      </c>
      <c r="AC836" s="947">
        <f>IF(PV_DATA[[#This Row],[Pick- Up Date]]&lt;&gt;"",_xlfn.ISOWEEKNUM(PV_DATA[[#This Row],[Pick- Up Date]]),"")</f>
        <v>32</v>
      </c>
      <c r="AD836" s="462" t="s">
        <v>5899</v>
      </c>
      <c r="AF836" s="462" t="s">
        <v>122</v>
      </c>
      <c r="AG836" s="462" t="s">
        <v>123</v>
      </c>
      <c r="AH836" s="462" t="s">
        <v>105</v>
      </c>
      <c r="AI836" s="713">
        <v>46237</v>
      </c>
      <c r="AJ836" s="713">
        <v>46240</v>
      </c>
      <c r="AK836" s="437">
        <v>46240</v>
      </c>
      <c r="AL836" s="713">
        <v>46274</v>
      </c>
      <c r="AM836" s="713">
        <v>46284</v>
      </c>
      <c r="AN836" s="949">
        <v>46287</v>
      </c>
      <c r="AP836" s="462" t="s">
        <v>5718</v>
      </c>
      <c r="AQ836" s="462" t="s">
        <v>161</v>
      </c>
      <c r="AR836" s="462" t="s">
        <v>5900</v>
      </c>
      <c r="AS836" s="462" t="s">
        <v>5896</v>
      </c>
      <c r="AT836" s="462" t="s">
        <v>5896</v>
      </c>
      <c r="AU8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6" s="713"/>
      <c r="AW836" s="713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13">
        <f>IF(ISERROR(PV_DATA[[#This Row],[New Ark PO status]]),"",_xlfn.XLOOKUP(PV_DATA[[#This Row],[SPTN-PVHK New Ark PO'#]],New_Ark_Data[Purchase order Number],New_Ark_Data[Estimated time of arrival],"",0))</f>
        <v>46295</v>
      </c>
      <c r="AZ836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13">
        <f>IFERROR(PV_DATA[[#This Row],[ODP ETA Port]]+PV_DATA[[#This Row],[Customs/Leg3 Assumption]],"n/a")</f>
        <v>46294</v>
      </c>
      <c r="BB836" s="946">
        <f>YEAR(PV_DATA[[#This Row],[ETA for New Ark update]])</f>
        <v>2026</v>
      </c>
      <c r="BC836" s="462">
        <f>MONTH(PV_DATA[[#This Row],[ETA for New Ark update]])</f>
        <v>9</v>
      </c>
      <c r="BD836" s="462">
        <f>IFERROR(_xlfn.ISOWEEKNUM(PV_DATA[[#This Row],[ETA for New Ark update]]),0)</f>
        <v>40</v>
      </c>
      <c r="BE836" s="462">
        <f>_xlfn.XLOOKUP(PV_DATA[[#This Row],[New Ark SKU]],Table9[New Ark SKU],Table9[Total PCS per Pallet],,0)</f>
        <v>36</v>
      </c>
      <c r="BF836" s="462">
        <f>_xlfn.XLOOKUP(PV_DATA[[#This Row],[New Ark SKU]],Table9[New Ark SKU],Table9[Total PCS per 40HQ Container],,0)</f>
        <v>720</v>
      </c>
      <c r="BG836" s="462" t="str">
        <f>_xlfn.XLOOKUP(PV_DATA[[#This Row],[New Ark SKU]],Table9[New Ark SKU],Table9[Back Glass],,0)</f>
        <v>Transparent</v>
      </c>
      <c r="BH836" s="462" t="str">
        <f>_xlfn.XLOOKUP(PV_DATA[[#This Row],[PORT DESTINATION]],Table12[PORT DESTINATION],Table12[Cosco Line],,0)</f>
        <v>AEU</v>
      </c>
    </row>
    <row r="837" spans="1:60" s="996" customFormat="1" ht="10.5">
      <c r="A837" s="996" t="s">
        <v>5901</v>
      </c>
      <c r="B837" s="996" t="s">
        <v>111</v>
      </c>
      <c r="C837" s="996" t="str">
        <f>IFERROR(LEFT(PV_DATA[[#This Row],[TCL REFERENCE]],FIND(".",PV_DATA[[#This Row],[TCL REFERENCE]],1)-1),"Main Line")</f>
        <v>26May012</v>
      </c>
      <c r="D837" s="996" t="s">
        <v>63</v>
      </c>
      <c r="E837" s="462" t="s">
        <v>144</v>
      </c>
      <c r="F837" s="996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7" s="996" t="s">
        <v>402</v>
      </c>
      <c r="H837" s="997" t="s">
        <v>670</v>
      </c>
      <c r="I837" s="996" t="s">
        <v>882</v>
      </c>
      <c r="J837" s="996" t="s">
        <v>5891</v>
      </c>
      <c r="K837" s="996" t="s">
        <v>5892</v>
      </c>
      <c r="L837" s="996">
        <v>25</v>
      </c>
      <c r="M837" s="996" t="s">
        <v>4967</v>
      </c>
      <c r="N837" s="998">
        <v>46167</v>
      </c>
      <c r="O837" s="996" t="s">
        <v>4531</v>
      </c>
      <c r="P837" s="996" t="s">
        <v>4597</v>
      </c>
      <c r="Q837" s="996" t="s">
        <v>4598</v>
      </c>
      <c r="R837" s="430" t="str">
        <f>_xlfn.XLOOKUP(PV_DATA[[#This Row],[New Ark SKU]],Table9[New Ark SKU],Table9[Connector],,0)</f>
        <v>H4(Com)</v>
      </c>
      <c r="S837" s="433" t="str">
        <f>_xlfn.XLOOKUP(PV_DATA[[#This Row],[New Ark SKU]],Table9[New Ark SKU],Table9[Cable],,0)</f>
        <v>+400mm/-200mm</v>
      </c>
      <c r="T837" s="999">
        <v>630</v>
      </c>
      <c r="U837" s="1099">
        <f>720*3</f>
        <v>2160</v>
      </c>
      <c r="V837" s="1000">
        <f>PV_DATA[[#This Row],[QUANTITY]]*PV_DATA[[#This Row],[WATT]]/1000000</f>
        <v>1.3608</v>
      </c>
      <c r="W837" s="1001">
        <f>PV_DATA[[#This Row],[QUANTITY]]/PV_DATA[[#This Row],[Qty/Pallet]]</f>
        <v>60</v>
      </c>
      <c r="X837" s="1043">
        <f>PV_DATA[[#This Row],[QUANTITY]]/PV_DATA[[#This Row],[Qty/CT]]</f>
        <v>3</v>
      </c>
      <c r="Y837" s="996" t="s">
        <v>2463</v>
      </c>
      <c r="Z837" s="996" t="str">
        <f t="shared" si="10"/>
        <v>COMPLETED</v>
      </c>
      <c r="AA837" s="996" t="s">
        <v>5394</v>
      </c>
      <c r="AB837" s="997">
        <v>46238</v>
      </c>
      <c r="AC837" s="1002">
        <f>IF(PV_DATA[[#This Row],[Pick- Up Date]]&lt;&gt;"",_xlfn.ISOWEEKNUM(PV_DATA[[#This Row],[Pick- Up Date]]),"")</f>
        <v>32</v>
      </c>
      <c r="AD837" s="996" t="s">
        <v>5902</v>
      </c>
      <c r="AF837" s="996" t="s">
        <v>122</v>
      </c>
      <c r="AG837" s="996" t="s">
        <v>123</v>
      </c>
      <c r="AH837" s="996" t="s">
        <v>105</v>
      </c>
      <c r="AI837" s="997">
        <v>46237</v>
      </c>
      <c r="AJ837" s="997">
        <v>46240</v>
      </c>
      <c r="AK837" s="437">
        <v>46240</v>
      </c>
      <c r="AL837" s="997">
        <v>46274</v>
      </c>
      <c r="AM837" s="997">
        <v>46284</v>
      </c>
      <c r="AN837" s="997">
        <v>46287</v>
      </c>
      <c r="AP837" s="996" t="s">
        <v>5718</v>
      </c>
      <c r="AQ837" s="996" t="s">
        <v>161</v>
      </c>
      <c r="AR837" s="996" t="s">
        <v>5894</v>
      </c>
      <c r="AS837" s="996" t="s">
        <v>5895</v>
      </c>
      <c r="AT837" s="996" t="s">
        <v>5896</v>
      </c>
      <c r="AU8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7" s="997"/>
      <c r="AW837" s="997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7" s="99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7" s="997" t="str">
        <f>IF(ISERROR(PV_DATA[[#This Row],[New Ark PO status]]),"",_xlfn.XLOOKUP(PV_DATA[[#This Row],[SPTN-PVHK New Ark PO'#]],New_Ark_Data[Purchase order Number],New_Ark_Data[Estimated time of arrival],"",0))</f>
        <v/>
      </c>
      <c r="AZ837" s="99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7" s="997">
        <f>IFERROR(PV_DATA[[#This Row],[ODP ETA Port]]+PV_DATA[[#This Row],[Customs/Leg3 Assumption]],"n/a")</f>
        <v>46287</v>
      </c>
      <c r="BB837" s="999">
        <f>YEAR(PV_DATA[[#This Row],[ETA for New Ark update]])</f>
        <v>2026</v>
      </c>
      <c r="BC837" s="996">
        <f>MONTH(PV_DATA[[#This Row],[ETA for New Ark update]])</f>
        <v>9</v>
      </c>
      <c r="BD837" s="996">
        <f>IFERROR(_xlfn.ISOWEEKNUM(PV_DATA[[#This Row],[ETA for New Ark update]]),0)</f>
        <v>39</v>
      </c>
      <c r="BE837" s="996">
        <f>_xlfn.XLOOKUP(PV_DATA[[#This Row],[New Ark SKU]],Table9[New Ark SKU],Table9[Total PCS per Pallet],,0)</f>
        <v>36</v>
      </c>
      <c r="BF837" s="996">
        <f>_xlfn.XLOOKUP(PV_DATA[[#This Row],[New Ark SKU]],Table9[New Ark SKU],Table9[Total PCS per 40HQ Container],,0)</f>
        <v>720</v>
      </c>
      <c r="BG837" s="996" t="str">
        <f>_xlfn.XLOOKUP(PV_DATA[[#This Row],[New Ark SKU]],Table9[New Ark SKU],Table9[Back Glass],,0)</f>
        <v>Transparent</v>
      </c>
      <c r="BH837" s="996" t="str">
        <f>_xlfn.XLOOKUP(PV_DATA[[#This Row],[PORT DESTINATION]],Table12[PORT DESTINATION],Table12[Cosco Line],,0)</f>
        <v>AEU</v>
      </c>
    </row>
    <row r="838" spans="1:60" s="996" customFormat="1" ht="10.5">
      <c r="A838" s="996" t="s">
        <v>5903</v>
      </c>
      <c r="B838" s="996" t="s">
        <v>111</v>
      </c>
      <c r="C838" s="996" t="str">
        <f>IFERROR(LEFT(PV_DATA[[#This Row],[TCL REFERENCE]],FIND(".",PV_DATA[[#This Row],[TCL REFERENCE]],1)-1),"Main Line")</f>
        <v>26May012</v>
      </c>
      <c r="D838" s="996" t="s">
        <v>63</v>
      </c>
      <c r="E838" s="462" t="s">
        <v>144</v>
      </c>
      <c r="F838" s="996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8" s="996" t="s">
        <v>402</v>
      </c>
      <c r="H838" s="997" t="s">
        <v>670</v>
      </c>
      <c r="I838" s="996" t="s">
        <v>882</v>
      </c>
      <c r="J838" s="996" t="s">
        <v>5891</v>
      </c>
      <c r="K838" s="996" t="s">
        <v>5892</v>
      </c>
      <c r="L838" s="996">
        <v>26</v>
      </c>
      <c r="M838" s="996" t="s">
        <v>4967</v>
      </c>
      <c r="N838" s="998">
        <v>46167</v>
      </c>
      <c r="O838" s="996" t="s">
        <v>4531</v>
      </c>
      <c r="P838" s="996" t="s">
        <v>4597</v>
      </c>
      <c r="Q838" s="996" t="s">
        <v>4598</v>
      </c>
      <c r="R838" s="430" t="str">
        <f>_xlfn.XLOOKUP(PV_DATA[[#This Row],[New Ark SKU]],Table9[New Ark SKU],Table9[Connector],,0)</f>
        <v>H4(Com)</v>
      </c>
      <c r="S838" s="433" t="str">
        <f>_xlfn.XLOOKUP(PV_DATA[[#This Row],[New Ark SKU]],Table9[New Ark SKU],Table9[Cable],,0)</f>
        <v>+400mm/-200mm</v>
      </c>
      <c r="T838" s="999">
        <v>630</v>
      </c>
      <c r="U838" s="1099">
        <f>720*2</f>
        <v>1440</v>
      </c>
      <c r="V838" s="1000">
        <f>PV_DATA[[#This Row],[QUANTITY]]*PV_DATA[[#This Row],[WATT]]/1000000</f>
        <v>0.90720000000000001</v>
      </c>
      <c r="W838" s="1001">
        <f>PV_DATA[[#This Row],[QUANTITY]]/PV_DATA[[#This Row],[Qty/Pallet]]</f>
        <v>40</v>
      </c>
      <c r="X838" s="1043">
        <f>PV_DATA[[#This Row],[QUANTITY]]/PV_DATA[[#This Row],[Qty/CT]]</f>
        <v>2</v>
      </c>
      <c r="Y838" s="996" t="s">
        <v>2463</v>
      </c>
      <c r="Z838" s="996" t="str">
        <f t="shared" si="10"/>
        <v>IN-TRANSIT</v>
      </c>
      <c r="AA838" s="996" t="s">
        <v>5394</v>
      </c>
      <c r="AB838" s="997">
        <v>46238</v>
      </c>
      <c r="AC838" s="1002">
        <f>IF(PV_DATA[[#This Row],[Pick- Up Date]]&lt;&gt;"",_xlfn.ISOWEEKNUM(PV_DATA[[#This Row],[Pick- Up Date]]),"")</f>
        <v>32</v>
      </c>
      <c r="AD838" s="996" t="s">
        <v>5904</v>
      </c>
      <c r="AF838" s="996" t="s">
        <v>122</v>
      </c>
      <c r="AG838" s="996" t="s">
        <v>123</v>
      </c>
      <c r="AH838" s="996" t="s">
        <v>105</v>
      </c>
      <c r="AI838" s="997">
        <v>46237</v>
      </c>
      <c r="AJ838" s="997">
        <v>46240</v>
      </c>
      <c r="AK838" s="437">
        <v>46255</v>
      </c>
      <c r="AL838" s="997">
        <v>46274</v>
      </c>
      <c r="AM838" s="997">
        <v>46305</v>
      </c>
      <c r="AN838" s="1003"/>
      <c r="AP838" s="996" t="s">
        <v>5905</v>
      </c>
      <c r="AQ838" s="996" t="s">
        <v>161</v>
      </c>
      <c r="AR838" s="996" t="s">
        <v>5906</v>
      </c>
      <c r="AS838" s="996" t="s">
        <v>5907</v>
      </c>
      <c r="AT838" s="996" t="s">
        <v>5907</v>
      </c>
      <c r="AU8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838" s="997"/>
      <c r="AW838" s="997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838" s="99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8" s="997" t="str">
        <f>IF(ISERROR(PV_DATA[[#This Row],[New Ark PO status]]),"",_xlfn.XLOOKUP(PV_DATA[[#This Row],[SPTN-PVHK New Ark PO'#]],New_Ark_Data[Purchase order Number],New_Ark_Data[Estimated time of arrival],"",0))</f>
        <v/>
      </c>
      <c r="AZ838" s="99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8" s="997">
        <f>IFERROR(PV_DATA[[#This Row],[ODP ETA Port]]+PV_DATA[[#This Row],[Customs/Leg3 Assumption]],"n/a")</f>
        <v>46305</v>
      </c>
      <c r="BB838" s="999">
        <f>YEAR(PV_DATA[[#This Row],[ETA for New Ark update]])</f>
        <v>2026</v>
      </c>
      <c r="BC838" s="996">
        <f>MONTH(PV_DATA[[#This Row],[ETA for New Ark update]])</f>
        <v>10</v>
      </c>
      <c r="BD838" s="996">
        <f>IFERROR(_xlfn.ISOWEEKNUM(PV_DATA[[#This Row],[ETA for New Ark update]]),0)</f>
        <v>41</v>
      </c>
      <c r="BE838" s="996">
        <f>_xlfn.XLOOKUP(PV_DATA[[#This Row],[New Ark SKU]],Table9[New Ark SKU],Table9[Total PCS per Pallet],,0)</f>
        <v>36</v>
      </c>
      <c r="BF838" s="996">
        <f>_xlfn.XLOOKUP(PV_DATA[[#This Row],[New Ark SKU]],Table9[New Ark SKU],Table9[Total PCS per 40HQ Container],,0)</f>
        <v>720</v>
      </c>
      <c r="BG838" s="996" t="str">
        <f>_xlfn.XLOOKUP(PV_DATA[[#This Row],[New Ark SKU]],Table9[New Ark SKU],Table9[Back Glass],,0)</f>
        <v>Transparent</v>
      </c>
      <c r="BH838" s="996" t="str">
        <f>_xlfn.XLOOKUP(PV_DATA[[#This Row],[PORT DESTINATION]],Table12[PORT DESTINATION],Table12[Cosco Line],,0)</f>
        <v>AEU</v>
      </c>
    </row>
    <row r="839" spans="1:60" s="462" customFormat="1" ht="10.5">
      <c r="A839" s="462" t="s">
        <v>5908</v>
      </c>
      <c r="B839" s="462" t="s">
        <v>111</v>
      </c>
      <c r="C839" s="462" t="str">
        <f>IFERROR(LEFT(PV_DATA[[#This Row],[TCL REFERENCE]],FIND(".",PV_DATA[[#This Row],[TCL REFERENCE]],1)-1),"Main Line")</f>
        <v>26May011</v>
      </c>
      <c r="D839" s="462" t="s">
        <v>63</v>
      </c>
      <c r="E839" s="462" t="s">
        <v>144</v>
      </c>
      <c r="F839" s="462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2" t="s">
        <v>402</v>
      </c>
      <c r="H839" s="713" t="s">
        <v>670</v>
      </c>
      <c r="I839" s="462" t="s">
        <v>1395</v>
      </c>
      <c r="J839" s="730" t="s">
        <v>5392</v>
      </c>
      <c r="K839" s="462" t="s">
        <v>5393</v>
      </c>
      <c r="L839" s="462">
        <v>2</v>
      </c>
      <c r="M839" s="462" t="s">
        <v>840</v>
      </c>
      <c r="N839" s="712">
        <v>46167</v>
      </c>
      <c r="O839" s="462" t="s">
        <v>4531</v>
      </c>
      <c r="P839" s="462" t="s">
        <v>4592</v>
      </c>
      <c r="Q839" s="462" t="s">
        <v>330</v>
      </c>
      <c r="R839" s="430" t="str">
        <f>_xlfn.XLOOKUP(PV_DATA[[#This Row],[New Ark SKU]],Table9[New Ark SKU],Table9[Connector],,0)</f>
        <v>H4(Com)</v>
      </c>
      <c r="S839" s="433" t="str">
        <f>_xlfn.XLOOKUP(PV_DATA[[#This Row],[New Ark SKU]],Table9[New Ark SKU],Table9[Cable],,0)</f>
        <v>+400mm/-200mm</v>
      </c>
      <c r="T839" s="946">
        <v>625</v>
      </c>
      <c r="U839" s="1095">
        <v>2880</v>
      </c>
      <c r="V839" s="969">
        <f>PV_DATA[[#This Row],[QUANTITY]]*PV_DATA[[#This Row],[WATT]]/1000000</f>
        <v>1.8</v>
      </c>
      <c r="W839" s="714">
        <f>PV_DATA[[#This Row],[QUANTITY]]/PV_DATA[[#This Row],[Qty/Pallet]]</f>
        <v>80</v>
      </c>
      <c r="X839" s="1063">
        <v>4</v>
      </c>
      <c r="Y839" s="462" t="s">
        <v>2458</v>
      </c>
      <c r="Z839" s="462" t="str">
        <f t="shared" si="10"/>
        <v>COMPLETED</v>
      </c>
      <c r="AA839" s="462" t="s">
        <v>5394</v>
      </c>
      <c r="AB839" s="713">
        <v>46238</v>
      </c>
      <c r="AC839" s="947">
        <f>IF(PV_DATA[[#This Row],[Pick- Up Date]]&lt;&gt;"",_xlfn.ISOWEEKNUM(PV_DATA[[#This Row],[Pick- Up Date]]),"")</f>
        <v>32</v>
      </c>
      <c r="AD839" s="462" t="s">
        <v>5909</v>
      </c>
      <c r="AF839" s="462" t="s">
        <v>122</v>
      </c>
      <c r="AG839" s="462" t="s">
        <v>123</v>
      </c>
      <c r="AH839" s="462" t="s">
        <v>105</v>
      </c>
      <c r="AI839" s="713">
        <v>46237</v>
      </c>
      <c r="AJ839" s="713">
        <v>46240</v>
      </c>
      <c r="AK839" s="437">
        <v>46240</v>
      </c>
      <c r="AL839" s="713">
        <v>46274</v>
      </c>
      <c r="AM839" s="713">
        <v>46284</v>
      </c>
      <c r="AN839" s="949">
        <v>46287</v>
      </c>
      <c r="AP839" s="462" t="s">
        <v>5718</v>
      </c>
      <c r="AQ839" s="462" t="s">
        <v>161</v>
      </c>
      <c r="AR839" s="462" t="s">
        <v>5910</v>
      </c>
      <c r="AS839" s="462" t="s">
        <v>5911</v>
      </c>
      <c r="AT839" s="462" t="s">
        <v>5896</v>
      </c>
      <c r="AU8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9" s="713"/>
      <c r="AW839" s="713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13">
        <f>IF(ISERROR(PV_DATA[[#This Row],[New Ark PO status]]),"",_xlfn.XLOOKUP(PV_DATA[[#This Row],[SPTN-PVHK New Ark PO'#]],New_Ark_Data[Purchase order Number],New_Ark_Data[Estimated time of arrival],"",0))</f>
        <v>46274</v>
      </c>
      <c r="AZ839" s="9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13">
        <f>IFERROR(PV_DATA[[#This Row],[ODP ETA Port]]+PV_DATA[[#This Row],[Customs/Leg3 Assumption]],"n/a")</f>
        <v>46287</v>
      </c>
      <c r="BB839" s="946">
        <f>YEAR(PV_DATA[[#This Row],[ETA for New Ark update]])</f>
        <v>2026</v>
      </c>
      <c r="BC839" s="462">
        <f>MONTH(PV_DATA[[#This Row],[ETA for New Ark update]])</f>
        <v>9</v>
      </c>
      <c r="BD839" s="462">
        <f>IFERROR(_xlfn.ISOWEEKNUM(PV_DATA[[#This Row],[ETA for New Ark update]]),0)</f>
        <v>39</v>
      </c>
      <c r="BE839" s="462">
        <f>_xlfn.XLOOKUP(PV_DATA[[#This Row],[New Ark SKU]],Table9[New Ark SKU],Table9[Total PCS per Pallet],,0)</f>
        <v>36</v>
      </c>
      <c r="BF839" s="462">
        <f>_xlfn.XLOOKUP(PV_DATA[[#This Row],[New Ark SKU]],Table9[New Ark SKU],Table9[Total PCS per 40HQ Container],,0)</f>
        <v>720</v>
      </c>
      <c r="BG839" s="462" t="str">
        <f>_xlfn.XLOOKUP(PV_DATA[[#This Row],[New Ark SKU]],Table9[New Ark SKU],Table9[Back Glass],,0)</f>
        <v>Transparent</v>
      </c>
      <c r="BH839" s="462" t="str">
        <f>_xlfn.XLOOKUP(PV_DATA[[#This Row],[PORT DESTINATION]],Table12[PORT DESTINATION],Table12[Cosco Line],,0)</f>
        <v>AEU</v>
      </c>
    </row>
    <row r="840" spans="1:60" s="462" customFormat="1" ht="11.25" customHeight="1">
      <c r="A840" s="462" t="s">
        <v>5912</v>
      </c>
      <c r="B840" s="462" t="s">
        <v>111</v>
      </c>
      <c r="C840" s="462" t="str">
        <f>IFERROR(LEFT(PV_DATA[[#This Row],[TCL REFERENCE]],FIND(".",PV_DATA[[#This Row],[TCL REFERENCE]],1)-1),"Main Line")</f>
        <v>26May011</v>
      </c>
      <c r="D840" s="462" t="s">
        <v>63</v>
      </c>
      <c r="E840" s="462" t="s">
        <v>144</v>
      </c>
      <c r="F840" s="462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2" t="s">
        <v>402</v>
      </c>
      <c r="H840" s="713" t="s">
        <v>670</v>
      </c>
      <c r="I840" s="462" t="s">
        <v>869</v>
      </c>
      <c r="J840" s="730" t="s">
        <v>5392</v>
      </c>
      <c r="K840" s="462" t="s">
        <v>5393</v>
      </c>
      <c r="L840" s="462">
        <v>4</v>
      </c>
      <c r="M840" s="462" t="s">
        <v>840</v>
      </c>
      <c r="N840" s="712">
        <v>46167</v>
      </c>
      <c r="O840" s="462" t="s">
        <v>4531</v>
      </c>
      <c r="P840" s="462" t="s">
        <v>4592</v>
      </c>
      <c r="Q840" s="462" t="s">
        <v>330</v>
      </c>
      <c r="R840" s="430" t="str">
        <f>_xlfn.XLOOKUP(PV_DATA[[#This Row],[New Ark SKU]],Table9[New Ark SKU],Table9[Connector],,0)</f>
        <v>H4(Com)</v>
      </c>
      <c r="S840" s="433" t="str">
        <f>_xlfn.XLOOKUP(PV_DATA[[#This Row],[New Ark SKU]],Table9[New Ark SKU],Table9[Cable],,0)</f>
        <v>+400mm/-200mm</v>
      </c>
      <c r="T840" s="946">
        <v>625</v>
      </c>
      <c r="U840" s="1095">
        <v>720</v>
      </c>
      <c r="V840" s="458">
        <f>PV_DATA[[#This Row],[QUANTITY]]*PV_DATA[[#This Row],[WATT]]/1000000</f>
        <v>0.45</v>
      </c>
      <c r="W840" s="714">
        <f>PV_DATA[[#This Row],[QUANTITY]]/PV_DATA[[#This Row],[Qty/Pallet]]</f>
        <v>20</v>
      </c>
      <c r="X840" s="1063">
        <f>PV_DATA[[#This Row],[QUANTITY]]/PV_DATA[[#This Row],[Qty/CT]]</f>
        <v>1</v>
      </c>
      <c r="Y840" s="462" t="s">
        <v>2458</v>
      </c>
      <c r="Z840" s="462" t="str">
        <f t="shared" si="10"/>
        <v>COMPLETED</v>
      </c>
      <c r="AA840" s="462" t="s">
        <v>5394</v>
      </c>
      <c r="AB840" s="713">
        <v>46238</v>
      </c>
      <c r="AC840" s="947">
        <f>IF(PV_DATA[[#This Row],[Pick- Up Date]]&lt;&gt;"",_xlfn.ISOWEEKNUM(PV_DATA[[#This Row],[Pick- Up Date]]),"")</f>
        <v>32</v>
      </c>
      <c r="AD840" s="462" t="s">
        <v>5913</v>
      </c>
      <c r="AF840" s="462" t="s">
        <v>122</v>
      </c>
      <c r="AG840" s="462" t="s">
        <v>123</v>
      </c>
      <c r="AH840" s="462" t="s">
        <v>105</v>
      </c>
      <c r="AI840" s="713">
        <v>46237</v>
      </c>
      <c r="AJ840" s="713">
        <v>46240</v>
      </c>
      <c r="AK840" s="437">
        <v>46240</v>
      </c>
      <c r="AL840" s="713">
        <v>46274</v>
      </c>
      <c r="AM840" s="713">
        <v>46284</v>
      </c>
      <c r="AN840" s="949">
        <v>46287</v>
      </c>
      <c r="AP840" s="462" t="s">
        <v>5718</v>
      </c>
      <c r="AQ840" s="462" t="s">
        <v>161</v>
      </c>
      <c r="AR840" s="462" t="s">
        <v>5910</v>
      </c>
      <c r="AS840" s="462" t="s">
        <v>5911</v>
      </c>
      <c r="AT840" s="462" t="s">
        <v>5896</v>
      </c>
      <c r="AU8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40" s="713"/>
      <c r="AW840" s="713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4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13">
        <f>IF(ISERROR(PV_DATA[[#This Row],[New Ark PO status]]),"",_xlfn.XLOOKUP(PV_DATA[[#This Row],[SPTN-PVHK New Ark PO'#]],New_Ark_Data[Purchase order Number],New_Ark_Data[Estimated time of arrival],"",0))</f>
        <v>46274</v>
      </c>
      <c r="AZ840" s="9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13">
        <f>IFERROR(PV_DATA[[#This Row],[ODP ETA Port]]+PV_DATA[[#This Row],[Customs/Leg3 Assumption]],"n/a")</f>
        <v>46287</v>
      </c>
      <c r="BB840" s="946">
        <f>YEAR(PV_DATA[[#This Row],[ETA for New Ark update]])</f>
        <v>2026</v>
      </c>
      <c r="BC840" s="462">
        <f>MONTH(PV_DATA[[#This Row],[ETA for New Ark update]])</f>
        <v>9</v>
      </c>
      <c r="BD840" s="462">
        <f>IFERROR(_xlfn.ISOWEEKNUM(PV_DATA[[#This Row],[ETA for New Ark update]]),0)</f>
        <v>39</v>
      </c>
      <c r="BE840" s="462">
        <f>_xlfn.XLOOKUP(PV_DATA[[#This Row],[New Ark SKU]],Table9[New Ark SKU],Table9[Total PCS per Pallet],,0)</f>
        <v>36</v>
      </c>
      <c r="BF840" s="462">
        <f>_xlfn.XLOOKUP(PV_DATA[[#This Row],[New Ark SKU]],Table9[New Ark SKU],Table9[Total PCS per 40HQ Container],,0)</f>
        <v>720</v>
      </c>
      <c r="BG840" s="462" t="str">
        <f>_xlfn.XLOOKUP(PV_DATA[[#This Row],[New Ark SKU]],Table9[New Ark SKU],Table9[Back Glass],,0)</f>
        <v>Transparent</v>
      </c>
      <c r="BH840" s="948" t="str">
        <f>_xlfn.XLOOKUP(PV_DATA[[#This Row],[PORT DESTINATION]],Table12[PORT DESTINATION],Table12[Cosco Line],,0)</f>
        <v>AEU</v>
      </c>
    </row>
    <row r="841" spans="1:60" s="462" customFormat="1" ht="10.5">
      <c r="A841" s="462" t="s">
        <v>5914</v>
      </c>
      <c r="B841" s="462" t="s">
        <v>111</v>
      </c>
      <c r="C841" s="462" t="str">
        <f>IFERROR(LEFT(PV_DATA[[#This Row],[TCL REFERENCE]],FIND(".",PV_DATA[[#This Row],[TCL REFERENCE]],1)-1),"Main Line")</f>
        <v>Main Line</v>
      </c>
      <c r="D841" s="462" t="s">
        <v>63</v>
      </c>
      <c r="E841" s="462" t="s">
        <v>64</v>
      </c>
      <c r="F841" s="462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2" t="s">
        <v>402</v>
      </c>
      <c r="H841" s="462" t="s">
        <v>67</v>
      </c>
      <c r="I841" s="462" t="s">
        <v>689</v>
      </c>
      <c r="J841" s="462" t="s">
        <v>96</v>
      </c>
      <c r="M841" s="462" t="s">
        <v>68</v>
      </c>
      <c r="N841" s="712">
        <v>46174</v>
      </c>
      <c r="O841" s="462" t="s">
        <v>70</v>
      </c>
      <c r="P841" s="462" t="s">
        <v>5915</v>
      </c>
      <c r="Q841" s="462" t="s">
        <v>1807</v>
      </c>
      <c r="R841" s="430" t="str">
        <f>_xlfn.XLOOKUP(PV_DATA[[#This Row],[New Ark SKU]],Table9[New Ark SKU],Table9[Connector],,0)</f>
        <v>EVO2A</v>
      </c>
      <c r="S841" s="433" t="str">
        <f>_xlfn.XLOOKUP(PV_DATA[[#This Row],[New Ark SKU]],Table9[New Ark SKU],Table9[Cable],,0)</f>
        <v>±1400mm</v>
      </c>
      <c r="T841" s="946">
        <v>720</v>
      </c>
      <c r="U841" s="1095" cm="1">
        <f t="array" ref="U841">594-fx_qty</f>
        <v>594</v>
      </c>
      <c r="V841" s="458">
        <f>PV_DATA[[#This Row],[QUANTITY]]*PV_DATA[[#This Row],[WATT]]/1000000</f>
        <v>0.42768</v>
      </c>
      <c r="W841" s="714">
        <f>PV_DATA[[#This Row],[QUANTITY]]/PV_DATA[[#This Row],[Qty/Pallet]]</f>
        <v>18</v>
      </c>
      <c r="X841" s="1042">
        <f>PV_DATA[[#This Row],[QUANTITY]]/PV_DATA[[#This Row],[Qty/CT]]</f>
        <v>1</v>
      </c>
      <c r="Y841" s="462" t="s">
        <v>2463</v>
      </c>
      <c r="Z841" s="462" t="str">
        <f t="shared" si="10"/>
        <v>COMPLETED</v>
      </c>
      <c r="AA841" s="462" t="s">
        <v>4990</v>
      </c>
      <c r="AB841" s="713">
        <v>46238</v>
      </c>
      <c r="AC841" s="947">
        <f>IF(PV_DATA[[#This Row],[Pick- Up Date]]&lt;&gt;"",_xlfn.ISOWEEKNUM(PV_DATA[[#This Row],[Pick- Up Date]]),"")</f>
        <v>32</v>
      </c>
      <c r="AD841" s="462" t="s">
        <v>5916</v>
      </c>
      <c r="AF841" s="462" t="s">
        <v>111</v>
      </c>
      <c r="AG841" s="462" t="s">
        <v>123</v>
      </c>
      <c r="AH841" s="462" t="s">
        <v>105</v>
      </c>
      <c r="AI841" s="713">
        <v>46244</v>
      </c>
      <c r="AJ841" s="713">
        <v>46248</v>
      </c>
      <c r="AK841" s="437">
        <v>46249</v>
      </c>
      <c r="AL841" s="713">
        <v>46281</v>
      </c>
      <c r="AM841" s="713">
        <v>46299.25</v>
      </c>
      <c r="AN841" s="949">
        <v>46300</v>
      </c>
      <c r="AP841" s="462" t="s">
        <v>5885</v>
      </c>
      <c r="AQ841" s="950" t="s">
        <v>161</v>
      </c>
      <c r="AR841" s="462" t="s">
        <v>5917</v>
      </c>
      <c r="AS841" s="462" t="s">
        <v>5918</v>
      </c>
      <c r="AT841" s="462" t="s">
        <v>5918</v>
      </c>
      <c r="AU8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841" s="713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4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13">
        <f>IF(ISERROR(PV_DATA[[#This Row],[New Ark PO status]]),"",_xlfn.XLOOKUP(PV_DATA[[#This Row],[SPTN-PVHK New Ark PO'#]],New_Ark_Data[Purchase order Number],New_Ark_Data[Estimated time of arrival],"",0))</f>
        <v>46309</v>
      </c>
      <c r="AZ841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13">
        <f>IFERROR(PV_DATA[[#This Row],[ODP ETA Port]]+PV_DATA[[#This Row],[Customs/Leg3 Assumption]],"n/a")</f>
        <v>46307</v>
      </c>
      <c r="BB841" s="946">
        <f>YEAR(PV_DATA[[#This Row],[ETA for New Ark update]])</f>
        <v>2026</v>
      </c>
      <c r="BC841" s="462">
        <f>MONTH(PV_DATA[[#This Row],[ETA for New Ark update]])</f>
        <v>10</v>
      </c>
      <c r="BD841" s="462">
        <f>IFERROR(_xlfn.ISOWEEKNUM(PV_DATA[[#This Row],[ETA for New Ark update]]),0)</f>
        <v>42</v>
      </c>
      <c r="BE841" s="462">
        <f>_xlfn.XLOOKUP(PV_DATA[[#This Row],[New Ark SKU]],Table9[New Ark SKU],Table9[Total PCS per Pallet],,0)</f>
        <v>33</v>
      </c>
      <c r="BF841" s="462">
        <f>_xlfn.XLOOKUP(PV_DATA[[#This Row],[New Ark SKU]],Table9[New Ark SKU],Table9[Total PCS per 40HQ Container],,0)</f>
        <v>594</v>
      </c>
      <c r="BG841" s="462" t="str">
        <f>_xlfn.XLOOKUP(PV_DATA[[#This Row],[New Ark SKU]],Table9[New Ark SKU],Table9[Back Glass],,0)</f>
        <v>Redirection Film</v>
      </c>
      <c r="BH841" s="462" t="str">
        <f>_xlfn.XLOOKUP(PV_DATA[[#This Row],[PORT DESTINATION]],Table12[PORT DESTINATION],Table12[Cosco Line],,0)</f>
        <v>AEU</v>
      </c>
    </row>
    <row r="842" spans="1:60" s="462" customFormat="1" ht="10.5">
      <c r="A842" s="462" t="s">
        <v>5919</v>
      </c>
      <c r="B842" s="462" t="s">
        <v>111</v>
      </c>
      <c r="C842" s="462" t="str">
        <f>IFERROR(LEFT(PV_DATA[[#This Row],[TCL REFERENCE]],FIND(".",PV_DATA[[#This Row],[TCL REFERENCE]],1)-1),"Main Line")</f>
        <v>26Jul004</v>
      </c>
      <c r="D842" s="462" t="s">
        <v>63</v>
      </c>
      <c r="E842" s="462" t="s">
        <v>64</v>
      </c>
      <c r="F842" s="462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2" t="s">
        <v>402</v>
      </c>
      <c r="H842" s="462" t="s">
        <v>67</v>
      </c>
      <c r="I842" s="462" t="s">
        <v>689</v>
      </c>
      <c r="J842" s="462" t="s">
        <v>96</v>
      </c>
      <c r="M842" s="462" t="s">
        <v>68</v>
      </c>
      <c r="N842" s="712">
        <v>46223</v>
      </c>
      <c r="O842" s="462" t="s">
        <v>132</v>
      </c>
      <c r="P842" s="462" t="s">
        <v>1062</v>
      </c>
      <c r="Q842" s="462" t="s">
        <v>1063</v>
      </c>
      <c r="R842" s="430" t="str">
        <f>_xlfn.XLOOKUP(PV_DATA[[#This Row],[New Ark SKU]],Table9[New Ark SKU],Table9[Connector],,0)</f>
        <v>EVO2A</v>
      </c>
      <c r="S842" s="433" t="str">
        <f>_xlfn.XLOOKUP(PV_DATA[[#This Row],[New Ark SKU]],Table9[New Ark SKU],Table9[Cable],,0)</f>
        <v>±1200mm</v>
      </c>
      <c r="T842" s="946">
        <v>470</v>
      </c>
      <c r="U842" s="1095">
        <f>864*4</f>
        <v>3456</v>
      </c>
      <c r="V842" s="458">
        <f>PV_DATA[[#This Row],[QUANTITY]]*PV_DATA[[#This Row],[WATT]]/1000000</f>
        <v>1.62432</v>
      </c>
      <c r="W842" s="714">
        <f>PV_DATA[[#This Row],[QUANTITY]]/PV_DATA[[#This Row],[Qty/Pallet]]</f>
        <v>96</v>
      </c>
      <c r="X842" s="1042">
        <f>PV_DATA[[#This Row],[QUANTITY]]/PV_DATA[[#This Row],[Qty/CT]]</f>
        <v>4</v>
      </c>
      <c r="Y842" s="462" t="s">
        <v>2464</v>
      </c>
      <c r="Z842" s="462" t="str">
        <f t="shared" si="10"/>
        <v>COMPLETED</v>
      </c>
      <c r="AB842" s="713">
        <v>46238</v>
      </c>
      <c r="AC842" s="947">
        <f>IF(PV_DATA[[#This Row],[Pick- Up Date]]&lt;&gt;"",_xlfn.ISOWEEKNUM(PV_DATA[[#This Row],[Pick- Up Date]]),"")</f>
        <v>32</v>
      </c>
      <c r="AD842" s="462" t="s">
        <v>5920</v>
      </c>
      <c r="AF842" s="462" t="s">
        <v>122</v>
      </c>
      <c r="AG842" s="462" t="s">
        <v>123</v>
      </c>
      <c r="AH842" s="462" t="s">
        <v>105</v>
      </c>
      <c r="AI842" s="713">
        <v>46244</v>
      </c>
      <c r="AJ842" s="713">
        <v>46248</v>
      </c>
      <c r="AK842" s="437">
        <v>46249</v>
      </c>
      <c r="AL842" s="713">
        <v>46281</v>
      </c>
      <c r="AM842" s="713">
        <v>46299.25</v>
      </c>
      <c r="AN842" s="949">
        <v>46300</v>
      </c>
      <c r="AP842" s="462" t="s">
        <v>5885</v>
      </c>
      <c r="AQ842" s="950" t="s">
        <v>161</v>
      </c>
      <c r="AR842" s="462" t="s">
        <v>5917</v>
      </c>
      <c r="AS842" s="462" t="s">
        <v>5918</v>
      </c>
      <c r="AT842" s="462" t="s">
        <v>5918</v>
      </c>
      <c r="AU8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842" s="713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4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13">
        <f>IF(ISERROR(PV_DATA[[#This Row],[New Ark PO status]]),"",_xlfn.XLOOKUP(PV_DATA[[#This Row],[SPTN-PVHK New Ark PO'#]],New_Ark_Data[Purchase order Number],New_Ark_Data[Estimated time of arrival],"",0))</f>
        <v>46309</v>
      </c>
      <c r="AZ842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13">
        <f>IFERROR(PV_DATA[[#This Row],[ODP ETA Port]]+PV_DATA[[#This Row],[Customs/Leg3 Assumption]],"n/a")</f>
        <v>46307</v>
      </c>
      <c r="BB842" s="946">
        <f>YEAR(PV_DATA[[#This Row],[ETA for New Ark update]])</f>
        <v>2026</v>
      </c>
      <c r="BC842" s="462">
        <f>MONTH(PV_DATA[[#This Row],[ETA for New Ark update]])</f>
        <v>10</v>
      </c>
      <c r="BD842" s="462">
        <f>IFERROR(_xlfn.ISOWEEKNUM(PV_DATA[[#This Row],[ETA for New Ark update]]),0)</f>
        <v>42</v>
      </c>
      <c r="BE842" s="462">
        <f>_xlfn.XLOOKUP(PV_DATA[[#This Row],[New Ark SKU]],Table9[New Ark SKU],Table9[Total PCS per Pallet],,0)</f>
        <v>36</v>
      </c>
      <c r="BF842" s="462">
        <f>_xlfn.XLOOKUP(PV_DATA[[#This Row],[New Ark SKU]],Table9[New Ark SKU],Table9[Total PCS per 40HQ Container],,0)</f>
        <v>864</v>
      </c>
      <c r="BG842" s="462" t="str">
        <f>_xlfn.XLOOKUP(PV_DATA[[#This Row],[New Ark SKU]],Table9[New Ark SKU],Table9[Back Glass],,0)</f>
        <v>White glazing</v>
      </c>
      <c r="BH842" s="462" t="str">
        <f>_xlfn.XLOOKUP(PV_DATA[[#This Row],[PORT DESTINATION]],Table12[PORT DESTINATION],Table12[Cosco Line],,0)</f>
        <v>AEU</v>
      </c>
    </row>
    <row r="843" spans="1:60" s="462" customFormat="1" ht="10.5">
      <c r="A843" s="462" t="s">
        <v>5921</v>
      </c>
      <c r="B843" s="462" t="s">
        <v>111</v>
      </c>
      <c r="C843" s="462" t="str">
        <f>IFERROR(LEFT(PV_DATA[[#This Row],[TCL REFERENCE]],FIND(".",PV_DATA[[#This Row],[TCL REFERENCE]],1)-1),"Main Line")</f>
        <v>26Jun033</v>
      </c>
      <c r="D843" s="462" t="s">
        <v>63</v>
      </c>
      <c r="E843" s="462" t="s">
        <v>64</v>
      </c>
      <c r="F843" s="462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2" t="s">
        <v>402</v>
      </c>
      <c r="H843" s="462" t="s">
        <v>67</v>
      </c>
      <c r="I843" s="462" t="s">
        <v>689</v>
      </c>
      <c r="J843" s="462" t="s">
        <v>96</v>
      </c>
      <c r="M843" s="462" t="s">
        <v>68</v>
      </c>
      <c r="N843" s="712">
        <v>46209</v>
      </c>
      <c r="O843" s="462" t="s">
        <v>70</v>
      </c>
      <c r="P843" s="462" t="s">
        <v>5749</v>
      </c>
      <c r="Q843" s="462" t="s">
        <v>1484</v>
      </c>
      <c r="R843" s="430" t="str">
        <f>_xlfn.XLOOKUP(PV_DATA[[#This Row],[New Ark SKU]],Table9[New Ark SKU],Table9[Connector],,0)</f>
        <v>EVO2A</v>
      </c>
      <c r="S843" s="433" t="str">
        <f>_xlfn.XLOOKUP(PV_DATA[[#This Row],[New Ark SKU]],Table9[New Ark SKU],Table9[Cable],,0)</f>
        <v>±1400mm</v>
      </c>
      <c r="T843" s="946">
        <v>725</v>
      </c>
      <c r="U843" s="1095">
        <f>594*10</f>
        <v>5940</v>
      </c>
      <c r="V843" s="458">
        <f>PV_DATA[[#This Row],[QUANTITY]]*PV_DATA[[#This Row],[WATT]]/1000000</f>
        <v>4.3064999999999998</v>
      </c>
      <c r="W843" s="714">
        <f>PV_DATA[[#This Row],[QUANTITY]]/PV_DATA[[#This Row],[Qty/Pallet]]</f>
        <v>180</v>
      </c>
      <c r="X843" s="1042">
        <f>PV_DATA[[#This Row],[QUANTITY]]/PV_DATA[[#This Row],[Qty/CT]]</f>
        <v>10</v>
      </c>
      <c r="Y843" s="462" t="s">
        <v>2464</v>
      </c>
      <c r="Z843" s="462" t="str">
        <f t="shared" si="10"/>
        <v>COMPLETED</v>
      </c>
      <c r="AB843" s="713">
        <v>46238</v>
      </c>
      <c r="AC843" s="947">
        <f>IF(PV_DATA[[#This Row],[Pick- Up Date]]&lt;&gt;"",_xlfn.ISOWEEKNUM(PV_DATA[[#This Row],[Pick- Up Date]]),"")</f>
        <v>32</v>
      </c>
      <c r="AD843" s="462" t="s">
        <v>5922</v>
      </c>
      <c r="AF843" s="462" t="s">
        <v>122</v>
      </c>
      <c r="AG843" s="462" t="s">
        <v>123</v>
      </c>
      <c r="AH843" s="462" t="s">
        <v>105</v>
      </c>
      <c r="AI843" s="713">
        <v>46244</v>
      </c>
      <c r="AJ843" s="713">
        <v>46248</v>
      </c>
      <c r="AK843" s="437">
        <v>46249</v>
      </c>
      <c r="AL843" s="713">
        <v>46281</v>
      </c>
      <c r="AM843" s="713">
        <v>46299.25</v>
      </c>
      <c r="AN843" s="949">
        <v>46300</v>
      </c>
      <c r="AP843" s="462" t="s">
        <v>5885</v>
      </c>
      <c r="AQ843" s="950" t="s">
        <v>161</v>
      </c>
      <c r="AR843" s="462" t="s">
        <v>5917</v>
      </c>
      <c r="AS843" s="462" t="s">
        <v>5918</v>
      </c>
      <c r="AT843" s="462" t="s">
        <v>5918</v>
      </c>
      <c r="AU8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843" s="713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4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13">
        <f>IF(ISERROR(PV_DATA[[#This Row],[New Ark PO status]]),"",_xlfn.XLOOKUP(PV_DATA[[#This Row],[SPTN-PVHK New Ark PO'#]],New_Ark_Data[Purchase order Number],New_Ark_Data[Estimated time of arrival],"",0))</f>
        <v>46309</v>
      </c>
      <c r="AZ843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13">
        <f>IFERROR(PV_DATA[[#This Row],[ODP ETA Port]]+PV_DATA[[#This Row],[Customs/Leg3 Assumption]],"n/a")</f>
        <v>46307</v>
      </c>
      <c r="BB843" s="946">
        <f>YEAR(PV_DATA[[#This Row],[ETA for New Ark update]])</f>
        <v>2026</v>
      </c>
      <c r="BC843" s="462">
        <f>MONTH(PV_DATA[[#This Row],[ETA for New Ark update]])</f>
        <v>10</v>
      </c>
      <c r="BD843" s="462">
        <f>IFERROR(_xlfn.ISOWEEKNUM(PV_DATA[[#This Row],[ETA for New Ark update]]),0)</f>
        <v>42</v>
      </c>
      <c r="BE843" s="462">
        <f>_xlfn.XLOOKUP(PV_DATA[[#This Row],[New Ark SKU]],Table9[New Ark SKU],Table9[Total PCS per Pallet],,0)</f>
        <v>33</v>
      </c>
      <c r="BF843" s="462">
        <f>_xlfn.XLOOKUP(PV_DATA[[#This Row],[New Ark SKU]],Table9[New Ark SKU],Table9[Total PCS per 40HQ Container],,0)</f>
        <v>594</v>
      </c>
      <c r="BG843" s="462" t="str">
        <f>_xlfn.XLOOKUP(PV_DATA[[#This Row],[New Ark SKU]],Table9[New Ark SKU],Table9[Back Glass],,0)</f>
        <v>Transparent</v>
      </c>
      <c r="BH843" s="462" t="str">
        <f>_xlfn.XLOOKUP(PV_DATA[[#This Row],[PORT DESTINATION]],Table12[PORT DESTINATION],Table12[Cosco Line],,0)</f>
        <v>AEU</v>
      </c>
    </row>
    <row r="844" spans="1:60" s="730" customFormat="1" ht="10.5">
      <c r="A844" s="462" t="s">
        <v>5923</v>
      </c>
      <c r="B844" s="462" t="s">
        <v>111</v>
      </c>
      <c r="C844" s="462" t="str">
        <f>IFERROR(LEFT(PV_DATA[[#This Row],[TCL REFERENCE]],FIND(".",PV_DATA[[#This Row],[TCL REFERENCE]],1)-1),"Main Line")</f>
        <v>26Jul001</v>
      </c>
      <c r="D844" s="462" t="s">
        <v>63</v>
      </c>
      <c r="E844" s="462" t="s">
        <v>64</v>
      </c>
      <c r="F844" s="462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2" t="s">
        <v>402</v>
      </c>
      <c r="H844" s="462" t="s">
        <v>67</v>
      </c>
      <c r="I844" s="462" t="s">
        <v>882</v>
      </c>
      <c r="J844" s="462" t="s">
        <v>96</v>
      </c>
      <c r="K844" s="462"/>
      <c r="L844" s="462"/>
      <c r="M844" s="462" t="s">
        <v>68</v>
      </c>
      <c r="N844" s="712">
        <v>46209</v>
      </c>
      <c r="O844" s="462" t="s">
        <v>550</v>
      </c>
      <c r="P844" s="462" t="s">
        <v>551</v>
      </c>
      <c r="Q844" s="462" t="s">
        <v>2151</v>
      </c>
      <c r="R844" s="430" t="str">
        <f>_xlfn.XLOOKUP(PV_DATA[[#This Row],[New Ark SKU]],Table9[New Ark SKU],Table9[Connector],,0)</f>
        <v>EVO2A</v>
      </c>
      <c r="S844" s="433" t="str">
        <f>_xlfn.XLOOKUP(PV_DATA[[#This Row],[New Ark SKU]],Table9[New Ark SKU],Table9[Cable],,0)</f>
        <v>±1350mm</v>
      </c>
      <c r="T844" s="946">
        <v>510</v>
      </c>
      <c r="U844" s="1095">
        <v>1584</v>
      </c>
      <c r="V844" s="458">
        <f>PV_DATA[[#This Row],[QUANTITY]]*PV_DATA[[#This Row],[WATT]]/1000000</f>
        <v>0.80784</v>
      </c>
      <c r="W844" s="714">
        <f>PV_DATA[[#This Row],[QUANTITY]]/PV_DATA[[#This Row],[Qty/Pallet]]</f>
        <v>44</v>
      </c>
      <c r="X844" s="1042">
        <f>PV_DATA[[#This Row],[QUANTITY]]/PV_DATA[[#This Row],[Qty/CT]]</f>
        <v>2</v>
      </c>
      <c r="Y844" s="462" t="s">
        <v>2461</v>
      </c>
      <c r="Z844" s="462" t="str">
        <f t="shared" si="10"/>
        <v>COMPLETED</v>
      </c>
      <c r="AA844" s="462"/>
      <c r="AB844" s="713">
        <v>46246</v>
      </c>
      <c r="AC844" s="947">
        <f>IF(PV_DATA[[#This Row],[Pick- Up Date]]&lt;&gt;"",_xlfn.ISOWEEKNUM(PV_DATA[[#This Row],[Pick- Up Date]]),"")</f>
        <v>33</v>
      </c>
      <c r="AD844" s="462" t="s">
        <v>5924</v>
      </c>
      <c r="AE844" s="462"/>
      <c r="AF844" s="462" t="s">
        <v>122</v>
      </c>
      <c r="AG844" s="462" t="s">
        <v>123</v>
      </c>
      <c r="AH844" s="462" t="s">
        <v>78</v>
      </c>
      <c r="AI844" s="713">
        <v>46246</v>
      </c>
      <c r="AJ844" s="713"/>
      <c r="AK844" s="437">
        <f>IFERROR(IF(VLOOKUP(AT844,Vessel!A:F,5,FALSE)=0,"",VLOOKUP(AT844,Vessel!A:F,5,FALSE)),"")</f>
        <v>46253.978368055556</v>
      </c>
      <c r="AL844" s="1038">
        <v>46288</v>
      </c>
      <c r="AM844" s="1192">
        <f>IFERROR(VLOOKUP(AT844, Vessel!A:H, 8, FALSE), "")</f>
        <v>46290.25</v>
      </c>
      <c r="AN844" s="949">
        <f>IFERROR(IF(VLOOKUP(AT844,Vessel!A:I,9,FALSE)=0,"",VLOOKUP(AT844,Vessel!A:I,9,FALSE)),"")</f>
        <v>46290.232800925929</v>
      </c>
      <c r="AO844" s="462"/>
      <c r="AP844" s="462" t="s">
        <v>5925</v>
      </c>
      <c r="AQ844" s="950" t="s">
        <v>80</v>
      </c>
      <c r="AR844" s="462" t="s">
        <v>5926</v>
      </c>
      <c r="AS844" s="462" t="s">
        <v>5927</v>
      </c>
      <c r="AT844" s="462" t="s">
        <v>5927</v>
      </c>
      <c r="AU8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36.254432870373421</v>
      </c>
      <c r="AV844" s="462"/>
      <c r="AW844" s="713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84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13">
        <f>IF(ISERROR(PV_DATA[[#This Row],[New Ark PO status]]),"",_xlfn.XLOOKUP(PV_DATA[[#This Row],[SPTN-PVHK New Ark PO'#]],New_Ark_Data[Purchase order Number],New_Ark_Data[Estimated time of arrival],"",0))</f>
        <v>46302</v>
      </c>
      <c r="AZ844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13">
        <f>IFERROR(PV_DATA[[#This Row],[ODP ETA Port]]+PV_DATA[[#This Row],[Customs/Leg3 Assumption]],"n/a")</f>
        <v>46298.232800925929</v>
      </c>
      <c r="BB844" s="946">
        <f>YEAR(PV_DATA[[#This Row],[ETA for New Ark update]])</f>
        <v>2026</v>
      </c>
      <c r="BC844" s="462">
        <f>MONTH(PV_DATA[[#This Row],[ETA for New Ark update]])</f>
        <v>10</v>
      </c>
      <c r="BD844" s="462">
        <f>IFERROR(_xlfn.ISOWEEKNUM(PV_DATA[[#This Row],[ETA for New Ark update]]),0)</f>
        <v>40</v>
      </c>
      <c r="BE844" s="462">
        <f>_xlfn.XLOOKUP(PV_DATA[[#This Row],[New Ark SKU]],Table9[New Ark SKU],Table9[Total PCS per Pallet],,0)</f>
        <v>36</v>
      </c>
      <c r="BF844" s="462">
        <f>_xlfn.XLOOKUP(PV_DATA[[#This Row],[New Ark SKU]],Table9[New Ark SKU],Table9[Total PCS per 40HQ Container],,0)</f>
        <v>792</v>
      </c>
      <c r="BG844" s="462" t="str">
        <f>_xlfn.XLOOKUP(PV_DATA[[#This Row],[New Ark SKU]],Table9[New Ark SKU],Table9[Back Glass],,0)</f>
        <v>Black glazing</v>
      </c>
      <c r="BH844" s="948" t="str">
        <f>_xlfn.XLOOKUP(PV_DATA[[#This Row],[PORT DESTINATION]],Table12[PORT DESTINATION],Table12[Cosco Line],,0)</f>
        <v>AEM</v>
      </c>
    </row>
    <row r="845" spans="1:60" s="462" customFormat="1" ht="10.5">
      <c r="A845" s="462" t="s">
        <v>5928</v>
      </c>
      <c r="B845" s="462" t="s">
        <v>111</v>
      </c>
      <c r="C845" s="462" t="str">
        <f>IFERROR(LEFT(PV_DATA[[#This Row],[TCL REFERENCE]],FIND(".",PV_DATA[[#This Row],[TCL REFERENCE]],1)-1),"Main Line")</f>
        <v>26Jul013</v>
      </c>
      <c r="D845" s="462" t="s">
        <v>63</v>
      </c>
      <c r="E845" s="462" t="s">
        <v>144</v>
      </c>
      <c r="F845" s="462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2" t="s">
        <v>402</v>
      </c>
      <c r="H845" s="462" t="s">
        <v>1912</v>
      </c>
      <c r="I845" s="462" t="s">
        <v>1395</v>
      </c>
      <c r="J845" s="462" t="s">
        <v>1912</v>
      </c>
      <c r="K845" s="462" t="s">
        <v>5549</v>
      </c>
      <c r="L845" s="462">
        <v>1</v>
      </c>
      <c r="M845" s="462" t="s">
        <v>840</v>
      </c>
      <c r="N845" s="712">
        <v>46202</v>
      </c>
      <c r="O845" s="462" t="s">
        <v>5336</v>
      </c>
      <c r="P845" s="462" t="s">
        <v>5337</v>
      </c>
      <c r="Q845" s="462" t="s">
        <v>5338</v>
      </c>
      <c r="R845" s="430" t="str">
        <f>_xlfn.XLOOKUP(PV_DATA[[#This Row],[New Ark SKU]],Table9[New Ark SKU],Table9[Connector],,0)</f>
        <v>EVO2A</v>
      </c>
      <c r="S845" s="433" t="str">
        <f>_xlfn.XLOOKUP(PV_DATA[[#This Row],[New Ark SKU]],Table9[New Ark SKU],Table9[Cable],,0)</f>
        <v>±1400mm</v>
      </c>
      <c r="T845" s="946">
        <v>580</v>
      </c>
      <c r="U845" s="1095">
        <v>2160</v>
      </c>
      <c r="V845" s="458">
        <f>PV_DATA[[#This Row],[QUANTITY]]*PV_DATA[[#This Row],[WATT]]/1000000</f>
        <v>1.2527999999999999</v>
      </c>
      <c r="W845" s="714">
        <f>PV_DATA[[#This Row],[QUANTITY]]/PV_DATA[[#This Row],[Qty/Pallet]]</f>
        <v>60</v>
      </c>
      <c r="X845" s="1042">
        <f>PV_DATA[[#This Row],[QUANTITY]]/PV_DATA[[#This Row],[Qty/CT]]</f>
        <v>3</v>
      </c>
      <c r="Y845" s="462" t="s">
        <v>2463</v>
      </c>
      <c r="Z845" s="462" t="str">
        <f t="shared" si="10"/>
        <v>COMPLETED</v>
      </c>
      <c r="AA845" s="462" t="s">
        <v>5667</v>
      </c>
      <c r="AB845" s="713">
        <v>46246</v>
      </c>
      <c r="AC845" s="947">
        <f>IF(PV_DATA[[#This Row],[Pick- Up Date]]&lt;&gt;"",_xlfn.ISOWEEKNUM(PV_DATA[[#This Row],[Pick- Up Date]]),"")</f>
        <v>33</v>
      </c>
      <c r="AD845" s="462" t="s">
        <v>5929</v>
      </c>
      <c r="AF845" s="462" t="s">
        <v>122</v>
      </c>
      <c r="AG845" s="462" t="s">
        <v>123</v>
      </c>
      <c r="AH845" s="462" t="s">
        <v>124</v>
      </c>
      <c r="AI845" s="713">
        <v>46246</v>
      </c>
      <c r="AJ845" s="713"/>
      <c r="AK845" s="437">
        <f>IFERROR(IF(VLOOKUP(AT845,Vessel!A:F,5,FALSE)=0,"",VLOOKUP(AT845,Vessel!A:F,5,FALSE)),"")</f>
        <v>46253.978368055556</v>
      </c>
      <c r="AL845" s="713">
        <v>46282</v>
      </c>
      <c r="AM845" s="949">
        <f>IFERROR(VLOOKUP(AT845, Vessel!A:H, 8, FALSE), "")</f>
        <v>46284.333333333336</v>
      </c>
      <c r="AN845" s="949">
        <f>IFERROR(IF(VLOOKUP(AT845,Vessel!A:I,9,FALSE)=0,"",VLOOKUP(AT845,Vessel!A:I,9,FALSE)),"")</f>
        <v>46284.41574074074</v>
      </c>
      <c r="AP845" s="462" t="s">
        <v>5925</v>
      </c>
      <c r="AQ845" s="462" t="s">
        <v>80</v>
      </c>
      <c r="AR845" s="462" t="s">
        <v>5930</v>
      </c>
      <c r="AS845" s="462" t="s">
        <v>5931</v>
      </c>
      <c r="AT845" s="462" t="s">
        <v>5931</v>
      </c>
      <c r="AU8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30.437372685184528</v>
      </c>
      <c r="AW845" s="713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46284.41574074074</v>
      </c>
      <c r="AX84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13">
        <f>IF(ISERROR(PV_DATA[[#This Row],[New Ark PO status]]),"",_xlfn.XLOOKUP(PV_DATA[[#This Row],[SPTN-PVHK New Ark PO'#]],New_Ark_Data[Purchase order Number],New_Ark_Data[Estimated time of arrival],"",0))</f>
        <v>46282</v>
      </c>
      <c r="AZ845" s="9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13">
        <f>IFERROR(PV_DATA[[#This Row],[ODP ETA Port]]+PV_DATA[[#This Row],[Customs/Leg3 Assumption]],"n/a")</f>
        <v>46284.41574074074</v>
      </c>
      <c r="BB845" s="946">
        <f>YEAR(PV_DATA[[#This Row],[ETA for New Ark update]])</f>
        <v>2026</v>
      </c>
      <c r="BC845" s="462">
        <f>MONTH(PV_DATA[[#This Row],[ETA for New Ark update]])</f>
        <v>9</v>
      </c>
      <c r="BD845" s="462">
        <f>IFERROR(_xlfn.ISOWEEKNUM(PV_DATA[[#This Row],[ETA for New Ark update]]),0)</f>
        <v>38</v>
      </c>
      <c r="BE845" s="462">
        <f>_xlfn.XLOOKUP(PV_DATA[[#This Row],[New Ark SKU]],Table9[New Ark SKU],Table9[Total PCS per Pallet],,0)</f>
        <v>36</v>
      </c>
      <c r="BF845" s="462">
        <f>_xlfn.XLOOKUP(PV_DATA[[#This Row],[New Ark SKU]],Table9[New Ark SKU],Table9[Total PCS per 40HQ Container],,0)</f>
        <v>720</v>
      </c>
      <c r="BG845" s="462" t="str">
        <f>_xlfn.XLOOKUP(PV_DATA[[#This Row],[New Ark SKU]],Table9[New Ark SKU],Table9[Back Glass],,0)</f>
        <v>Transparent</v>
      </c>
      <c r="BH845" s="462" t="str">
        <f>_xlfn.XLOOKUP(PV_DATA[[#This Row],[PORT DESTINATION]],Table12[PORT DESTINATION],Table12[Cosco Line],,0)</f>
        <v>AEM</v>
      </c>
    </row>
    <row r="846" spans="1:60" s="462" customFormat="1" ht="10.5">
      <c r="A846" s="462" t="s">
        <v>5932</v>
      </c>
      <c r="B846" s="462" t="s">
        <v>111</v>
      </c>
      <c r="C846" s="462" t="str">
        <f>IFERROR(LEFT(PV_DATA[[#This Row],[TCL REFERENCE]],FIND(".",PV_DATA[[#This Row],[TCL REFERENCE]],1)-1),"Main Line")</f>
        <v>26Jul002</v>
      </c>
      <c r="D846" s="462" t="s">
        <v>63</v>
      </c>
      <c r="E846" s="462" t="s">
        <v>64</v>
      </c>
      <c r="F846" s="462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2" t="s">
        <v>402</v>
      </c>
      <c r="H846" s="462" t="s">
        <v>311</v>
      </c>
      <c r="I846" s="462" t="s">
        <v>689</v>
      </c>
      <c r="J846" s="462" t="s">
        <v>96</v>
      </c>
      <c r="M846" s="462" t="s">
        <v>68</v>
      </c>
      <c r="N846" s="712">
        <v>46209</v>
      </c>
      <c r="O846" s="462" t="s">
        <v>550</v>
      </c>
      <c r="P846" s="462" t="s">
        <v>2134</v>
      </c>
      <c r="Q846" s="462" t="s">
        <v>2135</v>
      </c>
      <c r="R846" s="430" t="str">
        <f>_xlfn.XLOOKUP(PV_DATA[[#This Row],[New Ark SKU]],Table9[New Ark SKU],Table9[Connector],,0)</f>
        <v>EVO2A</v>
      </c>
      <c r="S846" s="433" t="str">
        <f>_xlfn.XLOOKUP(PV_DATA[[#This Row],[New Ark SKU]],Table9[New Ark SKU],Table9[Cable],,0)</f>
        <v>±1350mm</v>
      </c>
      <c r="T846" s="946">
        <v>515</v>
      </c>
      <c r="U846" s="1095">
        <f>792*2</f>
        <v>1584</v>
      </c>
      <c r="V846" s="458">
        <f>PV_DATA[[#This Row],[QUANTITY]]*PV_DATA[[#This Row],[WATT]]/1000000</f>
        <v>0.81576000000000004</v>
      </c>
      <c r="W846" s="714">
        <f>PV_DATA[[#This Row],[QUANTITY]]/PV_DATA[[#This Row],[Qty/Pallet]]</f>
        <v>44</v>
      </c>
      <c r="X846" s="1042">
        <f>PV_DATA[[#This Row],[QUANTITY]]/PV_DATA[[#This Row],[Qty/CT]]</f>
        <v>2</v>
      </c>
      <c r="Y846" s="462" t="s">
        <v>2463</v>
      </c>
      <c r="Z846" s="462" t="str">
        <f t="shared" si="10"/>
        <v>COMPLETED</v>
      </c>
      <c r="AA846" s="462" t="s">
        <v>5933</v>
      </c>
      <c r="AB846" s="713">
        <v>46237</v>
      </c>
      <c r="AC846" s="947">
        <f>IF(PV_DATA[[#This Row],[Pick- Up Date]]&lt;&gt;"",_xlfn.ISOWEEKNUM(PV_DATA[[#This Row],[Pick- Up Date]]),"")</f>
        <v>32</v>
      </c>
      <c r="AD846" s="462" t="s">
        <v>5934</v>
      </c>
      <c r="AF846" s="462" t="s">
        <v>122</v>
      </c>
      <c r="AG846" s="462" t="s">
        <v>123</v>
      </c>
      <c r="AH846" s="462" t="s">
        <v>1561</v>
      </c>
      <c r="AI846" s="713">
        <v>46245</v>
      </c>
      <c r="AJ846" s="713">
        <f>IFERROR(VLOOKUP(AT846, Vessel!A:D, 4, FALSE), "")</f>
        <v>46241.770833333336</v>
      </c>
      <c r="AK846" s="437">
        <f>IFERROR(IF(VLOOKUP(AT846,Vessel!A:F,5,FALSE)=0,"",VLOOKUP(AT846,Vessel!A:F,5,FALSE)),"")</f>
        <v>46241.8122337963</v>
      </c>
      <c r="AL846" s="1038">
        <v>46304</v>
      </c>
      <c r="AM846" s="1192">
        <f>IFERROR(VLOOKUP(AT846, Vessel!A:H, 8, FALSE), "")</f>
        <v>46300.75</v>
      </c>
      <c r="AN846" s="713">
        <v>46299</v>
      </c>
      <c r="AP846" s="462" t="s">
        <v>5935</v>
      </c>
      <c r="AQ846" s="462" t="s">
        <v>80</v>
      </c>
      <c r="AR846" s="462" t="s">
        <v>5936</v>
      </c>
      <c r="AS846" s="462" t="s">
        <v>5937</v>
      </c>
      <c r="AT846" s="462" t="s">
        <v>5937</v>
      </c>
      <c r="AU8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57.187766203700448</v>
      </c>
      <c r="AW846" s="713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4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13">
        <f>IF(ISERROR(PV_DATA[[#This Row],[New Ark PO status]]),"",_xlfn.XLOOKUP(PV_DATA[[#This Row],[SPTN-PVHK New Ark PO'#]],New_Ark_Data[Purchase order Number],New_Ark_Data[Estimated time of arrival],"",0))</f>
        <v>46300</v>
      </c>
      <c r="AZ846" s="946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46" s="713">
        <f>IFERROR(PV_DATA[[#This Row],[ODP ETA Port]]+PV_DATA[[#This Row],[Customs/Leg3 Assumption]],"n/a")</f>
        <v>46309</v>
      </c>
      <c r="BB846" s="946">
        <f>YEAR(PV_DATA[[#This Row],[ETA for New Ark update]])</f>
        <v>2026</v>
      </c>
      <c r="BC846" s="462">
        <f>MONTH(PV_DATA[[#This Row],[ETA for New Ark update]])</f>
        <v>10</v>
      </c>
      <c r="BD846" s="462">
        <f>IFERROR(_xlfn.ISOWEEKNUM(PV_DATA[[#This Row],[ETA for New Ark update]]),0)</f>
        <v>42</v>
      </c>
      <c r="BE846" s="462">
        <f>_xlfn.XLOOKUP(PV_DATA[[#This Row],[New Ark SKU]],Table9[New Ark SKU],Table9[Total PCS per Pallet],,0)</f>
        <v>36</v>
      </c>
      <c r="BF846" s="462">
        <f>_xlfn.XLOOKUP(PV_DATA[[#This Row],[New Ark SKU]],Table9[New Ark SKU],Table9[Total PCS per 40HQ Container],,0)</f>
        <v>792</v>
      </c>
      <c r="BG846" s="462" t="str">
        <f>_xlfn.XLOOKUP(PV_DATA[[#This Row],[New Ark SKU]],Table9[New Ark SKU],Table9[Back Glass],,0)</f>
        <v>Black glazing</v>
      </c>
      <c r="BH846" s="462" t="str">
        <f>_xlfn.XLOOKUP(PV_DATA[[#This Row],[PORT DESTINATION]],Table12[PORT DESTINATION],Table12[Cosco Line],,0)</f>
        <v>AEM</v>
      </c>
    </row>
    <row r="847" spans="1:60" s="462" customFormat="1" ht="10.5">
      <c r="A847" s="462" t="s">
        <v>5938</v>
      </c>
      <c r="B847" s="462" t="s">
        <v>111</v>
      </c>
      <c r="C847" s="462" t="str">
        <f>IFERROR(LEFT(PV_DATA[[#This Row],[TCL REFERENCE]],FIND(".",PV_DATA[[#This Row],[TCL REFERENCE]],1)-1),"Main Line")</f>
        <v>26Jul004</v>
      </c>
      <c r="D847" s="462" t="s">
        <v>63</v>
      </c>
      <c r="E847" s="462" t="s">
        <v>64</v>
      </c>
      <c r="F847" s="462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2" t="s">
        <v>402</v>
      </c>
      <c r="H847" s="462" t="s">
        <v>67</v>
      </c>
      <c r="I847" s="462" t="s">
        <v>882</v>
      </c>
      <c r="J847" s="462" t="s">
        <v>96</v>
      </c>
      <c r="M847" s="462" t="s">
        <v>68</v>
      </c>
      <c r="N847" s="712">
        <v>46223</v>
      </c>
      <c r="O847" s="462" t="s">
        <v>132</v>
      </c>
      <c r="P847" s="462" t="s">
        <v>1062</v>
      </c>
      <c r="Q847" s="462" t="s">
        <v>1063</v>
      </c>
      <c r="R847" s="430" t="str">
        <f>_xlfn.XLOOKUP(PV_DATA[[#This Row],[New Ark SKU]],Table9[New Ark SKU],Table9[Connector],,0)</f>
        <v>EVO2A</v>
      </c>
      <c r="S847" s="433" t="str">
        <f>_xlfn.XLOOKUP(PV_DATA[[#This Row],[New Ark SKU]],Table9[New Ark SKU],Table9[Cable],,0)</f>
        <v>±1200mm</v>
      </c>
      <c r="T847" s="946">
        <v>470</v>
      </c>
      <c r="U847" s="1095">
        <v>1728</v>
      </c>
      <c r="V847" s="458">
        <f>PV_DATA[[#This Row],[QUANTITY]]*PV_DATA[[#This Row],[WATT]]/1000000</f>
        <v>0.81215999999999999</v>
      </c>
      <c r="W847" s="714">
        <f>PV_DATA[[#This Row],[QUANTITY]]/PV_DATA[[#This Row],[Qty/Pallet]]</f>
        <v>48</v>
      </c>
      <c r="X847" s="1042">
        <f>PV_DATA[[#This Row],[QUANTITY]]/PV_DATA[[#This Row],[Qty/CT]]</f>
        <v>2</v>
      </c>
      <c r="Y847" s="462" t="s">
        <v>2462</v>
      </c>
      <c r="Z847" s="462" t="str">
        <f t="shared" si="10"/>
        <v>COMPLETED</v>
      </c>
      <c r="AB847" s="713">
        <v>46248</v>
      </c>
      <c r="AC847" s="947">
        <f>IF(PV_DATA[[#This Row],[Pick- Up Date]]&lt;&gt;"",_xlfn.ISOWEEKNUM(PV_DATA[[#This Row],[Pick- Up Date]]),"")</f>
        <v>33</v>
      </c>
      <c r="AD847" s="462" t="s">
        <v>5939</v>
      </c>
      <c r="AE847" s="462" t="s">
        <v>5939</v>
      </c>
      <c r="AF847" s="462" t="s">
        <v>122</v>
      </c>
      <c r="AG847" s="462" t="s">
        <v>123</v>
      </c>
      <c r="AH847" s="462" t="s">
        <v>78</v>
      </c>
      <c r="AI847" s="713">
        <v>46249</v>
      </c>
      <c r="AJ847" s="713">
        <v>46252</v>
      </c>
      <c r="AK847" s="437">
        <v>46257</v>
      </c>
      <c r="AL847" s="713">
        <v>46295</v>
      </c>
      <c r="AM847" s="1292">
        <v>46296.75</v>
      </c>
      <c r="AN847" s="713">
        <v>46296</v>
      </c>
      <c r="AP847" s="462" t="s">
        <v>5940</v>
      </c>
      <c r="AQ847" s="462" t="s">
        <v>161</v>
      </c>
      <c r="AR847" s="462" t="s">
        <v>5941</v>
      </c>
      <c r="AS847" s="462">
        <v>274946111</v>
      </c>
      <c r="AT847" s="462">
        <v>274946111</v>
      </c>
      <c r="AU8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847" s="713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4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13">
        <f>IF(ISERROR(PV_DATA[[#This Row],[New Ark PO status]]),"",_xlfn.XLOOKUP(PV_DATA[[#This Row],[SPTN-PVHK New Ark PO'#]],New_Ark_Data[Purchase order Number],New_Ark_Data[Estimated time of arrival],"",0))</f>
        <v>46309</v>
      </c>
      <c r="AZ847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13">
        <f>IFERROR(PV_DATA[[#This Row],[ODP ETA Port]]+PV_DATA[[#This Row],[Customs/Leg3 Assumption]],"n/a")</f>
        <v>46304</v>
      </c>
      <c r="BB847" s="946">
        <f>YEAR(PV_DATA[[#This Row],[ETA for New Ark update]])</f>
        <v>2026</v>
      </c>
      <c r="BC847" s="462">
        <f>MONTH(PV_DATA[[#This Row],[ETA for New Ark update]])</f>
        <v>10</v>
      </c>
      <c r="BD847" s="462">
        <f>IFERROR(_xlfn.ISOWEEKNUM(PV_DATA[[#This Row],[ETA for New Ark update]]),0)</f>
        <v>41</v>
      </c>
      <c r="BE847" s="462">
        <f>_xlfn.XLOOKUP(PV_DATA[[#This Row],[New Ark SKU]],Table9[New Ark SKU],Table9[Total PCS per Pallet],,0)</f>
        <v>36</v>
      </c>
      <c r="BF847" s="462">
        <f>_xlfn.XLOOKUP(PV_DATA[[#This Row],[New Ark SKU]],Table9[New Ark SKU],Table9[Total PCS per 40HQ Container],,0)</f>
        <v>864</v>
      </c>
      <c r="BG847" s="462" t="str">
        <f>_xlfn.XLOOKUP(PV_DATA[[#This Row],[New Ark SKU]],Table9[New Ark SKU],Table9[Back Glass],,0)</f>
        <v>White glazing</v>
      </c>
      <c r="BH847" s="462" t="str">
        <f>_xlfn.XLOOKUP(PV_DATA[[#This Row],[PORT DESTINATION]],Table12[PORT DESTINATION],Table12[Cosco Line],,0)</f>
        <v>AEM</v>
      </c>
    </row>
    <row r="848" spans="1:60" s="462" customFormat="1" ht="10.5">
      <c r="A848" s="730" t="s">
        <v>5942</v>
      </c>
      <c r="B848" s="462" t="s">
        <v>111</v>
      </c>
      <c r="C848" s="462" t="str">
        <f>IFERROR(LEFT(PV_DATA[[#This Row],[TCL REFERENCE]],FIND(".",PV_DATA[[#This Row],[TCL REFERENCE]],1)-1),"Main Line")</f>
        <v>26Jul015</v>
      </c>
      <c r="D848" s="462" t="s">
        <v>63</v>
      </c>
      <c r="E848" s="439" t="s">
        <v>64</v>
      </c>
      <c r="F848" s="462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2" t="s">
        <v>402</v>
      </c>
      <c r="H848" s="462" t="s">
        <v>67</v>
      </c>
      <c r="I848" s="462" t="s">
        <v>1395</v>
      </c>
      <c r="J848" s="462" t="s">
        <v>96</v>
      </c>
      <c r="M848" s="462" t="s">
        <v>68</v>
      </c>
      <c r="N848" s="712">
        <v>46237</v>
      </c>
      <c r="O848" s="462" t="s">
        <v>5379</v>
      </c>
      <c r="P848" s="462" t="s">
        <v>5943</v>
      </c>
      <c r="Q848" s="462" t="s">
        <v>5944</v>
      </c>
      <c r="R848" s="430" t="str">
        <f>_xlfn.XLOOKUP(PV_DATA[[#This Row],[New Ark SKU]],Table9[New Ark SKU],Table9[Connector],,0)</f>
        <v>EVO2A</v>
      </c>
      <c r="S848" s="433" t="str">
        <f>_xlfn.XLOOKUP(PV_DATA[[#This Row],[New Ark SKU]],Table9[New Ark SKU],Table9[Cable],,0)</f>
        <v>±1200mm</v>
      </c>
      <c r="T848" s="946">
        <v>470</v>
      </c>
      <c r="U848" s="1095">
        <f>936*6</f>
        <v>5616</v>
      </c>
      <c r="V848" s="458">
        <f>PV_DATA[[#This Row],[QUANTITY]]*PV_DATA[[#This Row],[WATT]]/1000000</f>
        <v>2.6395200000000001</v>
      </c>
      <c r="W848" s="714">
        <f>PV_DATA[[#This Row],[QUANTITY]]/PV_DATA[[#This Row],[Qty/Pallet]]</f>
        <v>156</v>
      </c>
      <c r="X848" s="1042">
        <f>PV_DATA[[#This Row],[QUANTITY]]/PV_DATA[[#This Row],[Qty/CT]]</f>
        <v>6</v>
      </c>
      <c r="Y848" s="462" t="s">
        <v>2462</v>
      </c>
      <c r="Z848" s="462" t="str">
        <f t="shared" si="10"/>
        <v>COMPLETED</v>
      </c>
      <c r="AB848" s="713">
        <v>46248</v>
      </c>
      <c r="AC848" s="947">
        <f>IF(PV_DATA[[#This Row],[Pick- Up Date]]&lt;&gt;"",_xlfn.ISOWEEKNUM(PV_DATA[[#This Row],[Pick- Up Date]]),"")</f>
        <v>33</v>
      </c>
      <c r="AD848" s="462" t="s">
        <v>5945</v>
      </c>
      <c r="AF848" s="462" t="s">
        <v>122</v>
      </c>
      <c r="AG848" s="462" t="s">
        <v>123</v>
      </c>
      <c r="AH848" s="462" t="s">
        <v>78</v>
      </c>
      <c r="AI848" s="713">
        <v>46249</v>
      </c>
      <c r="AJ848" s="713">
        <v>46252</v>
      </c>
      <c r="AK848" s="437">
        <v>46257</v>
      </c>
      <c r="AL848" s="713">
        <v>46295</v>
      </c>
      <c r="AM848" s="1292">
        <v>46296.75</v>
      </c>
      <c r="AN848" s="713">
        <v>46296</v>
      </c>
      <c r="AP848" s="462" t="s">
        <v>5940</v>
      </c>
      <c r="AQ848" s="462" t="s">
        <v>161</v>
      </c>
      <c r="AR848" s="462" t="s">
        <v>5941</v>
      </c>
      <c r="AS848" s="462">
        <v>274946111</v>
      </c>
      <c r="AT848" s="462">
        <v>274946111</v>
      </c>
      <c r="AU8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848" s="713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4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13">
        <f>IF(ISERROR(PV_DATA[[#This Row],[New Ark PO status]]),"",_xlfn.XLOOKUP(PV_DATA[[#This Row],[SPTN-PVHK New Ark PO'#]],New_Ark_Data[Purchase order Number],New_Ark_Data[Estimated time of arrival],"",0))</f>
        <v>46309</v>
      </c>
      <c r="AZ848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13">
        <f>IFERROR(PV_DATA[[#This Row],[ODP ETA Port]]+PV_DATA[[#This Row],[Customs/Leg3 Assumption]],"n/a")</f>
        <v>46304</v>
      </c>
      <c r="BB848" s="946">
        <f>YEAR(PV_DATA[[#This Row],[ETA for New Ark update]])</f>
        <v>2026</v>
      </c>
      <c r="BC848" s="462">
        <f>MONTH(PV_DATA[[#This Row],[ETA for New Ark update]])</f>
        <v>10</v>
      </c>
      <c r="BD848" s="462">
        <f>IFERROR(_xlfn.ISOWEEKNUM(PV_DATA[[#This Row],[ETA for New Ark update]]),0)</f>
        <v>41</v>
      </c>
      <c r="BE848" s="462">
        <f>_xlfn.XLOOKUP(PV_DATA[[#This Row],[New Ark SKU]],Table9[New Ark SKU],Table9[Total PCS per Pallet],,0)</f>
        <v>36</v>
      </c>
      <c r="BF848" s="462">
        <f>_xlfn.XLOOKUP(PV_DATA[[#This Row],[New Ark SKU]],Table9[New Ark SKU],Table9[Total PCS per 40HQ Container],,0)</f>
        <v>936</v>
      </c>
      <c r="BG848" s="462" t="str">
        <f>_xlfn.XLOOKUP(PV_DATA[[#This Row],[New Ark SKU]],Table9[New Ark SKU],Table9[Back Glass],,0)</f>
        <v>White glazing</v>
      </c>
      <c r="BH848" s="462" t="str">
        <f>_xlfn.XLOOKUP(PV_DATA[[#This Row],[PORT DESTINATION]],Table12[PORT DESTINATION],Table12[Cosco Line],,0)</f>
        <v>AEM</v>
      </c>
    </row>
    <row r="849" spans="1:60" s="462" customFormat="1" ht="10.5">
      <c r="A849" s="462" t="s">
        <v>5946</v>
      </c>
      <c r="B849" s="462" t="s">
        <v>1757</v>
      </c>
      <c r="C849" s="462" t="str">
        <f>IFERROR(LEFT(PV_DATA[[#This Row],[TCL REFERENCE]],FIND(".",PV_DATA[[#This Row],[TCL REFERENCE]],1)-1),"Main Line")</f>
        <v>26Jul007</v>
      </c>
      <c r="D849" s="462" t="s">
        <v>63</v>
      </c>
      <c r="E849" s="462" t="s">
        <v>64</v>
      </c>
      <c r="F849" s="462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462" t="s">
        <v>402</v>
      </c>
      <c r="H849" s="462" t="s">
        <v>67</v>
      </c>
      <c r="I849" s="462" t="s">
        <v>689</v>
      </c>
      <c r="J849" s="462" t="s">
        <v>96</v>
      </c>
      <c r="M849" s="462" t="s">
        <v>68</v>
      </c>
      <c r="N849" s="712">
        <v>46209</v>
      </c>
      <c r="O849" s="462" t="s">
        <v>4531</v>
      </c>
      <c r="P849" s="462" t="s">
        <v>71</v>
      </c>
      <c r="Q849" s="462" t="s">
        <v>72</v>
      </c>
      <c r="R849" s="430" t="str">
        <f>_xlfn.XLOOKUP(PV_DATA[[#This Row],[New Ark SKU]],Table9[New Ark SKU],Table9[Connector],,0)</f>
        <v>EVO2A</v>
      </c>
      <c r="S849" s="433" t="str">
        <f>_xlfn.XLOOKUP(PV_DATA[[#This Row],[New Ark SKU]],Table9[New Ark SKU],Table9[Cable],,0)</f>
        <v>±1200mm</v>
      </c>
      <c r="T849" s="946">
        <v>500</v>
      </c>
      <c r="U849" s="1095">
        <f>864*6</f>
        <v>5184</v>
      </c>
      <c r="V849" s="458">
        <f>PV_DATA[[#This Row],[QUANTITY]]*PV_DATA[[#This Row],[WATT]]/1000000</f>
        <v>2.5920000000000001</v>
      </c>
      <c r="W849" s="714">
        <f>PV_DATA[[#This Row],[QUANTITY]]/PV_DATA[[#This Row],[Qty/Pallet]]</f>
        <v>144</v>
      </c>
      <c r="X849" s="1042">
        <f>PV_DATA[[#This Row],[QUANTITY]]/PV_DATA[[#This Row],[Qty/CT]]</f>
        <v>6</v>
      </c>
      <c r="Y849" s="462" t="s">
        <v>2463</v>
      </c>
      <c r="Z849" s="462" t="str">
        <f t="shared" si="10"/>
        <v>COMPLETED</v>
      </c>
      <c r="AB849" s="713">
        <v>46249</v>
      </c>
      <c r="AC849" s="947">
        <f>IF(PV_DATA[[#This Row],[Pick- Up Date]]&lt;&gt;"",_xlfn.ISOWEEKNUM(PV_DATA[[#This Row],[Pick- Up Date]]),"")</f>
        <v>33</v>
      </c>
      <c r="AD849" s="462" t="s">
        <v>5947</v>
      </c>
      <c r="AE849" s="462" t="s">
        <v>5947</v>
      </c>
      <c r="AF849" s="462" t="s">
        <v>5034</v>
      </c>
      <c r="AG849" s="462" t="s">
        <v>5845</v>
      </c>
      <c r="AH849" s="462" t="s">
        <v>78</v>
      </c>
      <c r="AI849" s="713">
        <v>46249</v>
      </c>
      <c r="AJ849" s="713">
        <v>46256</v>
      </c>
      <c r="AK849" s="437">
        <v>46257</v>
      </c>
      <c r="AL849" s="713">
        <v>46295</v>
      </c>
      <c r="AM849" s="1292">
        <v>46296.75</v>
      </c>
      <c r="AN849" s="713">
        <v>46296</v>
      </c>
      <c r="AP849" s="462" t="s">
        <v>5948</v>
      </c>
      <c r="AQ849" s="462" t="s">
        <v>161</v>
      </c>
      <c r="AR849" s="462" t="s">
        <v>5949</v>
      </c>
      <c r="AS849" s="462">
        <v>274945948</v>
      </c>
      <c r="AT849" s="462">
        <v>274945948</v>
      </c>
      <c r="AU8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849" s="713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4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713">
        <f>IF(ISERROR(PV_DATA[[#This Row],[New Ark PO status]]),"",_xlfn.XLOOKUP(PV_DATA[[#This Row],[SPTN-PVHK New Ark PO'#]],New_Ark_Data[Purchase order Number],New_Ark_Data[Estimated time of arrival],"",0))</f>
        <v>46309</v>
      </c>
      <c r="AZ849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713">
        <f>IFERROR(PV_DATA[[#This Row],[ODP ETA Port]]+PV_DATA[[#This Row],[Customs/Leg3 Assumption]],"n/a")</f>
        <v>46304</v>
      </c>
      <c r="BB849" s="946">
        <f>YEAR(PV_DATA[[#This Row],[ETA for New Ark update]])</f>
        <v>2026</v>
      </c>
      <c r="BC849" s="462">
        <f>MONTH(PV_DATA[[#This Row],[ETA for New Ark update]])</f>
        <v>10</v>
      </c>
      <c r="BD849" s="462">
        <f>IFERROR(_xlfn.ISOWEEKNUM(PV_DATA[[#This Row],[ETA for New Ark update]]),0)</f>
        <v>41</v>
      </c>
      <c r="BE849" s="462">
        <f>_xlfn.XLOOKUP(PV_DATA[[#This Row],[New Ark SKU]],Table9[New Ark SKU],Table9[Total PCS per Pallet],,0)</f>
        <v>36</v>
      </c>
      <c r="BF849" s="462">
        <f>_xlfn.XLOOKUP(PV_DATA[[#This Row],[New Ark SKU]],Table9[New Ark SKU],Table9[Total PCS per 40HQ Container],,0)</f>
        <v>864</v>
      </c>
      <c r="BG849" s="462" t="str">
        <f>_xlfn.XLOOKUP(PV_DATA[[#This Row],[New Ark SKU]],Table9[New Ark SKU],Table9[Back Glass],,0)</f>
        <v>Black glazing</v>
      </c>
      <c r="BH849" s="462" t="str">
        <f>_xlfn.XLOOKUP(PV_DATA[[#This Row],[PORT DESTINATION]],Table12[PORT DESTINATION],Table12[Cosco Line],,0)</f>
        <v>AEM</v>
      </c>
    </row>
    <row r="850" spans="1:60" s="462" customFormat="1" ht="10.5">
      <c r="A850" s="462" t="s">
        <v>5950</v>
      </c>
      <c r="B850" s="462" t="s">
        <v>61</v>
      </c>
      <c r="C850" s="462" t="str">
        <f>IFERROR(LEFT(PV_DATA[[#This Row],[TCL REFERENCE]],FIND(".",PV_DATA[[#This Row],[TCL REFERENCE]],1)-1),"Main Line")</f>
        <v>26Jul011</v>
      </c>
      <c r="D850" s="462" t="s">
        <v>63</v>
      </c>
      <c r="E850" s="462" t="s">
        <v>64</v>
      </c>
      <c r="F850" s="462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2" t="s">
        <v>402</v>
      </c>
      <c r="H850" s="462" t="s">
        <v>67</v>
      </c>
      <c r="I850" s="462" t="s">
        <v>1395</v>
      </c>
      <c r="J850" s="462" t="s">
        <v>96</v>
      </c>
      <c r="M850" s="462" t="s">
        <v>68</v>
      </c>
      <c r="N850" s="712">
        <v>46209</v>
      </c>
      <c r="O850" s="462" t="s">
        <v>284</v>
      </c>
      <c r="P850" s="462" t="s">
        <v>5583</v>
      </c>
      <c r="Q850" s="462" t="s">
        <v>1570</v>
      </c>
      <c r="R850" s="430" t="str">
        <f>_xlfn.XLOOKUP(PV_DATA[[#This Row],[New Ark SKU]],Table9[New Ark SKU],Table9[Connector],,0)</f>
        <v>H4(Com)</v>
      </c>
      <c r="S850" s="433" t="str">
        <f>_xlfn.XLOOKUP(PV_DATA[[#This Row],[New Ark SKU]],Table9[New Ark SKU],Table9[Cable],,0)</f>
        <v>±1400mm</v>
      </c>
      <c r="T850" s="946">
        <v>650</v>
      </c>
      <c r="U850" s="1095">
        <v>720</v>
      </c>
      <c r="V850" s="458">
        <f>PV_DATA[[#This Row],[QUANTITY]]*PV_DATA[[#This Row],[WATT]]/1000000</f>
        <v>0.46800000000000003</v>
      </c>
      <c r="W850" s="714">
        <f>PV_DATA[[#This Row],[QUANTITY]]/PV_DATA[[#This Row],[Qty/Pallet]]</f>
        <v>20</v>
      </c>
      <c r="X850" s="1042">
        <f>PV_DATA[[#This Row],[QUANTITY]]/PV_DATA[[#This Row],[Qty/CT]]</f>
        <v>1</v>
      </c>
      <c r="Y850" s="462" t="s">
        <v>2463</v>
      </c>
      <c r="Z850" s="462" t="str">
        <f t="shared" si="10"/>
        <v>IN-TRANSIT</v>
      </c>
      <c r="AB850" s="713">
        <v>46238</v>
      </c>
      <c r="AC850" s="947">
        <f>IF(PV_DATA[[#This Row],[Pick- Up Date]]&lt;&gt;"",_xlfn.ISOWEEKNUM(PV_DATA[[#This Row],[Pick- Up Date]]),"")</f>
        <v>32</v>
      </c>
      <c r="AD850" s="462" t="s">
        <v>5951</v>
      </c>
      <c r="AF850" s="462" t="s">
        <v>61</v>
      </c>
      <c r="AG850" s="462" t="s">
        <v>61</v>
      </c>
      <c r="AH850" s="462" t="s">
        <v>78</v>
      </c>
      <c r="AI850" s="713">
        <v>46243</v>
      </c>
      <c r="AJ850" s="713">
        <f>IFERROR(VLOOKUP(AT850, Vessel!A:D, 4, FALSE), "")</f>
        <v>46243.166666666664</v>
      </c>
      <c r="AK850" s="437">
        <f>IFERROR(IF(VLOOKUP(AT850,Vessel!A:F,5,FALSE)=0,"",VLOOKUP(AT850,Vessel!A:F,5,FALSE)),"")</f>
        <v>46243.192557870374</v>
      </c>
      <c r="AL850" s="713">
        <v>46314</v>
      </c>
      <c r="AM850" s="949">
        <f>IFERROR(VLOOKUP(AT850, Vessel!A:H, 8, FALSE), "")</f>
        <v>46336.791666666664</v>
      </c>
      <c r="AN850" s="949" t="str">
        <f>IFERROR(IF(VLOOKUP(AT850,Vessel!A:I,9,FALSE)=0,"",VLOOKUP(AT850,Vessel!A:I,9,FALSE)),"")</f>
        <v/>
      </c>
      <c r="AP850" s="462" t="s">
        <v>5952</v>
      </c>
      <c r="AQ850" s="950" t="s">
        <v>80</v>
      </c>
      <c r="AR850" s="462" t="s">
        <v>5953</v>
      </c>
      <c r="AS850" s="462" t="s">
        <v>5954</v>
      </c>
      <c r="AT850" s="462" t="s">
        <v>5954</v>
      </c>
      <c r="AU8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93.599108796290238</v>
      </c>
      <c r="AW850" s="713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85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13">
        <f>IF(ISERROR(PV_DATA[[#This Row],[New Ark PO status]]),"",_xlfn.XLOOKUP(PV_DATA[[#This Row],[SPTN-PVHK New Ark PO'#]],New_Ark_Data[Purchase order Number],New_Ark_Data[Estimated time of arrival],"",0))</f>
        <v>46342</v>
      </c>
      <c r="AZ850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13">
        <f>IFERROR(PV_DATA[[#This Row],[ODP ETA Port]]+PV_DATA[[#This Row],[Customs/Leg3 Assumption]],"n/a")</f>
        <v>46344.791666666664</v>
      </c>
      <c r="BB850" s="946">
        <f>YEAR(PV_DATA[[#This Row],[ETA for New Ark update]])</f>
        <v>2026</v>
      </c>
      <c r="BC850" s="462">
        <f>MONTH(PV_DATA[[#This Row],[ETA for New Ark update]])</f>
        <v>11</v>
      </c>
      <c r="BD850" s="462">
        <f>IFERROR(_xlfn.ISOWEEKNUM(PV_DATA[[#This Row],[ETA for New Ark update]]),0)</f>
        <v>47</v>
      </c>
      <c r="BE850" s="462">
        <f>_xlfn.XLOOKUP(PV_DATA[[#This Row],[New Ark SKU]],Table9[New Ark SKU],Table9[Total PCS per Pallet],,0)</f>
        <v>36</v>
      </c>
      <c r="BF850" s="462">
        <f>_xlfn.XLOOKUP(PV_DATA[[#This Row],[New Ark SKU]],Table9[New Ark SKU],Table9[Total PCS per 40HQ Container],,0)</f>
        <v>720</v>
      </c>
      <c r="BG850" s="462" t="str">
        <f>_xlfn.XLOOKUP(PV_DATA[[#This Row],[New Ark SKU]],Table9[New Ark SKU],Table9[Back Glass],,0)</f>
        <v>White glazing</v>
      </c>
      <c r="BH850" s="462" t="str">
        <f>_xlfn.XLOOKUP(PV_DATA[[#This Row],[PORT DESTINATION]],Table12[PORT DESTINATION],Table12[Cosco Line],,0)</f>
        <v>AEM</v>
      </c>
    </row>
    <row r="851" spans="1:60" s="462" customFormat="1" ht="10.5">
      <c r="A851" s="462" t="s">
        <v>5955</v>
      </c>
      <c r="B851" s="462" t="s">
        <v>61</v>
      </c>
      <c r="C851" s="462" t="str">
        <f>IFERROR(LEFT(PV_DATA[[#This Row],[TCL REFERENCE]],FIND(".",PV_DATA[[#This Row],[TCL REFERENCE]],1)-1),"Main Line")</f>
        <v>26Jul011</v>
      </c>
      <c r="D851" s="462" t="s">
        <v>63</v>
      </c>
      <c r="E851" s="462" t="s">
        <v>64</v>
      </c>
      <c r="F851" s="462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1" s="462" t="s">
        <v>402</v>
      </c>
      <c r="H851" s="462" t="s">
        <v>311</v>
      </c>
      <c r="I851" s="462" t="s">
        <v>1395</v>
      </c>
      <c r="J851" s="462" t="s">
        <v>96</v>
      </c>
      <c r="M851" s="462" t="s">
        <v>68</v>
      </c>
      <c r="N851" s="712">
        <v>46202</v>
      </c>
      <c r="O851" s="462" t="s">
        <v>284</v>
      </c>
      <c r="P851" s="462" t="s">
        <v>5583</v>
      </c>
      <c r="Q851" s="462" t="s">
        <v>1570</v>
      </c>
      <c r="R851" s="430" t="str">
        <f>_xlfn.XLOOKUP(PV_DATA[[#This Row],[New Ark SKU]],Table9[New Ark SKU],Table9[Connector],,0)</f>
        <v>H4(Com)</v>
      </c>
      <c r="S851" s="433" t="str">
        <f>_xlfn.XLOOKUP(PV_DATA[[#This Row],[New Ark SKU]],Table9[New Ark SKU],Table9[Cable],,0)</f>
        <v>±1400mm</v>
      </c>
      <c r="T851" s="946">
        <v>650</v>
      </c>
      <c r="U851" s="1095">
        <v>720</v>
      </c>
      <c r="V851" s="458">
        <f>PV_DATA[[#This Row],[QUANTITY]]*PV_DATA[[#This Row],[WATT]]/1000000</f>
        <v>0.46800000000000003</v>
      </c>
      <c r="W851" s="714">
        <f>PV_DATA[[#This Row],[QUANTITY]]/PV_DATA[[#This Row],[Qty/Pallet]]</f>
        <v>20</v>
      </c>
      <c r="X851" s="1042">
        <f>PV_DATA[[#This Row],[QUANTITY]]/PV_DATA[[#This Row],[Qty/CT]]</f>
        <v>1</v>
      </c>
      <c r="Y851" s="462" t="s">
        <v>2463</v>
      </c>
      <c r="Z851" s="462" t="str">
        <f t="shared" si="10"/>
        <v>IN-TRANSIT</v>
      </c>
      <c r="AA851" s="462" t="s">
        <v>5497</v>
      </c>
      <c r="AB851" s="713">
        <v>46238</v>
      </c>
      <c r="AC851" s="947">
        <f>IF(PV_DATA[[#This Row],[Pick- Up Date]]&lt;&gt;"",_xlfn.ISOWEEKNUM(PV_DATA[[#This Row],[Pick- Up Date]]),"")</f>
        <v>32</v>
      </c>
      <c r="AD851" s="462" t="s">
        <v>5956</v>
      </c>
      <c r="AF851" s="462" t="s">
        <v>61</v>
      </c>
      <c r="AG851" s="462" t="s">
        <v>61</v>
      </c>
      <c r="AH851" s="462" t="s">
        <v>1561</v>
      </c>
      <c r="AI851" s="713">
        <v>46243</v>
      </c>
      <c r="AJ851" s="713">
        <f>IFERROR(VLOOKUP(AT851, Vessel!A:D, 4, FALSE), "")</f>
        <v>46243.166666666664</v>
      </c>
      <c r="AK851" s="437">
        <f>IFERROR(IF(VLOOKUP(AT851,Vessel!A:F,5,FALSE)=0,"",VLOOKUP(AT851,Vessel!A:F,5,FALSE)),"")</f>
        <v>46243.192557870374</v>
      </c>
      <c r="AL851" s="713">
        <v>46306</v>
      </c>
      <c r="AM851" s="949">
        <f>IFERROR(VLOOKUP(AT851, Vessel!A:H, 8, FALSE), "")</f>
        <v>46334.75</v>
      </c>
      <c r="AN851" s="949" t="str">
        <f>IFERROR(IF(VLOOKUP(AT851,Vessel!A:I,9,FALSE)=0,"",VLOOKUP(AT851,Vessel!A:I,9,FALSE)),"")</f>
        <v/>
      </c>
      <c r="AP851" s="462" t="s">
        <v>5952</v>
      </c>
      <c r="AQ851" s="950" t="s">
        <v>80</v>
      </c>
      <c r="AR851" s="462" t="s">
        <v>5957</v>
      </c>
      <c r="AS851" s="462" t="s">
        <v>5958</v>
      </c>
      <c r="AT851" s="462" t="s">
        <v>5958</v>
      </c>
      <c r="AU8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91.557442129625997</v>
      </c>
      <c r="AW851" s="713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46334.75</v>
      </c>
      <c r="AX85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13">
        <f>IF(ISERROR(PV_DATA[[#This Row],[New Ark PO status]]),"",_xlfn.XLOOKUP(PV_DATA[[#This Row],[SPTN-PVHK New Ark PO'#]],New_Ark_Data[Purchase order Number],New_Ark_Data[Estimated time of arrival],"",0))</f>
        <v>46321</v>
      </c>
      <c r="AZ851" s="946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1" s="713">
        <f>IFERROR(PV_DATA[[#This Row],[ODP ETA Port]]+PV_DATA[[#This Row],[Customs/Leg3 Assumption]],"n/a")</f>
        <v>46344.75</v>
      </c>
      <c r="BB851" s="946">
        <f>YEAR(PV_DATA[[#This Row],[ETA for New Ark update]])</f>
        <v>2026</v>
      </c>
      <c r="BC851" s="462">
        <f>MONTH(PV_DATA[[#This Row],[ETA for New Ark update]])</f>
        <v>11</v>
      </c>
      <c r="BD851" s="462">
        <f>IFERROR(_xlfn.ISOWEEKNUM(PV_DATA[[#This Row],[ETA for New Ark update]]),0)</f>
        <v>47</v>
      </c>
      <c r="BE851" s="462">
        <f>_xlfn.XLOOKUP(PV_DATA[[#This Row],[New Ark SKU]],Table9[New Ark SKU],Table9[Total PCS per Pallet],,0)</f>
        <v>36</v>
      </c>
      <c r="BF851" s="462">
        <f>_xlfn.XLOOKUP(PV_DATA[[#This Row],[New Ark SKU]],Table9[New Ark SKU],Table9[Total PCS per 40HQ Container],,0)</f>
        <v>720</v>
      </c>
      <c r="BG851" s="462" t="str">
        <f>_xlfn.XLOOKUP(PV_DATA[[#This Row],[New Ark SKU]],Table9[New Ark SKU],Table9[Back Glass],,0)</f>
        <v>White glazing</v>
      </c>
      <c r="BH851" s="462" t="str">
        <f>_xlfn.XLOOKUP(PV_DATA[[#This Row],[PORT DESTINATION]],Table12[PORT DESTINATION],Table12[Cosco Line],,0)</f>
        <v>AEM</v>
      </c>
    </row>
    <row r="852" spans="1:60" s="462" customFormat="1" ht="10.5">
      <c r="A852" s="462" t="s">
        <v>5959</v>
      </c>
      <c r="B852" s="462" t="s">
        <v>61</v>
      </c>
      <c r="C852" s="462" t="str">
        <f>IFERROR(LEFT(PV_DATA[[#This Row],[TCL REFERENCE]],FIND(".",PV_DATA[[#This Row],[TCL REFERENCE]],1)-1),"Main Line")</f>
        <v>26Jul011</v>
      </c>
      <c r="D852" s="462" t="s">
        <v>63</v>
      </c>
      <c r="E852" s="462" t="s">
        <v>64</v>
      </c>
      <c r="F852" s="462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2" t="s">
        <v>402</v>
      </c>
      <c r="H852" s="462" t="s">
        <v>311</v>
      </c>
      <c r="I852" s="462" t="s">
        <v>1395</v>
      </c>
      <c r="J852" s="462" t="s">
        <v>96</v>
      </c>
      <c r="M852" s="462" t="s">
        <v>68</v>
      </c>
      <c r="N852" s="712">
        <v>46202</v>
      </c>
      <c r="O852" s="462" t="s">
        <v>284</v>
      </c>
      <c r="P852" s="462" t="s">
        <v>5583</v>
      </c>
      <c r="Q852" s="462" t="s">
        <v>1570</v>
      </c>
      <c r="R852" s="430" t="str">
        <f>_xlfn.XLOOKUP(PV_DATA[[#This Row],[New Ark SKU]],Table9[New Ark SKU],Table9[Connector],,0)</f>
        <v>H4(Com)</v>
      </c>
      <c r="S852" s="433" t="str">
        <f>_xlfn.XLOOKUP(PV_DATA[[#This Row],[New Ark SKU]],Table9[New Ark SKU],Table9[Cable],,0)</f>
        <v>±1400mm</v>
      </c>
      <c r="T852" s="946">
        <v>650</v>
      </c>
      <c r="U852" s="1095">
        <v>2160</v>
      </c>
      <c r="V852" s="458">
        <f>PV_DATA[[#This Row],[QUANTITY]]*PV_DATA[[#This Row],[WATT]]/1000000</f>
        <v>1.4039999999999999</v>
      </c>
      <c r="W852" s="714">
        <f>PV_DATA[[#This Row],[QUANTITY]]/PV_DATA[[#This Row],[Qty/Pallet]]</f>
        <v>60</v>
      </c>
      <c r="X852" s="1042">
        <f>PV_DATA[[#This Row],[QUANTITY]]/PV_DATA[[#This Row],[Qty/CT]]</f>
        <v>3</v>
      </c>
      <c r="Y852" s="462" t="s">
        <v>2463</v>
      </c>
      <c r="Z852" s="462" t="str">
        <f t="shared" si="10"/>
        <v>IN-TRANSIT</v>
      </c>
      <c r="AA852" s="462" t="s">
        <v>5497</v>
      </c>
      <c r="AB852" s="713">
        <v>46238</v>
      </c>
      <c r="AC852" s="947">
        <f>IF(PV_DATA[[#This Row],[Pick- Up Date]]&lt;&gt;"",_xlfn.ISOWEEKNUM(PV_DATA[[#This Row],[Pick- Up Date]]),"")</f>
        <v>32</v>
      </c>
      <c r="AD852" s="462" t="s">
        <v>5960</v>
      </c>
      <c r="AF852" s="462" t="s">
        <v>61</v>
      </c>
      <c r="AG852" s="462" t="s">
        <v>61</v>
      </c>
      <c r="AH852" s="462" t="s">
        <v>1561</v>
      </c>
      <c r="AI852" s="713">
        <v>46243</v>
      </c>
      <c r="AJ852" s="713">
        <f>IFERROR(VLOOKUP(AT852, Vessel!A:D, 4, FALSE), "")</f>
        <v>46243.166666666664</v>
      </c>
      <c r="AK852" s="437">
        <f>IFERROR(IF(VLOOKUP(AT852,Vessel!A:F,5,FALSE)=0,"",VLOOKUP(AT852,Vessel!A:F,5,FALSE)),"")</f>
        <v>46243.192557870374</v>
      </c>
      <c r="AL852" s="713">
        <v>46306</v>
      </c>
      <c r="AM852" s="949"/>
      <c r="AN852" s="949" t="str">
        <f>IFERROR(IF(VLOOKUP(AT852,Vessel!A:I,9,FALSE)=0,"",VLOOKUP(AT852,Vessel!A:I,9,FALSE)),"")</f>
        <v/>
      </c>
      <c r="AP852" s="462" t="s">
        <v>5952</v>
      </c>
      <c r="AQ852" s="950" t="s">
        <v>80</v>
      </c>
      <c r="AR852" s="462" t="s">
        <v>5961</v>
      </c>
      <c r="AS852" s="462" t="s">
        <v>5962</v>
      </c>
      <c r="AT852" s="462" t="s">
        <v>5962</v>
      </c>
      <c r="AU8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2" s="713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13">
        <f>IF(ISERROR(PV_DATA[[#This Row],[New Ark PO status]]),"",_xlfn.XLOOKUP(PV_DATA[[#This Row],[SPTN-PVHK New Ark PO'#]],New_Ark_Data[Purchase order Number],New_Ark_Data[Estimated time of arrival],"",0))</f>
        <v>46331</v>
      </c>
      <c r="AZ852" s="946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2" s="713">
        <f>IFERROR(PV_DATA[[#This Row],[ODP ETA Port]]+PV_DATA[[#This Row],[Customs/Leg3 Assumption]],"n/a")</f>
        <v>46316</v>
      </c>
      <c r="BB852" s="946">
        <f>YEAR(PV_DATA[[#This Row],[ETA for New Ark update]])</f>
        <v>2026</v>
      </c>
      <c r="BC852" s="462">
        <f>MONTH(PV_DATA[[#This Row],[ETA for New Ark update]])</f>
        <v>10</v>
      </c>
      <c r="BD852" s="462">
        <f>IFERROR(_xlfn.ISOWEEKNUM(PV_DATA[[#This Row],[ETA for New Ark update]]),0)</f>
        <v>43</v>
      </c>
      <c r="BE852" s="462">
        <f>_xlfn.XLOOKUP(PV_DATA[[#This Row],[New Ark SKU]],Table9[New Ark SKU],Table9[Total PCS per Pallet],,0)</f>
        <v>36</v>
      </c>
      <c r="BF852" s="462">
        <f>_xlfn.XLOOKUP(PV_DATA[[#This Row],[New Ark SKU]],Table9[New Ark SKU],Table9[Total PCS per 40HQ Container],,0)</f>
        <v>720</v>
      </c>
      <c r="BG852" s="462" t="str">
        <f>_xlfn.XLOOKUP(PV_DATA[[#This Row],[New Ark SKU]],Table9[New Ark SKU],Table9[Back Glass],,0)</f>
        <v>White glazing</v>
      </c>
      <c r="BH852" s="462" t="str">
        <f>_xlfn.XLOOKUP(PV_DATA[[#This Row],[PORT DESTINATION]],Table12[PORT DESTINATION],Table12[Cosco Line],,0)</f>
        <v>AEM</v>
      </c>
    </row>
    <row r="853" spans="1:60" s="462" customFormat="1" ht="10.5">
      <c r="A853" s="462" t="s">
        <v>5963</v>
      </c>
      <c r="B853" s="462" t="s">
        <v>61</v>
      </c>
      <c r="C853" s="462" t="str">
        <f>IFERROR(LEFT(PV_DATA[[#This Row],[TCL REFERENCE]],FIND(".",PV_DATA[[#This Row],[TCL REFERENCE]],1)-1),"Main Line")</f>
        <v>26Jul011</v>
      </c>
      <c r="D853" s="462" t="s">
        <v>63</v>
      </c>
      <c r="E853" s="462" t="s">
        <v>64</v>
      </c>
      <c r="F853" s="462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3" s="462" t="s">
        <v>402</v>
      </c>
      <c r="H853" s="462" t="s">
        <v>67</v>
      </c>
      <c r="I853" s="462" t="s">
        <v>1395</v>
      </c>
      <c r="J853" s="462" t="s">
        <v>96</v>
      </c>
      <c r="M853" s="462" t="s">
        <v>68</v>
      </c>
      <c r="N853" s="712">
        <v>46209</v>
      </c>
      <c r="O853" s="462" t="s">
        <v>284</v>
      </c>
      <c r="P853" s="462" t="s">
        <v>5583</v>
      </c>
      <c r="Q853" s="462" t="s">
        <v>1570</v>
      </c>
      <c r="R853" s="430" t="str">
        <f>_xlfn.XLOOKUP(PV_DATA[[#This Row],[New Ark SKU]],Table9[New Ark SKU],Table9[Connector],,0)</f>
        <v>H4(Com)</v>
      </c>
      <c r="S853" s="433" t="str">
        <f>_xlfn.XLOOKUP(PV_DATA[[#This Row],[New Ark SKU]],Table9[New Ark SKU],Table9[Cable],,0)</f>
        <v>±1400mm</v>
      </c>
      <c r="T853" s="946">
        <v>650</v>
      </c>
      <c r="U853" s="1095">
        <v>2160</v>
      </c>
      <c r="V853" s="458">
        <f>PV_DATA[[#This Row],[QUANTITY]]*PV_DATA[[#This Row],[WATT]]/1000000</f>
        <v>1.4039999999999999</v>
      </c>
      <c r="W853" s="714">
        <f>PV_DATA[[#This Row],[QUANTITY]]/PV_DATA[[#This Row],[Qty/Pallet]]</f>
        <v>60</v>
      </c>
      <c r="X853" s="1042">
        <f>PV_DATA[[#This Row],[QUANTITY]]/PV_DATA[[#This Row],[Qty/CT]]</f>
        <v>3</v>
      </c>
      <c r="Y853" s="462" t="s">
        <v>2463</v>
      </c>
      <c r="Z853" s="462" t="str">
        <f t="shared" si="10"/>
        <v>COMPLETED</v>
      </c>
      <c r="AB853" s="713">
        <v>46238</v>
      </c>
      <c r="AC853" s="947">
        <f>IF(PV_DATA[[#This Row],[Pick- Up Date]]&lt;&gt;"",_xlfn.ISOWEEKNUM(PV_DATA[[#This Row],[Pick- Up Date]]),"")</f>
        <v>32</v>
      </c>
      <c r="AD853" s="462" t="s">
        <v>5964</v>
      </c>
      <c r="AF853" s="462" t="s">
        <v>77</v>
      </c>
      <c r="AG853" s="462" t="s">
        <v>61</v>
      </c>
      <c r="AH853" s="462" t="s">
        <v>105</v>
      </c>
      <c r="AI853" s="713">
        <v>46243</v>
      </c>
      <c r="AJ853" s="713">
        <f>IFERROR(IF(VLOOKUP(AT853,Vessel!A:D,4,FALSE)=0,"",VLOOKUP(AT853,Vessel!A:D,4,FALSE)),"")</f>
        <v>46243.166666666664</v>
      </c>
      <c r="AK853" s="437">
        <f>IFERROR(IF(VLOOKUP(AT853,Vessel!A:F,5,FALSE)=0,"",VLOOKUP(AT853,Vessel!A:F,5,FALSE)),"")</f>
        <v>46243.192557870374</v>
      </c>
      <c r="AL853" s="713">
        <v>46287</v>
      </c>
      <c r="AM853" s="949">
        <f>IFERROR(VLOOKUP(AT853, Vessel!A:H, 8, FALSE), "")</f>
        <v>46289.958333333336</v>
      </c>
      <c r="AN853" s="949">
        <f>IFERROR(IF(VLOOKUP(AT853,Vessel!A:I,9,FALSE)=0,"",VLOOKUP(AT853,Vessel!A:I,9,FALSE)),"")</f>
        <v>46290.180347222224</v>
      </c>
      <c r="AP853" s="462" t="s">
        <v>5952</v>
      </c>
      <c r="AQ853" s="462" t="s">
        <v>80</v>
      </c>
      <c r="AR853" s="462" t="s">
        <v>5965</v>
      </c>
      <c r="AS853" s="462" t="s">
        <v>5966</v>
      </c>
      <c r="AT853" s="462" t="s">
        <v>5966</v>
      </c>
      <c r="AU8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46.987789351849642</v>
      </c>
      <c r="AW853" s="713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5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13">
        <f>IF(ISERROR(PV_DATA[[#This Row],[New Ark PO status]]),"",_xlfn.XLOOKUP(PV_DATA[[#This Row],[SPTN-PVHK New Ark PO'#]],New_Ark_Data[Purchase order Number],New_Ark_Data[Estimated time of arrival],"",0))</f>
        <v>46303</v>
      </c>
      <c r="AZ853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3" s="713">
        <f>IFERROR(PV_DATA[[#This Row],[ODP ETA Port]]+PV_DATA[[#This Row],[Customs/Leg3 Assumption]],"n/a")</f>
        <v>46297.180347222224</v>
      </c>
      <c r="BB853" s="946">
        <f>YEAR(PV_DATA[[#This Row],[ETA for New Ark update]])</f>
        <v>2026</v>
      </c>
      <c r="BC853" s="462">
        <f>MONTH(PV_DATA[[#This Row],[ETA for New Ark update]])</f>
        <v>10</v>
      </c>
      <c r="BD853" s="462">
        <f>IFERROR(_xlfn.ISOWEEKNUM(PV_DATA[[#This Row],[ETA for New Ark update]]),0)</f>
        <v>40</v>
      </c>
      <c r="BE853" s="462">
        <f>_xlfn.XLOOKUP(PV_DATA[[#This Row],[New Ark SKU]],Table9[New Ark SKU],Table9[Total PCS per Pallet],,0)</f>
        <v>36</v>
      </c>
      <c r="BF853" s="462">
        <f>_xlfn.XLOOKUP(PV_DATA[[#This Row],[New Ark SKU]],Table9[New Ark SKU],Table9[Total PCS per 40HQ Container],,0)</f>
        <v>720</v>
      </c>
      <c r="BG853" s="462" t="str">
        <f>_xlfn.XLOOKUP(PV_DATA[[#This Row],[New Ark SKU]],Table9[New Ark SKU],Table9[Back Glass],,0)</f>
        <v>White glazing</v>
      </c>
      <c r="BH853" s="462" t="str">
        <f>_xlfn.XLOOKUP(PV_DATA[[#This Row],[PORT DESTINATION]],Table12[PORT DESTINATION],Table12[Cosco Line],,0)</f>
        <v>AEU</v>
      </c>
    </row>
    <row r="854" spans="1:60" s="462" customFormat="1" ht="10.5">
      <c r="A854" s="462" t="s">
        <v>5967</v>
      </c>
      <c r="B854" s="462" t="s">
        <v>61</v>
      </c>
      <c r="C854" s="462" t="str">
        <f>IFERROR(LEFT(PV_DATA[[#This Row],[TCL REFERENCE]],FIND(".",PV_DATA[[#This Row],[TCL REFERENCE]],1)-1),"Main Line")</f>
        <v>26Jul011</v>
      </c>
      <c r="D854" s="462" t="s">
        <v>63</v>
      </c>
      <c r="E854" s="462" t="s">
        <v>64</v>
      </c>
      <c r="F854" s="462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2" t="s">
        <v>402</v>
      </c>
      <c r="H854" s="462" t="s">
        <v>67</v>
      </c>
      <c r="I854" s="462" t="s">
        <v>1395</v>
      </c>
      <c r="J854" s="462" t="s">
        <v>96</v>
      </c>
      <c r="M854" s="462" t="s">
        <v>68</v>
      </c>
      <c r="N854" s="712">
        <v>46209</v>
      </c>
      <c r="O854" s="462" t="s">
        <v>284</v>
      </c>
      <c r="P854" s="462" t="s">
        <v>5583</v>
      </c>
      <c r="Q854" s="462" t="s">
        <v>1570</v>
      </c>
      <c r="R854" s="430" t="str">
        <f>_xlfn.XLOOKUP(PV_DATA[[#This Row],[New Ark SKU]],Table9[New Ark SKU],Table9[Connector],,0)</f>
        <v>H4(Com)</v>
      </c>
      <c r="S854" s="433" t="str">
        <f>_xlfn.XLOOKUP(PV_DATA[[#This Row],[New Ark SKU]],Table9[New Ark SKU],Table9[Cable],,0)</f>
        <v>±1400mm</v>
      </c>
      <c r="T854" s="946">
        <v>650</v>
      </c>
      <c r="U854" s="1095">
        <v>1440</v>
      </c>
      <c r="V854" s="458">
        <f>PV_DATA[[#This Row],[QUANTITY]]*PV_DATA[[#This Row],[WATT]]/1000000</f>
        <v>0.93600000000000005</v>
      </c>
      <c r="W854" s="714">
        <f>PV_DATA[[#This Row],[QUANTITY]]/PV_DATA[[#This Row],[Qty/Pallet]]</f>
        <v>40</v>
      </c>
      <c r="X854" s="1042">
        <f>PV_DATA[[#This Row],[QUANTITY]]/PV_DATA[[#This Row],[Qty/CT]]</f>
        <v>2</v>
      </c>
      <c r="Y854" s="462" t="s">
        <v>2463</v>
      </c>
      <c r="Z854" s="462" t="str">
        <f t="shared" si="10"/>
        <v>COMPLETED</v>
      </c>
      <c r="AB854" s="713">
        <v>46238</v>
      </c>
      <c r="AC854" s="947">
        <f>IF(PV_DATA[[#This Row],[Pick- Up Date]]&lt;&gt;"",_xlfn.ISOWEEKNUM(PV_DATA[[#This Row],[Pick- Up Date]]),"")</f>
        <v>32</v>
      </c>
      <c r="AD854" s="462" t="s">
        <v>5968</v>
      </c>
      <c r="AF854" s="462" t="s">
        <v>77</v>
      </c>
      <c r="AG854" s="462" t="s">
        <v>61</v>
      </c>
      <c r="AH854" s="462" t="s">
        <v>105</v>
      </c>
      <c r="AI854" s="713">
        <v>46243</v>
      </c>
      <c r="AJ854" s="713">
        <f>IFERROR(IF(VLOOKUP(AT854,Vessel!A:D,4,FALSE)=0,"",VLOOKUP(AT854,Vessel!A:D,4,FALSE)),"")</f>
        <v>46243.166666666664</v>
      </c>
      <c r="AK854" s="437">
        <f>IFERROR(IF(VLOOKUP(AT854,Vessel!A:F,5,FALSE)=0,"",VLOOKUP(AT854,Vessel!A:F,5,FALSE)),"")</f>
        <v>46243.192557870374</v>
      </c>
      <c r="AL854" s="713">
        <v>46287</v>
      </c>
      <c r="AM854" s="949">
        <f>IFERROR(VLOOKUP(AT854, Vessel!A:H, 8, FALSE), "")</f>
        <v>46289.958333333336</v>
      </c>
      <c r="AN854" s="949">
        <f>IFERROR(IF(VLOOKUP(AT854,Vessel!A:I,9,FALSE)=0,"",VLOOKUP(AT854,Vessel!A:I,9,FALSE)),"")</f>
        <v>46290.180347222224</v>
      </c>
      <c r="AP854" s="462" t="s">
        <v>5952</v>
      </c>
      <c r="AQ854" s="462" t="s">
        <v>80</v>
      </c>
      <c r="AR854" s="462" t="s">
        <v>5969</v>
      </c>
      <c r="AS854" s="462" t="s">
        <v>5970</v>
      </c>
      <c r="AT854" s="462" t="s">
        <v>5970</v>
      </c>
      <c r="AU8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46.987789351849642</v>
      </c>
      <c r="AW854" s="713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5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13">
        <f>IF(ISERROR(PV_DATA[[#This Row],[New Ark PO status]]),"",_xlfn.XLOOKUP(PV_DATA[[#This Row],[SPTN-PVHK New Ark PO'#]],New_Ark_Data[Purchase order Number],New_Ark_Data[Estimated time of arrival],"",0))</f>
        <v>46303</v>
      </c>
      <c r="AZ854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13">
        <f>IFERROR(PV_DATA[[#This Row],[ODP ETA Port]]+PV_DATA[[#This Row],[Customs/Leg3 Assumption]],"n/a")</f>
        <v>46297.180347222224</v>
      </c>
      <c r="BB854" s="946">
        <f>YEAR(PV_DATA[[#This Row],[ETA for New Ark update]])</f>
        <v>2026</v>
      </c>
      <c r="BC854" s="462">
        <f>MONTH(PV_DATA[[#This Row],[ETA for New Ark update]])</f>
        <v>10</v>
      </c>
      <c r="BD854" s="462">
        <f>IFERROR(_xlfn.ISOWEEKNUM(PV_DATA[[#This Row],[ETA for New Ark update]]),0)</f>
        <v>40</v>
      </c>
      <c r="BE854" s="462">
        <f>_xlfn.XLOOKUP(PV_DATA[[#This Row],[New Ark SKU]],Table9[New Ark SKU],Table9[Total PCS per Pallet],,0)</f>
        <v>36</v>
      </c>
      <c r="BF854" s="462">
        <f>_xlfn.XLOOKUP(PV_DATA[[#This Row],[New Ark SKU]],Table9[New Ark SKU],Table9[Total PCS per 40HQ Container],,0)</f>
        <v>720</v>
      </c>
      <c r="BG854" s="462" t="str">
        <f>_xlfn.XLOOKUP(PV_DATA[[#This Row],[New Ark SKU]],Table9[New Ark SKU],Table9[Back Glass],,0)</f>
        <v>White glazing</v>
      </c>
      <c r="BH854" s="462" t="str">
        <f>_xlfn.XLOOKUP(PV_DATA[[#This Row],[PORT DESTINATION]],Table12[PORT DESTINATION],Table12[Cosco Line],,0)</f>
        <v>AEU</v>
      </c>
    </row>
    <row r="855" spans="1:60" s="439" customFormat="1" ht="10.5">
      <c r="A855" s="439" t="s">
        <v>5971</v>
      </c>
      <c r="B855" s="439" t="s">
        <v>61</v>
      </c>
      <c r="C855" s="439" t="str">
        <f>IFERROR(LEFT(PV_DATA[[#This Row],[TCL REFERENCE]],FIND(".",PV_DATA[[#This Row],[TCL REFERENCE]],1)-1),"Main Line")</f>
        <v>26May007</v>
      </c>
      <c r="D855" s="439" t="s">
        <v>63</v>
      </c>
      <c r="E855" s="439" t="s">
        <v>64</v>
      </c>
      <c r="F855" s="439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39" t="s">
        <v>402</v>
      </c>
      <c r="H855" s="439" t="s">
        <v>67</v>
      </c>
      <c r="I855" s="439" t="s">
        <v>689</v>
      </c>
      <c r="J855" s="439" t="s">
        <v>96</v>
      </c>
      <c r="K855" s="725"/>
      <c r="L855" s="725"/>
      <c r="M855" s="439" t="s">
        <v>68</v>
      </c>
      <c r="N855" s="715">
        <v>45809</v>
      </c>
      <c r="O855" s="439" t="s">
        <v>4531</v>
      </c>
      <c r="P855" s="439" t="s">
        <v>195</v>
      </c>
      <c r="Q855" s="439" t="s">
        <v>196</v>
      </c>
      <c r="R855" s="430" t="str">
        <f>_xlfn.XLOOKUP(PV_DATA[[#This Row],[New Ark SKU]],Table9[New Ark SKU],Table9[Connector],,0)</f>
        <v>EVO2A</v>
      </c>
      <c r="S855" s="433" t="str">
        <f>_xlfn.XLOOKUP(PV_DATA[[#This Row],[New Ark SKU]],Table9[New Ark SKU],Table9[Cable],,0)</f>
        <v>±1200mm</v>
      </c>
      <c r="T855" s="722">
        <v>450</v>
      </c>
      <c r="U855" s="1169">
        <v>2808</v>
      </c>
      <c r="V855" s="1178">
        <f>PV_DATA[[#This Row],[QUANTITY]]*PV_DATA[[#This Row],[WATT]]/1000000</f>
        <v>1.2636000000000001</v>
      </c>
      <c r="W855" s="1171">
        <f>PV_DATA[[#This Row],[QUANTITY]]/PV_DATA[[#This Row],[Qty/Pallet]]</f>
        <v>78</v>
      </c>
      <c r="X855" s="1179">
        <f>PV_DATA[[#This Row],[QUANTITY]]/PV_DATA[[#This Row],[Qty/CT]]</f>
        <v>3</v>
      </c>
      <c r="Y855" s="439" t="s">
        <v>2461</v>
      </c>
      <c r="Z855" s="439" t="str">
        <f t="shared" si="10"/>
        <v>COMPLETED</v>
      </c>
      <c r="AA855" s="439" t="s">
        <v>4889</v>
      </c>
      <c r="AB855" s="719">
        <v>46238</v>
      </c>
      <c r="AC855" s="1180">
        <f>IF(PV_DATA[[#This Row],[Pick- Up Date]]&lt;&gt;"",_xlfn.ISOWEEKNUM(PV_DATA[[#This Row],[Pick- Up Date]]),"")</f>
        <v>32</v>
      </c>
      <c r="AD855" s="439" t="s">
        <v>5972</v>
      </c>
      <c r="AF855" s="439" t="s">
        <v>61</v>
      </c>
      <c r="AG855" s="439" t="s">
        <v>61</v>
      </c>
      <c r="AH855" s="439" t="s">
        <v>105</v>
      </c>
      <c r="AI855" s="719">
        <v>46243</v>
      </c>
      <c r="AJ855" s="719">
        <f>IFERROR(IF(VLOOKUP(AT855,Vessel!A:D,4,FALSE)=0,"",VLOOKUP(AT855,Vessel!A:D,4,FALSE)),"")</f>
        <v>46243.166666666664</v>
      </c>
      <c r="AK855" s="441">
        <f>IFERROR(IF(VLOOKUP(AT855,Vessel!A:F,5,FALSE)=0,"",VLOOKUP(AT855,Vessel!A:F,5,FALSE)),"")</f>
        <v>46243.192557870374</v>
      </c>
      <c r="AL855" s="719">
        <v>46287</v>
      </c>
      <c r="AM855" s="1174">
        <f>IFERROR(VLOOKUP(AT855, Vessel!A:H, 8, FALSE), "")</f>
        <v>46289.958333333336</v>
      </c>
      <c r="AN855" s="1174">
        <f>IFERROR(IF(VLOOKUP(AT855,Vessel!A:I,9,FALSE)=0,"",VLOOKUP(AT855,Vessel!A:I,9,FALSE)),"")</f>
        <v>46290.180347222224</v>
      </c>
      <c r="AP855" s="439" t="s">
        <v>5952</v>
      </c>
      <c r="AQ855" s="439" t="s">
        <v>80</v>
      </c>
      <c r="AR855" s="439" t="s">
        <v>5973</v>
      </c>
      <c r="AS855" s="439" t="s">
        <v>5974</v>
      </c>
      <c r="AT855" s="439" t="s">
        <v>5974</v>
      </c>
      <c r="AU8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46.987789351849642</v>
      </c>
      <c r="AV855" s="719"/>
      <c r="AW855" s="719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55" s="7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19">
        <f>IF(ISERROR(PV_DATA[[#This Row],[New Ark PO status]]),"",_xlfn.XLOOKUP(PV_DATA[[#This Row],[SPTN-PVHK New Ark PO'#]],New_Ark_Data[Purchase order Number],New_Ark_Data[Estimated time of arrival],"",0))</f>
        <v>46303</v>
      </c>
      <c r="AZ855" s="7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19">
        <f>IFERROR(PV_DATA[[#This Row],[ODP ETA Port]]+PV_DATA[[#This Row],[Customs/Leg3 Assumption]],"n/a")</f>
        <v>46297.180347222224</v>
      </c>
      <c r="BB855" s="722">
        <f>YEAR(PV_DATA[[#This Row],[ETA for New Ark update]])</f>
        <v>2026</v>
      </c>
      <c r="BC855" s="439">
        <f>MONTH(PV_DATA[[#This Row],[ETA for New Ark update]])</f>
        <v>10</v>
      </c>
      <c r="BD855" s="439">
        <f>IFERROR(_xlfn.ISOWEEKNUM(PV_DATA[[#This Row],[ETA for New Ark update]]),0)</f>
        <v>40</v>
      </c>
      <c r="BE855" s="439">
        <f>_xlfn.XLOOKUP(PV_DATA[[#This Row],[New Ark SKU]],Table9[New Ark SKU],Table9[Total PCS per Pallet],,0)</f>
        <v>36</v>
      </c>
      <c r="BF855" s="439">
        <f>_xlfn.XLOOKUP(PV_DATA[[#This Row],[New Ark SKU]],Table9[New Ark SKU],Table9[Total PCS per 40HQ Container],,0)</f>
        <v>936</v>
      </c>
      <c r="BG855" s="439" t="str">
        <f>_xlfn.XLOOKUP(PV_DATA[[#This Row],[New Ark SKU]],Table9[New Ark SKU],Table9[Back Glass],,0)</f>
        <v>Black glazing</v>
      </c>
      <c r="BH855" s="439" t="str">
        <f>_xlfn.XLOOKUP(PV_DATA[[#This Row],[PORT DESTINATION]],Table12[PORT DESTINATION],Table12[Cosco Line],,0)</f>
        <v>AEU</v>
      </c>
    </row>
    <row r="856" spans="1:60" s="462" customFormat="1" ht="10.5">
      <c r="A856" s="462" t="s">
        <v>5975</v>
      </c>
      <c r="B856" s="462" t="s">
        <v>1757</v>
      </c>
      <c r="C856" s="462" t="str">
        <f>IFERROR(LEFT(PV_DATA[[#This Row],[TCL REFERENCE]],FIND(".",PV_DATA[[#This Row],[TCL REFERENCE]],1)-1),"Main Line")</f>
        <v>26Jul008</v>
      </c>
      <c r="D856" s="462" t="s">
        <v>63</v>
      </c>
      <c r="E856" s="462" t="s">
        <v>64</v>
      </c>
      <c r="F856" s="462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6" s="462" t="s">
        <v>402</v>
      </c>
      <c r="H856" s="462" t="s">
        <v>451</v>
      </c>
      <c r="I856" s="462" t="s">
        <v>882</v>
      </c>
      <c r="J856" s="462" t="s">
        <v>5666</v>
      </c>
      <c r="M856" s="462" t="s">
        <v>68</v>
      </c>
      <c r="N856" s="712">
        <v>46209</v>
      </c>
      <c r="O856" s="462" t="s">
        <v>4531</v>
      </c>
      <c r="P856" s="462" t="s">
        <v>1151</v>
      </c>
      <c r="Q856" s="462" t="s">
        <v>421</v>
      </c>
      <c r="R856" s="430" t="str">
        <f>_xlfn.XLOOKUP(PV_DATA[[#This Row],[New Ark SKU]],Table9[New Ark SKU],Table9[Connector],,0)</f>
        <v>EVO2A</v>
      </c>
      <c r="S856" s="433" t="str">
        <f>_xlfn.XLOOKUP(PV_DATA[[#This Row],[New Ark SKU]],Table9[New Ark SKU],Table9[Cable],,0)</f>
        <v>±1200mm</v>
      </c>
      <c r="T856" s="946">
        <v>505</v>
      </c>
      <c r="U856" s="1095">
        <v>1728</v>
      </c>
      <c r="V856" s="458">
        <f>PV_DATA[[#This Row],[QUANTITY]]*PV_DATA[[#This Row],[WATT]]/1000000</f>
        <v>0.87263999999999997</v>
      </c>
      <c r="W856" s="714">
        <f>PV_DATA[[#This Row],[QUANTITY]]/PV_DATA[[#This Row],[Qty/Pallet]]</f>
        <v>48</v>
      </c>
      <c r="X856" s="1042">
        <f>PV_DATA[[#This Row],[QUANTITY]]/PV_DATA[[#This Row],[Qty/CT]]</f>
        <v>2</v>
      </c>
      <c r="Y856" s="462" t="s">
        <v>2464</v>
      </c>
      <c r="Z856" s="462" t="str">
        <f t="shared" si="10"/>
        <v>COMPLETED</v>
      </c>
      <c r="AA856" s="462" t="s">
        <v>5976</v>
      </c>
      <c r="AB856" s="713">
        <v>46239</v>
      </c>
      <c r="AC856" s="947">
        <f>IF(PV_DATA[[#This Row],[Pick- Up Date]]&lt;&gt;"",_xlfn.ISOWEEKNUM(PV_DATA[[#This Row],[Pick- Up Date]]),"")</f>
        <v>32</v>
      </c>
      <c r="AD856" s="462" t="s">
        <v>5977</v>
      </c>
      <c r="AF856" s="462" t="s">
        <v>1525</v>
      </c>
      <c r="AG856" s="462" t="s">
        <v>1525</v>
      </c>
      <c r="AH856" s="462" t="s">
        <v>456</v>
      </c>
      <c r="AI856" s="713">
        <v>46243</v>
      </c>
      <c r="AJ856" s="713">
        <f>IFERROR(IF(VLOOKUP(AT856,Vessel!A:D,4,FALSE)=0,"",VLOOKUP(AT856,Vessel!A:D,4,FALSE)),"")</f>
        <v>46246.208333333336</v>
      </c>
      <c r="AK856" s="437">
        <f>IFERROR(IF(VLOOKUP(AT856,Vessel!A:F,5,FALSE)=0,"",VLOOKUP(AT856,Vessel!A:F,5,FALSE)),"")</f>
        <v>46246.239791666667</v>
      </c>
      <c r="AL856" s="713">
        <v>46279</v>
      </c>
      <c r="AM856" s="949">
        <f>IFERROR(VLOOKUP(AT856, Vessel!A:H, 8, FALSE), "")</f>
        <v>46286.270833333336</v>
      </c>
      <c r="AN856" s="949">
        <f>IFERROR(IF(VLOOKUP(AT856,Vessel!A:I,9,FALSE)=0,"",VLOOKUP(AT856,Vessel!A:I,9,FALSE)),"")</f>
        <v>46286.275081018517</v>
      </c>
      <c r="AP856" s="462" t="s">
        <v>5669</v>
      </c>
      <c r="AQ856" s="462" t="s">
        <v>80</v>
      </c>
      <c r="AR856" s="462" t="s">
        <v>5978</v>
      </c>
      <c r="AS856" s="462" t="s">
        <v>5979</v>
      </c>
      <c r="AT856" s="462" t="s">
        <v>5979</v>
      </c>
      <c r="AU8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40.035289351850224</v>
      </c>
      <c r="AW856" s="713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85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13">
        <f>IF(ISERROR(PV_DATA[[#This Row],[New Ark PO status]]),"",_xlfn.XLOOKUP(PV_DATA[[#This Row],[SPTN-PVHK New Ark PO'#]],New_Ark_Data[Purchase order Number],New_Ark_Data[Estimated time of arrival],"",0))</f>
        <v>46300</v>
      </c>
      <c r="AZ856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13">
        <f>IFERROR(PV_DATA[[#This Row],[ODP ETA Port]]+PV_DATA[[#This Row],[Customs/Leg3 Assumption]],"n/a")</f>
        <v>46293.275081018517</v>
      </c>
      <c r="BB856" s="946">
        <f>YEAR(PV_DATA[[#This Row],[ETA for New Ark update]])</f>
        <v>2026</v>
      </c>
      <c r="BC856" s="462">
        <f>MONTH(PV_DATA[[#This Row],[ETA for New Ark update]])</f>
        <v>9</v>
      </c>
      <c r="BD856" s="462">
        <f>IFERROR(_xlfn.ISOWEEKNUM(PV_DATA[[#This Row],[ETA for New Ark update]]),0)</f>
        <v>40</v>
      </c>
      <c r="BE856" s="462">
        <f>_xlfn.XLOOKUP(PV_DATA[[#This Row],[New Ark SKU]],Table9[New Ark SKU],Table9[Total PCS per Pallet],,0)</f>
        <v>36</v>
      </c>
      <c r="BF856" s="462">
        <f>_xlfn.XLOOKUP(PV_DATA[[#This Row],[New Ark SKU]],Table9[New Ark SKU],Table9[Total PCS per 40HQ Container],,0)</f>
        <v>864</v>
      </c>
      <c r="BG856" s="462" t="str">
        <f>_xlfn.XLOOKUP(PV_DATA[[#This Row],[New Ark SKU]],Table9[New Ark SKU],Table9[Back Glass],,0)</f>
        <v>Black glazing</v>
      </c>
      <c r="BH856" s="948" t="str">
        <f>_xlfn.XLOOKUP(PV_DATA[[#This Row],[PORT DESTINATION]],Table12[PORT DESTINATION],Table12[Cosco Line],,0)</f>
        <v>AEU</v>
      </c>
    </row>
    <row r="857" spans="1:60" s="462" customFormat="1" ht="10.5">
      <c r="A857" s="462" t="s">
        <v>5980</v>
      </c>
      <c r="B857" s="462" t="s">
        <v>1757</v>
      </c>
      <c r="C857" s="462" t="str">
        <f>IFERROR(LEFT(PV_DATA[[#This Row],[TCL REFERENCE]],FIND(".",PV_DATA[[#This Row],[TCL REFERENCE]],1)-1),"Main Line")</f>
        <v>26Jul007</v>
      </c>
      <c r="D857" s="462" t="s">
        <v>63</v>
      </c>
      <c r="E857" s="462" t="s">
        <v>64</v>
      </c>
      <c r="F857" s="462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7" s="462" t="s">
        <v>402</v>
      </c>
      <c r="H857" s="462" t="s">
        <v>67</v>
      </c>
      <c r="I857" s="462" t="s">
        <v>882</v>
      </c>
      <c r="J857" s="462" t="s">
        <v>96</v>
      </c>
      <c r="M857" s="462" t="s">
        <v>68</v>
      </c>
      <c r="N857" s="712">
        <v>46209</v>
      </c>
      <c r="O857" s="462" t="s">
        <v>4531</v>
      </c>
      <c r="P857" s="462" t="s">
        <v>71</v>
      </c>
      <c r="Q857" s="462" t="s">
        <v>72</v>
      </c>
      <c r="R857" s="430" t="str">
        <f>_xlfn.XLOOKUP(PV_DATA[[#This Row],[New Ark SKU]],Table9[New Ark SKU],Table9[Connector],,0)</f>
        <v>EVO2A</v>
      </c>
      <c r="S857" s="433" t="str">
        <f>_xlfn.XLOOKUP(PV_DATA[[#This Row],[New Ark SKU]],Table9[New Ark SKU],Table9[Cable],,0)</f>
        <v>±1200mm</v>
      </c>
      <c r="T857" s="946">
        <v>500</v>
      </c>
      <c r="U857" s="1095">
        <f>864*3</f>
        <v>2592</v>
      </c>
      <c r="V857" s="458">
        <f>PV_DATA[[#This Row],[QUANTITY]]*PV_DATA[[#This Row],[WATT]]/1000000</f>
        <v>1.296</v>
      </c>
      <c r="W857" s="714">
        <f>PV_DATA[[#This Row],[QUANTITY]]/PV_DATA[[#This Row],[Qty/Pallet]]</f>
        <v>72</v>
      </c>
      <c r="X857" s="1042">
        <f>PV_DATA[[#This Row],[QUANTITY]]/PV_DATA[[#This Row],[Qty/CT]]</f>
        <v>3</v>
      </c>
      <c r="Y857" s="462" t="s">
        <v>2463</v>
      </c>
      <c r="Z857" s="462" t="str">
        <f t="shared" si="10"/>
        <v>COMPLETED</v>
      </c>
      <c r="AB857" s="713">
        <v>46240</v>
      </c>
      <c r="AC857" s="947">
        <f>IF(PV_DATA[[#This Row],[Pick- Up Date]]&lt;&gt;"",_xlfn.ISOWEEKNUM(PV_DATA[[#This Row],[Pick- Up Date]]),"")</f>
        <v>32</v>
      </c>
      <c r="AD857" s="462" t="s">
        <v>5981</v>
      </c>
      <c r="AF857" s="462" t="s">
        <v>1525</v>
      </c>
      <c r="AG857" s="462" t="s">
        <v>1525</v>
      </c>
      <c r="AH857" s="462" t="s">
        <v>105</v>
      </c>
      <c r="AI857" s="713">
        <v>46239</v>
      </c>
      <c r="AJ857" s="713"/>
      <c r="AK857" s="437">
        <f>IFERROR(IF(VLOOKUP(AT857,Vessel!A:F,5,FALSE)=0,"",VLOOKUP(AT857,Vessel!A:F,5,FALSE)),"")</f>
        <v>46249.834432870368</v>
      </c>
      <c r="AL857" s="713">
        <v>46274</v>
      </c>
      <c r="AM857" s="949">
        <f>IFERROR(VLOOKUP(AT857, Vessel!A:H, 8, FALSE), "")</f>
        <v>46283.875</v>
      </c>
      <c r="AN857" s="949">
        <f>IFERROR(IF(VLOOKUP(AT857,Vessel!A:I,9,FALSE)=0,"",VLOOKUP(AT857,Vessel!A:I,9,FALSE)),"")</f>
        <v>46283.912627314814</v>
      </c>
      <c r="AP857" s="462" t="s">
        <v>5982</v>
      </c>
      <c r="AQ857" s="462" t="s">
        <v>80</v>
      </c>
      <c r="AR857" s="462" t="s">
        <v>5983</v>
      </c>
      <c r="AS857" s="462" t="s">
        <v>5984</v>
      </c>
      <c r="AT857" s="462" t="s">
        <v>5984</v>
      </c>
      <c r="AU8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34.078194444446126</v>
      </c>
      <c r="AW857" s="713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85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13">
        <f>IF(ISERROR(PV_DATA[[#This Row],[New Ark PO status]]),"",_xlfn.XLOOKUP(PV_DATA[[#This Row],[SPTN-PVHK New Ark PO'#]],New_Ark_Data[Purchase order Number],New_Ark_Data[Estimated time of arrival],"",0))</f>
        <v>46296</v>
      </c>
      <c r="AZ857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13">
        <f>IFERROR(PV_DATA[[#This Row],[ODP ETA Port]]+PV_DATA[[#This Row],[Customs/Leg3 Assumption]],"n/a")</f>
        <v>46290.912627314814</v>
      </c>
      <c r="BB857" s="946">
        <f>YEAR(PV_DATA[[#This Row],[ETA for New Ark update]])</f>
        <v>2026</v>
      </c>
      <c r="BC857" s="462">
        <f>MONTH(PV_DATA[[#This Row],[ETA for New Ark update]])</f>
        <v>9</v>
      </c>
      <c r="BD857" s="462">
        <f>IFERROR(_xlfn.ISOWEEKNUM(PV_DATA[[#This Row],[ETA for New Ark update]]),0)</f>
        <v>39</v>
      </c>
      <c r="BE857" s="462">
        <f>_xlfn.XLOOKUP(PV_DATA[[#This Row],[New Ark SKU]],Table9[New Ark SKU],Table9[Total PCS per Pallet],,0)</f>
        <v>36</v>
      </c>
      <c r="BF857" s="462">
        <f>_xlfn.XLOOKUP(PV_DATA[[#This Row],[New Ark SKU]],Table9[New Ark SKU],Table9[Total PCS per 40HQ Container],,0)</f>
        <v>864</v>
      </c>
      <c r="BG857" s="462" t="str">
        <f>_xlfn.XLOOKUP(PV_DATA[[#This Row],[New Ark SKU]],Table9[New Ark SKU],Table9[Back Glass],,0)</f>
        <v>Black glazing</v>
      </c>
      <c r="BH857" s="462" t="str">
        <f>_xlfn.XLOOKUP(PV_DATA[[#This Row],[PORT DESTINATION]],Table12[PORT DESTINATION],Table12[Cosco Line],,0)</f>
        <v>AEU</v>
      </c>
    </row>
    <row r="858" spans="1:60" s="462" customFormat="1" ht="10.5">
      <c r="A858" s="462" t="s">
        <v>5985</v>
      </c>
      <c r="B858" s="462" t="s">
        <v>1757</v>
      </c>
      <c r="C858" s="462" t="str">
        <f>IFERROR(LEFT(PV_DATA[[#This Row],[TCL REFERENCE]],FIND(".",PV_DATA[[#This Row],[TCL REFERENCE]],1)-1),"Main Line")</f>
        <v>26Jun012</v>
      </c>
      <c r="D858" s="462" t="s">
        <v>63</v>
      </c>
      <c r="E858" s="462" t="s">
        <v>64</v>
      </c>
      <c r="F858" s="462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2" t="s">
        <v>402</v>
      </c>
      <c r="H858" s="462" t="s">
        <v>67</v>
      </c>
      <c r="I858" s="462" t="s">
        <v>1395</v>
      </c>
      <c r="J858" s="462" t="s">
        <v>96</v>
      </c>
      <c r="M858" s="462" t="s">
        <v>68</v>
      </c>
      <c r="N858" s="712">
        <v>46195</v>
      </c>
      <c r="O858" s="462" t="s">
        <v>4531</v>
      </c>
      <c r="P858" s="462" t="s">
        <v>1151</v>
      </c>
      <c r="Q858" s="462" t="s">
        <v>421</v>
      </c>
      <c r="R858" s="430" t="str">
        <f>_xlfn.XLOOKUP(PV_DATA[[#This Row],[New Ark SKU]],Table9[New Ark SKU],Table9[Connector],,0)</f>
        <v>EVO2A</v>
      </c>
      <c r="S858" s="433" t="str">
        <f>_xlfn.XLOOKUP(PV_DATA[[#This Row],[New Ark SKU]],Table9[New Ark SKU],Table9[Cable],,0)</f>
        <v>±1200mm</v>
      </c>
      <c r="T858" s="946">
        <v>505</v>
      </c>
      <c r="U858" s="1095">
        <v>864</v>
      </c>
      <c r="V858" s="458">
        <f>PV_DATA[[#This Row],[QUANTITY]]*PV_DATA[[#This Row],[WATT]]/1000000</f>
        <v>0.43631999999999999</v>
      </c>
      <c r="W858" s="714">
        <f>PV_DATA[[#This Row],[QUANTITY]]/PV_DATA[[#This Row],[Qty/Pallet]]</f>
        <v>24</v>
      </c>
      <c r="X858" s="1042">
        <f>PV_DATA[[#This Row],[QUANTITY]]/PV_DATA[[#This Row],[Qty/CT]]</f>
        <v>1</v>
      </c>
      <c r="Y858" s="462" t="s">
        <v>2460</v>
      </c>
      <c r="Z858" s="462" t="str">
        <f t="shared" si="10"/>
        <v>COMPLETED</v>
      </c>
      <c r="AA858" s="462" t="s">
        <v>5667</v>
      </c>
      <c r="AB858" s="713">
        <v>46241</v>
      </c>
      <c r="AC858" s="947">
        <f>IF(PV_DATA[[#This Row],[Pick- Up Date]]&lt;&gt;"",_xlfn.ISOWEEKNUM(PV_DATA[[#This Row],[Pick- Up Date]]),"")</f>
        <v>32</v>
      </c>
      <c r="AD858" s="462" t="s">
        <v>5986</v>
      </c>
      <c r="AF858" s="462" t="s">
        <v>1525</v>
      </c>
      <c r="AG858" s="462" t="s">
        <v>1525</v>
      </c>
      <c r="AH858" s="462" t="s">
        <v>105</v>
      </c>
      <c r="AI858" s="713">
        <v>46246</v>
      </c>
      <c r="AJ858" s="713"/>
      <c r="AK858" s="437">
        <f>IFERROR(IF(VLOOKUP(AT858,Vessel!A:F,5,FALSE)=0,"",VLOOKUP(AT858,Vessel!A:F,5,FALSE)),"")</f>
        <v>46259.356724537036</v>
      </c>
      <c r="AL858" s="713">
        <v>46281</v>
      </c>
      <c r="AM858" s="949">
        <f>IFERROR(VLOOKUP(AT858, Vessel!A:H, 8, FALSE), "")</f>
        <v>46299.75</v>
      </c>
      <c r="AN858" s="949">
        <v>46300</v>
      </c>
      <c r="AP858" s="462" t="s">
        <v>5987</v>
      </c>
      <c r="AQ858" s="462" t="s">
        <v>80</v>
      </c>
      <c r="AR858" s="462" t="s">
        <v>5988</v>
      </c>
      <c r="AS858" s="462" t="s">
        <v>5989</v>
      </c>
      <c r="AT858" s="462" t="s">
        <v>5989</v>
      </c>
      <c r="AU8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40.643275462964084</v>
      </c>
      <c r="AV858" s="713"/>
      <c r="AW858" s="713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5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13">
        <f>IF(ISERROR(PV_DATA[[#This Row],[New Ark PO status]]),"",_xlfn.XLOOKUP(PV_DATA[[#This Row],[SPTN-PVHK New Ark PO'#]],New_Ark_Data[Purchase order Number],New_Ark_Data[Estimated time of arrival],"",0))</f>
        <v>46309</v>
      </c>
      <c r="AZ858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13">
        <f>IFERROR(PV_DATA[[#This Row],[ODP ETA Port]]+PV_DATA[[#This Row],[Customs/Leg3 Assumption]],"n/a")</f>
        <v>46307</v>
      </c>
      <c r="BB858" s="946">
        <f>YEAR(PV_DATA[[#This Row],[ETA for New Ark update]])</f>
        <v>2026</v>
      </c>
      <c r="BC858" s="462">
        <f>MONTH(PV_DATA[[#This Row],[ETA for New Ark update]])</f>
        <v>10</v>
      </c>
      <c r="BD858" s="462">
        <f>IFERROR(_xlfn.ISOWEEKNUM(PV_DATA[[#This Row],[ETA for New Ark update]]),0)</f>
        <v>42</v>
      </c>
      <c r="BE858" s="462">
        <f>_xlfn.XLOOKUP(PV_DATA[[#This Row],[New Ark SKU]],Table9[New Ark SKU],Table9[Total PCS per Pallet],,0)</f>
        <v>36</v>
      </c>
      <c r="BF858" s="462">
        <f>_xlfn.XLOOKUP(PV_DATA[[#This Row],[New Ark SKU]],Table9[New Ark SKU],Table9[Total PCS per 40HQ Container],,0)</f>
        <v>864</v>
      </c>
      <c r="BG858" s="462" t="str">
        <f>_xlfn.XLOOKUP(PV_DATA[[#This Row],[New Ark SKU]],Table9[New Ark SKU],Table9[Back Glass],,0)</f>
        <v>Black glazing</v>
      </c>
      <c r="BH858" s="948" t="str">
        <f>_xlfn.XLOOKUP(PV_DATA[[#This Row],[PORT DESTINATION]],Table12[PORT DESTINATION],Table12[Cosco Line],,0)</f>
        <v>AEU</v>
      </c>
    </row>
    <row r="859" spans="1:60" s="462" customFormat="1" ht="10.5" customHeight="1">
      <c r="A859" s="462" t="s">
        <v>5990</v>
      </c>
      <c r="B859" s="462" t="s">
        <v>1757</v>
      </c>
      <c r="C859" s="462" t="str">
        <f>IFERROR(LEFT(PV_DATA[[#This Row],[TCL REFERENCE]],FIND(".",PV_DATA[[#This Row],[TCL REFERENCE]],1)-1),"Main Line")</f>
        <v>26Jun012</v>
      </c>
      <c r="D859" s="462" t="s">
        <v>63</v>
      </c>
      <c r="E859" s="462" t="s">
        <v>64</v>
      </c>
      <c r="F859" s="462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2" t="s">
        <v>402</v>
      </c>
      <c r="H859" s="462" t="s">
        <v>67</v>
      </c>
      <c r="I859" s="462" t="s">
        <v>1395</v>
      </c>
      <c r="J859" s="462" t="s">
        <v>96</v>
      </c>
      <c r="M859" s="462" t="s">
        <v>68</v>
      </c>
      <c r="N859" s="712">
        <v>46195</v>
      </c>
      <c r="O859" s="462" t="s">
        <v>4531</v>
      </c>
      <c r="P859" s="462" t="s">
        <v>1151</v>
      </c>
      <c r="Q859" s="462" t="s">
        <v>421</v>
      </c>
      <c r="R859" s="430" t="str">
        <f>_xlfn.XLOOKUP(PV_DATA[[#This Row],[New Ark SKU]],Table9[New Ark SKU],Table9[Connector],,0)</f>
        <v>EVO2A</v>
      </c>
      <c r="S859" s="433" t="str">
        <f>_xlfn.XLOOKUP(PV_DATA[[#This Row],[New Ark SKU]],Table9[New Ark SKU],Table9[Cable],,0)</f>
        <v>±1200mm</v>
      </c>
      <c r="T859" s="946">
        <v>505</v>
      </c>
      <c r="U859" s="1095">
        <v>864</v>
      </c>
      <c r="V859" s="458">
        <f>PV_DATA[[#This Row],[QUANTITY]]*PV_DATA[[#This Row],[WATT]]/1000000</f>
        <v>0.43631999999999999</v>
      </c>
      <c r="W859" s="714">
        <f>PV_DATA[[#This Row],[QUANTITY]]/PV_DATA[[#This Row],[Qty/Pallet]]</f>
        <v>24</v>
      </c>
      <c r="X859" s="1042">
        <f>PV_DATA[[#This Row],[QUANTITY]]/PV_DATA[[#This Row],[Qty/CT]]</f>
        <v>1</v>
      </c>
      <c r="Y859" s="462" t="s">
        <v>2460</v>
      </c>
      <c r="Z859" s="462" t="str">
        <f t="shared" si="10"/>
        <v>COMPLETED</v>
      </c>
      <c r="AA859" s="462" t="s">
        <v>5667</v>
      </c>
      <c r="AB859" s="713">
        <v>46241</v>
      </c>
      <c r="AC859" s="947">
        <f>IF(PV_DATA[[#This Row],[Pick- Up Date]]&lt;&gt;"",_xlfn.ISOWEEKNUM(PV_DATA[[#This Row],[Pick- Up Date]]),"")</f>
        <v>32</v>
      </c>
      <c r="AD859" s="462" t="s">
        <v>5991</v>
      </c>
      <c r="AF859" s="462" t="s">
        <v>1525</v>
      </c>
      <c r="AG859" s="462" t="s">
        <v>1525</v>
      </c>
      <c r="AH859" s="462" t="s">
        <v>105</v>
      </c>
      <c r="AI859" s="713">
        <v>46246</v>
      </c>
      <c r="AJ859" s="713"/>
      <c r="AK859" s="437">
        <f>IFERROR(IF(VLOOKUP(AT859,Vessel!A:F,5,FALSE)=0,"",VLOOKUP(AT859,Vessel!A:F,5,FALSE)),"")</f>
        <v>46259.356724537036</v>
      </c>
      <c r="AL859" s="713">
        <v>46281</v>
      </c>
      <c r="AM859" s="949">
        <f>IFERROR(VLOOKUP(AT859, Vessel!A:H, 8, FALSE), "")</f>
        <v>46299.75</v>
      </c>
      <c r="AN859" s="949">
        <v>46300</v>
      </c>
      <c r="AP859" s="462" t="s">
        <v>5987</v>
      </c>
      <c r="AQ859" s="462" t="s">
        <v>80</v>
      </c>
      <c r="AR859" s="462" t="s">
        <v>5988</v>
      </c>
      <c r="AS859" s="462" t="s">
        <v>5989</v>
      </c>
      <c r="AT859" s="462" t="s">
        <v>5989</v>
      </c>
      <c r="AU8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40.643275462964084</v>
      </c>
      <c r="AW859" s="713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5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13">
        <f>IF(ISERROR(PV_DATA[[#This Row],[New Ark PO status]]),"",_xlfn.XLOOKUP(PV_DATA[[#This Row],[SPTN-PVHK New Ark PO'#]],New_Ark_Data[Purchase order Number],New_Ark_Data[Estimated time of arrival],"",0))</f>
        <v>46309</v>
      </c>
      <c r="AZ859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13">
        <f>IFERROR(PV_DATA[[#This Row],[ODP ETA Port]]+PV_DATA[[#This Row],[Customs/Leg3 Assumption]],"n/a")</f>
        <v>46307</v>
      </c>
      <c r="BB859" s="946">
        <f>YEAR(PV_DATA[[#This Row],[ETA for New Ark update]])</f>
        <v>2026</v>
      </c>
      <c r="BC859" s="462">
        <f>MONTH(PV_DATA[[#This Row],[ETA for New Ark update]])</f>
        <v>10</v>
      </c>
      <c r="BD859" s="462">
        <f>IFERROR(_xlfn.ISOWEEKNUM(PV_DATA[[#This Row],[ETA for New Ark update]]),0)</f>
        <v>42</v>
      </c>
      <c r="BE859" s="462">
        <f>_xlfn.XLOOKUP(PV_DATA[[#This Row],[New Ark SKU]],Table9[New Ark SKU],Table9[Total PCS per Pallet],,0)</f>
        <v>36</v>
      </c>
      <c r="BF859" s="462">
        <f>_xlfn.XLOOKUP(PV_DATA[[#This Row],[New Ark SKU]],Table9[New Ark SKU],Table9[Total PCS per 40HQ Container],,0)</f>
        <v>864</v>
      </c>
      <c r="BG859" s="462" t="str">
        <f>_xlfn.XLOOKUP(PV_DATA[[#This Row],[New Ark SKU]],Table9[New Ark SKU],Table9[Back Glass],,0)</f>
        <v>Black glazing</v>
      </c>
      <c r="BH859" s="948" t="str">
        <f>_xlfn.XLOOKUP(PV_DATA[[#This Row],[PORT DESTINATION]],Table12[PORT DESTINATION],Table12[Cosco Line],,0)</f>
        <v>AEU</v>
      </c>
    </row>
    <row r="860" spans="1:60" s="462" customFormat="1" ht="10.5" customHeight="1">
      <c r="A860" s="951" t="s">
        <v>5992</v>
      </c>
      <c r="B860" s="945" t="s">
        <v>1757</v>
      </c>
      <c r="C860" s="462" t="str">
        <f>IFERROR(LEFT(PV_DATA[[#This Row],[TCL REFERENCE]],FIND(".",PV_DATA[[#This Row],[TCL REFERENCE]],1)-1),"Main Line")</f>
        <v>26Jul017</v>
      </c>
      <c r="D860" s="462" t="s">
        <v>63</v>
      </c>
      <c r="E860" s="462" t="s">
        <v>64</v>
      </c>
      <c r="F860" s="462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2" t="s">
        <v>402</v>
      </c>
      <c r="H860" s="462" t="s">
        <v>67</v>
      </c>
      <c r="I860" s="462" t="s">
        <v>822</v>
      </c>
      <c r="J860" s="462" t="s">
        <v>96</v>
      </c>
      <c r="M860" s="462" t="s">
        <v>68</v>
      </c>
      <c r="N860" s="712">
        <v>46230</v>
      </c>
      <c r="O860" s="462" t="s">
        <v>284</v>
      </c>
      <c r="P860" s="945" t="s">
        <v>5851</v>
      </c>
      <c r="Q860" s="945" t="s">
        <v>5852</v>
      </c>
      <c r="R860" s="430" t="str">
        <f>_xlfn.XLOOKUP(PV_DATA[[#This Row],[New Ark SKU]],Table9[New Ark SKU],Table9[Connector],,0)</f>
        <v>EVO2A</v>
      </c>
      <c r="S860" s="433" t="str">
        <f>_xlfn.XLOOKUP(PV_DATA[[#This Row],[New Ark SKU]],Table9[New Ark SKU],Table9[Cable],,0)</f>
        <v>±1200mm</v>
      </c>
      <c r="T860" s="952">
        <v>485</v>
      </c>
      <c r="U860" s="1098">
        <v>936</v>
      </c>
      <c r="V860" s="1073">
        <f>PV_DATA[[#This Row],[QUANTITY]]*PV_DATA[[#This Row],[WATT]]/1000000</f>
        <v>0.45395999999999997</v>
      </c>
      <c r="W860" s="1074">
        <f>PV_DATA[[#This Row],[QUANTITY]]/PV_DATA[[#This Row],[Qty/Pallet]]</f>
        <v>26</v>
      </c>
      <c r="X860" s="1042">
        <f>PV_DATA[[#This Row],[QUANTITY]]/936</f>
        <v>1</v>
      </c>
      <c r="Y860" s="462" t="s">
        <v>2463</v>
      </c>
      <c r="Z860" s="462" t="str">
        <f t="shared" si="10"/>
        <v>COMPLETED</v>
      </c>
      <c r="AA860" s="945" t="s">
        <v>5853</v>
      </c>
      <c r="AB860" s="713">
        <v>46241</v>
      </c>
      <c r="AC860" s="947">
        <f>IF(PV_DATA[[#This Row],[Pick- Up Date]]&lt;&gt;"",_xlfn.ISOWEEKNUM(PV_DATA[[#This Row],[Pick- Up Date]]),"")</f>
        <v>32</v>
      </c>
      <c r="AD860" s="462" t="s">
        <v>5993</v>
      </c>
      <c r="AF860" s="945" t="s">
        <v>1525</v>
      </c>
      <c r="AG860" s="945" t="s">
        <v>5994</v>
      </c>
      <c r="AH860" s="462" t="s">
        <v>105</v>
      </c>
      <c r="AI860" s="713">
        <v>46246</v>
      </c>
      <c r="AJ860" s="713"/>
      <c r="AK860" s="437">
        <f>IFERROR(IF(VLOOKUP(AT860,Vessel!A:F,5,FALSE)=0,"",VLOOKUP(AT860,Vessel!A:F,5,FALSE)),"")</f>
        <v>46259.356724537036</v>
      </c>
      <c r="AL860" s="718">
        <v>46281</v>
      </c>
      <c r="AM860" s="949">
        <f>IFERROR(VLOOKUP(AT860, Vessel!A:H, 8, FALSE), "")</f>
        <v>46299.75</v>
      </c>
      <c r="AN860" s="949">
        <v>46300</v>
      </c>
      <c r="AP860" s="462" t="s">
        <v>5987</v>
      </c>
      <c r="AQ860" s="462" t="s">
        <v>80</v>
      </c>
      <c r="AR860" s="462" t="s">
        <v>5988</v>
      </c>
      <c r="AS860" s="945" t="s">
        <v>5989</v>
      </c>
      <c r="AT860" s="945" t="s">
        <v>5989</v>
      </c>
      <c r="AU8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40.643275462964084</v>
      </c>
      <c r="AW860" s="713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6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13">
        <f>IF(ISERROR(PV_DATA[[#This Row],[New Ark PO status]]),"",_xlfn.XLOOKUP(PV_DATA[[#This Row],[SPTN-PVHK New Ark PO'#]],New_Ark_Data[Purchase order Number],New_Ark_Data[Estimated time of arrival],"",0))</f>
        <v>46309</v>
      </c>
      <c r="AZ860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13">
        <f>IFERROR(PV_DATA[[#This Row],[ODP ETA Port]]+PV_DATA[[#This Row],[Customs/Leg3 Assumption]],"n/a")</f>
        <v>46307</v>
      </c>
      <c r="BB860" s="946">
        <f>YEAR(PV_DATA[[#This Row],[ETA for New Ark update]])</f>
        <v>2026</v>
      </c>
      <c r="BC860" s="462">
        <f>MONTH(PV_DATA[[#This Row],[ETA for New Ark update]])</f>
        <v>10</v>
      </c>
      <c r="BD860" s="462">
        <f>IFERROR(_xlfn.ISOWEEKNUM(PV_DATA[[#This Row],[ETA for New Ark update]]),0)</f>
        <v>42</v>
      </c>
      <c r="BE860" s="462">
        <f>_xlfn.XLOOKUP(PV_DATA[[#This Row],[New Ark SKU]],Table9[New Ark SKU],Table9[Total PCS per Pallet],,0)</f>
        <v>36</v>
      </c>
      <c r="BF860" s="462">
        <f>_xlfn.XLOOKUP(PV_DATA[[#This Row],[New Ark SKU]],Table9[New Ark SKU],Table9[Total PCS per 40HQ Container],,0)</f>
        <v>936</v>
      </c>
      <c r="BG860" s="462" t="str">
        <f>_xlfn.XLOOKUP(PV_DATA[[#This Row],[New Ark SKU]],Table9[New Ark SKU],Table9[Back Glass],,0)</f>
        <v>Black glazing</v>
      </c>
      <c r="BH860" s="948" t="str">
        <f>_xlfn.XLOOKUP(PV_DATA[[#This Row],[PORT DESTINATION]],Table12[PORT DESTINATION],Table12[Cosco Line],,0)</f>
        <v>AEU</v>
      </c>
    </row>
    <row r="861" spans="1:60" s="462" customFormat="1" ht="10.5">
      <c r="A861" s="462" t="s">
        <v>5995</v>
      </c>
      <c r="B861" s="462" t="s">
        <v>1757</v>
      </c>
      <c r="C861" s="462" t="str">
        <f>IFERROR(LEFT(PV_DATA[[#This Row],[TCL REFERENCE]],FIND(".",PV_DATA[[#This Row],[TCL REFERENCE]],1)-1),"Main Line")</f>
        <v>26Jul008</v>
      </c>
      <c r="D861" s="462" t="s">
        <v>63</v>
      </c>
      <c r="E861" s="462" t="s">
        <v>64</v>
      </c>
      <c r="F861" s="462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1" s="462" t="s">
        <v>402</v>
      </c>
      <c r="H861" s="462" t="s">
        <v>67</v>
      </c>
      <c r="I861" s="462" t="s">
        <v>882</v>
      </c>
      <c r="J861" s="462" t="s">
        <v>96</v>
      </c>
      <c r="M861" s="462" t="s">
        <v>68</v>
      </c>
      <c r="N861" s="712">
        <v>46209</v>
      </c>
      <c r="O861" s="462" t="s">
        <v>4531</v>
      </c>
      <c r="P861" s="462" t="s">
        <v>1151</v>
      </c>
      <c r="Q861" s="462" t="s">
        <v>421</v>
      </c>
      <c r="R861" s="430" t="str">
        <f>_xlfn.XLOOKUP(PV_DATA[[#This Row],[New Ark SKU]],Table9[New Ark SKU],Table9[Connector],,0)</f>
        <v>EVO2A</v>
      </c>
      <c r="S861" s="433" t="str">
        <f>_xlfn.XLOOKUP(PV_DATA[[#This Row],[New Ark SKU]],Table9[New Ark SKU],Table9[Cable],,0)</f>
        <v>±1200mm</v>
      </c>
      <c r="T861" s="946">
        <v>505</v>
      </c>
      <c r="U861" s="1095">
        <v>864</v>
      </c>
      <c r="V861" s="458">
        <f>PV_DATA[[#This Row],[QUANTITY]]*PV_DATA[[#This Row],[WATT]]/1000000</f>
        <v>0.43631999999999999</v>
      </c>
      <c r="W861" s="714">
        <f>PV_DATA[[#This Row],[QUANTITY]]/PV_DATA[[#This Row],[Qty/Pallet]]</f>
        <v>24</v>
      </c>
      <c r="X861" s="1042">
        <f>PV_DATA[[#This Row],[QUANTITY]]/PV_DATA[[#This Row],[Qty/CT]]</f>
        <v>1</v>
      </c>
      <c r="Y861" s="462" t="s">
        <v>2462</v>
      </c>
      <c r="Z861" s="462" t="str">
        <f t="shared" si="10"/>
        <v>COMPLETED</v>
      </c>
      <c r="AB861" s="713">
        <v>46241</v>
      </c>
      <c r="AC861" s="947">
        <f>IF(PV_DATA[[#This Row],[Pick- Up Date]]&lt;&gt;"",_xlfn.ISOWEEKNUM(PV_DATA[[#This Row],[Pick- Up Date]]),"")</f>
        <v>32</v>
      </c>
      <c r="AD861" s="462" t="s">
        <v>5996</v>
      </c>
      <c r="AF861" s="462" t="s">
        <v>1525</v>
      </c>
      <c r="AG861" s="462" t="s">
        <v>1525</v>
      </c>
      <c r="AH861" s="462" t="s">
        <v>78</v>
      </c>
      <c r="AI861" s="713">
        <v>46248</v>
      </c>
      <c r="AJ861" s="713"/>
      <c r="AK861" s="437">
        <f>IFERROR(IF(VLOOKUP(AT861,Vessel!A:F,5,FALSE)=0,"",VLOOKUP(AT861,Vessel!A:F,5,FALSE)),"")</f>
        <v>46254.01357638889</v>
      </c>
      <c r="AL861" s="713">
        <v>46288</v>
      </c>
      <c r="AM861" s="949">
        <f>IFERROR(VLOOKUP(AT861, Vessel!A:H, 8, FALSE), "")</f>
        <v>46297.25</v>
      </c>
      <c r="AN861" s="949">
        <v>46296</v>
      </c>
      <c r="AP861" s="462" t="s">
        <v>5997</v>
      </c>
      <c r="AQ861" s="462" t="s">
        <v>80</v>
      </c>
      <c r="AR861" s="462" t="s">
        <v>5917</v>
      </c>
      <c r="AS861" s="462" t="s">
        <v>5998</v>
      </c>
      <c r="AT861" s="462" t="s">
        <v>5998</v>
      </c>
      <c r="AU8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41.986423611109785</v>
      </c>
      <c r="AW861" s="713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86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13">
        <f>IF(ISERROR(PV_DATA[[#This Row],[New Ark PO status]]),"",_xlfn.XLOOKUP(PV_DATA[[#This Row],[SPTN-PVHK New Ark PO'#]],New_Ark_Data[Purchase order Number],New_Ark_Data[Estimated time of arrival],"",0))</f>
        <v>46309</v>
      </c>
      <c r="AZ861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1" s="713">
        <f>IFERROR(PV_DATA[[#This Row],[ODP ETA Port]]+PV_DATA[[#This Row],[Customs/Leg3 Assumption]],"n/a")</f>
        <v>46304</v>
      </c>
      <c r="BB861" s="946">
        <f>YEAR(PV_DATA[[#This Row],[ETA for New Ark update]])</f>
        <v>2026</v>
      </c>
      <c r="BC861" s="462">
        <f>MONTH(PV_DATA[[#This Row],[ETA for New Ark update]])</f>
        <v>10</v>
      </c>
      <c r="BD861" s="462">
        <f>IFERROR(_xlfn.ISOWEEKNUM(PV_DATA[[#This Row],[ETA for New Ark update]]),0)</f>
        <v>41</v>
      </c>
      <c r="BE861" s="462">
        <f>_xlfn.XLOOKUP(PV_DATA[[#This Row],[New Ark SKU]],Table9[New Ark SKU],Table9[Total PCS per Pallet],,0)</f>
        <v>36</v>
      </c>
      <c r="BF861" s="462">
        <f>_xlfn.XLOOKUP(PV_DATA[[#This Row],[New Ark SKU]],Table9[New Ark SKU],Table9[Total PCS per 40HQ Container],,0)</f>
        <v>864</v>
      </c>
      <c r="BG861" s="462" t="str">
        <f>_xlfn.XLOOKUP(PV_DATA[[#This Row],[New Ark SKU]],Table9[New Ark SKU],Table9[Back Glass],,0)</f>
        <v>Black glazing</v>
      </c>
      <c r="BH861" s="462" t="str">
        <f>_xlfn.XLOOKUP(PV_DATA[[#This Row],[PORT DESTINATION]],Table12[PORT DESTINATION],Table12[Cosco Line],,0)</f>
        <v>AEM</v>
      </c>
    </row>
    <row r="862" spans="1:60" s="920" customFormat="1" ht="10.5">
      <c r="A862" s="919" t="s">
        <v>5999</v>
      </c>
      <c r="B862" s="919" t="s">
        <v>111</v>
      </c>
      <c r="C862" s="919" t="str">
        <f>IFERROR(LEFT(PV_DATA[[#This Row],[TCL REFERENCE]],FIND(".",PV_DATA[[#This Row],[TCL REFERENCE]],1)-1),"Main Line")</f>
        <v>26Jun015</v>
      </c>
      <c r="D862" s="919" t="s">
        <v>63</v>
      </c>
      <c r="E862" s="919" t="s">
        <v>144</v>
      </c>
      <c r="F862" s="919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2" s="919" t="s">
        <v>402</v>
      </c>
      <c r="H862" s="919" t="s">
        <v>1080</v>
      </c>
      <c r="I862" s="919" t="s">
        <v>689</v>
      </c>
      <c r="J862" s="920" t="s">
        <v>1080</v>
      </c>
      <c r="K862" s="920" t="s">
        <v>5399</v>
      </c>
      <c r="M862" s="920" t="s">
        <v>4967</v>
      </c>
      <c r="N862" s="922">
        <v>46202</v>
      </c>
      <c r="O862" s="920" t="s">
        <v>5379</v>
      </c>
      <c r="P862" s="920" t="s">
        <v>5400</v>
      </c>
      <c r="Q862" s="920" t="s">
        <v>5401</v>
      </c>
      <c r="R862" s="430" t="str">
        <f>_xlfn.XLOOKUP(PV_DATA[[#This Row],[New Ark SKU]],Table9[New Ark SKU],Table9[Connector],,0)</f>
        <v>EVO2A</v>
      </c>
      <c r="S862" s="433" t="str">
        <f>_xlfn.XLOOKUP(PV_DATA[[#This Row],[New Ark SKU]],Table9[New Ark SKU],Table9[Cable],,0)</f>
        <v>±1200mm</v>
      </c>
      <c r="T862" s="465">
        <v>465</v>
      </c>
      <c r="U862" s="1092">
        <v>936</v>
      </c>
      <c r="V862" s="923">
        <f>PV_DATA[[#This Row],[QUANTITY]]*PV_DATA[[#This Row],[WATT]]/1000000</f>
        <v>0.43524000000000002</v>
      </c>
      <c r="W862" s="924">
        <f>PV_DATA[[#This Row],[QUANTITY]]/PV_DATA[[#This Row],[Qty/Pallet]]</f>
        <v>26</v>
      </c>
      <c r="X862" s="1046">
        <f>PV_DATA[[#This Row],[QUANTITY]]/PV_DATA[[#This Row],[Qty/CT]]</f>
        <v>1</v>
      </c>
      <c r="Y862" s="920" t="s">
        <v>2465</v>
      </c>
      <c r="Z862" s="920" t="str">
        <f t="shared" si="10"/>
        <v>COMPLETED</v>
      </c>
      <c r="AA862" s="920" t="s">
        <v>6000</v>
      </c>
      <c r="AB862" s="732">
        <v>46248</v>
      </c>
      <c r="AC862" s="960">
        <f>IF(PV_DATA[[#This Row],[Pick- Up Date]]&lt;&gt;"",_xlfn.ISOWEEKNUM(PV_DATA[[#This Row],[Pick- Up Date]]),"")</f>
        <v>33</v>
      </c>
      <c r="AF862" s="920" t="s">
        <v>122</v>
      </c>
      <c r="AG862" s="920" t="s">
        <v>123</v>
      </c>
      <c r="AH862" s="920" t="s">
        <v>105</v>
      </c>
      <c r="AI862" s="966">
        <v>46253</v>
      </c>
      <c r="AJ862" s="966">
        <v>46254</v>
      </c>
      <c r="AK862" s="966">
        <v>46254</v>
      </c>
      <c r="AL862" s="732">
        <v>46287</v>
      </c>
      <c r="AM862" s="949">
        <f>IFERROR(VLOOKUP(AT862, Vessel!A:H, 8, FALSE), "")</f>
        <v>46289.958333333336</v>
      </c>
      <c r="AN862" s="949">
        <f>IFERROR(IF(VLOOKUP(AT862,Vessel!A:I,9,FALSE)=0,"",VLOOKUP(AT862,Vessel!A:I,9,FALSE)),"")</f>
        <v>46290.180347222224</v>
      </c>
      <c r="AP862" s="920" t="s">
        <v>5952</v>
      </c>
      <c r="AQ862" s="920" t="s">
        <v>80</v>
      </c>
      <c r="AR862" s="920" t="s">
        <v>6001</v>
      </c>
      <c r="AS862" s="920" t="s">
        <v>6002</v>
      </c>
      <c r="AT862" s="920" t="s">
        <v>6003</v>
      </c>
      <c r="AU8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36.180347222223645</v>
      </c>
      <c r="AW862" s="732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6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2" s="732" t="str">
        <f>IF(ISERROR(PV_DATA[[#This Row],[New Ark PO status]]),"",_xlfn.XLOOKUP(PV_DATA[[#This Row],[SPTN-PVHK New Ark PO'#]],New_Ark_Data[Purchase order Number],New_Ark_Data[Estimated time of arrival],"",0))</f>
        <v/>
      </c>
      <c r="AZ862" s="4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2" s="732">
        <f>IFERROR(PV_DATA[[#This Row],[ODP ETA Port]]+PV_DATA[[#This Row],[Customs/Leg3 Assumption]],"n/a")</f>
        <v>46290.180347222224</v>
      </c>
      <c r="BB862" s="465">
        <f>YEAR(PV_DATA[[#This Row],[ETA for New Ark update]])</f>
        <v>2026</v>
      </c>
      <c r="BC862" s="920">
        <f>MONTH(PV_DATA[[#This Row],[ETA for New Ark update]])</f>
        <v>9</v>
      </c>
      <c r="BD862" s="920">
        <f>IFERROR(_xlfn.ISOWEEKNUM(PV_DATA[[#This Row],[ETA for New Ark update]]),0)</f>
        <v>39</v>
      </c>
      <c r="BE862" s="920">
        <f>_xlfn.XLOOKUP(PV_DATA[[#This Row],[New Ark SKU]],Table9[New Ark SKU],Table9[Total PCS per Pallet],,0)</f>
        <v>36</v>
      </c>
      <c r="BF862" s="920">
        <f>_xlfn.XLOOKUP(PV_DATA[[#This Row],[New Ark SKU]],Table9[New Ark SKU],Table9[Total PCS per 40HQ Container],,0)</f>
        <v>936</v>
      </c>
      <c r="BG862" s="920" t="str">
        <f>_xlfn.XLOOKUP(PV_DATA[[#This Row],[New Ark SKU]],Table9[New Ark SKU],Table9[Back Glass],,0)</f>
        <v>Black glazing</v>
      </c>
      <c r="BH862" s="925" t="str">
        <f>_xlfn.XLOOKUP(PV_DATA[[#This Row],[PORT DESTINATION]],Table12[PORT DESTINATION],Table12[Cosco Line],,0)</f>
        <v>AEU</v>
      </c>
    </row>
    <row r="863" spans="1:60" s="462" customFormat="1" ht="10.5">
      <c r="A863" s="462" t="s">
        <v>6004</v>
      </c>
      <c r="B863" s="462" t="s">
        <v>111</v>
      </c>
      <c r="C863" s="462" t="str">
        <f>IFERROR(LEFT(PV_DATA[[#This Row],[TCL REFERENCE]],FIND(".",PV_DATA[[#This Row],[TCL REFERENCE]],1)-1),"Main Line")</f>
        <v>26Jun015</v>
      </c>
      <c r="D863" s="462" t="s">
        <v>63</v>
      </c>
      <c r="E863" s="462" t="s">
        <v>144</v>
      </c>
      <c r="F863" s="462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462" t="s">
        <v>402</v>
      </c>
      <c r="H863" s="462" t="s">
        <v>1080</v>
      </c>
      <c r="I863" s="462" t="s">
        <v>689</v>
      </c>
      <c r="J863" s="462" t="s">
        <v>1080</v>
      </c>
      <c r="K863" s="462" t="s">
        <v>5399</v>
      </c>
      <c r="L863" s="462">
        <v>5</v>
      </c>
      <c r="M863" s="462" t="s">
        <v>4967</v>
      </c>
      <c r="N863" s="712">
        <v>46202</v>
      </c>
      <c r="O863" s="462" t="s">
        <v>5379</v>
      </c>
      <c r="P863" s="462" t="s">
        <v>5400</v>
      </c>
      <c r="Q863" s="462" t="s">
        <v>5401</v>
      </c>
      <c r="R863" s="430" t="str">
        <f>_xlfn.XLOOKUP(PV_DATA[[#This Row],[New Ark SKU]],Table9[New Ark SKU],Table9[Connector],,0)</f>
        <v>EVO2A</v>
      </c>
      <c r="S863" s="433" t="str">
        <f>_xlfn.XLOOKUP(PV_DATA[[#This Row],[New Ark SKU]],Table9[New Ark SKU],Table9[Cable],,0)</f>
        <v>±1200mm</v>
      </c>
      <c r="T863" s="946">
        <v>465</v>
      </c>
      <c r="U863" s="1095">
        <v>936</v>
      </c>
      <c r="V863" s="458">
        <f>PV_DATA[[#This Row],[QUANTITY]]*PV_DATA[[#This Row],[WATT]]/1000000</f>
        <v>0.43524000000000002</v>
      </c>
      <c r="W863" s="714">
        <f>PV_DATA[[#This Row],[QUANTITY]]/PV_DATA[[#This Row],[Qty/Pallet]]</f>
        <v>26</v>
      </c>
      <c r="X863" s="1042">
        <f>PV_DATA[[#This Row],[QUANTITY]]/PV_DATA[[#This Row],[Qty/CT]]</f>
        <v>1</v>
      </c>
      <c r="Y863" s="462" t="s">
        <v>2465</v>
      </c>
      <c r="Z863" s="462" t="str">
        <f t="shared" si="10"/>
        <v>COMPLETED</v>
      </c>
      <c r="AA863" s="462" t="s">
        <v>5853</v>
      </c>
      <c r="AB863" s="713">
        <v>46248</v>
      </c>
      <c r="AC863" s="947">
        <f>IF(PV_DATA[[#This Row],[Pick- Up Date]]&lt;&gt;"",_xlfn.ISOWEEKNUM(PV_DATA[[#This Row],[Pick- Up Date]]),"")</f>
        <v>33</v>
      </c>
      <c r="AD863" s="462" t="s">
        <v>6005</v>
      </c>
      <c r="AE863" s="462" t="s">
        <v>6005</v>
      </c>
      <c r="AF863" s="462" t="s">
        <v>122</v>
      </c>
      <c r="AG863" s="462" t="s">
        <v>123</v>
      </c>
      <c r="AH863" s="462" t="s">
        <v>105</v>
      </c>
      <c r="AI863" s="713">
        <v>46253</v>
      </c>
      <c r="AJ863" s="713"/>
      <c r="AK863" s="437">
        <f>IFERROR(IF(VLOOKUP(AT863,Vessel!A:F,5,FALSE)=0,"",VLOOKUP(AT863,Vessel!A:F,5,FALSE)),"")</f>
        <v>46254.231863425928</v>
      </c>
      <c r="AL863" s="713">
        <v>46287</v>
      </c>
      <c r="AM863" s="949">
        <f>IFERROR(VLOOKUP(AT863, Vessel!A:H, 8, FALSE), "")</f>
        <v>46289.958333333336</v>
      </c>
      <c r="AN863" s="949">
        <f>IFERROR(IF(VLOOKUP(AT863,Vessel!A:I,9,FALSE)=0,"",VLOOKUP(AT863,Vessel!A:I,9,FALSE)),"")</f>
        <v>46290.180347222224</v>
      </c>
      <c r="AP863" s="462" t="s">
        <v>5952</v>
      </c>
      <c r="AQ863" s="462" t="s">
        <v>80</v>
      </c>
      <c r="AR863" s="462" t="s">
        <v>6006</v>
      </c>
      <c r="AS863" s="462" t="s">
        <v>6003</v>
      </c>
      <c r="AT863" s="462" t="s">
        <v>6003</v>
      </c>
      <c r="AU8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35.948483796295477</v>
      </c>
      <c r="AV863" s="462" t="s">
        <v>2538</v>
      </c>
      <c r="AW863" s="713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6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3" s="713">
        <f>IF(ISERROR(PV_DATA[[#This Row],[New Ark PO status]]),"",_xlfn.XLOOKUP(PV_DATA[[#This Row],[SPTN-PVHK New Ark PO'#]],New_Ark_Data[Purchase order Number],New_Ark_Data[Estimated time of arrival],"",0))</f>
        <v>46287</v>
      </c>
      <c r="AZ863" s="9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13">
        <f>IFERROR(PV_DATA[[#This Row],[ODP ETA Port]]+PV_DATA[[#This Row],[Customs/Leg3 Assumption]],"n/a")</f>
        <v>46290.180347222224</v>
      </c>
      <c r="BB863" s="946">
        <f>YEAR(PV_DATA[[#This Row],[ETA for New Ark update]])</f>
        <v>2026</v>
      </c>
      <c r="BC863" s="462">
        <f>MONTH(PV_DATA[[#This Row],[ETA for New Ark update]])</f>
        <v>9</v>
      </c>
      <c r="BD863" s="462">
        <f>IFERROR(_xlfn.ISOWEEKNUM(PV_DATA[[#This Row],[ETA for New Ark update]]),0)</f>
        <v>39</v>
      </c>
      <c r="BE863" s="462">
        <f>_xlfn.XLOOKUP(PV_DATA[[#This Row],[New Ark SKU]],Table9[New Ark SKU],Table9[Total PCS per Pallet],,0)</f>
        <v>36</v>
      </c>
      <c r="BF863" s="462">
        <f>_xlfn.XLOOKUP(PV_DATA[[#This Row],[New Ark SKU]],Table9[New Ark SKU],Table9[Total PCS per 40HQ Container],,0)</f>
        <v>936</v>
      </c>
      <c r="BG863" s="462" t="str">
        <f>_xlfn.XLOOKUP(PV_DATA[[#This Row],[New Ark SKU]],Table9[New Ark SKU],Table9[Back Glass],,0)</f>
        <v>Black glazing</v>
      </c>
      <c r="BH863" s="948" t="str">
        <f>_xlfn.XLOOKUP(PV_DATA[[#This Row],[PORT DESTINATION]],Table12[PORT DESTINATION],Table12[Cosco Line],,0)</f>
        <v>AEU</v>
      </c>
    </row>
    <row r="864" spans="1:60" s="462" customFormat="1" ht="10.5">
      <c r="A864" s="462" t="s">
        <v>6007</v>
      </c>
      <c r="B864" s="462" t="s">
        <v>111</v>
      </c>
      <c r="C864" s="462" t="str">
        <f>IFERROR(LEFT(PV_DATA[[#This Row],[TCL REFERENCE]],FIND(".",PV_DATA[[#This Row],[TCL REFERENCE]],1)-1),"Main Line")</f>
        <v>26May013</v>
      </c>
      <c r="D864" s="462" t="s">
        <v>63</v>
      </c>
      <c r="E864" s="462" t="s">
        <v>64</v>
      </c>
      <c r="F864" s="462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4" s="462" t="s">
        <v>402</v>
      </c>
      <c r="H864" s="713" t="s">
        <v>67</v>
      </c>
      <c r="I864" s="462" t="s">
        <v>689</v>
      </c>
      <c r="J864" s="462" t="s">
        <v>96</v>
      </c>
      <c r="K864" s="1075"/>
      <c r="L864" s="1075"/>
      <c r="M864" s="462" t="s">
        <v>68</v>
      </c>
      <c r="N864" s="712">
        <v>46181</v>
      </c>
      <c r="O864" s="462" t="s">
        <v>4531</v>
      </c>
      <c r="P864" s="462" t="s">
        <v>5041</v>
      </c>
      <c r="Q864" s="462" t="s">
        <v>1807</v>
      </c>
      <c r="R864" s="430" t="str">
        <f>_xlfn.XLOOKUP(PV_DATA[[#This Row],[New Ark SKU]],Table9[New Ark SKU],Table9[Connector],,0)</f>
        <v>H4(Com)</v>
      </c>
      <c r="S864" s="433" t="str">
        <f>_xlfn.XLOOKUP(PV_DATA[[#This Row],[New Ark SKU]],Table9[New Ark SKU],Table9[Cable],,0)</f>
        <v>+400mm/-200mm</v>
      </c>
      <c r="T864" s="946">
        <v>720</v>
      </c>
      <c r="U864" s="1095">
        <f>594*9</f>
        <v>5346</v>
      </c>
      <c r="V864" s="969">
        <f>PV_DATA[[#This Row],[QUANTITY]]*PV_DATA[[#This Row],[WATT]]/1000000</f>
        <v>3.8491200000000001</v>
      </c>
      <c r="W864" s="714">
        <f>PV_DATA[[#This Row],[QUANTITY]]/PV_DATA[[#This Row],[Qty/Pallet]]</f>
        <v>162</v>
      </c>
      <c r="X864" s="1042">
        <f>PV_DATA[[#This Row],[QUANTITY]]/PV_DATA[[#This Row],[Qty/CT]]</f>
        <v>9</v>
      </c>
      <c r="Y864" s="462" t="s">
        <v>2460</v>
      </c>
      <c r="Z864" s="462" t="str">
        <f t="shared" si="10"/>
        <v>COMPLETED</v>
      </c>
      <c r="AA864" s="462" t="s">
        <v>5394</v>
      </c>
      <c r="AB864" s="713">
        <v>46249</v>
      </c>
      <c r="AC864" s="947">
        <f>IF(PV_DATA[[#This Row],[Pick- Up Date]]&lt;&gt;"",_xlfn.ISOWEEKNUM(PV_DATA[[#This Row],[Pick- Up Date]]),"")</f>
        <v>33</v>
      </c>
      <c r="AD864" s="714" t="s">
        <v>6008</v>
      </c>
      <c r="AE864" s="714" t="s">
        <v>6008</v>
      </c>
      <c r="AF864" s="462" t="s">
        <v>122</v>
      </c>
      <c r="AG864" s="462" t="s">
        <v>123</v>
      </c>
      <c r="AH864" s="462" t="s">
        <v>105</v>
      </c>
      <c r="AI864" s="713">
        <v>46253</v>
      </c>
      <c r="AJ864" s="713"/>
      <c r="AK864" s="437">
        <f>IFERROR(IF(VLOOKUP(AT864,Vessel!A:F,5,FALSE)=0,"",VLOOKUP(AT864,Vessel!A:F,5,FALSE)),"")</f>
        <v>46253.207060185188</v>
      </c>
      <c r="AL864" s="713">
        <v>46287</v>
      </c>
      <c r="AM864" s="949">
        <f>IFERROR(VLOOKUP(AT864, Vessel!A:H, 8, FALSE), "")</f>
        <v>46298</v>
      </c>
      <c r="AN864" s="949">
        <v>46298</v>
      </c>
      <c r="AP864" s="462" t="s">
        <v>5952</v>
      </c>
      <c r="AQ864" s="462" t="s">
        <v>80</v>
      </c>
      <c r="AR864" s="462" t="s">
        <v>6009</v>
      </c>
      <c r="AS864" s="462" t="s">
        <v>6010</v>
      </c>
      <c r="AT864" s="462" t="s">
        <v>6010</v>
      </c>
      <c r="AU8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44.792939814811689</v>
      </c>
      <c r="AV864" s="713"/>
      <c r="AW864" s="713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86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4" s="713">
        <f>IF(ISERROR(PV_DATA[[#This Row],[New Ark PO status]]),"",_xlfn.XLOOKUP(PV_DATA[[#This Row],[SPTN-PVHK New Ark PO'#]],New_Ark_Data[Purchase order Number],New_Ark_Data[Estimated time of arrival],"",0))</f>
        <v>46311</v>
      </c>
      <c r="AZ864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4" s="713">
        <f>IFERROR(PV_DATA[[#This Row],[ODP ETA Port]]+PV_DATA[[#This Row],[Customs/Leg3 Assumption]],"n/a")</f>
        <v>46305</v>
      </c>
      <c r="BB864" s="946">
        <f>YEAR(PV_DATA[[#This Row],[ETA for New Ark update]])</f>
        <v>2026</v>
      </c>
      <c r="BC864" s="462">
        <f>MONTH(PV_DATA[[#This Row],[ETA for New Ark update]])</f>
        <v>10</v>
      </c>
      <c r="BD864" s="462">
        <f>IFERROR(_xlfn.ISOWEEKNUM(PV_DATA[[#This Row],[ETA for New Ark update]]),0)</f>
        <v>41</v>
      </c>
      <c r="BE864" s="462">
        <f>_xlfn.XLOOKUP(PV_DATA[[#This Row],[New Ark SKU]],Table9[New Ark SKU],Table9[Total PCS per Pallet],,0)</f>
        <v>33</v>
      </c>
      <c r="BF864" s="462">
        <f>_xlfn.XLOOKUP(PV_DATA[[#This Row],[New Ark SKU]],Table9[New Ark SKU],Table9[Total PCS per 40HQ Container],,0)</f>
        <v>594</v>
      </c>
      <c r="BG864" s="462" t="str">
        <f>_xlfn.XLOOKUP(PV_DATA[[#This Row],[New Ark SKU]],Table9[New Ark SKU],Table9[Back Glass],,0)</f>
        <v>Transparent</v>
      </c>
      <c r="BH864" s="462" t="str">
        <f>_xlfn.XLOOKUP(PV_DATA[[#This Row],[PORT DESTINATION]],Table12[PORT DESTINATION],Table12[Cosco Line],,0)</f>
        <v>AEU</v>
      </c>
    </row>
    <row r="865" spans="1:62" s="462" customFormat="1" ht="10.5">
      <c r="A865" s="462" t="s">
        <v>6011</v>
      </c>
      <c r="B865" s="462" t="s">
        <v>111</v>
      </c>
      <c r="C865" s="462" t="str">
        <f>IFERROR(LEFT(PV_DATA[[#This Row],[TCL REFERENCE]],FIND(".",PV_DATA[[#This Row],[TCL REFERENCE]],1)-1),"Main Line")</f>
        <v>26Jul002</v>
      </c>
      <c r="D865" s="462" t="s">
        <v>63</v>
      </c>
      <c r="E865" s="462" t="s">
        <v>64</v>
      </c>
      <c r="F865" s="462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2" t="s">
        <v>402</v>
      </c>
      <c r="H865" s="462" t="s">
        <v>67</v>
      </c>
      <c r="I865" s="462" t="s">
        <v>882</v>
      </c>
      <c r="J865" s="462" t="s">
        <v>96</v>
      </c>
      <c r="M865" s="462" t="s">
        <v>68</v>
      </c>
      <c r="N865" s="712">
        <v>46209</v>
      </c>
      <c r="O865" s="462" t="s">
        <v>550</v>
      </c>
      <c r="P865" s="462" t="s">
        <v>2134</v>
      </c>
      <c r="Q865" s="462" t="s">
        <v>2135</v>
      </c>
      <c r="R865" s="430" t="str">
        <f>_xlfn.XLOOKUP(PV_DATA[[#This Row],[New Ark SKU]],Table9[New Ark SKU],Table9[Connector],,0)</f>
        <v>EVO2A</v>
      </c>
      <c r="S865" s="433" t="str">
        <f>_xlfn.XLOOKUP(PV_DATA[[#This Row],[New Ark SKU]],Table9[New Ark SKU],Table9[Cable],,0)</f>
        <v>±1350mm</v>
      </c>
      <c r="T865" s="946">
        <v>515</v>
      </c>
      <c r="U865" s="1095">
        <f>792*5</f>
        <v>3960</v>
      </c>
      <c r="V865" s="458">
        <f>PV_DATA[[#This Row],[QUANTITY]]*PV_DATA[[#This Row],[WATT]]/1000000</f>
        <v>2.0394000000000001</v>
      </c>
      <c r="W865" s="714">
        <f>PV_DATA[[#This Row],[QUANTITY]]/PV_DATA[[#This Row],[Qty/Pallet]]</f>
        <v>110</v>
      </c>
      <c r="X865" s="1042">
        <f>PV_DATA[[#This Row],[QUANTITY]]/PV_DATA[[#This Row],[Qty/CT]]</f>
        <v>5</v>
      </c>
      <c r="Y865" s="462" t="s">
        <v>2464</v>
      </c>
      <c r="Z865" s="462" t="str">
        <f t="shared" si="10"/>
        <v>COMPLETED</v>
      </c>
      <c r="AA865" s="462" t="s">
        <v>5853</v>
      </c>
      <c r="AB865" s="713">
        <v>46249</v>
      </c>
      <c r="AC865" s="947">
        <f>IF(PV_DATA[[#This Row],[Pick- Up Date]]&lt;&gt;"",_xlfn.ISOWEEKNUM(PV_DATA[[#This Row],[Pick- Up Date]]),"")</f>
        <v>33</v>
      </c>
      <c r="AD865" s="462" t="s">
        <v>6012</v>
      </c>
      <c r="AE865" s="462" t="s">
        <v>6012</v>
      </c>
      <c r="AF865" s="462" t="s">
        <v>122</v>
      </c>
      <c r="AG865" s="462" t="s">
        <v>123</v>
      </c>
      <c r="AH865" s="462" t="s">
        <v>105</v>
      </c>
      <c r="AI865" s="713">
        <v>46251</v>
      </c>
      <c r="AJ865" s="713"/>
      <c r="AK865" s="437">
        <f>IFERROR(IF(VLOOKUP(AT865,Vessel!A:F,5,FALSE)=0,"",VLOOKUP(AT865,Vessel!A:F,5,FALSE)),"")</f>
        <v>46254.231863425928</v>
      </c>
      <c r="AL865" s="1138">
        <v>46288</v>
      </c>
      <c r="AM865" s="1192">
        <f>IFERROR(VLOOKUP(AT865, Vessel!A:H, 8, FALSE), "")</f>
        <v>46289.958333333336</v>
      </c>
      <c r="AN865" s="949">
        <f>IFERROR(IF(VLOOKUP(AT865,Vessel!A:I,9,FALSE)=0,"",VLOOKUP(AT865,Vessel!A:I,9,FALSE)),"")</f>
        <v>46290.180347222224</v>
      </c>
      <c r="AP865" s="462" t="s">
        <v>6013</v>
      </c>
      <c r="AQ865" s="950" t="s">
        <v>80</v>
      </c>
      <c r="AR865" s="462" t="s">
        <v>6014</v>
      </c>
      <c r="AS865" s="462" t="s">
        <v>6015</v>
      </c>
      <c r="AT865" s="462" t="s">
        <v>6015</v>
      </c>
      <c r="AU8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35.948483796295477</v>
      </c>
      <c r="AW865" s="713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86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13">
        <f>IF(ISERROR(PV_DATA[[#This Row],[New Ark PO status]]),"",_xlfn.XLOOKUP(PV_DATA[[#This Row],[SPTN-PVHK New Ark PO'#]],New_Ark_Data[Purchase order Number],New_Ark_Data[Estimated time of arrival],"",0))</f>
        <v>46303</v>
      </c>
      <c r="AZ865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13">
        <f>IFERROR(PV_DATA[[#This Row],[ODP ETA Port]]+PV_DATA[[#This Row],[Customs/Leg3 Assumption]],"n/a")</f>
        <v>46297.180347222224</v>
      </c>
      <c r="BB865" s="946">
        <f>YEAR(PV_DATA[[#This Row],[ETA for New Ark update]])</f>
        <v>2026</v>
      </c>
      <c r="BC865" s="462">
        <f>MONTH(PV_DATA[[#This Row],[ETA for New Ark update]])</f>
        <v>10</v>
      </c>
      <c r="BD865" s="462">
        <f>IFERROR(_xlfn.ISOWEEKNUM(PV_DATA[[#This Row],[ETA for New Ark update]]),0)</f>
        <v>40</v>
      </c>
      <c r="BE865" s="462">
        <f>_xlfn.XLOOKUP(PV_DATA[[#This Row],[New Ark SKU]],Table9[New Ark SKU],Table9[Total PCS per Pallet],,0)</f>
        <v>36</v>
      </c>
      <c r="BF865" s="462">
        <f>_xlfn.XLOOKUP(PV_DATA[[#This Row],[New Ark SKU]],Table9[New Ark SKU],Table9[Total PCS per 40HQ Container],,0)</f>
        <v>792</v>
      </c>
      <c r="BG865" s="462" t="str">
        <f>_xlfn.XLOOKUP(PV_DATA[[#This Row],[New Ark SKU]],Table9[New Ark SKU],Table9[Back Glass],,0)</f>
        <v>Black glazing</v>
      </c>
      <c r="BH865" s="462" t="str">
        <f>_xlfn.XLOOKUP(PV_DATA[[#This Row],[PORT DESTINATION]],Table12[PORT DESTINATION],Table12[Cosco Line],,0)</f>
        <v>AEU</v>
      </c>
    </row>
    <row r="866" spans="1:62" s="462" customFormat="1" ht="21">
      <c r="A866" s="462" t="s">
        <v>6016</v>
      </c>
      <c r="B866" s="462" t="s">
        <v>111</v>
      </c>
      <c r="C866" s="462" t="str">
        <f>IFERROR(LEFT(PV_DATA[[#This Row],[TCL REFERENCE]],FIND(".",PV_DATA[[#This Row],[TCL REFERENCE]],1)-1),"Main Line")</f>
        <v>26Jul002</v>
      </c>
      <c r="D866" s="462" t="s">
        <v>63</v>
      </c>
      <c r="E866" s="462" t="s">
        <v>64</v>
      </c>
      <c r="F866" s="462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2" t="s">
        <v>402</v>
      </c>
      <c r="H866" s="462" t="s">
        <v>67</v>
      </c>
      <c r="I866" s="462" t="s">
        <v>689</v>
      </c>
      <c r="J866" s="462" t="s">
        <v>96</v>
      </c>
      <c r="M866" s="462" t="s">
        <v>68</v>
      </c>
      <c r="N866" s="712">
        <v>46209</v>
      </c>
      <c r="O866" s="462" t="s">
        <v>550</v>
      </c>
      <c r="P866" s="462" t="s">
        <v>2134</v>
      </c>
      <c r="Q866" s="462" t="s">
        <v>2135</v>
      </c>
      <c r="R866" s="430" t="str">
        <f>_xlfn.XLOOKUP(PV_DATA[[#This Row],[New Ark SKU]],Table9[New Ark SKU],Table9[Connector],,0)</f>
        <v>EVO2A</v>
      </c>
      <c r="S866" s="433" t="str">
        <f>_xlfn.XLOOKUP(PV_DATA[[#This Row],[New Ark SKU]],Table9[New Ark SKU],Table9[Cable],,0)</f>
        <v>±1350mm</v>
      </c>
      <c r="T866" s="946">
        <v>515</v>
      </c>
      <c r="U866" s="1095">
        <f>792*2</f>
        <v>1584</v>
      </c>
      <c r="V866" s="458">
        <f>PV_DATA[[#This Row],[QUANTITY]]*PV_DATA[[#This Row],[WATT]]/1000000</f>
        <v>0.81576000000000004</v>
      </c>
      <c r="W866" s="714">
        <f>PV_DATA[[#This Row],[QUANTITY]]/PV_DATA[[#This Row],[Qty/Pallet]]</f>
        <v>44</v>
      </c>
      <c r="X866" s="1042">
        <f>PV_DATA[[#This Row],[QUANTITY]]/PV_DATA[[#This Row],[Qty/CT]]</f>
        <v>2</v>
      </c>
      <c r="Y866" s="462" t="s">
        <v>2463</v>
      </c>
      <c r="Z866" s="462" t="str">
        <f t="shared" si="10"/>
        <v>COMPLETED</v>
      </c>
      <c r="AA866" s="462" t="s">
        <v>5853</v>
      </c>
      <c r="AB866" s="713">
        <v>46242</v>
      </c>
      <c r="AC866" s="947">
        <f>IF(PV_DATA[[#This Row],[Pick- Up Date]]&lt;&gt;"",_xlfn.ISOWEEKNUM(PV_DATA[[#This Row],[Pick- Up Date]]),"")</f>
        <v>32</v>
      </c>
      <c r="AD866" s="462" t="s">
        <v>6017</v>
      </c>
      <c r="AF866" s="462" t="s">
        <v>122</v>
      </c>
      <c r="AG866" s="462" t="s">
        <v>123</v>
      </c>
      <c r="AH866" s="462" t="s">
        <v>105</v>
      </c>
      <c r="AI866" s="713">
        <v>46250</v>
      </c>
      <c r="AJ866" s="713">
        <v>46250</v>
      </c>
      <c r="AK866" s="1049">
        <v>46248</v>
      </c>
      <c r="AL866" s="1138">
        <v>46298</v>
      </c>
      <c r="AM866" s="1190">
        <f>IFERROR(VLOOKUP(AT866, Vessel!A:H, 8, FALSE), "")</f>
        <v>46284.875</v>
      </c>
      <c r="AN866" s="949">
        <f>IFERROR(IF(VLOOKUP(AT866,Vessel!A:I,9,FALSE)=0,"",VLOOKUP(AT866,Vessel!A:I,9,FALSE)),"")</f>
        <v>46285.134953703702</v>
      </c>
      <c r="AP866" s="972" t="s">
        <v>6018</v>
      </c>
      <c r="AQ866" s="462" t="s">
        <v>80</v>
      </c>
      <c r="AR866" s="462" t="s">
        <v>6019</v>
      </c>
      <c r="AS866" s="462" t="s">
        <v>6020</v>
      </c>
      <c r="AT866" s="462" t="s">
        <v>6020</v>
      </c>
      <c r="AU8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6" s="713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13">
        <f>IF(ISERROR(PV_DATA[[#This Row],[New Ark PO status]]),"",_xlfn.XLOOKUP(PV_DATA[[#This Row],[SPTN-PVHK New Ark PO'#]],New_Ark_Data[Purchase order Number],New_Ark_Data[Estimated time of arrival],"",0))</f>
        <v>46303</v>
      </c>
      <c r="AZ866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13">
        <f>IFERROR(PV_DATA[[#This Row],[ODP ETA Port]]+PV_DATA[[#This Row],[Customs/Leg3 Assumption]],"n/a")</f>
        <v>46292.134953703702</v>
      </c>
      <c r="BB866" s="946">
        <f>YEAR(PV_DATA[[#This Row],[ETA for New Ark update]])</f>
        <v>2026</v>
      </c>
      <c r="BC866" s="462">
        <f>MONTH(PV_DATA[[#This Row],[ETA for New Ark update]])</f>
        <v>9</v>
      </c>
      <c r="BD866" s="462">
        <f>IFERROR(_xlfn.ISOWEEKNUM(PV_DATA[[#This Row],[ETA for New Ark update]]),0)</f>
        <v>39</v>
      </c>
      <c r="BE866" s="462">
        <f>_xlfn.XLOOKUP(PV_DATA[[#This Row],[New Ark SKU]],Table9[New Ark SKU],Table9[Total PCS per Pallet],,0)</f>
        <v>36</v>
      </c>
      <c r="BF866" s="462">
        <f>_xlfn.XLOOKUP(PV_DATA[[#This Row],[New Ark SKU]],Table9[New Ark SKU],Table9[Total PCS per 40HQ Container],,0)</f>
        <v>792</v>
      </c>
      <c r="BG866" s="462" t="str">
        <f>_xlfn.XLOOKUP(PV_DATA[[#This Row],[New Ark SKU]],Table9[New Ark SKU],Table9[Back Glass],,0)</f>
        <v>Black glazing</v>
      </c>
      <c r="BH866" s="462" t="str">
        <f>_xlfn.XLOOKUP(PV_DATA[[#This Row],[PORT DESTINATION]],Table12[PORT DESTINATION],Table12[Cosco Line],,0)</f>
        <v>AEU</v>
      </c>
    </row>
    <row r="867" spans="1:62" s="462" customFormat="1" ht="10.5">
      <c r="A867" s="462" t="s">
        <v>6021</v>
      </c>
      <c r="B867" s="462" t="s">
        <v>111</v>
      </c>
      <c r="C867" s="462" t="str">
        <f>IFERROR(LEFT(PV_DATA[[#This Row],[TCL REFERENCE]],FIND(".",PV_DATA[[#This Row],[TCL REFERENCE]],1)-1),"Main Line")</f>
        <v>26Jul004</v>
      </c>
      <c r="D867" s="462" t="s">
        <v>63</v>
      </c>
      <c r="E867" s="462" t="s">
        <v>64</v>
      </c>
      <c r="F867" s="462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2" t="s">
        <v>402</v>
      </c>
      <c r="H867" s="462" t="s">
        <v>67</v>
      </c>
      <c r="I867" s="462" t="s">
        <v>882</v>
      </c>
      <c r="J867" s="462" t="s">
        <v>96</v>
      </c>
      <c r="M867" s="462" t="s">
        <v>68</v>
      </c>
      <c r="N867" s="712">
        <v>46223</v>
      </c>
      <c r="O867" s="462" t="s">
        <v>132</v>
      </c>
      <c r="P867" s="462" t="s">
        <v>1062</v>
      </c>
      <c r="Q867" s="462" t="s">
        <v>1063</v>
      </c>
      <c r="R867" s="430" t="str">
        <f>_xlfn.XLOOKUP(PV_DATA[[#This Row],[New Ark SKU]],Table9[New Ark SKU],Table9[Connector],,0)</f>
        <v>EVO2A</v>
      </c>
      <c r="S867" s="433" t="str">
        <f>_xlfn.XLOOKUP(PV_DATA[[#This Row],[New Ark SKU]],Table9[New Ark SKU],Table9[Cable],,0)</f>
        <v>±1200mm</v>
      </c>
      <c r="T867" s="946">
        <v>470</v>
      </c>
      <c r="U867" s="1095">
        <f>864*3</f>
        <v>2592</v>
      </c>
      <c r="V867" s="458">
        <f>PV_DATA[[#This Row],[QUANTITY]]*PV_DATA[[#This Row],[WATT]]/1000000</f>
        <v>1.21824</v>
      </c>
      <c r="W867" s="714">
        <f>PV_DATA[[#This Row],[QUANTITY]]/PV_DATA[[#This Row],[Qty/Pallet]]</f>
        <v>72</v>
      </c>
      <c r="X867" s="1042">
        <f>PV_DATA[[#This Row],[QUANTITY]]/PV_DATA[[#This Row],[Qty/CT]]</f>
        <v>3</v>
      </c>
      <c r="Y867" s="462" t="s">
        <v>2466</v>
      </c>
      <c r="Z867" s="462" t="str">
        <f t="shared" si="10"/>
        <v>COMPLETED</v>
      </c>
      <c r="AA867" s="462" t="s">
        <v>6022</v>
      </c>
      <c r="AB867" s="713">
        <v>46242</v>
      </c>
      <c r="AC867" s="947">
        <f>IF(PV_DATA[[#This Row],[Pick- Up Date]]&lt;&gt;"",_xlfn.ISOWEEKNUM(PV_DATA[[#This Row],[Pick- Up Date]]),"")</f>
        <v>32</v>
      </c>
      <c r="AD867" s="462" t="s">
        <v>6023</v>
      </c>
      <c r="AF867" s="462" t="s">
        <v>122</v>
      </c>
      <c r="AG867" s="462" t="s">
        <v>123</v>
      </c>
      <c r="AH867" s="462" t="s">
        <v>105</v>
      </c>
      <c r="AI867" s="713">
        <v>46250</v>
      </c>
      <c r="AJ867" s="713">
        <v>46250</v>
      </c>
      <c r="AK867" s="437">
        <v>46248</v>
      </c>
      <c r="AL867" s="713">
        <v>46298</v>
      </c>
      <c r="AM867" s="949">
        <f>IFERROR(VLOOKUP(AT867, Vessel!A:H, 8, FALSE), "")</f>
        <v>46284.875</v>
      </c>
      <c r="AN867" s="949">
        <f>IFERROR(IF(VLOOKUP(AT867,Vessel!A:I,9,FALSE)=0,"",VLOOKUP(AT867,Vessel!A:I,9,FALSE)),"")</f>
        <v>46285.134953703702</v>
      </c>
      <c r="AP867" s="462" t="s">
        <v>6018</v>
      </c>
      <c r="AQ867" s="462" t="s">
        <v>80</v>
      </c>
      <c r="AR867" s="462" t="s">
        <v>6019</v>
      </c>
      <c r="AS867" s="462" t="s">
        <v>6020</v>
      </c>
      <c r="AT867" s="462" t="s">
        <v>6020</v>
      </c>
      <c r="AU8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7" s="713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13">
        <f>IF(ISERROR(PV_DATA[[#This Row],[New Ark PO status]]),"",_xlfn.XLOOKUP(PV_DATA[[#This Row],[SPTN-PVHK New Ark PO'#]],New_Ark_Data[Purchase order Number],New_Ark_Data[Estimated time of arrival],"",0))</f>
        <v>46303</v>
      </c>
      <c r="AZ867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13">
        <f>IFERROR(PV_DATA[[#This Row],[ODP ETA Port]]+PV_DATA[[#This Row],[Customs/Leg3 Assumption]],"n/a")</f>
        <v>46292.134953703702</v>
      </c>
      <c r="BB867" s="946">
        <f>YEAR(PV_DATA[[#This Row],[ETA for New Ark update]])</f>
        <v>2026</v>
      </c>
      <c r="BC867" s="462">
        <f>MONTH(PV_DATA[[#This Row],[ETA for New Ark update]])</f>
        <v>9</v>
      </c>
      <c r="BD867" s="462">
        <f>IFERROR(_xlfn.ISOWEEKNUM(PV_DATA[[#This Row],[ETA for New Ark update]]),0)</f>
        <v>39</v>
      </c>
      <c r="BE867" s="462">
        <f>_xlfn.XLOOKUP(PV_DATA[[#This Row],[New Ark SKU]],Table9[New Ark SKU],Table9[Total PCS per Pallet],,0)</f>
        <v>36</v>
      </c>
      <c r="BF867" s="462">
        <f>_xlfn.XLOOKUP(PV_DATA[[#This Row],[New Ark SKU]],Table9[New Ark SKU],Table9[Total PCS per 40HQ Container],,0)</f>
        <v>864</v>
      </c>
      <c r="BG867" s="462" t="str">
        <f>_xlfn.XLOOKUP(PV_DATA[[#This Row],[New Ark SKU]],Table9[New Ark SKU],Table9[Back Glass],,0)</f>
        <v>White glazing</v>
      </c>
      <c r="BH867" s="462" t="str">
        <f>_xlfn.XLOOKUP(PV_DATA[[#This Row],[PORT DESTINATION]],Table12[PORT DESTINATION],Table12[Cosco Line],,0)</f>
        <v>AEU</v>
      </c>
    </row>
    <row r="868" spans="1:62" s="462" customFormat="1" ht="10.5">
      <c r="A868" s="462" t="s">
        <v>6024</v>
      </c>
      <c r="B868" s="462" t="s">
        <v>111</v>
      </c>
      <c r="C868" s="462" t="str">
        <f>IFERROR(LEFT(PV_DATA[[#This Row],[TCL REFERENCE]],FIND(".",PV_DATA[[#This Row],[TCL REFERENCE]],1)-1),"Main Line")</f>
        <v>26Jul002</v>
      </c>
      <c r="D868" s="462" t="s">
        <v>63</v>
      </c>
      <c r="E868" s="462" t="s">
        <v>64</v>
      </c>
      <c r="F868" s="462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2" t="s">
        <v>402</v>
      </c>
      <c r="H868" s="462" t="s">
        <v>67</v>
      </c>
      <c r="I868" s="462" t="s">
        <v>689</v>
      </c>
      <c r="J868" s="462" t="s">
        <v>96</v>
      </c>
      <c r="M868" s="462" t="s">
        <v>68</v>
      </c>
      <c r="N868" s="712">
        <v>46209</v>
      </c>
      <c r="O868" s="462" t="s">
        <v>550</v>
      </c>
      <c r="P868" s="462" t="s">
        <v>2134</v>
      </c>
      <c r="Q868" s="462" t="s">
        <v>2135</v>
      </c>
      <c r="R868" s="430" t="str">
        <f>_xlfn.XLOOKUP(PV_DATA[[#This Row],[New Ark SKU]],Table9[New Ark SKU],Table9[Connector],,0)</f>
        <v>EVO2A</v>
      </c>
      <c r="S868" s="433" t="str">
        <f>_xlfn.XLOOKUP(PV_DATA[[#This Row],[New Ark SKU]],Table9[New Ark SKU],Table9[Cable],,0)</f>
        <v>±1350mm</v>
      </c>
      <c r="T868" s="946">
        <v>515</v>
      </c>
      <c r="U868" s="1095">
        <v>1584</v>
      </c>
      <c r="V868" s="458">
        <f>PV_DATA[[#This Row],[QUANTITY]]*PV_DATA[[#This Row],[WATT]]/1000000</f>
        <v>0.81576000000000004</v>
      </c>
      <c r="W868" s="714">
        <f>PV_DATA[[#This Row],[QUANTITY]]/PV_DATA[[#This Row],[Qty/Pallet]]</f>
        <v>44</v>
      </c>
      <c r="X868" s="1042">
        <f>PV_DATA[[#This Row],[QUANTITY]]/PV_DATA[[#This Row],[Qty/CT]]</f>
        <v>2</v>
      </c>
      <c r="Y868" s="462" t="s">
        <v>2465</v>
      </c>
      <c r="Z868" s="462" t="str">
        <f t="shared" si="10"/>
        <v>COMPLETED</v>
      </c>
      <c r="AB868" s="713">
        <v>46242</v>
      </c>
      <c r="AC868" s="947">
        <f>IF(PV_DATA[[#This Row],[Pick- Up Date]]&lt;&gt;"",_xlfn.ISOWEEKNUM(PV_DATA[[#This Row],[Pick- Up Date]]),"")</f>
        <v>32</v>
      </c>
      <c r="AD868" s="462" t="s">
        <v>6025</v>
      </c>
      <c r="AF868" s="462" t="s">
        <v>122</v>
      </c>
      <c r="AG868" s="462" t="s">
        <v>123</v>
      </c>
      <c r="AH868" s="462" t="s">
        <v>105</v>
      </c>
      <c r="AI868" s="713">
        <v>46250</v>
      </c>
      <c r="AJ868" s="713">
        <v>46250</v>
      </c>
      <c r="AK868" s="437">
        <v>46248</v>
      </c>
      <c r="AL868" s="1138">
        <v>46298</v>
      </c>
      <c r="AM868" s="1190">
        <f>IFERROR(VLOOKUP(AT868, Vessel!A:H, 8, FALSE), "")</f>
        <v>46284.875</v>
      </c>
      <c r="AN868" s="949">
        <f>IFERROR(IF(VLOOKUP(AT868,Vessel!A:I,9,FALSE)=0,"",VLOOKUP(AT868,Vessel!A:I,9,FALSE)),"")</f>
        <v>46285.134953703702</v>
      </c>
      <c r="AP868" s="462" t="s">
        <v>6018</v>
      </c>
      <c r="AQ868" s="462" t="s">
        <v>80</v>
      </c>
      <c r="AR868" s="462" t="s">
        <v>6019</v>
      </c>
      <c r="AS868" s="462" t="s">
        <v>6020</v>
      </c>
      <c r="AT868" s="462" t="s">
        <v>6020</v>
      </c>
      <c r="AU8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8" s="713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13">
        <f>IF(ISERROR(PV_DATA[[#This Row],[New Ark PO status]]),"",_xlfn.XLOOKUP(PV_DATA[[#This Row],[SPTN-PVHK New Ark PO'#]],New_Ark_Data[Purchase order Number],New_Ark_Data[Estimated time of arrival],"",0))</f>
        <v>46303</v>
      </c>
      <c r="AZ868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13">
        <f>IFERROR(PV_DATA[[#This Row],[ODP ETA Port]]+PV_DATA[[#This Row],[Customs/Leg3 Assumption]],"n/a")</f>
        <v>46292.134953703702</v>
      </c>
      <c r="BB868" s="946">
        <f>YEAR(PV_DATA[[#This Row],[ETA for New Ark update]])</f>
        <v>2026</v>
      </c>
      <c r="BC868" s="462">
        <f>MONTH(PV_DATA[[#This Row],[ETA for New Ark update]])</f>
        <v>9</v>
      </c>
      <c r="BD868" s="462">
        <f>IFERROR(_xlfn.ISOWEEKNUM(PV_DATA[[#This Row],[ETA for New Ark update]]),0)</f>
        <v>39</v>
      </c>
      <c r="BE868" s="462">
        <f>_xlfn.XLOOKUP(PV_DATA[[#This Row],[New Ark SKU]],Table9[New Ark SKU],Table9[Total PCS per Pallet],,0)</f>
        <v>36</v>
      </c>
      <c r="BF868" s="462">
        <f>_xlfn.XLOOKUP(PV_DATA[[#This Row],[New Ark SKU]],Table9[New Ark SKU],Table9[Total PCS per 40HQ Container],,0)</f>
        <v>792</v>
      </c>
      <c r="BG868" s="462" t="str">
        <f>_xlfn.XLOOKUP(PV_DATA[[#This Row],[New Ark SKU]],Table9[New Ark SKU],Table9[Back Glass],,0)</f>
        <v>Black glazing</v>
      </c>
      <c r="BH868" s="948" t="str">
        <f>_xlfn.XLOOKUP(PV_DATA[[#This Row],[PORT DESTINATION]],Table12[PORT DESTINATION],Table12[Cosco Line],,0)</f>
        <v>AEU</v>
      </c>
    </row>
    <row r="869" spans="1:62" s="462" customFormat="1" ht="10.5">
      <c r="A869" s="462" t="s">
        <v>6026</v>
      </c>
      <c r="B869" s="462" t="s">
        <v>111</v>
      </c>
      <c r="C869" s="462" t="str">
        <f>IFERROR(LEFT(PV_DATA[[#This Row],[TCL REFERENCE]],FIND(".",PV_DATA[[#This Row],[TCL REFERENCE]],1)-1),"Main Line")</f>
        <v>26May014</v>
      </c>
      <c r="D869" s="462" t="s">
        <v>63</v>
      </c>
      <c r="E869" s="462" t="s">
        <v>64</v>
      </c>
      <c r="F869" s="462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2" t="s">
        <v>402</v>
      </c>
      <c r="H869" s="713" t="s">
        <v>67</v>
      </c>
      <c r="I869" s="462" t="s">
        <v>689</v>
      </c>
      <c r="J869" s="462" t="s">
        <v>96</v>
      </c>
      <c r="K869" s="1075" t="s">
        <v>1451</v>
      </c>
      <c r="L869" s="1075">
        <v>42</v>
      </c>
      <c r="M869" s="462" t="s">
        <v>68</v>
      </c>
      <c r="N869" s="712">
        <v>46181</v>
      </c>
      <c r="O869" s="462" t="s">
        <v>4531</v>
      </c>
      <c r="P869" s="462" t="s">
        <v>5057</v>
      </c>
      <c r="Q869" s="462" t="s">
        <v>1484</v>
      </c>
      <c r="R869" s="430" t="str">
        <f>_xlfn.XLOOKUP(PV_DATA[[#This Row],[New Ark SKU]],Table9[New Ark SKU],Table9[Connector],,0)</f>
        <v>H4(Com)</v>
      </c>
      <c r="S869" s="433" t="str">
        <f>_xlfn.XLOOKUP(PV_DATA[[#This Row],[New Ark SKU]],Table9[New Ark SKU],Table9[Cable],,0)</f>
        <v>+400mm/-200mm</v>
      </c>
      <c r="T869" s="946">
        <v>725</v>
      </c>
      <c r="U869" s="1095">
        <f>594*1</f>
        <v>594</v>
      </c>
      <c r="V869" s="969">
        <f>PV_DATA[[#This Row],[QUANTITY]]*PV_DATA[[#This Row],[WATT]]/1000000</f>
        <v>0.43064999999999998</v>
      </c>
      <c r="W869" s="714">
        <f>PV_DATA[[#This Row],[QUANTITY]]/PV_DATA[[#This Row],[Qty/Pallet]]</f>
        <v>18</v>
      </c>
      <c r="X869" s="1042">
        <f>PV_DATA[[#This Row],[QUANTITY]]/PV_DATA[[#This Row],[Qty/CT]]</f>
        <v>1</v>
      </c>
      <c r="Y869" s="462" t="s">
        <v>2459</v>
      </c>
      <c r="Z869" s="462" t="str">
        <f t="shared" si="10"/>
        <v>COMPLETED</v>
      </c>
      <c r="AA869" s="462" t="s">
        <v>5394</v>
      </c>
      <c r="AB869" s="713">
        <v>46241</v>
      </c>
      <c r="AC869" s="947">
        <f>IF(PV_DATA[[#This Row],[Pick- Up Date]]&lt;&gt;"",_xlfn.ISOWEEKNUM(PV_DATA[[#This Row],[Pick- Up Date]]),"")</f>
        <v>32</v>
      </c>
      <c r="AD869" s="714" t="s">
        <v>6027</v>
      </c>
      <c r="AE869" s="714"/>
      <c r="AF869" s="462" t="s">
        <v>122</v>
      </c>
      <c r="AG869" s="462" t="s">
        <v>123</v>
      </c>
      <c r="AH869" s="462" t="s">
        <v>105</v>
      </c>
      <c r="AI869" s="713">
        <v>46250</v>
      </c>
      <c r="AJ869" s="713">
        <v>46249</v>
      </c>
      <c r="AK869" s="437">
        <v>46248</v>
      </c>
      <c r="AL869" s="713">
        <v>46298</v>
      </c>
      <c r="AM869" s="949">
        <f>IFERROR(VLOOKUP(AT869, Vessel!A:H, 8, FALSE), "")</f>
        <v>46284.875</v>
      </c>
      <c r="AN869" s="949">
        <f>IFERROR(IF(VLOOKUP(AT869,Vessel!A:I,9,FALSE)=0,"",VLOOKUP(AT869,Vessel!A:I,9,FALSE)),"")</f>
        <v>46285.134953703702</v>
      </c>
      <c r="AP869" s="462" t="s">
        <v>6018</v>
      </c>
      <c r="AQ869" s="462" t="s">
        <v>80</v>
      </c>
      <c r="AR869" s="462" t="s">
        <v>6028</v>
      </c>
      <c r="AS869" s="462" t="s">
        <v>6029</v>
      </c>
      <c r="AT869" s="462" t="s">
        <v>6029</v>
      </c>
      <c r="AU8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69" s="713"/>
      <c r="AW869" s="713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13">
        <f>IF(ISERROR(PV_DATA[[#This Row],[New Ark PO status]]),"",_xlfn.XLOOKUP(PV_DATA[[#This Row],[SPTN-PVHK New Ark PO'#]],New_Ark_Data[Purchase order Number],New_Ark_Data[Estimated time of arrival],"",0))</f>
        <v>46300</v>
      </c>
      <c r="AZ869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13">
        <f>IFERROR(PV_DATA[[#This Row],[ODP ETA Port]]+PV_DATA[[#This Row],[Customs/Leg3 Assumption]],"n/a")</f>
        <v>46292.134953703702</v>
      </c>
      <c r="BB869" s="946">
        <f>YEAR(PV_DATA[[#This Row],[ETA for New Ark update]])</f>
        <v>2026</v>
      </c>
      <c r="BC869" s="462">
        <f>MONTH(PV_DATA[[#This Row],[ETA for New Ark update]])</f>
        <v>9</v>
      </c>
      <c r="BD869" s="462">
        <f>IFERROR(_xlfn.ISOWEEKNUM(PV_DATA[[#This Row],[ETA for New Ark update]]),0)</f>
        <v>39</v>
      </c>
      <c r="BE869" s="462">
        <f>_xlfn.XLOOKUP(PV_DATA[[#This Row],[New Ark SKU]],Table9[New Ark SKU],Table9[Total PCS per Pallet],,0)</f>
        <v>33</v>
      </c>
      <c r="BF869" s="462">
        <f>_xlfn.XLOOKUP(PV_DATA[[#This Row],[New Ark SKU]],Table9[New Ark SKU],Table9[Total PCS per 40HQ Container],,0)</f>
        <v>594</v>
      </c>
      <c r="BG869" s="462" t="str">
        <f>_xlfn.XLOOKUP(PV_DATA[[#This Row],[New Ark SKU]],Table9[New Ark SKU],Table9[Back Glass],,0)</f>
        <v>Transparent</v>
      </c>
      <c r="BH869" s="462" t="str">
        <f>_xlfn.XLOOKUP(PV_DATA[[#This Row],[PORT DESTINATION]],Table12[PORT DESTINATION],Table12[Cosco Line],,0)</f>
        <v>AEU</v>
      </c>
    </row>
    <row r="870" spans="1:62" s="462" customFormat="1" ht="10.5">
      <c r="A870" s="462" t="s">
        <v>6030</v>
      </c>
      <c r="B870" s="462" t="s">
        <v>111</v>
      </c>
      <c r="C870" s="462" t="str">
        <f>IFERROR(LEFT(PV_DATA[[#This Row],[TCL REFERENCE]],FIND(".",PV_DATA[[#This Row],[TCL REFERENCE]],1)-1),"Main Line")</f>
        <v>26May014</v>
      </c>
      <c r="D870" s="462" t="s">
        <v>63</v>
      </c>
      <c r="E870" s="462" t="s">
        <v>64</v>
      </c>
      <c r="F870" s="462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2" t="s">
        <v>402</v>
      </c>
      <c r="H870" s="713" t="s">
        <v>67</v>
      </c>
      <c r="I870" s="462" t="s">
        <v>689</v>
      </c>
      <c r="J870" s="462" t="s">
        <v>96</v>
      </c>
      <c r="K870" s="1075" t="s">
        <v>1451</v>
      </c>
      <c r="L870" s="1075">
        <v>53</v>
      </c>
      <c r="M870" s="462" t="s">
        <v>68</v>
      </c>
      <c r="N870" s="712">
        <v>46181</v>
      </c>
      <c r="O870" s="462" t="s">
        <v>4531</v>
      </c>
      <c r="P870" s="462" t="s">
        <v>5057</v>
      </c>
      <c r="Q870" s="462" t="s">
        <v>1484</v>
      </c>
      <c r="R870" s="430" t="str">
        <f>_xlfn.XLOOKUP(PV_DATA[[#This Row],[New Ark SKU]],Table9[New Ark SKU],Table9[Connector],,0)</f>
        <v>H4(Com)</v>
      </c>
      <c r="S870" s="433" t="str">
        <f>_xlfn.XLOOKUP(PV_DATA[[#This Row],[New Ark SKU]],Table9[New Ark SKU],Table9[Cable],,0)</f>
        <v>+400mm/-200mm</v>
      </c>
      <c r="T870" s="946">
        <v>725</v>
      </c>
      <c r="U870" s="1095">
        <v>594</v>
      </c>
      <c r="V870" s="969">
        <f>PV_DATA[[#This Row],[QUANTITY]]*PV_DATA[[#This Row],[WATT]]/1000000</f>
        <v>0.43064999999999998</v>
      </c>
      <c r="W870" s="714">
        <f>PV_DATA[[#This Row],[QUANTITY]]/PV_DATA[[#This Row],[Qty/Pallet]]</f>
        <v>18</v>
      </c>
      <c r="X870" s="1042">
        <f>PV_DATA[[#This Row],[QUANTITY]]/PV_DATA[[#This Row],[Qty/CT]]</f>
        <v>1</v>
      </c>
      <c r="Y870" s="462" t="s">
        <v>2460</v>
      </c>
      <c r="Z870" s="462" t="str">
        <f t="shared" si="10"/>
        <v>COMPLETED</v>
      </c>
      <c r="AA870" s="462" t="s">
        <v>5394</v>
      </c>
      <c r="AB870" s="713">
        <v>46241</v>
      </c>
      <c r="AC870" s="947">
        <f>IF(PV_DATA[[#This Row],[Pick- Up Date]]&lt;&gt;"",_xlfn.ISOWEEKNUM(PV_DATA[[#This Row],[Pick- Up Date]]),"")</f>
        <v>32</v>
      </c>
      <c r="AD870" s="714" t="s">
        <v>6031</v>
      </c>
      <c r="AE870" s="714"/>
      <c r="AF870" s="462" t="s">
        <v>122</v>
      </c>
      <c r="AG870" s="462" t="s">
        <v>123</v>
      </c>
      <c r="AH870" s="462" t="s">
        <v>105</v>
      </c>
      <c r="AI870" s="713">
        <v>46250</v>
      </c>
      <c r="AJ870" s="713">
        <v>46249</v>
      </c>
      <c r="AK870" s="437">
        <v>46248</v>
      </c>
      <c r="AL870" s="713">
        <v>46298</v>
      </c>
      <c r="AM870" s="949">
        <f>IFERROR(VLOOKUP(AT870, Vessel!A:H, 8, FALSE), "")</f>
        <v>46284.875</v>
      </c>
      <c r="AN870" s="949">
        <f>IFERROR(IF(VLOOKUP(AT870,Vessel!A:I,9,FALSE)=0,"",VLOOKUP(AT870,Vessel!A:I,9,FALSE)),"")</f>
        <v>46285.134953703702</v>
      </c>
      <c r="AP870" s="462" t="s">
        <v>5800</v>
      </c>
      <c r="AQ870" s="462" t="s">
        <v>80</v>
      </c>
      <c r="AR870" s="462" t="s">
        <v>6028</v>
      </c>
      <c r="AS870" s="462" t="s">
        <v>6029</v>
      </c>
      <c r="AT870" s="462" t="s">
        <v>6029</v>
      </c>
      <c r="AU8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0" s="713"/>
      <c r="AW870" s="713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13">
        <f>IF(ISERROR(PV_DATA[[#This Row],[New Ark PO status]]),"",_xlfn.XLOOKUP(PV_DATA[[#This Row],[SPTN-PVHK New Ark PO'#]],New_Ark_Data[Purchase order Number],New_Ark_Data[Estimated time of arrival],"",0))</f>
        <v>46300</v>
      </c>
      <c r="AZ870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13">
        <f>IFERROR(PV_DATA[[#This Row],[ODP ETA Port]]+PV_DATA[[#This Row],[Customs/Leg3 Assumption]],"n/a")</f>
        <v>46292.134953703702</v>
      </c>
      <c r="BB870" s="946">
        <f>YEAR(PV_DATA[[#This Row],[ETA for New Ark update]])</f>
        <v>2026</v>
      </c>
      <c r="BC870" s="462">
        <f>MONTH(PV_DATA[[#This Row],[ETA for New Ark update]])</f>
        <v>9</v>
      </c>
      <c r="BD870" s="462">
        <f>IFERROR(_xlfn.ISOWEEKNUM(PV_DATA[[#This Row],[ETA for New Ark update]]),0)</f>
        <v>39</v>
      </c>
      <c r="BE870" s="462">
        <f>_xlfn.XLOOKUP(PV_DATA[[#This Row],[New Ark SKU]],Table9[New Ark SKU],Table9[Total PCS per Pallet],,0)</f>
        <v>33</v>
      </c>
      <c r="BF870" s="462">
        <f>_xlfn.XLOOKUP(PV_DATA[[#This Row],[New Ark SKU]],Table9[New Ark SKU],Table9[Total PCS per 40HQ Container],,0)</f>
        <v>594</v>
      </c>
      <c r="BG870" s="462" t="str">
        <f>_xlfn.XLOOKUP(PV_DATA[[#This Row],[New Ark SKU]],Table9[New Ark SKU],Table9[Back Glass],,0)</f>
        <v>Transparent</v>
      </c>
      <c r="BH870" s="462" t="str">
        <f>_xlfn.XLOOKUP(PV_DATA[[#This Row],[PORT DESTINATION]],Table12[PORT DESTINATION],Table12[Cosco Line],,0)</f>
        <v>AEU</v>
      </c>
    </row>
    <row r="871" spans="1:62" s="462" customFormat="1" ht="10.5">
      <c r="A871" s="462" t="s">
        <v>6032</v>
      </c>
      <c r="B871" s="462" t="s">
        <v>111</v>
      </c>
      <c r="C871" s="462" t="str">
        <f>IFERROR(LEFT(PV_DATA[[#This Row],[TCL REFERENCE]],FIND(".",PV_DATA[[#This Row],[TCL REFERENCE]],1)-1),"Main Line")</f>
        <v>26May011</v>
      </c>
      <c r="D871" s="462" t="s">
        <v>63</v>
      </c>
      <c r="E871" s="462" t="s">
        <v>64</v>
      </c>
      <c r="F871" s="462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2" t="s">
        <v>402</v>
      </c>
      <c r="H871" s="713" t="s">
        <v>67</v>
      </c>
      <c r="I871" s="462" t="s">
        <v>689</v>
      </c>
      <c r="J871" s="462" t="s">
        <v>96</v>
      </c>
      <c r="M871" s="462" t="s">
        <v>68</v>
      </c>
      <c r="N871" s="712">
        <v>46167</v>
      </c>
      <c r="O871" s="462" t="s">
        <v>4531</v>
      </c>
      <c r="P871" s="462" t="s">
        <v>4592</v>
      </c>
      <c r="Q871" s="462" t="s">
        <v>330</v>
      </c>
      <c r="R871" s="430" t="str">
        <f>_xlfn.XLOOKUP(PV_DATA[[#This Row],[New Ark SKU]],Table9[New Ark SKU],Table9[Connector],,0)</f>
        <v>H4(Com)</v>
      </c>
      <c r="S871" s="433" t="str">
        <f>_xlfn.XLOOKUP(PV_DATA[[#This Row],[New Ark SKU]],Table9[New Ark SKU],Table9[Cable],,0)</f>
        <v>+400mm/-200mm</v>
      </c>
      <c r="T871" s="946">
        <v>625</v>
      </c>
      <c r="U871" s="1095">
        <f>720*1</f>
        <v>720</v>
      </c>
      <c r="V871" s="969">
        <f>PV_DATA[[#This Row],[QUANTITY]]*PV_DATA[[#This Row],[WATT]]/1000000</f>
        <v>0.45</v>
      </c>
      <c r="W871" s="714">
        <f>PV_DATA[[#This Row],[QUANTITY]]/PV_DATA[[#This Row],[Qty/Pallet]]</f>
        <v>20</v>
      </c>
      <c r="X871" s="1042">
        <f>PV_DATA[[#This Row],[QUANTITY]]/PV_DATA[[#This Row],[Qty/CT]]</f>
        <v>1</v>
      </c>
      <c r="Y871" s="462" t="s">
        <v>2465</v>
      </c>
      <c r="Z871" s="462" t="str">
        <f t="shared" si="10"/>
        <v>COMPLETED</v>
      </c>
      <c r="AA871" s="462" t="s">
        <v>5394</v>
      </c>
      <c r="AB871" s="713">
        <v>46241</v>
      </c>
      <c r="AC871" s="947">
        <f>IF(PV_DATA[[#This Row],[Pick- Up Date]]&lt;&gt;"",_xlfn.ISOWEEKNUM(PV_DATA[[#This Row],[Pick- Up Date]]),"")</f>
        <v>32</v>
      </c>
      <c r="AD871" s="462" t="s">
        <v>6033</v>
      </c>
      <c r="AF871" s="462" t="s">
        <v>122</v>
      </c>
      <c r="AG871" s="462" t="s">
        <v>123</v>
      </c>
      <c r="AH871" s="462" t="s">
        <v>105</v>
      </c>
      <c r="AI871" s="713">
        <v>46250</v>
      </c>
      <c r="AJ871" s="713">
        <v>46249</v>
      </c>
      <c r="AK871" s="437">
        <v>46248</v>
      </c>
      <c r="AL871" s="713">
        <v>46298</v>
      </c>
      <c r="AM871" s="949">
        <f>IFERROR(VLOOKUP(AT871, Vessel!A:H, 8, FALSE), "")</f>
        <v>46284.875</v>
      </c>
      <c r="AN871" s="949">
        <f>IFERROR(IF(VLOOKUP(AT871,Vessel!A:I,9,FALSE)=0,"",VLOOKUP(AT871,Vessel!A:I,9,FALSE)),"")</f>
        <v>46285.134953703702</v>
      </c>
      <c r="AP871" s="462" t="s">
        <v>6018</v>
      </c>
      <c r="AQ871" s="462" t="s">
        <v>80</v>
      </c>
      <c r="AR871" s="462" t="s">
        <v>6028</v>
      </c>
      <c r="AS871" s="462" t="s">
        <v>6029</v>
      </c>
      <c r="AT871" s="462" t="s">
        <v>6029</v>
      </c>
      <c r="AU8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1" s="713"/>
      <c r="AW871" s="713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13">
        <f>IF(ISERROR(PV_DATA[[#This Row],[New Ark PO status]]),"",_xlfn.XLOOKUP(PV_DATA[[#This Row],[SPTN-PVHK New Ark PO'#]],New_Ark_Data[Purchase order Number],New_Ark_Data[Estimated time of arrival],"",0))</f>
        <v>46300</v>
      </c>
      <c r="AZ871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13">
        <f>IFERROR(PV_DATA[[#This Row],[ODP ETA Port]]+PV_DATA[[#This Row],[Customs/Leg3 Assumption]],"n/a")</f>
        <v>46292.134953703702</v>
      </c>
      <c r="BB871" s="946">
        <f>YEAR(PV_DATA[[#This Row],[ETA for New Ark update]])</f>
        <v>2026</v>
      </c>
      <c r="BC871" s="462">
        <f>MONTH(PV_DATA[[#This Row],[ETA for New Ark update]])</f>
        <v>9</v>
      </c>
      <c r="BD871" s="462">
        <f>IFERROR(_xlfn.ISOWEEKNUM(PV_DATA[[#This Row],[ETA for New Ark update]]),0)</f>
        <v>39</v>
      </c>
      <c r="BE871" s="462">
        <f>_xlfn.XLOOKUP(PV_DATA[[#This Row],[New Ark SKU]],Table9[New Ark SKU],Table9[Total PCS per Pallet],,0)</f>
        <v>36</v>
      </c>
      <c r="BF871" s="462">
        <f>_xlfn.XLOOKUP(PV_DATA[[#This Row],[New Ark SKU]],Table9[New Ark SKU],Table9[Total PCS per 40HQ Container],,0)</f>
        <v>720</v>
      </c>
      <c r="BG871" s="462" t="str">
        <f>_xlfn.XLOOKUP(PV_DATA[[#This Row],[New Ark SKU]],Table9[New Ark SKU],Table9[Back Glass],,0)</f>
        <v>Transparent</v>
      </c>
      <c r="BH871" s="462" t="str">
        <f>_xlfn.XLOOKUP(PV_DATA[[#This Row],[PORT DESTINATION]],Table12[PORT DESTINATION],Table12[Cosco Line],,0)</f>
        <v>AEU</v>
      </c>
    </row>
    <row r="872" spans="1:62" ht="10.5">
      <c r="A872" s="462" t="s">
        <v>6034</v>
      </c>
      <c r="B872" s="462" t="s">
        <v>111</v>
      </c>
      <c r="C872" s="462" t="str">
        <f>IFERROR(LEFT(PV_DATA[[#This Row],[TCL REFERENCE]],FIND(".",PV_DATA[[#This Row],[TCL REFERENCE]],1)-1),"Main Line")</f>
        <v>26May014</v>
      </c>
      <c r="D872" s="462" t="s">
        <v>63</v>
      </c>
      <c r="E872" s="462" t="s">
        <v>64</v>
      </c>
      <c r="F872" s="462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462" t="s">
        <v>402</v>
      </c>
      <c r="H872" s="713" t="s">
        <v>67</v>
      </c>
      <c r="I872" s="462" t="s">
        <v>689</v>
      </c>
      <c r="J872" s="430" t="s">
        <v>96</v>
      </c>
      <c r="K872" s="614" t="s">
        <v>1451</v>
      </c>
      <c r="L872" s="614">
        <v>44</v>
      </c>
      <c r="M872" s="430" t="s">
        <v>68</v>
      </c>
      <c r="N872" s="432">
        <v>46181</v>
      </c>
      <c r="O872" s="430" t="s">
        <v>4531</v>
      </c>
      <c r="P872" s="430" t="s">
        <v>5057</v>
      </c>
      <c r="Q872" s="430" t="s">
        <v>1484</v>
      </c>
      <c r="R872" s="430" t="str">
        <f>_xlfn.XLOOKUP(PV_DATA[[#This Row],[New Ark SKU]],Table9[New Ark SKU],Table9[Connector],,0)</f>
        <v>H4(Com)</v>
      </c>
      <c r="S872" s="433" t="str">
        <f>_xlfn.XLOOKUP(PV_DATA[[#This Row],[New Ark SKU]],Table9[New Ark SKU],Table9[Cable],,0)</f>
        <v>+400mm/-200mm</v>
      </c>
      <c r="T872" s="433">
        <v>725</v>
      </c>
      <c r="U872" s="1088">
        <f>594*5</f>
        <v>2970</v>
      </c>
      <c r="V872" s="544">
        <f>PV_DATA[[#This Row],[QUANTITY]]*PV_DATA[[#This Row],[WATT]]/1000000</f>
        <v>2.1532499999999999</v>
      </c>
      <c r="W872" s="435">
        <f>PV_DATA[[#This Row],[QUANTITY]]/PV_DATA[[#This Row],[Qty/Pallet]]</f>
        <v>90</v>
      </c>
      <c r="X872" s="1040">
        <f>PV_DATA[[#This Row],[QUANTITY]]/PV_DATA[[#This Row],[Qty/CT]]</f>
        <v>5</v>
      </c>
      <c r="Y872" s="430" t="s">
        <v>2459</v>
      </c>
      <c r="Z872" s="430" t="str">
        <f t="shared" si="10"/>
        <v>IN-TRANSIT</v>
      </c>
      <c r="AA872" s="430" t="s">
        <v>5394</v>
      </c>
      <c r="AB872" s="437">
        <v>46255</v>
      </c>
      <c r="AC872" s="485">
        <f>IF(PV_DATA[[#This Row],[Pick- Up Date]]&lt;&gt;"",_xlfn.ISOWEEKNUM(PV_DATA[[#This Row],[Pick- Up Date]]),"")</f>
        <v>34</v>
      </c>
      <c r="AD872" s="435" t="s">
        <v>6035</v>
      </c>
      <c r="AE872" s="435"/>
      <c r="AF872" s="430" t="s">
        <v>122</v>
      </c>
      <c r="AG872" s="430" t="s">
        <v>123</v>
      </c>
      <c r="AH872" s="430" t="s">
        <v>105</v>
      </c>
      <c r="AI872" s="713">
        <v>46258</v>
      </c>
      <c r="AJ872" s="713">
        <v>46267</v>
      </c>
      <c r="AK872" s="437">
        <v>46267</v>
      </c>
      <c r="AL872" s="437">
        <v>46295</v>
      </c>
      <c r="AM872" s="588">
        <v>46315</v>
      </c>
      <c r="AN872" s="588"/>
      <c r="AP872" s="430" t="s">
        <v>6036</v>
      </c>
      <c r="AQ872" s="430" t="s">
        <v>161</v>
      </c>
      <c r="AR872" s="430" t="s">
        <v>6037</v>
      </c>
      <c r="AS872" s="430" t="s">
        <v>6038</v>
      </c>
      <c r="AT872" s="430" t="s">
        <v>6038</v>
      </c>
      <c r="AU8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872" s="437"/>
      <c r="AW872" s="437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7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437">
        <f>IF(ISERROR(PV_DATA[[#This Row],[New Ark PO status]]),"",_xlfn.XLOOKUP(PV_DATA[[#This Row],[SPTN-PVHK New Ark PO'#]],New_Ark_Data[Purchase order Number],New_Ark_Data[Estimated time of arrival],"",0))</f>
        <v>46302</v>
      </c>
      <c r="AZ87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437">
        <f>IFERROR(PV_DATA[[#This Row],[ODP ETA Port]]+PV_DATA[[#This Row],[Customs/Leg3 Assumption]],"n/a")</f>
        <v>46322</v>
      </c>
      <c r="BB872" s="433">
        <f>YEAR(PV_DATA[[#This Row],[ETA for New Ark update]])</f>
        <v>2026</v>
      </c>
      <c r="BC872" s="430">
        <f>MONTH(PV_DATA[[#This Row],[ETA for New Ark update]])</f>
        <v>10</v>
      </c>
      <c r="BD872" s="430">
        <f>IFERROR(_xlfn.ISOWEEKNUM(PV_DATA[[#This Row],[ETA for New Ark update]]),0)</f>
        <v>44</v>
      </c>
      <c r="BE872" s="430">
        <f>_xlfn.XLOOKUP(PV_DATA[[#This Row],[New Ark SKU]],Table9[New Ark SKU],Table9[Total PCS per Pallet],,0)</f>
        <v>33</v>
      </c>
      <c r="BF872" s="430">
        <f>_xlfn.XLOOKUP(PV_DATA[[#This Row],[New Ark SKU]],Table9[New Ark SKU],Table9[Total PCS per 40HQ Container],,0)</f>
        <v>594</v>
      </c>
      <c r="BG872" s="430" t="str">
        <f>_xlfn.XLOOKUP(PV_DATA[[#This Row],[New Ark SKU]],Table9[New Ark SKU],Table9[Back Glass],,0)</f>
        <v>Transparent</v>
      </c>
      <c r="BH872" s="430" t="str">
        <f>_xlfn.XLOOKUP(PV_DATA[[#This Row],[PORT DESTINATION]],Table12[PORT DESTINATION],Table12[Cosco Line],,0)</f>
        <v>AEU</v>
      </c>
      <c r="BJ872" s="430"/>
    </row>
    <row r="873" spans="1:62" ht="10.5">
      <c r="A873" s="462" t="s">
        <v>6039</v>
      </c>
      <c r="B873" s="462" t="s">
        <v>111</v>
      </c>
      <c r="C873" s="462" t="str">
        <f>IFERROR(LEFT(PV_DATA[[#This Row],[TCL REFERENCE]],FIND(".",PV_DATA[[#This Row],[TCL REFERENCE]],1)-1),"Main Line")</f>
        <v>26May014</v>
      </c>
      <c r="D873" s="462" t="s">
        <v>63</v>
      </c>
      <c r="E873" s="462" t="s">
        <v>64</v>
      </c>
      <c r="F873" s="462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462" t="s">
        <v>402</v>
      </c>
      <c r="H873" s="713" t="s">
        <v>67</v>
      </c>
      <c r="I873" s="462" t="s">
        <v>689</v>
      </c>
      <c r="J873" s="430" t="s">
        <v>96</v>
      </c>
      <c r="K873" s="614" t="s">
        <v>1451</v>
      </c>
      <c r="L873" s="614">
        <v>44</v>
      </c>
      <c r="M873" s="430" t="s">
        <v>68</v>
      </c>
      <c r="N873" s="432">
        <v>46181</v>
      </c>
      <c r="O873" s="430" t="s">
        <v>4531</v>
      </c>
      <c r="P873" s="430" t="s">
        <v>5057</v>
      </c>
      <c r="Q873" s="430" t="s">
        <v>1484</v>
      </c>
      <c r="R873" s="430" t="str">
        <f>_xlfn.XLOOKUP(PV_DATA[[#This Row],[New Ark SKU]],Table9[New Ark SKU],Table9[Connector],,0)</f>
        <v>H4(Com)</v>
      </c>
      <c r="S873" s="433" t="str">
        <f>_xlfn.XLOOKUP(PV_DATA[[#This Row],[New Ark SKU]],Table9[New Ark SKU],Table9[Cable],,0)</f>
        <v>+400mm/-200mm</v>
      </c>
      <c r="T873" s="433">
        <v>725</v>
      </c>
      <c r="U873" s="1088">
        <f>594*2</f>
        <v>1188</v>
      </c>
      <c r="V873" s="544">
        <f>PV_DATA[[#This Row],[QUANTITY]]*PV_DATA[[#This Row],[WATT]]/1000000</f>
        <v>0.86129999999999995</v>
      </c>
      <c r="W873" s="435">
        <f>PV_DATA[[#This Row],[QUANTITY]]/PV_DATA[[#This Row],[Qty/Pallet]]</f>
        <v>36</v>
      </c>
      <c r="X873" s="1040">
        <f>PV_DATA[[#This Row],[QUANTITY]]/PV_DATA[[#This Row],[Qty/CT]]</f>
        <v>2</v>
      </c>
      <c r="Y873" s="430" t="s">
        <v>2459</v>
      </c>
      <c r="Z873" s="430" t="str">
        <f t="shared" si="10"/>
        <v>IN-TRANSIT</v>
      </c>
      <c r="AA873" s="430" t="s">
        <v>5394</v>
      </c>
      <c r="AB873" s="437">
        <v>46255</v>
      </c>
      <c r="AC873" s="485">
        <f>IF(PV_DATA[[#This Row],[Pick- Up Date]]&lt;&gt;"",_xlfn.ISOWEEKNUM(PV_DATA[[#This Row],[Pick- Up Date]]),"")</f>
        <v>34</v>
      </c>
      <c r="AD873" s="435" t="s">
        <v>6040</v>
      </c>
      <c r="AE873" s="435"/>
      <c r="AF873" s="430" t="s">
        <v>122</v>
      </c>
      <c r="AG873" s="430" t="s">
        <v>123</v>
      </c>
      <c r="AH873" s="430" t="s">
        <v>105</v>
      </c>
      <c r="AI873" s="713">
        <v>46258</v>
      </c>
      <c r="AJ873" s="713">
        <v>46267</v>
      </c>
      <c r="AK873" s="437">
        <v>46267</v>
      </c>
      <c r="AL873" s="437">
        <v>46295</v>
      </c>
      <c r="AM873" s="588">
        <v>46315</v>
      </c>
      <c r="AN873" s="588"/>
      <c r="AP873" s="430" t="s">
        <v>6036</v>
      </c>
      <c r="AQ873" s="430" t="s">
        <v>161</v>
      </c>
      <c r="AR873" s="430" t="s">
        <v>6037</v>
      </c>
      <c r="AS873" s="430" t="s">
        <v>6038</v>
      </c>
      <c r="AT873" s="430" t="s">
        <v>6041</v>
      </c>
      <c r="AU8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873" s="437"/>
      <c r="AW873" s="437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7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437">
        <f>IF(ISERROR(PV_DATA[[#This Row],[New Ark PO status]]),"",_xlfn.XLOOKUP(PV_DATA[[#This Row],[SPTN-PVHK New Ark PO'#]],New_Ark_Data[Purchase order Number],New_Ark_Data[Estimated time of arrival],"",0))</f>
        <v>46302</v>
      </c>
      <c r="AZ87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437">
        <f>IFERROR(PV_DATA[[#This Row],[ODP ETA Port]]+PV_DATA[[#This Row],[Customs/Leg3 Assumption]],"n/a")</f>
        <v>46322</v>
      </c>
      <c r="BB873" s="433">
        <f>YEAR(PV_DATA[[#This Row],[ETA for New Ark update]])</f>
        <v>2026</v>
      </c>
      <c r="BC873" s="430">
        <f>MONTH(PV_DATA[[#This Row],[ETA for New Ark update]])</f>
        <v>10</v>
      </c>
      <c r="BD873" s="430">
        <f>IFERROR(_xlfn.ISOWEEKNUM(PV_DATA[[#This Row],[ETA for New Ark update]]),0)</f>
        <v>44</v>
      </c>
      <c r="BE873" s="430">
        <f>_xlfn.XLOOKUP(PV_DATA[[#This Row],[New Ark SKU]],Table9[New Ark SKU],Table9[Total PCS per Pallet],,0)</f>
        <v>33</v>
      </c>
      <c r="BF873" s="430">
        <f>_xlfn.XLOOKUP(PV_DATA[[#This Row],[New Ark SKU]],Table9[New Ark SKU],Table9[Total PCS per 40HQ Container],,0)</f>
        <v>594</v>
      </c>
      <c r="BG873" s="430" t="str">
        <f>_xlfn.XLOOKUP(PV_DATA[[#This Row],[New Ark SKU]],Table9[New Ark SKU],Table9[Back Glass],,0)</f>
        <v>Transparent</v>
      </c>
      <c r="BH873" s="430" t="str">
        <f>_xlfn.XLOOKUP(PV_DATA[[#This Row],[PORT DESTINATION]],Table12[PORT DESTINATION],Table12[Cosco Line],,0)</f>
        <v>AEU</v>
      </c>
      <c r="BJ873" s="430"/>
    </row>
    <row r="874" spans="1:62" ht="10.5">
      <c r="A874" s="462" t="s">
        <v>6042</v>
      </c>
      <c r="B874" s="462" t="s">
        <v>111</v>
      </c>
      <c r="C874" s="462" t="str">
        <f>IFERROR(LEFT(PV_DATA[[#This Row],[TCL REFERENCE]],FIND(".",PV_DATA[[#This Row],[TCL REFERENCE]],1)-1),"Main Line")</f>
        <v>26May011</v>
      </c>
      <c r="D874" s="462" t="s">
        <v>63</v>
      </c>
      <c r="E874" s="462" t="s">
        <v>64</v>
      </c>
      <c r="F874" s="462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462" t="s">
        <v>402</v>
      </c>
      <c r="H874" s="462" t="s">
        <v>67</v>
      </c>
      <c r="I874" s="462" t="s">
        <v>869</v>
      </c>
      <c r="J874" s="430" t="s">
        <v>96</v>
      </c>
      <c r="K874" s="430"/>
      <c r="L874" s="430"/>
      <c r="M874" s="430" t="s">
        <v>68</v>
      </c>
      <c r="N874" s="432">
        <v>46167</v>
      </c>
      <c r="O874" s="459" t="s">
        <v>4531</v>
      </c>
      <c r="P874" s="430" t="s">
        <v>4592</v>
      </c>
      <c r="Q874" s="430" t="s">
        <v>330</v>
      </c>
      <c r="R874" s="430" t="str">
        <f>_xlfn.XLOOKUP(PV_DATA[[#This Row],[New Ark SKU]],Table9[New Ark SKU],Table9[Connector],,0)</f>
        <v>H4(Com)</v>
      </c>
      <c r="S874" s="433" t="str">
        <f>_xlfn.XLOOKUP(PV_DATA[[#This Row],[New Ark SKU]],Table9[New Ark SKU],Table9[Cable],,0)</f>
        <v>+400mm/-200mm</v>
      </c>
      <c r="T874" s="433">
        <v>625</v>
      </c>
      <c r="U874" s="1088">
        <f>720*1</f>
        <v>720</v>
      </c>
      <c r="V874" s="544">
        <f>PV_DATA[[#This Row],[QUANTITY]]*PV_DATA[[#This Row],[WATT]]/1000000</f>
        <v>0.45</v>
      </c>
      <c r="W874" s="435">
        <f>PV_DATA[[#This Row],[QUANTITY]]/PV_DATA[[#This Row],[Qty/Pallet]]</f>
        <v>20</v>
      </c>
      <c r="X874" s="1040">
        <f>PV_DATA[[#This Row],[QUANTITY]]/PV_DATA[[#This Row],[Qty/CT]]</f>
        <v>1</v>
      </c>
      <c r="Y874" s="430" t="s">
        <v>2458</v>
      </c>
      <c r="Z874" s="430" t="str">
        <f t="shared" si="10"/>
        <v>IN-TRANSIT</v>
      </c>
      <c r="AA874" s="430" t="s">
        <v>5394</v>
      </c>
      <c r="AB874" s="437">
        <v>46255</v>
      </c>
      <c r="AC874" s="485">
        <f>IF(PV_DATA[[#This Row],[Pick- Up Date]]&lt;&gt;"",_xlfn.ISOWEEKNUM(PV_DATA[[#This Row],[Pick- Up Date]]),"")</f>
        <v>34</v>
      </c>
      <c r="AD874" s="429" t="s">
        <v>6043</v>
      </c>
      <c r="AE874" s="430"/>
      <c r="AF874" s="430" t="s">
        <v>122</v>
      </c>
      <c r="AG874" s="430" t="s">
        <v>123</v>
      </c>
      <c r="AH874" s="430" t="s">
        <v>105</v>
      </c>
      <c r="AI874" s="713">
        <v>46258</v>
      </c>
      <c r="AJ874" s="713">
        <v>46267</v>
      </c>
      <c r="AK874" s="437">
        <v>46267</v>
      </c>
      <c r="AL874" s="437">
        <v>46295</v>
      </c>
      <c r="AM874" s="588">
        <v>46315</v>
      </c>
      <c r="AN874" s="588"/>
      <c r="AP874" s="430" t="s">
        <v>6036</v>
      </c>
      <c r="AQ874" s="1070" t="s">
        <v>161</v>
      </c>
      <c r="AR874" s="430" t="s">
        <v>6037</v>
      </c>
      <c r="AS874" s="430" t="s">
        <v>6038</v>
      </c>
      <c r="AT874" s="430" t="s">
        <v>6041</v>
      </c>
      <c r="AU8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874" s="437"/>
      <c r="AW874" s="437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7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437">
        <f>IF(ISERROR(PV_DATA[[#This Row],[New Ark PO status]]),"",_xlfn.XLOOKUP(PV_DATA[[#This Row],[SPTN-PVHK New Ark PO'#]],New_Ark_Data[Purchase order Number],New_Ark_Data[Estimated time of arrival],"",0))</f>
        <v>46302</v>
      </c>
      <c r="AZ87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437">
        <f>IFERROR(PV_DATA[[#This Row],[ODP ETA Port]]+PV_DATA[[#This Row],[Customs/Leg3 Assumption]],"n/a")</f>
        <v>46322</v>
      </c>
      <c r="BB874" s="433">
        <f>YEAR(PV_DATA[[#This Row],[ETA for New Ark update]])</f>
        <v>2026</v>
      </c>
      <c r="BC874" s="430">
        <f>MONTH(PV_DATA[[#This Row],[ETA for New Ark update]])</f>
        <v>10</v>
      </c>
      <c r="BD874" s="430">
        <f>IFERROR(_xlfn.ISOWEEKNUM(PV_DATA[[#This Row],[ETA for New Ark update]]),0)</f>
        <v>44</v>
      </c>
      <c r="BE874" s="430">
        <f>_xlfn.XLOOKUP(PV_DATA[[#This Row],[New Ark SKU]],Table9[New Ark SKU],Table9[Total PCS per Pallet],,0)</f>
        <v>36</v>
      </c>
      <c r="BF874" s="430">
        <f>_xlfn.XLOOKUP(PV_DATA[[#This Row],[New Ark SKU]],Table9[New Ark SKU],Table9[Total PCS per 40HQ Container],,0)</f>
        <v>720</v>
      </c>
      <c r="BG874" s="430" t="str">
        <f>_xlfn.XLOOKUP(PV_DATA[[#This Row],[New Ark SKU]],Table9[New Ark SKU],Table9[Back Glass],,0)</f>
        <v>Transparent</v>
      </c>
      <c r="BH874" s="430" t="str">
        <f>_xlfn.XLOOKUP(PV_DATA[[#This Row],[PORT DESTINATION]],Table12[PORT DESTINATION],Table12[Cosco Line],,0)</f>
        <v>AEU</v>
      </c>
      <c r="BJ874" s="430"/>
    </row>
    <row r="875" spans="1:62" ht="10.5">
      <c r="A875" s="462" t="s">
        <v>6044</v>
      </c>
      <c r="B875" s="462" t="s">
        <v>111</v>
      </c>
      <c r="C875" s="462" t="str">
        <f>IFERROR(LEFT(PV_DATA[[#This Row],[TCL REFERENCE]],FIND(".",PV_DATA[[#This Row],[TCL REFERENCE]],1)-1),"Main Line")</f>
        <v>26May014</v>
      </c>
      <c r="D875" s="462" t="s">
        <v>63</v>
      </c>
      <c r="E875" s="462" t="s">
        <v>64</v>
      </c>
      <c r="F875" s="462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2" t="s">
        <v>402</v>
      </c>
      <c r="H875" s="713" t="s">
        <v>67</v>
      </c>
      <c r="I875" s="462" t="s">
        <v>689</v>
      </c>
      <c r="J875" s="430" t="s">
        <v>96</v>
      </c>
      <c r="K875" s="614" t="s">
        <v>1451</v>
      </c>
      <c r="L875" s="614">
        <v>53</v>
      </c>
      <c r="M875" s="430" t="s">
        <v>68</v>
      </c>
      <c r="N875" s="432">
        <v>46181</v>
      </c>
      <c r="O875" s="430" t="s">
        <v>4531</v>
      </c>
      <c r="P875" s="430" t="s">
        <v>5057</v>
      </c>
      <c r="Q875" s="430" t="s">
        <v>1484</v>
      </c>
      <c r="R875" s="430" t="str">
        <f>_xlfn.XLOOKUP(PV_DATA[[#This Row],[New Ark SKU]],Table9[New Ark SKU],Table9[Connector],,0)</f>
        <v>H4(Com)</v>
      </c>
      <c r="S875" s="433" t="str">
        <f>_xlfn.XLOOKUP(PV_DATA[[#This Row],[New Ark SKU]],Table9[New Ark SKU],Table9[Cable],,0)</f>
        <v>+400mm/-200mm</v>
      </c>
      <c r="T875" s="433">
        <v>725</v>
      </c>
      <c r="U875" s="1088">
        <v>4752</v>
      </c>
      <c r="V875" s="544">
        <f>PV_DATA[[#This Row],[QUANTITY]]*PV_DATA[[#This Row],[WATT]]/1000000</f>
        <v>3.4451999999999998</v>
      </c>
      <c r="W875" s="435">
        <f>PV_DATA[[#This Row],[QUANTITY]]/PV_DATA[[#This Row],[Qty/Pallet]]</f>
        <v>144</v>
      </c>
      <c r="X875" s="1041">
        <f>PV_DATA[[#This Row],[QUANTITY]]/PV_DATA[[#This Row],[Qty/CT]]</f>
        <v>8</v>
      </c>
      <c r="Y875" s="865" t="s">
        <v>2460</v>
      </c>
      <c r="Z875" s="430" t="str">
        <f t="shared" si="10"/>
        <v>COMPLETED</v>
      </c>
      <c r="AA875" s="430" t="s">
        <v>5394</v>
      </c>
      <c r="AB875" s="437">
        <v>46246</v>
      </c>
      <c r="AC875" s="485">
        <f>IF(PV_DATA[[#This Row],[Pick- Up Date]]&lt;&gt;"",_xlfn.ISOWEEKNUM(PV_DATA[[#This Row],[Pick- Up Date]]),"")</f>
        <v>33</v>
      </c>
      <c r="AD875" s="435" t="s">
        <v>6045</v>
      </c>
      <c r="AE875" s="435"/>
      <c r="AF875" s="430" t="s">
        <v>122</v>
      </c>
      <c r="AG875" s="430" t="s">
        <v>123</v>
      </c>
      <c r="AH875" s="430" t="s">
        <v>105</v>
      </c>
      <c r="AI875" s="713">
        <v>46249</v>
      </c>
      <c r="AK875" s="437">
        <v>46248</v>
      </c>
      <c r="AL875" s="437">
        <v>46282</v>
      </c>
      <c r="AM875" s="588">
        <f>IFERROR(VLOOKUP(AT875, Vessel!A:H, 8, FALSE), "")</f>
        <v>46284.875</v>
      </c>
      <c r="AN875" s="588">
        <f>IFERROR(IF(VLOOKUP(AT875,Vessel!A:I,9,FALSE)=0,"",VLOOKUP(AT875,Vessel!A:I,9,FALSE)),"")</f>
        <v>46285.134953703702</v>
      </c>
      <c r="AP875" s="430" t="s">
        <v>5800</v>
      </c>
      <c r="AQ875" s="430" t="s">
        <v>80</v>
      </c>
      <c r="AR875" s="430" t="s">
        <v>6046</v>
      </c>
      <c r="AS875" s="430" t="s">
        <v>6047</v>
      </c>
      <c r="AT875" s="430" t="s">
        <v>6047</v>
      </c>
      <c r="AU8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5" s="437"/>
      <c r="AW875" s="437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7">
        <f>IF(ISERROR(PV_DATA[[#This Row],[New Ark PO status]]),"",_xlfn.XLOOKUP(PV_DATA[[#This Row],[SPTN-PVHK New Ark PO'#]],New_Ark_Data[Purchase order Number],New_Ark_Data[Estimated time of arrival],"",0))</f>
        <v>46300</v>
      </c>
      <c r="AZ87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7">
        <f>IFERROR(PV_DATA[[#This Row],[ODP ETA Port]]+PV_DATA[[#This Row],[Customs/Leg3 Assumption]],"n/a")</f>
        <v>46292.134953703702</v>
      </c>
      <c r="BB875" s="433">
        <f>YEAR(PV_DATA[[#This Row],[ETA for New Ark update]])</f>
        <v>2026</v>
      </c>
      <c r="BC875" s="430">
        <f>MONTH(PV_DATA[[#This Row],[ETA for New Ark update]])</f>
        <v>9</v>
      </c>
      <c r="BD875" s="430">
        <f>IFERROR(_xlfn.ISOWEEKNUM(PV_DATA[[#This Row],[ETA for New Ark update]]),0)</f>
        <v>39</v>
      </c>
      <c r="BE875" s="430">
        <f>_xlfn.XLOOKUP(PV_DATA[[#This Row],[New Ark SKU]],Table9[New Ark SKU],Table9[Total PCS per Pallet],,0)</f>
        <v>33</v>
      </c>
      <c r="BF875" s="430">
        <f>_xlfn.XLOOKUP(PV_DATA[[#This Row],[New Ark SKU]],Table9[New Ark SKU],Table9[Total PCS per 40HQ Container],,0)</f>
        <v>594</v>
      </c>
      <c r="BG875" s="430" t="str">
        <f>_xlfn.XLOOKUP(PV_DATA[[#This Row],[New Ark SKU]],Table9[New Ark SKU],Table9[Back Glass],,0)</f>
        <v>Transparent</v>
      </c>
      <c r="BH875" s="430" t="str">
        <f>_xlfn.XLOOKUP(PV_DATA[[#This Row],[PORT DESTINATION]],Table12[PORT DESTINATION],Table12[Cosco Line],,0)</f>
        <v>AEU</v>
      </c>
      <c r="BJ875" s="430"/>
    </row>
    <row r="876" spans="1:62" ht="10.5">
      <c r="A876" s="462" t="s">
        <v>6048</v>
      </c>
      <c r="B876" s="462" t="s">
        <v>111</v>
      </c>
      <c r="C876" s="462" t="str">
        <f>IFERROR(LEFT(PV_DATA[[#This Row],[TCL REFERENCE]],FIND(".",PV_DATA[[#This Row],[TCL REFERENCE]],1)-1),"Main Line")</f>
        <v>26May014</v>
      </c>
      <c r="D876" s="462" t="s">
        <v>63</v>
      </c>
      <c r="E876" s="462" t="s">
        <v>64</v>
      </c>
      <c r="F876" s="462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2" t="s">
        <v>402</v>
      </c>
      <c r="H876" s="713" t="s">
        <v>67</v>
      </c>
      <c r="I876" s="462" t="s">
        <v>689</v>
      </c>
      <c r="J876" s="430" t="s">
        <v>96</v>
      </c>
      <c r="K876" s="614" t="s">
        <v>1451</v>
      </c>
      <c r="L876" s="614">
        <v>44</v>
      </c>
      <c r="M876" s="430" t="s">
        <v>68</v>
      </c>
      <c r="N876" s="432">
        <v>46181</v>
      </c>
      <c r="O876" s="430" t="s">
        <v>4531</v>
      </c>
      <c r="P876" s="430" t="s">
        <v>5057</v>
      </c>
      <c r="Q876" s="430" t="s">
        <v>1484</v>
      </c>
      <c r="R876" s="430" t="str">
        <f>_xlfn.XLOOKUP(PV_DATA[[#This Row],[New Ark SKU]],Table9[New Ark SKU],Table9[Connector],,0)</f>
        <v>H4(Com)</v>
      </c>
      <c r="S876" s="433" t="str">
        <f>_xlfn.XLOOKUP(PV_DATA[[#This Row],[New Ark SKU]],Table9[New Ark SKU],Table9[Cable],,0)</f>
        <v>+400mm/-200mm</v>
      </c>
      <c r="T876" s="433">
        <v>725</v>
      </c>
      <c r="U876" s="1088">
        <v>1188</v>
      </c>
      <c r="V876" s="544">
        <f>PV_DATA[[#This Row],[QUANTITY]]*PV_DATA[[#This Row],[WATT]]/1000000</f>
        <v>0.86129999999999995</v>
      </c>
      <c r="W876" s="435">
        <f>PV_DATA[[#This Row],[QUANTITY]]/PV_DATA[[#This Row],[Qty/Pallet]]</f>
        <v>36</v>
      </c>
      <c r="X876" s="1040">
        <f>PV_DATA[[#This Row],[QUANTITY]]/PV_DATA[[#This Row],[Qty/CT]]</f>
        <v>2</v>
      </c>
      <c r="Y876" s="430" t="s">
        <v>2459</v>
      </c>
      <c r="Z876" s="430" t="str">
        <f t="shared" si="10"/>
        <v>COMPLETED</v>
      </c>
      <c r="AA876" s="430" t="s">
        <v>5394</v>
      </c>
      <c r="AB876" s="437">
        <v>46246</v>
      </c>
      <c r="AC876" s="485">
        <f>IF(PV_DATA[[#This Row],[Pick- Up Date]]&lt;&gt;"",_xlfn.ISOWEEKNUM(PV_DATA[[#This Row],[Pick- Up Date]]),"")</f>
        <v>33</v>
      </c>
      <c r="AD876" s="435" t="s">
        <v>6049</v>
      </c>
      <c r="AE876" s="435"/>
      <c r="AF876" s="430" t="s">
        <v>122</v>
      </c>
      <c r="AG876" s="430" t="s">
        <v>123</v>
      </c>
      <c r="AH876" s="430" t="s">
        <v>105</v>
      </c>
      <c r="AI876" s="713">
        <v>46249</v>
      </c>
      <c r="AK876" s="437">
        <v>46248</v>
      </c>
      <c r="AL876" s="437">
        <v>46282</v>
      </c>
      <c r="AM876" s="588">
        <f>IFERROR(VLOOKUP(AT876, Vessel!A:H, 8, FALSE), "")</f>
        <v>46284.875</v>
      </c>
      <c r="AN876" s="588">
        <f>IFERROR(IF(VLOOKUP(AT876,Vessel!A:I,9,FALSE)=0,"",VLOOKUP(AT876,Vessel!A:I,9,FALSE)),"")</f>
        <v>46285.134953703702</v>
      </c>
      <c r="AP876" s="430" t="s">
        <v>5800</v>
      </c>
      <c r="AQ876" s="430" t="s">
        <v>80</v>
      </c>
      <c r="AR876" s="430" t="s">
        <v>6046</v>
      </c>
      <c r="AS876" s="430" t="s">
        <v>6047</v>
      </c>
      <c r="AT876" s="430" t="s">
        <v>6047</v>
      </c>
      <c r="AU8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6" s="437"/>
      <c r="AW876" s="437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7">
        <f>IF(ISERROR(PV_DATA[[#This Row],[New Ark PO status]]),"",_xlfn.XLOOKUP(PV_DATA[[#This Row],[SPTN-PVHK New Ark PO'#]],New_Ark_Data[Purchase order Number],New_Ark_Data[Estimated time of arrival],"",0))</f>
        <v>46269</v>
      </c>
      <c r="AZ87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7">
        <f>IFERROR(PV_DATA[[#This Row],[ODP ETA Port]]+PV_DATA[[#This Row],[Customs/Leg3 Assumption]],"n/a")</f>
        <v>46292.134953703702</v>
      </c>
      <c r="BB876" s="433">
        <f>YEAR(PV_DATA[[#This Row],[ETA for New Ark update]])</f>
        <v>2026</v>
      </c>
      <c r="BC876" s="430">
        <f>MONTH(PV_DATA[[#This Row],[ETA for New Ark update]])</f>
        <v>9</v>
      </c>
      <c r="BD876" s="430">
        <f>IFERROR(_xlfn.ISOWEEKNUM(PV_DATA[[#This Row],[ETA for New Ark update]]),0)</f>
        <v>39</v>
      </c>
      <c r="BE876" s="430">
        <f>_xlfn.XLOOKUP(PV_DATA[[#This Row],[New Ark SKU]],Table9[New Ark SKU],Table9[Total PCS per Pallet],,0)</f>
        <v>33</v>
      </c>
      <c r="BF876" s="430">
        <f>_xlfn.XLOOKUP(PV_DATA[[#This Row],[New Ark SKU]],Table9[New Ark SKU],Table9[Total PCS per 40HQ Container],,0)</f>
        <v>594</v>
      </c>
      <c r="BG876" s="430" t="str">
        <f>_xlfn.XLOOKUP(PV_DATA[[#This Row],[New Ark SKU]],Table9[New Ark SKU],Table9[Back Glass],,0)</f>
        <v>Transparent</v>
      </c>
      <c r="BH876" s="430" t="str">
        <f>_xlfn.XLOOKUP(PV_DATA[[#This Row],[PORT DESTINATION]],Table12[PORT DESTINATION],Table12[Cosco Line],,0)</f>
        <v>AEU</v>
      </c>
      <c r="BJ876" s="430"/>
    </row>
    <row r="877" spans="1:62" s="730" customFormat="1" ht="10.5">
      <c r="A877" s="462" t="s">
        <v>6050</v>
      </c>
      <c r="B877" s="462" t="s">
        <v>111</v>
      </c>
      <c r="C877" s="462" t="str">
        <f>IFERROR(LEFT(PV_DATA[[#This Row],[TCL REFERENCE]],FIND(".",PV_DATA[[#This Row],[TCL REFERENCE]],1)-1),"Main Line")</f>
        <v>26May013</v>
      </c>
      <c r="D877" s="462" t="s">
        <v>63</v>
      </c>
      <c r="E877" s="462" t="s">
        <v>64</v>
      </c>
      <c r="F877" s="462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2" t="s">
        <v>402</v>
      </c>
      <c r="H877" s="713" t="s">
        <v>67</v>
      </c>
      <c r="I877" s="462" t="s">
        <v>689</v>
      </c>
      <c r="J877" s="462" t="s">
        <v>96</v>
      </c>
      <c r="K877" s="1075" t="s">
        <v>1451</v>
      </c>
      <c r="L877" s="1075">
        <v>52</v>
      </c>
      <c r="M877" s="462" t="s">
        <v>68</v>
      </c>
      <c r="N877" s="712">
        <v>46181</v>
      </c>
      <c r="O877" s="462" t="s">
        <v>4531</v>
      </c>
      <c r="P877" s="462" t="s">
        <v>5041</v>
      </c>
      <c r="Q877" s="462" t="s">
        <v>1807</v>
      </c>
      <c r="R877" s="430" t="str">
        <f>_xlfn.XLOOKUP(PV_DATA[[#This Row],[New Ark SKU]],Table9[New Ark SKU],Table9[Connector],,0)</f>
        <v>H4(Com)</v>
      </c>
      <c r="S877" s="433" t="str">
        <f>_xlfn.XLOOKUP(PV_DATA[[#This Row],[New Ark SKU]],Table9[New Ark SKU],Table9[Cable],,0)</f>
        <v>+400mm/-200mm</v>
      </c>
      <c r="T877" s="946">
        <v>720</v>
      </c>
      <c r="U877" s="1095">
        <v>1782</v>
      </c>
      <c r="V877" s="969">
        <f>PV_DATA[[#This Row],[QUANTITY]]*PV_DATA[[#This Row],[WATT]]/1000000</f>
        <v>1.28304</v>
      </c>
      <c r="W877" s="714">
        <f>PV_DATA[[#This Row],[QUANTITY]]/PV_DATA[[#This Row],[Qty/Pallet]]</f>
        <v>54</v>
      </c>
      <c r="X877" s="1042">
        <f>PV_DATA[[#This Row],[QUANTITY]]/PV_DATA[[#This Row],[Qty/CT]]</f>
        <v>3</v>
      </c>
      <c r="Y877" s="462" t="s">
        <v>2459</v>
      </c>
      <c r="Z877" s="462" t="str">
        <f t="shared" si="10"/>
        <v>COMPLETED</v>
      </c>
      <c r="AA877" s="462" t="s">
        <v>5394</v>
      </c>
      <c r="AB877" s="713">
        <v>46245</v>
      </c>
      <c r="AC877" s="947">
        <f>IF(PV_DATA[[#This Row],[Pick- Up Date]]&lt;&gt;"",_xlfn.ISOWEEKNUM(PV_DATA[[#This Row],[Pick- Up Date]]),"")</f>
        <v>33</v>
      </c>
      <c r="AD877" s="714" t="s">
        <v>6051</v>
      </c>
      <c r="AE877" s="714"/>
      <c r="AF877" s="462" t="s">
        <v>122</v>
      </c>
      <c r="AG877" s="462" t="s">
        <v>123</v>
      </c>
      <c r="AH877" s="462" t="s">
        <v>105</v>
      </c>
      <c r="AI877" s="713">
        <v>46249</v>
      </c>
      <c r="AJ877" s="713"/>
      <c r="AK877" s="1049">
        <v>46248</v>
      </c>
      <c r="AL877" s="713">
        <v>46282</v>
      </c>
      <c r="AM877" s="949">
        <f>IFERROR(VLOOKUP(AT877, Vessel!A:H, 8, FALSE), "")</f>
        <v>46284.875</v>
      </c>
      <c r="AN877" s="949">
        <f>IFERROR(IF(VLOOKUP(AT877,Vessel!A:I,9,FALSE)=0,"",VLOOKUP(AT877,Vessel!A:I,9,FALSE)),"")</f>
        <v>46285.134953703702</v>
      </c>
      <c r="AO877" s="462"/>
      <c r="AP877" s="462" t="s">
        <v>5800</v>
      </c>
      <c r="AQ877" s="462" t="s">
        <v>80</v>
      </c>
      <c r="AR877" s="462" t="s">
        <v>6052</v>
      </c>
      <c r="AS877" s="462" t="s">
        <v>6053</v>
      </c>
      <c r="AT877" s="462" t="s">
        <v>6053</v>
      </c>
      <c r="AU8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7" s="713"/>
      <c r="AW877" s="713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713">
        <f>IF(ISERROR(PV_DATA[[#This Row],[New Ark PO status]]),"",_xlfn.XLOOKUP(PV_DATA[[#This Row],[SPTN-PVHK New Ark PO'#]],New_Ark_Data[Purchase order Number],New_Ark_Data[Estimated time of arrival],"",0))</f>
        <v>46300</v>
      </c>
      <c r="AZ877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713">
        <f>IFERROR(PV_DATA[[#This Row],[ODP ETA Port]]+PV_DATA[[#This Row],[Customs/Leg3 Assumption]],"n/a")</f>
        <v>46292.134953703702</v>
      </c>
      <c r="BB877" s="946">
        <f>YEAR(PV_DATA[[#This Row],[ETA for New Ark update]])</f>
        <v>2026</v>
      </c>
      <c r="BC877" s="462">
        <f>MONTH(PV_DATA[[#This Row],[ETA for New Ark update]])</f>
        <v>9</v>
      </c>
      <c r="BD877" s="462">
        <f>IFERROR(_xlfn.ISOWEEKNUM(PV_DATA[[#This Row],[ETA for New Ark update]]),0)</f>
        <v>39</v>
      </c>
      <c r="BE877" s="462">
        <f>_xlfn.XLOOKUP(PV_DATA[[#This Row],[New Ark SKU]],Table9[New Ark SKU],Table9[Total PCS per Pallet],,0)</f>
        <v>33</v>
      </c>
      <c r="BF877" s="462">
        <f>_xlfn.XLOOKUP(PV_DATA[[#This Row],[New Ark SKU]],Table9[New Ark SKU],Table9[Total PCS per 40HQ Container],,0)</f>
        <v>594</v>
      </c>
      <c r="BG877" s="462" t="str">
        <f>_xlfn.XLOOKUP(PV_DATA[[#This Row],[New Ark SKU]],Table9[New Ark SKU],Table9[Back Glass],,0)</f>
        <v>Transparent</v>
      </c>
      <c r="BH877" s="462" t="str">
        <f>_xlfn.XLOOKUP(PV_DATA[[#This Row],[PORT DESTINATION]],Table12[PORT DESTINATION],Table12[Cosco Line],,0)</f>
        <v>AEU</v>
      </c>
    </row>
    <row r="878" spans="1:62" s="446" customFormat="1" ht="10.5">
      <c r="A878" s="446" t="s">
        <v>6054</v>
      </c>
      <c r="B878" s="446" t="s">
        <v>111</v>
      </c>
      <c r="C878" s="446" t="str">
        <f>IFERROR(LEFT(PV_DATA[[#This Row],[TCL REFERENCE]],FIND(".",PV_DATA[[#This Row],[TCL REFERENCE]],1)-1),"Main Line")</f>
        <v>26May012</v>
      </c>
      <c r="D878" s="446" t="s">
        <v>63</v>
      </c>
      <c r="E878" s="446" t="s">
        <v>144</v>
      </c>
      <c r="F878" s="446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78" s="446" t="s">
        <v>402</v>
      </c>
      <c r="H878" s="718" t="s">
        <v>670</v>
      </c>
      <c r="I878" s="446" t="s">
        <v>882</v>
      </c>
      <c r="J878" s="446" t="s">
        <v>5891</v>
      </c>
      <c r="K878" s="446" t="s">
        <v>5892</v>
      </c>
      <c r="L878" s="446">
        <v>27</v>
      </c>
      <c r="M878" s="446" t="s">
        <v>4967</v>
      </c>
      <c r="N878" s="1199">
        <v>46167</v>
      </c>
      <c r="O878" s="446" t="s">
        <v>4531</v>
      </c>
      <c r="P878" s="446" t="s">
        <v>4597</v>
      </c>
      <c r="Q878" s="446" t="s">
        <v>4598</v>
      </c>
      <c r="R878" s="430" t="str">
        <f>_xlfn.XLOOKUP(PV_DATA[[#This Row],[New Ark SKU]],Table9[New Ark SKU],Table9[Connector],,0)</f>
        <v>H4(Com)</v>
      </c>
      <c r="S878" s="433" t="str">
        <f>_xlfn.XLOOKUP(PV_DATA[[#This Row],[New Ark SKU]],Table9[New Ark SKU],Table9[Cable],,0)</f>
        <v>+400mm/-200mm</v>
      </c>
      <c r="T878" s="716">
        <v>630</v>
      </c>
      <c r="U878" s="1200">
        <v>4320</v>
      </c>
      <c r="V878" s="1201">
        <f>PV_DATA[[#This Row],[QUANTITY]]*PV_DATA[[#This Row],[WATT]]/1000000</f>
        <v>2.7216</v>
      </c>
      <c r="W878" s="717">
        <f>PV_DATA[[#This Row],[QUANTITY]]/PV_DATA[[#This Row],[Qty/Pallet]]</f>
        <v>120</v>
      </c>
      <c r="X878" s="1063">
        <f>PV_DATA[[#This Row],[QUANTITY]]/PV_DATA[[#This Row],[Qty/CT]]</f>
        <v>6</v>
      </c>
      <c r="Y878" s="446" t="s">
        <v>2463</v>
      </c>
      <c r="Z878" s="446" t="str">
        <f t="shared" si="10"/>
        <v>COMPLETED</v>
      </c>
      <c r="AA878" s="446" t="s">
        <v>5394</v>
      </c>
      <c r="AB878" s="718">
        <v>46245</v>
      </c>
      <c r="AC878" s="1202">
        <f>IF(PV_DATA[[#This Row],[Pick- Up Date]]&lt;&gt;"",_xlfn.ISOWEEKNUM(PV_DATA[[#This Row],[Pick- Up Date]]),"")</f>
        <v>33</v>
      </c>
      <c r="AD878" s="446" t="s">
        <v>6055</v>
      </c>
      <c r="AF878" s="446" t="s">
        <v>122</v>
      </c>
      <c r="AG878" s="446" t="s">
        <v>123</v>
      </c>
      <c r="AH878" s="446" t="s">
        <v>105</v>
      </c>
      <c r="AI878" s="718">
        <v>46249</v>
      </c>
      <c r="AJ878" s="718"/>
      <c r="AK878" s="455">
        <v>46248</v>
      </c>
      <c r="AL878" s="718">
        <v>46282</v>
      </c>
      <c r="AM878" s="1203">
        <f>IFERROR(VLOOKUP(AT878, Vessel!A:H, 8, FALSE), "")</f>
        <v>46284.875</v>
      </c>
      <c r="AN878" s="1203">
        <f>IFERROR(IF(VLOOKUP(AT878,Vessel!A:I,9,FALSE)=0,"",VLOOKUP(AT878,Vessel!A:I,9,FALSE)),"")</f>
        <v>46285.134953703702</v>
      </c>
      <c r="AP878" s="446" t="s">
        <v>5800</v>
      </c>
      <c r="AQ878" s="446" t="s">
        <v>80</v>
      </c>
      <c r="AR878" s="446" t="s">
        <v>6056</v>
      </c>
      <c r="AS878" s="470" t="s">
        <v>6057</v>
      </c>
      <c r="AT878" s="446" t="s">
        <v>6053</v>
      </c>
      <c r="AU878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8" s="718"/>
      <c r="AW878" s="718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8" s="71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78" s="718">
        <f>IF(ISERROR(PV_DATA[[#This Row],[New Ark PO status]]),"",_xlfn.XLOOKUP(PV_DATA[[#This Row],[SPTN-PVHK New Ark PO'#]],New_Ark_Data[Purchase order Number],New_Ark_Data[Estimated time of arrival],"",0))</f>
        <v>46300</v>
      </c>
      <c r="AZ878" s="71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78" s="718">
        <f>IFERROR(PV_DATA[[#This Row],[ODP ETA Port]]+PV_DATA[[#This Row],[Customs/Leg3 Assumption]],"n/a")</f>
        <v>46285.134953703702</v>
      </c>
      <c r="BB878" s="716">
        <f>YEAR(PV_DATA[[#This Row],[ETA for New Ark update]])</f>
        <v>2026</v>
      </c>
      <c r="BC878" s="446">
        <f>MONTH(PV_DATA[[#This Row],[ETA for New Ark update]])</f>
        <v>9</v>
      </c>
      <c r="BD878" s="446">
        <f>IFERROR(_xlfn.ISOWEEKNUM(PV_DATA[[#This Row],[ETA for New Ark update]]),0)</f>
        <v>38</v>
      </c>
      <c r="BE878" s="446">
        <f>_xlfn.XLOOKUP(PV_DATA[[#This Row],[New Ark SKU]],Table9[New Ark SKU],Table9[Total PCS per Pallet],,0)</f>
        <v>36</v>
      </c>
      <c r="BF878" s="446">
        <f>_xlfn.XLOOKUP(PV_DATA[[#This Row],[New Ark SKU]],Table9[New Ark SKU],Table9[Total PCS per 40HQ Container],,0)</f>
        <v>720</v>
      </c>
      <c r="BG878" s="446" t="str">
        <f>_xlfn.XLOOKUP(PV_DATA[[#This Row],[New Ark SKU]],Table9[New Ark SKU],Table9[Back Glass],,0)</f>
        <v>Transparent</v>
      </c>
      <c r="BH878" s="446" t="str">
        <f>_xlfn.XLOOKUP(PV_DATA[[#This Row],[PORT DESTINATION]],Table12[PORT DESTINATION],Table12[Cosco Line],,0)</f>
        <v>AEU</v>
      </c>
    </row>
    <row r="879" spans="1:62" s="462" customFormat="1" ht="10.5">
      <c r="A879" s="462" t="s">
        <v>6058</v>
      </c>
      <c r="B879" s="462" t="s">
        <v>111</v>
      </c>
      <c r="C879" s="462" t="str">
        <f>IFERROR(LEFT(PV_DATA[[#This Row],[TCL REFERENCE]],FIND(".",PV_DATA[[#This Row],[TCL REFERENCE]],1)-1),"Main Line")</f>
        <v>26Jul003</v>
      </c>
      <c r="D879" s="462" t="s">
        <v>63</v>
      </c>
      <c r="E879" s="462" t="s">
        <v>64</v>
      </c>
      <c r="F879" s="462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79" s="462" t="s">
        <v>402</v>
      </c>
      <c r="H879" s="462" t="s">
        <v>67</v>
      </c>
      <c r="I879" s="462" t="s">
        <v>689</v>
      </c>
      <c r="J879" s="462" t="s">
        <v>96</v>
      </c>
      <c r="M879" s="462" t="s">
        <v>68</v>
      </c>
      <c r="N879" s="712">
        <v>46223</v>
      </c>
      <c r="O879" s="462" t="s">
        <v>132</v>
      </c>
      <c r="P879" s="462" t="s">
        <v>189</v>
      </c>
      <c r="Q879" s="462" t="s">
        <v>190</v>
      </c>
      <c r="R879" s="430" t="str">
        <f>_xlfn.XLOOKUP(PV_DATA[[#This Row],[New Ark SKU]],Table9[New Ark SKU],Table9[Connector],,0)</f>
        <v>EVO2A</v>
      </c>
      <c r="S879" s="433" t="str">
        <f>_xlfn.XLOOKUP(PV_DATA[[#This Row],[New Ark SKU]],Table9[New Ark SKU],Table9[Cable],,0)</f>
        <v>±1200mm</v>
      </c>
      <c r="T879" s="946">
        <v>465</v>
      </c>
      <c r="U879" s="1095">
        <v>864</v>
      </c>
      <c r="V879" s="458">
        <f>PV_DATA[[#This Row],[QUANTITY]]*PV_DATA[[#This Row],[WATT]]/1000000</f>
        <v>0.40176000000000001</v>
      </c>
      <c r="W879" s="714">
        <f>PV_DATA[[#This Row],[QUANTITY]]/PV_DATA[[#This Row],[Qty/Pallet]]</f>
        <v>24</v>
      </c>
      <c r="X879" s="1042">
        <f>PV_DATA[[#This Row],[QUANTITY]]/PV_DATA[[#This Row],[Qty/CT]]</f>
        <v>1</v>
      </c>
      <c r="Y879" s="462" t="s">
        <v>2464</v>
      </c>
      <c r="Z879" s="430" t="str">
        <f>IF(AN879&lt;&gt;"","COMPLETED",IF(AK879&lt;&gt;"","IN-TRANSIT",""))</f>
        <v>COMPLETED</v>
      </c>
      <c r="AB879" s="713">
        <v>46247</v>
      </c>
      <c r="AC879" s="947">
        <f>IF(PV_DATA[[#This Row],[Pick- Up Date]]&lt;&gt;"",_xlfn.ISOWEEKNUM(PV_DATA[[#This Row],[Pick- Up Date]]),"")</f>
        <v>33</v>
      </c>
      <c r="AD879" s="462" t="s">
        <v>6059</v>
      </c>
      <c r="AF879" s="462" t="s">
        <v>122</v>
      </c>
      <c r="AG879" s="462" t="s">
        <v>123</v>
      </c>
      <c r="AH879" s="462" t="s">
        <v>78</v>
      </c>
      <c r="AI879" s="713">
        <v>46254</v>
      </c>
      <c r="AJ879" s="713"/>
      <c r="AK879" s="713">
        <f>IFERROR(IF(VLOOKUP(AT879,Vessel!A:F,5,FALSE)=0,"",VLOOKUP(AT879,Vessel!A:F,5,FALSE)),"")</f>
        <v>46253.978368055556</v>
      </c>
      <c r="AL879" s="713">
        <v>46295</v>
      </c>
      <c r="AM879" s="949">
        <f>IFERROR(VLOOKUP(AT879, Vessel!A:H, 8, FALSE), "")</f>
        <v>46290.25</v>
      </c>
      <c r="AN879" s="949">
        <f>IFERROR(IF(VLOOKUP(AT879,Vessel!A:I,9,FALSE)=0,"",VLOOKUP(AT879,Vessel!A:I,9,FALSE)),"")</f>
        <v>46290.232800925929</v>
      </c>
      <c r="AP879" s="462" t="s">
        <v>6060</v>
      </c>
      <c r="AQ879" s="950" t="s">
        <v>80</v>
      </c>
      <c r="AR879" s="462" t="s">
        <v>6061</v>
      </c>
      <c r="AS879" s="462" t="s">
        <v>6062</v>
      </c>
      <c r="AT879" s="462" t="s">
        <v>6062</v>
      </c>
      <c r="AU8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36.254432870373421</v>
      </c>
      <c r="AW879" s="713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87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9" s="713">
        <f>IF(ISERROR(PV_DATA[[#This Row],[New Ark PO status]]),"",_xlfn.XLOOKUP(PV_DATA[[#This Row],[SPTN-PVHK New Ark PO'#]],New_Ark_Data[Purchase order Number],New_Ark_Data[Estimated time of arrival],"",0))</f>
        <v>46302</v>
      </c>
      <c r="AZ879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79" s="713">
        <f>IFERROR(PV_DATA[[#This Row],[ODP ETA Port]]+PV_DATA[[#This Row],[Customs/Leg3 Assumption]],"n/a")</f>
        <v>46298.232800925929</v>
      </c>
      <c r="BB879" s="946">
        <f>YEAR(PV_DATA[[#This Row],[ETA for New Ark update]])</f>
        <v>2026</v>
      </c>
      <c r="BC879" s="462">
        <f>MONTH(PV_DATA[[#This Row],[ETA for New Ark update]])</f>
        <v>10</v>
      </c>
      <c r="BD879" s="462">
        <f>IFERROR(_xlfn.ISOWEEKNUM(PV_DATA[[#This Row],[ETA for New Ark update]]),0)</f>
        <v>40</v>
      </c>
      <c r="BE879" s="462">
        <f>_xlfn.XLOOKUP(PV_DATA[[#This Row],[New Ark SKU]],Table9[New Ark SKU],Table9[Total PCS per Pallet],,0)</f>
        <v>36</v>
      </c>
      <c r="BF879" s="462">
        <f>_xlfn.XLOOKUP(PV_DATA[[#This Row],[New Ark SKU]],Table9[New Ark SKU],Table9[Total PCS per 40HQ Container],,0)</f>
        <v>864</v>
      </c>
      <c r="BG879" s="462" t="str">
        <f>_xlfn.XLOOKUP(PV_DATA[[#This Row],[New Ark SKU]],Table9[New Ark SKU],Table9[Back Glass],,0)</f>
        <v>White glazing</v>
      </c>
      <c r="BH879" s="462" t="str">
        <f>_xlfn.XLOOKUP(PV_DATA[[#This Row],[PORT DESTINATION]],Table12[PORT DESTINATION],Table12[Cosco Line],,0)</f>
        <v>AEM</v>
      </c>
    </row>
    <row r="880" spans="1:62" s="462" customFormat="1" ht="10.5">
      <c r="A880" s="462" t="s">
        <v>6063</v>
      </c>
      <c r="B880" s="462" t="s">
        <v>111</v>
      </c>
      <c r="C880" s="462" t="str">
        <f>IFERROR(LEFT(PV_DATA[[#This Row],[TCL REFERENCE]],FIND(".",PV_DATA[[#This Row],[TCL REFERENCE]],1)-1),"Main Line")</f>
        <v>26Jul003</v>
      </c>
      <c r="D880" s="462" t="s">
        <v>63</v>
      </c>
      <c r="E880" s="462" t="s">
        <v>64</v>
      </c>
      <c r="F880" s="462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2" t="s">
        <v>402</v>
      </c>
      <c r="H880" s="462" t="s">
        <v>67</v>
      </c>
      <c r="I880" s="462" t="s">
        <v>882</v>
      </c>
      <c r="J880" s="462" t="s">
        <v>96</v>
      </c>
      <c r="M880" s="462" t="s">
        <v>68</v>
      </c>
      <c r="N880" s="712">
        <v>46223</v>
      </c>
      <c r="O880" s="462" t="s">
        <v>132</v>
      </c>
      <c r="P880" s="462" t="s">
        <v>189</v>
      </c>
      <c r="Q880" s="462" t="s">
        <v>190</v>
      </c>
      <c r="R880" s="430" t="str">
        <f>_xlfn.XLOOKUP(PV_DATA[[#This Row],[New Ark SKU]],Table9[New Ark SKU],Table9[Connector],,0)</f>
        <v>EVO2A</v>
      </c>
      <c r="S880" s="433" t="str">
        <f>_xlfn.XLOOKUP(PV_DATA[[#This Row],[New Ark SKU]],Table9[New Ark SKU],Table9[Cable],,0)</f>
        <v>±1200mm</v>
      </c>
      <c r="T880" s="946">
        <v>465</v>
      </c>
      <c r="U880" s="1095">
        <f>864*3</f>
        <v>2592</v>
      </c>
      <c r="V880" s="458">
        <f>PV_DATA[[#This Row],[QUANTITY]]*PV_DATA[[#This Row],[WATT]]/1000000</f>
        <v>1.2052799999999999</v>
      </c>
      <c r="W880" s="714">
        <f>PV_DATA[[#This Row],[QUANTITY]]/PV_DATA[[#This Row],[Qty/Pallet]]</f>
        <v>72</v>
      </c>
      <c r="X880" s="1042">
        <f>PV_DATA[[#This Row],[QUANTITY]]/PV_DATA[[#This Row],[Qty/CT]]</f>
        <v>3</v>
      </c>
      <c r="Y880" s="462" t="s">
        <v>2462</v>
      </c>
      <c r="Z880" s="462" t="str">
        <f t="shared" ref="Z880:Z911" si="11">IF(AN880&lt;&gt;"","COMPLETED",IF(AK880&lt;&gt;"","IN-TRANSIT",""))</f>
        <v>COMPLETED</v>
      </c>
      <c r="AB880" s="713">
        <v>46247</v>
      </c>
      <c r="AC880" s="947">
        <f>IF(PV_DATA[[#This Row],[Pick- Up Date]]&lt;&gt;"",_xlfn.ISOWEEKNUM(PV_DATA[[#This Row],[Pick- Up Date]]),"")</f>
        <v>33</v>
      </c>
      <c r="AD880" s="462" t="s">
        <v>6064</v>
      </c>
      <c r="AF880" s="462" t="s">
        <v>122</v>
      </c>
      <c r="AG880" s="462" t="s">
        <v>123</v>
      </c>
      <c r="AH880" s="462" t="s">
        <v>78</v>
      </c>
      <c r="AI880" s="713">
        <v>46254</v>
      </c>
      <c r="AJ880" s="713"/>
      <c r="AK880" s="713">
        <f>IFERROR(IF(VLOOKUP(AT880,Vessel!A:F,5,FALSE)=0,"",VLOOKUP(AT880,Vessel!A:F,5,FALSE)),"")</f>
        <v>46253.978368055556</v>
      </c>
      <c r="AL880" s="713">
        <v>46295</v>
      </c>
      <c r="AM880" s="949">
        <f>IFERROR(VLOOKUP(AT880, Vessel!A:H, 8, FALSE), "")</f>
        <v>46290.25</v>
      </c>
      <c r="AN880" s="949">
        <f>IFERROR(IF(VLOOKUP(AT880,Vessel!A:I,9,FALSE)=0,"",VLOOKUP(AT880,Vessel!A:I,9,FALSE)),"")</f>
        <v>46290.232800925929</v>
      </c>
      <c r="AP880" s="462" t="s">
        <v>6060</v>
      </c>
      <c r="AQ880" s="950" t="s">
        <v>80</v>
      </c>
      <c r="AR880" s="462" t="s">
        <v>6061</v>
      </c>
      <c r="AS880" s="462" t="s">
        <v>6062</v>
      </c>
      <c r="AT880" s="462" t="s">
        <v>6062</v>
      </c>
      <c r="AU8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36.254432870373421</v>
      </c>
      <c r="AW880" s="713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46290.232800925929</v>
      </c>
      <c r="AX88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13">
        <f>IF(ISERROR(PV_DATA[[#This Row],[New Ark PO status]]),"",_xlfn.XLOOKUP(PV_DATA[[#This Row],[SPTN-PVHK New Ark PO'#]],New_Ark_Data[Purchase order Number],New_Ark_Data[Estimated time of arrival],"",0))</f>
        <v>46302</v>
      </c>
      <c r="AZ880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13">
        <f>IFERROR(PV_DATA[[#This Row],[ODP ETA Port]]+PV_DATA[[#This Row],[Customs/Leg3 Assumption]],"n/a")</f>
        <v>46298.232800925929</v>
      </c>
      <c r="BB880" s="946">
        <f>YEAR(PV_DATA[[#This Row],[ETA for New Ark update]])</f>
        <v>2026</v>
      </c>
      <c r="BC880" s="462">
        <f>MONTH(PV_DATA[[#This Row],[ETA for New Ark update]])</f>
        <v>10</v>
      </c>
      <c r="BD880" s="462">
        <f>IFERROR(_xlfn.ISOWEEKNUM(PV_DATA[[#This Row],[ETA for New Ark update]]),0)</f>
        <v>40</v>
      </c>
      <c r="BE880" s="462">
        <f>_xlfn.XLOOKUP(PV_DATA[[#This Row],[New Ark SKU]],Table9[New Ark SKU],Table9[Total PCS per Pallet],,0)</f>
        <v>36</v>
      </c>
      <c r="BF880" s="462">
        <f>_xlfn.XLOOKUP(PV_DATA[[#This Row],[New Ark SKU]],Table9[New Ark SKU],Table9[Total PCS per 40HQ Container],,0)</f>
        <v>864</v>
      </c>
      <c r="BG880" s="462" t="str">
        <f>_xlfn.XLOOKUP(PV_DATA[[#This Row],[New Ark SKU]],Table9[New Ark SKU],Table9[Back Glass],,0)</f>
        <v>White glazing</v>
      </c>
      <c r="BH880" s="462" t="str">
        <f>_xlfn.XLOOKUP(PV_DATA[[#This Row],[PORT DESTINATION]],Table12[PORT DESTINATION],Table12[Cosco Line],,0)</f>
        <v>AEM</v>
      </c>
    </row>
    <row r="881" spans="1:62" s="462" customFormat="1" ht="10.5">
      <c r="A881" s="462" t="s">
        <v>6065</v>
      </c>
      <c r="B881" s="462" t="s">
        <v>111</v>
      </c>
      <c r="C881" s="462" t="str">
        <f>IFERROR(LEFT(PV_DATA[[#This Row],[TCL REFERENCE]],FIND(".",PV_DATA[[#This Row],[TCL REFERENCE]],1)-1),"Main Line")</f>
        <v>26Jul004</v>
      </c>
      <c r="D881" s="462" t="s">
        <v>63</v>
      </c>
      <c r="E881" s="462" t="s">
        <v>64</v>
      </c>
      <c r="F881" s="462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2" t="s">
        <v>402</v>
      </c>
      <c r="H881" s="462" t="s">
        <v>67</v>
      </c>
      <c r="I881" s="462" t="s">
        <v>689</v>
      </c>
      <c r="J881" s="462" t="s">
        <v>96</v>
      </c>
      <c r="M881" s="462" t="s">
        <v>68</v>
      </c>
      <c r="N881" s="712">
        <v>46223</v>
      </c>
      <c r="O881" s="462" t="s">
        <v>132</v>
      </c>
      <c r="P881" s="462" t="s">
        <v>1062</v>
      </c>
      <c r="Q881" s="462" t="s">
        <v>1063</v>
      </c>
      <c r="R881" s="430" t="str">
        <f>_xlfn.XLOOKUP(PV_DATA[[#This Row],[New Ark SKU]],Table9[New Ark SKU],Table9[Connector],,0)</f>
        <v>EVO2A</v>
      </c>
      <c r="S881" s="433" t="str">
        <f>_xlfn.XLOOKUP(PV_DATA[[#This Row],[New Ark SKU]],Table9[New Ark SKU],Table9[Cable],,0)</f>
        <v>±1200mm</v>
      </c>
      <c r="T881" s="946">
        <v>470</v>
      </c>
      <c r="U881" s="1095">
        <f>864*3</f>
        <v>2592</v>
      </c>
      <c r="V881" s="458">
        <f>PV_DATA[[#This Row],[QUANTITY]]*PV_DATA[[#This Row],[WATT]]/1000000</f>
        <v>1.21824</v>
      </c>
      <c r="W881" s="714">
        <f>PV_DATA[[#This Row],[QUANTITY]]/PV_DATA[[#This Row],[Qty/Pallet]]</f>
        <v>72</v>
      </c>
      <c r="X881" s="1042">
        <f>PV_DATA[[#This Row],[QUANTITY]]/PV_DATA[[#This Row],[Qty/CT]]</f>
        <v>3</v>
      </c>
      <c r="Y881" s="462" t="s">
        <v>2464</v>
      </c>
      <c r="Z881" s="462" t="str">
        <f t="shared" si="11"/>
        <v>IN-TRANSIT</v>
      </c>
      <c r="AB881" s="713">
        <v>46253</v>
      </c>
      <c r="AC881" s="947">
        <f>IF(PV_DATA[[#This Row],[Pick- Up Date]]&lt;&gt;"",_xlfn.ISOWEEKNUM(PV_DATA[[#This Row],[Pick- Up Date]]),"")</f>
        <v>34</v>
      </c>
      <c r="AD881" s="462" t="s">
        <v>6066</v>
      </c>
      <c r="AE881" s="462" t="s">
        <v>6066</v>
      </c>
      <c r="AF881" s="462" t="s">
        <v>122</v>
      </c>
      <c r="AG881" s="462" t="s">
        <v>123</v>
      </c>
      <c r="AH881" s="462" t="s">
        <v>78</v>
      </c>
      <c r="AI881" s="713">
        <v>46259</v>
      </c>
      <c r="AJ881" s="713">
        <v>46263</v>
      </c>
      <c r="AK881" s="713">
        <f>IFERROR(IF(VLOOKUP(AT881,Vessel!A:F,5,FALSE)=0,"",VLOOKUP(AT881,Vessel!A:F,5,FALSE)),"")</f>
        <v>46263.48333333333</v>
      </c>
      <c r="AL881" s="713">
        <v>46307</v>
      </c>
      <c r="AM881" s="949">
        <f>IFERROR(VLOOKUP(AT881, Vessel!A:H, 8, FALSE), "")</f>
        <v>46320.25</v>
      </c>
      <c r="AN881" s="949" t="str">
        <f>IFERROR(IF(VLOOKUP(AT881,Vessel!A:I,9,FALSE)=0,"",VLOOKUP(AT881,Vessel!A:I,9,FALSE)),"")</f>
        <v/>
      </c>
      <c r="AP881" s="462" t="s">
        <v>6067</v>
      </c>
      <c r="AQ881" s="950" t="s">
        <v>80</v>
      </c>
      <c r="AR881" s="462" t="s">
        <v>6068</v>
      </c>
      <c r="AS881" s="462" t="s">
        <v>6069</v>
      </c>
      <c r="AT881" s="462" t="s">
        <v>6069</v>
      </c>
      <c r="AU8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81" s="713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8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13">
        <f>IF(ISERROR(PV_DATA[[#This Row],[New Ark PO status]]),"",_xlfn.XLOOKUP(PV_DATA[[#This Row],[SPTN-PVHK New Ark PO'#]],New_Ark_Data[Purchase order Number],New_Ark_Data[Estimated time of arrival],"",0))</f>
        <v>46316</v>
      </c>
      <c r="AZ881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13">
        <f>IFERROR(PV_DATA[[#This Row],[ODP ETA Port]]+PV_DATA[[#This Row],[Customs/Leg3 Assumption]],"n/a")</f>
        <v>46328.25</v>
      </c>
      <c r="BB881" s="946">
        <f>YEAR(PV_DATA[[#This Row],[ETA for New Ark update]])</f>
        <v>2026</v>
      </c>
      <c r="BC881" s="462">
        <f>MONTH(PV_DATA[[#This Row],[ETA for New Ark update]])</f>
        <v>11</v>
      </c>
      <c r="BD881" s="462">
        <f>IFERROR(_xlfn.ISOWEEKNUM(PV_DATA[[#This Row],[ETA for New Ark update]]),0)</f>
        <v>45</v>
      </c>
      <c r="BE881" s="462">
        <f>_xlfn.XLOOKUP(PV_DATA[[#This Row],[New Ark SKU]],Table9[New Ark SKU],Table9[Total PCS per Pallet],,0)</f>
        <v>36</v>
      </c>
      <c r="BF881" s="462">
        <f>_xlfn.XLOOKUP(PV_DATA[[#This Row],[New Ark SKU]],Table9[New Ark SKU],Table9[Total PCS per 40HQ Container],,0)</f>
        <v>864</v>
      </c>
      <c r="BG881" s="462" t="str">
        <f>_xlfn.XLOOKUP(PV_DATA[[#This Row],[New Ark SKU]],Table9[New Ark SKU],Table9[Back Glass],,0)</f>
        <v>White glazing</v>
      </c>
      <c r="BH881" s="462" t="str">
        <f>_xlfn.XLOOKUP(PV_DATA[[#This Row],[PORT DESTINATION]],Table12[PORT DESTINATION],Table12[Cosco Line],,0)</f>
        <v>AEM</v>
      </c>
    </row>
    <row r="882" spans="1:62" s="462" customFormat="1" ht="10.5">
      <c r="A882" s="462" t="s">
        <v>6070</v>
      </c>
      <c r="B882" s="462" t="s">
        <v>111</v>
      </c>
      <c r="C882" s="462" t="str">
        <f>IFERROR(LEFT(PV_DATA[[#This Row],[TCL REFERENCE]],FIND(".",PV_DATA[[#This Row],[TCL REFERENCE]],1)-1),"Main Line")</f>
        <v>26Jul001</v>
      </c>
      <c r="D882" s="462" t="s">
        <v>63</v>
      </c>
      <c r="E882" s="462" t="s">
        <v>64</v>
      </c>
      <c r="F882" s="462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2" t="s">
        <v>402</v>
      </c>
      <c r="H882" s="462" t="s">
        <v>67</v>
      </c>
      <c r="I882" s="462" t="s">
        <v>882</v>
      </c>
      <c r="J882" s="462" t="s">
        <v>96</v>
      </c>
      <c r="M882" s="462" t="s">
        <v>68</v>
      </c>
      <c r="N882" s="712">
        <v>46209</v>
      </c>
      <c r="O882" s="462" t="s">
        <v>550</v>
      </c>
      <c r="P882" s="462" t="s">
        <v>551</v>
      </c>
      <c r="Q882" s="462" t="s">
        <v>2151</v>
      </c>
      <c r="R882" s="430" t="str">
        <f>_xlfn.XLOOKUP(PV_DATA[[#This Row],[New Ark SKU]],Table9[New Ark SKU],Table9[Connector],,0)</f>
        <v>EVO2A</v>
      </c>
      <c r="S882" s="433" t="str">
        <f>_xlfn.XLOOKUP(PV_DATA[[#This Row],[New Ark SKU]],Table9[New Ark SKU],Table9[Cable],,0)</f>
        <v>±1350mm</v>
      </c>
      <c r="T882" s="946">
        <v>510</v>
      </c>
      <c r="U882" s="1095">
        <v>1584</v>
      </c>
      <c r="V882" s="458">
        <f>PV_DATA[[#This Row],[QUANTITY]]*PV_DATA[[#This Row],[WATT]]/1000000</f>
        <v>0.80784</v>
      </c>
      <c r="W882" s="714">
        <f>PV_DATA[[#This Row],[QUANTITY]]/PV_DATA[[#This Row],[Qty/Pallet]]</f>
        <v>44</v>
      </c>
      <c r="X882" s="1042">
        <f>PV_DATA[[#This Row],[QUANTITY]]/PV_DATA[[#This Row],[Qty/CT]]</f>
        <v>2</v>
      </c>
      <c r="Y882" s="462" t="s">
        <v>2462</v>
      </c>
      <c r="Z882" s="462" t="str">
        <f t="shared" si="11"/>
        <v>IN-TRANSIT</v>
      </c>
      <c r="AB882" s="713">
        <v>46253</v>
      </c>
      <c r="AC882" s="947">
        <f>IF(PV_DATA[[#This Row],[Pick- Up Date]]&lt;&gt;"",_xlfn.ISOWEEKNUM(PV_DATA[[#This Row],[Pick- Up Date]]),"")</f>
        <v>34</v>
      </c>
      <c r="AD882" s="462" t="s">
        <v>6071</v>
      </c>
      <c r="AE882" s="462" t="s">
        <v>6071</v>
      </c>
      <c r="AF882" s="462" t="s">
        <v>122</v>
      </c>
      <c r="AG882" s="462" t="s">
        <v>123</v>
      </c>
      <c r="AH882" s="462" t="s">
        <v>78</v>
      </c>
      <c r="AI882" s="713">
        <v>46259</v>
      </c>
      <c r="AJ882" s="713">
        <v>46263</v>
      </c>
      <c r="AK882" s="713">
        <f>IFERROR(IF(VLOOKUP(AT882,Vessel!A:F,5,FALSE)=0,"",VLOOKUP(AT882,Vessel!A:F,5,FALSE)),"")</f>
        <v>46263.48333333333</v>
      </c>
      <c r="AL882" s="1138">
        <v>46307</v>
      </c>
      <c r="AM882" s="1306">
        <f>IFERROR(VLOOKUP(AT882, Vessel!A:H, 8, FALSE), "")</f>
        <v>46320.25</v>
      </c>
      <c r="AN882" s="949" t="str">
        <f>IFERROR(IF(VLOOKUP(AT882,Vessel!A:I,9,FALSE)=0,"",VLOOKUP(AT882,Vessel!A:I,9,FALSE)),"")</f>
        <v/>
      </c>
      <c r="AP882" s="462" t="s">
        <v>6067</v>
      </c>
      <c r="AQ882" s="462" t="s">
        <v>80</v>
      </c>
      <c r="AR882" s="462" t="s">
        <v>6068</v>
      </c>
      <c r="AS882" s="462" t="s">
        <v>6069</v>
      </c>
      <c r="AT882" s="462" t="s">
        <v>6069</v>
      </c>
      <c r="AU8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82" s="713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8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13">
        <f>IF(ISERROR(PV_DATA[[#This Row],[New Ark PO status]]),"",_xlfn.XLOOKUP(PV_DATA[[#This Row],[SPTN-PVHK New Ark PO'#]],New_Ark_Data[Purchase order Number],New_Ark_Data[Estimated time of arrival],"",0))</f>
        <v>46316</v>
      </c>
      <c r="AZ882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13">
        <f>IFERROR(PV_DATA[[#This Row],[ODP ETA Port]]+PV_DATA[[#This Row],[Customs/Leg3 Assumption]],"n/a")</f>
        <v>46328.25</v>
      </c>
      <c r="BB882" s="946">
        <f>YEAR(PV_DATA[[#This Row],[ETA for New Ark update]])</f>
        <v>2026</v>
      </c>
      <c r="BC882" s="462">
        <f>MONTH(PV_DATA[[#This Row],[ETA for New Ark update]])</f>
        <v>11</v>
      </c>
      <c r="BD882" s="462">
        <f>IFERROR(_xlfn.ISOWEEKNUM(PV_DATA[[#This Row],[ETA for New Ark update]]),0)</f>
        <v>45</v>
      </c>
      <c r="BE882" s="462">
        <f>_xlfn.XLOOKUP(PV_DATA[[#This Row],[New Ark SKU]],Table9[New Ark SKU],Table9[Total PCS per Pallet],,0)</f>
        <v>36</v>
      </c>
      <c r="BF882" s="462">
        <f>_xlfn.XLOOKUP(PV_DATA[[#This Row],[New Ark SKU]],Table9[New Ark SKU],Table9[Total PCS per 40HQ Container],,0)</f>
        <v>792</v>
      </c>
      <c r="BG882" s="462" t="str">
        <f>_xlfn.XLOOKUP(PV_DATA[[#This Row],[New Ark SKU]],Table9[New Ark SKU],Table9[Back Glass],,0)</f>
        <v>Black glazing</v>
      </c>
      <c r="BH882" s="462" t="str">
        <f>_xlfn.XLOOKUP(PV_DATA[[#This Row],[PORT DESTINATION]],Table12[PORT DESTINATION],Table12[Cosco Line],,0)</f>
        <v>AEM</v>
      </c>
    </row>
    <row r="883" spans="1:62" ht="10.5">
      <c r="A883" s="462" t="s">
        <v>6072</v>
      </c>
      <c r="B883" s="462" t="s">
        <v>1757</v>
      </c>
      <c r="C883" s="462" t="str">
        <f>IFERROR(LEFT(PV_DATA[[#This Row],[TCL REFERENCE]],FIND(".",PV_DATA[[#This Row],[TCL REFERENCE]],1)-1),"Main Line")</f>
        <v>26Jun011</v>
      </c>
      <c r="D883" s="462" t="s">
        <v>63</v>
      </c>
      <c r="E883" s="462" t="s">
        <v>64</v>
      </c>
      <c r="F883" s="462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462" t="s">
        <v>402</v>
      </c>
      <c r="H883" s="462" t="s">
        <v>67</v>
      </c>
      <c r="I883" s="462" t="s">
        <v>689</v>
      </c>
      <c r="J883" s="430" t="s">
        <v>96</v>
      </c>
      <c r="K883" s="430"/>
      <c r="L883" s="430"/>
      <c r="M883" s="430" t="s">
        <v>68</v>
      </c>
      <c r="N883" s="432">
        <v>46195</v>
      </c>
      <c r="O883" s="430" t="s">
        <v>4531</v>
      </c>
      <c r="P883" s="430" t="s">
        <v>71</v>
      </c>
      <c r="Q883" s="430" t="s">
        <v>72</v>
      </c>
      <c r="R883" s="430" t="str">
        <f>_xlfn.XLOOKUP(PV_DATA[[#This Row],[New Ark SKU]],Table9[New Ark SKU],Table9[Connector],,0)</f>
        <v>EVO2A</v>
      </c>
      <c r="S883" s="433" t="str">
        <f>_xlfn.XLOOKUP(PV_DATA[[#This Row],[New Ark SKU]],Table9[New Ark SKU],Table9[Cable],,0)</f>
        <v>±1200mm</v>
      </c>
      <c r="T883" s="433">
        <v>500</v>
      </c>
      <c r="U883" s="1088">
        <v>864</v>
      </c>
      <c r="V883" s="434">
        <f>PV_DATA[[#This Row],[QUANTITY]]*PV_DATA[[#This Row],[WATT]]/1000000</f>
        <v>0.432</v>
      </c>
      <c r="W883" s="435">
        <f>PV_DATA[[#This Row],[QUANTITY]]/PV_DATA[[#This Row],[Qty/Pallet]]</f>
        <v>24</v>
      </c>
      <c r="X883" s="1040">
        <f>PV_DATA[[#This Row],[QUANTITY]]/PV_DATA[[#This Row],[Qty/CT]]</f>
        <v>1</v>
      </c>
      <c r="Y883" s="430" t="s">
        <v>2460</v>
      </c>
      <c r="Z883" s="430" t="str">
        <f t="shared" si="11"/>
        <v>IN-TRANSIT</v>
      </c>
      <c r="AA883" s="430" t="s">
        <v>5148</v>
      </c>
      <c r="AB883" s="543">
        <v>46257</v>
      </c>
      <c r="AC883" s="485">
        <f>IF(PV_DATA[[#This Row],[Pick- Up Date]]&lt;&gt;"",_xlfn.ISOWEEKNUM(PV_DATA[[#This Row],[Pick- Up Date]]),"")</f>
        <v>34</v>
      </c>
      <c r="AD883" s="430" t="s">
        <v>6073</v>
      </c>
      <c r="AE883" s="430"/>
      <c r="AF883" s="459" t="s">
        <v>5034</v>
      </c>
      <c r="AG883" s="459" t="s">
        <v>123</v>
      </c>
      <c r="AH883" s="430" t="s">
        <v>78</v>
      </c>
      <c r="AI883" s="713">
        <v>46253</v>
      </c>
      <c r="AJ883" s="713">
        <v>46267</v>
      </c>
      <c r="AK883" s="437">
        <v>46267</v>
      </c>
      <c r="AL883" s="437">
        <v>46309</v>
      </c>
      <c r="AN883" s="588"/>
      <c r="AP883" s="430" t="s">
        <v>6074</v>
      </c>
      <c r="AQ883" s="430" t="s">
        <v>161</v>
      </c>
      <c r="AR883" s="430" t="s">
        <v>6075</v>
      </c>
      <c r="AS883" s="430">
        <v>275125721</v>
      </c>
      <c r="AT883" s="430">
        <v>275125721</v>
      </c>
      <c r="AU8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883" s="437"/>
      <c r="AW883" s="437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88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437">
        <f>IF(ISERROR(PV_DATA[[#This Row],[New Ark PO status]]),"",_xlfn.XLOOKUP(PV_DATA[[#This Row],[SPTN-PVHK New Ark PO'#]],New_Ark_Data[Purchase order Number],New_Ark_Data[Estimated time of arrival],"",0))</f>
        <v>46310</v>
      </c>
      <c r="AZ88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437">
        <f>IFERROR(PV_DATA[[#This Row],[ODP ETA Port]]+PV_DATA[[#This Row],[Customs/Leg3 Assumption]],"n/a")</f>
        <v>46317</v>
      </c>
      <c r="BB883" s="433">
        <f>YEAR(PV_DATA[[#This Row],[ETA for New Ark update]])</f>
        <v>2026</v>
      </c>
      <c r="BC883" s="430">
        <f>MONTH(PV_DATA[[#This Row],[ETA for New Ark update]])</f>
        <v>10</v>
      </c>
      <c r="BD883" s="430">
        <f>IFERROR(_xlfn.ISOWEEKNUM(PV_DATA[[#This Row],[ETA for New Ark update]]),0)</f>
        <v>43</v>
      </c>
      <c r="BE883" s="430">
        <f>_xlfn.XLOOKUP(PV_DATA[[#This Row],[New Ark SKU]],Table9[New Ark SKU],Table9[Total PCS per Pallet],,0)</f>
        <v>36</v>
      </c>
      <c r="BF883" s="430">
        <f>_xlfn.XLOOKUP(PV_DATA[[#This Row],[New Ark SKU]],Table9[New Ark SKU],Table9[Total PCS per 40HQ Container],,0)</f>
        <v>864</v>
      </c>
      <c r="BG883" s="430" t="str">
        <f>_xlfn.XLOOKUP(PV_DATA[[#This Row],[New Ark SKU]],Table9[New Ark SKU],Table9[Back Glass],,0)</f>
        <v>Black glazing</v>
      </c>
      <c r="BH883" s="430" t="str">
        <f>_xlfn.XLOOKUP(PV_DATA[[#This Row],[PORT DESTINATION]],Table12[PORT DESTINATION],Table12[Cosco Line],,0)</f>
        <v>AEM</v>
      </c>
      <c r="BJ883" s="430"/>
    </row>
    <row r="884" spans="1:62" ht="10.5">
      <c r="A884" s="462" t="s">
        <v>6076</v>
      </c>
      <c r="B884" s="462" t="s">
        <v>1757</v>
      </c>
      <c r="C884" s="462" t="str">
        <f>IFERROR(LEFT(PV_DATA[[#This Row],[TCL REFERENCE]],FIND(".",PV_DATA[[#This Row],[TCL REFERENCE]],1)-1),"Main Line")</f>
        <v>26Jul007</v>
      </c>
      <c r="D884" s="462" t="s">
        <v>63</v>
      </c>
      <c r="E884" s="462" t="s">
        <v>64</v>
      </c>
      <c r="F884" s="462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462" t="s">
        <v>402</v>
      </c>
      <c r="H884" s="462" t="s">
        <v>67</v>
      </c>
      <c r="I884" s="462" t="s">
        <v>689</v>
      </c>
      <c r="J884" s="430" t="s">
        <v>96</v>
      </c>
      <c r="K884" s="430"/>
      <c r="L884" s="430"/>
      <c r="M884" s="430" t="s">
        <v>68</v>
      </c>
      <c r="N884" s="432">
        <v>46209</v>
      </c>
      <c r="O884" s="430" t="s">
        <v>4531</v>
      </c>
      <c r="P884" s="430" t="s">
        <v>71</v>
      </c>
      <c r="Q884" s="430" t="s">
        <v>72</v>
      </c>
      <c r="R884" s="430" t="str">
        <f>_xlfn.XLOOKUP(PV_DATA[[#This Row],[New Ark SKU]],Table9[New Ark SKU],Table9[Connector],,0)</f>
        <v>EVO2A</v>
      </c>
      <c r="S884" s="433" t="str">
        <f>_xlfn.XLOOKUP(PV_DATA[[#This Row],[New Ark SKU]],Table9[New Ark SKU],Table9[Cable],,0)</f>
        <v>±1200mm</v>
      </c>
      <c r="T884" s="433">
        <v>500</v>
      </c>
      <c r="U884" s="1088">
        <f>864*4</f>
        <v>3456</v>
      </c>
      <c r="V884" s="434">
        <f>PV_DATA[[#This Row],[QUANTITY]]*PV_DATA[[#This Row],[WATT]]/1000000</f>
        <v>1.728</v>
      </c>
      <c r="W884" s="435">
        <f>PV_DATA[[#This Row],[QUANTITY]]/PV_DATA[[#This Row],[Qty/Pallet]]</f>
        <v>96</v>
      </c>
      <c r="X884" s="1040">
        <f>PV_DATA[[#This Row],[QUANTITY]]/PV_DATA[[#This Row],[Qty/CT]]</f>
        <v>4</v>
      </c>
      <c r="Y884" s="430" t="s">
        <v>2461</v>
      </c>
      <c r="Z884" s="430" t="str">
        <f t="shared" si="11"/>
        <v>IN-TRANSIT</v>
      </c>
      <c r="AA884" s="430"/>
      <c r="AB884" s="543">
        <v>46257</v>
      </c>
      <c r="AC884" s="485">
        <f>IF(PV_DATA[[#This Row],[Pick- Up Date]]&lt;&gt;"",_xlfn.ISOWEEKNUM(PV_DATA[[#This Row],[Pick- Up Date]]),"")</f>
        <v>34</v>
      </c>
      <c r="AD884" s="430" t="s">
        <v>6077</v>
      </c>
      <c r="AE884" s="430"/>
      <c r="AF884" s="459" t="s">
        <v>5034</v>
      </c>
      <c r="AG884" s="459" t="s">
        <v>5845</v>
      </c>
      <c r="AH884" s="430" t="s">
        <v>78</v>
      </c>
      <c r="AI884" s="713">
        <v>46253</v>
      </c>
      <c r="AJ884" s="713">
        <v>46267</v>
      </c>
      <c r="AK884" s="437">
        <v>46267</v>
      </c>
      <c r="AL884" s="437">
        <v>46309</v>
      </c>
      <c r="AN884" s="588"/>
      <c r="AP884" s="430" t="s">
        <v>6074</v>
      </c>
      <c r="AQ884" s="438" t="s">
        <v>161</v>
      </c>
      <c r="AR884" s="430" t="s">
        <v>6075</v>
      </c>
      <c r="AS884" s="430">
        <v>275125721</v>
      </c>
      <c r="AT884" s="430">
        <v>275125721</v>
      </c>
      <c r="AU8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884" s="437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88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437">
        <f>IF(ISERROR(PV_DATA[[#This Row],[New Ark PO status]]),"",_xlfn.XLOOKUP(PV_DATA[[#This Row],[SPTN-PVHK New Ark PO'#]],New_Ark_Data[Purchase order Number],New_Ark_Data[Estimated time of arrival],"",0))</f>
        <v>46310</v>
      </c>
      <c r="AZ88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437">
        <f>IFERROR(PV_DATA[[#This Row],[ODP ETA Port]]+PV_DATA[[#This Row],[Customs/Leg3 Assumption]],"n/a")</f>
        <v>46317</v>
      </c>
      <c r="BB884" s="433">
        <f>YEAR(PV_DATA[[#This Row],[ETA for New Ark update]])</f>
        <v>2026</v>
      </c>
      <c r="BC884" s="430">
        <f>MONTH(PV_DATA[[#This Row],[ETA for New Ark update]])</f>
        <v>10</v>
      </c>
      <c r="BD884" s="430">
        <f>IFERROR(_xlfn.ISOWEEKNUM(PV_DATA[[#This Row],[ETA for New Ark update]]),0)</f>
        <v>43</v>
      </c>
      <c r="BE884" s="430">
        <f>_xlfn.XLOOKUP(PV_DATA[[#This Row],[New Ark SKU]],Table9[New Ark SKU],Table9[Total PCS per Pallet],,0)</f>
        <v>36</v>
      </c>
      <c r="BF884" s="430">
        <f>_xlfn.XLOOKUP(PV_DATA[[#This Row],[New Ark SKU]],Table9[New Ark SKU],Table9[Total PCS per 40HQ Container],,0)</f>
        <v>864</v>
      </c>
      <c r="BG884" s="430" t="str">
        <f>_xlfn.XLOOKUP(PV_DATA[[#This Row],[New Ark SKU]],Table9[New Ark SKU],Table9[Back Glass],,0)</f>
        <v>Black glazing</v>
      </c>
      <c r="BH884" s="430" t="str">
        <f>_xlfn.XLOOKUP(PV_DATA[[#This Row],[PORT DESTINATION]],Table12[PORT DESTINATION],Table12[Cosco Line],,0)</f>
        <v>AEM</v>
      </c>
      <c r="BJ884" s="430"/>
    </row>
    <row r="885" spans="1:62" ht="10.5">
      <c r="A885" s="730" t="s">
        <v>6078</v>
      </c>
      <c r="B885" s="462" t="s">
        <v>111</v>
      </c>
      <c r="C885" s="462" t="str">
        <f>IFERROR(LEFT(PV_DATA[[#This Row],[TCL REFERENCE]],FIND(".",PV_DATA[[#This Row],[TCL REFERENCE]],1)-1),"Main Line")</f>
        <v>26Jul016</v>
      </c>
      <c r="D885" s="462" t="s">
        <v>63</v>
      </c>
      <c r="E885" s="462" t="s">
        <v>64</v>
      </c>
      <c r="F885" s="462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462" t="s">
        <v>402</v>
      </c>
      <c r="H885" s="462" t="s">
        <v>67</v>
      </c>
      <c r="I885" s="462" t="s">
        <v>882</v>
      </c>
      <c r="J885" s="430" t="s">
        <v>96</v>
      </c>
      <c r="K885" s="430"/>
      <c r="L885" s="430"/>
      <c r="M885" s="430" t="s">
        <v>68</v>
      </c>
      <c r="N885" s="432">
        <v>46234</v>
      </c>
      <c r="O885" s="430" t="s">
        <v>5379</v>
      </c>
      <c r="P885" s="430" t="s">
        <v>5735</v>
      </c>
      <c r="Q885" s="430" t="s">
        <v>5736</v>
      </c>
      <c r="R885" s="430" t="str">
        <f>_xlfn.XLOOKUP(PV_DATA[[#This Row],[New Ark SKU]],Table9[New Ark SKU],Table9[Connector],,0)</f>
        <v>EVO2A</v>
      </c>
      <c r="S885" s="433" t="str">
        <f>_xlfn.XLOOKUP(PV_DATA[[#This Row],[New Ark SKU]],Table9[New Ark SKU],Table9[Cable],,0)</f>
        <v>±1200mm</v>
      </c>
      <c r="T885" s="433">
        <v>475</v>
      </c>
      <c r="U885" s="1088">
        <f>936*12</f>
        <v>11232</v>
      </c>
      <c r="V885" s="434">
        <f>PV_DATA[[#This Row],[QUANTITY]]*PV_DATA[[#This Row],[WATT]]/1000000</f>
        <v>5.3352000000000004</v>
      </c>
      <c r="W885" s="435">
        <f>PV_DATA[[#This Row],[QUANTITY]]/PV_DATA[[#This Row],[Qty/Pallet]]</f>
        <v>312</v>
      </c>
      <c r="X885" s="1040">
        <f>PV_DATA[[#This Row],[QUANTITY]]/PV_DATA[[#This Row],[Qty/CT]]</f>
        <v>12</v>
      </c>
      <c r="Y885" s="430" t="s">
        <v>2463</v>
      </c>
      <c r="Z885" s="430" t="str">
        <f t="shared" si="11"/>
        <v>IN-TRANSIT</v>
      </c>
      <c r="AA885" s="430"/>
      <c r="AB885" s="543">
        <v>46257</v>
      </c>
      <c r="AC885" s="485">
        <f>IF(PV_DATA[[#This Row],[Pick- Up Date]]&lt;&gt;"",_xlfn.ISOWEEKNUM(PV_DATA[[#This Row],[Pick- Up Date]]),"")</f>
        <v>34</v>
      </c>
      <c r="AD885" s="430" t="s">
        <v>6079</v>
      </c>
      <c r="AE885" s="430"/>
      <c r="AF885" s="430" t="s">
        <v>122</v>
      </c>
      <c r="AG885" s="430" t="s">
        <v>123</v>
      </c>
      <c r="AH885" s="430" t="s">
        <v>78</v>
      </c>
      <c r="AI885" s="713">
        <v>46253</v>
      </c>
      <c r="AJ885" s="437">
        <v>46267</v>
      </c>
      <c r="AK885" s="437">
        <v>46267</v>
      </c>
      <c r="AL885" s="437">
        <v>46309</v>
      </c>
      <c r="AN885" s="588"/>
      <c r="AP885" s="430" t="s">
        <v>6074</v>
      </c>
      <c r="AQ885" s="438" t="s">
        <v>161</v>
      </c>
      <c r="AR885" s="430" t="s">
        <v>6080</v>
      </c>
      <c r="AS885" s="430">
        <v>274886721</v>
      </c>
      <c r="AT885" s="430">
        <v>274886721</v>
      </c>
      <c r="AU8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885" s="437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88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437">
        <f>IF(ISERROR(PV_DATA[[#This Row],[New Ark PO status]]),"",_xlfn.XLOOKUP(PV_DATA[[#This Row],[SPTN-PVHK New Ark PO'#]],New_Ark_Data[Purchase order Number],New_Ark_Data[Estimated time of arrival],"",0))</f>
        <v>46310</v>
      </c>
      <c r="AZ88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437">
        <f>IFERROR(PV_DATA[[#This Row],[ODP ETA Port]]+PV_DATA[[#This Row],[Customs/Leg3 Assumption]],"n/a")</f>
        <v>46317</v>
      </c>
      <c r="BB885" s="433">
        <f>YEAR(PV_DATA[[#This Row],[ETA for New Ark update]])</f>
        <v>2026</v>
      </c>
      <c r="BC885" s="430">
        <f>MONTH(PV_DATA[[#This Row],[ETA for New Ark update]])</f>
        <v>10</v>
      </c>
      <c r="BD885" s="430">
        <f>IFERROR(_xlfn.ISOWEEKNUM(PV_DATA[[#This Row],[ETA for New Ark update]]),0)</f>
        <v>43</v>
      </c>
      <c r="BE885" s="430">
        <f>_xlfn.XLOOKUP(PV_DATA[[#This Row],[New Ark SKU]],Table9[New Ark SKU],Table9[Total PCS per Pallet],,0)</f>
        <v>36</v>
      </c>
      <c r="BF885" s="430">
        <f>_xlfn.XLOOKUP(PV_DATA[[#This Row],[New Ark SKU]],Table9[New Ark SKU],Table9[Total PCS per 40HQ Container],,0)</f>
        <v>936</v>
      </c>
      <c r="BG885" s="430" t="str">
        <f>_xlfn.XLOOKUP(PV_DATA[[#This Row],[New Ark SKU]],Table9[New Ark SKU],Table9[Back Glass],,0)</f>
        <v>White glazing</v>
      </c>
      <c r="BH885" s="430" t="str">
        <f>_xlfn.XLOOKUP(PV_DATA[[#This Row],[PORT DESTINATION]],Table12[PORT DESTINATION],Table12[Cosco Line],,0)</f>
        <v>AEM</v>
      </c>
      <c r="BJ885" s="430"/>
    </row>
    <row r="886" spans="1:62" ht="10.5">
      <c r="A886" s="462" t="s">
        <v>6081</v>
      </c>
      <c r="B886" s="462" t="s">
        <v>111</v>
      </c>
      <c r="C886" s="462" t="str">
        <f>IFERROR(LEFT(PV_DATA[[#This Row],[TCL REFERENCE]],FIND(".",PV_DATA[[#This Row],[TCL REFERENCE]],1)-1),"Main Line")</f>
        <v>26Jul004</v>
      </c>
      <c r="D886" s="462" t="s">
        <v>63</v>
      </c>
      <c r="E886" s="462" t="s">
        <v>64</v>
      </c>
      <c r="F886" s="462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462" t="s">
        <v>402</v>
      </c>
      <c r="H886" s="462" t="s">
        <v>67</v>
      </c>
      <c r="I886" s="462" t="s">
        <v>882</v>
      </c>
      <c r="J886" s="430" t="s">
        <v>96</v>
      </c>
      <c r="K886" s="430"/>
      <c r="L886" s="430"/>
      <c r="M886" s="430" t="s">
        <v>68</v>
      </c>
      <c r="N886" s="432">
        <v>46223</v>
      </c>
      <c r="O886" s="430" t="s">
        <v>132</v>
      </c>
      <c r="P886" s="430" t="s">
        <v>1062</v>
      </c>
      <c r="Q886" s="430" t="s">
        <v>1063</v>
      </c>
      <c r="R886" s="430" t="str">
        <f>_xlfn.XLOOKUP(PV_DATA[[#This Row],[New Ark SKU]],Table9[New Ark SKU],Table9[Connector],,0)</f>
        <v>EVO2A</v>
      </c>
      <c r="S886" s="433" t="str">
        <f>_xlfn.XLOOKUP(PV_DATA[[#This Row],[New Ark SKU]],Table9[New Ark SKU],Table9[Cable],,0)</f>
        <v>±1200mm</v>
      </c>
      <c r="T886" s="433">
        <v>470</v>
      </c>
      <c r="U886" s="1088">
        <v>864</v>
      </c>
      <c r="V886" s="434">
        <f>PV_DATA[[#This Row],[QUANTITY]]*PV_DATA[[#This Row],[WATT]]/1000000</f>
        <v>0.40608</v>
      </c>
      <c r="W886" s="435">
        <f>PV_DATA[[#This Row],[QUANTITY]]/PV_DATA[[#This Row],[Qty/Pallet]]</f>
        <v>24</v>
      </c>
      <c r="X886" s="1040">
        <f>PV_DATA[[#This Row],[QUANTITY]]/PV_DATA[[#This Row],[Qty/CT]]</f>
        <v>1</v>
      </c>
      <c r="Y886" s="430" t="s">
        <v>2462</v>
      </c>
      <c r="Z886" s="430" t="str">
        <f t="shared" si="11"/>
        <v>IN-TRANSIT</v>
      </c>
      <c r="AA886" s="430"/>
      <c r="AB886" s="437">
        <v>46259</v>
      </c>
      <c r="AC886" s="485">
        <f>IF(PV_DATA[[#This Row],[Pick- Up Date]]&lt;&gt;"",_xlfn.ISOWEEKNUM(PV_DATA[[#This Row],[Pick- Up Date]]),"")</f>
        <v>35</v>
      </c>
      <c r="AD886" s="430" t="s">
        <v>6082</v>
      </c>
      <c r="AE886" s="430"/>
      <c r="AF886" s="430" t="s">
        <v>122</v>
      </c>
      <c r="AG886" s="430" t="s">
        <v>123</v>
      </c>
      <c r="AH886" s="430" t="s">
        <v>78</v>
      </c>
      <c r="AI886" s="713">
        <v>46256</v>
      </c>
      <c r="AJ886" s="437">
        <v>46265</v>
      </c>
      <c r="AK886" s="437">
        <v>46265</v>
      </c>
      <c r="AL886" s="437">
        <v>46303</v>
      </c>
      <c r="AN886" s="588"/>
      <c r="AP886" s="430" t="s">
        <v>6083</v>
      </c>
      <c r="AQ886" s="430" t="s">
        <v>161</v>
      </c>
      <c r="AR886" s="430" t="s">
        <v>6084</v>
      </c>
      <c r="AS886" s="430">
        <v>275075026</v>
      </c>
      <c r="AT886" s="430">
        <v>275075026</v>
      </c>
      <c r="AU8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886" s="437"/>
      <c r="AW886" s="437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88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437">
        <f>IF(ISERROR(PV_DATA[[#This Row],[New Ark PO status]]),"",_xlfn.XLOOKUP(PV_DATA[[#This Row],[SPTN-PVHK New Ark PO'#]],New_Ark_Data[Purchase order Number],New_Ark_Data[Estimated time of arrival],"",0))</f>
        <v>46310</v>
      </c>
      <c r="AZ88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437">
        <f>IFERROR(PV_DATA[[#This Row],[ODP ETA Port]]+PV_DATA[[#This Row],[Customs/Leg3 Assumption]],"n/a")</f>
        <v>46311</v>
      </c>
      <c r="BB886" s="433">
        <f>YEAR(PV_DATA[[#This Row],[ETA for New Ark update]])</f>
        <v>2026</v>
      </c>
      <c r="BC886" s="430">
        <f>MONTH(PV_DATA[[#This Row],[ETA for New Ark update]])</f>
        <v>10</v>
      </c>
      <c r="BD886" s="430">
        <f>IFERROR(_xlfn.ISOWEEKNUM(PV_DATA[[#This Row],[ETA for New Ark update]]),0)</f>
        <v>42</v>
      </c>
      <c r="BE886" s="430">
        <f>_xlfn.XLOOKUP(PV_DATA[[#This Row],[New Ark SKU]],Table9[New Ark SKU],Table9[Total PCS per Pallet],,0)</f>
        <v>36</v>
      </c>
      <c r="BF886" s="430">
        <f>_xlfn.XLOOKUP(PV_DATA[[#This Row],[New Ark SKU]],Table9[New Ark SKU],Table9[Total PCS per 40HQ Container],,0)</f>
        <v>864</v>
      </c>
      <c r="BG886" s="430" t="str">
        <f>_xlfn.XLOOKUP(PV_DATA[[#This Row],[New Ark SKU]],Table9[New Ark SKU],Table9[Back Glass],,0)</f>
        <v>White glazing</v>
      </c>
      <c r="BH886" s="610" t="str">
        <f>_xlfn.XLOOKUP(PV_DATA[[#This Row],[PORT DESTINATION]],Table12[PORT DESTINATION],Table12[Cosco Line],,0)</f>
        <v>AEM</v>
      </c>
      <c r="BJ886" s="430"/>
    </row>
    <row r="887" spans="1:62" ht="10.5">
      <c r="A887" s="462" t="s">
        <v>6085</v>
      </c>
      <c r="B887" s="462" t="s">
        <v>111</v>
      </c>
      <c r="C887" s="462" t="str">
        <f>IFERROR(LEFT(PV_DATA[[#This Row],[TCL REFERENCE]],FIND(".",PV_DATA[[#This Row],[TCL REFERENCE]],1)-1),"Main Line")</f>
        <v>26Jul001</v>
      </c>
      <c r="D887" s="462" t="s">
        <v>63</v>
      </c>
      <c r="E887" s="462" t="s">
        <v>64</v>
      </c>
      <c r="F887" s="462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462" t="s">
        <v>402</v>
      </c>
      <c r="H887" s="462" t="s">
        <v>67</v>
      </c>
      <c r="I887" s="462" t="s">
        <v>882</v>
      </c>
      <c r="J887" s="430" t="s">
        <v>96</v>
      </c>
      <c r="K887" s="430"/>
      <c r="L887" s="430"/>
      <c r="M887" s="430" t="s">
        <v>68</v>
      </c>
      <c r="N887" s="432">
        <v>46209</v>
      </c>
      <c r="O887" s="430" t="s">
        <v>550</v>
      </c>
      <c r="P887" s="430" t="s">
        <v>551</v>
      </c>
      <c r="Q887" s="430" t="s">
        <v>2151</v>
      </c>
      <c r="R887" s="430" t="str">
        <f>_xlfn.XLOOKUP(PV_DATA[[#This Row],[New Ark SKU]],Table9[New Ark SKU],Table9[Connector],,0)</f>
        <v>EVO2A</v>
      </c>
      <c r="S887" s="433" t="str">
        <f>_xlfn.XLOOKUP(PV_DATA[[#This Row],[New Ark SKU]],Table9[New Ark SKU],Table9[Cable],,0)</f>
        <v>±1350mm</v>
      </c>
      <c r="T887" s="433">
        <v>510</v>
      </c>
      <c r="U887" s="1088">
        <v>3168</v>
      </c>
      <c r="V887" s="434">
        <f>PV_DATA[[#This Row],[QUANTITY]]*PV_DATA[[#This Row],[WATT]]/1000000</f>
        <v>1.61568</v>
      </c>
      <c r="W887" s="435">
        <f>PV_DATA[[#This Row],[QUANTITY]]/PV_DATA[[#This Row],[Qty/Pallet]]</f>
        <v>88</v>
      </c>
      <c r="X887" s="1040">
        <f>PV_DATA[[#This Row],[QUANTITY]]/PV_DATA[[#This Row],[Qty/CT]]</f>
        <v>4</v>
      </c>
      <c r="Y887" s="430" t="s">
        <v>2462</v>
      </c>
      <c r="Z887" s="430" t="str">
        <f t="shared" si="11"/>
        <v>IN-TRANSIT</v>
      </c>
      <c r="AA887" s="430"/>
      <c r="AB887" s="437">
        <v>46259</v>
      </c>
      <c r="AC887" s="485">
        <f>IF(PV_DATA[[#This Row],[Pick- Up Date]]&lt;&gt;"",_xlfn.ISOWEEKNUM(PV_DATA[[#This Row],[Pick- Up Date]]),"")</f>
        <v>35</v>
      </c>
      <c r="AD887" s="430" t="s">
        <v>6086</v>
      </c>
      <c r="AE887" s="430"/>
      <c r="AF887" s="430" t="s">
        <v>122</v>
      </c>
      <c r="AG887" s="430" t="s">
        <v>123</v>
      </c>
      <c r="AH887" s="430" t="s">
        <v>78</v>
      </c>
      <c r="AI887" s="713">
        <v>46256</v>
      </c>
      <c r="AJ887" s="437">
        <v>46265</v>
      </c>
      <c r="AK887" s="437">
        <v>46265</v>
      </c>
      <c r="AL887" s="1138">
        <v>46303</v>
      </c>
      <c r="AM887" s="1304"/>
      <c r="AN887" s="588"/>
      <c r="AP887" s="430" t="s">
        <v>6083</v>
      </c>
      <c r="AQ887" s="430" t="s">
        <v>161</v>
      </c>
      <c r="AR887" s="430" t="s">
        <v>6084</v>
      </c>
      <c r="AS887" s="430">
        <v>275075026</v>
      </c>
      <c r="AT887" s="430">
        <v>275075026</v>
      </c>
      <c r="AU8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87" s="437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88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437">
        <f>IF(ISERROR(PV_DATA[[#This Row],[New Ark PO status]]),"",_xlfn.XLOOKUP(PV_DATA[[#This Row],[SPTN-PVHK New Ark PO'#]],New_Ark_Data[Purchase order Number],New_Ark_Data[Estimated time of arrival],"",0))</f>
        <v>46310</v>
      </c>
      <c r="AZ88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437">
        <f>IFERROR(PV_DATA[[#This Row],[ODP ETA Port]]+PV_DATA[[#This Row],[Customs/Leg3 Assumption]],"n/a")</f>
        <v>46311</v>
      </c>
      <c r="BB887" s="433">
        <f>YEAR(PV_DATA[[#This Row],[ETA for New Ark update]])</f>
        <v>2026</v>
      </c>
      <c r="BC887" s="430">
        <f>MONTH(PV_DATA[[#This Row],[ETA for New Ark update]])</f>
        <v>10</v>
      </c>
      <c r="BD887" s="430">
        <f>IFERROR(_xlfn.ISOWEEKNUM(PV_DATA[[#This Row],[ETA for New Ark update]]),0)</f>
        <v>42</v>
      </c>
      <c r="BE887" s="430">
        <f>_xlfn.XLOOKUP(PV_DATA[[#This Row],[New Ark SKU]],Table9[New Ark SKU],Table9[Total PCS per Pallet],,0)</f>
        <v>36</v>
      </c>
      <c r="BF887" s="430">
        <f>_xlfn.XLOOKUP(PV_DATA[[#This Row],[New Ark SKU]],Table9[New Ark SKU],Table9[Total PCS per 40HQ Container],,0)</f>
        <v>792</v>
      </c>
      <c r="BG887" s="430" t="str">
        <f>_xlfn.XLOOKUP(PV_DATA[[#This Row],[New Ark SKU]],Table9[New Ark SKU],Table9[Back Glass],,0)</f>
        <v>Black glazing</v>
      </c>
      <c r="BH887" s="430" t="str">
        <f>_xlfn.XLOOKUP(PV_DATA[[#This Row],[PORT DESTINATION]],Table12[PORT DESTINATION],Table12[Cosco Line],,0)</f>
        <v>AEM</v>
      </c>
      <c r="BJ887" s="430"/>
    </row>
    <row r="888" spans="1:62" s="462" customFormat="1" ht="10.5">
      <c r="A888" s="462" t="s">
        <v>6087</v>
      </c>
      <c r="B888" s="462" t="s">
        <v>111</v>
      </c>
      <c r="C888" s="462" t="str">
        <f>IFERROR(LEFT(PV_DATA[[#This Row],[TCL REFERENCE]],FIND(".",PV_DATA[[#This Row],[TCL REFERENCE]],1)-1),"Main Line")</f>
        <v>26Jul013</v>
      </c>
      <c r="D888" s="462" t="s">
        <v>63</v>
      </c>
      <c r="E888" s="462" t="s">
        <v>64</v>
      </c>
      <c r="F888" s="462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8" s="462" t="s">
        <v>402</v>
      </c>
      <c r="H888" s="462" t="s">
        <v>115</v>
      </c>
      <c r="I888" s="462" t="s">
        <v>1395</v>
      </c>
      <c r="J888" s="462" t="s">
        <v>96</v>
      </c>
      <c r="M888" s="462" t="s">
        <v>68</v>
      </c>
      <c r="N888" s="712">
        <v>46202</v>
      </c>
      <c r="O888" s="462" t="s">
        <v>5336</v>
      </c>
      <c r="P888" s="462" t="s">
        <v>5337</v>
      </c>
      <c r="Q888" s="462" t="s">
        <v>5338</v>
      </c>
      <c r="R888" s="430" t="str">
        <f>_xlfn.XLOOKUP(PV_DATA[[#This Row],[New Ark SKU]],Table9[New Ark SKU],Table9[Connector],,0)</f>
        <v>EVO2A</v>
      </c>
      <c r="S888" s="433" t="str">
        <f>_xlfn.XLOOKUP(PV_DATA[[#This Row],[New Ark SKU]],Table9[New Ark SKU],Table9[Cable],,0)</f>
        <v>±1400mm</v>
      </c>
      <c r="T888" s="946">
        <v>580</v>
      </c>
      <c r="U888" s="1095">
        <v>720</v>
      </c>
      <c r="V888" s="458">
        <f>PV_DATA[[#This Row],[QUANTITY]]*PV_DATA[[#This Row],[WATT]]/1000000</f>
        <v>0.41760000000000003</v>
      </c>
      <c r="W888" s="714">
        <f>PV_DATA[[#This Row],[QUANTITY]]/PV_DATA[[#This Row],[Qty/Pallet]]</f>
        <v>20</v>
      </c>
      <c r="X888" s="1042">
        <f>PV_DATA[[#This Row],[QUANTITY]]/PV_DATA[[#This Row],[Qty/CT]]</f>
        <v>1</v>
      </c>
      <c r="Y888" s="462" t="s">
        <v>2463</v>
      </c>
      <c r="Z888" s="462" t="str">
        <f t="shared" si="11"/>
        <v>IN-TRANSIT</v>
      </c>
      <c r="AA888" s="462" t="s">
        <v>5650</v>
      </c>
      <c r="AB888" s="713">
        <v>46253</v>
      </c>
      <c r="AC888" s="947">
        <f>IF(PV_DATA[[#This Row],[Pick- Up Date]]&lt;&gt;"",_xlfn.ISOWEEKNUM(PV_DATA[[#This Row],[Pick- Up Date]]),"")</f>
        <v>34</v>
      </c>
      <c r="AD888" s="462" t="s">
        <v>6088</v>
      </c>
      <c r="AE888" s="462" t="s">
        <v>6088</v>
      </c>
      <c r="AF888" s="462" t="s">
        <v>122</v>
      </c>
      <c r="AG888" s="462" t="s">
        <v>123</v>
      </c>
      <c r="AH888" s="462" t="s">
        <v>124</v>
      </c>
      <c r="AI888" s="713">
        <v>46259</v>
      </c>
      <c r="AJ888" s="713">
        <v>46263</v>
      </c>
      <c r="AK888" s="713">
        <f>IFERROR(IF(VLOOKUP(AT888,Vessel!A:F,5,FALSE)=0,"",VLOOKUP(AT888,Vessel!A:F,5,FALSE)),"")</f>
        <v>46263.48333333333</v>
      </c>
      <c r="AL888" s="713">
        <v>46310</v>
      </c>
      <c r="AM888" s="949">
        <f>IFERROR(VLOOKUP(AT888, Vessel!A:H, 8, FALSE), "")</f>
        <v>46322.833333333336</v>
      </c>
      <c r="AN888" s="949" t="str">
        <f>IFERROR(IF(VLOOKUP(AT888,Vessel!A:I,9,FALSE)=0,"",VLOOKUP(AT888,Vessel!A:I,9,FALSE)),"")</f>
        <v/>
      </c>
      <c r="AP888" s="462" t="s">
        <v>6067</v>
      </c>
      <c r="AQ888" s="950" t="s">
        <v>80</v>
      </c>
      <c r="AR888" s="462" t="s">
        <v>6089</v>
      </c>
      <c r="AS888" s="462" t="s">
        <v>6090</v>
      </c>
      <c r="AT888" s="462" t="s">
        <v>6090</v>
      </c>
      <c r="AU8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88" s="713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8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713">
        <f>IF(ISERROR(PV_DATA[[#This Row],[New Ark PO status]]),"",_xlfn.XLOOKUP(PV_DATA[[#This Row],[SPTN-PVHK New Ark PO'#]],New_Ark_Data[Purchase order Number],New_Ark_Data[Estimated time of arrival],"",0))</f>
        <v>46320</v>
      </c>
      <c r="AZ888" s="9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8" s="713">
        <f>IFERROR(PV_DATA[[#This Row],[ODP ETA Port]]+PV_DATA[[#This Row],[Customs/Leg3 Assumption]],"n/a")</f>
        <v>46331.833333333336</v>
      </c>
      <c r="BB888" s="946">
        <f>YEAR(PV_DATA[[#This Row],[ETA for New Ark update]])</f>
        <v>2026</v>
      </c>
      <c r="BC888" s="462">
        <f>MONTH(PV_DATA[[#This Row],[ETA for New Ark update]])</f>
        <v>11</v>
      </c>
      <c r="BD888" s="462">
        <f>IFERROR(_xlfn.ISOWEEKNUM(PV_DATA[[#This Row],[ETA for New Ark update]]),0)</f>
        <v>45</v>
      </c>
      <c r="BE888" s="462">
        <f>_xlfn.XLOOKUP(PV_DATA[[#This Row],[New Ark SKU]],Table9[New Ark SKU],Table9[Total PCS per Pallet],,0)</f>
        <v>36</v>
      </c>
      <c r="BF888" s="462">
        <f>_xlfn.XLOOKUP(PV_DATA[[#This Row],[New Ark SKU]],Table9[New Ark SKU],Table9[Total PCS per 40HQ Container],,0)</f>
        <v>720</v>
      </c>
      <c r="BG888" s="462" t="str">
        <f>_xlfn.XLOOKUP(PV_DATA[[#This Row],[New Ark SKU]],Table9[New Ark SKU],Table9[Back Glass],,0)</f>
        <v>Transparent</v>
      </c>
      <c r="BH888" s="462" t="str">
        <f>_xlfn.XLOOKUP(PV_DATA[[#This Row],[PORT DESTINATION]],Table12[PORT DESTINATION],Table12[Cosco Line],,0)</f>
        <v>AEM</v>
      </c>
    </row>
    <row r="889" spans="1:62" s="462" customFormat="1" ht="10.5">
      <c r="A889" s="462" t="s">
        <v>6091</v>
      </c>
      <c r="B889" s="462" t="s">
        <v>111</v>
      </c>
      <c r="C889" s="462" t="str">
        <f>IFERROR(LEFT(PV_DATA[[#This Row],[TCL REFERENCE]],FIND(".",PV_DATA[[#This Row],[TCL REFERENCE]],1)-1),"Main Line")</f>
        <v>26Jul013</v>
      </c>
      <c r="D889" s="462" t="s">
        <v>63</v>
      </c>
      <c r="E889" s="462" t="s">
        <v>64</v>
      </c>
      <c r="F889" s="462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2" t="s">
        <v>402</v>
      </c>
      <c r="H889" s="462" t="s">
        <v>115</v>
      </c>
      <c r="I889" s="462" t="s">
        <v>1395</v>
      </c>
      <c r="J889" s="462" t="s">
        <v>96</v>
      </c>
      <c r="M889" s="462" t="s">
        <v>68</v>
      </c>
      <c r="N889" s="712">
        <v>46202</v>
      </c>
      <c r="O889" s="462" t="s">
        <v>5336</v>
      </c>
      <c r="P889" s="462" t="s">
        <v>5337</v>
      </c>
      <c r="Q889" s="462" t="s">
        <v>5338</v>
      </c>
      <c r="R889" s="430" t="str">
        <f>_xlfn.XLOOKUP(PV_DATA[[#This Row],[New Ark SKU]],Table9[New Ark SKU],Table9[Connector],,0)</f>
        <v>EVO2A</v>
      </c>
      <c r="S889" s="433" t="str">
        <f>_xlfn.XLOOKUP(PV_DATA[[#This Row],[New Ark SKU]],Table9[New Ark SKU],Table9[Cable],,0)</f>
        <v>±1400mm</v>
      </c>
      <c r="T889" s="946">
        <v>580</v>
      </c>
      <c r="U889" s="1095">
        <v>720</v>
      </c>
      <c r="V889" s="458">
        <f>PV_DATA[[#This Row],[QUANTITY]]*PV_DATA[[#This Row],[WATT]]/1000000</f>
        <v>0.41760000000000003</v>
      </c>
      <c r="W889" s="714">
        <f>PV_DATA[[#This Row],[QUANTITY]]/PV_DATA[[#This Row],[Qty/Pallet]]</f>
        <v>20</v>
      </c>
      <c r="X889" s="1042">
        <f>PV_DATA[[#This Row],[QUANTITY]]/PV_DATA[[#This Row],[Qty/CT]]</f>
        <v>1</v>
      </c>
      <c r="Y889" s="462" t="s">
        <v>2463</v>
      </c>
      <c r="Z889" s="462" t="str">
        <f t="shared" si="11"/>
        <v>IN-TRANSIT</v>
      </c>
      <c r="AA889" s="462" t="s">
        <v>5650</v>
      </c>
      <c r="AB889" s="713">
        <v>46253</v>
      </c>
      <c r="AC889" s="947">
        <f>IF(PV_DATA[[#This Row],[Pick- Up Date]]&lt;&gt;"",_xlfn.ISOWEEKNUM(PV_DATA[[#This Row],[Pick- Up Date]]),"")</f>
        <v>34</v>
      </c>
      <c r="AD889" s="462" t="s">
        <v>6092</v>
      </c>
      <c r="AE889" s="462" t="s">
        <v>6092</v>
      </c>
      <c r="AF889" s="462" t="s">
        <v>122</v>
      </c>
      <c r="AG889" s="462" t="s">
        <v>123</v>
      </c>
      <c r="AH889" s="462" t="s">
        <v>124</v>
      </c>
      <c r="AI889" s="713">
        <v>46259</v>
      </c>
      <c r="AJ889" s="713">
        <v>46263</v>
      </c>
      <c r="AK889" s="713">
        <f>IFERROR(IF(VLOOKUP(AT889,Vessel!A:F,5,FALSE)=0,"",VLOOKUP(AT889,Vessel!A:F,5,FALSE)),"")</f>
        <v>46263.48333333333</v>
      </c>
      <c r="AL889" s="713">
        <v>46310</v>
      </c>
      <c r="AM889" s="949">
        <f>IFERROR(VLOOKUP(AT889, Vessel!A:H, 8, FALSE), "")</f>
        <v>46322.833333333336</v>
      </c>
      <c r="AN889" s="949" t="str">
        <f>IFERROR(IF(VLOOKUP(AT889,Vessel!A:I,9,FALSE)=0,"",VLOOKUP(AT889,Vessel!A:I,9,FALSE)),"")</f>
        <v/>
      </c>
      <c r="AP889" s="462" t="s">
        <v>6067</v>
      </c>
      <c r="AQ889" s="950" t="s">
        <v>80</v>
      </c>
      <c r="AR889" s="462" t="s">
        <v>6089</v>
      </c>
      <c r="AS889" s="462" t="s">
        <v>6090</v>
      </c>
      <c r="AT889" s="462" t="s">
        <v>6090</v>
      </c>
      <c r="AU8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89" s="713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8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13">
        <f>IF(ISERROR(PV_DATA[[#This Row],[New Ark PO status]]),"",_xlfn.XLOOKUP(PV_DATA[[#This Row],[SPTN-PVHK New Ark PO'#]],New_Ark_Data[Purchase order Number],New_Ark_Data[Estimated time of arrival],"",0))</f>
        <v>46320</v>
      </c>
      <c r="AZ889" s="9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13">
        <f>IFERROR(PV_DATA[[#This Row],[ODP ETA Port]]+PV_DATA[[#This Row],[Customs/Leg3 Assumption]],"n/a")</f>
        <v>46331.833333333336</v>
      </c>
      <c r="BB889" s="946">
        <f>YEAR(PV_DATA[[#This Row],[ETA for New Ark update]])</f>
        <v>2026</v>
      </c>
      <c r="BC889" s="462">
        <f>MONTH(PV_DATA[[#This Row],[ETA for New Ark update]])</f>
        <v>11</v>
      </c>
      <c r="BD889" s="462">
        <f>IFERROR(_xlfn.ISOWEEKNUM(PV_DATA[[#This Row],[ETA for New Ark update]]),0)</f>
        <v>45</v>
      </c>
      <c r="BE889" s="462">
        <f>_xlfn.XLOOKUP(PV_DATA[[#This Row],[New Ark SKU]],Table9[New Ark SKU],Table9[Total PCS per Pallet],,0)</f>
        <v>36</v>
      </c>
      <c r="BF889" s="462">
        <f>_xlfn.XLOOKUP(PV_DATA[[#This Row],[New Ark SKU]],Table9[New Ark SKU],Table9[Total PCS per 40HQ Container],,0)</f>
        <v>720</v>
      </c>
      <c r="BG889" s="462" t="str">
        <f>_xlfn.XLOOKUP(PV_DATA[[#This Row],[New Ark SKU]],Table9[New Ark SKU],Table9[Back Glass],,0)</f>
        <v>Transparent</v>
      </c>
      <c r="BH889" s="462" t="str">
        <f>_xlfn.XLOOKUP(PV_DATA[[#This Row],[PORT DESTINATION]],Table12[PORT DESTINATION],Table12[Cosco Line],,0)</f>
        <v>AEM</v>
      </c>
    </row>
    <row r="890" spans="1:62" s="462" customFormat="1" ht="10.5">
      <c r="A890" s="462" t="s">
        <v>6093</v>
      </c>
      <c r="B890" s="462" t="s">
        <v>111</v>
      </c>
      <c r="C890" s="462" t="str">
        <f>IFERROR(LEFT(PV_DATA[[#This Row],[TCL REFERENCE]],FIND(".",PV_DATA[[#This Row],[TCL REFERENCE]],1)-1),"Main Line")</f>
        <v>26Jul014</v>
      </c>
      <c r="D890" s="462" t="s">
        <v>63</v>
      </c>
      <c r="E890" s="462" t="s">
        <v>64</v>
      </c>
      <c r="F890" s="462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2" t="s">
        <v>402</v>
      </c>
      <c r="H890" s="462" t="s">
        <v>115</v>
      </c>
      <c r="I890" s="462" t="s">
        <v>882</v>
      </c>
      <c r="J890" s="462" t="s">
        <v>96</v>
      </c>
      <c r="M890" s="462" t="s">
        <v>68</v>
      </c>
      <c r="N890" s="712">
        <v>46202</v>
      </c>
      <c r="O890" s="462" t="s">
        <v>5336</v>
      </c>
      <c r="P890" s="462" t="s">
        <v>5555</v>
      </c>
      <c r="Q890" s="462" t="s">
        <v>5556</v>
      </c>
      <c r="R890" s="430" t="str">
        <f>_xlfn.XLOOKUP(PV_DATA[[#This Row],[New Ark SKU]],Table9[New Ark SKU],Table9[Connector],,0)</f>
        <v>EVO2A</v>
      </c>
      <c r="S890" s="433" t="str">
        <f>_xlfn.XLOOKUP(PV_DATA[[#This Row],[New Ark SKU]],Table9[New Ark SKU],Table9[Cable],,0)</f>
        <v>±1400mm</v>
      </c>
      <c r="T890" s="946">
        <v>585</v>
      </c>
      <c r="U890" s="1095">
        <f>720*2</f>
        <v>1440</v>
      </c>
      <c r="V890" s="458">
        <f>PV_DATA[[#This Row],[QUANTITY]]*PV_DATA[[#This Row],[WATT]]/1000000</f>
        <v>0.84240000000000004</v>
      </c>
      <c r="W890" s="714">
        <f>PV_DATA[[#This Row],[QUANTITY]]/PV_DATA[[#This Row],[Qty/Pallet]]</f>
        <v>40</v>
      </c>
      <c r="X890" s="1042">
        <f>PV_DATA[[#This Row],[QUANTITY]]/PV_DATA[[#This Row],[Qty/CT]]</f>
        <v>2</v>
      </c>
      <c r="Y890" s="462" t="s">
        <v>2464</v>
      </c>
      <c r="Z890" s="462" t="str">
        <f t="shared" si="11"/>
        <v>IN-TRANSIT</v>
      </c>
      <c r="AA890" s="462" t="s">
        <v>5650</v>
      </c>
      <c r="AB890" s="713">
        <v>46253</v>
      </c>
      <c r="AC890" s="947">
        <f>IF(PV_DATA[[#This Row],[Pick- Up Date]]&lt;&gt;"",_xlfn.ISOWEEKNUM(PV_DATA[[#This Row],[Pick- Up Date]]),"")</f>
        <v>34</v>
      </c>
      <c r="AD890" s="462" t="s">
        <v>6094</v>
      </c>
      <c r="AE890" s="462" t="s">
        <v>6094</v>
      </c>
      <c r="AF890" s="462" t="s">
        <v>122</v>
      </c>
      <c r="AG890" s="462" t="s">
        <v>123</v>
      </c>
      <c r="AH890" s="462" t="s">
        <v>124</v>
      </c>
      <c r="AI890" s="713">
        <v>46259</v>
      </c>
      <c r="AJ890" s="713">
        <v>46263</v>
      </c>
      <c r="AK890" s="713">
        <f>IFERROR(IF(VLOOKUP(AT890,Vessel!A:F,5,FALSE)=0,"",VLOOKUP(AT890,Vessel!A:F,5,FALSE)),"")</f>
        <v>46263.48333333333</v>
      </c>
      <c r="AL890" s="713">
        <v>46310</v>
      </c>
      <c r="AM890" s="949">
        <f>IFERROR(VLOOKUP(AT890, Vessel!A:H, 8, FALSE), "")</f>
        <v>46322.833333333336</v>
      </c>
      <c r="AN890" s="949" t="str">
        <f>IFERROR(IF(VLOOKUP(AT890,Vessel!A:I,9,FALSE)=0,"",VLOOKUP(AT890,Vessel!A:I,9,FALSE)),"")</f>
        <v/>
      </c>
      <c r="AP890" s="462" t="s">
        <v>6067</v>
      </c>
      <c r="AQ890" s="950" t="s">
        <v>80</v>
      </c>
      <c r="AR890" s="462" t="s">
        <v>6089</v>
      </c>
      <c r="AS890" s="462" t="s">
        <v>6090</v>
      </c>
      <c r="AT890" s="462" t="s">
        <v>6090</v>
      </c>
      <c r="AU8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90" s="713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9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13">
        <f>IF(ISERROR(PV_DATA[[#This Row],[New Ark PO status]]),"",_xlfn.XLOOKUP(PV_DATA[[#This Row],[SPTN-PVHK New Ark PO'#]],New_Ark_Data[Purchase order Number],New_Ark_Data[Estimated time of arrival],"",0))</f>
        <v>46320</v>
      </c>
      <c r="AZ890" s="9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13">
        <f>IFERROR(PV_DATA[[#This Row],[ODP ETA Port]]+PV_DATA[[#This Row],[Customs/Leg3 Assumption]],"n/a")</f>
        <v>46331.833333333336</v>
      </c>
      <c r="BB890" s="946">
        <f>YEAR(PV_DATA[[#This Row],[ETA for New Ark update]])</f>
        <v>2026</v>
      </c>
      <c r="BC890" s="462">
        <f>MONTH(PV_DATA[[#This Row],[ETA for New Ark update]])</f>
        <v>11</v>
      </c>
      <c r="BD890" s="462">
        <f>IFERROR(_xlfn.ISOWEEKNUM(PV_DATA[[#This Row],[ETA for New Ark update]]),0)</f>
        <v>45</v>
      </c>
      <c r="BE890" s="462">
        <f>_xlfn.XLOOKUP(PV_DATA[[#This Row],[New Ark SKU]],Table9[New Ark SKU],Table9[Total PCS per Pallet],,0)</f>
        <v>36</v>
      </c>
      <c r="BF890" s="462">
        <f>_xlfn.XLOOKUP(PV_DATA[[#This Row],[New Ark SKU]],Table9[New Ark SKU],Table9[Total PCS per 40HQ Container],,0)</f>
        <v>720</v>
      </c>
      <c r="BG890" s="462" t="str">
        <f>_xlfn.XLOOKUP(PV_DATA[[#This Row],[New Ark SKU]],Table9[New Ark SKU],Table9[Back Glass],,0)</f>
        <v>Transparent</v>
      </c>
      <c r="BH890" s="462" t="str">
        <f>_xlfn.XLOOKUP(PV_DATA[[#This Row],[PORT DESTINATION]],Table12[PORT DESTINATION],Table12[Cosco Line],,0)</f>
        <v>AEM</v>
      </c>
    </row>
    <row r="891" spans="1:62" s="462" customFormat="1" ht="10.5">
      <c r="A891" s="462" t="s">
        <v>6095</v>
      </c>
      <c r="B891" s="462" t="s">
        <v>111</v>
      </c>
      <c r="C891" s="462" t="str">
        <f>IFERROR(LEFT(PV_DATA[[#This Row],[TCL REFERENCE]],FIND(".",PV_DATA[[#This Row],[TCL REFERENCE]],1)-1),"Main Line")</f>
        <v>26Jul002</v>
      </c>
      <c r="D891" s="462" t="s">
        <v>63</v>
      </c>
      <c r="E891" s="462" t="s">
        <v>64</v>
      </c>
      <c r="F891" s="462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2" t="s">
        <v>402</v>
      </c>
      <c r="H891" s="462" t="s">
        <v>115</v>
      </c>
      <c r="I891" s="462" t="s">
        <v>689</v>
      </c>
      <c r="J891" s="462" t="s">
        <v>96</v>
      </c>
      <c r="M891" s="462" t="s">
        <v>68</v>
      </c>
      <c r="N891" s="712">
        <v>46209</v>
      </c>
      <c r="O891" s="462" t="s">
        <v>550</v>
      </c>
      <c r="P891" s="462" t="s">
        <v>2134</v>
      </c>
      <c r="Q891" s="462" t="s">
        <v>2135</v>
      </c>
      <c r="R891" s="430" t="str">
        <f>_xlfn.XLOOKUP(PV_DATA[[#This Row],[New Ark SKU]],Table9[New Ark SKU],Table9[Connector],,0)</f>
        <v>EVO2A</v>
      </c>
      <c r="S891" s="433" t="str">
        <f>_xlfn.XLOOKUP(PV_DATA[[#This Row],[New Ark SKU]],Table9[New Ark SKU],Table9[Cable],,0)</f>
        <v>±1350mm</v>
      </c>
      <c r="T891" s="946">
        <v>515</v>
      </c>
      <c r="U891" s="1095">
        <v>792</v>
      </c>
      <c r="V891" s="458">
        <f>PV_DATA[[#This Row],[QUANTITY]]*PV_DATA[[#This Row],[WATT]]/1000000</f>
        <v>0.40788000000000002</v>
      </c>
      <c r="W891" s="714">
        <f>PV_DATA[[#This Row],[QUANTITY]]/PV_DATA[[#This Row],[Qty/Pallet]]</f>
        <v>22</v>
      </c>
      <c r="X891" s="1042">
        <f>PV_DATA[[#This Row],[QUANTITY]]/PV_DATA[[#This Row],[Qty/CT]]</f>
        <v>1</v>
      </c>
      <c r="Y891" s="462" t="s">
        <v>2464</v>
      </c>
      <c r="Z891" s="462" t="str">
        <f t="shared" si="11"/>
        <v>IN-TRANSIT</v>
      </c>
      <c r="AA891" s="462" t="s">
        <v>5853</v>
      </c>
      <c r="AB891" s="713">
        <v>46253</v>
      </c>
      <c r="AC891" s="947">
        <f>IF(PV_DATA[[#This Row],[Pick- Up Date]]&lt;&gt;"",_xlfn.ISOWEEKNUM(PV_DATA[[#This Row],[Pick- Up Date]]),"")</f>
        <v>34</v>
      </c>
      <c r="AD891" s="462" t="s">
        <v>6096</v>
      </c>
      <c r="AE891" s="462" t="s">
        <v>6096</v>
      </c>
      <c r="AF891" s="462" t="s">
        <v>122</v>
      </c>
      <c r="AG891" s="462" t="s">
        <v>123</v>
      </c>
      <c r="AH891" s="462" t="s">
        <v>124</v>
      </c>
      <c r="AI891" s="713">
        <v>46259</v>
      </c>
      <c r="AJ891" s="713">
        <v>46263</v>
      </c>
      <c r="AK891" s="713">
        <f>IFERROR(IF(VLOOKUP(AT891,Vessel!A:F,5,FALSE)=0,"",VLOOKUP(AT891,Vessel!A:F,5,FALSE)),"")</f>
        <v>46263.48333333333</v>
      </c>
      <c r="AL891" s="1138">
        <v>46310</v>
      </c>
      <c r="AM891" s="1306">
        <f>IFERROR(VLOOKUP(AT891, Vessel!A:H, 8, FALSE), "")</f>
        <v>46322.833333333336</v>
      </c>
      <c r="AN891" s="949" t="str">
        <f>IFERROR(IF(VLOOKUP(AT891,Vessel!A:I,9,FALSE)=0,"",VLOOKUP(AT891,Vessel!A:I,9,FALSE)),"")</f>
        <v/>
      </c>
      <c r="AP891" s="462" t="s">
        <v>6067</v>
      </c>
      <c r="AQ891" s="950" t="s">
        <v>80</v>
      </c>
      <c r="AR891" s="462" t="s">
        <v>6089</v>
      </c>
      <c r="AS891" s="462" t="s">
        <v>6090</v>
      </c>
      <c r="AT891" s="462" t="s">
        <v>6090</v>
      </c>
      <c r="AU8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91" s="713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9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13">
        <f>IF(ISERROR(PV_DATA[[#This Row],[New Ark PO status]]),"",_xlfn.XLOOKUP(PV_DATA[[#This Row],[SPTN-PVHK New Ark PO'#]],New_Ark_Data[Purchase order Number],New_Ark_Data[Estimated time of arrival],"",0))</f>
        <v>46321</v>
      </c>
      <c r="AZ891" s="94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13">
        <f>IFERROR(PV_DATA[[#This Row],[ODP ETA Port]]+PV_DATA[[#This Row],[Customs/Leg3 Assumption]],"n/a")</f>
        <v>46331.833333333336</v>
      </c>
      <c r="BB891" s="946">
        <f>YEAR(PV_DATA[[#This Row],[ETA for New Ark update]])</f>
        <v>2026</v>
      </c>
      <c r="BC891" s="462">
        <f>MONTH(PV_DATA[[#This Row],[ETA for New Ark update]])</f>
        <v>11</v>
      </c>
      <c r="BD891" s="462">
        <f>IFERROR(_xlfn.ISOWEEKNUM(PV_DATA[[#This Row],[ETA for New Ark update]]),0)</f>
        <v>45</v>
      </c>
      <c r="BE891" s="462">
        <f>_xlfn.XLOOKUP(PV_DATA[[#This Row],[New Ark SKU]],Table9[New Ark SKU],Table9[Total PCS per Pallet],,0)</f>
        <v>36</v>
      </c>
      <c r="BF891" s="462">
        <f>_xlfn.XLOOKUP(PV_DATA[[#This Row],[New Ark SKU]],Table9[New Ark SKU],Table9[Total PCS per 40HQ Container],,0)</f>
        <v>792</v>
      </c>
      <c r="BG891" s="462" t="str">
        <f>_xlfn.XLOOKUP(PV_DATA[[#This Row],[New Ark SKU]],Table9[New Ark SKU],Table9[Back Glass],,0)</f>
        <v>Black glazing</v>
      </c>
      <c r="BH891" s="462" t="str">
        <f>_xlfn.XLOOKUP(PV_DATA[[#This Row],[PORT DESTINATION]],Table12[PORT DESTINATION],Table12[Cosco Line],,0)</f>
        <v>AEM</v>
      </c>
    </row>
    <row r="892" spans="1:62" s="462" customFormat="1" ht="10.5">
      <c r="A892" s="462" t="s">
        <v>6097</v>
      </c>
      <c r="B892" s="462" t="s">
        <v>111</v>
      </c>
      <c r="C892" s="462" t="str">
        <f>IFERROR(LEFT(PV_DATA[[#This Row],[TCL REFERENCE]],FIND(".",PV_DATA[[#This Row],[TCL REFERENCE]],1)-1),"Main Line")</f>
        <v>26Jul002</v>
      </c>
      <c r="D892" s="462" t="s">
        <v>63</v>
      </c>
      <c r="E892" s="462" t="s">
        <v>64</v>
      </c>
      <c r="F892" s="462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2" s="462" t="s">
        <v>402</v>
      </c>
      <c r="H892" s="462" t="s">
        <v>311</v>
      </c>
      <c r="I892" s="462" t="s">
        <v>689</v>
      </c>
      <c r="J892" s="462" t="s">
        <v>96</v>
      </c>
      <c r="M892" s="462" t="s">
        <v>68</v>
      </c>
      <c r="N892" s="712">
        <v>46209</v>
      </c>
      <c r="O892" s="462" t="s">
        <v>550</v>
      </c>
      <c r="P892" s="462" t="s">
        <v>2134</v>
      </c>
      <c r="Q892" s="462" t="s">
        <v>2135</v>
      </c>
      <c r="R892" s="430" t="str">
        <f>_xlfn.XLOOKUP(PV_DATA[[#This Row],[New Ark SKU]],Table9[New Ark SKU],Table9[Connector],,0)</f>
        <v>EVO2A</v>
      </c>
      <c r="S892" s="433" t="str">
        <f>_xlfn.XLOOKUP(PV_DATA[[#This Row],[New Ark SKU]],Table9[New Ark SKU],Table9[Cable],,0)</f>
        <v>±1350mm</v>
      </c>
      <c r="T892" s="946">
        <v>515</v>
      </c>
      <c r="U892" s="1095">
        <v>792</v>
      </c>
      <c r="V892" s="458">
        <f>PV_DATA[[#This Row],[QUANTITY]]*PV_DATA[[#This Row],[WATT]]/1000000</f>
        <v>0.40788000000000002</v>
      </c>
      <c r="W892" s="714">
        <f>PV_DATA[[#This Row],[QUANTITY]]/PV_DATA[[#This Row],[Qty/Pallet]]</f>
        <v>22</v>
      </c>
      <c r="X892" s="1042">
        <f>PV_DATA[[#This Row],[QUANTITY]]/PV_DATA[[#This Row],[Qty/CT]]</f>
        <v>1</v>
      </c>
      <c r="Y892" s="462" t="s">
        <v>2464</v>
      </c>
      <c r="Z892" s="462" t="str">
        <f t="shared" si="11"/>
        <v>IN-TRANSIT</v>
      </c>
      <c r="AA892" s="462" t="s">
        <v>5933</v>
      </c>
      <c r="AB892" s="713">
        <v>46246</v>
      </c>
      <c r="AC892" s="947">
        <f>IF(PV_DATA[[#This Row],[Pick- Up Date]]&lt;&gt;"",_xlfn.ISOWEEKNUM(PV_DATA[[#This Row],[Pick- Up Date]]),"")</f>
        <v>33</v>
      </c>
      <c r="AD892" s="462" t="s">
        <v>6098</v>
      </c>
      <c r="AF892" s="462" t="s">
        <v>122</v>
      </c>
      <c r="AG892" s="462" t="s">
        <v>123</v>
      </c>
      <c r="AH892" s="462" t="s">
        <v>1561</v>
      </c>
      <c r="AI892" s="713">
        <v>46252</v>
      </c>
      <c r="AJ892" s="713">
        <f>IFERROR(VLOOKUP(AT892, Vessel!A:D, 4, FALSE), "")</f>
        <v>46251.791666666664</v>
      </c>
      <c r="AK892" s="713">
        <f>IFERROR(IF(VLOOKUP(AT892,Vessel!A:F,5,FALSE)=0,"",VLOOKUP(AT892,Vessel!A:F,5,FALSE)),"")</f>
        <v>46251.534803240742</v>
      </c>
      <c r="AL892" s="1138">
        <v>46311</v>
      </c>
      <c r="AM892" s="1192">
        <f>IFERROR(VLOOKUP(AT892, Vessel!A:H, 8, FALSE), "")</f>
        <v>46308.75</v>
      </c>
      <c r="AN892" s="949" t="str">
        <f>IFERROR(IF(VLOOKUP(AT892,Vessel!A:I,9,FALSE)=0,"",VLOOKUP(AT892,Vessel!A:I,9,FALSE)),"")</f>
        <v/>
      </c>
      <c r="AP892" s="462" t="s">
        <v>6099</v>
      </c>
      <c r="AQ892" s="950" t="s">
        <v>80</v>
      </c>
      <c r="AR892" s="462" t="s">
        <v>6100</v>
      </c>
      <c r="AS892" s="462" t="s">
        <v>6101</v>
      </c>
      <c r="AT892" s="462" t="s">
        <v>6101</v>
      </c>
      <c r="AU8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57.215196759258106</v>
      </c>
      <c r="AW892" s="713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89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13">
        <f>IF(ISERROR(PV_DATA[[#This Row],[New Ark PO status]]),"",_xlfn.XLOOKUP(PV_DATA[[#This Row],[SPTN-PVHK New Ark PO'#]],New_Ark_Data[Purchase order Number],New_Ark_Data[Estimated time of arrival],"",0))</f>
        <v>46315</v>
      </c>
      <c r="AZ892" s="946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2" s="713">
        <f>IFERROR(PV_DATA[[#This Row],[ODP ETA Port]]+PV_DATA[[#This Row],[Customs/Leg3 Assumption]],"n/a")</f>
        <v>46318.75</v>
      </c>
      <c r="BB892" s="946">
        <f>YEAR(PV_DATA[[#This Row],[ETA for New Ark update]])</f>
        <v>2026</v>
      </c>
      <c r="BC892" s="462">
        <f>MONTH(PV_DATA[[#This Row],[ETA for New Ark update]])</f>
        <v>10</v>
      </c>
      <c r="BD892" s="462">
        <f>IFERROR(_xlfn.ISOWEEKNUM(PV_DATA[[#This Row],[ETA for New Ark update]]),0)</f>
        <v>43</v>
      </c>
      <c r="BE892" s="462">
        <f>_xlfn.XLOOKUP(PV_DATA[[#This Row],[New Ark SKU]],Table9[New Ark SKU],Table9[Total PCS per Pallet],,0)</f>
        <v>36</v>
      </c>
      <c r="BF892" s="462">
        <f>_xlfn.XLOOKUP(PV_DATA[[#This Row],[New Ark SKU]],Table9[New Ark SKU],Table9[Total PCS per 40HQ Container],,0)</f>
        <v>792</v>
      </c>
      <c r="BG892" s="462" t="str">
        <f>_xlfn.XLOOKUP(PV_DATA[[#This Row],[New Ark SKU]],Table9[New Ark SKU],Table9[Back Glass],,0)</f>
        <v>Black glazing</v>
      </c>
      <c r="BH892" s="462" t="str">
        <f>_xlfn.XLOOKUP(PV_DATA[[#This Row],[PORT DESTINATION]],Table12[PORT DESTINATION],Table12[Cosco Line],,0)</f>
        <v>AEM</v>
      </c>
    </row>
    <row r="893" spans="1:62" s="462" customFormat="1" ht="10.5">
      <c r="A893" s="462" t="s">
        <v>6102</v>
      </c>
      <c r="B893" s="462" t="s">
        <v>111</v>
      </c>
      <c r="C893" s="462" t="str">
        <f>IFERROR(LEFT(PV_DATA[[#This Row],[TCL REFERENCE]],FIND(".",PV_DATA[[#This Row],[TCL REFERENCE]],1)-1),"Main Line")</f>
        <v>26Jul002</v>
      </c>
      <c r="D893" s="462" t="s">
        <v>63</v>
      </c>
      <c r="E893" s="462" t="s">
        <v>64</v>
      </c>
      <c r="F893" s="462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2" t="s">
        <v>402</v>
      </c>
      <c r="H893" s="462" t="s">
        <v>311</v>
      </c>
      <c r="I893" s="462" t="s">
        <v>689</v>
      </c>
      <c r="J893" s="462" t="s">
        <v>96</v>
      </c>
      <c r="M893" s="462" t="s">
        <v>68</v>
      </c>
      <c r="N893" s="712">
        <v>46209</v>
      </c>
      <c r="O893" s="462" t="s">
        <v>550</v>
      </c>
      <c r="P893" s="462" t="s">
        <v>2134</v>
      </c>
      <c r="Q893" s="462" t="s">
        <v>2135</v>
      </c>
      <c r="R893" s="430" t="str">
        <f>_xlfn.XLOOKUP(PV_DATA[[#This Row],[New Ark SKU]],Table9[New Ark SKU],Table9[Connector],,0)</f>
        <v>EVO2A</v>
      </c>
      <c r="S893" s="433" t="str">
        <f>_xlfn.XLOOKUP(PV_DATA[[#This Row],[New Ark SKU]],Table9[New Ark SKU],Table9[Cable],,0)</f>
        <v>±1350mm</v>
      </c>
      <c r="T893" s="946">
        <v>515</v>
      </c>
      <c r="U893" s="1095">
        <f>792*1</f>
        <v>792</v>
      </c>
      <c r="V893" s="458">
        <f>PV_DATA[[#This Row],[QUANTITY]]*PV_DATA[[#This Row],[WATT]]/1000000</f>
        <v>0.40788000000000002</v>
      </c>
      <c r="W893" s="714">
        <f>PV_DATA[[#This Row],[QUANTITY]]/PV_DATA[[#This Row],[Qty/Pallet]]</f>
        <v>22</v>
      </c>
      <c r="X893" s="1042">
        <f>PV_DATA[[#This Row],[QUANTITY]]/PV_DATA[[#This Row],[Qty/CT]]</f>
        <v>1</v>
      </c>
      <c r="Y893" s="462" t="s">
        <v>2463</v>
      </c>
      <c r="Z893" s="462" t="str">
        <f t="shared" si="11"/>
        <v>IN-TRANSIT</v>
      </c>
      <c r="AA893" s="462" t="s">
        <v>5933</v>
      </c>
      <c r="AB893" s="713">
        <v>46246</v>
      </c>
      <c r="AC893" s="947">
        <f>IF(PV_DATA[[#This Row],[Pick- Up Date]]&lt;&gt;"",_xlfn.ISOWEEKNUM(PV_DATA[[#This Row],[Pick- Up Date]]),"")</f>
        <v>33</v>
      </c>
      <c r="AD893" s="462" t="s">
        <v>6103</v>
      </c>
      <c r="AF893" s="462" t="s">
        <v>122</v>
      </c>
      <c r="AG893" s="462" t="s">
        <v>123</v>
      </c>
      <c r="AH893" s="462" t="s">
        <v>1561</v>
      </c>
      <c r="AI893" s="713">
        <v>46252</v>
      </c>
      <c r="AJ893" s="713">
        <f>IFERROR(VLOOKUP(AT893, Vessel!A:D, 4, FALSE), "")</f>
        <v>46251.791666666664</v>
      </c>
      <c r="AK893" s="713">
        <f>IFERROR(IF(VLOOKUP(AT893,Vessel!A:F,5,FALSE)=0,"",VLOOKUP(AT893,Vessel!A:F,5,FALSE)),"")</f>
        <v>46251.534803240742</v>
      </c>
      <c r="AL893" s="1138">
        <v>46311</v>
      </c>
      <c r="AM893" s="1192">
        <f>IFERROR(VLOOKUP(AT893, Vessel!A:H, 8, FALSE), "")</f>
        <v>46308.75</v>
      </c>
      <c r="AN893" s="949" t="str">
        <f>IFERROR(IF(VLOOKUP(AT893,Vessel!A:I,9,FALSE)=0,"",VLOOKUP(AT893,Vessel!A:I,9,FALSE)),"")</f>
        <v/>
      </c>
      <c r="AP893" s="462" t="s">
        <v>6099</v>
      </c>
      <c r="AQ893" s="462" t="s">
        <v>80</v>
      </c>
      <c r="AR893" s="462" t="s">
        <v>6100</v>
      </c>
      <c r="AS893" s="462" t="s">
        <v>6101</v>
      </c>
      <c r="AT893" s="462" t="s">
        <v>6101</v>
      </c>
      <c r="AU8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57.215196759258106</v>
      </c>
      <c r="AW893" s="713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89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13">
        <f>IF(ISERROR(PV_DATA[[#This Row],[New Ark PO status]]),"",_xlfn.XLOOKUP(PV_DATA[[#This Row],[SPTN-PVHK New Ark PO'#]],New_Ark_Data[Purchase order Number],New_Ark_Data[Estimated time of arrival],"",0))</f>
        <v>46315</v>
      </c>
      <c r="AZ893" s="946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3" s="713">
        <f>IFERROR(PV_DATA[[#This Row],[ODP ETA Port]]+PV_DATA[[#This Row],[Customs/Leg3 Assumption]],"n/a")</f>
        <v>46318.75</v>
      </c>
      <c r="BB893" s="946">
        <f>YEAR(PV_DATA[[#This Row],[ETA for New Ark update]])</f>
        <v>2026</v>
      </c>
      <c r="BC893" s="462">
        <f>MONTH(PV_DATA[[#This Row],[ETA for New Ark update]])</f>
        <v>10</v>
      </c>
      <c r="BD893" s="462">
        <f>IFERROR(_xlfn.ISOWEEKNUM(PV_DATA[[#This Row],[ETA for New Ark update]]),0)</f>
        <v>43</v>
      </c>
      <c r="BE893" s="462">
        <f>_xlfn.XLOOKUP(PV_DATA[[#This Row],[New Ark SKU]],Table9[New Ark SKU],Table9[Total PCS per Pallet],,0)</f>
        <v>36</v>
      </c>
      <c r="BF893" s="462">
        <f>_xlfn.XLOOKUP(PV_DATA[[#This Row],[New Ark SKU]],Table9[New Ark SKU],Table9[Total PCS per 40HQ Container],,0)</f>
        <v>792</v>
      </c>
      <c r="BG893" s="462" t="str">
        <f>_xlfn.XLOOKUP(PV_DATA[[#This Row],[New Ark SKU]],Table9[New Ark SKU],Table9[Back Glass],,0)</f>
        <v>Black glazing</v>
      </c>
      <c r="BH893" s="462" t="str">
        <f>_xlfn.XLOOKUP(PV_DATA[[#This Row],[PORT DESTINATION]],Table12[PORT DESTINATION],Table12[Cosco Line],,0)</f>
        <v>AEM</v>
      </c>
    </row>
    <row r="894" spans="1:62" s="431" customFormat="1" ht="10.5">
      <c r="A894" s="439" t="s">
        <v>6104</v>
      </c>
      <c r="B894" s="431" t="s">
        <v>5774</v>
      </c>
      <c r="C894" s="431" t="str">
        <f>IFERROR(LEFT(PV_DATA[[#This Row],[TCL REFERENCE]],FIND(".",PV_DATA[[#This Row],[TCL REFERENCE]],1)-1),"Main Line")</f>
        <v>26Jul005</v>
      </c>
      <c r="D894" s="431" t="s">
        <v>63</v>
      </c>
      <c r="E894" s="431" t="s">
        <v>64</v>
      </c>
      <c r="F894" s="431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4" s="439" t="s">
        <v>402</v>
      </c>
      <c r="H894" s="431" t="s">
        <v>67</v>
      </c>
      <c r="I894" s="431" t="s">
        <v>689</v>
      </c>
      <c r="J894" s="431" t="s">
        <v>96</v>
      </c>
      <c r="M894" s="431" t="s">
        <v>68</v>
      </c>
      <c r="N894" s="461">
        <v>46223</v>
      </c>
      <c r="O894" s="431" t="s">
        <v>4531</v>
      </c>
      <c r="P894" s="431" t="s">
        <v>195</v>
      </c>
      <c r="Q894" s="431" t="s">
        <v>196</v>
      </c>
      <c r="R894" s="430" t="str">
        <f>_xlfn.XLOOKUP(PV_DATA[[#This Row],[New Ark SKU]],Table9[New Ark SKU],Table9[Connector],,0)</f>
        <v>EVO2A</v>
      </c>
      <c r="S894" s="433" t="str">
        <f>_xlfn.XLOOKUP(PV_DATA[[#This Row],[New Ark SKU]],Table9[New Ark SKU],Table9[Cable],,0)</f>
        <v>±1200mm</v>
      </c>
      <c r="T894" s="442">
        <v>450</v>
      </c>
      <c r="U894" s="1093">
        <f>936*4</f>
        <v>3744</v>
      </c>
      <c r="V894" s="448">
        <f>PV_DATA[[#This Row],[QUANTITY]]*PV_DATA[[#This Row],[WATT]]/1000000</f>
        <v>1.6848000000000001</v>
      </c>
      <c r="W894" s="466">
        <f>PV_DATA[[#This Row],[QUANTITY]]/PV_DATA[[#This Row],[Qty/Pallet]]</f>
        <v>104</v>
      </c>
      <c r="X894" s="1044">
        <f>PV_DATA[[#This Row],[QUANTITY]]/PV_DATA[[#This Row],[Qty/CT]]</f>
        <v>4</v>
      </c>
      <c r="Y894" s="431" t="s">
        <v>2463</v>
      </c>
      <c r="Z894" s="431" t="str">
        <f t="shared" si="11"/>
        <v>COMPLETED</v>
      </c>
      <c r="AA894" s="431" t="s">
        <v>6105</v>
      </c>
      <c r="AB894" s="441">
        <v>46244</v>
      </c>
      <c r="AC894" s="467">
        <f>IF(PV_DATA[[#This Row],[Pick- Up Date]]&lt;&gt;"",_xlfn.ISOWEEKNUM(PV_DATA[[#This Row],[Pick- Up Date]]),"")</f>
        <v>33</v>
      </c>
      <c r="AD894" s="431" t="s">
        <v>6106</v>
      </c>
      <c r="AF894" s="431" t="s">
        <v>6107</v>
      </c>
      <c r="AG894" s="431" t="s">
        <v>123</v>
      </c>
      <c r="AH894" s="431" t="s">
        <v>105</v>
      </c>
      <c r="AI894" s="441">
        <v>46249</v>
      </c>
      <c r="AJ894" s="441">
        <v>46256</v>
      </c>
      <c r="AK894" s="441">
        <v>46256</v>
      </c>
      <c r="AL894" s="441">
        <v>46292</v>
      </c>
      <c r="AM894" s="437">
        <v>46299</v>
      </c>
      <c r="AN894" s="586">
        <v>46300</v>
      </c>
      <c r="AP894" s="431" t="s">
        <v>6108</v>
      </c>
      <c r="AQ894" s="445" t="s">
        <v>161</v>
      </c>
      <c r="AR894" s="431" t="s">
        <v>6109</v>
      </c>
      <c r="AS894" s="431" t="s">
        <v>6110</v>
      </c>
      <c r="AT894" s="431" t="s">
        <v>6110</v>
      </c>
      <c r="AU8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4" s="441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4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441">
        <f>IF(ISERROR(PV_DATA[[#This Row],[New Ark PO status]]),"",_xlfn.XLOOKUP(PV_DATA[[#This Row],[SPTN-PVHK New Ark PO'#]],New_Ark_Data[Purchase order Number],New_Ark_Data[Estimated time of arrival],"",0))</f>
        <v>46309</v>
      </c>
      <c r="AZ8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4" s="441">
        <f>IFERROR(PV_DATA[[#This Row],[ODP ETA Port]]+PV_DATA[[#This Row],[Customs/Leg3 Assumption]],"n/a")</f>
        <v>46307</v>
      </c>
      <c r="BB894" s="442">
        <f>YEAR(PV_DATA[[#This Row],[ETA for New Ark update]])</f>
        <v>2026</v>
      </c>
      <c r="BC894" s="431">
        <f>MONTH(PV_DATA[[#This Row],[ETA for New Ark update]])</f>
        <v>10</v>
      </c>
      <c r="BD894" s="431">
        <f>IFERROR(_xlfn.ISOWEEKNUM(PV_DATA[[#This Row],[ETA for New Ark update]]),0)</f>
        <v>42</v>
      </c>
      <c r="BE894" s="431">
        <f>_xlfn.XLOOKUP(PV_DATA[[#This Row],[New Ark SKU]],Table9[New Ark SKU],Table9[Total PCS per Pallet],,0)</f>
        <v>36</v>
      </c>
      <c r="BF894" s="431">
        <f>_xlfn.XLOOKUP(PV_DATA[[#This Row],[New Ark SKU]],Table9[New Ark SKU],Table9[Total PCS per 40HQ Container],,0)</f>
        <v>936</v>
      </c>
      <c r="BG894" s="431" t="str">
        <f>_xlfn.XLOOKUP(PV_DATA[[#This Row],[New Ark SKU]],Table9[New Ark SKU],Table9[Back Glass],,0)</f>
        <v>Black glazing</v>
      </c>
      <c r="BH894" s="431" t="str">
        <f>_xlfn.XLOOKUP(PV_DATA[[#This Row],[PORT DESTINATION]],Table12[PORT DESTINATION],Table12[Cosco Line],,0)</f>
        <v>AEU</v>
      </c>
    </row>
    <row r="895" spans="1:62" s="439" customFormat="1" ht="10.5">
      <c r="A895" s="439" t="s">
        <v>6111</v>
      </c>
      <c r="B895" s="439" t="s">
        <v>5774</v>
      </c>
      <c r="C895" s="439" t="str">
        <f>IFERROR(LEFT(PV_DATA[[#This Row],[TCL REFERENCE]],FIND(".",PV_DATA[[#This Row],[TCL REFERENCE]],1)-1),"Main Line")</f>
        <v>26Jul005</v>
      </c>
      <c r="D895" s="439" t="s">
        <v>63</v>
      </c>
      <c r="E895" s="439" t="s">
        <v>64</v>
      </c>
      <c r="F895" s="439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39" t="s">
        <v>402</v>
      </c>
      <c r="H895" s="439" t="s">
        <v>67</v>
      </c>
      <c r="I895" s="439" t="s">
        <v>689</v>
      </c>
      <c r="J895" s="439" t="s">
        <v>96</v>
      </c>
      <c r="M895" s="439" t="s">
        <v>68</v>
      </c>
      <c r="N895" s="715">
        <v>46223</v>
      </c>
      <c r="O895" s="439" t="s">
        <v>4531</v>
      </c>
      <c r="P895" s="439" t="s">
        <v>195</v>
      </c>
      <c r="Q895" s="439" t="s">
        <v>196</v>
      </c>
      <c r="R895" s="430" t="str">
        <f>_xlfn.XLOOKUP(PV_DATA[[#This Row],[New Ark SKU]],Table9[New Ark SKU],Table9[Connector],,0)</f>
        <v>EVO2A</v>
      </c>
      <c r="S895" s="433" t="str">
        <f>_xlfn.XLOOKUP(PV_DATA[[#This Row],[New Ark SKU]],Table9[New Ark SKU],Table9[Cable],,0)</f>
        <v>±1200mm</v>
      </c>
      <c r="T895" s="722">
        <v>450</v>
      </c>
      <c r="U895" s="1169">
        <v>3744</v>
      </c>
      <c r="V895" s="1194">
        <f>PV_DATA[[#This Row],[QUANTITY]]*PV_DATA[[#This Row],[WATT]]/1000000</f>
        <v>1.6848000000000001</v>
      </c>
      <c r="W895" s="1171">
        <f>PV_DATA[[#This Row],[QUANTITY]]/PV_DATA[[#This Row],[Qty/Pallet]]</f>
        <v>104</v>
      </c>
      <c r="X895" s="1179">
        <f>PV_DATA[[#This Row],[QUANTITY]]/PV_DATA[[#This Row],[Qty/CT]]</f>
        <v>4</v>
      </c>
      <c r="Y895" s="439" t="s">
        <v>2463</v>
      </c>
      <c r="Z895" s="439" t="str">
        <f t="shared" si="11"/>
        <v>COMPLETED</v>
      </c>
      <c r="AA895" s="439" t="s">
        <v>6112</v>
      </c>
      <c r="AB895" s="719">
        <v>46243</v>
      </c>
      <c r="AC895" s="1180">
        <f>IF(PV_DATA[[#This Row],[Pick- Up Date]]&lt;&gt;"",_xlfn.ISOWEEKNUM(PV_DATA[[#This Row],[Pick- Up Date]]),"")</f>
        <v>32</v>
      </c>
      <c r="AD895" s="439" t="s">
        <v>6113</v>
      </c>
      <c r="AF895" s="439" t="s">
        <v>6107</v>
      </c>
      <c r="AG895" s="439" t="s">
        <v>123</v>
      </c>
      <c r="AH895" s="439" t="s">
        <v>105</v>
      </c>
      <c r="AI895" s="719">
        <v>46249</v>
      </c>
      <c r="AJ895" s="719">
        <v>46256</v>
      </c>
      <c r="AK895" s="719">
        <v>46256</v>
      </c>
      <c r="AL895" s="719">
        <v>46292</v>
      </c>
      <c r="AM895" s="437">
        <v>46299</v>
      </c>
      <c r="AN895" s="586">
        <v>46300</v>
      </c>
      <c r="AP895" s="439" t="s">
        <v>6108</v>
      </c>
      <c r="AQ895" s="1195" t="s">
        <v>161</v>
      </c>
      <c r="AR895" s="439" t="s">
        <v>6109</v>
      </c>
      <c r="AS895" s="439" t="s">
        <v>6110</v>
      </c>
      <c r="AT895" s="439" t="s">
        <v>6110</v>
      </c>
      <c r="AU8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5" s="719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5" s="7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719">
        <f>IF(ISERROR(PV_DATA[[#This Row],[New Ark PO status]]),"",_xlfn.XLOOKUP(PV_DATA[[#This Row],[SPTN-PVHK New Ark PO'#]],New_Ark_Data[Purchase order Number],New_Ark_Data[Estimated time of arrival],"",0))</f>
        <v>46309</v>
      </c>
      <c r="AZ895" s="7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719">
        <f>IFERROR(PV_DATA[[#This Row],[ODP ETA Port]]+PV_DATA[[#This Row],[Customs/Leg3 Assumption]],"n/a")</f>
        <v>46307</v>
      </c>
      <c r="BB895" s="722">
        <f>YEAR(PV_DATA[[#This Row],[ETA for New Ark update]])</f>
        <v>2026</v>
      </c>
      <c r="BC895" s="439">
        <f>MONTH(PV_DATA[[#This Row],[ETA for New Ark update]])</f>
        <v>10</v>
      </c>
      <c r="BD895" s="439">
        <f>IFERROR(_xlfn.ISOWEEKNUM(PV_DATA[[#This Row],[ETA for New Ark update]]),0)</f>
        <v>42</v>
      </c>
      <c r="BE895" s="439">
        <f>_xlfn.XLOOKUP(PV_DATA[[#This Row],[New Ark SKU]],Table9[New Ark SKU],Table9[Total PCS per Pallet],,0)</f>
        <v>36</v>
      </c>
      <c r="BF895" s="439">
        <f>_xlfn.XLOOKUP(PV_DATA[[#This Row],[New Ark SKU]],Table9[New Ark SKU],Table9[Total PCS per 40HQ Container],,0)</f>
        <v>936</v>
      </c>
      <c r="BG895" s="439" t="str">
        <f>_xlfn.XLOOKUP(PV_DATA[[#This Row],[New Ark SKU]],Table9[New Ark SKU],Table9[Back Glass],,0)</f>
        <v>Black glazing</v>
      </c>
      <c r="BH895" s="439" t="str">
        <f>_xlfn.XLOOKUP(PV_DATA[[#This Row],[PORT DESTINATION]],Table12[PORT DESTINATION],Table12[Cosco Line],,0)</f>
        <v>AEU</v>
      </c>
    </row>
    <row r="896" spans="1:62" s="462" customFormat="1" ht="10.5">
      <c r="A896" s="462" t="s">
        <v>6114</v>
      </c>
      <c r="B896" s="462" t="s">
        <v>5774</v>
      </c>
      <c r="C896" s="462" t="str">
        <f>IFERROR(LEFT(PV_DATA[[#This Row],[TCL REFERENCE]],FIND(".",PV_DATA[[#This Row],[TCL REFERENCE]],1)-1),"Main Line")</f>
        <v>26Jul005</v>
      </c>
      <c r="D896" s="462" t="s">
        <v>63</v>
      </c>
      <c r="E896" s="462" t="s">
        <v>64</v>
      </c>
      <c r="F896" s="462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62" t="s">
        <v>402</v>
      </c>
      <c r="H896" s="462" t="s">
        <v>67</v>
      </c>
      <c r="I896" s="462" t="s">
        <v>689</v>
      </c>
      <c r="J896" s="462" t="s">
        <v>96</v>
      </c>
      <c r="M896" s="462" t="s">
        <v>68</v>
      </c>
      <c r="N896" s="712">
        <v>46223</v>
      </c>
      <c r="O896" s="462" t="s">
        <v>4531</v>
      </c>
      <c r="P896" s="462" t="s">
        <v>195</v>
      </c>
      <c r="Q896" s="462" t="s">
        <v>196</v>
      </c>
      <c r="R896" s="430" t="str">
        <f>_xlfn.XLOOKUP(PV_DATA[[#This Row],[New Ark SKU]],Table9[New Ark SKU],Table9[Connector],,0)</f>
        <v>EVO2A</v>
      </c>
      <c r="S896" s="433" t="str">
        <f>_xlfn.XLOOKUP(PV_DATA[[#This Row],[New Ark SKU]],Table9[New Ark SKU],Table9[Cable],,0)</f>
        <v>±1200mm</v>
      </c>
      <c r="T896" s="946">
        <v>450</v>
      </c>
      <c r="U896" s="1095">
        <v>936</v>
      </c>
      <c r="V896" s="458">
        <f>PV_DATA[[#This Row],[QUANTITY]]*PV_DATA[[#This Row],[WATT]]/1000000</f>
        <v>0.42120000000000002</v>
      </c>
      <c r="W896" s="714">
        <f>PV_DATA[[#This Row],[QUANTITY]]/PV_DATA[[#This Row],[Qty/Pallet]]</f>
        <v>26</v>
      </c>
      <c r="X896" s="1042">
        <f>PV_DATA[[#This Row],[QUANTITY]]/PV_DATA[[#This Row],[Qty/CT]]</f>
        <v>1</v>
      </c>
      <c r="Y896" s="462" t="s">
        <v>2463</v>
      </c>
      <c r="Z896" s="462" t="str">
        <f t="shared" si="11"/>
        <v>COMPLETED</v>
      </c>
      <c r="AA896" s="462" t="s">
        <v>6112</v>
      </c>
      <c r="AB896" s="713">
        <v>46243</v>
      </c>
      <c r="AC896" s="947">
        <f>IF(PV_DATA[[#This Row],[Pick- Up Date]]&lt;&gt;"",_xlfn.ISOWEEKNUM(PV_DATA[[#This Row],[Pick- Up Date]]),"")</f>
        <v>32</v>
      </c>
      <c r="AD896" s="462" t="s">
        <v>6115</v>
      </c>
      <c r="AF896" s="462" t="s">
        <v>6107</v>
      </c>
      <c r="AG896" s="462" t="s">
        <v>123</v>
      </c>
      <c r="AH896" s="462" t="s">
        <v>105</v>
      </c>
      <c r="AI896" s="713">
        <v>46249</v>
      </c>
      <c r="AJ896" s="713">
        <v>46256</v>
      </c>
      <c r="AK896" s="713">
        <v>46256</v>
      </c>
      <c r="AL896" s="713">
        <v>46292</v>
      </c>
      <c r="AM896" s="437">
        <v>46299</v>
      </c>
      <c r="AN896" s="586">
        <v>46300</v>
      </c>
      <c r="AP896" s="462" t="s">
        <v>6108</v>
      </c>
      <c r="AQ896" s="950" t="s">
        <v>161</v>
      </c>
      <c r="AR896" s="462" t="s">
        <v>6109</v>
      </c>
      <c r="AS896" s="462" t="s">
        <v>6110</v>
      </c>
      <c r="AT896" s="462" t="s">
        <v>6110</v>
      </c>
      <c r="AU8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6" s="713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13">
        <f>IF(ISERROR(PV_DATA[[#This Row],[New Ark PO status]]),"",_xlfn.XLOOKUP(PV_DATA[[#This Row],[SPTN-PVHK New Ark PO'#]],New_Ark_Data[Purchase order Number],New_Ark_Data[Estimated time of arrival],"",0))</f>
        <v>46309</v>
      </c>
      <c r="AZ896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13">
        <f>IFERROR(PV_DATA[[#This Row],[ODP ETA Port]]+PV_DATA[[#This Row],[Customs/Leg3 Assumption]],"n/a")</f>
        <v>46307</v>
      </c>
      <c r="BB896" s="946">
        <f>YEAR(PV_DATA[[#This Row],[ETA for New Ark update]])</f>
        <v>2026</v>
      </c>
      <c r="BC896" s="462">
        <f>MONTH(PV_DATA[[#This Row],[ETA for New Ark update]])</f>
        <v>10</v>
      </c>
      <c r="BD896" s="462">
        <f>IFERROR(_xlfn.ISOWEEKNUM(PV_DATA[[#This Row],[ETA for New Ark update]]),0)</f>
        <v>42</v>
      </c>
      <c r="BE896" s="462">
        <f>_xlfn.XLOOKUP(PV_DATA[[#This Row],[New Ark SKU]],Table9[New Ark SKU],Table9[Total PCS per Pallet],,0)</f>
        <v>36</v>
      </c>
      <c r="BF896" s="462">
        <f>_xlfn.XLOOKUP(PV_DATA[[#This Row],[New Ark SKU]],Table9[New Ark SKU],Table9[Total PCS per 40HQ Container],,0)</f>
        <v>936</v>
      </c>
      <c r="BG896" s="462" t="str">
        <f>_xlfn.XLOOKUP(PV_DATA[[#This Row],[New Ark SKU]],Table9[New Ark SKU],Table9[Back Glass],,0)</f>
        <v>Black glazing</v>
      </c>
      <c r="BH896" s="462" t="str">
        <f>_xlfn.XLOOKUP(PV_DATA[[#This Row],[PORT DESTINATION]],Table12[PORT DESTINATION],Table12[Cosco Line],,0)</f>
        <v>AEU</v>
      </c>
    </row>
    <row r="897" spans="1:62" s="462" customFormat="1" ht="10.5">
      <c r="A897" s="462" t="s">
        <v>6116</v>
      </c>
      <c r="B897" s="462" t="s">
        <v>5774</v>
      </c>
      <c r="C897" s="462" t="str">
        <f>IFERROR(LEFT(PV_DATA[[#This Row],[TCL REFERENCE]],FIND(".",PV_DATA[[#This Row],[TCL REFERENCE]],1)-1),"Main Line")</f>
        <v>26Jul005</v>
      </c>
      <c r="D897" s="462" t="s">
        <v>63</v>
      </c>
      <c r="E897" s="462" t="s">
        <v>64</v>
      </c>
      <c r="F897" s="462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62" t="s">
        <v>402</v>
      </c>
      <c r="H897" s="462" t="s">
        <v>67</v>
      </c>
      <c r="I897" s="462" t="s">
        <v>689</v>
      </c>
      <c r="J897" s="462" t="s">
        <v>96</v>
      </c>
      <c r="M897" s="462" t="s">
        <v>68</v>
      </c>
      <c r="N897" s="712">
        <v>46223</v>
      </c>
      <c r="O897" s="462" t="s">
        <v>4531</v>
      </c>
      <c r="P897" s="462" t="s">
        <v>195</v>
      </c>
      <c r="Q897" s="462" t="s">
        <v>196</v>
      </c>
      <c r="R897" s="430" t="str">
        <f>_xlfn.XLOOKUP(PV_DATA[[#This Row],[New Ark SKU]],Table9[New Ark SKU],Table9[Connector],,0)</f>
        <v>EVO2A</v>
      </c>
      <c r="S897" s="433" t="str">
        <f>_xlfn.XLOOKUP(PV_DATA[[#This Row],[New Ark SKU]],Table9[New Ark SKU],Table9[Cable],,0)</f>
        <v>±1200mm</v>
      </c>
      <c r="T897" s="946">
        <v>450</v>
      </c>
      <c r="U897" s="1095">
        <v>1872</v>
      </c>
      <c r="V897" s="458">
        <f>PV_DATA[[#This Row],[QUANTITY]]*PV_DATA[[#This Row],[WATT]]/1000000</f>
        <v>0.84240000000000004</v>
      </c>
      <c r="W897" s="714">
        <f>PV_DATA[[#This Row],[QUANTITY]]/PV_DATA[[#This Row],[Qty/Pallet]]</f>
        <v>52</v>
      </c>
      <c r="X897" s="1042">
        <f>PV_DATA[[#This Row],[QUANTITY]]/PV_DATA[[#This Row],[Qty/CT]]</f>
        <v>2</v>
      </c>
      <c r="Y897" s="462" t="s">
        <v>2464</v>
      </c>
      <c r="Z897" s="462" t="str">
        <f t="shared" si="11"/>
        <v>COMPLETED</v>
      </c>
      <c r="AA897" s="462" t="s">
        <v>6022</v>
      </c>
      <c r="AB897" s="713">
        <v>46243</v>
      </c>
      <c r="AC897" s="947">
        <f>IF(PV_DATA[[#This Row],[Pick- Up Date]]&lt;&gt;"",_xlfn.ISOWEEKNUM(PV_DATA[[#This Row],[Pick- Up Date]]),"")</f>
        <v>32</v>
      </c>
      <c r="AD897" s="462" t="s">
        <v>6117</v>
      </c>
      <c r="AF897" s="462" t="s">
        <v>6107</v>
      </c>
      <c r="AG897" s="462" t="s">
        <v>123</v>
      </c>
      <c r="AH897" s="462" t="s">
        <v>105</v>
      </c>
      <c r="AI897" s="713">
        <v>46249</v>
      </c>
      <c r="AJ897" s="713">
        <v>46256</v>
      </c>
      <c r="AK897" s="713">
        <v>46256</v>
      </c>
      <c r="AL897" s="713">
        <v>46292</v>
      </c>
      <c r="AM897" s="437">
        <v>46299</v>
      </c>
      <c r="AN897" s="586">
        <v>46300</v>
      </c>
      <c r="AP897" s="462" t="s">
        <v>6108</v>
      </c>
      <c r="AQ897" s="950" t="s">
        <v>161</v>
      </c>
      <c r="AR897" s="462" t="s">
        <v>6118</v>
      </c>
      <c r="AS897" s="462" t="s">
        <v>6119</v>
      </c>
      <c r="AT897" s="462" t="s">
        <v>6119</v>
      </c>
      <c r="AU8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7" s="713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13">
        <f>IF(ISERROR(PV_DATA[[#This Row],[New Ark PO status]]),"",_xlfn.XLOOKUP(PV_DATA[[#This Row],[SPTN-PVHK New Ark PO'#]],New_Ark_Data[Purchase order Number],New_Ark_Data[Estimated time of arrival],"",0))</f>
        <v>46309</v>
      </c>
      <c r="AZ897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13">
        <f>IFERROR(PV_DATA[[#This Row],[ODP ETA Port]]+PV_DATA[[#This Row],[Customs/Leg3 Assumption]],"n/a")</f>
        <v>46307</v>
      </c>
      <c r="BB897" s="946">
        <f>YEAR(PV_DATA[[#This Row],[ETA for New Ark update]])</f>
        <v>2026</v>
      </c>
      <c r="BC897" s="462">
        <f>MONTH(PV_DATA[[#This Row],[ETA for New Ark update]])</f>
        <v>10</v>
      </c>
      <c r="BD897" s="462">
        <f>IFERROR(_xlfn.ISOWEEKNUM(PV_DATA[[#This Row],[ETA for New Ark update]]),0)</f>
        <v>42</v>
      </c>
      <c r="BE897" s="462">
        <f>_xlfn.XLOOKUP(PV_DATA[[#This Row],[New Ark SKU]],Table9[New Ark SKU],Table9[Total PCS per Pallet],,0)</f>
        <v>36</v>
      </c>
      <c r="BF897" s="462">
        <f>_xlfn.XLOOKUP(PV_DATA[[#This Row],[New Ark SKU]],Table9[New Ark SKU],Table9[Total PCS per 40HQ Container],,0)</f>
        <v>936</v>
      </c>
      <c r="BG897" s="462" t="str">
        <f>_xlfn.XLOOKUP(PV_DATA[[#This Row],[New Ark SKU]],Table9[New Ark SKU],Table9[Back Glass],,0)</f>
        <v>Black glazing</v>
      </c>
      <c r="BH897" s="462" t="str">
        <f>_xlfn.XLOOKUP(PV_DATA[[#This Row],[PORT DESTINATION]],Table12[PORT DESTINATION],Table12[Cosco Line],,0)</f>
        <v>AEU</v>
      </c>
    </row>
    <row r="898" spans="1:62" s="462" customFormat="1" ht="10.5">
      <c r="A898" s="462" t="s">
        <v>6120</v>
      </c>
      <c r="B898" s="462" t="s">
        <v>5774</v>
      </c>
      <c r="C898" s="462" t="str">
        <f>IFERROR(LEFT(PV_DATA[[#This Row],[TCL REFERENCE]],FIND(".",PV_DATA[[#This Row],[TCL REFERENCE]],1)-1),"Main Line")</f>
        <v>26Jul005</v>
      </c>
      <c r="D898" s="462" t="s">
        <v>63</v>
      </c>
      <c r="E898" s="462" t="s">
        <v>64</v>
      </c>
      <c r="F898" s="462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2" t="s">
        <v>402</v>
      </c>
      <c r="H898" s="462" t="s">
        <v>67</v>
      </c>
      <c r="I898" s="462" t="s">
        <v>689</v>
      </c>
      <c r="J898" s="462" t="s">
        <v>96</v>
      </c>
      <c r="M898" s="462" t="s">
        <v>68</v>
      </c>
      <c r="N898" s="712">
        <v>46223</v>
      </c>
      <c r="O898" s="462" t="s">
        <v>4531</v>
      </c>
      <c r="P898" s="462" t="s">
        <v>195</v>
      </c>
      <c r="Q898" s="462" t="s">
        <v>196</v>
      </c>
      <c r="R898" s="430" t="str">
        <f>_xlfn.XLOOKUP(PV_DATA[[#This Row],[New Ark SKU]],Table9[New Ark SKU],Table9[Connector],,0)</f>
        <v>EVO2A</v>
      </c>
      <c r="S898" s="433" t="str">
        <f>_xlfn.XLOOKUP(PV_DATA[[#This Row],[New Ark SKU]],Table9[New Ark SKU],Table9[Cable],,0)</f>
        <v>±1200mm</v>
      </c>
      <c r="T898" s="946">
        <v>450</v>
      </c>
      <c r="U898" s="1095">
        <v>2808</v>
      </c>
      <c r="V898" s="458">
        <f>PV_DATA[[#This Row],[QUANTITY]]*PV_DATA[[#This Row],[WATT]]/1000000</f>
        <v>1.2636000000000001</v>
      </c>
      <c r="W898" s="714">
        <f>PV_DATA[[#This Row],[QUANTITY]]/PV_DATA[[#This Row],[Qty/Pallet]]</f>
        <v>78</v>
      </c>
      <c r="X898" s="1042">
        <f>PV_DATA[[#This Row],[QUANTITY]]/PV_DATA[[#This Row],[Qty/CT]]</f>
        <v>3</v>
      </c>
      <c r="Y898" s="462" t="s">
        <v>2464</v>
      </c>
      <c r="Z898" s="462" t="str">
        <f t="shared" si="11"/>
        <v>COMPLETED</v>
      </c>
      <c r="AA898" s="462" t="s">
        <v>6022</v>
      </c>
      <c r="AB898" s="713">
        <v>46243</v>
      </c>
      <c r="AC898" s="947">
        <f>IF(PV_DATA[[#This Row],[Pick- Up Date]]&lt;&gt;"",_xlfn.ISOWEEKNUM(PV_DATA[[#This Row],[Pick- Up Date]]),"")</f>
        <v>32</v>
      </c>
      <c r="AD898" s="462" t="s">
        <v>6121</v>
      </c>
      <c r="AF898" s="462" t="s">
        <v>6107</v>
      </c>
      <c r="AG898" s="462" t="s">
        <v>123</v>
      </c>
      <c r="AH898" s="462" t="s">
        <v>105</v>
      </c>
      <c r="AI898" s="713">
        <v>46249</v>
      </c>
      <c r="AJ898" s="713">
        <v>46256</v>
      </c>
      <c r="AK898" s="713">
        <v>46256</v>
      </c>
      <c r="AL898" s="713">
        <v>46292</v>
      </c>
      <c r="AM898" s="437">
        <v>46299</v>
      </c>
      <c r="AN898" s="586">
        <v>46300</v>
      </c>
      <c r="AP898" s="462" t="s">
        <v>6108</v>
      </c>
      <c r="AQ898" s="950" t="s">
        <v>161</v>
      </c>
      <c r="AR898" s="462" t="s">
        <v>6118</v>
      </c>
      <c r="AS898" s="462" t="s">
        <v>6119</v>
      </c>
      <c r="AT898" s="462" t="s">
        <v>6119</v>
      </c>
      <c r="AU8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8" s="713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13">
        <f>IF(ISERROR(PV_DATA[[#This Row],[New Ark PO status]]),"",_xlfn.XLOOKUP(PV_DATA[[#This Row],[SPTN-PVHK New Ark PO'#]],New_Ark_Data[Purchase order Number],New_Ark_Data[Estimated time of arrival],"",0))</f>
        <v>46309</v>
      </c>
      <c r="AZ898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13">
        <f>IFERROR(PV_DATA[[#This Row],[ODP ETA Port]]+PV_DATA[[#This Row],[Customs/Leg3 Assumption]],"n/a")</f>
        <v>46307</v>
      </c>
      <c r="BB898" s="946">
        <f>YEAR(PV_DATA[[#This Row],[ETA for New Ark update]])</f>
        <v>2026</v>
      </c>
      <c r="BC898" s="462">
        <f>MONTH(PV_DATA[[#This Row],[ETA for New Ark update]])</f>
        <v>10</v>
      </c>
      <c r="BD898" s="462">
        <f>IFERROR(_xlfn.ISOWEEKNUM(PV_DATA[[#This Row],[ETA for New Ark update]]),0)</f>
        <v>42</v>
      </c>
      <c r="BE898" s="462">
        <f>_xlfn.XLOOKUP(PV_DATA[[#This Row],[New Ark SKU]],Table9[New Ark SKU],Table9[Total PCS per Pallet],,0)</f>
        <v>36</v>
      </c>
      <c r="BF898" s="462">
        <f>_xlfn.XLOOKUP(PV_DATA[[#This Row],[New Ark SKU]],Table9[New Ark SKU],Table9[Total PCS per 40HQ Container],,0)</f>
        <v>936</v>
      </c>
      <c r="BG898" s="462" t="str">
        <f>_xlfn.XLOOKUP(PV_DATA[[#This Row],[New Ark SKU]],Table9[New Ark SKU],Table9[Back Glass],,0)</f>
        <v>Black glazing</v>
      </c>
      <c r="BH898" s="462" t="str">
        <f>_xlfn.XLOOKUP(PV_DATA[[#This Row],[PORT DESTINATION]],Table12[PORT DESTINATION],Table12[Cosco Line],,0)</f>
        <v>AEU</v>
      </c>
    </row>
    <row r="899" spans="1:62" s="462" customFormat="1" ht="10.5">
      <c r="A899" s="462" t="s">
        <v>6122</v>
      </c>
      <c r="B899" s="462" t="s">
        <v>5774</v>
      </c>
      <c r="C899" s="462" t="str">
        <f>IFERROR(LEFT(PV_DATA[[#This Row],[TCL REFERENCE]],FIND(".",PV_DATA[[#This Row],[TCL REFERENCE]],1)-1),"Main Line")</f>
        <v>26Jul005</v>
      </c>
      <c r="D899" s="462" t="s">
        <v>63</v>
      </c>
      <c r="E899" s="462" t="s">
        <v>64</v>
      </c>
      <c r="F899" s="462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2" t="s">
        <v>402</v>
      </c>
      <c r="H899" s="462" t="s">
        <v>67</v>
      </c>
      <c r="I899" s="462" t="s">
        <v>689</v>
      </c>
      <c r="J899" s="462" t="s">
        <v>96</v>
      </c>
      <c r="M899" s="462" t="s">
        <v>68</v>
      </c>
      <c r="N899" s="712">
        <v>46223</v>
      </c>
      <c r="O899" s="462" t="s">
        <v>4531</v>
      </c>
      <c r="P899" s="462" t="s">
        <v>195</v>
      </c>
      <c r="Q899" s="462" t="s">
        <v>196</v>
      </c>
      <c r="R899" s="430" t="str">
        <f>_xlfn.XLOOKUP(PV_DATA[[#This Row],[New Ark SKU]],Table9[New Ark SKU],Table9[Connector],,0)</f>
        <v>EVO2A</v>
      </c>
      <c r="S899" s="433" t="str">
        <f>_xlfn.XLOOKUP(PV_DATA[[#This Row],[New Ark SKU]],Table9[New Ark SKU],Table9[Cable],,0)</f>
        <v>±1200mm</v>
      </c>
      <c r="T899" s="946">
        <v>450</v>
      </c>
      <c r="U899" s="1095">
        <f>936*5</f>
        <v>4680</v>
      </c>
      <c r="V899" s="458">
        <f>PV_DATA[[#This Row],[QUANTITY]]*PV_DATA[[#This Row],[WATT]]/1000000</f>
        <v>2.1059999999999999</v>
      </c>
      <c r="W899" s="714">
        <f>PV_DATA[[#This Row],[QUANTITY]]/PV_DATA[[#This Row],[Qty/Pallet]]</f>
        <v>130</v>
      </c>
      <c r="X899" s="1042">
        <f>PV_DATA[[#This Row],[QUANTITY]]/PV_DATA[[#This Row],[Qty/CT]]</f>
        <v>5</v>
      </c>
      <c r="Y899" s="462" t="s">
        <v>2465</v>
      </c>
      <c r="Z899" s="462" t="str">
        <f t="shared" si="11"/>
        <v>COMPLETED</v>
      </c>
      <c r="AA899" s="462" t="s">
        <v>6123</v>
      </c>
      <c r="AB899" s="713">
        <v>46243</v>
      </c>
      <c r="AC899" s="947">
        <f>IF(PV_DATA[[#This Row],[Pick- Up Date]]&lt;&gt;"",_xlfn.ISOWEEKNUM(PV_DATA[[#This Row],[Pick- Up Date]]),"")</f>
        <v>32</v>
      </c>
      <c r="AD899" s="462" t="s">
        <v>6124</v>
      </c>
      <c r="AF899" s="462" t="s">
        <v>6107</v>
      </c>
      <c r="AG899" s="462" t="s">
        <v>123</v>
      </c>
      <c r="AH899" s="462" t="s">
        <v>105</v>
      </c>
      <c r="AI899" s="713">
        <v>46249</v>
      </c>
      <c r="AJ899" s="713">
        <v>46256</v>
      </c>
      <c r="AK899" s="713">
        <v>46256</v>
      </c>
      <c r="AL899" s="713">
        <v>46292</v>
      </c>
      <c r="AM899" s="437">
        <v>46299</v>
      </c>
      <c r="AN899" s="586">
        <v>46300</v>
      </c>
      <c r="AP899" s="462" t="s">
        <v>6108</v>
      </c>
      <c r="AQ899" s="950" t="s">
        <v>161</v>
      </c>
      <c r="AR899" s="462" t="s">
        <v>6118</v>
      </c>
      <c r="AS899" s="462" t="s">
        <v>6119</v>
      </c>
      <c r="AT899" s="462" t="s">
        <v>6119</v>
      </c>
      <c r="AU8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899" s="713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89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13">
        <f>IF(ISERROR(PV_DATA[[#This Row],[New Ark PO status]]),"",_xlfn.XLOOKUP(PV_DATA[[#This Row],[SPTN-PVHK New Ark PO'#]],New_Ark_Data[Purchase order Number],New_Ark_Data[Estimated time of arrival],"",0))</f>
        <v>46309</v>
      </c>
      <c r="AZ899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13">
        <f>IFERROR(PV_DATA[[#This Row],[ODP ETA Port]]+PV_DATA[[#This Row],[Customs/Leg3 Assumption]],"n/a")</f>
        <v>46307</v>
      </c>
      <c r="BB899" s="946">
        <f>YEAR(PV_DATA[[#This Row],[ETA for New Ark update]])</f>
        <v>2026</v>
      </c>
      <c r="BC899" s="462">
        <f>MONTH(PV_DATA[[#This Row],[ETA for New Ark update]])</f>
        <v>10</v>
      </c>
      <c r="BD899" s="462">
        <f>IFERROR(_xlfn.ISOWEEKNUM(PV_DATA[[#This Row],[ETA for New Ark update]]),0)</f>
        <v>42</v>
      </c>
      <c r="BE899" s="462">
        <f>_xlfn.XLOOKUP(PV_DATA[[#This Row],[New Ark SKU]],Table9[New Ark SKU],Table9[Total PCS per Pallet],,0)</f>
        <v>36</v>
      </c>
      <c r="BF899" s="462">
        <f>_xlfn.XLOOKUP(PV_DATA[[#This Row],[New Ark SKU]],Table9[New Ark SKU],Table9[Total PCS per 40HQ Container],,0)</f>
        <v>936</v>
      </c>
      <c r="BG899" s="462" t="str">
        <f>_xlfn.XLOOKUP(PV_DATA[[#This Row],[New Ark SKU]],Table9[New Ark SKU],Table9[Back Glass],,0)</f>
        <v>Black glazing</v>
      </c>
      <c r="BH899" s="462" t="str">
        <f>_xlfn.XLOOKUP(PV_DATA[[#This Row],[PORT DESTINATION]],Table12[PORT DESTINATION],Table12[Cosco Line],,0)</f>
        <v>AEU</v>
      </c>
    </row>
    <row r="900" spans="1:62" s="462" customFormat="1" ht="10.5">
      <c r="A900" s="462" t="s">
        <v>6125</v>
      </c>
      <c r="B900" s="462" t="s">
        <v>1757</v>
      </c>
      <c r="C900" s="462" t="str">
        <f>IFERROR(LEFT(PV_DATA[[#This Row],[TCL REFERENCE]],FIND(".",PV_DATA[[#This Row],[TCL REFERENCE]],1)-1),"Main Line")</f>
        <v>26Jun011</v>
      </c>
      <c r="D900" s="462" t="s">
        <v>63</v>
      </c>
      <c r="E900" s="462" t="s">
        <v>64</v>
      </c>
      <c r="F900" s="462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0" s="462" t="s">
        <v>402</v>
      </c>
      <c r="H900" s="462" t="s">
        <v>67</v>
      </c>
      <c r="I900" s="462" t="s">
        <v>689</v>
      </c>
      <c r="J900" s="462" t="s">
        <v>96</v>
      </c>
      <c r="M900" s="462" t="s">
        <v>68</v>
      </c>
      <c r="N900" s="712">
        <v>46195</v>
      </c>
      <c r="O900" s="462" t="s">
        <v>4531</v>
      </c>
      <c r="P900" s="462" t="s">
        <v>71</v>
      </c>
      <c r="Q900" s="462" t="s">
        <v>72</v>
      </c>
      <c r="R900" s="430" t="str">
        <f>_xlfn.XLOOKUP(PV_DATA[[#This Row],[New Ark SKU]],Table9[New Ark SKU],Table9[Connector],,0)</f>
        <v>EVO2A</v>
      </c>
      <c r="S900" s="433" t="str">
        <f>_xlfn.XLOOKUP(PV_DATA[[#This Row],[New Ark SKU]],Table9[New Ark SKU],Table9[Cable],,0)</f>
        <v>±1200mm</v>
      </c>
      <c r="T900" s="946">
        <v>500</v>
      </c>
      <c r="U900" s="1095">
        <v>864</v>
      </c>
      <c r="V900" s="458">
        <f>PV_DATA[[#This Row],[QUANTITY]]*PV_DATA[[#This Row],[WATT]]/1000000</f>
        <v>0.432</v>
      </c>
      <c r="W900" s="714">
        <f>PV_DATA[[#This Row],[QUANTITY]]/PV_DATA[[#This Row],[Qty/Pallet]]</f>
        <v>24</v>
      </c>
      <c r="X900" s="1042">
        <f>PV_DATA[[#This Row],[QUANTITY]]/PV_DATA[[#This Row],[Qty/CT]]</f>
        <v>1</v>
      </c>
      <c r="Y900" s="462" t="s">
        <v>2461</v>
      </c>
      <c r="Z900" s="462" t="str">
        <f t="shared" si="11"/>
        <v>IN-TRANSIT</v>
      </c>
      <c r="AA900" s="462" t="s">
        <v>5630</v>
      </c>
      <c r="AB900" s="713">
        <v>46241</v>
      </c>
      <c r="AC900" s="947">
        <f>IF(PV_DATA[[#This Row],[Pick- Up Date]]&lt;&gt;"",_xlfn.ISOWEEKNUM(PV_DATA[[#This Row],[Pick- Up Date]]),"")</f>
        <v>32</v>
      </c>
      <c r="AD900" s="462" t="s">
        <v>6126</v>
      </c>
      <c r="AF900" s="462" t="s">
        <v>1525</v>
      </c>
      <c r="AG900" s="462" t="s">
        <v>1525</v>
      </c>
      <c r="AH900" s="462" t="s">
        <v>78</v>
      </c>
      <c r="AI900" s="713">
        <v>46249</v>
      </c>
      <c r="AJ900" s="713" t="str">
        <f>IFERROR(IF(VLOOKUP(AS900,Vessel!#REF!,5,FALSE)=0,"",VLOOKUP(AS900,Vessel!#REF!,5,FALSE)),"")</f>
        <v/>
      </c>
      <c r="AK900" s="713">
        <f>IFERROR(IF(VLOOKUP(AT900,Vessel!A:F,5,FALSE)=0,"",VLOOKUP(AT900,Vessel!A:F,5,FALSE)),"")</f>
        <v>46255.885057870371</v>
      </c>
      <c r="AL900" s="713">
        <v>46300</v>
      </c>
      <c r="AM900" s="949">
        <f>IFERROR(VLOOKUP(AT900, Vessel!A:H, 8, FALSE), "")</f>
        <v>46316.916666666664</v>
      </c>
      <c r="AN900" s="949" t="str">
        <f>IFERROR(IF(VLOOKUP(AT900,Vessel!A:I,9,FALSE)=0,"",VLOOKUP(AT900,Vessel!A:I,9,FALSE)),"")</f>
        <v/>
      </c>
      <c r="AP900" s="462" t="s">
        <v>6127</v>
      </c>
      <c r="AQ900" s="462" t="s">
        <v>80</v>
      </c>
      <c r="AR900" s="462" t="s">
        <v>6128</v>
      </c>
      <c r="AS900" s="462" t="s">
        <v>6129</v>
      </c>
      <c r="AT900" s="462" t="s">
        <v>6129</v>
      </c>
      <c r="AU9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61.031608796292858</v>
      </c>
      <c r="AV900" s="713"/>
      <c r="AW900" s="713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46316.916666666664</v>
      </c>
      <c r="AX90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13">
        <f>IF(ISERROR(PV_DATA[[#This Row],[New Ark PO status]]),"",_xlfn.XLOOKUP(PV_DATA[[#This Row],[SPTN-PVHK New Ark PO'#]],New_Ark_Data[Purchase order Number],New_Ark_Data[Estimated time of arrival],"",0))</f>
        <v>46314</v>
      </c>
      <c r="AZ900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0" s="713">
        <f>IFERROR(PV_DATA[[#This Row],[ODP ETA Port]]+PV_DATA[[#This Row],[Customs/Leg3 Assumption]],"n/a")</f>
        <v>46324.916666666664</v>
      </c>
      <c r="BB900" s="946">
        <f>YEAR(PV_DATA[[#This Row],[ETA for New Ark update]])</f>
        <v>2026</v>
      </c>
      <c r="BC900" s="462">
        <f>MONTH(PV_DATA[[#This Row],[ETA for New Ark update]])</f>
        <v>10</v>
      </c>
      <c r="BD900" s="462">
        <f>IFERROR(_xlfn.ISOWEEKNUM(PV_DATA[[#This Row],[ETA for New Ark update]]),0)</f>
        <v>44</v>
      </c>
      <c r="BE900" s="462">
        <f>_xlfn.XLOOKUP(PV_DATA[[#This Row],[New Ark SKU]],Table9[New Ark SKU],Table9[Total PCS per Pallet],,0)</f>
        <v>36</v>
      </c>
      <c r="BF900" s="462">
        <f>_xlfn.XLOOKUP(PV_DATA[[#This Row],[New Ark SKU]],Table9[New Ark SKU],Table9[Total PCS per 40HQ Container],,0)</f>
        <v>864</v>
      </c>
      <c r="BG900" s="462" t="str">
        <f>_xlfn.XLOOKUP(PV_DATA[[#This Row],[New Ark SKU]],Table9[New Ark SKU],Table9[Back Glass],,0)</f>
        <v>Black glazing</v>
      </c>
      <c r="BH900" s="948" t="str">
        <f>_xlfn.XLOOKUP(PV_DATA[[#This Row],[PORT DESTINATION]],Table12[PORT DESTINATION],Table12[Cosco Line],,0)</f>
        <v>AEM</v>
      </c>
    </row>
    <row r="901" spans="1:62" s="462" customFormat="1" ht="10.5">
      <c r="A901" s="462" t="s">
        <v>6130</v>
      </c>
      <c r="B901" s="462" t="s">
        <v>111</v>
      </c>
      <c r="C901" s="462" t="str">
        <f>IFERROR(LEFT(PV_DATA[[#This Row],[TCL REFERENCE]],FIND(".",PV_DATA[[#This Row],[TCL REFERENCE]],1)-1),"Main Line")</f>
        <v>26Jul002</v>
      </c>
      <c r="D901" s="462" t="s">
        <v>63</v>
      </c>
      <c r="E901" s="462" t="s">
        <v>64</v>
      </c>
      <c r="F901" s="462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1" s="462" t="s">
        <v>402</v>
      </c>
      <c r="H901" s="462" t="s">
        <v>311</v>
      </c>
      <c r="I901" s="462" t="s">
        <v>689</v>
      </c>
      <c r="J901" s="462" t="s">
        <v>96</v>
      </c>
      <c r="M901" s="462" t="s">
        <v>68</v>
      </c>
      <c r="N901" s="712">
        <v>46209</v>
      </c>
      <c r="O901" s="462" t="s">
        <v>550</v>
      </c>
      <c r="P901" s="462" t="s">
        <v>2134</v>
      </c>
      <c r="Q901" s="462" t="s">
        <v>2135</v>
      </c>
      <c r="R901" s="430" t="str">
        <f>_xlfn.XLOOKUP(PV_DATA[[#This Row],[New Ark SKU]],Table9[New Ark SKU],Table9[Connector],,0)</f>
        <v>EVO2A</v>
      </c>
      <c r="S901" s="433" t="str">
        <f>_xlfn.XLOOKUP(PV_DATA[[#This Row],[New Ark SKU]],Table9[New Ark SKU],Table9[Cable],,0)</f>
        <v>±1350mm</v>
      </c>
      <c r="T901" s="946">
        <v>515</v>
      </c>
      <c r="U901" s="1095">
        <v>792</v>
      </c>
      <c r="V901" s="458">
        <f>PV_DATA[[#This Row],[QUANTITY]]*PV_DATA[[#This Row],[WATT]]/1000000</f>
        <v>0.40788000000000002</v>
      </c>
      <c r="W901" s="714">
        <f>PV_DATA[[#This Row],[QUANTITY]]/PV_DATA[[#This Row],[Qty/Pallet]]</f>
        <v>22</v>
      </c>
      <c r="X901" s="1042">
        <f>PV_DATA[[#This Row],[QUANTITY]]/PV_DATA[[#This Row],[Qty/CT]]</f>
        <v>1</v>
      </c>
      <c r="Y901" s="462" t="s">
        <v>2464</v>
      </c>
      <c r="Z901" s="462" t="str">
        <f t="shared" si="11"/>
        <v>IN-TRANSIT</v>
      </c>
      <c r="AA901" s="462" t="s">
        <v>5933</v>
      </c>
      <c r="AB901" s="713">
        <v>46252</v>
      </c>
      <c r="AC901" s="947">
        <f>IF(PV_DATA[[#This Row],[Pick- Up Date]]&lt;&gt;"",_xlfn.ISOWEEKNUM(PV_DATA[[#This Row],[Pick- Up Date]]),"")</f>
        <v>34</v>
      </c>
      <c r="AD901" s="462" t="s">
        <v>6131</v>
      </c>
      <c r="AE901" s="462" t="s">
        <v>6131</v>
      </c>
      <c r="AF901" s="462" t="s">
        <v>1525</v>
      </c>
      <c r="AG901" s="462" t="s">
        <v>5994</v>
      </c>
      <c r="AH901" s="462" t="s">
        <v>1561</v>
      </c>
      <c r="AI901" s="713">
        <v>46247</v>
      </c>
      <c r="AJ901" s="713">
        <f>IFERROR(VLOOKUP(AT901, Vessel!A:D, 4, FALSE), "")</f>
        <v>46257.291666666664</v>
      </c>
      <c r="AK901" s="713">
        <f>IFERROR(IF(VLOOKUP(AT901,Vessel!A:F,5,FALSE)=0,"",VLOOKUP(AT901,Vessel!A:F,5,FALSE)),"")</f>
        <v>46257.156030092592</v>
      </c>
      <c r="AL901" s="1038">
        <v>46303</v>
      </c>
      <c r="AM901" s="1192">
        <f>IFERROR(VLOOKUP(AT901, Vessel!A:H, 8, FALSE), "")</f>
        <v>46308.75</v>
      </c>
      <c r="AN901" s="949" t="str">
        <f>IFERROR(IF(VLOOKUP(AT901,Vessel!A:I,9,FALSE)=0,"",VLOOKUP(AT901,Vessel!A:I,9,FALSE)),"")</f>
        <v/>
      </c>
      <c r="AP901" s="462" t="s">
        <v>5935</v>
      </c>
      <c r="AQ901" s="462" t="s">
        <v>80</v>
      </c>
      <c r="AR901" s="462" t="s">
        <v>6132</v>
      </c>
      <c r="AS901" s="462" t="s">
        <v>6133</v>
      </c>
      <c r="AT901" s="462" t="s">
        <v>6133</v>
      </c>
      <c r="AU9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51.593969907407882</v>
      </c>
      <c r="AW901" s="713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90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13">
        <f>IF(ISERROR(PV_DATA[[#This Row],[New Ark PO status]]),"",_xlfn.XLOOKUP(PV_DATA[[#This Row],[SPTN-PVHK New Ark PO'#]],New_Ark_Data[Purchase order Number],New_Ark_Data[Estimated time of arrival],"",0))</f>
        <v>46310</v>
      </c>
      <c r="AZ901" s="946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01" s="713">
        <f>IFERROR(PV_DATA[[#This Row],[ODP ETA Port]]+PV_DATA[[#This Row],[Customs/Leg3 Assumption]],"n/a")</f>
        <v>46318.75</v>
      </c>
      <c r="BB901" s="946">
        <f>YEAR(PV_DATA[[#This Row],[ETA for New Ark update]])</f>
        <v>2026</v>
      </c>
      <c r="BC901" s="462">
        <f>MONTH(PV_DATA[[#This Row],[ETA for New Ark update]])</f>
        <v>10</v>
      </c>
      <c r="BD901" s="462">
        <f>IFERROR(_xlfn.ISOWEEKNUM(PV_DATA[[#This Row],[ETA for New Ark update]]),0)</f>
        <v>43</v>
      </c>
      <c r="BE901" s="462">
        <f>_xlfn.XLOOKUP(PV_DATA[[#This Row],[New Ark SKU]],Table9[New Ark SKU],Table9[Total PCS per Pallet],,0)</f>
        <v>36</v>
      </c>
      <c r="BF901" s="462">
        <f>_xlfn.XLOOKUP(PV_DATA[[#This Row],[New Ark SKU]],Table9[New Ark SKU],Table9[Total PCS per 40HQ Container],,0)</f>
        <v>792</v>
      </c>
      <c r="BG901" s="462" t="str">
        <f>_xlfn.XLOOKUP(PV_DATA[[#This Row],[New Ark SKU]],Table9[New Ark SKU],Table9[Back Glass],,0)</f>
        <v>Black glazing</v>
      </c>
      <c r="BH901" s="462" t="str">
        <f>_xlfn.XLOOKUP(PV_DATA[[#This Row],[PORT DESTINATION]],Table12[PORT DESTINATION],Table12[Cosco Line],,0)</f>
        <v>AEM</v>
      </c>
    </row>
    <row r="902" spans="1:62" s="462" customFormat="1" ht="10.5">
      <c r="A902" s="951" t="s">
        <v>6134</v>
      </c>
      <c r="B902" s="945" t="s">
        <v>1757</v>
      </c>
      <c r="C902" s="945" t="str">
        <f>IFERROR(LEFT(PV_DATA[[#This Row],[TCL REFERENCE]],FIND(".",PV_DATA[[#This Row],[TCL REFERENCE]],1)-1),"Main Line")</f>
        <v>26Jul017</v>
      </c>
      <c r="D902" s="462" t="s">
        <v>63</v>
      </c>
      <c r="E902" s="462" t="s">
        <v>64</v>
      </c>
      <c r="F902" s="945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2" s="462" t="s">
        <v>402</v>
      </c>
      <c r="H902" s="462" t="s">
        <v>67</v>
      </c>
      <c r="I902" s="462" t="s">
        <v>882</v>
      </c>
      <c r="J902" s="462" t="s">
        <v>96</v>
      </c>
      <c r="K902" s="945"/>
      <c r="L902" s="945"/>
      <c r="M902" s="462" t="s">
        <v>68</v>
      </c>
      <c r="N902" s="712">
        <v>46230</v>
      </c>
      <c r="O902" s="462" t="s">
        <v>284</v>
      </c>
      <c r="P902" s="945" t="s">
        <v>5851</v>
      </c>
      <c r="Q902" s="945" t="s">
        <v>5852</v>
      </c>
      <c r="R902" s="430" t="str">
        <f>_xlfn.XLOOKUP(PV_DATA[[#This Row],[New Ark SKU]],Table9[New Ark SKU],Table9[Connector],,0)</f>
        <v>EVO2A</v>
      </c>
      <c r="S902" s="433" t="str">
        <f>_xlfn.XLOOKUP(PV_DATA[[#This Row],[New Ark SKU]],Table9[New Ark SKU],Table9[Cable],,0)</f>
        <v>±1200mm</v>
      </c>
      <c r="T902" s="952">
        <v>485</v>
      </c>
      <c r="U902" s="1098">
        <v>4680</v>
      </c>
      <c r="V902" s="1071">
        <f>PV_DATA[[#This Row],[QUANTITY]]*PV_DATA[[#This Row],[WATT]]/1000000</f>
        <v>2.2698</v>
      </c>
      <c r="W902" s="1072">
        <f>PV_DATA[[#This Row],[QUANTITY]]/36</f>
        <v>130</v>
      </c>
      <c r="X902" s="1042">
        <f>PV_DATA[[#This Row],[QUANTITY]]/PV_DATA[[#This Row],[Qty/CT]]</f>
        <v>5</v>
      </c>
      <c r="Y902" s="462" t="s">
        <v>2464</v>
      </c>
      <c r="Z902" s="462" t="str">
        <f t="shared" si="11"/>
        <v>COMPLETED</v>
      </c>
      <c r="AA902" s="945" t="s">
        <v>5853</v>
      </c>
      <c r="AB902" s="713">
        <v>46241</v>
      </c>
      <c r="AC902" s="1066">
        <f>IF(PV_DATA[[#This Row],[Pick- Up Date]]&lt;&gt;"",_xlfn.ISOWEEKNUM(PV_DATA[[#This Row],[Pick- Up Date]]),"")</f>
        <v>32</v>
      </c>
      <c r="AD902" s="945" t="s">
        <v>6135</v>
      </c>
      <c r="AE902" s="945"/>
      <c r="AF902" s="945" t="s">
        <v>1525</v>
      </c>
      <c r="AG902" s="945" t="s">
        <v>5994</v>
      </c>
      <c r="AH902" s="462" t="s">
        <v>105</v>
      </c>
      <c r="AI902" s="713">
        <v>46248</v>
      </c>
      <c r="AJ902" s="713">
        <v>46252</v>
      </c>
      <c r="AK902" s="713">
        <f>IFERROR(IF(VLOOKUP(AT902,Vessel!A:F,5,FALSE)=0,"",VLOOKUP(AT902,Vessel!A:F,5,FALSE)),"")</f>
        <v>46257.848101851851</v>
      </c>
      <c r="AL902" s="718">
        <v>46281</v>
      </c>
      <c r="AM902" s="949">
        <f>IFERROR(VLOOKUP(AT902, Vessel!A:H, 8, FALSE), "")</f>
        <v>46289.958333333336</v>
      </c>
      <c r="AN902" s="949">
        <f>IFERROR(IF(VLOOKUP(AT902,Vessel!A:I,9,FALSE)=0,"",VLOOKUP(AT902,Vessel!A:I,9,FALSE)),"")</f>
        <v>46290.180347222224</v>
      </c>
      <c r="AO902" s="945"/>
      <c r="AP902" s="462" t="s">
        <v>6136</v>
      </c>
      <c r="AQ902" s="462" t="s">
        <v>80</v>
      </c>
      <c r="AR902" s="462" t="s">
        <v>6137</v>
      </c>
      <c r="AS902" s="462" t="s">
        <v>6138</v>
      </c>
      <c r="AT902" s="945" t="s">
        <v>6138</v>
      </c>
      <c r="AU9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32.33224537037313</v>
      </c>
      <c r="AV902" s="945"/>
      <c r="AW902" s="971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46290.180347222224</v>
      </c>
      <c r="AX90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971">
        <f>IF(ISERROR(PV_DATA[[#This Row],[New Ark PO status]]),"",_xlfn.XLOOKUP(PV_DATA[[#This Row],[SPTN-PVHK New Ark PO'#]],New_Ark_Data[Purchase order Number],New_Ark_Data[Estimated time of arrival],"",0))</f>
        <v>46303</v>
      </c>
      <c r="AZ902" s="9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2" s="971">
        <f>IFERROR(PV_DATA[[#This Row],[ODP ETA Port]]+PV_DATA[[#This Row],[Customs/Leg3 Assumption]],"n/a")</f>
        <v>46297.180347222224</v>
      </c>
      <c r="BB902" s="952">
        <f>YEAR(PV_DATA[[#This Row],[ETA for New Ark update]])</f>
        <v>2026</v>
      </c>
      <c r="BC902" s="945">
        <f>MONTH(PV_DATA[[#This Row],[ETA for New Ark update]])</f>
        <v>10</v>
      </c>
      <c r="BD902" s="945">
        <f>IFERROR(_xlfn.ISOWEEKNUM(PV_DATA[[#This Row],[ETA for New Ark update]]),0)</f>
        <v>40</v>
      </c>
      <c r="BE902" s="945">
        <f>_xlfn.XLOOKUP(PV_DATA[[#This Row],[New Ark SKU]],Table9[New Ark SKU],Table9[Total PCS per Pallet],,0)</f>
        <v>36</v>
      </c>
      <c r="BF902" s="945">
        <f>_xlfn.XLOOKUP(PV_DATA[[#This Row],[New Ark SKU]],Table9[New Ark SKU],Table9[Total PCS per 40HQ Container],,0)</f>
        <v>936</v>
      </c>
      <c r="BG902" s="462" t="str">
        <f>_xlfn.XLOOKUP(PV_DATA[[#This Row],[New Ark SKU]],Table9[New Ark SKU],Table9[Back Glass],,0)</f>
        <v>Black glazing</v>
      </c>
      <c r="BH902" s="1067" t="str">
        <f>_xlfn.XLOOKUP(PV_DATA[[#This Row],[PORT DESTINATION]],Table12[PORT DESTINATION],Table12[Cosco Line],,0)</f>
        <v>AEU</v>
      </c>
    </row>
    <row r="903" spans="1:62" s="462" customFormat="1" ht="10.5">
      <c r="A903" s="462" t="s">
        <v>6139</v>
      </c>
      <c r="B903" s="462" t="s">
        <v>61</v>
      </c>
      <c r="C903" s="462" t="str">
        <f>IFERROR(LEFT(PV_DATA[[#This Row],[TCL REFERENCE]],FIND(".",PV_DATA[[#This Row],[TCL REFERENCE]],1)-1),"Main Line")</f>
        <v>26Jun006</v>
      </c>
      <c r="D903" s="462" t="s">
        <v>63</v>
      </c>
      <c r="E903" s="462" t="s">
        <v>64</v>
      </c>
      <c r="F903" s="462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3" s="462" t="s">
        <v>402</v>
      </c>
      <c r="H903" s="462" t="s">
        <v>67</v>
      </c>
      <c r="I903" s="462" t="s">
        <v>689</v>
      </c>
      <c r="J903" s="462" t="s">
        <v>96</v>
      </c>
      <c r="M903" s="462" t="s">
        <v>68</v>
      </c>
      <c r="N903" s="712">
        <v>46188</v>
      </c>
      <c r="O903" s="462" t="s">
        <v>4531</v>
      </c>
      <c r="P903" s="462" t="s">
        <v>1002</v>
      </c>
      <c r="Q903" s="462" t="s">
        <v>330</v>
      </c>
      <c r="R903" s="430" t="str">
        <f>_xlfn.XLOOKUP(PV_DATA[[#This Row],[New Ark SKU]],Table9[New Ark SKU],Table9[Connector],,0)</f>
        <v>EVO2A</v>
      </c>
      <c r="S903" s="433" t="str">
        <f>_xlfn.XLOOKUP(PV_DATA[[#This Row],[New Ark SKU]],Table9[New Ark SKU],Table9[Cable],,0)</f>
        <v>±1400mm</v>
      </c>
      <c r="T903" s="946">
        <v>625</v>
      </c>
      <c r="U903" s="1095">
        <f>720*5</f>
        <v>3600</v>
      </c>
      <c r="V903" s="458">
        <f>PV_DATA[[#This Row],[QUANTITY]]*PV_DATA[[#This Row],[WATT]]/1000000</f>
        <v>2.25</v>
      </c>
      <c r="W903" s="714">
        <f>PV_DATA[[#This Row],[QUANTITY]]/PV_DATA[[#This Row],[Qty/Pallet]]</f>
        <v>100</v>
      </c>
      <c r="X903" s="1042">
        <f>PV_DATA[[#This Row],[QUANTITY]]/PV_DATA[[#This Row],[Qty/CT]]</f>
        <v>5</v>
      </c>
      <c r="Y903" s="462" t="s">
        <v>2462</v>
      </c>
      <c r="Z903" s="462" t="str">
        <f t="shared" si="11"/>
        <v>IN-TRANSIT</v>
      </c>
      <c r="AB903" s="713">
        <v>46246</v>
      </c>
      <c r="AC903" s="947">
        <f>IF(PV_DATA[[#This Row],[Pick- Up Date]]&lt;&gt;"",_xlfn.ISOWEEKNUM(PV_DATA[[#This Row],[Pick- Up Date]]),"")</f>
        <v>33</v>
      </c>
      <c r="AD903" s="462" t="s">
        <v>6140</v>
      </c>
      <c r="AF903" s="462" t="s">
        <v>61</v>
      </c>
      <c r="AG903" s="462" t="s">
        <v>61</v>
      </c>
      <c r="AH903" s="462" t="s">
        <v>105</v>
      </c>
      <c r="AI903" s="713">
        <v>46253</v>
      </c>
      <c r="AJ903" s="713">
        <v>46257</v>
      </c>
      <c r="AK903" s="713">
        <v>46257</v>
      </c>
      <c r="AL903" s="713">
        <v>46314</v>
      </c>
      <c r="AM903" s="949"/>
      <c r="AN903" s="949"/>
      <c r="AP903" s="462" t="s">
        <v>6141</v>
      </c>
      <c r="AQ903" s="462" t="s">
        <v>161</v>
      </c>
      <c r="AR903" s="462" t="s">
        <v>6142</v>
      </c>
      <c r="AT903" s="462" t="s">
        <v>6143</v>
      </c>
      <c r="AU9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3" s="713"/>
      <c r="AW903" s="713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13">
        <f>IF(ISERROR(PV_DATA[[#This Row],[New Ark PO status]]),"",_xlfn.XLOOKUP(PV_DATA[[#This Row],[SPTN-PVHK New Ark PO'#]],New_Ark_Data[Purchase order Number],New_Ark_Data[Estimated time of arrival],"",0))</f>
        <v>46321</v>
      </c>
      <c r="AZ903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3" s="713">
        <f>IFERROR(PV_DATA[[#This Row],[ODP ETA Port]]+PV_DATA[[#This Row],[Customs/Leg3 Assumption]],"n/a")</f>
        <v>46321</v>
      </c>
      <c r="BB903" s="946">
        <f>YEAR(PV_DATA[[#This Row],[ETA for New Ark update]])</f>
        <v>2026</v>
      </c>
      <c r="BC903" s="462">
        <f>MONTH(PV_DATA[[#This Row],[ETA for New Ark update]])</f>
        <v>10</v>
      </c>
      <c r="BD903" s="462">
        <f>IFERROR(_xlfn.ISOWEEKNUM(PV_DATA[[#This Row],[ETA for New Ark update]]),0)</f>
        <v>44</v>
      </c>
      <c r="BE903" s="462">
        <f>_xlfn.XLOOKUP(PV_DATA[[#This Row],[New Ark SKU]],Table9[New Ark SKU],Table9[Total PCS per Pallet],,0)</f>
        <v>36</v>
      </c>
      <c r="BF903" s="462">
        <f>_xlfn.XLOOKUP(PV_DATA[[#This Row],[New Ark SKU]],Table9[New Ark SKU],Table9[Total PCS per 40HQ Container],,0)</f>
        <v>720</v>
      </c>
      <c r="BG903" s="462" t="str">
        <f>_xlfn.XLOOKUP(PV_DATA[[#This Row],[New Ark SKU]],Table9[New Ark SKU],Table9[Back Glass],,0)</f>
        <v>Redirection Film</v>
      </c>
      <c r="BH903" s="462" t="str">
        <f>_xlfn.XLOOKUP(PV_DATA[[#This Row],[PORT DESTINATION]],Table12[PORT DESTINATION],Table12[Cosco Line],,0)</f>
        <v>AEU</v>
      </c>
    </row>
    <row r="904" spans="1:62" s="462" customFormat="1" ht="10.5">
      <c r="A904" s="462" t="s">
        <v>6144</v>
      </c>
      <c r="B904" s="462" t="s">
        <v>61</v>
      </c>
      <c r="C904" s="462" t="str">
        <f>IFERROR(LEFT(PV_DATA[[#This Row],[TCL REFERENCE]],FIND(".",PV_DATA[[#This Row],[TCL REFERENCE]],1)-1),"Main Line")</f>
        <v>26May007</v>
      </c>
      <c r="D904" s="462" t="s">
        <v>63</v>
      </c>
      <c r="E904" s="462" t="s">
        <v>64</v>
      </c>
      <c r="F904" s="462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2" t="s">
        <v>402</v>
      </c>
      <c r="H904" s="462" t="s">
        <v>67</v>
      </c>
      <c r="I904" s="462" t="s">
        <v>689</v>
      </c>
      <c r="J904" s="462" t="s">
        <v>96</v>
      </c>
      <c r="M904" s="462" t="s">
        <v>68</v>
      </c>
      <c r="N904" s="712">
        <v>45809</v>
      </c>
      <c r="O904" s="462" t="s">
        <v>4531</v>
      </c>
      <c r="P904" s="462" t="s">
        <v>195</v>
      </c>
      <c r="Q904" s="462" t="s">
        <v>196</v>
      </c>
      <c r="R904" s="430" t="str">
        <f>_xlfn.XLOOKUP(PV_DATA[[#This Row],[New Ark SKU]],Table9[New Ark SKU],Table9[Connector],,0)</f>
        <v>EVO2A</v>
      </c>
      <c r="S904" s="433" t="str">
        <f>_xlfn.XLOOKUP(PV_DATA[[#This Row],[New Ark SKU]],Table9[New Ark SKU],Table9[Cable],,0)</f>
        <v>±1200mm</v>
      </c>
      <c r="T904" s="946">
        <v>450</v>
      </c>
      <c r="U904" s="1095">
        <v>3744</v>
      </c>
      <c r="V904" s="458">
        <f>PV_DATA[[#This Row],[QUANTITY]]*PV_DATA[[#This Row],[WATT]]/1000000</f>
        <v>1.6848000000000001</v>
      </c>
      <c r="W904" s="714">
        <f>PV_DATA[[#This Row],[QUANTITY]]/PV_DATA[[#This Row],[Qty/Pallet]]</f>
        <v>104</v>
      </c>
      <c r="X904" s="1042">
        <f>PV_DATA[[#This Row],[QUANTITY]]/PV_DATA[[#This Row],[Qty/CT]]</f>
        <v>4</v>
      </c>
      <c r="Y904" s="462" t="s">
        <v>2461</v>
      </c>
      <c r="Z904" s="462" t="str">
        <f t="shared" si="11"/>
        <v>IN-TRANSIT</v>
      </c>
      <c r="AA904" s="462" t="s">
        <v>5050</v>
      </c>
      <c r="AB904" s="713">
        <v>46241</v>
      </c>
      <c r="AC904" s="947">
        <f>IF(PV_DATA[[#This Row],[Pick- Up Date]]&lt;&gt;"",_xlfn.ISOWEEKNUM(PV_DATA[[#This Row],[Pick- Up Date]]),"")</f>
        <v>32</v>
      </c>
      <c r="AD904" s="462" t="s">
        <v>6145</v>
      </c>
      <c r="AF904" s="462" t="s">
        <v>61</v>
      </c>
      <c r="AG904" s="462" t="s">
        <v>61</v>
      </c>
      <c r="AH904" s="462" t="s">
        <v>105</v>
      </c>
      <c r="AI904" s="713">
        <v>46246</v>
      </c>
      <c r="AJ904" s="713">
        <v>46252</v>
      </c>
      <c r="AK904" s="713">
        <v>46252</v>
      </c>
      <c r="AL904" s="713">
        <v>46307</v>
      </c>
      <c r="AM904" s="949"/>
      <c r="AN904" s="949"/>
      <c r="AP904" s="462" t="s">
        <v>6146</v>
      </c>
      <c r="AQ904" s="462" t="s">
        <v>161</v>
      </c>
      <c r="AR904" s="462" t="s">
        <v>6147</v>
      </c>
      <c r="AT904" s="462" t="s">
        <v>6148</v>
      </c>
      <c r="AU9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4" s="713"/>
      <c r="AW904" s="713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13">
        <f>IF(ISERROR(PV_DATA[[#This Row],[New Ark PO status]]),"",_xlfn.XLOOKUP(PV_DATA[[#This Row],[SPTN-PVHK New Ark PO'#]],New_Ark_Data[Purchase order Number],New_Ark_Data[Estimated time of arrival],"",0))</f>
        <v>46311</v>
      </c>
      <c r="AZ904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13">
        <f>IFERROR(PV_DATA[[#This Row],[ODP ETA Port]]+PV_DATA[[#This Row],[Customs/Leg3 Assumption]],"n/a")</f>
        <v>46314</v>
      </c>
      <c r="BB904" s="946">
        <f>YEAR(PV_DATA[[#This Row],[ETA for New Ark update]])</f>
        <v>2026</v>
      </c>
      <c r="BC904" s="462">
        <f>MONTH(PV_DATA[[#This Row],[ETA for New Ark update]])</f>
        <v>10</v>
      </c>
      <c r="BD904" s="462">
        <f>IFERROR(_xlfn.ISOWEEKNUM(PV_DATA[[#This Row],[ETA for New Ark update]]),0)</f>
        <v>43</v>
      </c>
      <c r="BE904" s="462">
        <f>_xlfn.XLOOKUP(PV_DATA[[#This Row],[New Ark SKU]],Table9[New Ark SKU],Table9[Total PCS per Pallet],,0)</f>
        <v>36</v>
      </c>
      <c r="BF904" s="462">
        <f>_xlfn.XLOOKUP(PV_DATA[[#This Row],[New Ark SKU]],Table9[New Ark SKU],Table9[Total PCS per 40HQ Container],,0)</f>
        <v>936</v>
      </c>
      <c r="BG904" s="462" t="str">
        <f>_xlfn.XLOOKUP(PV_DATA[[#This Row],[New Ark SKU]],Table9[New Ark SKU],Table9[Back Glass],,0)</f>
        <v>Black glazing</v>
      </c>
      <c r="BH904" s="462" t="str">
        <f>_xlfn.XLOOKUP(PV_DATA[[#This Row],[PORT DESTINATION]],Table12[PORT DESTINATION],Table12[Cosco Line],,0)</f>
        <v>AEU</v>
      </c>
    </row>
    <row r="905" spans="1:62" s="462" customFormat="1" ht="10.5">
      <c r="A905" s="462" t="s">
        <v>6149</v>
      </c>
      <c r="B905" s="462" t="s">
        <v>61</v>
      </c>
      <c r="C905" s="462" t="str">
        <f>IFERROR(LEFT(PV_DATA[[#This Row],[TCL REFERENCE]],FIND(".",PV_DATA[[#This Row],[TCL REFERENCE]],1)-1),"Main Line")</f>
        <v>26May007</v>
      </c>
      <c r="D905" s="462" t="s">
        <v>63</v>
      </c>
      <c r="E905" s="462" t="s">
        <v>64</v>
      </c>
      <c r="F905" s="462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2" t="s">
        <v>402</v>
      </c>
      <c r="H905" s="462" t="s">
        <v>67</v>
      </c>
      <c r="I905" s="462" t="s">
        <v>689</v>
      </c>
      <c r="J905" s="462" t="s">
        <v>96</v>
      </c>
      <c r="M905" s="462" t="s">
        <v>68</v>
      </c>
      <c r="N905" s="712">
        <v>45809</v>
      </c>
      <c r="O905" s="462" t="s">
        <v>4531</v>
      </c>
      <c r="P905" s="462" t="s">
        <v>195</v>
      </c>
      <c r="Q905" s="462" t="s">
        <v>196</v>
      </c>
      <c r="R905" s="430" t="str">
        <f>_xlfn.XLOOKUP(PV_DATA[[#This Row],[New Ark SKU]],Table9[New Ark SKU],Table9[Connector],,0)</f>
        <v>EVO2A</v>
      </c>
      <c r="S905" s="433" t="str">
        <f>_xlfn.XLOOKUP(PV_DATA[[#This Row],[New Ark SKU]],Table9[New Ark SKU],Table9[Cable],,0)</f>
        <v>±1200mm</v>
      </c>
      <c r="T905" s="946">
        <v>450</v>
      </c>
      <c r="U905" s="1095">
        <v>3744</v>
      </c>
      <c r="V905" s="458">
        <f>PV_DATA[[#This Row],[QUANTITY]]*PV_DATA[[#This Row],[WATT]]/1000000</f>
        <v>1.6848000000000001</v>
      </c>
      <c r="W905" s="714">
        <f>PV_DATA[[#This Row],[QUANTITY]]/PV_DATA[[#This Row],[Qty/Pallet]]</f>
        <v>104</v>
      </c>
      <c r="X905" s="1042">
        <f>PV_DATA[[#This Row],[QUANTITY]]/PV_DATA[[#This Row],[Qty/CT]]</f>
        <v>4</v>
      </c>
      <c r="Y905" s="462" t="s">
        <v>2461</v>
      </c>
      <c r="Z905" s="462" t="str">
        <f t="shared" si="11"/>
        <v>IN-TRANSIT</v>
      </c>
      <c r="AA905" s="462" t="s">
        <v>5050</v>
      </c>
      <c r="AB905" s="713">
        <v>46241</v>
      </c>
      <c r="AC905" s="947">
        <f>IF(PV_DATA[[#This Row],[Pick- Up Date]]&lt;&gt;"",_xlfn.ISOWEEKNUM(PV_DATA[[#This Row],[Pick- Up Date]]),"")</f>
        <v>32</v>
      </c>
      <c r="AD905" s="462" t="s">
        <v>6150</v>
      </c>
      <c r="AF905" s="462" t="s">
        <v>61</v>
      </c>
      <c r="AG905" s="462" t="s">
        <v>61</v>
      </c>
      <c r="AH905" s="462" t="s">
        <v>105</v>
      </c>
      <c r="AI905" s="713">
        <v>46249</v>
      </c>
      <c r="AJ905" s="713">
        <v>46249</v>
      </c>
      <c r="AK905" s="713">
        <v>46249</v>
      </c>
      <c r="AL905" s="713">
        <v>46309</v>
      </c>
      <c r="AM905" s="949"/>
      <c r="AN905" s="949"/>
      <c r="AP905" s="462" t="s">
        <v>6151</v>
      </c>
      <c r="AQ905" s="462" t="s">
        <v>161</v>
      </c>
      <c r="AR905" s="462" t="s">
        <v>6152</v>
      </c>
      <c r="AT905" s="462" t="s">
        <v>6153</v>
      </c>
      <c r="AU9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905" s="713"/>
      <c r="AW905" s="713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0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13">
        <f>IF(ISERROR(PV_DATA[[#This Row],[New Ark PO status]]),"",_xlfn.XLOOKUP(PV_DATA[[#This Row],[SPTN-PVHK New Ark PO'#]],New_Ark_Data[Purchase order Number],New_Ark_Data[Estimated time of arrival],"",0))</f>
        <v>46305</v>
      </c>
      <c r="AZ905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13">
        <f>IFERROR(PV_DATA[[#This Row],[ODP ETA Port]]+PV_DATA[[#This Row],[Customs/Leg3 Assumption]],"n/a")</f>
        <v>46316</v>
      </c>
      <c r="BB905" s="946">
        <f>YEAR(PV_DATA[[#This Row],[ETA for New Ark update]])</f>
        <v>2026</v>
      </c>
      <c r="BC905" s="462">
        <f>MONTH(PV_DATA[[#This Row],[ETA for New Ark update]])</f>
        <v>10</v>
      </c>
      <c r="BD905" s="462">
        <f>IFERROR(_xlfn.ISOWEEKNUM(PV_DATA[[#This Row],[ETA for New Ark update]]),0)</f>
        <v>43</v>
      </c>
      <c r="BE905" s="462">
        <f>_xlfn.XLOOKUP(PV_DATA[[#This Row],[New Ark SKU]],Table9[New Ark SKU],Table9[Total PCS per Pallet],,0)</f>
        <v>36</v>
      </c>
      <c r="BF905" s="462">
        <f>_xlfn.XLOOKUP(PV_DATA[[#This Row],[New Ark SKU]],Table9[New Ark SKU],Table9[Total PCS per 40HQ Container],,0)</f>
        <v>936</v>
      </c>
      <c r="BG905" s="462" t="str">
        <f>_xlfn.XLOOKUP(PV_DATA[[#This Row],[New Ark SKU]],Table9[New Ark SKU],Table9[Back Glass],,0)</f>
        <v>Black glazing</v>
      </c>
      <c r="BH905" s="462" t="str">
        <f>_xlfn.XLOOKUP(PV_DATA[[#This Row],[PORT DESTINATION]],Table12[PORT DESTINATION],Table12[Cosco Line],,0)</f>
        <v>AEU</v>
      </c>
    </row>
    <row r="906" spans="1:62" s="439" customFormat="1" ht="10.5">
      <c r="A906" s="439" t="s">
        <v>6154</v>
      </c>
      <c r="B906" s="439" t="s">
        <v>61</v>
      </c>
      <c r="C906" s="439" t="str">
        <f>IFERROR(LEFT(PV_DATA[[#This Row],[TCL REFERENCE]],FIND(".",PV_DATA[[#This Row],[TCL REFERENCE]],1)-1),"Main Line")</f>
        <v>26May007</v>
      </c>
      <c r="D906" s="439" t="s">
        <v>63</v>
      </c>
      <c r="E906" s="439" t="s">
        <v>64</v>
      </c>
      <c r="F906" s="439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39" t="s">
        <v>402</v>
      </c>
      <c r="H906" s="439" t="s">
        <v>67</v>
      </c>
      <c r="I906" s="439" t="s">
        <v>882</v>
      </c>
      <c r="J906" s="439" t="s">
        <v>96</v>
      </c>
      <c r="K906" s="725"/>
      <c r="L906" s="725"/>
      <c r="M906" s="439" t="s">
        <v>68</v>
      </c>
      <c r="N906" s="715">
        <v>45809</v>
      </c>
      <c r="O906" s="439" t="s">
        <v>4531</v>
      </c>
      <c r="P906" s="439" t="s">
        <v>195</v>
      </c>
      <c r="Q906" s="439" t="s">
        <v>196</v>
      </c>
      <c r="R906" s="430" t="str">
        <f>_xlfn.XLOOKUP(PV_DATA[[#This Row],[New Ark SKU]],Table9[New Ark SKU],Table9[Connector],,0)</f>
        <v>EVO2A</v>
      </c>
      <c r="S906" s="433" t="str">
        <f>_xlfn.XLOOKUP(PV_DATA[[#This Row],[New Ark SKU]],Table9[New Ark SKU],Table9[Cable],,0)</f>
        <v>±1200mm</v>
      </c>
      <c r="T906" s="722">
        <v>450</v>
      </c>
      <c r="U906" s="1169">
        <f>936*5</f>
        <v>4680</v>
      </c>
      <c r="V906" s="1194">
        <f>PV_DATA[[#This Row],[QUANTITY]]*PV_DATA[[#This Row],[WATT]]/1000000</f>
        <v>2.1059999999999999</v>
      </c>
      <c r="W906" s="1171">
        <f>PV_DATA[[#This Row],[QUANTITY]]/PV_DATA[[#This Row],[Qty/Pallet]]</f>
        <v>130</v>
      </c>
      <c r="X906" s="1179">
        <f>PV_DATA[[#This Row],[QUANTITY]]/PV_DATA[[#This Row],[Qty/CT]]</f>
        <v>5</v>
      </c>
      <c r="Y906" s="439" t="s">
        <v>2460</v>
      </c>
      <c r="Z906" s="439" t="str">
        <f t="shared" si="11"/>
        <v>IN-TRANSIT</v>
      </c>
      <c r="AB906" s="719">
        <v>46241</v>
      </c>
      <c r="AC906" s="1180">
        <f>IF(PV_DATA[[#This Row],[Pick- Up Date]]&lt;&gt;"",_xlfn.ISOWEEKNUM(PV_DATA[[#This Row],[Pick- Up Date]]),"")</f>
        <v>32</v>
      </c>
      <c r="AD906" s="439" t="s">
        <v>6155</v>
      </c>
      <c r="AF906" s="439" t="s">
        <v>61</v>
      </c>
      <c r="AG906" s="439" t="s">
        <v>61</v>
      </c>
      <c r="AH906" s="439" t="s">
        <v>105</v>
      </c>
      <c r="AI906" s="719">
        <v>46249</v>
      </c>
      <c r="AJ906" s="719">
        <v>46249</v>
      </c>
      <c r="AK906" s="719">
        <v>46249</v>
      </c>
      <c r="AL906" s="713">
        <v>46309</v>
      </c>
      <c r="AM906" s="1174"/>
      <c r="AN906" s="1174"/>
      <c r="AP906" s="439" t="s">
        <v>6151</v>
      </c>
      <c r="AQ906" s="439" t="s">
        <v>161</v>
      </c>
      <c r="AR906" s="439" t="s">
        <v>6152</v>
      </c>
      <c r="AT906" s="439" t="s">
        <v>6153</v>
      </c>
      <c r="AU9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906" s="719"/>
      <c r="AW906" s="719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06" s="72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19">
        <f>IF(ISERROR(PV_DATA[[#This Row],[New Ark PO status]]),"",_xlfn.XLOOKUP(PV_DATA[[#This Row],[SPTN-PVHK New Ark PO'#]],New_Ark_Data[Purchase order Number],New_Ark_Data[Estimated time of arrival],"",0))</f>
        <v>46305</v>
      </c>
      <c r="AZ906" s="7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19">
        <f>IFERROR(PV_DATA[[#This Row],[ODP ETA Port]]+PV_DATA[[#This Row],[Customs/Leg3 Assumption]],"n/a")</f>
        <v>46316</v>
      </c>
      <c r="BB906" s="722">
        <f>YEAR(PV_DATA[[#This Row],[ETA for New Ark update]])</f>
        <v>2026</v>
      </c>
      <c r="BC906" s="439">
        <f>MONTH(PV_DATA[[#This Row],[ETA for New Ark update]])</f>
        <v>10</v>
      </c>
      <c r="BD906" s="439">
        <f>IFERROR(_xlfn.ISOWEEKNUM(PV_DATA[[#This Row],[ETA for New Ark update]]),0)</f>
        <v>43</v>
      </c>
      <c r="BE906" s="439">
        <f>_xlfn.XLOOKUP(PV_DATA[[#This Row],[New Ark SKU]],Table9[New Ark SKU],Table9[Total PCS per Pallet],,0)</f>
        <v>36</v>
      </c>
      <c r="BF906" s="439">
        <f>_xlfn.XLOOKUP(PV_DATA[[#This Row],[New Ark SKU]],Table9[New Ark SKU],Table9[Total PCS per 40HQ Container],,0)</f>
        <v>936</v>
      </c>
      <c r="BG906" s="439" t="str">
        <f>_xlfn.XLOOKUP(PV_DATA[[#This Row],[New Ark SKU]],Table9[New Ark SKU],Table9[Back Glass],,0)</f>
        <v>Black glazing</v>
      </c>
      <c r="BH906" s="439" t="str">
        <f>_xlfn.XLOOKUP(PV_DATA[[#This Row],[PORT DESTINATION]],Table12[PORT DESTINATION],Table12[Cosco Line],,0)</f>
        <v>AEU</v>
      </c>
    </row>
    <row r="907" spans="1:62" s="462" customFormat="1" ht="10.5">
      <c r="A907" s="462" t="s">
        <v>6156</v>
      </c>
      <c r="B907" s="462" t="s">
        <v>61</v>
      </c>
      <c r="C907" s="462" t="str">
        <f>IFERROR(LEFT(PV_DATA[[#This Row],[TCL REFERENCE]],FIND(".",PV_DATA[[#This Row],[TCL REFERENCE]],1)-1),"Main Line")</f>
        <v>26Jun009</v>
      </c>
      <c r="D907" s="462" t="s">
        <v>63</v>
      </c>
      <c r="E907" s="462" t="s">
        <v>64</v>
      </c>
      <c r="F907" s="462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62" t="s">
        <v>402</v>
      </c>
      <c r="H907" s="462" t="s">
        <v>67</v>
      </c>
      <c r="I907" s="462" t="s">
        <v>882</v>
      </c>
      <c r="J907" s="462" t="s">
        <v>96</v>
      </c>
      <c r="M907" s="462" t="s">
        <v>68</v>
      </c>
      <c r="N907" s="712">
        <v>46188</v>
      </c>
      <c r="O907" s="462" t="s">
        <v>4531</v>
      </c>
      <c r="P907" s="462" t="s">
        <v>195</v>
      </c>
      <c r="Q907" s="462" t="s">
        <v>196</v>
      </c>
      <c r="R907" s="430" t="str">
        <f>_xlfn.XLOOKUP(PV_DATA[[#This Row],[New Ark SKU]],Table9[New Ark SKU],Table9[Connector],,0)</f>
        <v>EVO2A</v>
      </c>
      <c r="S907" s="433" t="str">
        <f>_xlfn.XLOOKUP(PV_DATA[[#This Row],[New Ark SKU]],Table9[New Ark SKU],Table9[Cable],,0)</f>
        <v>±1200mm</v>
      </c>
      <c r="T907" s="946">
        <v>450</v>
      </c>
      <c r="U907" s="1095">
        <v>936</v>
      </c>
      <c r="V907" s="458">
        <f>PV_DATA[[#This Row],[QUANTITY]]*PV_DATA[[#This Row],[WATT]]/1000000</f>
        <v>0.42120000000000002</v>
      </c>
      <c r="W907" s="714">
        <f>PV_DATA[[#This Row],[QUANTITY]]/PV_DATA[[#This Row],[Qty/Pallet]]</f>
        <v>26</v>
      </c>
      <c r="X907" s="1042">
        <f>PV_DATA[[#This Row],[QUANTITY]]/PV_DATA[[#This Row],[Qty/CT]]</f>
        <v>1</v>
      </c>
      <c r="Y907" s="462" t="s">
        <v>2459</v>
      </c>
      <c r="Z907" s="462" t="str">
        <f t="shared" si="11"/>
        <v>IN-TRANSIT</v>
      </c>
      <c r="AB907" s="713">
        <v>46241</v>
      </c>
      <c r="AC907" s="947">
        <f>IF(PV_DATA[[#This Row],[Pick- Up Date]]&lt;&gt;"",_xlfn.ISOWEEKNUM(PV_DATA[[#This Row],[Pick- Up Date]]),"")</f>
        <v>32</v>
      </c>
      <c r="AD907" s="462" t="s">
        <v>6157</v>
      </c>
      <c r="AF907" s="462" t="s">
        <v>61</v>
      </c>
      <c r="AG907" s="462" t="s">
        <v>61</v>
      </c>
      <c r="AH907" s="462" t="s">
        <v>105</v>
      </c>
      <c r="AI907" s="713">
        <v>46249</v>
      </c>
      <c r="AJ907" s="713">
        <v>46249</v>
      </c>
      <c r="AK907" s="713">
        <v>46249</v>
      </c>
      <c r="AL907" s="713">
        <v>46309</v>
      </c>
      <c r="AM907" s="949"/>
      <c r="AN907" s="949"/>
      <c r="AP907" s="462" t="s">
        <v>6151</v>
      </c>
      <c r="AQ907" s="462" t="s">
        <v>161</v>
      </c>
      <c r="AR907" s="462" t="s">
        <v>6152</v>
      </c>
      <c r="AT907" s="462" t="s">
        <v>6153</v>
      </c>
      <c r="AU9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907" s="713"/>
      <c r="AW907" s="713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0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13">
        <f>IF(ISERROR(PV_DATA[[#This Row],[New Ark PO status]]),"",_xlfn.XLOOKUP(PV_DATA[[#This Row],[SPTN-PVHK New Ark PO'#]],New_Ark_Data[Purchase order Number],New_Ark_Data[Estimated time of arrival],"",0))</f>
        <v>46305</v>
      </c>
      <c r="AZ907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13">
        <f>IFERROR(PV_DATA[[#This Row],[ODP ETA Port]]+PV_DATA[[#This Row],[Customs/Leg3 Assumption]],"n/a")</f>
        <v>46316</v>
      </c>
      <c r="BB907" s="946">
        <f>YEAR(PV_DATA[[#This Row],[ETA for New Ark update]])</f>
        <v>2026</v>
      </c>
      <c r="BC907" s="462">
        <f>MONTH(PV_DATA[[#This Row],[ETA for New Ark update]])</f>
        <v>10</v>
      </c>
      <c r="BD907" s="462">
        <f>IFERROR(_xlfn.ISOWEEKNUM(PV_DATA[[#This Row],[ETA for New Ark update]]),0)</f>
        <v>43</v>
      </c>
      <c r="BE907" s="462">
        <f>_xlfn.XLOOKUP(PV_DATA[[#This Row],[New Ark SKU]],Table9[New Ark SKU],Table9[Total PCS per Pallet],,0)</f>
        <v>36</v>
      </c>
      <c r="BF907" s="462">
        <f>_xlfn.XLOOKUP(PV_DATA[[#This Row],[New Ark SKU]],Table9[New Ark SKU],Table9[Total PCS per 40HQ Container],,0)</f>
        <v>936</v>
      </c>
      <c r="BG907" s="462" t="str">
        <f>_xlfn.XLOOKUP(PV_DATA[[#This Row],[New Ark SKU]],Table9[New Ark SKU],Table9[Back Glass],,0)</f>
        <v>Black glazing</v>
      </c>
      <c r="BH907" s="462" t="str">
        <f>_xlfn.XLOOKUP(PV_DATA[[#This Row],[PORT DESTINATION]],Table12[PORT DESTINATION],Table12[Cosco Line],,0)</f>
        <v>AEU</v>
      </c>
    </row>
    <row r="908" spans="1:62" s="462" customFormat="1" ht="10.5">
      <c r="A908" s="462" t="s">
        <v>6158</v>
      </c>
      <c r="B908" s="462" t="s">
        <v>61</v>
      </c>
      <c r="C908" s="462" t="str">
        <f>IFERROR(LEFT(PV_DATA[[#This Row],[TCL REFERENCE]],FIND(".",PV_DATA[[#This Row],[TCL REFERENCE]],1)-1),"Main Line")</f>
        <v>26Jun021</v>
      </c>
      <c r="D908" s="462" t="s">
        <v>63</v>
      </c>
      <c r="E908" s="462" t="s">
        <v>64</v>
      </c>
      <c r="F908" s="462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2" t="s">
        <v>402</v>
      </c>
      <c r="H908" s="462" t="s">
        <v>67</v>
      </c>
      <c r="I908" s="462" t="s">
        <v>689</v>
      </c>
      <c r="J908" s="462" t="s">
        <v>96</v>
      </c>
      <c r="M908" s="462" t="s">
        <v>68</v>
      </c>
      <c r="N908" s="712">
        <v>46202</v>
      </c>
      <c r="O908" s="462" t="s">
        <v>284</v>
      </c>
      <c r="P908" s="730" t="s">
        <v>6159</v>
      </c>
      <c r="Q908" s="462" t="s">
        <v>1570</v>
      </c>
      <c r="R908" s="430" t="str">
        <f>_xlfn.XLOOKUP(PV_DATA[[#This Row],[New Ark SKU]],Table9[New Ark SKU],Table9[Connector],,0)</f>
        <v>EVO2A</v>
      </c>
      <c r="S908" s="433" t="str">
        <f>_xlfn.XLOOKUP(PV_DATA[[#This Row],[New Ark SKU]],Table9[New Ark SKU],Table9[Cable],,0)</f>
        <v>±1400mm</v>
      </c>
      <c r="T908" s="946">
        <v>650</v>
      </c>
      <c r="U908" s="1095">
        <v>1440</v>
      </c>
      <c r="V908" s="458">
        <f>PV_DATA[[#This Row],[QUANTITY]]*PV_DATA[[#This Row],[WATT]]/1000000</f>
        <v>0.93600000000000005</v>
      </c>
      <c r="W908" s="714">
        <f>PV_DATA[[#This Row],[QUANTITY]]/PV_DATA[[#This Row],[Qty/Pallet]]</f>
        <v>40</v>
      </c>
      <c r="X908" s="1042">
        <f>PV_DATA[[#This Row],[QUANTITY]]/PV_DATA[[#This Row],[Qty/CT]]</f>
        <v>2</v>
      </c>
      <c r="Y908" s="462" t="s">
        <v>2464</v>
      </c>
      <c r="Z908" s="462" t="str">
        <f t="shared" si="11"/>
        <v>IN-TRANSIT</v>
      </c>
      <c r="AB908" s="713">
        <v>46241</v>
      </c>
      <c r="AC908" s="947">
        <f>IF(PV_DATA[[#This Row],[Pick- Up Date]]&lt;&gt;"",_xlfn.ISOWEEKNUM(PV_DATA[[#This Row],[Pick- Up Date]]),"")</f>
        <v>32</v>
      </c>
      <c r="AD908" s="462" t="s">
        <v>6160</v>
      </c>
      <c r="AF908" s="462" t="s">
        <v>61</v>
      </c>
      <c r="AG908" s="462" t="s">
        <v>61</v>
      </c>
      <c r="AH908" s="462" t="s">
        <v>105</v>
      </c>
      <c r="AI908" s="713">
        <v>46249</v>
      </c>
      <c r="AJ908" s="713">
        <v>46249</v>
      </c>
      <c r="AK908" s="713">
        <v>46249</v>
      </c>
      <c r="AL908" s="713">
        <v>46309</v>
      </c>
      <c r="AM908" s="949"/>
      <c r="AN908" s="949"/>
      <c r="AP908" s="462" t="s">
        <v>6151</v>
      </c>
      <c r="AQ908" s="462" t="s">
        <v>161</v>
      </c>
      <c r="AR908" s="462" t="s">
        <v>6152</v>
      </c>
      <c r="AT908" s="462" t="s">
        <v>6153</v>
      </c>
      <c r="AU9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08" s="713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0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13">
        <f>IF(ISERROR(PV_DATA[[#This Row],[New Ark PO status]]),"",_xlfn.XLOOKUP(PV_DATA[[#This Row],[SPTN-PVHK New Ark PO'#]],New_Ark_Data[Purchase order Number],New_Ark_Data[Estimated time of arrival],"",0))</f>
        <v>46305</v>
      </c>
      <c r="AZ908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13">
        <f>IFERROR(PV_DATA[[#This Row],[ODP ETA Port]]+PV_DATA[[#This Row],[Customs/Leg3 Assumption]],"n/a")</f>
        <v>46316</v>
      </c>
      <c r="BB908" s="946">
        <f>YEAR(PV_DATA[[#This Row],[ETA for New Ark update]])</f>
        <v>2026</v>
      </c>
      <c r="BC908" s="462">
        <f>MONTH(PV_DATA[[#This Row],[ETA for New Ark update]])</f>
        <v>10</v>
      </c>
      <c r="BD908" s="462">
        <f>IFERROR(_xlfn.ISOWEEKNUM(PV_DATA[[#This Row],[ETA for New Ark update]]),0)</f>
        <v>43</v>
      </c>
      <c r="BE908" s="462">
        <f>_xlfn.XLOOKUP(PV_DATA[[#This Row],[New Ark SKU]],Table9[New Ark SKU],Table9[Total PCS per Pallet],,0)</f>
        <v>36</v>
      </c>
      <c r="BF908" s="462">
        <f>_xlfn.XLOOKUP(PV_DATA[[#This Row],[New Ark SKU]],Table9[New Ark SKU],Table9[Total PCS per 40HQ Container],,0)</f>
        <v>720</v>
      </c>
      <c r="BG908" s="462" t="str">
        <f>_xlfn.XLOOKUP(PV_DATA[[#This Row],[New Ark SKU]],Table9[New Ark SKU],Table9[Back Glass],,0)</f>
        <v>White glazing</v>
      </c>
      <c r="BH908" s="462" t="str">
        <f>_xlfn.XLOOKUP(PV_DATA[[#This Row],[PORT DESTINATION]],Table12[PORT DESTINATION],Table12[Cosco Line],,0)</f>
        <v>AEU</v>
      </c>
    </row>
    <row r="909" spans="1:62" s="462" customFormat="1" ht="10.5">
      <c r="A909" s="462" t="s">
        <v>6161</v>
      </c>
      <c r="B909" s="462" t="s">
        <v>61</v>
      </c>
      <c r="C909" s="462" t="str">
        <f>IFERROR(LEFT(PV_DATA[[#This Row],[TCL REFERENCE]],FIND(".",PV_DATA[[#This Row],[TCL REFERENCE]],1)-1),"Main Line")</f>
        <v>26Jun010</v>
      </c>
      <c r="D909" s="462" t="s">
        <v>63</v>
      </c>
      <c r="E909" s="462" t="s">
        <v>64</v>
      </c>
      <c r="F909" s="462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2" t="s">
        <v>402</v>
      </c>
      <c r="H909" s="462" t="s">
        <v>67</v>
      </c>
      <c r="I909" s="462" t="s">
        <v>689</v>
      </c>
      <c r="J909" s="462" t="s">
        <v>96</v>
      </c>
      <c r="M909" s="462" t="s">
        <v>68</v>
      </c>
      <c r="N909" s="712">
        <v>46188</v>
      </c>
      <c r="O909" s="462" t="s">
        <v>4531</v>
      </c>
      <c r="P909" s="462" t="s">
        <v>965</v>
      </c>
      <c r="Q909" s="462" t="s">
        <v>966</v>
      </c>
      <c r="R909" s="430" t="str">
        <f>_xlfn.XLOOKUP(PV_DATA[[#This Row],[New Ark SKU]],Table9[New Ark SKU],Table9[Connector],,0)</f>
        <v>EVO2A</v>
      </c>
      <c r="S909" s="433" t="str">
        <f>_xlfn.XLOOKUP(PV_DATA[[#This Row],[New Ark SKU]],Table9[New Ark SKU],Table9[Cable],,0)</f>
        <v>±1200mm</v>
      </c>
      <c r="T909" s="946">
        <v>455</v>
      </c>
      <c r="U909" s="1095">
        <f>936*3</f>
        <v>2808</v>
      </c>
      <c r="V909" s="458">
        <f>PV_DATA[[#This Row],[QUANTITY]]*PV_DATA[[#This Row],[WATT]]/1000000</f>
        <v>1.2776400000000001</v>
      </c>
      <c r="W909" s="714">
        <f>PV_DATA[[#This Row],[QUANTITY]]/PV_DATA[[#This Row],[Qty/Pallet]]</f>
        <v>78</v>
      </c>
      <c r="X909" s="1042">
        <f>PV_DATA[[#This Row],[QUANTITY]]/PV_DATA[[#This Row],[Qty/CT]]</f>
        <v>3</v>
      </c>
      <c r="Y909" s="462" t="s">
        <v>2461</v>
      </c>
      <c r="Z909" s="462" t="str">
        <f t="shared" si="11"/>
        <v>IN-TRANSIT</v>
      </c>
      <c r="AA909" s="462" t="s">
        <v>5785</v>
      </c>
      <c r="AB909" s="713">
        <v>46243</v>
      </c>
      <c r="AC909" s="947">
        <f>IF(PV_DATA[[#This Row],[Pick- Up Date]]&lt;&gt;"",_xlfn.ISOWEEKNUM(PV_DATA[[#This Row],[Pick- Up Date]]),"")</f>
        <v>32</v>
      </c>
      <c r="AD909" s="462" t="s">
        <v>6162</v>
      </c>
      <c r="AF909" s="462" t="s">
        <v>61</v>
      </c>
      <c r="AG909" s="462" t="s">
        <v>61</v>
      </c>
      <c r="AH909" s="462" t="s">
        <v>105</v>
      </c>
      <c r="AI909" s="713">
        <v>46249</v>
      </c>
      <c r="AJ909" s="713">
        <v>46249</v>
      </c>
      <c r="AK909" s="713">
        <v>46249</v>
      </c>
      <c r="AL909" s="437">
        <v>46305</v>
      </c>
      <c r="AM909" s="437">
        <v>46314</v>
      </c>
      <c r="AN909" s="949"/>
      <c r="AP909" s="462" t="s">
        <v>6163</v>
      </c>
      <c r="AQ909" s="462" t="s">
        <v>161</v>
      </c>
      <c r="AR909" s="462" t="s">
        <v>6164</v>
      </c>
      <c r="AS909" s="462" t="s">
        <v>6165</v>
      </c>
      <c r="AT909" s="462" t="s">
        <v>6166</v>
      </c>
      <c r="AU9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909" s="713"/>
      <c r="AW909" s="713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13">
        <f>IF(ISERROR(PV_DATA[[#This Row],[New Ark PO status]]),"",_xlfn.XLOOKUP(PV_DATA[[#This Row],[SPTN-PVHK New Ark PO'#]],New_Ark_Data[Purchase order Number],New_Ark_Data[Estimated time of arrival],"",0))</f>
        <v>46312</v>
      </c>
      <c r="AZ909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13">
        <f>IFERROR(PV_DATA[[#This Row],[ODP ETA Port]]+PV_DATA[[#This Row],[Customs/Leg3 Assumption]],"n/a")</f>
        <v>46321</v>
      </c>
      <c r="BB909" s="946">
        <f>YEAR(PV_DATA[[#This Row],[ETA for New Ark update]])</f>
        <v>2026</v>
      </c>
      <c r="BC909" s="462">
        <f>MONTH(PV_DATA[[#This Row],[ETA for New Ark update]])</f>
        <v>10</v>
      </c>
      <c r="BD909" s="462">
        <f>IFERROR(_xlfn.ISOWEEKNUM(PV_DATA[[#This Row],[ETA for New Ark update]]),0)</f>
        <v>44</v>
      </c>
      <c r="BE909" s="462">
        <f>_xlfn.XLOOKUP(PV_DATA[[#This Row],[New Ark SKU]],Table9[New Ark SKU],Table9[Total PCS per Pallet],,0)</f>
        <v>36</v>
      </c>
      <c r="BF909" s="462">
        <f>_xlfn.XLOOKUP(PV_DATA[[#This Row],[New Ark SKU]],Table9[New Ark SKU],Table9[Total PCS per 40HQ Container],,0)</f>
        <v>936</v>
      </c>
      <c r="BG909" s="462" t="str">
        <f>_xlfn.XLOOKUP(PV_DATA[[#This Row],[New Ark SKU]],Table9[New Ark SKU],Table9[Back Glass],,0)</f>
        <v>Black glazing</v>
      </c>
      <c r="BH909" s="462" t="str">
        <f>_xlfn.XLOOKUP(PV_DATA[[#This Row],[PORT DESTINATION]],Table12[PORT DESTINATION],Table12[Cosco Line],,0)</f>
        <v>AEU</v>
      </c>
    </row>
    <row r="910" spans="1:62" s="462" customFormat="1" ht="10.5">
      <c r="A910" s="462" t="s">
        <v>6167</v>
      </c>
      <c r="B910" s="462" t="s">
        <v>61</v>
      </c>
      <c r="C910" s="462" t="str">
        <f>IFERROR(LEFT(PV_DATA[[#This Row],[TCL REFERENCE]],FIND(".",PV_DATA[[#This Row],[TCL REFERENCE]],1)-1),"Main Line")</f>
        <v>26Jun009</v>
      </c>
      <c r="D910" s="462" t="s">
        <v>63</v>
      </c>
      <c r="E910" s="462" t="s">
        <v>64</v>
      </c>
      <c r="F910" s="462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2" t="s">
        <v>402</v>
      </c>
      <c r="H910" s="462" t="s">
        <v>67</v>
      </c>
      <c r="I910" s="462" t="s">
        <v>689</v>
      </c>
      <c r="J910" s="462" t="s">
        <v>96</v>
      </c>
      <c r="M910" s="462" t="s">
        <v>68</v>
      </c>
      <c r="N910" s="712">
        <v>46188</v>
      </c>
      <c r="O910" s="462" t="s">
        <v>4531</v>
      </c>
      <c r="P910" s="462" t="s">
        <v>195</v>
      </c>
      <c r="Q910" s="462" t="s">
        <v>196</v>
      </c>
      <c r="R910" s="430" t="str">
        <f>_xlfn.XLOOKUP(PV_DATA[[#This Row],[New Ark SKU]],Table9[New Ark SKU],Table9[Connector],,0)</f>
        <v>EVO2A</v>
      </c>
      <c r="S910" s="433" t="str">
        <f>_xlfn.XLOOKUP(PV_DATA[[#This Row],[New Ark SKU]],Table9[New Ark SKU],Table9[Cable],,0)</f>
        <v>±1200mm</v>
      </c>
      <c r="T910" s="946">
        <v>450</v>
      </c>
      <c r="U910" s="1095">
        <f>936*3</f>
        <v>2808</v>
      </c>
      <c r="V910" s="458">
        <f>PV_DATA[[#This Row],[QUANTITY]]*PV_DATA[[#This Row],[WATT]]/1000000</f>
        <v>1.2636000000000001</v>
      </c>
      <c r="W910" s="714">
        <f>PV_DATA[[#This Row],[QUANTITY]]/PV_DATA[[#This Row],[Qty/Pallet]]</f>
        <v>78</v>
      </c>
      <c r="X910" s="1042">
        <f>PV_DATA[[#This Row],[QUANTITY]]/PV_DATA[[#This Row],[Qty/CT]]</f>
        <v>3</v>
      </c>
      <c r="Y910" s="462" t="s">
        <v>2460</v>
      </c>
      <c r="Z910" s="462" t="str">
        <f t="shared" si="11"/>
        <v>IN-TRANSIT</v>
      </c>
      <c r="AB910" s="713">
        <v>46243</v>
      </c>
      <c r="AC910" s="947">
        <f>IF(PV_DATA[[#This Row],[Pick- Up Date]]&lt;&gt;"",_xlfn.ISOWEEKNUM(PV_DATA[[#This Row],[Pick- Up Date]]),"")</f>
        <v>32</v>
      </c>
      <c r="AD910" s="462" t="s">
        <v>6168</v>
      </c>
      <c r="AF910" s="462" t="s">
        <v>61</v>
      </c>
      <c r="AG910" s="462" t="s">
        <v>61</v>
      </c>
      <c r="AH910" s="462" t="s">
        <v>105</v>
      </c>
      <c r="AI910" s="713">
        <v>46249</v>
      </c>
      <c r="AJ910" s="713">
        <v>46249</v>
      </c>
      <c r="AK910" s="713">
        <v>46249</v>
      </c>
      <c r="AL910" s="437">
        <v>46305</v>
      </c>
      <c r="AM910" s="437">
        <v>46314</v>
      </c>
      <c r="AN910" s="949"/>
      <c r="AP910" s="462" t="s">
        <v>6163</v>
      </c>
      <c r="AQ910" s="462" t="s">
        <v>161</v>
      </c>
      <c r="AR910" s="462" t="s">
        <v>6164</v>
      </c>
      <c r="AS910" s="462" t="s">
        <v>6165</v>
      </c>
      <c r="AT910" s="462" t="s">
        <v>6166</v>
      </c>
      <c r="AU9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910" s="713"/>
      <c r="AW910" s="713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1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13">
        <f>IF(ISERROR(PV_DATA[[#This Row],[New Ark PO status]]),"",_xlfn.XLOOKUP(PV_DATA[[#This Row],[SPTN-PVHK New Ark PO'#]],New_Ark_Data[Purchase order Number],New_Ark_Data[Estimated time of arrival],"",0))</f>
        <v>46312</v>
      </c>
      <c r="AZ910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13">
        <f>IFERROR(PV_DATA[[#This Row],[ODP ETA Port]]+PV_DATA[[#This Row],[Customs/Leg3 Assumption]],"n/a")</f>
        <v>46321</v>
      </c>
      <c r="BB910" s="946">
        <f>YEAR(PV_DATA[[#This Row],[ETA for New Ark update]])</f>
        <v>2026</v>
      </c>
      <c r="BC910" s="462">
        <f>MONTH(PV_DATA[[#This Row],[ETA for New Ark update]])</f>
        <v>10</v>
      </c>
      <c r="BD910" s="462">
        <f>IFERROR(_xlfn.ISOWEEKNUM(PV_DATA[[#This Row],[ETA for New Ark update]]),0)</f>
        <v>44</v>
      </c>
      <c r="BE910" s="462">
        <f>_xlfn.XLOOKUP(PV_DATA[[#This Row],[New Ark SKU]],Table9[New Ark SKU],Table9[Total PCS per Pallet],,0)</f>
        <v>36</v>
      </c>
      <c r="BF910" s="462">
        <f>_xlfn.XLOOKUP(PV_DATA[[#This Row],[New Ark SKU]],Table9[New Ark SKU],Table9[Total PCS per 40HQ Container],,0)</f>
        <v>936</v>
      </c>
      <c r="BG910" s="462" t="str">
        <f>_xlfn.XLOOKUP(PV_DATA[[#This Row],[New Ark SKU]],Table9[New Ark SKU],Table9[Back Glass],,0)</f>
        <v>Black glazing</v>
      </c>
      <c r="BH910" s="462" t="str">
        <f>_xlfn.XLOOKUP(PV_DATA[[#This Row],[PORT DESTINATION]],Table12[PORT DESTINATION],Table12[Cosco Line],,0)</f>
        <v>AEU</v>
      </c>
    </row>
    <row r="911" spans="1:62" ht="10.5">
      <c r="A911" s="462" t="s">
        <v>6169</v>
      </c>
      <c r="B911" s="462" t="s">
        <v>61</v>
      </c>
      <c r="C911" s="462" t="str">
        <f>IFERROR(LEFT(PV_DATA[[#This Row],[TCL REFERENCE]],FIND(".",PV_DATA[[#This Row],[TCL REFERENCE]],1)-1),"Main Line")</f>
        <v>Main Line</v>
      </c>
      <c r="D911" s="462" t="s">
        <v>63</v>
      </c>
      <c r="E911" s="462" t="s">
        <v>64</v>
      </c>
      <c r="F911" s="462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2" t="s">
        <v>402</v>
      </c>
      <c r="H911" s="462" t="s">
        <v>67</v>
      </c>
      <c r="I911" s="462" t="s">
        <v>689</v>
      </c>
      <c r="J911" s="430" t="s">
        <v>96</v>
      </c>
      <c r="K911" s="430"/>
      <c r="L911" s="430"/>
      <c r="M911" s="430" t="s">
        <v>68</v>
      </c>
      <c r="N911" s="432">
        <v>46174</v>
      </c>
      <c r="O911" s="430" t="s">
        <v>70</v>
      </c>
      <c r="P911" s="459" t="s">
        <v>329</v>
      </c>
      <c r="Q911" s="430" t="s">
        <v>330</v>
      </c>
      <c r="R911" s="430" t="str">
        <f>_xlfn.XLOOKUP(PV_DATA[[#This Row],[New Ark SKU]],Table9[New Ark SKU],Table9[Connector],,0)</f>
        <v>H4(Com)</v>
      </c>
      <c r="S911" s="433" t="str">
        <f>_xlfn.XLOOKUP(PV_DATA[[#This Row],[New Ark SKU]],Table9[New Ark SKU],Table9[Cable],,0)</f>
        <v>±1400mm</v>
      </c>
      <c r="T911" s="433">
        <v>625</v>
      </c>
      <c r="U911" s="1088" cm="1">
        <f t="array" ref="U911">3600-fx_qty</f>
        <v>3600</v>
      </c>
      <c r="V911" s="434">
        <f>PV_DATA[[#This Row],[QUANTITY]]*PV_DATA[[#This Row],[WATT]]/1000000</f>
        <v>2.25</v>
      </c>
      <c r="W911" s="435">
        <f>PV_DATA[[#This Row],[QUANTITY]]/PV_DATA[[#This Row],[Qty/Pallet]]</f>
        <v>100</v>
      </c>
      <c r="X911" s="1040">
        <f>PV_DATA[[#This Row],[QUANTITY]]/PV_DATA[[#This Row],[Qty/CT]]</f>
        <v>5</v>
      </c>
      <c r="Y911" s="430" t="s">
        <v>2461</v>
      </c>
      <c r="Z911" s="430" t="str">
        <f t="shared" si="11"/>
        <v>IN-TRANSIT</v>
      </c>
      <c r="AA911" s="430" t="s">
        <v>4990</v>
      </c>
      <c r="AB911" s="713">
        <v>46243</v>
      </c>
      <c r="AC911" s="485">
        <f>IF(PV_DATA[[#This Row],[Pick- Up Date]]&lt;&gt;"",_xlfn.ISOWEEKNUM(PV_DATA[[#This Row],[Pick- Up Date]]),"")</f>
        <v>32</v>
      </c>
      <c r="AD911" s="430" t="s">
        <v>6170</v>
      </c>
      <c r="AE911" s="430"/>
      <c r="AF911" s="430" t="s">
        <v>77</v>
      </c>
      <c r="AG911" s="430" t="s">
        <v>61</v>
      </c>
      <c r="AH911" s="430" t="s">
        <v>105</v>
      </c>
      <c r="AI911" s="713">
        <v>46249</v>
      </c>
      <c r="AJ911" s="437">
        <v>46249</v>
      </c>
      <c r="AK911" s="437">
        <v>46249</v>
      </c>
      <c r="AL911" s="437">
        <v>46305</v>
      </c>
      <c r="AM911" s="437">
        <v>46314</v>
      </c>
      <c r="AN911" s="588"/>
      <c r="AP911" s="430" t="s">
        <v>6163</v>
      </c>
      <c r="AQ911" s="430" t="s">
        <v>161</v>
      </c>
      <c r="AR911" s="430" t="s">
        <v>6164</v>
      </c>
      <c r="AS911" s="430" t="s">
        <v>6165</v>
      </c>
      <c r="AT911" s="430" t="s">
        <v>6166</v>
      </c>
      <c r="AU9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911" s="437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1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437">
        <f>IF(ISERROR(PV_DATA[[#This Row],[New Ark PO status]]),"",_xlfn.XLOOKUP(PV_DATA[[#This Row],[SPTN-PVHK New Ark PO'#]],New_Ark_Data[Purchase order Number],New_Ark_Data[Estimated time of arrival],"",0))</f>
        <v>46312</v>
      </c>
      <c r="AZ91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437">
        <f>IFERROR(PV_DATA[[#This Row],[ODP ETA Port]]+PV_DATA[[#This Row],[Customs/Leg3 Assumption]],"n/a")</f>
        <v>46321</v>
      </c>
      <c r="BB911" s="433">
        <f>YEAR(PV_DATA[[#This Row],[ETA for New Ark update]])</f>
        <v>2026</v>
      </c>
      <c r="BC911" s="430">
        <f>MONTH(PV_DATA[[#This Row],[ETA for New Ark update]])</f>
        <v>10</v>
      </c>
      <c r="BD911" s="430">
        <f>IFERROR(_xlfn.ISOWEEKNUM(PV_DATA[[#This Row],[ETA for New Ark update]]),0)</f>
        <v>44</v>
      </c>
      <c r="BE911" s="430">
        <f>_xlfn.XLOOKUP(PV_DATA[[#This Row],[New Ark SKU]],Table9[New Ark SKU],Table9[Total PCS per Pallet],,0)</f>
        <v>36</v>
      </c>
      <c r="BF911" s="430">
        <f>_xlfn.XLOOKUP(PV_DATA[[#This Row],[New Ark SKU]],Table9[New Ark SKU],Table9[Total PCS per 40HQ Container],,0)</f>
        <v>720</v>
      </c>
      <c r="BG911" s="430" t="str">
        <f>_xlfn.XLOOKUP(PV_DATA[[#This Row],[New Ark SKU]],Table9[New Ark SKU],Table9[Back Glass],,0)</f>
        <v>Redirection Film</v>
      </c>
      <c r="BH911" s="430" t="str">
        <f>_xlfn.XLOOKUP(PV_DATA[[#This Row],[PORT DESTINATION]],Table12[PORT DESTINATION],Table12[Cosco Line],,0)</f>
        <v>AEU</v>
      </c>
      <c r="BJ911" s="430"/>
    </row>
    <row r="912" spans="1:62" s="462" customFormat="1" ht="10.5">
      <c r="A912" s="462" t="s">
        <v>6171</v>
      </c>
      <c r="B912" s="462" t="s">
        <v>61</v>
      </c>
      <c r="C912" s="462" t="str">
        <f>IFERROR(LEFT(PV_DATA[[#This Row],[TCL REFERENCE]],FIND(".",PV_DATA[[#This Row],[TCL REFERENCE]],1)-1),"Main Line")</f>
        <v>26Jun006</v>
      </c>
      <c r="D912" s="462" t="s">
        <v>63</v>
      </c>
      <c r="E912" s="462" t="s">
        <v>64</v>
      </c>
      <c r="F912" s="462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2" t="s">
        <v>402</v>
      </c>
      <c r="H912" s="462" t="s">
        <v>67</v>
      </c>
      <c r="I912" s="462" t="s">
        <v>689</v>
      </c>
      <c r="J912" s="462" t="s">
        <v>96</v>
      </c>
      <c r="M912" s="462" t="s">
        <v>68</v>
      </c>
      <c r="N912" s="712">
        <v>46188</v>
      </c>
      <c r="O912" s="462" t="s">
        <v>4531</v>
      </c>
      <c r="P912" s="462" t="s">
        <v>1002</v>
      </c>
      <c r="Q912" s="462" t="s">
        <v>330</v>
      </c>
      <c r="R912" s="430" t="str">
        <f>_xlfn.XLOOKUP(PV_DATA[[#This Row],[New Ark SKU]],Table9[New Ark SKU],Table9[Connector],,0)</f>
        <v>EVO2A</v>
      </c>
      <c r="S912" s="433" t="str">
        <f>_xlfn.XLOOKUP(PV_DATA[[#This Row],[New Ark SKU]],Table9[New Ark SKU],Table9[Cable],,0)</f>
        <v>±1400mm</v>
      </c>
      <c r="T912" s="946">
        <v>625</v>
      </c>
      <c r="U912" s="1095">
        <v>1440</v>
      </c>
      <c r="V912" s="458">
        <f>PV_DATA[[#This Row],[QUANTITY]]*PV_DATA[[#This Row],[WATT]]/1000000</f>
        <v>0.9</v>
      </c>
      <c r="W912" s="714">
        <f>PV_DATA[[#This Row],[QUANTITY]]/PV_DATA[[#This Row],[Qty/Pallet]]</f>
        <v>40</v>
      </c>
      <c r="X912" s="1042">
        <f>PV_DATA[[#This Row],[QUANTITY]]/PV_DATA[[#This Row],[Qty/CT]]</f>
        <v>2</v>
      </c>
      <c r="Y912" s="462" t="s">
        <v>2460</v>
      </c>
      <c r="Z912" s="462" t="str">
        <f t="shared" ref="Z912:Z943" si="12">IF(AN912&lt;&gt;"","COMPLETED",IF(AK912&lt;&gt;"","IN-TRANSIT",""))</f>
        <v>IN-TRANSIT</v>
      </c>
      <c r="AB912" s="713">
        <v>46243</v>
      </c>
      <c r="AC912" s="947">
        <f>IF(PV_DATA[[#This Row],[Pick- Up Date]]&lt;&gt;"",_xlfn.ISOWEEKNUM(PV_DATA[[#This Row],[Pick- Up Date]]),"")</f>
        <v>32</v>
      </c>
      <c r="AD912" s="462" t="s">
        <v>6172</v>
      </c>
      <c r="AF912" s="462" t="s">
        <v>61</v>
      </c>
      <c r="AG912" s="462" t="s">
        <v>61</v>
      </c>
      <c r="AH912" s="462" t="s">
        <v>105</v>
      </c>
      <c r="AI912" s="713">
        <v>46249</v>
      </c>
      <c r="AJ912" s="713">
        <v>46249</v>
      </c>
      <c r="AK912" s="713">
        <v>46249</v>
      </c>
      <c r="AL912" s="437">
        <v>46305</v>
      </c>
      <c r="AM912" s="437">
        <v>46314</v>
      </c>
      <c r="AN912" s="949"/>
      <c r="AP912" s="462" t="s">
        <v>6163</v>
      </c>
      <c r="AQ912" s="462" t="s">
        <v>161</v>
      </c>
      <c r="AR912" s="462" t="s">
        <v>6164</v>
      </c>
      <c r="AS912" s="462" t="s">
        <v>6165</v>
      </c>
      <c r="AT912" s="462" t="s">
        <v>6166</v>
      </c>
      <c r="AU9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912" s="713"/>
      <c r="AW912" s="713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1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713">
        <f>IF(ISERROR(PV_DATA[[#This Row],[New Ark PO status]]),"",_xlfn.XLOOKUP(PV_DATA[[#This Row],[SPTN-PVHK New Ark PO'#]],New_Ark_Data[Purchase order Number],New_Ark_Data[Estimated time of arrival],"",0))</f>
        <v>46312</v>
      </c>
      <c r="AZ912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713">
        <f>IFERROR(PV_DATA[[#This Row],[ODP ETA Port]]+PV_DATA[[#This Row],[Customs/Leg3 Assumption]],"n/a")</f>
        <v>46321</v>
      </c>
      <c r="BB912" s="946">
        <f>YEAR(PV_DATA[[#This Row],[ETA for New Ark update]])</f>
        <v>2026</v>
      </c>
      <c r="BC912" s="462">
        <f>MONTH(PV_DATA[[#This Row],[ETA for New Ark update]])</f>
        <v>10</v>
      </c>
      <c r="BD912" s="462">
        <f>IFERROR(_xlfn.ISOWEEKNUM(PV_DATA[[#This Row],[ETA for New Ark update]]),0)</f>
        <v>44</v>
      </c>
      <c r="BE912" s="462">
        <f>_xlfn.XLOOKUP(PV_DATA[[#This Row],[New Ark SKU]],Table9[New Ark SKU],Table9[Total PCS per Pallet],,0)</f>
        <v>36</v>
      </c>
      <c r="BF912" s="462">
        <f>_xlfn.XLOOKUP(PV_DATA[[#This Row],[New Ark SKU]],Table9[New Ark SKU],Table9[Total PCS per 40HQ Container],,0)</f>
        <v>720</v>
      </c>
      <c r="BG912" s="462" t="str">
        <f>_xlfn.XLOOKUP(PV_DATA[[#This Row],[New Ark SKU]],Table9[New Ark SKU],Table9[Back Glass],,0)</f>
        <v>Redirection Film</v>
      </c>
      <c r="BH912" s="462" t="str">
        <f>_xlfn.XLOOKUP(PV_DATA[[#This Row],[PORT DESTINATION]],Table12[PORT DESTINATION],Table12[Cosco Line],,0)</f>
        <v>AEU</v>
      </c>
    </row>
    <row r="913" spans="1:62" s="462" customFormat="1" ht="10.5">
      <c r="A913" s="462" t="s">
        <v>6173</v>
      </c>
      <c r="B913" s="462" t="s">
        <v>61</v>
      </c>
      <c r="C913" s="462" t="str">
        <f>IFERROR(LEFT(PV_DATA[[#This Row],[TCL REFERENCE]],FIND(".",PV_DATA[[#This Row],[TCL REFERENCE]],1)-1),"Main Line")</f>
        <v>26Jul011</v>
      </c>
      <c r="D913" s="462" t="s">
        <v>63</v>
      </c>
      <c r="E913" s="462" t="s">
        <v>64</v>
      </c>
      <c r="F913" s="462" t="s">
        <v>100</v>
      </c>
      <c r="G913" s="462" t="s">
        <v>402</v>
      </c>
      <c r="H913" s="462" t="s">
        <v>67</v>
      </c>
      <c r="I913" s="462" t="s">
        <v>822</v>
      </c>
      <c r="J913" s="462" t="s">
        <v>96</v>
      </c>
      <c r="M913" s="462" t="s">
        <v>68</v>
      </c>
      <c r="N913" s="712">
        <v>46209</v>
      </c>
      <c r="O913" s="462" t="s">
        <v>284</v>
      </c>
      <c r="P913" s="462" t="s">
        <v>5583</v>
      </c>
      <c r="Q913" s="462" t="s">
        <v>1570</v>
      </c>
      <c r="R913" s="430" t="str">
        <f>_xlfn.XLOOKUP(PV_DATA[[#This Row],[New Ark SKU]],Table9[New Ark SKU],Table9[Connector],,0)</f>
        <v>H4(Com)</v>
      </c>
      <c r="S913" s="433" t="str">
        <f>_xlfn.XLOOKUP(PV_DATA[[#This Row],[New Ark SKU]],Table9[New Ark SKU],Table9[Cable],,0)</f>
        <v>±1400mm</v>
      </c>
      <c r="T913" s="946">
        <v>650</v>
      </c>
      <c r="U913" s="1095">
        <f>720*6</f>
        <v>4320</v>
      </c>
      <c r="V913" s="458">
        <f>PV_DATA[[#This Row],[QUANTITY]]*PV_DATA[[#This Row],[WATT]]/1000000</f>
        <v>2.8079999999999998</v>
      </c>
      <c r="W913" s="714">
        <f>PV_DATA[[#This Row],[QUANTITY]]/PV_DATA[[#This Row],[Qty/Pallet]]</f>
        <v>120</v>
      </c>
      <c r="X913" s="1042">
        <f>PV_DATA[[#This Row],[QUANTITY]]/PV_DATA[[#This Row],[Qty/CT]]</f>
        <v>6</v>
      </c>
      <c r="Y913" s="462" t="s">
        <v>2463</v>
      </c>
      <c r="Z913" s="462" t="str">
        <f t="shared" si="12"/>
        <v>IN-TRANSIT</v>
      </c>
      <c r="AB913" s="713">
        <v>46248</v>
      </c>
      <c r="AC913" s="947">
        <f>IF(PV_DATA[[#This Row],[Pick- Up Date]]&lt;&gt;"",_xlfn.ISOWEEKNUM(PV_DATA[[#This Row],[Pick- Up Date]]),"")</f>
        <v>33</v>
      </c>
      <c r="AD913" s="462" t="s">
        <v>6174</v>
      </c>
      <c r="AE913" s="462" t="s">
        <v>6174</v>
      </c>
      <c r="AF913" s="462" t="s">
        <v>61</v>
      </c>
      <c r="AG913" s="462" t="s">
        <v>61</v>
      </c>
      <c r="AH913" s="462" t="s">
        <v>105</v>
      </c>
      <c r="AI913" s="713">
        <v>46254</v>
      </c>
      <c r="AJ913" s="713"/>
      <c r="AK913" s="713">
        <f>IFERROR(IF(VLOOKUP(AT913,Vessel!A:F,5,FALSE)=0,"",VLOOKUP(AT913,Vessel!A:F,5,FALSE)),"")</f>
        <v>46254.49119212963</v>
      </c>
      <c r="AL913" s="713">
        <v>46298</v>
      </c>
      <c r="AM913" s="949">
        <f>IFERROR(VLOOKUP(AT913, Vessel!A:H, 8, FALSE), "")</f>
        <v>46303.291666666664</v>
      </c>
      <c r="AN913" s="949" t="str">
        <f>IFERROR(IF(VLOOKUP(AT913,Vessel!A:I,9,FALSE)=0,"",VLOOKUP(AT913,Vessel!A:I,9,FALSE)),"")</f>
        <v/>
      </c>
      <c r="AO913" s="462" t="s">
        <v>402</v>
      </c>
      <c r="AP913" s="462" t="s">
        <v>6175</v>
      </c>
      <c r="AQ913" s="462" t="s">
        <v>80</v>
      </c>
      <c r="AR913" s="462" t="s">
        <v>6176</v>
      </c>
      <c r="AS913" s="462" t="s">
        <v>6177</v>
      </c>
      <c r="AT913" s="462" t="s">
        <v>6177</v>
      </c>
      <c r="AU9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48.800474537034461</v>
      </c>
      <c r="AW913" s="713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46303.291666666664</v>
      </c>
      <c r="AX91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3" s="713">
        <f>IF(ISERROR(PV_DATA[[#This Row],[New Ark PO status]]),"",_xlfn.XLOOKUP(PV_DATA[[#This Row],[SPTN-PVHK New Ark PO'#]],New_Ark_Data[Purchase order Number],New_Ark_Data[Estimated time of arrival],"",0))</f>
        <v>46305</v>
      </c>
      <c r="AZ913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3" s="713">
        <f>IFERROR(PV_DATA[[#This Row],[ODP ETA Port]]+PV_DATA[[#This Row],[Customs/Leg3 Assumption]],"n/a")</f>
        <v>46310.291666666664</v>
      </c>
      <c r="BB913" s="946">
        <f>YEAR(PV_DATA[[#This Row],[ETA for New Ark update]])</f>
        <v>2026</v>
      </c>
      <c r="BC913" s="462">
        <f>MONTH(PV_DATA[[#This Row],[ETA for New Ark update]])</f>
        <v>10</v>
      </c>
      <c r="BD913" s="462">
        <f>IFERROR(_xlfn.ISOWEEKNUM(PV_DATA[[#This Row],[ETA for New Ark update]]),0)</f>
        <v>42</v>
      </c>
      <c r="BE913" s="462">
        <f>_xlfn.XLOOKUP(PV_DATA[[#This Row],[New Ark SKU]],Table9[New Ark SKU],Table9[Total PCS per Pallet],,0)</f>
        <v>36</v>
      </c>
      <c r="BF913" s="462">
        <f>_xlfn.XLOOKUP(PV_DATA[[#This Row],[New Ark SKU]],Table9[New Ark SKU],Table9[Total PCS per 40HQ Container],,0)</f>
        <v>720</v>
      </c>
      <c r="BG913" s="462" t="str">
        <f>_xlfn.XLOOKUP(PV_DATA[[#This Row],[New Ark SKU]],Table9[New Ark SKU],Table9[Back Glass],,0)</f>
        <v>White glazing</v>
      </c>
      <c r="BH913" s="462" t="str">
        <f>_xlfn.XLOOKUP(PV_DATA[[#This Row],[PORT DESTINATION]],Table12[PORT DESTINATION],Table12[Cosco Line],,0)</f>
        <v>AEU</v>
      </c>
    </row>
    <row r="914" spans="1:62" s="462" customFormat="1" ht="10.5">
      <c r="A914" s="462" t="s">
        <v>6178</v>
      </c>
      <c r="B914" s="462" t="s">
        <v>61</v>
      </c>
      <c r="C914" s="462" t="str">
        <f>IFERROR(LEFT(PV_DATA[[#This Row],[TCL REFERENCE]],FIND(".",PV_DATA[[#This Row],[TCL REFERENCE]],1)-1),"Main Line")</f>
        <v>26Jun006</v>
      </c>
      <c r="D914" s="462" t="s">
        <v>63</v>
      </c>
      <c r="E914" s="462" t="s">
        <v>64</v>
      </c>
      <c r="F914" s="462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4" s="462" t="s">
        <v>402</v>
      </c>
      <c r="H914" s="462" t="s">
        <v>67</v>
      </c>
      <c r="I914" s="462" t="s">
        <v>689</v>
      </c>
      <c r="J914" s="462" t="s">
        <v>96</v>
      </c>
      <c r="M914" s="462" t="s">
        <v>68</v>
      </c>
      <c r="N914" s="712">
        <v>46188</v>
      </c>
      <c r="O914" s="462" t="s">
        <v>4531</v>
      </c>
      <c r="P914" s="462" t="s">
        <v>1002</v>
      </c>
      <c r="Q914" s="462" t="s">
        <v>330</v>
      </c>
      <c r="R914" s="430" t="str">
        <f>_xlfn.XLOOKUP(PV_DATA[[#This Row],[New Ark SKU]],Table9[New Ark SKU],Table9[Connector],,0)</f>
        <v>EVO2A</v>
      </c>
      <c r="S914" s="433" t="str">
        <f>_xlfn.XLOOKUP(PV_DATA[[#This Row],[New Ark SKU]],Table9[New Ark SKU],Table9[Cable],,0)</f>
        <v>±1400mm</v>
      </c>
      <c r="T914" s="946">
        <v>625</v>
      </c>
      <c r="U914" s="1095">
        <v>1440</v>
      </c>
      <c r="V914" s="458">
        <f>PV_DATA[[#This Row],[QUANTITY]]*PV_DATA[[#This Row],[WATT]]/1000000</f>
        <v>0.9</v>
      </c>
      <c r="W914" s="714">
        <f>PV_DATA[[#This Row],[QUANTITY]]/PV_DATA[[#This Row],[Qty/Pallet]]</f>
        <v>40</v>
      </c>
      <c r="X914" s="1042">
        <f>PV_DATA[[#This Row],[QUANTITY]]/PV_DATA[[#This Row],[Qty/CT]]</f>
        <v>2</v>
      </c>
      <c r="Y914" s="462" t="s">
        <v>2460</v>
      </c>
      <c r="Z914" s="462" t="str">
        <f t="shared" si="12"/>
        <v>IN-TRANSIT</v>
      </c>
      <c r="AA914" s="462" t="s">
        <v>5853</v>
      </c>
      <c r="AB914" s="713">
        <v>46248</v>
      </c>
      <c r="AC914" s="947">
        <f>IF(PV_DATA[[#This Row],[Pick- Up Date]]&lt;&gt;"",_xlfn.ISOWEEKNUM(PV_DATA[[#This Row],[Pick- Up Date]]),"")</f>
        <v>33</v>
      </c>
      <c r="AD914" s="462" t="s">
        <v>6179</v>
      </c>
      <c r="AE914" s="462" t="s">
        <v>6179</v>
      </c>
      <c r="AF914" s="462" t="s">
        <v>61</v>
      </c>
      <c r="AG914" s="462" t="s">
        <v>61</v>
      </c>
      <c r="AH914" s="462" t="s">
        <v>105</v>
      </c>
      <c r="AI914" s="713">
        <v>46254</v>
      </c>
      <c r="AJ914" s="713"/>
      <c r="AK914" s="713">
        <f>IFERROR(IF(VLOOKUP(AT914,Vessel!A:F,5,FALSE)=0,"",VLOOKUP(AT914,Vessel!A:F,5,FALSE)),"")</f>
        <v>46254.49119212963</v>
      </c>
      <c r="AL914" s="713">
        <v>46298</v>
      </c>
      <c r="AM914" s="949">
        <f>IFERROR(VLOOKUP(AT914, Vessel!A:H, 8, FALSE), "")</f>
        <v>46303.291666666664</v>
      </c>
      <c r="AN914" s="949" t="str">
        <f>IFERROR(IF(VLOOKUP(AT914,Vessel!A:I,9,FALSE)=0,"",VLOOKUP(AT914,Vessel!A:I,9,FALSE)),"")</f>
        <v/>
      </c>
      <c r="AO914" s="462" t="s">
        <v>402</v>
      </c>
      <c r="AP914" s="462" t="s">
        <v>6175</v>
      </c>
      <c r="AQ914" s="462" t="s">
        <v>80</v>
      </c>
      <c r="AR914" s="462" t="s">
        <v>6176</v>
      </c>
      <c r="AS914" s="462" t="s">
        <v>6177</v>
      </c>
      <c r="AT914" s="462" t="s">
        <v>6177</v>
      </c>
      <c r="AU9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48.800474537034461</v>
      </c>
      <c r="AV914" s="713"/>
      <c r="AW914" s="713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46303.291666666664</v>
      </c>
      <c r="AX91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4" s="713">
        <f>IF(ISERROR(PV_DATA[[#This Row],[New Ark PO status]]),"",_xlfn.XLOOKUP(PV_DATA[[#This Row],[SPTN-PVHK New Ark PO'#]],New_Ark_Data[Purchase order Number],New_Ark_Data[Estimated time of arrival],"",0))</f>
        <v>46311</v>
      </c>
      <c r="AZ914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4" s="713">
        <f>IFERROR(PV_DATA[[#This Row],[ODP ETA Port]]+PV_DATA[[#This Row],[Customs/Leg3 Assumption]],"n/a")</f>
        <v>46310.291666666664</v>
      </c>
      <c r="BB914" s="946">
        <f>YEAR(PV_DATA[[#This Row],[ETA for New Ark update]])</f>
        <v>2026</v>
      </c>
      <c r="BC914" s="462">
        <f>MONTH(PV_DATA[[#This Row],[ETA for New Ark update]])</f>
        <v>10</v>
      </c>
      <c r="BD914" s="462">
        <f>IFERROR(_xlfn.ISOWEEKNUM(PV_DATA[[#This Row],[ETA for New Ark update]]),0)</f>
        <v>42</v>
      </c>
      <c r="BE914" s="462">
        <f>_xlfn.XLOOKUP(PV_DATA[[#This Row],[New Ark SKU]],Table9[New Ark SKU],Table9[Total PCS per Pallet],,0)</f>
        <v>36</v>
      </c>
      <c r="BF914" s="462">
        <f>_xlfn.XLOOKUP(PV_DATA[[#This Row],[New Ark SKU]],Table9[New Ark SKU],Table9[Total PCS per 40HQ Container],,0)</f>
        <v>720</v>
      </c>
      <c r="BG914" s="462" t="str">
        <f>_xlfn.XLOOKUP(PV_DATA[[#This Row],[New Ark SKU]],Table9[New Ark SKU],Table9[Back Glass],,0)</f>
        <v>Redirection Film</v>
      </c>
      <c r="BH914" s="462" t="str">
        <f>_xlfn.XLOOKUP(PV_DATA[[#This Row],[PORT DESTINATION]],Table12[PORT DESTINATION],Table12[Cosco Line],,0)</f>
        <v>AEU</v>
      </c>
    </row>
    <row r="915" spans="1:62" s="462" customFormat="1" ht="10.5">
      <c r="A915" s="462" t="s">
        <v>6180</v>
      </c>
      <c r="B915" s="462" t="s">
        <v>61</v>
      </c>
      <c r="C915" s="462" t="str">
        <f>IFERROR(LEFT(PV_DATA[[#This Row],[TCL REFERENCE]],FIND(".",PV_DATA[[#This Row],[TCL REFERENCE]],1)-1),"Main Line")</f>
        <v>26Jun021</v>
      </c>
      <c r="D915" s="462" t="s">
        <v>63</v>
      </c>
      <c r="E915" s="462" t="s">
        <v>64</v>
      </c>
      <c r="F915" s="462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15" s="462" t="s">
        <v>402</v>
      </c>
      <c r="H915" s="462" t="s">
        <v>67</v>
      </c>
      <c r="I915" s="462" t="s">
        <v>1395</v>
      </c>
      <c r="J915" s="462" t="s">
        <v>96</v>
      </c>
      <c r="M915" s="462" t="s">
        <v>68</v>
      </c>
      <c r="N915" s="712">
        <v>46202</v>
      </c>
      <c r="O915" s="462" t="s">
        <v>284</v>
      </c>
      <c r="P915" s="730" t="s">
        <v>6159</v>
      </c>
      <c r="Q915" s="462" t="s">
        <v>1570</v>
      </c>
      <c r="R915" s="430" t="str">
        <f>_xlfn.XLOOKUP(PV_DATA[[#This Row],[New Ark SKU]],Table9[New Ark SKU],Table9[Connector],,0)</f>
        <v>EVO2A</v>
      </c>
      <c r="S915" s="433" t="str">
        <f>_xlfn.XLOOKUP(PV_DATA[[#This Row],[New Ark SKU]],Table9[New Ark SKU],Table9[Cable],,0)</f>
        <v>±1400mm</v>
      </c>
      <c r="T915" s="946">
        <v>650</v>
      </c>
      <c r="U915" s="1095">
        <f>720*3</f>
        <v>2160</v>
      </c>
      <c r="V915" s="458">
        <f>PV_DATA[[#This Row],[QUANTITY]]*PV_DATA[[#This Row],[WATT]]/1000000</f>
        <v>1.4039999999999999</v>
      </c>
      <c r="W915" s="714">
        <f>PV_DATA[[#This Row],[QUANTITY]]/PV_DATA[[#This Row],[Qty/Pallet]]</f>
        <v>60</v>
      </c>
      <c r="X915" s="1042">
        <f>PV_DATA[[#This Row],[QUANTITY]]/PV_DATA[[#This Row],[Qty/CT]]</f>
        <v>3</v>
      </c>
      <c r="Y915" s="462" t="s">
        <v>2462</v>
      </c>
      <c r="Z915" s="462" t="str">
        <f t="shared" si="12"/>
        <v>IN-TRANSIT</v>
      </c>
      <c r="AB915" s="713">
        <v>46248</v>
      </c>
      <c r="AC915" s="947">
        <f>IF(PV_DATA[[#This Row],[Pick- Up Date]]&lt;&gt;"",_xlfn.ISOWEEKNUM(PV_DATA[[#This Row],[Pick- Up Date]]),"")</f>
        <v>33</v>
      </c>
      <c r="AD915" s="462" t="s">
        <v>6181</v>
      </c>
      <c r="AE915" s="462" t="s">
        <v>6181</v>
      </c>
      <c r="AF915" s="462" t="s">
        <v>61</v>
      </c>
      <c r="AG915" s="462" t="s">
        <v>61</v>
      </c>
      <c r="AH915" s="462" t="s">
        <v>78</v>
      </c>
      <c r="AI915" s="713">
        <v>46254</v>
      </c>
      <c r="AJ915" s="713">
        <f>IFERROR(VLOOKUP(AT915, Vessel!A:D, 4, FALSE), "")</f>
        <v>46254.666666666664</v>
      </c>
      <c r="AK915" s="713">
        <f>IFERROR(IF(VLOOKUP(AT915,Vessel!A:F,5,FALSE)=0,"",VLOOKUP(AT915,Vessel!A:F,5,FALSE)),"")</f>
        <v>46254.49119212963</v>
      </c>
      <c r="AL915" s="713">
        <v>46321</v>
      </c>
      <c r="AM915" s="949">
        <f>IFERROR(VLOOKUP(AT915, Vessel!A:H, 8, FALSE), "")</f>
        <v>46323.791666666664</v>
      </c>
      <c r="AN915" s="949" t="str">
        <f>IFERROR(IF(VLOOKUP(AT915,Vessel!A:I,9,FALSE)=0,"",VLOOKUP(AT915,Vessel!A:I,9,FALSE)),"")</f>
        <v/>
      </c>
      <c r="AO915" s="462" t="s">
        <v>402</v>
      </c>
      <c r="AP915" s="462" t="s">
        <v>6175</v>
      </c>
      <c r="AQ915" s="950" t="s">
        <v>80</v>
      </c>
      <c r="AR915" s="462" t="s">
        <v>6182</v>
      </c>
      <c r="AS915" s="462" t="s">
        <v>6183</v>
      </c>
      <c r="AT915" s="462" t="s">
        <v>6183</v>
      </c>
      <c r="AU9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69.300474537034461</v>
      </c>
      <c r="AW915" s="713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1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713">
        <f>IF(ISERROR(PV_DATA[[#This Row],[New Ark PO status]]),"",_xlfn.XLOOKUP(PV_DATA[[#This Row],[SPTN-PVHK New Ark PO'#]],New_Ark_Data[Purchase order Number],New_Ark_Data[Estimated time of arrival],"",0))</f>
        <v>46328</v>
      </c>
      <c r="AZ915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15" s="713">
        <f>IFERROR(PV_DATA[[#This Row],[ODP ETA Port]]+PV_DATA[[#This Row],[Customs/Leg3 Assumption]],"n/a")</f>
        <v>46331.791666666664</v>
      </c>
      <c r="BB915" s="946">
        <f>YEAR(PV_DATA[[#This Row],[ETA for New Ark update]])</f>
        <v>2026</v>
      </c>
      <c r="BC915" s="462">
        <f>MONTH(PV_DATA[[#This Row],[ETA for New Ark update]])</f>
        <v>11</v>
      </c>
      <c r="BD915" s="462">
        <f>IFERROR(_xlfn.ISOWEEKNUM(PV_DATA[[#This Row],[ETA for New Ark update]]),0)</f>
        <v>45</v>
      </c>
      <c r="BE915" s="462">
        <f>_xlfn.XLOOKUP(PV_DATA[[#This Row],[New Ark SKU]],Table9[New Ark SKU],Table9[Total PCS per Pallet],,0)</f>
        <v>36</v>
      </c>
      <c r="BF915" s="462">
        <f>_xlfn.XLOOKUP(PV_DATA[[#This Row],[New Ark SKU]],Table9[New Ark SKU],Table9[Total PCS per 40HQ Container],,0)</f>
        <v>720</v>
      </c>
      <c r="BG915" s="462" t="str">
        <f>_xlfn.XLOOKUP(PV_DATA[[#This Row],[New Ark SKU]],Table9[New Ark SKU],Table9[Back Glass],,0)</f>
        <v>White glazing</v>
      </c>
      <c r="BH915" s="462" t="str">
        <f>_xlfn.XLOOKUP(PV_DATA[[#This Row],[PORT DESTINATION]],Table12[PORT DESTINATION],Table12[Cosco Line],,0)</f>
        <v>AEM</v>
      </c>
    </row>
    <row r="916" spans="1:62" s="462" customFormat="1" ht="10.5">
      <c r="A916" s="462" t="s">
        <v>6184</v>
      </c>
      <c r="B916" s="462" t="s">
        <v>61</v>
      </c>
      <c r="C916" s="462" t="str">
        <f>IFERROR(LEFT(PV_DATA[[#This Row],[TCL REFERENCE]],FIND(".",PV_DATA[[#This Row],[TCL REFERENCE]],1)-1),"Main Line")</f>
        <v>26Jul012</v>
      </c>
      <c r="D916" s="462" t="s">
        <v>63</v>
      </c>
      <c r="E916" s="462" t="s">
        <v>64</v>
      </c>
      <c r="F916" s="462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16" s="462" t="s">
        <v>402</v>
      </c>
      <c r="H916" s="462" t="s">
        <v>67</v>
      </c>
      <c r="I916" s="462" t="s">
        <v>1395</v>
      </c>
      <c r="J916" s="462" t="s">
        <v>96</v>
      </c>
      <c r="M916" s="462" t="s">
        <v>68</v>
      </c>
      <c r="N916" s="712">
        <v>46209</v>
      </c>
      <c r="O916" s="462" t="s">
        <v>284</v>
      </c>
      <c r="P916" s="462" t="s">
        <v>5496</v>
      </c>
      <c r="Q916" s="462" t="s">
        <v>5346</v>
      </c>
      <c r="R916" s="430" t="str">
        <f>_xlfn.XLOOKUP(PV_DATA[[#This Row],[New Ark SKU]],Table9[New Ark SKU],Table9[Connector],,0)</f>
        <v>H4(Com)</v>
      </c>
      <c r="S916" s="433" t="str">
        <f>_xlfn.XLOOKUP(PV_DATA[[#This Row],[New Ark SKU]],Table9[New Ark SKU],Table9[Cable],,0)</f>
        <v>±1400mm</v>
      </c>
      <c r="T916" s="946">
        <v>655</v>
      </c>
      <c r="U916" s="1095">
        <v>720</v>
      </c>
      <c r="V916" s="458">
        <f>PV_DATA[[#This Row],[QUANTITY]]*PV_DATA[[#This Row],[WATT]]/1000000</f>
        <v>0.47160000000000002</v>
      </c>
      <c r="W916" s="714">
        <f>PV_DATA[[#This Row],[QUANTITY]]/PV_DATA[[#This Row],[Qty/Pallet]]</f>
        <v>20</v>
      </c>
      <c r="X916" s="1042">
        <f>PV_DATA[[#This Row],[QUANTITY]]/PV_DATA[[#This Row],[Qty/CT]]</f>
        <v>1</v>
      </c>
      <c r="Y916" s="462" t="s">
        <v>2462</v>
      </c>
      <c r="Z916" s="462" t="str">
        <f t="shared" si="12"/>
        <v>IN-TRANSIT</v>
      </c>
      <c r="AB916" s="713">
        <v>46248</v>
      </c>
      <c r="AC916" s="947">
        <f>IF(PV_DATA[[#This Row],[Pick- Up Date]]&lt;&gt;"",_xlfn.ISOWEEKNUM(PV_DATA[[#This Row],[Pick- Up Date]]),"")</f>
        <v>33</v>
      </c>
      <c r="AD916" s="462" t="s">
        <v>6185</v>
      </c>
      <c r="AE916" s="462" t="s">
        <v>6185</v>
      </c>
      <c r="AF916" s="462" t="s">
        <v>61</v>
      </c>
      <c r="AG916" s="462" t="s">
        <v>61</v>
      </c>
      <c r="AH916" s="462" t="s">
        <v>78</v>
      </c>
      <c r="AI916" s="713">
        <v>46254</v>
      </c>
      <c r="AJ916" s="713">
        <f>IFERROR(VLOOKUP(AT916, Vessel!A:D, 4, FALSE), "")</f>
        <v>46254.666666666664</v>
      </c>
      <c r="AK916" s="713">
        <f>IFERROR(IF(VLOOKUP(AT916,Vessel!A:F,5,FALSE)=0,"",VLOOKUP(AT916,Vessel!A:F,5,FALSE)),"")</f>
        <v>46254.49119212963</v>
      </c>
      <c r="AL916" s="713">
        <v>46321</v>
      </c>
      <c r="AM916" s="949">
        <f>IFERROR(VLOOKUP(AT916, Vessel!A:H, 8, FALSE), "")</f>
        <v>46323.791666666664</v>
      </c>
      <c r="AN916" s="949" t="str">
        <f>IFERROR(IF(VLOOKUP(AT916,Vessel!A:I,9,FALSE)=0,"",VLOOKUP(AT916,Vessel!A:I,9,FALSE)),"")</f>
        <v/>
      </c>
      <c r="AO916" s="462" t="s">
        <v>402</v>
      </c>
      <c r="AP916" s="462" t="s">
        <v>6175</v>
      </c>
      <c r="AQ916" s="950" t="s">
        <v>80</v>
      </c>
      <c r="AR916" s="462" t="s">
        <v>6182</v>
      </c>
      <c r="AS916" s="462" t="s">
        <v>6183</v>
      </c>
      <c r="AT916" s="462" t="s">
        <v>6183</v>
      </c>
      <c r="AU9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69.300474537034461</v>
      </c>
      <c r="AW916" s="713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1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713">
        <f>IF(ISERROR(PV_DATA[[#This Row],[New Ark PO status]]),"",_xlfn.XLOOKUP(PV_DATA[[#This Row],[SPTN-PVHK New Ark PO'#]],New_Ark_Data[Purchase order Number],New_Ark_Data[Estimated time of arrival],"",0))</f>
        <v>46328</v>
      </c>
      <c r="AZ916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16" s="713">
        <f>IFERROR(PV_DATA[[#This Row],[ODP ETA Port]]+PV_DATA[[#This Row],[Customs/Leg3 Assumption]],"n/a")</f>
        <v>46331.791666666664</v>
      </c>
      <c r="BB916" s="946">
        <f>YEAR(PV_DATA[[#This Row],[ETA for New Ark update]])</f>
        <v>2026</v>
      </c>
      <c r="BC916" s="462">
        <f>MONTH(PV_DATA[[#This Row],[ETA for New Ark update]])</f>
        <v>11</v>
      </c>
      <c r="BD916" s="462">
        <f>IFERROR(_xlfn.ISOWEEKNUM(PV_DATA[[#This Row],[ETA for New Ark update]]),0)</f>
        <v>45</v>
      </c>
      <c r="BE916" s="462">
        <f>_xlfn.XLOOKUP(PV_DATA[[#This Row],[New Ark SKU]],Table9[New Ark SKU],Table9[Total PCS per Pallet],,0)</f>
        <v>36</v>
      </c>
      <c r="BF916" s="462">
        <f>_xlfn.XLOOKUP(PV_DATA[[#This Row],[New Ark SKU]],Table9[New Ark SKU],Table9[Total PCS per 40HQ Container],,0)</f>
        <v>720</v>
      </c>
      <c r="BG916" s="462" t="str">
        <f>_xlfn.XLOOKUP(PV_DATA[[#This Row],[New Ark SKU]],Table9[New Ark SKU],Table9[Back Glass],,0)</f>
        <v>White glazing</v>
      </c>
      <c r="BH916" s="462" t="str">
        <f>_xlfn.XLOOKUP(PV_DATA[[#This Row],[PORT DESTINATION]],Table12[PORT DESTINATION],Table12[Cosco Line],,0)</f>
        <v>AEM</v>
      </c>
    </row>
    <row r="917" spans="1:62" s="462" customFormat="1" ht="10.5">
      <c r="A917" s="462" t="s">
        <v>6186</v>
      </c>
      <c r="B917" s="462" t="s">
        <v>61</v>
      </c>
      <c r="C917" s="462" t="str">
        <f>IFERROR(LEFT(PV_DATA[[#This Row],[TCL REFERENCE]],FIND(".",PV_DATA[[#This Row],[TCL REFERENCE]],1)-1),"Main Line")</f>
        <v>26Jul012</v>
      </c>
      <c r="D917" s="462" t="s">
        <v>63</v>
      </c>
      <c r="E917" s="462" t="s">
        <v>64</v>
      </c>
      <c r="F917" s="462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17" s="462" t="s">
        <v>402</v>
      </c>
      <c r="H917" s="462" t="s">
        <v>67</v>
      </c>
      <c r="I917" s="462" t="s">
        <v>1395</v>
      </c>
      <c r="J917" s="462" t="s">
        <v>96</v>
      </c>
      <c r="M917" s="462" t="s">
        <v>68</v>
      </c>
      <c r="N917" s="712">
        <v>46209</v>
      </c>
      <c r="O917" s="462" t="s">
        <v>284</v>
      </c>
      <c r="P917" s="462" t="s">
        <v>5496</v>
      </c>
      <c r="Q917" s="462" t="s">
        <v>5346</v>
      </c>
      <c r="R917" s="430" t="str">
        <f>_xlfn.XLOOKUP(PV_DATA[[#This Row],[New Ark SKU]],Table9[New Ark SKU],Table9[Connector],,0)</f>
        <v>H4(Com)</v>
      </c>
      <c r="S917" s="433" t="str">
        <f>_xlfn.XLOOKUP(PV_DATA[[#This Row],[New Ark SKU]],Table9[New Ark SKU],Table9[Cable],,0)</f>
        <v>±1400mm</v>
      </c>
      <c r="T917" s="946">
        <v>655</v>
      </c>
      <c r="U917" s="1095">
        <v>1440</v>
      </c>
      <c r="V917" s="458">
        <f>PV_DATA[[#This Row],[QUANTITY]]*PV_DATA[[#This Row],[WATT]]/1000000</f>
        <v>0.94320000000000004</v>
      </c>
      <c r="W917" s="714">
        <f>PV_DATA[[#This Row],[QUANTITY]]/PV_DATA[[#This Row],[Qty/Pallet]]</f>
        <v>40</v>
      </c>
      <c r="X917" s="1042">
        <f>PV_DATA[[#This Row],[QUANTITY]]/PV_DATA[[#This Row],[Qty/CT]]</f>
        <v>2</v>
      </c>
      <c r="Y917" s="462" t="s">
        <v>2462</v>
      </c>
      <c r="Z917" s="462" t="str">
        <f t="shared" si="12"/>
        <v>IN-TRANSIT</v>
      </c>
      <c r="AB917" s="713">
        <v>46248</v>
      </c>
      <c r="AC917" s="947">
        <f>IF(PV_DATA[[#This Row],[Pick- Up Date]]&lt;&gt;"",_xlfn.ISOWEEKNUM(PV_DATA[[#This Row],[Pick- Up Date]]),"")</f>
        <v>33</v>
      </c>
      <c r="AD917" s="462" t="s">
        <v>6187</v>
      </c>
      <c r="AE917" s="462" t="s">
        <v>6187</v>
      </c>
      <c r="AF917" s="462" t="s">
        <v>61</v>
      </c>
      <c r="AG917" s="462" t="s">
        <v>61</v>
      </c>
      <c r="AH917" s="462" t="s">
        <v>78</v>
      </c>
      <c r="AI917" s="713">
        <v>46254</v>
      </c>
      <c r="AJ917" s="713">
        <f>IFERROR(VLOOKUP(AT917, Vessel!A:D, 4, FALSE), "")</f>
        <v>46254.666666666664</v>
      </c>
      <c r="AK917" s="713">
        <f>IFERROR(IF(VLOOKUP(AT917,Vessel!A:F,5,FALSE)=0,"",VLOOKUP(AT917,Vessel!A:F,5,FALSE)),"")</f>
        <v>46254.49119212963</v>
      </c>
      <c r="AL917" s="713">
        <v>46309</v>
      </c>
      <c r="AM917" s="949">
        <f>IFERROR(VLOOKUP(AT917, Vessel!A:H, 8, FALSE), "")</f>
        <v>46316.833333333336</v>
      </c>
      <c r="AN917" s="949" t="str">
        <f>IFERROR(IF(VLOOKUP(AT917,Vessel!A:I,9,FALSE)=0,"",VLOOKUP(AT917,Vessel!A:I,9,FALSE)),"")</f>
        <v/>
      </c>
      <c r="AO917" s="462" t="s">
        <v>402</v>
      </c>
      <c r="AP917" s="462" t="s">
        <v>6175</v>
      </c>
      <c r="AQ917" s="950" t="s">
        <v>80</v>
      </c>
      <c r="AR917" s="462" t="s">
        <v>6188</v>
      </c>
      <c r="AS917" s="462" t="s">
        <v>6189</v>
      </c>
      <c r="AT917" s="462" t="s">
        <v>6189</v>
      </c>
      <c r="AU9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62.342141203705978</v>
      </c>
      <c r="AW917" s="713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46316.833333333336</v>
      </c>
      <c r="AX91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713">
        <f>IF(ISERROR(PV_DATA[[#This Row],[New Ark PO status]]),"",_xlfn.XLOOKUP(PV_DATA[[#This Row],[SPTN-PVHK New Ark PO'#]],New_Ark_Data[Purchase order Number],New_Ark_Data[Estimated time of arrival],"",0))</f>
        <v>46328</v>
      </c>
      <c r="AZ917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17" s="713">
        <f>IFERROR(PV_DATA[[#This Row],[ODP ETA Port]]+PV_DATA[[#This Row],[Customs/Leg3 Assumption]],"n/a")</f>
        <v>46324.833333333336</v>
      </c>
      <c r="BB917" s="946">
        <f>YEAR(PV_DATA[[#This Row],[ETA for New Ark update]])</f>
        <v>2026</v>
      </c>
      <c r="BC917" s="462">
        <f>MONTH(PV_DATA[[#This Row],[ETA for New Ark update]])</f>
        <v>10</v>
      </c>
      <c r="BD917" s="462">
        <f>IFERROR(_xlfn.ISOWEEKNUM(PV_DATA[[#This Row],[ETA for New Ark update]]),0)</f>
        <v>44</v>
      </c>
      <c r="BE917" s="462">
        <f>_xlfn.XLOOKUP(PV_DATA[[#This Row],[New Ark SKU]],Table9[New Ark SKU],Table9[Total PCS per Pallet],,0)</f>
        <v>36</v>
      </c>
      <c r="BF917" s="462">
        <f>_xlfn.XLOOKUP(PV_DATA[[#This Row],[New Ark SKU]],Table9[New Ark SKU],Table9[Total PCS per 40HQ Container],,0)</f>
        <v>720</v>
      </c>
      <c r="BG917" s="462" t="str">
        <f>_xlfn.XLOOKUP(PV_DATA[[#This Row],[New Ark SKU]],Table9[New Ark SKU],Table9[Back Glass],,0)</f>
        <v>White glazing</v>
      </c>
      <c r="BH917" s="462" t="str">
        <f>_xlfn.XLOOKUP(PV_DATA[[#This Row],[PORT DESTINATION]],Table12[PORT DESTINATION],Table12[Cosco Line],,0)</f>
        <v>AEM</v>
      </c>
    </row>
    <row r="918" spans="1:62" s="730" customFormat="1" ht="12" customHeight="1">
      <c r="A918" s="462" t="s">
        <v>6190</v>
      </c>
      <c r="B918" s="462" t="s">
        <v>61</v>
      </c>
      <c r="C918" s="462" t="str">
        <f>IFERROR(LEFT(PV_DATA[[#This Row],[TCL REFERENCE]],FIND(".",PV_DATA[[#This Row],[TCL REFERENCE]],1)-1),"Main Line")</f>
        <v>26Jun021</v>
      </c>
      <c r="D918" s="462" t="s">
        <v>63</v>
      </c>
      <c r="E918" s="462" t="s">
        <v>64</v>
      </c>
      <c r="F918" s="462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18" s="462" t="s">
        <v>402</v>
      </c>
      <c r="H918" s="462" t="s">
        <v>311</v>
      </c>
      <c r="I918" s="462" t="s">
        <v>1395</v>
      </c>
      <c r="J918" s="462" t="s">
        <v>96</v>
      </c>
      <c r="K918" s="462"/>
      <c r="L918" s="462"/>
      <c r="M918" s="462" t="s">
        <v>68</v>
      </c>
      <c r="N918" s="712">
        <v>46202</v>
      </c>
      <c r="O918" s="462" t="s">
        <v>284</v>
      </c>
      <c r="P918" s="730" t="s">
        <v>6159</v>
      </c>
      <c r="Q918" s="462" t="s">
        <v>1570</v>
      </c>
      <c r="R918" s="430" t="str">
        <f>_xlfn.XLOOKUP(PV_DATA[[#This Row],[New Ark SKU]],Table9[New Ark SKU],Table9[Connector],,0)</f>
        <v>EVO2A</v>
      </c>
      <c r="S918" s="433" t="str">
        <f>_xlfn.XLOOKUP(PV_DATA[[#This Row],[New Ark SKU]],Table9[New Ark SKU],Table9[Cable],,0)</f>
        <v>±1400mm</v>
      </c>
      <c r="T918" s="946">
        <v>650</v>
      </c>
      <c r="U918" s="1095">
        <v>720</v>
      </c>
      <c r="V918" s="458">
        <f>PV_DATA[[#This Row],[QUANTITY]]*PV_DATA[[#This Row],[WATT]]/1000000</f>
        <v>0.46800000000000003</v>
      </c>
      <c r="W918" s="714">
        <f>PV_DATA[[#This Row],[QUANTITY]]/PV_DATA[[#This Row],[Qty/Pallet]]</f>
        <v>20</v>
      </c>
      <c r="X918" s="1042">
        <f>PV_DATA[[#This Row],[QUANTITY]]/PV_DATA[[#This Row],[Qty/CT]]</f>
        <v>1</v>
      </c>
      <c r="Y918" s="462" t="s">
        <v>2461</v>
      </c>
      <c r="Z918" s="462" t="str">
        <f t="shared" si="12"/>
        <v>IN-TRANSIT</v>
      </c>
      <c r="AA918" s="462" t="s">
        <v>5497</v>
      </c>
      <c r="AB918" s="713">
        <v>46248</v>
      </c>
      <c r="AC918" s="947">
        <f>IF(PV_DATA[[#This Row],[Pick- Up Date]]&lt;&gt;"",_xlfn.ISOWEEKNUM(PV_DATA[[#This Row],[Pick- Up Date]]),"")</f>
        <v>33</v>
      </c>
      <c r="AD918" s="462" t="s">
        <v>6191</v>
      </c>
      <c r="AE918" s="462" t="s">
        <v>6191</v>
      </c>
      <c r="AF918" s="462" t="s">
        <v>61</v>
      </c>
      <c r="AG918" s="462" t="s">
        <v>61</v>
      </c>
      <c r="AH918" s="462" t="s">
        <v>1561</v>
      </c>
      <c r="AI918" s="713">
        <v>46254</v>
      </c>
      <c r="AJ918" s="713">
        <f>IFERROR(VLOOKUP(AT918, Vessel!A:D, 4, FALSE), "")</f>
        <v>46254.666666666664</v>
      </c>
      <c r="AK918" s="713">
        <f>IFERROR(IF(VLOOKUP(AT918,Vessel!A:F,5,FALSE)=0,"",VLOOKUP(AT918,Vessel!A:F,5,FALSE)),"")</f>
        <v>46254.49119212963</v>
      </c>
      <c r="AL918" s="713">
        <v>46327</v>
      </c>
      <c r="AM918" s="949">
        <f>IFERROR(VLOOKUP(AT918, Vessel!A:H, 8, FALSE), "")</f>
        <v>46316.75</v>
      </c>
      <c r="AN918" s="949" t="str">
        <f>IFERROR(IF(VLOOKUP(AT918,Vessel!A:I,9,FALSE)=0,"",VLOOKUP(AT918,Vessel!A:I,9,FALSE)),"")</f>
        <v/>
      </c>
      <c r="AO918" s="462" t="s">
        <v>402</v>
      </c>
      <c r="AP918" s="462" t="s">
        <v>6175</v>
      </c>
      <c r="AQ918" s="950" t="s">
        <v>80</v>
      </c>
      <c r="AR918" s="462" t="s">
        <v>6192</v>
      </c>
      <c r="AS918" s="462" t="s">
        <v>6193</v>
      </c>
      <c r="AT918" s="462" t="s">
        <v>6193</v>
      </c>
      <c r="AU9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62.258807870370219</v>
      </c>
      <c r="AV918" s="462"/>
      <c r="AW918" s="713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46316.75</v>
      </c>
      <c r="AX91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8" s="713">
        <f>IF(ISERROR(PV_DATA[[#This Row],[New Ark PO status]]),"",_xlfn.XLOOKUP(PV_DATA[[#This Row],[SPTN-PVHK New Ark PO'#]],New_Ark_Data[Purchase order Number],New_Ark_Data[Estimated time of arrival],"",0))</f>
        <v>46328</v>
      </c>
      <c r="AZ918" s="946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18" s="713">
        <f>IFERROR(PV_DATA[[#This Row],[ODP ETA Port]]+PV_DATA[[#This Row],[Customs/Leg3 Assumption]],"n/a")</f>
        <v>46326.75</v>
      </c>
      <c r="BB918" s="946">
        <f>YEAR(PV_DATA[[#This Row],[ETA for New Ark update]])</f>
        <v>2026</v>
      </c>
      <c r="BC918" s="462">
        <f>MONTH(PV_DATA[[#This Row],[ETA for New Ark update]])</f>
        <v>10</v>
      </c>
      <c r="BD918" s="462">
        <f>IFERROR(_xlfn.ISOWEEKNUM(PV_DATA[[#This Row],[ETA for New Ark update]]),0)</f>
        <v>44</v>
      </c>
      <c r="BE918" s="462">
        <f>_xlfn.XLOOKUP(PV_DATA[[#This Row],[New Ark SKU]],Table9[New Ark SKU],Table9[Total PCS per Pallet],,0)</f>
        <v>36</v>
      </c>
      <c r="BF918" s="462">
        <f>_xlfn.XLOOKUP(PV_DATA[[#This Row],[New Ark SKU]],Table9[New Ark SKU],Table9[Total PCS per 40HQ Container],,0)</f>
        <v>720</v>
      </c>
      <c r="BG918" s="462" t="str">
        <f>_xlfn.XLOOKUP(PV_DATA[[#This Row],[New Ark SKU]],Table9[New Ark SKU],Table9[Back Glass],,0)</f>
        <v>White glazing</v>
      </c>
      <c r="BH918" s="462" t="str">
        <f>_xlfn.XLOOKUP(PV_DATA[[#This Row],[PORT DESTINATION]],Table12[PORT DESTINATION],Table12[Cosco Line],,0)</f>
        <v>AEM</v>
      </c>
    </row>
    <row r="919" spans="1:62" s="462" customFormat="1" ht="10.5">
      <c r="A919" s="729" t="s">
        <v>6194</v>
      </c>
      <c r="B919" s="462" t="s">
        <v>61</v>
      </c>
      <c r="C919" s="462" t="str">
        <f>IFERROR(LEFT(PV_DATA[[#This Row],[TCL REFERENCE]],FIND(".",PV_DATA[[#This Row],[TCL REFERENCE]],1)-1),"Main Line")</f>
        <v>26Aug004</v>
      </c>
      <c r="D919" s="462" t="s">
        <v>63</v>
      </c>
      <c r="E919" s="462" t="s">
        <v>64</v>
      </c>
      <c r="F919" s="462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9" s="462" t="s">
        <v>402</v>
      </c>
      <c r="H919" s="462" t="s">
        <v>451</v>
      </c>
      <c r="I919" s="462" t="s">
        <v>689</v>
      </c>
      <c r="J919" s="462" t="s">
        <v>5666</v>
      </c>
      <c r="M919" s="462" t="s">
        <v>68</v>
      </c>
      <c r="N919" s="712">
        <v>46237</v>
      </c>
      <c r="O919" s="462" t="s">
        <v>4531</v>
      </c>
      <c r="P919" s="462" t="s">
        <v>1151</v>
      </c>
      <c r="Q919" s="462" t="s">
        <v>421</v>
      </c>
      <c r="R919" s="430" t="str">
        <f>_xlfn.XLOOKUP(PV_DATA[[#This Row],[New Ark SKU]],Table9[New Ark SKU],Table9[Connector],,0)</f>
        <v>EVO2A</v>
      </c>
      <c r="S919" s="433" t="str">
        <f>_xlfn.XLOOKUP(PV_DATA[[#This Row],[New Ark SKU]],Table9[New Ark SKU],Table9[Cable],,0)</f>
        <v>±1200mm</v>
      </c>
      <c r="T919" s="946">
        <v>505</v>
      </c>
      <c r="U919" s="1095">
        <v>864</v>
      </c>
      <c r="V919" s="458">
        <f>PV_DATA[[#This Row],[QUANTITY]]*PV_DATA[[#This Row],[WATT]]/1000000</f>
        <v>0.43631999999999999</v>
      </c>
      <c r="W919" s="714">
        <f>PV_DATA[[#This Row],[QUANTITY]]/PV_DATA[[#This Row],[Qty/Pallet]]</f>
        <v>24</v>
      </c>
      <c r="X919" s="1042">
        <f>PV_DATA[[#This Row],[QUANTITY]]/PV_DATA[[#This Row],[Qty/CT]]</f>
        <v>1</v>
      </c>
      <c r="Y919" s="462" t="s">
        <v>2466</v>
      </c>
      <c r="Z919" s="462" t="str">
        <f t="shared" si="12"/>
        <v>IN-TRANSIT</v>
      </c>
      <c r="AA919" s="462" t="s">
        <v>6195</v>
      </c>
      <c r="AB919" s="713">
        <v>46248</v>
      </c>
      <c r="AC919" s="947">
        <f>IF(PV_DATA[[#This Row],[Pick- Up Date]]&lt;&gt;"",_xlfn.ISOWEEKNUM(PV_DATA[[#This Row],[Pick- Up Date]]),"")</f>
        <v>33</v>
      </c>
      <c r="AD919" s="462" t="s">
        <v>6196</v>
      </c>
      <c r="AE919" s="462" t="s">
        <v>6196</v>
      </c>
      <c r="AF919" s="462" t="s">
        <v>61</v>
      </c>
      <c r="AG919" s="462" t="s">
        <v>61</v>
      </c>
      <c r="AH919" s="462" t="s">
        <v>456</v>
      </c>
      <c r="AI919" s="713">
        <v>46254</v>
      </c>
      <c r="AJ919" s="713">
        <f>IFERROR(VLOOKUP(AT919, Vessel!A:D, 4, FALSE), "")</f>
        <v>46254.666666666664</v>
      </c>
      <c r="AK919" s="713">
        <f>IFERROR(IF(VLOOKUP(AT919,Vessel!A:F,5,FALSE)=0,"",VLOOKUP(AT919,Vessel!A:F,5,FALSE)),"")</f>
        <v>46254.49119212963</v>
      </c>
      <c r="AL919" s="713">
        <v>46306</v>
      </c>
      <c r="AM919" s="949">
        <f>IFERROR(VLOOKUP(AT919, Vessel!A:H, 8, FALSE), "")</f>
        <v>46308.75</v>
      </c>
      <c r="AN919" s="949" t="str">
        <f>IFERROR(IF(VLOOKUP(AT919,Vessel!A:I,9,FALSE)=0,"",VLOOKUP(AT919,Vessel!A:I,9,FALSE)),"")</f>
        <v/>
      </c>
      <c r="AO919" s="462" t="s">
        <v>402</v>
      </c>
      <c r="AP919" s="462" t="s">
        <v>6175</v>
      </c>
      <c r="AQ919" s="462" t="s">
        <v>80</v>
      </c>
      <c r="AR919" s="462" t="s">
        <v>6197</v>
      </c>
      <c r="AS919" s="972" t="s">
        <v>6198</v>
      </c>
      <c r="AT919" s="972" t="s">
        <v>6198</v>
      </c>
      <c r="AU9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54.258807870370219</v>
      </c>
      <c r="AW919" s="713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91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9" s="713">
        <f>IF(ISERROR(PV_DATA[[#This Row],[New Ark PO status]]),"",_xlfn.XLOOKUP(PV_DATA[[#This Row],[SPTN-PVHK New Ark PO'#]],New_Ark_Data[Purchase order Number],New_Ark_Data[Estimated time of arrival],"",0))</f>
        <v>46328</v>
      </c>
      <c r="AZ919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9" s="713">
        <f>IFERROR(PV_DATA[[#This Row],[ODP ETA Port]]+PV_DATA[[#This Row],[Customs/Leg3 Assumption]],"n/a")</f>
        <v>46315.75</v>
      </c>
      <c r="BB919" s="946">
        <f>YEAR(PV_DATA[[#This Row],[ETA for New Ark update]])</f>
        <v>2026</v>
      </c>
      <c r="BC919" s="462">
        <f>MONTH(PV_DATA[[#This Row],[ETA for New Ark update]])</f>
        <v>10</v>
      </c>
      <c r="BD919" s="462">
        <f>IFERROR(_xlfn.ISOWEEKNUM(PV_DATA[[#This Row],[ETA for New Ark update]]),0)</f>
        <v>43</v>
      </c>
      <c r="BE919" s="462">
        <f>_xlfn.XLOOKUP(PV_DATA[[#This Row],[New Ark SKU]],Table9[New Ark SKU],Table9[Total PCS per Pallet],,0)</f>
        <v>36</v>
      </c>
      <c r="BF919" s="462">
        <f>_xlfn.XLOOKUP(PV_DATA[[#This Row],[New Ark SKU]],Table9[New Ark SKU],Table9[Total PCS per 40HQ Container],,0)</f>
        <v>864</v>
      </c>
      <c r="BG919" s="462" t="str">
        <f>_xlfn.XLOOKUP(PV_DATA[[#This Row],[New Ark SKU]],Table9[New Ark SKU],Table9[Back Glass],,0)</f>
        <v>Black glazing</v>
      </c>
      <c r="BH919" s="948" t="str">
        <f>_xlfn.XLOOKUP(PV_DATA[[#This Row],[PORT DESTINATION]],Table12[PORT DESTINATION],Table12[Cosco Line],,0)</f>
        <v>AEU</v>
      </c>
    </row>
    <row r="920" spans="1:62" ht="10.5">
      <c r="A920" s="462" t="s">
        <v>6199</v>
      </c>
      <c r="B920" s="462" t="s">
        <v>1757</v>
      </c>
      <c r="C920" s="462" t="str">
        <f>IFERROR(LEFT(PV_DATA[[#This Row],[TCL REFERENCE]],FIND(".",PV_DATA[[#This Row],[TCL REFERENCE]],1)-1),"Main Line")</f>
        <v>26Aug007</v>
      </c>
      <c r="D920" s="462" t="s">
        <v>63</v>
      </c>
      <c r="E920" s="462" t="s">
        <v>144</v>
      </c>
      <c r="F920" s="945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945" t="s">
        <v>402</v>
      </c>
      <c r="H920" s="462" t="s">
        <v>6200</v>
      </c>
      <c r="I920" s="462" t="s">
        <v>689</v>
      </c>
      <c r="J920" s="430" t="s">
        <v>6200</v>
      </c>
      <c r="K920" s="430" t="s">
        <v>6201</v>
      </c>
      <c r="L920" s="430">
        <v>2</v>
      </c>
      <c r="M920" s="430" t="s">
        <v>4967</v>
      </c>
      <c r="N920" s="432" t="s">
        <v>6202</v>
      </c>
      <c r="O920" s="430" t="s">
        <v>284</v>
      </c>
      <c r="P920" s="430" t="s">
        <v>5851</v>
      </c>
      <c r="Q920" s="430" t="s">
        <v>5852</v>
      </c>
      <c r="R920" s="430" t="str">
        <f>_xlfn.XLOOKUP(PV_DATA[[#This Row],[New Ark SKU]],Table9[New Ark SKU],Table9[Connector],,0)</f>
        <v>EVO2A</v>
      </c>
      <c r="S920" s="433" t="str">
        <f>_xlfn.XLOOKUP(PV_DATA[[#This Row],[New Ark SKU]],Table9[New Ark SKU],Table9[Cable],,0)</f>
        <v>±1200mm</v>
      </c>
      <c r="T920" s="433">
        <v>485</v>
      </c>
      <c r="U920" s="1096">
        <f>936*11</f>
        <v>10296</v>
      </c>
      <c r="V920" s="434">
        <f>PV_DATA[[#This Row],[QUANTITY]]*PV_DATA[[#This Row],[WATT]]/1000000</f>
        <v>4.9935600000000004</v>
      </c>
      <c r="W920" s="981">
        <f>PV_DATA[[#This Row],[QUANTITY]]/36</f>
        <v>286</v>
      </c>
      <c r="X920" s="1040">
        <f>PV_DATA[[#This Row],[QUANTITY]]/PV_DATA[[#This Row],[Qty/CT]]</f>
        <v>11</v>
      </c>
      <c r="Y920" s="430" t="s">
        <v>2464</v>
      </c>
      <c r="Z920" s="430" t="str">
        <f t="shared" si="12"/>
        <v>IN-TRANSIT</v>
      </c>
      <c r="AA920" s="545" t="s">
        <v>5853</v>
      </c>
      <c r="AB920" s="437">
        <v>46256</v>
      </c>
      <c r="AC920" s="485">
        <f>IF(PV_DATA[[#This Row],[Pick- Up Date]]&lt;&gt;"",_xlfn.ISOWEEKNUM(PV_DATA[[#This Row],[Pick- Up Date]]),"")</f>
        <v>34</v>
      </c>
      <c r="AD920" s="430" t="s">
        <v>6203</v>
      </c>
      <c r="AE920" s="430"/>
      <c r="AF920" s="430" t="s">
        <v>5855</v>
      </c>
      <c r="AG920" s="430" t="s">
        <v>123</v>
      </c>
      <c r="AH920" s="430" t="s">
        <v>541</v>
      </c>
      <c r="AI920" s="713">
        <v>46263</v>
      </c>
      <c r="AJ920" s="713">
        <f>IFERROR(VLOOKUP(AT920, Vessel!A:D, 4, FALSE), "")</f>
        <v>46264.5625</v>
      </c>
      <c r="AK920" s="437">
        <v>46264</v>
      </c>
      <c r="AL920" s="1138">
        <v>46304</v>
      </c>
      <c r="AM920" s="949"/>
      <c r="AN920" s="949" t="str">
        <f>IFERROR(IF(VLOOKUP(AT920,Vessel!A:I,9,FALSE)=0,"",VLOOKUP(AT920,Vessel!A:I,9,FALSE)),"")</f>
        <v/>
      </c>
      <c r="AP920" s="430" t="s">
        <v>6204</v>
      </c>
      <c r="AQ920" s="438" t="s">
        <v>80</v>
      </c>
      <c r="AR920" s="430" t="s">
        <v>6205</v>
      </c>
      <c r="AS920" s="430" t="s">
        <v>6206</v>
      </c>
      <c r="AT920" s="430" t="s">
        <v>6206</v>
      </c>
      <c r="AU9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20" s="437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2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437">
        <f>IF(ISERROR(PV_DATA[[#This Row],[New Ark PO status]]),"",_xlfn.XLOOKUP(PV_DATA[[#This Row],[SPTN-PVHK New Ark PO'#]],New_Ark_Data[Purchase order Number],New_Ark_Data[Estimated time of arrival],"",0))</f>
        <v>46304</v>
      </c>
      <c r="AZ92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437">
        <f>IFERROR(PV_DATA[[#This Row],[ODP ETA Port]]+PV_DATA[[#This Row],[Customs/Leg3 Assumption]],"n/a")</f>
        <v>46304</v>
      </c>
      <c r="BB920" s="433">
        <f>YEAR(PV_DATA[[#This Row],[ETA for New Ark update]])</f>
        <v>2026</v>
      </c>
      <c r="BC920" s="430">
        <f>MONTH(PV_DATA[[#This Row],[ETA for New Ark update]])</f>
        <v>10</v>
      </c>
      <c r="BD920" s="430">
        <f>IFERROR(_xlfn.ISOWEEKNUM(PV_DATA[[#This Row],[ETA for New Ark update]]),0)</f>
        <v>41</v>
      </c>
      <c r="BE920" s="430">
        <f>_xlfn.XLOOKUP(PV_DATA[[#This Row],[New Ark SKU]],Table9[New Ark SKU],Table9[Total PCS per Pallet],,0)</f>
        <v>36</v>
      </c>
      <c r="BF920" s="430">
        <f>_xlfn.XLOOKUP(PV_DATA[[#This Row],[New Ark SKU]],Table9[New Ark SKU],Table9[Total PCS per 40HQ Container],,0)</f>
        <v>936</v>
      </c>
      <c r="BG920" s="430" t="str">
        <f>_xlfn.XLOOKUP(PV_DATA[[#This Row],[New Ark SKU]],Table9[New Ark SKU],Table9[Back Glass],,0)</f>
        <v>Black glazing</v>
      </c>
      <c r="BH920" s="610" t="str">
        <f>_xlfn.XLOOKUP(PV_DATA[[#This Row],[PORT DESTINATION]],Table12[PORT DESTINATION],Table12[Cosco Line],,0)</f>
        <v>AEU</v>
      </c>
      <c r="BJ920" s="430"/>
    </row>
    <row r="921" spans="1:62" s="462" customFormat="1" ht="10.5">
      <c r="A921" s="729" t="s">
        <v>6207</v>
      </c>
      <c r="B921" s="462" t="s">
        <v>1757</v>
      </c>
      <c r="C921" s="462" t="str">
        <f>IFERROR(LEFT(PV_DATA[[#This Row],[TCL REFERENCE]],FIND(".",PV_DATA[[#This Row],[TCL REFERENCE]],1)-1),"Main Line")</f>
        <v>26Aug008</v>
      </c>
      <c r="D921" s="462" t="s">
        <v>63</v>
      </c>
      <c r="E921" s="462" t="s">
        <v>64</v>
      </c>
      <c r="F921" s="945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1" s="462" t="s">
        <v>402</v>
      </c>
      <c r="H921" s="462" t="s">
        <v>451</v>
      </c>
      <c r="I921" s="462" t="s">
        <v>1395</v>
      </c>
      <c r="J921" s="462" t="s">
        <v>6208</v>
      </c>
      <c r="M921" s="462" t="s">
        <v>68</v>
      </c>
      <c r="N921" s="712" t="s">
        <v>6202</v>
      </c>
      <c r="O921" s="462" t="s">
        <v>284</v>
      </c>
      <c r="P921" s="462" t="s">
        <v>6209</v>
      </c>
      <c r="Q921" s="462" t="s">
        <v>6210</v>
      </c>
      <c r="R921" s="430" t="str">
        <f>_xlfn.XLOOKUP(PV_DATA[[#This Row],[New Ark SKU]],Table9[New Ark SKU],Table9[Connector],,0)</f>
        <v>EVO2A</v>
      </c>
      <c r="S921" s="433" t="str">
        <f>_xlfn.XLOOKUP(PV_DATA[[#This Row],[New Ark SKU]],Table9[New Ark SKU],Table9[Cable],,0)</f>
        <v>±1200mm</v>
      </c>
      <c r="T921" s="946">
        <v>490</v>
      </c>
      <c r="U921" s="1095">
        <f>936</f>
        <v>936</v>
      </c>
      <c r="V921" s="458">
        <f>PV_DATA[[#This Row],[QUANTITY]]*PV_DATA[[#This Row],[WATT]]/1000000</f>
        <v>0.45863999999999999</v>
      </c>
      <c r="W921" s="954">
        <f>PV_DATA[[#This Row],[QUANTITY]]/36</f>
        <v>26</v>
      </c>
      <c r="X921" s="1042">
        <f>PV_DATA[[#This Row],[QUANTITY]]/PV_DATA[[#This Row],[Qty/CT]]</f>
        <v>1</v>
      </c>
      <c r="Y921" s="462" t="s">
        <v>2465</v>
      </c>
      <c r="Z921" s="462" t="str">
        <f t="shared" si="12"/>
        <v>COMPLETED</v>
      </c>
      <c r="AA921" s="1065" t="s">
        <v>5853</v>
      </c>
      <c r="AB921" s="713">
        <v>46254</v>
      </c>
      <c r="AC921" s="947">
        <f>IF(PV_DATA[[#This Row],[Pick- Up Date]]&lt;&gt;"",_xlfn.ISOWEEKNUM(PV_DATA[[#This Row],[Pick- Up Date]]),"")</f>
        <v>34</v>
      </c>
      <c r="AD921" s="462" t="s">
        <v>6211</v>
      </c>
      <c r="AE921" s="462" t="s">
        <v>6211</v>
      </c>
      <c r="AF921" s="945" t="s">
        <v>5855</v>
      </c>
      <c r="AG921" s="462" t="s">
        <v>123</v>
      </c>
      <c r="AH921" s="462" t="s">
        <v>456</v>
      </c>
      <c r="AI921" s="713">
        <v>46258</v>
      </c>
      <c r="AJ921" s="713"/>
      <c r="AK921" s="713">
        <f>IFERROR(IF(VLOOKUP(AT921,Vessel!A:F,5,FALSE)=0,"",VLOOKUP(AT921,Vessel!A:F,5,FALSE)),"")</f>
        <v>46257.983877314815</v>
      </c>
      <c r="AL921" s="1140">
        <v>46299</v>
      </c>
      <c r="AM921" s="949">
        <f>IFERROR(VLOOKUP(AT921, Vessel!A:H, 8, FALSE), "")</f>
        <v>46299.291666666664</v>
      </c>
      <c r="AN921" s="949">
        <v>46299</v>
      </c>
      <c r="AP921" s="462" t="s">
        <v>6212</v>
      </c>
      <c r="AQ921" s="970" t="s">
        <v>80</v>
      </c>
      <c r="AR921" s="462" t="s">
        <v>6213</v>
      </c>
      <c r="AS921" s="462" t="s">
        <v>6214</v>
      </c>
      <c r="AT921" s="462" t="s">
        <v>6214</v>
      </c>
      <c r="AU9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21" s="713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1" s="713">
        <f>IF(ISERROR(PV_DATA[[#This Row],[New Ark PO status]]),"",_xlfn.XLOOKUP(PV_DATA[[#This Row],[SPTN-PVHK New Ark PO'#]],New_Ark_Data[Purchase order Number],New_Ark_Data[Estimated time of arrival],"",0))</f>
        <v>46306</v>
      </c>
      <c r="AZ921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1" s="713">
        <f>IFERROR(PV_DATA[[#This Row],[ODP ETA Port]]+PV_DATA[[#This Row],[Customs/Leg3 Assumption]],"n/a")</f>
        <v>46306</v>
      </c>
      <c r="BB921" s="946">
        <f>YEAR(PV_DATA[[#This Row],[ETA for New Ark update]])</f>
        <v>2026</v>
      </c>
      <c r="BC921" s="462">
        <f>MONTH(PV_DATA[[#This Row],[ETA for New Ark update]])</f>
        <v>10</v>
      </c>
      <c r="BD921" s="462">
        <f>IFERROR(_xlfn.ISOWEEKNUM(PV_DATA[[#This Row],[ETA for New Ark update]]),0)</f>
        <v>41</v>
      </c>
      <c r="BE921" s="462">
        <f>_xlfn.XLOOKUP(PV_DATA[[#This Row],[New Ark SKU]],Table9[New Ark SKU],Table9[Total PCS per Pallet],,0)</f>
        <v>36</v>
      </c>
      <c r="BF921" s="462">
        <f>_xlfn.XLOOKUP(PV_DATA[[#This Row],[New Ark SKU]],Table9[New Ark SKU],Table9[Total PCS per 40HQ Container],,0)</f>
        <v>936</v>
      </c>
      <c r="BG921" s="462" t="str">
        <f>_xlfn.XLOOKUP(PV_DATA[[#This Row],[New Ark SKU]],Table9[New Ark SKU],Table9[Back Glass],,0)</f>
        <v>Black glazing</v>
      </c>
      <c r="BH921" s="948" t="str">
        <f>_xlfn.XLOOKUP(PV_DATA[[#This Row],[PORT DESTINATION]],Table12[PORT DESTINATION],Table12[Cosco Line],,0)</f>
        <v>AEU</v>
      </c>
    </row>
    <row r="922" spans="1:62" s="462" customFormat="1" ht="10.5">
      <c r="A922" s="951" t="s">
        <v>6215</v>
      </c>
      <c r="B922" s="945" t="s">
        <v>1757</v>
      </c>
      <c r="C922" s="945" t="str">
        <f>IFERROR(LEFT(PV_DATA[[#This Row],[TCL REFERENCE]],FIND(".",PV_DATA[[#This Row],[TCL REFERENCE]],1)-1),"Main Line")</f>
        <v>26Jul018</v>
      </c>
      <c r="D922" s="462" t="s">
        <v>63</v>
      </c>
      <c r="E922" s="945" t="s">
        <v>64</v>
      </c>
      <c r="F922" s="945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2" s="945" t="s">
        <v>402</v>
      </c>
      <c r="H922" s="462" t="s">
        <v>451</v>
      </c>
      <c r="I922" s="462" t="s">
        <v>882</v>
      </c>
      <c r="J922" s="945" t="s">
        <v>6216</v>
      </c>
      <c r="K922" s="945"/>
      <c r="L922" s="945"/>
      <c r="M922" s="462" t="s">
        <v>68</v>
      </c>
      <c r="N922" s="712">
        <v>46230</v>
      </c>
      <c r="O922" s="462" t="s">
        <v>284</v>
      </c>
      <c r="P922" s="945" t="s">
        <v>6209</v>
      </c>
      <c r="Q922" s="945" t="s">
        <v>6210</v>
      </c>
      <c r="R922" s="430" t="str">
        <f>_xlfn.XLOOKUP(PV_DATA[[#This Row],[New Ark SKU]],Table9[New Ark SKU],Table9[Connector],,0)</f>
        <v>EVO2A</v>
      </c>
      <c r="S922" s="433" t="str">
        <f>_xlfn.XLOOKUP(PV_DATA[[#This Row],[New Ark SKU]],Table9[New Ark SKU],Table9[Cable],,0)</f>
        <v>±1200mm</v>
      </c>
      <c r="T922" s="952">
        <v>490</v>
      </c>
      <c r="U922" s="1098">
        <f>1872</f>
        <v>1872</v>
      </c>
      <c r="V922" s="953">
        <f>PV_DATA[[#This Row],[QUANTITY]]*PV_DATA[[#This Row],[WATT]]/1000000</f>
        <v>0.91727999999999998</v>
      </c>
      <c r="W922" s="954">
        <f>PV_DATA[[#This Row],[QUANTITY]]/36</f>
        <v>52</v>
      </c>
      <c r="X922" s="1042">
        <f>PV_DATA[[#This Row],[QUANTITY]]/PV_DATA[[#This Row],[Qty/CT]]</f>
        <v>2</v>
      </c>
      <c r="Y922" s="462" t="s">
        <v>2462</v>
      </c>
      <c r="Z922" s="462" t="str">
        <f t="shared" si="12"/>
        <v>COMPLETED</v>
      </c>
      <c r="AA922" s="1065" t="s">
        <v>5853</v>
      </c>
      <c r="AB922" s="971">
        <v>46254</v>
      </c>
      <c r="AC922" s="1066">
        <f>IF(PV_DATA[[#This Row],[Pick- Up Date]]&lt;&gt;"",_xlfn.ISOWEEKNUM(PV_DATA[[#This Row],[Pick- Up Date]]),"")</f>
        <v>34</v>
      </c>
      <c r="AD922" s="945" t="s">
        <v>6217</v>
      </c>
      <c r="AE922" s="945" t="s">
        <v>6217</v>
      </c>
      <c r="AF922" s="945" t="s">
        <v>5855</v>
      </c>
      <c r="AG922" s="462" t="s">
        <v>123</v>
      </c>
      <c r="AH922" s="462" t="s">
        <v>456</v>
      </c>
      <c r="AI922" s="971">
        <v>46258</v>
      </c>
      <c r="AJ922" s="713"/>
      <c r="AK922" s="713">
        <f>IFERROR(IF(VLOOKUP(AT922,Vessel!A:F,5,FALSE)=0,"",VLOOKUP(AT922,Vessel!A:F,5,FALSE)),"")</f>
        <v>46257.983877314815</v>
      </c>
      <c r="AL922" s="1139">
        <v>46299</v>
      </c>
      <c r="AM922" s="949">
        <f>IFERROR(VLOOKUP(AT922, Vessel!A:H, 8, FALSE), "")</f>
        <v>46299.291666666664</v>
      </c>
      <c r="AN922" s="949">
        <v>46299</v>
      </c>
      <c r="AO922" s="945"/>
      <c r="AP922" s="945" t="s">
        <v>6212</v>
      </c>
      <c r="AQ922" s="970" t="s">
        <v>80</v>
      </c>
      <c r="AR922" s="462" t="s">
        <v>6213</v>
      </c>
      <c r="AS922" s="945" t="s">
        <v>6214</v>
      </c>
      <c r="AT922" s="945" t="s">
        <v>6214</v>
      </c>
      <c r="AU9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22" s="945"/>
      <c r="AW922" s="971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971">
        <f>IF(ISERROR(PV_DATA[[#This Row],[New Ark PO status]]),"",_xlfn.XLOOKUP(PV_DATA[[#This Row],[SPTN-PVHK New Ark PO'#]],New_Ark_Data[Purchase order Number],New_Ark_Data[Estimated time of arrival],"",0))</f>
        <v>46306</v>
      </c>
      <c r="AZ922" s="9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971">
        <f>IFERROR(PV_DATA[[#This Row],[ODP ETA Port]]+PV_DATA[[#This Row],[Customs/Leg3 Assumption]],"n/a")</f>
        <v>46306</v>
      </c>
      <c r="BB922" s="952">
        <f>YEAR(PV_DATA[[#This Row],[ETA for New Ark update]])</f>
        <v>2026</v>
      </c>
      <c r="BC922" s="945">
        <f>MONTH(PV_DATA[[#This Row],[ETA for New Ark update]])</f>
        <v>10</v>
      </c>
      <c r="BD922" s="945">
        <f>IFERROR(_xlfn.ISOWEEKNUM(PV_DATA[[#This Row],[ETA for New Ark update]]),0)</f>
        <v>41</v>
      </c>
      <c r="BE922" s="945">
        <f>_xlfn.XLOOKUP(PV_DATA[[#This Row],[New Ark SKU]],Table9[New Ark SKU],Table9[Total PCS per Pallet],,0)</f>
        <v>36</v>
      </c>
      <c r="BF922" s="945">
        <f>_xlfn.XLOOKUP(PV_DATA[[#This Row],[New Ark SKU]],Table9[New Ark SKU],Table9[Total PCS per 40HQ Container],,0)</f>
        <v>936</v>
      </c>
      <c r="BG922" s="462" t="str">
        <f>_xlfn.XLOOKUP(PV_DATA[[#This Row],[New Ark SKU]],Table9[New Ark SKU],Table9[Back Glass],,0)</f>
        <v>Black glazing</v>
      </c>
      <c r="BH922" s="1067" t="str">
        <f>_xlfn.XLOOKUP(PV_DATA[[#This Row],[PORT DESTINATION]],Table12[PORT DESTINATION],Table12[Cosco Line],,0)</f>
        <v>AEU</v>
      </c>
    </row>
    <row r="923" spans="1:62" s="462" customFormat="1" ht="10.5">
      <c r="A923" s="729" t="s">
        <v>6218</v>
      </c>
      <c r="B923" s="462" t="s">
        <v>1757</v>
      </c>
      <c r="C923" s="462" t="str">
        <f>IFERROR(LEFT(PV_DATA[[#This Row],[TCL REFERENCE]],FIND(".",PV_DATA[[#This Row],[TCL REFERENCE]],1)-1),"Main Line")</f>
        <v>26Jul017</v>
      </c>
      <c r="D923" s="462" t="s">
        <v>63</v>
      </c>
      <c r="E923" s="462" t="s">
        <v>64</v>
      </c>
      <c r="F923" s="945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3" s="462" t="s">
        <v>402</v>
      </c>
      <c r="H923" s="462" t="s">
        <v>451</v>
      </c>
      <c r="I923" s="462" t="s">
        <v>882</v>
      </c>
      <c r="J923" s="945" t="s">
        <v>6219</v>
      </c>
      <c r="M923" s="462" t="s">
        <v>68</v>
      </c>
      <c r="N923" s="712" t="s">
        <v>6202</v>
      </c>
      <c r="O923" s="462" t="s">
        <v>284</v>
      </c>
      <c r="P923" s="462" t="s">
        <v>5851</v>
      </c>
      <c r="Q923" s="462" t="s">
        <v>5852</v>
      </c>
      <c r="R923" s="430" t="str">
        <f>_xlfn.XLOOKUP(PV_DATA[[#This Row],[New Ark SKU]],Table9[New Ark SKU],Table9[Connector],,0)</f>
        <v>EVO2A</v>
      </c>
      <c r="S923" s="433" t="str">
        <f>_xlfn.XLOOKUP(PV_DATA[[#This Row],[New Ark SKU]],Table9[New Ark SKU],Table9[Cable],,0)</f>
        <v>±1200mm</v>
      </c>
      <c r="T923" s="946">
        <v>485</v>
      </c>
      <c r="U923" s="1095">
        <v>936</v>
      </c>
      <c r="V923" s="458">
        <f>PV_DATA[[#This Row],[QUANTITY]]*PV_DATA[[#This Row],[WATT]]/1000000</f>
        <v>0.45395999999999997</v>
      </c>
      <c r="W923" s="954">
        <f>PV_DATA[[#This Row],[QUANTITY]]/36</f>
        <v>26</v>
      </c>
      <c r="X923" s="1042">
        <f>PV_DATA[[#This Row],[QUANTITY]]/PV_DATA[[#This Row],[Qty/CT]]</f>
        <v>1</v>
      </c>
      <c r="Y923" s="462" t="s">
        <v>2464</v>
      </c>
      <c r="Z923" s="462" t="str">
        <f t="shared" si="12"/>
        <v>COMPLETED</v>
      </c>
      <c r="AA923" s="1068">
        <v>46253</v>
      </c>
      <c r="AB923" s="713">
        <v>46254</v>
      </c>
      <c r="AC923" s="947">
        <f>IF(PV_DATA[[#This Row],[Pick- Up Date]]&lt;&gt;"",_xlfn.ISOWEEKNUM(PV_DATA[[#This Row],[Pick- Up Date]]),"")</f>
        <v>34</v>
      </c>
      <c r="AD923" s="462" t="s">
        <v>6220</v>
      </c>
      <c r="AE923" s="462" t="s">
        <v>6220</v>
      </c>
      <c r="AF923" s="945" t="s">
        <v>5855</v>
      </c>
      <c r="AG923" s="462" t="s">
        <v>123</v>
      </c>
      <c r="AH923" s="462" t="s">
        <v>456</v>
      </c>
      <c r="AI923" s="713">
        <v>46258</v>
      </c>
      <c r="AJ923" s="713"/>
      <c r="AK923" s="713">
        <f>IFERROR(IF(VLOOKUP(AT923,Vessel!A:F,5,FALSE)=0,"",VLOOKUP(AT923,Vessel!A:F,5,FALSE)),"")</f>
        <v>46257.983877314815</v>
      </c>
      <c r="AL923" s="1140">
        <v>46299</v>
      </c>
      <c r="AM923" s="949">
        <f>IFERROR(VLOOKUP(AT923, Vessel!A:H, 8, FALSE), "")</f>
        <v>46299.291666666664</v>
      </c>
      <c r="AN923" s="949">
        <v>46299</v>
      </c>
      <c r="AP923" s="462" t="s">
        <v>6212</v>
      </c>
      <c r="AQ923" s="970" t="s">
        <v>80</v>
      </c>
      <c r="AR923" s="462" t="s">
        <v>6213</v>
      </c>
      <c r="AS923" s="462" t="s">
        <v>6214</v>
      </c>
      <c r="AT923" s="462" t="s">
        <v>6214</v>
      </c>
      <c r="AU9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23" s="713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713">
        <f>IF(ISERROR(PV_DATA[[#This Row],[New Ark PO status]]),"",_xlfn.XLOOKUP(PV_DATA[[#This Row],[SPTN-PVHK New Ark PO'#]],New_Ark_Data[Purchase order Number],New_Ark_Data[Estimated time of arrival],"",0))</f>
        <v>46306</v>
      </c>
      <c r="AZ923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713">
        <f>IFERROR(PV_DATA[[#This Row],[ODP ETA Port]]+PV_DATA[[#This Row],[Customs/Leg3 Assumption]],"n/a")</f>
        <v>46306</v>
      </c>
      <c r="BB923" s="946">
        <f>YEAR(PV_DATA[[#This Row],[ETA for New Ark update]])</f>
        <v>2026</v>
      </c>
      <c r="BC923" s="462">
        <f>MONTH(PV_DATA[[#This Row],[ETA for New Ark update]])</f>
        <v>10</v>
      </c>
      <c r="BD923" s="462">
        <f>IFERROR(_xlfn.ISOWEEKNUM(PV_DATA[[#This Row],[ETA for New Ark update]]),0)</f>
        <v>41</v>
      </c>
      <c r="BE923" s="462">
        <f>_xlfn.XLOOKUP(PV_DATA[[#This Row],[New Ark SKU]],Table9[New Ark SKU],Table9[Total PCS per Pallet],,0)</f>
        <v>36</v>
      </c>
      <c r="BF923" s="462">
        <f>_xlfn.XLOOKUP(PV_DATA[[#This Row],[New Ark SKU]],Table9[New Ark SKU],Table9[Total PCS per 40HQ Container],,0)</f>
        <v>936</v>
      </c>
      <c r="BG923" s="462" t="str">
        <f>_xlfn.XLOOKUP(PV_DATA[[#This Row],[New Ark SKU]],Table9[New Ark SKU],Table9[Back Glass],,0)</f>
        <v>Black glazing</v>
      </c>
      <c r="BH923" s="948" t="str">
        <f>_xlfn.XLOOKUP(PV_DATA[[#This Row],[PORT DESTINATION]],Table12[PORT DESTINATION],Table12[Cosco Line],,0)</f>
        <v>AEU</v>
      </c>
    </row>
    <row r="924" spans="1:62" s="462" customFormat="1" ht="10.5">
      <c r="A924" s="951" t="s">
        <v>6221</v>
      </c>
      <c r="B924" s="945" t="s">
        <v>1757</v>
      </c>
      <c r="C924" s="945" t="str">
        <f>IFERROR(LEFT(PV_DATA[[#This Row],[TCL REFERENCE]],FIND(".",PV_DATA[[#This Row],[TCL REFERENCE]],1)-1),"Main Line")</f>
        <v>26Jul017</v>
      </c>
      <c r="D924" s="462" t="s">
        <v>63</v>
      </c>
      <c r="E924" s="462" t="s">
        <v>64</v>
      </c>
      <c r="F924" s="945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24" s="462" t="s">
        <v>402</v>
      </c>
      <c r="H924" s="462" t="s">
        <v>451</v>
      </c>
      <c r="I924" s="462" t="s">
        <v>882</v>
      </c>
      <c r="J924" s="945" t="s">
        <v>5850</v>
      </c>
      <c r="K924" s="945"/>
      <c r="L924" s="945"/>
      <c r="M924" s="462" t="s">
        <v>68</v>
      </c>
      <c r="N924" s="712">
        <v>46230</v>
      </c>
      <c r="O924" s="462" t="s">
        <v>284</v>
      </c>
      <c r="P924" s="945" t="s">
        <v>5851</v>
      </c>
      <c r="Q924" s="945" t="s">
        <v>5852</v>
      </c>
      <c r="R924" s="430" t="str">
        <f>_xlfn.XLOOKUP(PV_DATA[[#This Row],[New Ark SKU]],Table9[New Ark SKU],Table9[Connector],,0)</f>
        <v>EVO2A</v>
      </c>
      <c r="S924" s="433" t="str">
        <f>_xlfn.XLOOKUP(PV_DATA[[#This Row],[New Ark SKU]],Table9[New Ark SKU],Table9[Cable],,0)</f>
        <v>±1200mm</v>
      </c>
      <c r="T924" s="952">
        <v>485</v>
      </c>
      <c r="U924" s="1098">
        <v>936</v>
      </c>
      <c r="V924" s="953">
        <f>PV_DATA[[#This Row],[QUANTITY]]*PV_DATA[[#This Row],[WATT]]/1000000</f>
        <v>0.45395999999999997</v>
      </c>
      <c r="W924" s="954">
        <f>PV_DATA[[#This Row],[QUANTITY]]/36</f>
        <v>26</v>
      </c>
      <c r="X924" s="1042">
        <f>PV_DATA[[#This Row],[QUANTITY]]/PV_DATA[[#This Row],[Qty/CT]]</f>
        <v>1</v>
      </c>
      <c r="Y924" s="462" t="s">
        <v>2462</v>
      </c>
      <c r="Z924" s="462" t="str">
        <f t="shared" si="12"/>
        <v>COMPLETED</v>
      </c>
      <c r="AA924" s="1068">
        <v>46253</v>
      </c>
      <c r="AB924" s="971">
        <v>46254</v>
      </c>
      <c r="AC924" s="1066">
        <f>IF(PV_DATA[[#This Row],[Pick- Up Date]]&lt;&gt;"",_xlfn.ISOWEEKNUM(PV_DATA[[#This Row],[Pick- Up Date]]),"")</f>
        <v>34</v>
      </c>
      <c r="AD924" s="945" t="s">
        <v>6222</v>
      </c>
      <c r="AE924" s="945" t="s">
        <v>6222</v>
      </c>
      <c r="AF924" s="945" t="s">
        <v>5855</v>
      </c>
      <c r="AG924" s="462" t="s">
        <v>123</v>
      </c>
      <c r="AH924" s="462" t="s">
        <v>456</v>
      </c>
      <c r="AI924" s="971">
        <v>46258</v>
      </c>
      <c r="AJ924" s="971"/>
      <c r="AK924" s="713">
        <f>IFERROR(IF(VLOOKUP(AT924,Vessel!A:F,5,FALSE)=0,"",VLOOKUP(AT924,Vessel!A:F,5,FALSE)),"")</f>
        <v>46257.983877314815</v>
      </c>
      <c r="AL924" s="1139">
        <v>46299</v>
      </c>
      <c r="AM924" s="949">
        <f>IFERROR(VLOOKUP(AT924, Vessel!A:H, 8, FALSE), "")</f>
        <v>46299.291666666664</v>
      </c>
      <c r="AN924" s="949">
        <v>46299</v>
      </c>
      <c r="AO924" s="945"/>
      <c r="AP924" s="945" t="s">
        <v>6212</v>
      </c>
      <c r="AQ924" s="970" t="s">
        <v>80</v>
      </c>
      <c r="AR924" s="462" t="s">
        <v>6213</v>
      </c>
      <c r="AS924" s="945" t="s">
        <v>6214</v>
      </c>
      <c r="AT924" s="945" t="s">
        <v>6214</v>
      </c>
      <c r="AU9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24" s="945"/>
      <c r="AW924" s="971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971">
        <f>IF(ISERROR(PV_DATA[[#This Row],[New Ark PO status]]),"",_xlfn.XLOOKUP(PV_DATA[[#This Row],[SPTN-PVHK New Ark PO'#]],New_Ark_Data[Purchase order Number],New_Ark_Data[Estimated time of arrival],"",0))</f>
        <v>46306</v>
      </c>
      <c r="AZ924" s="9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971">
        <f>IFERROR(PV_DATA[[#This Row],[ODP ETA Port]]+PV_DATA[[#This Row],[Customs/Leg3 Assumption]],"n/a")</f>
        <v>46306</v>
      </c>
      <c r="BB924" s="952">
        <f>YEAR(PV_DATA[[#This Row],[ETA for New Ark update]])</f>
        <v>2026</v>
      </c>
      <c r="BC924" s="945">
        <f>MONTH(PV_DATA[[#This Row],[ETA for New Ark update]])</f>
        <v>10</v>
      </c>
      <c r="BD924" s="945">
        <f>IFERROR(_xlfn.ISOWEEKNUM(PV_DATA[[#This Row],[ETA for New Ark update]]),0)</f>
        <v>41</v>
      </c>
      <c r="BE924" s="945">
        <f>_xlfn.XLOOKUP(PV_DATA[[#This Row],[New Ark SKU]],Table9[New Ark SKU],Table9[Total PCS per Pallet],,0)</f>
        <v>36</v>
      </c>
      <c r="BF924" s="945">
        <f>_xlfn.XLOOKUP(PV_DATA[[#This Row],[New Ark SKU]],Table9[New Ark SKU],Table9[Total PCS per 40HQ Container],,0)</f>
        <v>936</v>
      </c>
      <c r="BG924" s="462" t="str">
        <f>_xlfn.XLOOKUP(PV_DATA[[#This Row],[New Ark SKU]],Table9[New Ark SKU],Table9[Back Glass],,0)</f>
        <v>Black glazing</v>
      </c>
      <c r="BH924" s="1067" t="str">
        <f>_xlfn.XLOOKUP(PV_DATA[[#This Row],[PORT DESTINATION]],Table12[PORT DESTINATION],Table12[Cosco Line],,0)</f>
        <v>AEU</v>
      </c>
    </row>
    <row r="925" spans="1:62" s="462" customFormat="1" ht="10.5">
      <c r="A925" s="462" t="s">
        <v>6223</v>
      </c>
      <c r="B925" s="462" t="s">
        <v>1757</v>
      </c>
      <c r="C925" s="462" t="str">
        <f>IFERROR(LEFT(PV_DATA[[#This Row],[TCL REFERENCE]],FIND(".",PV_DATA[[#This Row],[TCL REFERENCE]],1)-1),"Main Line")</f>
        <v>26Aug007</v>
      </c>
      <c r="D925" s="462" t="s">
        <v>63</v>
      </c>
      <c r="E925" s="462" t="s">
        <v>144</v>
      </c>
      <c r="F925" s="945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5" s="945" t="s">
        <v>402</v>
      </c>
      <c r="H925" s="462" t="s">
        <v>6200</v>
      </c>
      <c r="I925" s="462" t="s">
        <v>689</v>
      </c>
      <c r="J925" s="462" t="s">
        <v>6200</v>
      </c>
      <c r="K925" s="462" t="s">
        <v>6224</v>
      </c>
      <c r="L925" s="462">
        <v>4</v>
      </c>
      <c r="M925" s="462" t="s">
        <v>840</v>
      </c>
      <c r="N925" s="712" t="s">
        <v>6202</v>
      </c>
      <c r="O925" s="462" t="s">
        <v>284</v>
      </c>
      <c r="P925" s="462" t="s">
        <v>5851</v>
      </c>
      <c r="Q925" s="462" t="s">
        <v>5852</v>
      </c>
      <c r="R925" s="430" t="str">
        <f>_xlfn.XLOOKUP(PV_DATA[[#This Row],[New Ark SKU]],Table9[New Ark SKU],Table9[Connector],,0)</f>
        <v>EVO2A</v>
      </c>
      <c r="S925" s="433" t="str">
        <f>_xlfn.XLOOKUP(PV_DATA[[#This Row],[New Ark SKU]],Table9[New Ark SKU],Table9[Cable],,0)</f>
        <v>±1200mm</v>
      </c>
      <c r="T925" s="946">
        <v>485</v>
      </c>
      <c r="U925" s="1095">
        <f>936*5</f>
        <v>4680</v>
      </c>
      <c r="V925" s="458">
        <f>PV_DATA[[#This Row],[QUANTITY]]*PV_DATA[[#This Row],[WATT]]/1000000</f>
        <v>2.2698</v>
      </c>
      <c r="W925" s="954">
        <f>PV_DATA[[#This Row],[QUANTITY]]/36</f>
        <v>130</v>
      </c>
      <c r="X925" s="1042">
        <f>PV_DATA[[#This Row],[QUANTITY]]/PV_DATA[[#This Row],[Qty/CT]]</f>
        <v>5</v>
      </c>
      <c r="Y925" s="462" t="s">
        <v>2465</v>
      </c>
      <c r="Z925" s="462" t="str">
        <f t="shared" si="12"/>
        <v>COMPLETED</v>
      </c>
      <c r="AA925" s="1068">
        <v>46252</v>
      </c>
      <c r="AB925" s="713">
        <v>46251</v>
      </c>
      <c r="AC925" s="947">
        <f>IF(PV_DATA[[#This Row],[Pick- Up Date]]&lt;&gt;"",_xlfn.ISOWEEKNUM(PV_DATA[[#This Row],[Pick- Up Date]]),"")</f>
        <v>34</v>
      </c>
      <c r="AD925" s="462" t="s">
        <v>6225</v>
      </c>
      <c r="AE925" s="462" t="s">
        <v>6225</v>
      </c>
      <c r="AF925" s="945" t="s">
        <v>5855</v>
      </c>
      <c r="AG925" s="462" t="s">
        <v>123</v>
      </c>
      <c r="AH925" s="462" t="s">
        <v>456</v>
      </c>
      <c r="AI925" s="713">
        <v>46258</v>
      </c>
      <c r="AJ925" s="713"/>
      <c r="AK925" s="713">
        <f>IFERROR(IF(VLOOKUP(AT925,Vessel!A:F,5,FALSE)=0,"",VLOOKUP(AT925,Vessel!A:F,5,FALSE)),"")</f>
        <v>46257.983877314815</v>
      </c>
      <c r="AL925" s="1140">
        <v>46299</v>
      </c>
      <c r="AM925" s="949">
        <f>IFERROR(VLOOKUP(AT925, Vessel!A:H, 8, FALSE), "")</f>
        <v>46299.291666666664</v>
      </c>
      <c r="AN925" s="949">
        <v>46299</v>
      </c>
      <c r="AP925" s="462" t="s">
        <v>6036</v>
      </c>
      <c r="AQ925" s="950" t="s">
        <v>80</v>
      </c>
      <c r="AR925" s="462" t="s">
        <v>6226</v>
      </c>
      <c r="AS925" s="462" t="s">
        <v>6227</v>
      </c>
      <c r="AT925" s="462" t="s">
        <v>6227</v>
      </c>
      <c r="AU9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25" s="713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2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5" s="713">
        <f>IF(ISERROR(PV_DATA[[#This Row],[New Ark PO status]]),"",_xlfn.XLOOKUP(PV_DATA[[#This Row],[SPTN-PVHK New Ark PO'#]],New_Ark_Data[Purchase order Number],New_Ark_Data[Estimated time of arrival],"",0))</f>
        <v>46294</v>
      </c>
      <c r="AZ925" s="9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5" s="713">
        <f>IFERROR(PV_DATA[[#This Row],[ODP ETA Port]]+PV_DATA[[#This Row],[Customs/Leg3 Assumption]],"n/a")</f>
        <v>46299</v>
      </c>
      <c r="BB925" s="946">
        <f>YEAR(PV_DATA[[#This Row],[ETA for New Ark update]])</f>
        <v>2026</v>
      </c>
      <c r="BC925" s="462">
        <f>MONTH(PV_DATA[[#This Row],[ETA for New Ark update]])</f>
        <v>10</v>
      </c>
      <c r="BD925" s="462">
        <f>IFERROR(_xlfn.ISOWEEKNUM(PV_DATA[[#This Row],[ETA for New Ark update]]),0)</f>
        <v>40</v>
      </c>
      <c r="BE925" s="462">
        <f>_xlfn.XLOOKUP(PV_DATA[[#This Row],[New Ark SKU]],Table9[New Ark SKU],Table9[Total PCS per Pallet],,0)</f>
        <v>36</v>
      </c>
      <c r="BF925" s="462">
        <f>_xlfn.XLOOKUP(PV_DATA[[#This Row],[New Ark SKU]],Table9[New Ark SKU],Table9[Total PCS per 40HQ Container],,0)</f>
        <v>936</v>
      </c>
      <c r="BG925" s="462" t="str">
        <f>_xlfn.XLOOKUP(PV_DATA[[#This Row],[New Ark SKU]],Table9[New Ark SKU],Table9[Back Glass],,0)</f>
        <v>Black glazing</v>
      </c>
      <c r="BH925" s="948" t="str">
        <f>_xlfn.XLOOKUP(PV_DATA[[#This Row],[PORT DESTINATION]],Table12[PORT DESTINATION],Table12[Cosco Line],,0)</f>
        <v>AEU</v>
      </c>
    </row>
    <row r="926" spans="1:62" s="462" customFormat="1" ht="10.5">
      <c r="A926" s="462" t="s">
        <v>6228</v>
      </c>
      <c r="B926" s="462" t="s">
        <v>111</v>
      </c>
      <c r="C926" s="462" t="str">
        <f>IFERROR(LEFT(PV_DATA[[#This Row],[TCL REFERENCE]],FIND(".",PV_DATA[[#This Row],[TCL REFERENCE]],1)-1),"Main Line")</f>
        <v>26Jun015</v>
      </c>
      <c r="D926" s="462" t="s">
        <v>63</v>
      </c>
      <c r="E926" s="462" t="s">
        <v>144</v>
      </c>
      <c r="F926" s="462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6" s="462" t="s">
        <v>402</v>
      </c>
      <c r="H926" s="462" t="s">
        <v>1080</v>
      </c>
      <c r="I926" s="462" t="s">
        <v>689</v>
      </c>
      <c r="J926" s="462" t="s">
        <v>1080</v>
      </c>
      <c r="K926" s="462" t="s">
        <v>5399</v>
      </c>
      <c r="L926" s="462">
        <v>3</v>
      </c>
      <c r="M926" s="462" t="s">
        <v>4967</v>
      </c>
      <c r="N926" s="712">
        <v>46202</v>
      </c>
      <c r="O926" s="462" t="s">
        <v>5379</v>
      </c>
      <c r="P926" s="462" t="s">
        <v>5400</v>
      </c>
      <c r="Q926" s="462" t="s">
        <v>5401</v>
      </c>
      <c r="R926" s="430" t="str">
        <f>_xlfn.XLOOKUP(PV_DATA[[#This Row],[New Ark SKU]],Table9[New Ark SKU],Table9[Connector],,0)</f>
        <v>EVO2A</v>
      </c>
      <c r="S926" s="433" t="str">
        <f>_xlfn.XLOOKUP(PV_DATA[[#This Row],[New Ark SKU]],Table9[New Ark SKU],Table9[Cable],,0)</f>
        <v>±1200mm</v>
      </c>
      <c r="T926" s="946">
        <v>465</v>
      </c>
      <c r="U926" s="1095">
        <v>1872</v>
      </c>
      <c r="V926" s="458">
        <f>PV_DATA[[#This Row],[QUANTITY]]*PV_DATA[[#This Row],[WATT]]/1000000</f>
        <v>0.87048000000000003</v>
      </c>
      <c r="W926" s="714">
        <f>PV_DATA[[#This Row],[QUANTITY]]/PV_DATA[[#This Row],[Qty/Pallet]]</f>
        <v>52</v>
      </c>
      <c r="X926" s="1042">
        <f>PV_DATA[[#This Row],[QUANTITY]]/PV_DATA[[#This Row],[Qty/CT]]</f>
        <v>2</v>
      </c>
      <c r="Y926" s="462" t="s">
        <v>2465</v>
      </c>
      <c r="Z926" s="462" t="str">
        <f t="shared" si="12"/>
        <v>IN-TRANSIT</v>
      </c>
      <c r="AA926" s="462" t="s">
        <v>5853</v>
      </c>
      <c r="AB926" s="713">
        <v>46250</v>
      </c>
      <c r="AC926" s="947">
        <f>IF(PV_DATA[[#This Row],[Pick- Up Date]]&lt;&gt;"",_xlfn.ISOWEEKNUM(PV_DATA[[#This Row],[Pick- Up Date]]),"")</f>
        <v>33</v>
      </c>
      <c r="AD926" s="462" t="s">
        <v>6229</v>
      </c>
      <c r="AE926" s="462" t="s">
        <v>6229</v>
      </c>
      <c r="AF926" s="462" t="s">
        <v>122</v>
      </c>
      <c r="AG926" s="462" t="s">
        <v>123</v>
      </c>
      <c r="AH926" s="462" t="s">
        <v>105</v>
      </c>
      <c r="AI926" s="713">
        <v>46256</v>
      </c>
      <c r="AJ926" s="713"/>
      <c r="AK926" s="713">
        <f>IFERROR(IF(VLOOKUP(AT926,Vessel!A:F,5,FALSE)=0,"",VLOOKUP(AT926,Vessel!A:F,5,FALSE)),"")</f>
        <v>46256.416493055556</v>
      </c>
      <c r="AL926" s="713">
        <v>46305</v>
      </c>
      <c r="AM926" s="949">
        <f>IFERROR(VLOOKUP(AT926, Vessel!A:H, 8, FALSE), "")</f>
        <v>46305.583333333336</v>
      </c>
      <c r="AN926" s="949" t="str">
        <f>IFERROR(IF(VLOOKUP(AT926,Vessel!A:I,9,FALSE)=0,"",VLOOKUP(AT926,Vessel!A:I,9,FALSE)),"")</f>
        <v/>
      </c>
      <c r="AP926" s="462" t="s">
        <v>6230</v>
      </c>
      <c r="AQ926" s="462" t="s">
        <v>80</v>
      </c>
      <c r="AR926" s="462" t="s">
        <v>6231</v>
      </c>
      <c r="AS926" s="462" t="s">
        <v>6232</v>
      </c>
      <c r="AT926" s="462" t="s">
        <v>6232</v>
      </c>
      <c r="AU9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49.166840277779556</v>
      </c>
      <c r="AW926" s="713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46305.583333333336</v>
      </c>
      <c r="AX92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6" s="713">
        <f>IF(ISERROR(PV_DATA[[#This Row],[New Ark PO status]]),"",_xlfn.XLOOKUP(PV_DATA[[#This Row],[SPTN-PVHK New Ark PO'#]],New_Ark_Data[Purchase order Number],New_Ark_Data[Estimated time of arrival],"",0))</f>
        <v>46305</v>
      </c>
      <c r="AZ926" s="9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6" s="713">
        <f>IFERROR(PV_DATA[[#This Row],[ODP ETA Port]]+PV_DATA[[#This Row],[Customs/Leg3 Assumption]],"n/a")</f>
        <v>46305.583333333336</v>
      </c>
      <c r="BB926" s="946">
        <f>YEAR(PV_DATA[[#This Row],[ETA for New Ark update]])</f>
        <v>2026</v>
      </c>
      <c r="BC926" s="462">
        <f>MONTH(PV_DATA[[#This Row],[ETA for New Ark update]])</f>
        <v>10</v>
      </c>
      <c r="BD926" s="462">
        <f>IFERROR(_xlfn.ISOWEEKNUM(PV_DATA[[#This Row],[ETA for New Ark update]]),0)</f>
        <v>41</v>
      </c>
      <c r="BE926" s="462">
        <f>_xlfn.XLOOKUP(PV_DATA[[#This Row],[New Ark SKU]],Table9[New Ark SKU],Table9[Total PCS per Pallet],,0)</f>
        <v>36</v>
      </c>
      <c r="BF926" s="462">
        <f>_xlfn.XLOOKUP(PV_DATA[[#This Row],[New Ark SKU]],Table9[New Ark SKU],Table9[Total PCS per 40HQ Container],,0)</f>
        <v>936</v>
      </c>
      <c r="BG926" s="462" t="str">
        <f>_xlfn.XLOOKUP(PV_DATA[[#This Row],[New Ark SKU]],Table9[New Ark SKU],Table9[Back Glass],,0)</f>
        <v>Black glazing</v>
      </c>
      <c r="BH926" s="462" t="str">
        <f>_xlfn.XLOOKUP(PV_DATA[[#This Row],[PORT DESTINATION]],Table12[PORT DESTINATION],Table12[Cosco Line],,0)</f>
        <v>AEU</v>
      </c>
    </row>
    <row r="927" spans="1:62" s="462" customFormat="1" ht="10.5">
      <c r="A927" s="951" t="s">
        <v>6233</v>
      </c>
      <c r="B927" s="945" t="s">
        <v>111</v>
      </c>
      <c r="C927" s="462" t="str">
        <f>IFERROR(LEFT(PV_DATA[[#This Row],[TCL REFERENCE]],FIND(".",PV_DATA[[#This Row],[TCL REFERENCE]],1)-1),"Main Line")</f>
        <v>26Aug010</v>
      </c>
      <c r="D927" s="945" t="s">
        <v>113</v>
      </c>
      <c r="E927" s="462" t="s">
        <v>144</v>
      </c>
      <c r="F927" s="945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7" s="462" t="s">
        <v>402</v>
      </c>
      <c r="H927" s="462" t="s">
        <v>670</v>
      </c>
      <c r="I927" s="462" t="s">
        <v>6234</v>
      </c>
      <c r="J927" s="462" t="s">
        <v>670</v>
      </c>
      <c r="K927" s="462" t="s">
        <v>5892</v>
      </c>
      <c r="L927" s="945">
        <v>16</v>
      </c>
      <c r="M927" s="462" t="s">
        <v>4967</v>
      </c>
      <c r="N927" s="1069"/>
      <c r="O927" s="945" t="s">
        <v>4531</v>
      </c>
      <c r="P927" s="945" t="s">
        <v>6235</v>
      </c>
      <c r="Q927" s="945" t="s">
        <v>330</v>
      </c>
      <c r="R927" s="430" t="str">
        <f>_xlfn.XLOOKUP(PV_DATA[[#This Row],[New Ark SKU]],Table9[New Ark SKU],Table9[Connector],,0)</f>
        <v>H4(Com)</v>
      </c>
      <c r="S927" s="433" t="str">
        <f>_xlfn.XLOOKUP(PV_DATA[[#This Row],[New Ark SKU]],Table9[New Ark SKU],Table9[Cable],,0)</f>
        <v>+400mm/-200mm</v>
      </c>
      <c r="T927" s="952">
        <v>625</v>
      </c>
      <c r="U927" s="1098">
        <v>4320</v>
      </c>
      <c r="V927" s="953">
        <f>PV_DATA[[#This Row],[QUANTITY]]*PV_DATA[[#This Row],[WATT]]/1000000</f>
        <v>2.7</v>
      </c>
      <c r="W927" s="714">
        <f>PV_DATA[[#This Row],[QUANTITY]]/36</f>
        <v>120</v>
      </c>
      <c r="X927" s="1176">
        <f>PV_DATA[[#This Row],[QUANTITY]]/PV_DATA[[#This Row],[Qty/CT]]</f>
        <v>6</v>
      </c>
      <c r="Y927" s="462" t="s">
        <v>6236</v>
      </c>
      <c r="Z927" s="462" t="str">
        <f t="shared" si="12"/>
        <v>IN-TRANSIT</v>
      </c>
      <c r="AA927" s="1065">
        <v>46251</v>
      </c>
      <c r="AB927" s="971">
        <v>46250</v>
      </c>
      <c r="AC927" s="1066">
        <f>IF(PV_DATA[[#This Row],[Pick- Up Date]]&lt;&gt;"",_xlfn.ISOWEEKNUM(PV_DATA[[#This Row],[Pick- Up Date]]),"")</f>
        <v>33</v>
      </c>
      <c r="AD927" s="945" t="s">
        <v>6237</v>
      </c>
      <c r="AE927" s="945" t="s">
        <v>6237</v>
      </c>
      <c r="AF927" s="945" t="s">
        <v>122</v>
      </c>
      <c r="AG927" s="945" t="s">
        <v>122</v>
      </c>
      <c r="AH927" s="462" t="s">
        <v>105</v>
      </c>
      <c r="AI927" s="713">
        <v>46256</v>
      </c>
      <c r="AJ927" s="713"/>
      <c r="AK927" s="713">
        <f>IFERROR(IF(VLOOKUP(AT927,Vessel!A:F,5,FALSE)=0,"",VLOOKUP(AT927,Vessel!A:F,5,FALSE)),"")</f>
        <v>46256.416493055556</v>
      </c>
      <c r="AL927" s="713">
        <v>46305</v>
      </c>
      <c r="AM927" s="949">
        <f>IFERROR(VLOOKUP(AT927, Vessel!A:H, 8, FALSE), "")</f>
        <v>46305.583333333336</v>
      </c>
      <c r="AN927" s="949" t="str">
        <f>IFERROR(IF(VLOOKUP(AT927,Vessel!A:I,9,FALSE)=0,"",VLOOKUP(AT927,Vessel!A:I,9,FALSE)),"")</f>
        <v/>
      </c>
      <c r="AO927" s="945"/>
      <c r="AP927" s="462" t="s">
        <v>6230</v>
      </c>
      <c r="AQ927" s="970" t="s">
        <v>80</v>
      </c>
      <c r="AR927" s="462" t="s">
        <v>6238</v>
      </c>
      <c r="AS927" s="462" t="s">
        <v>6239</v>
      </c>
      <c r="AT927" s="462" t="s">
        <v>6232</v>
      </c>
      <c r="AU9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49.166840277779556</v>
      </c>
      <c r="AV927" s="945"/>
      <c r="AW927" s="971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46305.583333333336</v>
      </c>
      <c r="AX92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7" s="971">
        <f>IF(ISERROR(PV_DATA[[#This Row],[New Ark PO status]]),"",_xlfn.XLOOKUP(PV_DATA[[#This Row],[SPTN-PVHK New Ark PO'#]],New_Ark_Data[Purchase order Number],New_Ark_Data[Estimated time of arrival],"",0))</f>
        <v>46305</v>
      </c>
      <c r="AZ927" s="9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7" s="971">
        <f>IFERROR(PV_DATA[[#This Row],[ODP ETA Port]]+PV_DATA[[#This Row],[Customs/Leg3 Assumption]],"n/a")</f>
        <v>46305.583333333336</v>
      </c>
      <c r="BB927" s="952">
        <f>YEAR(PV_DATA[[#This Row],[ETA for New Ark update]])</f>
        <v>2026</v>
      </c>
      <c r="BC927" s="945">
        <f>MONTH(PV_DATA[[#This Row],[ETA for New Ark update]])</f>
        <v>10</v>
      </c>
      <c r="BD927" s="945">
        <f>IFERROR(_xlfn.ISOWEEKNUM(PV_DATA[[#This Row],[ETA for New Ark update]]),0)</f>
        <v>41</v>
      </c>
      <c r="BE927" s="945">
        <f>_xlfn.XLOOKUP(PV_DATA[[#This Row],[New Ark SKU]],Table9[New Ark SKU],Table9[Total PCS per Pallet],,0)</f>
        <v>36</v>
      </c>
      <c r="BF927" s="945">
        <f>_xlfn.XLOOKUP(PV_DATA[[#This Row],[New Ark SKU]],Table9[New Ark SKU],Table9[Total PCS per 40HQ Container],,0)</f>
        <v>720</v>
      </c>
      <c r="BG927" s="945" t="str">
        <f>_xlfn.XLOOKUP(PV_DATA[[#This Row],[New Ark SKU]],Table9[New Ark SKU],Table9[Back Glass],,0)</f>
        <v>Redirection Film</v>
      </c>
      <c r="BH927" s="1067" t="str">
        <f>_xlfn.XLOOKUP(PV_DATA[[#This Row],[PORT DESTINATION]],Table12[PORT DESTINATION],Table12[Cosco Line],,0)</f>
        <v>AEU</v>
      </c>
    </row>
    <row r="928" spans="1:62" ht="10.5">
      <c r="A928" s="462" t="s">
        <v>6240</v>
      </c>
      <c r="B928" s="462" t="s">
        <v>111</v>
      </c>
      <c r="C928" s="462" t="str">
        <f>IFERROR(LEFT(PV_DATA[[#This Row],[TCL REFERENCE]],FIND(".",PV_DATA[[#This Row],[TCL REFERENCE]],1)-1),"Main Line")</f>
        <v>26May011</v>
      </c>
      <c r="D928" s="462" t="s">
        <v>63</v>
      </c>
      <c r="E928" s="462" t="s">
        <v>64</v>
      </c>
      <c r="F928" s="462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8" s="462" t="s">
        <v>402</v>
      </c>
      <c r="H928" s="462" t="s">
        <v>67</v>
      </c>
      <c r="I928" s="462" t="s">
        <v>869</v>
      </c>
      <c r="J928" s="430" t="s">
        <v>96</v>
      </c>
      <c r="K928" s="430"/>
      <c r="L928" s="430"/>
      <c r="M928" s="430" t="s">
        <v>68</v>
      </c>
      <c r="N928" s="432">
        <v>46167</v>
      </c>
      <c r="O928" s="459" t="s">
        <v>4531</v>
      </c>
      <c r="P928" s="430" t="s">
        <v>4592</v>
      </c>
      <c r="Q928" s="430" t="s">
        <v>330</v>
      </c>
      <c r="R928" s="430" t="str">
        <f>_xlfn.XLOOKUP(PV_DATA[[#This Row],[New Ark SKU]],Table9[New Ark SKU],Table9[Connector],,0)</f>
        <v>H4(Com)</v>
      </c>
      <c r="S928" s="433" t="str">
        <f>_xlfn.XLOOKUP(PV_DATA[[#This Row],[New Ark SKU]],Table9[New Ark SKU],Table9[Cable],,0)</f>
        <v>+400mm/-200mm</v>
      </c>
      <c r="T928" s="433">
        <v>625</v>
      </c>
      <c r="U928" s="1088">
        <f>720*1</f>
        <v>720</v>
      </c>
      <c r="V928" s="544">
        <f>PV_DATA[[#This Row],[QUANTITY]]*PV_DATA[[#This Row],[WATT]]/1000000</f>
        <v>0.45</v>
      </c>
      <c r="W928" s="435">
        <f>PV_DATA[[#This Row],[QUANTITY]]/PV_DATA[[#This Row],[Qty/Pallet]]</f>
        <v>20</v>
      </c>
      <c r="X928" s="1040">
        <f>PV_DATA[[#This Row],[QUANTITY]]/PV_DATA[[#This Row],[Qty/CT]]</f>
        <v>1</v>
      </c>
      <c r="Y928" s="430" t="s">
        <v>2458</v>
      </c>
      <c r="Z928" s="430" t="str">
        <f t="shared" si="12"/>
        <v>IN-TRANSIT</v>
      </c>
      <c r="AA928" s="430" t="s">
        <v>5394</v>
      </c>
      <c r="AB928" s="437">
        <v>46255</v>
      </c>
      <c r="AC928" s="485">
        <f>IF(PV_DATA[[#This Row],[Pick- Up Date]]&lt;&gt;"",_xlfn.ISOWEEKNUM(PV_DATA[[#This Row],[Pick- Up Date]]),"")</f>
        <v>34</v>
      </c>
      <c r="AD928" s="430" t="s">
        <v>6241</v>
      </c>
      <c r="AE928" s="430"/>
      <c r="AF928" s="430" t="s">
        <v>122</v>
      </c>
      <c r="AG928" s="430" t="s">
        <v>123</v>
      </c>
      <c r="AH928" s="430" t="s">
        <v>105</v>
      </c>
      <c r="AI928" s="713">
        <v>46257</v>
      </c>
      <c r="AJ928" s="437">
        <v>46261</v>
      </c>
      <c r="AK928" s="437">
        <v>46259</v>
      </c>
      <c r="AL928" s="437">
        <v>46298</v>
      </c>
      <c r="AM928" s="437">
        <v>46303</v>
      </c>
      <c r="AN928" s="588"/>
      <c r="AP928" s="430" t="s">
        <v>632</v>
      </c>
      <c r="AQ928" s="1070" t="s">
        <v>161</v>
      </c>
      <c r="AR928" s="430" t="s">
        <v>6242</v>
      </c>
      <c r="AS928" s="430" t="s">
        <v>6243</v>
      </c>
      <c r="AT928" s="430" t="s">
        <v>6244</v>
      </c>
      <c r="AU9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28" s="437"/>
      <c r="AW928" s="437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8" s="437">
        <f>IF(ISERROR(PV_DATA[[#This Row],[New Ark PO status]]),"",_xlfn.XLOOKUP(PV_DATA[[#This Row],[SPTN-PVHK New Ark PO'#]],New_Ark_Data[Purchase order Number],New_Ark_Data[Estimated time of arrival],"",0))</f>
        <v>46305</v>
      </c>
      <c r="AZ92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8" s="437">
        <f>IFERROR(PV_DATA[[#This Row],[ODP ETA Port]]+PV_DATA[[#This Row],[Customs/Leg3 Assumption]],"n/a")</f>
        <v>46310</v>
      </c>
      <c r="BB928" s="433">
        <f>YEAR(PV_DATA[[#This Row],[ETA for New Ark update]])</f>
        <v>2026</v>
      </c>
      <c r="BC928" s="430">
        <f>MONTH(PV_DATA[[#This Row],[ETA for New Ark update]])</f>
        <v>10</v>
      </c>
      <c r="BD928" s="430">
        <f>IFERROR(_xlfn.ISOWEEKNUM(PV_DATA[[#This Row],[ETA for New Ark update]]),0)</f>
        <v>42</v>
      </c>
      <c r="BE928" s="430">
        <f>_xlfn.XLOOKUP(PV_DATA[[#This Row],[New Ark SKU]],Table9[New Ark SKU],Table9[Total PCS per Pallet],,0)</f>
        <v>36</v>
      </c>
      <c r="BF928" s="430">
        <f>_xlfn.XLOOKUP(PV_DATA[[#This Row],[New Ark SKU]],Table9[New Ark SKU],Table9[Total PCS per 40HQ Container],,0)</f>
        <v>720</v>
      </c>
      <c r="BG928" s="430" t="str">
        <f>_xlfn.XLOOKUP(PV_DATA[[#This Row],[New Ark SKU]],Table9[New Ark SKU],Table9[Back Glass],,0)</f>
        <v>Transparent</v>
      </c>
      <c r="BH928" s="430" t="str">
        <f>_xlfn.XLOOKUP(PV_DATA[[#This Row],[PORT DESTINATION]],Table12[PORT DESTINATION],Table12[Cosco Line],,0)</f>
        <v>AEU</v>
      </c>
      <c r="BJ928" s="430"/>
    </row>
    <row r="929" spans="1:62" ht="10.5">
      <c r="A929" s="462" t="s">
        <v>6245</v>
      </c>
      <c r="B929" s="462" t="s">
        <v>111</v>
      </c>
      <c r="C929" s="462" t="str">
        <f>IFERROR(LEFT(PV_DATA[[#This Row],[TCL REFERENCE]],FIND(".",PV_DATA[[#This Row],[TCL REFERENCE]],1)-1),"Main Line")</f>
        <v>26Jul002</v>
      </c>
      <c r="D929" s="462" t="s">
        <v>63</v>
      </c>
      <c r="E929" s="462" t="s">
        <v>64</v>
      </c>
      <c r="F929" s="462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9" s="462" t="s">
        <v>402</v>
      </c>
      <c r="H929" s="462" t="s">
        <v>67</v>
      </c>
      <c r="I929" s="462" t="s">
        <v>689</v>
      </c>
      <c r="J929" s="430" t="s">
        <v>96</v>
      </c>
      <c r="K929" s="430"/>
      <c r="L929" s="430"/>
      <c r="M929" s="430" t="s">
        <v>68</v>
      </c>
      <c r="N929" s="432">
        <v>46209</v>
      </c>
      <c r="O929" s="430" t="s">
        <v>550</v>
      </c>
      <c r="P929" s="430" t="s">
        <v>2134</v>
      </c>
      <c r="Q929" s="430" t="s">
        <v>2135</v>
      </c>
      <c r="R929" s="430" t="str">
        <f>_xlfn.XLOOKUP(PV_DATA[[#This Row],[New Ark SKU]],Table9[New Ark SKU],Table9[Connector],,0)</f>
        <v>EVO2A</v>
      </c>
      <c r="S929" s="433" t="str">
        <f>_xlfn.XLOOKUP(PV_DATA[[#This Row],[New Ark SKU]],Table9[New Ark SKU],Table9[Cable],,0)</f>
        <v>±1350mm</v>
      </c>
      <c r="T929" s="433">
        <v>515</v>
      </c>
      <c r="U929" s="1088">
        <f>792*1</f>
        <v>792</v>
      </c>
      <c r="V929" s="434">
        <f>PV_DATA[[#This Row],[QUANTITY]]*PV_DATA[[#This Row],[WATT]]/1000000</f>
        <v>0.40788000000000002</v>
      </c>
      <c r="W929" s="435">
        <f>PV_DATA[[#This Row],[QUANTITY]]/PV_DATA[[#This Row],[Qty/Pallet]]</f>
        <v>22</v>
      </c>
      <c r="X929" s="1040">
        <f>PV_DATA[[#This Row],[QUANTITY]]/PV_DATA[[#This Row],[Qty/CT]]</f>
        <v>1</v>
      </c>
      <c r="Y929" s="436" t="s">
        <v>2465</v>
      </c>
      <c r="Z929" s="430" t="str">
        <f t="shared" si="12"/>
        <v>IN-TRANSIT</v>
      </c>
      <c r="AA929" s="430" t="s">
        <v>5853</v>
      </c>
      <c r="AB929" s="437">
        <v>46255</v>
      </c>
      <c r="AC929" s="485">
        <f>IF(PV_DATA[[#This Row],[Pick- Up Date]]&lt;&gt;"",_xlfn.ISOWEEKNUM(PV_DATA[[#This Row],[Pick- Up Date]]),"")</f>
        <v>34</v>
      </c>
      <c r="AD929" s="430" t="s">
        <v>6246</v>
      </c>
      <c r="AE929" s="430"/>
      <c r="AF929" s="430" t="s">
        <v>122</v>
      </c>
      <c r="AG929" s="430" t="s">
        <v>123</v>
      </c>
      <c r="AH929" s="430" t="s">
        <v>105</v>
      </c>
      <c r="AI929" s="713">
        <v>46257</v>
      </c>
      <c r="AJ929" s="437">
        <v>46261</v>
      </c>
      <c r="AK929" s="437">
        <v>46259</v>
      </c>
      <c r="AL929" s="1138">
        <v>46298</v>
      </c>
      <c r="AM929" s="1191"/>
      <c r="AN929" s="588"/>
      <c r="AP929" s="430" t="s">
        <v>632</v>
      </c>
      <c r="AQ929" s="1070" t="s">
        <v>161</v>
      </c>
      <c r="AR929" s="430" t="s">
        <v>6242</v>
      </c>
      <c r="AS929" s="430" t="s">
        <v>6243</v>
      </c>
      <c r="AT929" s="430" t="s">
        <v>6247</v>
      </c>
      <c r="AU9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9" s="437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9" s="437">
        <f>IF(ISERROR(PV_DATA[[#This Row],[New Ark PO status]]),"",_xlfn.XLOOKUP(PV_DATA[[#This Row],[SPTN-PVHK New Ark PO'#]],New_Ark_Data[Purchase order Number],New_Ark_Data[Estimated time of arrival],"",0))</f>
        <v>46304</v>
      </c>
      <c r="AZ92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9" s="437">
        <f>IFERROR(PV_DATA[[#This Row],[ODP ETA Port]]+PV_DATA[[#This Row],[Customs/Leg3 Assumption]],"n/a")</f>
        <v>46305</v>
      </c>
      <c r="BB929" s="433">
        <f>YEAR(PV_DATA[[#This Row],[ETA for New Ark update]])</f>
        <v>2026</v>
      </c>
      <c r="BC929" s="430">
        <f>MONTH(PV_DATA[[#This Row],[ETA for New Ark update]])</f>
        <v>10</v>
      </c>
      <c r="BD929" s="430">
        <f>IFERROR(_xlfn.ISOWEEKNUM(PV_DATA[[#This Row],[ETA for New Ark update]]),0)</f>
        <v>41</v>
      </c>
      <c r="BE929" s="430">
        <f>_xlfn.XLOOKUP(PV_DATA[[#This Row],[New Ark SKU]],Table9[New Ark SKU],Table9[Total PCS per Pallet],,0)</f>
        <v>36</v>
      </c>
      <c r="BF929" s="430">
        <f>_xlfn.XLOOKUP(PV_DATA[[#This Row],[New Ark SKU]],Table9[New Ark SKU],Table9[Total PCS per 40HQ Container],,0)</f>
        <v>792</v>
      </c>
      <c r="BG929" s="430" t="str">
        <f>_xlfn.XLOOKUP(PV_DATA[[#This Row],[New Ark SKU]],Table9[New Ark SKU],Table9[Back Glass],,0)</f>
        <v>Black glazing</v>
      </c>
      <c r="BH929" s="430" t="str">
        <f>_xlfn.XLOOKUP(PV_DATA[[#This Row],[PORT DESTINATION]],Table12[PORT DESTINATION],Table12[Cosco Line],,0)</f>
        <v>AEU</v>
      </c>
      <c r="BJ929" s="430"/>
    </row>
    <row r="930" spans="1:62" s="462" customFormat="1" ht="10.5">
      <c r="A930" s="951" t="s">
        <v>6248</v>
      </c>
      <c r="B930" s="945" t="s">
        <v>1757</v>
      </c>
      <c r="C930" s="945" t="str">
        <f>IFERROR(LEFT(PV_DATA[[#This Row],[TCL REFERENCE]],FIND(".",PV_DATA[[#This Row],[TCL REFERENCE]],1)-1),"Main Line")</f>
        <v>26Jul017</v>
      </c>
      <c r="D930" s="462" t="s">
        <v>63</v>
      </c>
      <c r="E930" s="462" t="s">
        <v>64</v>
      </c>
      <c r="F930" s="945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0" s="462" t="s">
        <v>402</v>
      </c>
      <c r="H930" s="462" t="s">
        <v>67</v>
      </c>
      <c r="I930" s="462" t="s">
        <v>882</v>
      </c>
      <c r="J930" s="462" t="s">
        <v>96</v>
      </c>
      <c r="K930" s="945"/>
      <c r="L930" s="945"/>
      <c r="M930" s="462" t="s">
        <v>68</v>
      </c>
      <c r="N930" s="712">
        <v>46230</v>
      </c>
      <c r="O930" s="462" t="s">
        <v>284</v>
      </c>
      <c r="P930" s="945" t="s">
        <v>5851</v>
      </c>
      <c r="Q930" s="945" t="s">
        <v>5852</v>
      </c>
      <c r="R930" s="430" t="str">
        <f>_xlfn.XLOOKUP(PV_DATA[[#This Row],[New Ark SKU]],Table9[New Ark SKU],Table9[Connector],,0)</f>
        <v>EVO2A</v>
      </c>
      <c r="S930" s="433" t="str">
        <f>_xlfn.XLOOKUP(PV_DATA[[#This Row],[New Ark SKU]],Table9[New Ark SKU],Table9[Cable],,0)</f>
        <v>±1200mm</v>
      </c>
      <c r="T930" s="952">
        <v>485</v>
      </c>
      <c r="U930" s="1098">
        <v>2808</v>
      </c>
      <c r="V930" s="1071">
        <f>PV_DATA[[#This Row],[QUANTITY]]*PV_DATA[[#This Row],[WATT]]/1000000</f>
        <v>1.36188</v>
      </c>
      <c r="W930" s="1072">
        <f>PV_DATA[[#This Row],[QUANTITY]]/36</f>
        <v>78</v>
      </c>
      <c r="X930" s="1042">
        <f>PV_DATA[[#This Row],[QUANTITY]]/PV_DATA[[#This Row],[Qty/CT]]</f>
        <v>3</v>
      </c>
      <c r="Y930" s="462" t="s">
        <v>2464</v>
      </c>
      <c r="Z930" s="462" t="str">
        <f t="shared" si="12"/>
        <v>IN-TRANSIT</v>
      </c>
      <c r="AA930" s="1065">
        <v>46251</v>
      </c>
      <c r="AB930" s="971">
        <v>46253</v>
      </c>
      <c r="AC930" s="1066">
        <f>IF(PV_DATA[[#This Row],[Pick- Up Date]]&lt;&gt;"",_xlfn.ISOWEEKNUM(PV_DATA[[#This Row],[Pick- Up Date]]),"")</f>
        <v>34</v>
      </c>
      <c r="AD930" s="945" t="s">
        <v>6249</v>
      </c>
      <c r="AE930" s="945" t="s">
        <v>6249</v>
      </c>
      <c r="AF930" s="462" t="s">
        <v>5855</v>
      </c>
      <c r="AG930" s="462" t="s">
        <v>123</v>
      </c>
      <c r="AH930" s="462" t="s">
        <v>105</v>
      </c>
      <c r="AI930" s="971">
        <v>46257</v>
      </c>
      <c r="AJ930" s="971">
        <v>46259</v>
      </c>
      <c r="AK930" s="437">
        <v>46259</v>
      </c>
      <c r="AL930" s="1140">
        <v>46298</v>
      </c>
      <c r="AM930" s="1140">
        <v>46303</v>
      </c>
      <c r="AN930" s="949" t="str">
        <f>IFERROR(IF(VLOOKUP(AT930,Vessel!A:I,9,FALSE)=0,"",VLOOKUP(AT930,Vessel!A:I,9,FALSE)),"")</f>
        <v/>
      </c>
      <c r="AO930" s="945"/>
      <c r="AP930" s="462" t="s">
        <v>6250</v>
      </c>
      <c r="AQ930" s="462" t="s">
        <v>161</v>
      </c>
      <c r="AR930" s="462" t="s">
        <v>6251</v>
      </c>
      <c r="AS930" s="462" t="s">
        <v>6252</v>
      </c>
      <c r="AT930" s="462" t="s">
        <v>6252</v>
      </c>
      <c r="AU9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30" s="945"/>
      <c r="AW930" s="971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3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0" s="971">
        <f>IF(ISERROR(PV_DATA[[#This Row],[New Ark PO status]]),"",_xlfn.XLOOKUP(PV_DATA[[#This Row],[SPTN-PVHK New Ark PO'#]],New_Ark_Data[Purchase order Number],New_Ark_Data[Estimated time of arrival],"",0))</f>
        <v>46305</v>
      </c>
      <c r="AZ930" s="9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0" s="971">
        <f>IFERROR(PV_DATA[[#This Row],[ODP ETA Port]]+PV_DATA[[#This Row],[Customs/Leg3 Assumption]],"n/a")</f>
        <v>46310</v>
      </c>
      <c r="BB930" s="952">
        <f>YEAR(PV_DATA[[#This Row],[ETA for New Ark update]])</f>
        <v>2026</v>
      </c>
      <c r="BC930" s="945">
        <f>MONTH(PV_DATA[[#This Row],[ETA for New Ark update]])</f>
        <v>10</v>
      </c>
      <c r="BD930" s="945">
        <f>IFERROR(_xlfn.ISOWEEKNUM(PV_DATA[[#This Row],[ETA for New Ark update]]),0)</f>
        <v>42</v>
      </c>
      <c r="BE930" s="945">
        <f>_xlfn.XLOOKUP(PV_DATA[[#This Row],[New Ark SKU]],Table9[New Ark SKU],Table9[Total PCS per Pallet],,0)</f>
        <v>36</v>
      </c>
      <c r="BF930" s="945">
        <f>_xlfn.XLOOKUP(PV_DATA[[#This Row],[New Ark SKU]],Table9[New Ark SKU],Table9[Total PCS per 40HQ Container],,0)</f>
        <v>936</v>
      </c>
      <c r="BG930" s="462" t="str">
        <f>_xlfn.XLOOKUP(PV_DATA[[#This Row],[New Ark SKU]],Table9[New Ark SKU],Table9[Back Glass],,0)</f>
        <v>Black glazing</v>
      </c>
      <c r="BH930" s="1067" t="str">
        <f>_xlfn.XLOOKUP(PV_DATA[[#This Row],[PORT DESTINATION]],Table12[PORT DESTINATION],Table12[Cosco Line],,0)</f>
        <v>AEU</v>
      </c>
    </row>
    <row r="931" spans="1:62" s="462" customFormat="1" ht="10.5">
      <c r="A931" s="729" t="s">
        <v>6253</v>
      </c>
      <c r="B931" s="462" t="s">
        <v>1757</v>
      </c>
      <c r="C931" s="462" t="str">
        <f>IFERROR(LEFT(PV_DATA[[#This Row],[TCL REFERENCE]],FIND(".",PV_DATA[[#This Row],[TCL REFERENCE]],1)-1),"Main Line")</f>
        <v>26Aug007</v>
      </c>
      <c r="D931" s="462" t="s">
        <v>63</v>
      </c>
      <c r="E931" s="462" t="s">
        <v>64</v>
      </c>
      <c r="F931" s="945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1" s="462" t="s">
        <v>402</v>
      </c>
      <c r="H931" s="462" t="s">
        <v>67</v>
      </c>
      <c r="I931" s="462" t="s">
        <v>1395</v>
      </c>
      <c r="J931" s="462" t="s">
        <v>96</v>
      </c>
      <c r="M931" s="462" t="s">
        <v>68</v>
      </c>
      <c r="N931" s="712" t="s">
        <v>6202</v>
      </c>
      <c r="O931" s="462" t="s">
        <v>284</v>
      </c>
      <c r="P931" s="462" t="s">
        <v>5851</v>
      </c>
      <c r="Q931" s="462" t="s">
        <v>5852</v>
      </c>
      <c r="R931" s="430" t="str">
        <f>_xlfn.XLOOKUP(PV_DATA[[#This Row],[New Ark SKU]],Table9[New Ark SKU],Table9[Connector],,0)</f>
        <v>EVO2A</v>
      </c>
      <c r="S931" s="433" t="str">
        <f>_xlfn.XLOOKUP(PV_DATA[[#This Row],[New Ark SKU]],Table9[New Ark SKU],Table9[Cable],,0)</f>
        <v>±1200mm</v>
      </c>
      <c r="T931" s="946">
        <v>485</v>
      </c>
      <c r="U931" s="1095">
        <v>1872</v>
      </c>
      <c r="V931" s="1073">
        <f>PV_DATA[[#This Row],[QUANTITY]]*PV_DATA[[#This Row],[WATT]]/1000000</f>
        <v>0.90791999999999995</v>
      </c>
      <c r="W931" s="1072">
        <f>PV_DATA[[#This Row],[QUANTITY]]/36</f>
        <v>52</v>
      </c>
      <c r="X931" s="1042">
        <f>PV_DATA[[#This Row],[QUANTITY]]/PV_DATA[[#This Row],[Qty/CT]]</f>
        <v>2</v>
      </c>
      <c r="Y931" s="462" t="s">
        <v>2463</v>
      </c>
      <c r="Z931" s="462" t="str">
        <f t="shared" si="12"/>
        <v>IN-TRANSIT</v>
      </c>
      <c r="AA931" s="1068">
        <v>46250</v>
      </c>
      <c r="AB931" s="971">
        <v>46253</v>
      </c>
      <c r="AC931" s="947">
        <f>IF(PV_DATA[[#This Row],[Pick- Up Date]]&lt;&gt;"",_xlfn.ISOWEEKNUM(PV_DATA[[#This Row],[Pick- Up Date]]),"")</f>
        <v>34</v>
      </c>
      <c r="AD931" s="462" t="s">
        <v>6254</v>
      </c>
      <c r="AE931" s="462" t="s">
        <v>6254</v>
      </c>
      <c r="AF931" s="462" t="s">
        <v>5855</v>
      </c>
      <c r="AG931" s="462" t="s">
        <v>123</v>
      </c>
      <c r="AH931" s="462" t="s">
        <v>105</v>
      </c>
      <c r="AI931" s="713">
        <v>46257</v>
      </c>
      <c r="AJ931" s="971">
        <v>46259</v>
      </c>
      <c r="AK931" s="437">
        <v>46259</v>
      </c>
      <c r="AL931" s="1140">
        <v>46298</v>
      </c>
      <c r="AM931" s="1140">
        <v>46303</v>
      </c>
      <c r="AN931" s="949" t="str">
        <f>IFERROR(IF(VLOOKUP(AT931,Vessel!A:I,9,FALSE)=0,"",VLOOKUP(AT931,Vessel!A:I,9,FALSE)),"")</f>
        <v/>
      </c>
      <c r="AP931" s="462" t="s">
        <v>6250</v>
      </c>
      <c r="AQ931" s="950" t="s">
        <v>161</v>
      </c>
      <c r="AR931" s="462" t="s">
        <v>6251</v>
      </c>
      <c r="AS931" s="462" t="s">
        <v>6252</v>
      </c>
      <c r="AT931" s="462" t="s">
        <v>6252</v>
      </c>
      <c r="AU9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31" s="713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3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1" s="713">
        <f>IF(ISERROR(PV_DATA[[#This Row],[New Ark PO status]]),"",_xlfn.XLOOKUP(PV_DATA[[#This Row],[SPTN-PVHK New Ark PO'#]],New_Ark_Data[Purchase order Number],New_Ark_Data[Estimated time of arrival],"",0))</f>
        <v>46305</v>
      </c>
      <c r="AZ931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1" s="713">
        <f>IFERROR(PV_DATA[[#This Row],[ODP ETA Port]]+PV_DATA[[#This Row],[Customs/Leg3 Assumption]],"n/a")</f>
        <v>46310</v>
      </c>
      <c r="BB931" s="946">
        <f>YEAR(PV_DATA[[#This Row],[ETA for New Ark update]])</f>
        <v>2026</v>
      </c>
      <c r="BC931" s="462">
        <f>MONTH(PV_DATA[[#This Row],[ETA for New Ark update]])</f>
        <v>10</v>
      </c>
      <c r="BD931" s="462">
        <f>IFERROR(_xlfn.ISOWEEKNUM(PV_DATA[[#This Row],[ETA for New Ark update]]),0)</f>
        <v>42</v>
      </c>
      <c r="BE931" s="462">
        <f>_xlfn.XLOOKUP(PV_DATA[[#This Row],[New Ark SKU]],Table9[New Ark SKU],Table9[Total PCS per Pallet],,0)</f>
        <v>36</v>
      </c>
      <c r="BF931" s="462">
        <f>_xlfn.XLOOKUP(PV_DATA[[#This Row],[New Ark SKU]],Table9[New Ark SKU],Table9[Total PCS per 40HQ Container],,0)</f>
        <v>936</v>
      </c>
      <c r="BG931" s="462" t="str">
        <f>_xlfn.XLOOKUP(PV_DATA[[#This Row],[New Ark SKU]],Table9[New Ark SKU],Table9[Back Glass],,0)</f>
        <v>Black glazing</v>
      </c>
      <c r="BH931" s="948" t="str">
        <f>_xlfn.XLOOKUP(PV_DATA[[#This Row],[PORT DESTINATION]],Table12[PORT DESTINATION],Table12[Cosco Line],,0)</f>
        <v>AEU</v>
      </c>
    </row>
    <row r="932" spans="1:62" s="462" customFormat="1" ht="10.5">
      <c r="A932" s="951" t="s">
        <v>6255</v>
      </c>
      <c r="B932" s="945" t="s">
        <v>1757</v>
      </c>
      <c r="C932" s="462" t="str">
        <f>IFERROR(LEFT(PV_DATA[[#This Row],[TCL REFERENCE]],FIND(".",PV_DATA[[#This Row],[TCL REFERENCE]],1)-1),"Main Line")</f>
        <v>26Aug007</v>
      </c>
      <c r="D932" s="462" t="s">
        <v>63</v>
      </c>
      <c r="E932" s="462" t="s">
        <v>64</v>
      </c>
      <c r="F932" s="462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2" s="462" t="s">
        <v>402</v>
      </c>
      <c r="H932" s="462" t="s">
        <v>67</v>
      </c>
      <c r="I932" s="462" t="s">
        <v>1395</v>
      </c>
      <c r="J932" s="462" t="s">
        <v>96</v>
      </c>
      <c r="M932" s="462" t="s">
        <v>68</v>
      </c>
      <c r="N932" s="712">
        <v>46230</v>
      </c>
      <c r="O932" s="462" t="s">
        <v>284</v>
      </c>
      <c r="P932" s="945" t="s">
        <v>5851</v>
      </c>
      <c r="Q932" s="945" t="s">
        <v>5852</v>
      </c>
      <c r="R932" s="430" t="str">
        <f>_xlfn.XLOOKUP(PV_DATA[[#This Row],[New Ark SKU]],Table9[New Ark SKU],Table9[Connector],,0)</f>
        <v>EVO2A</v>
      </c>
      <c r="S932" s="433" t="str">
        <f>_xlfn.XLOOKUP(PV_DATA[[#This Row],[New Ark SKU]],Table9[New Ark SKU],Table9[Cable],,0)</f>
        <v>±1200mm</v>
      </c>
      <c r="T932" s="952">
        <v>485</v>
      </c>
      <c r="U932" s="1098">
        <v>2808</v>
      </c>
      <c r="V932" s="1073">
        <f>PV_DATA[[#This Row],[QUANTITY]]*PV_DATA[[#This Row],[WATT]]/1000000</f>
        <v>1.36188</v>
      </c>
      <c r="W932" s="1074">
        <f>PV_DATA[[#This Row],[QUANTITY]]/PV_DATA[[#This Row],[Qty/Pallet]]</f>
        <v>78</v>
      </c>
      <c r="X932" s="1042">
        <f>PV_DATA[[#This Row],[QUANTITY]]/PV_DATA[[#This Row],[Qty/CT]]</f>
        <v>3</v>
      </c>
      <c r="Y932" s="462" t="s">
        <v>2463</v>
      </c>
      <c r="Z932" s="462" t="str">
        <f t="shared" si="12"/>
        <v>IN-TRANSIT</v>
      </c>
      <c r="AA932" s="1065">
        <v>46249</v>
      </c>
      <c r="AB932" s="971">
        <v>46253</v>
      </c>
      <c r="AC932" s="947">
        <f>IF(PV_DATA[[#This Row],[Pick- Up Date]]&lt;&gt;"",_xlfn.ISOWEEKNUM(PV_DATA[[#This Row],[Pick- Up Date]]),"")</f>
        <v>34</v>
      </c>
      <c r="AD932" s="462" t="s">
        <v>6256</v>
      </c>
      <c r="AE932" s="462" t="s">
        <v>6256</v>
      </c>
      <c r="AF932" s="462" t="s">
        <v>5855</v>
      </c>
      <c r="AG932" s="462" t="s">
        <v>123</v>
      </c>
      <c r="AH932" s="462" t="s">
        <v>105</v>
      </c>
      <c r="AI932" s="713">
        <v>46257</v>
      </c>
      <c r="AJ932" s="971">
        <v>46259</v>
      </c>
      <c r="AK932" s="437">
        <v>46259</v>
      </c>
      <c r="AL932" s="1140">
        <v>46298</v>
      </c>
      <c r="AM932" s="1140">
        <v>46303</v>
      </c>
      <c r="AN932" s="949" t="str">
        <f>IFERROR(IF(VLOOKUP(AT932,Vessel!A:I,9,FALSE)=0,"",VLOOKUP(AT932,Vessel!A:I,9,FALSE)),"")</f>
        <v/>
      </c>
      <c r="AP932" s="462" t="s">
        <v>6250</v>
      </c>
      <c r="AQ932" s="950" t="s">
        <v>161</v>
      </c>
      <c r="AR932" s="462" t="s">
        <v>6251</v>
      </c>
      <c r="AS932" s="462" t="s">
        <v>6252</v>
      </c>
      <c r="AT932" s="462" t="s">
        <v>6257</v>
      </c>
      <c r="AU9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32" s="713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3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713">
        <f>IF(ISERROR(PV_DATA[[#This Row],[New Ark PO status]]),"",_xlfn.XLOOKUP(PV_DATA[[#This Row],[SPTN-PVHK New Ark PO'#]],New_Ark_Data[Purchase order Number],New_Ark_Data[Estimated time of arrival],"",0))</f>
        <v>46305</v>
      </c>
      <c r="AZ932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2" s="713">
        <f>IFERROR(PV_DATA[[#This Row],[ODP ETA Port]]+PV_DATA[[#This Row],[Customs/Leg3 Assumption]],"n/a")</f>
        <v>46310</v>
      </c>
      <c r="BB932" s="946">
        <f>YEAR(PV_DATA[[#This Row],[ETA for New Ark update]])</f>
        <v>2026</v>
      </c>
      <c r="BC932" s="462">
        <f>MONTH(PV_DATA[[#This Row],[ETA for New Ark update]])</f>
        <v>10</v>
      </c>
      <c r="BD932" s="462">
        <f>IFERROR(_xlfn.ISOWEEKNUM(PV_DATA[[#This Row],[ETA for New Ark update]]),0)</f>
        <v>42</v>
      </c>
      <c r="BE932" s="462">
        <f>_xlfn.XLOOKUP(PV_DATA[[#This Row],[New Ark SKU]],Table9[New Ark SKU],Table9[Total PCS per Pallet],,0)</f>
        <v>36</v>
      </c>
      <c r="BF932" s="462">
        <f>_xlfn.XLOOKUP(PV_DATA[[#This Row],[New Ark SKU]],Table9[New Ark SKU],Table9[Total PCS per 40HQ Container],,0)</f>
        <v>936</v>
      </c>
      <c r="BG932" s="462" t="str">
        <f>_xlfn.XLOOKUP(PV_DATA[[#This Row],[New Ark SKU]],Table9[New Ark SKU],Table9[Back Glass],,0)</f>
        <v>Black glazing</v>
      </c>
      <c r="BH932" s="948" t="str">
        <f>_xlfn.XLOOKUP(PV_DATA[[#This Row],[PORT DESTINATION]],Table12[PORT DESTINATION],Table12[Cosco Line],,0)</f>
        <v>AEU</v>
      </c>
    </row>
    <row r="933" spans="1:62" s="462" customFormat="1" ht="10.5">
      <c r="A933" s="729" t="s">
        <v>6258</v>
      </c>
      <c r="B933" s="462" t="s">
        <v>1757</v>
      </c>
      <c r="C933" s="462" t="str">
        <f>IFERROR(LEFT(PV_DATA[[#This Row],[TCL REFERENCE]],FIND(".",PV_DATA[[#This Row],[TCL REFERENCE]],1)-1),"Main Line")</f>
        <v>26Aug007</v>
      </c>
      <c r="D933" s="462" t="s">
        <v>63</v>
      </c>
      <c r="E933" s="462" t="s">
        <v>64</v>
      </c>
      <c r="F933" s="945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33" s="462" t="s">
        <v>402</v>
      </c>
      <c r="H933" s="462" t="s">
        <v>67</v>
      </c>
      <c r="I933" s="462" t="s">
        <v>1395</v>
      </c>
      <c r="J933" s="462" t="s">
        <v>96</v>
      </c>
      <c r="M933" s="462" t="s">
        <v>68</v>
      </c>
      <c r="N933" s="712" t="s">
        <v>6202</v>
      </c>
      <c r="O933" s="462" t="s">
        <v>284</v>
      </c>
      <c r="P933" s="462" t="s">
        <v>5851</v>
      </c>
      <c r="Q933" s="462" t="s">
        <v>5852</v>
      </c>
      <c r="R933" s="430" t="str">
        <f>_xlfn.XLOOKUP(PV_DATA[[#This Row],[New Ark SKU]],Table9[New Ark SKU],Table9[Connector],,0)</f>
        <v>EVO2A</v>
      </c>
      <c r="S933" s="433" t="str">
        <f>_xlfn.XLOOKUP(PV_DATA[[#This Row],[New Ark SKU]],Table9[New Ark SKU],Table9[Cable],,0)</f>
        <v>±1200mm</v>
      </c>
      <c r="T933" s="946">
        <v>485</v>
      </c>
      <c r="U933" s="1095">
        <v>1872</v>
      </c>
      <c r="V933" s="1073">
        <f>PV_DATA[[#This Row],[QUANTITY]]*PV_DATA[[#This Row],[WATT]]/1000000</f>
        <v>0.90791999999999995</v>
      </c>
      <c r="W933" s="1072">
        <f>PV_DATA[[#This Row],[QUANTITY]]/36</f>
        <v>52</v>
      </c>
      <c r="X933" s="1042">
        <f>PV_DATA[[#This Row],[QUANTITY]]/PV_DATA[[#This Row],[Qty/CT]]</f>
        <v>2</v>
      </c>
      <c r="Y933" s="462" t="s">
        <v>2463</v>
      </c>
      <c r="Z933" s="462" t="str">
        <f t="shared" si="12"/>
        <v>IN-TRANSIT</v>
      </c>
      <c r="AA933" s="1068">
        <v>46250</v>
      </c>
      <c r="AB933" s="971">
        <v>46253</v>
      </c>
      <c r="AC933" s="947">
        <f>IF(PV_DATA[[#This Row],[Pick- Up Date]]&lt;&gt;"",_xlfn.ISOWEEKNUM(PV_DATA[[#This Row],[Pick- Up Date]]),"")</f>
        <v>34</v>
      </c>
      <c r="AD933" s="462" t="s">
        <v>6259</v>
      </c>
      <c r="AE933" s="462" t="s">
        <v>6259</v>
      </c>
      <c r="AF933" s="462" t="s">
        <v>5855</v>
      </c>
      <c r="AG933" s="462" t="s">
        <v>123</v>
      </c>
      <c r="AH933" s="462" t="s">
        <v>105</v>
      </c>
      <c r="AI933" s="713">
        <v>46257</v>
      </c>
      <c r="AJ933" s="971">
        <v>46259</v>
      </c>
      <c r="AK933" s="437">
        <v>46259</v>
      </c>
      <c r="AL933" s="1140">
        <v>46298</v>
      </c>
      <c r="AM933" s="1140">
        <v>46303</v>
      </c>
      <c r="AN933" s="949" t="str">
        <f>IFERROR(IF(VLOOKUP(AT933,Vessel!A:I,9,FALSE)=0,"",VLOOKUP(AT933,Vessel!A:I,9,FALSE)),"")</f>
        <v/>
      </c>
      <c r="AP933" s="462" t="s">
        <v>6250</v>
      </c>
      <c r="AQ933" s="950" t="s">
        <v>161</v>
      </c>
      <c r="AR933" s="462" t="s">
        <v>6251</v>
      </c>
      <c r="AS933" s="462" t="s">
        <v>6252</v>
      </c>
      <c r="AT933" s="462" t="s">
        <v>6257</v>
      </c>
      <c r="AU9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33" s="713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3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713">
        <f>IF(ISERROR(PV_DATA[[#This Row],[New Ark PO status]]),"",_xlfn.XLOOKUP(PV_DATA[[#This Row],[SPTN-PVHK New Ark PO'#]],New_Ark_Data[Purchase order Number],New_Ark_Data[Estimated time of arrival],"",0))</f>
        <v>46305</v>
      </c>
      <c r="AZ933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3" s="713">
        <f>IFERROR(PV_DATA[[#This Row],[ODP ETA Port]]+PV_DATA[[#This Row],[Customs/Leg3 Assumption]],"n/a")</f>
        <v>46310</v>
      </c>
      <c r="BB933" s="946">
        <f>YEAR(PV_DATA[[#This Row],[ETA for New Ark update]])</f>
        <v>2026</v>
      </c>
      <c r="BC933" s="462">
        <f>MONTH(PV_DATA[[#This Row],[ETA for New Ark update]])</f>
        <v>10</v>
      </c>
      <c r="BD933" s="462">
        <f>IFERROR(_xlfn.ISOWEEKNUM(PV_DATA[[#This Row],[ETA for New Ark update]]),0)</f>
        <v>42</v>
      </c>
      <c r="BE933" s="462">
        <f>_xlfn.XLOOKUP(PV_DATA[[#This Row],[New Ark SKU]],Table9[New Ark SKU],Table9[Total PCS per Pallet],,0)</f>
        <v>36</v>
      </c>
      <c r="BF933" s="462">
        <f>_xlfn.XLOOKUP(PV_DATA[[#This Row],[New Ark SKU]],Table9[New Ark SKU],Table9[Total PCS per 40HQ Container],,0)</f>
        <v>936</v>
      </c>
      <c r="BG933" s="462" t="str">
        <f>_xlfn.XLOOKUP(PV_DATA[[#This Row],[New Ark SKU]],Table9[New Ark SKU],Table9[Back Glass],,0)</f>
        <v>Black glazing</v>
      </c>
      <c r="BH933" s="948" t="str">
        <f>_xlfn.XLOOKUP(PV_DATA[[#This Row],[PORT DESTINATION]],Table12[PORT DESTINATION],Table12[Cosco Line],,0)</f>
        <v>AEU</v>
      </c>
    </row>
    <row r="934" spans="1:62" s="462" customFormat="1" ht="10.5">
      <c r="A934" s="951" t="s">
        <v>6260</v>
      </c>
      <c r="B934" s="945" t="s">
        <v>111</v>
      </c>
      <c r="C934" s="462" t="str">
        <f>IFERROR(LEFT(PV_DATA[[#This Row],[TCL REFERENCE]],FIND(".",PV_DATA[[#This Row],[TCL REFERENCE]],1)-1),"Main Line")</f>
        <v>26Aug010</v>
      </c>
      <c r="D934" s="945" t="s">
        <v>113</v>
      </c>
      <c r="E934" s="462" t="s">
        <v>144</v>
      </c>
      <c r="F934" s="945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4" s="462" t="s">
        <v>402</v>
      </c>
      <c r="H934" s="462" t="s">
        <v>670</v>
      </c>
      <c r="I934" s="462" t="s">
        <v>6234</v>
      </c>
      <c r="J934" s="462" t="s">
        <v>670</v>
      </c>
      <c r="K934" s="462" t="s">
        <v>5892</v>
      </c>
      <c r="L934" s="945">
        <v>10</v>
      </c>
      <c r="M934" s="462" t="s">
        <v>4967</v>
      </c>
      <c r="N934" s="1069"/>
      <c r="O934" s="945" t="s">
        <v>4531</v>
      </c>
      <c r="P934" s="945" t="s">
        <v>6235</v>
      </c>
      <c r="Q934" s="945" t="s">
        <v>330</v>
      </c>
      <c r="R934" s="430" t="str">
        <f>_xlfn.XLOOKUP(PV_DATA[[#This Row],[New Ark SKU]],Table9[New Ark SKU],Table9[Connector],,0)</f>
        <v>H4(Com)</v>
      </c>
      <c r="S934" s="433" t="str">
        <f>_xlfn.XLOOKUP(PV_DATA[[#This Row],[New Ark SKU]],Table9[New Ark SKU],Table9[Cable],,0)</f>
        <v>+400mm/-200mm</v>
      </c>
      <c r="T934" s="952">
        <v>625</v>
      </c>
      <c r="U934" s="1098">
        <f>720*5</f>
        <v>3600</v>
      </c>
      <c r="V934" s="953">
        <f>PV_DATA[[#This Row],[QUANTITY]]*PV_DATA[[#This Row],[WATT]]/1000000</f>
        <v>2.25</v>
      </c>
      <c r="W934" s="714">
        <f>PV_DATA[[#This Row],[QUANTITY]]/36</f>
        <v>100</v>
      </c>
      <c r="X934" s="1176">
        <f>PV_DATA[[#This Row],[QUANTITY]]/PV_DATA[[#This Row],[Qty/CT]]</f>
        <v>5</v>
      </c>
      <c r="Y934" s="462" t="s">
        <v>6261</v>
      </c>
      <c r="Z934" s="462" t="str">
        <f t="shared" si="12"/>
        <v>IN-TRANSIT</v>
      </c>
      <c r="AA934" s="1065">
        <v>46251</v>
      </c>
      <c r="AB934" s="971">
        <v>46253</v>
      </c>
      <c r="AC934" s="1066">
        <f>IF(PV_DATA[[#This Row],[Pick- Up Date]]&lt;&gt;"",_xlfn.ISOWEEKNUM(PV_DATA[[#This Row],[Pick- Up Date]]),"")</f>
        <v>34</v>
      </c>
      <c r="AD934" s="945" t="s">
        <v>6262</v>
      </c>
      <c r="AE934" s="945" t="s">
        <v>6262</v>
      </c>
      <c r="AF934" s="945" t="s">
        <v>122</v>
      </c>
      <c r="AG934" s="945" t="s">
        <v>122</v>
      </c>
      <c r="AH934" s="462" t="s">
        <v>105</v>
      </c>
      <c r="AI934" s="971">
        <v>46257</v>
      </c>
      <c r="AJ934" s="713">
        <v>46259</v>
      </c>
      <c r="AK934" s="437">
        <v>46259</v>
      </c>
      <c r="AL934" s="971">
        <v>46298</v>
      </c>
      <c r="AM934" s="949"/>
      <c r="AN934" s="949"/>
      <c r="AO934" s="945"/>
      <c r="AP934" s="945" t="s">
        <v>6250</v>
      </c>
      <c r="AQ934" s="970" t="s">
        <v>161</v>
      </c>
      <c r="AR934" s="945" t="s">
        <v>6263</v>
      </c>
      <c r="AS934" s="945" t="s">
        <v>6264</v>
      </c>
      <c r="AT934" s="462" t="s">
        <v>6264</v>
      </c>
      <c r="AU9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34" s="945"/>
      <c r="AW934" s="971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3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4" s="971">
        <f>IF(ISERROR(PV_DATA[[#This Row],[New Ark PO status]]),"",_xlfn.XLOOKUP(PV_DATA[[#This Row],[SPTN-PVHK New Ark PO'#]],New_Ark_Data[Purchase order Number],New_Ark_Data[Estimated time of arrival],"",0))</f>
        <v>46298</v>
      </c>
      <c r="AZ934" s="9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4" s="971">
        <f>IFERROR(PV_DATA[[#This Row],[ODP ETA Port]]+PV_DATA[[#This Row],[Customs/Leg3 Assumption]],"n/a")</f>
        <v>46298</v>
      </c>
      <c r="BB934" s="952">
        <f>YEAR(PV_DATA[[#This Row],[ETA for New Ark update]])</f>
        <v>2026</v>
      </c>
      <c r="BC934" s="945">
        <f>MONTH(PV_DATA[[#This Row],[ETA for New Ark update]])</f>
        <v>10</v>
      </c>
      <c r="BD934" s="945">
        <f>IFERROR(_xlfn.ISOWEEKNUM(PV_DATA[[#This Row],[ETA for New Ark update]]),0)</f>
        <v>40</v>
      </c>
      <c r="BE934" s="945">
        <f>_xlfn.XLOOKUP(PV_DATA[[#This Row],[New Ark SKU]],Table9[New Ark SKU],Table9[Total PCS per Pallet],,0)</f>
        <v>36</v>
      </c>
      <c r="BF934" s="945">
        <f>_xlfn.XLOOKUP(PV_DATA[[#This Row],[New Ark SKU]],Table9[New Ark SKU],Table9[Total PCS per 40HQ Container],,0)</f>
        <v>720</v>
      </c>
      <c r="BG934" s="945" t="str">
        <f>_xlfn.XLOOKUP(PV_DATA[[#This Row],[New Ark SKU]],Table9[New Ark SKU],Table9[Back Glass],,0)</f>
        <v>Redirection Film</v>
      </c>
      <c r="BH934" s="1067" t="str">
        <f>_xlfn.XLOOKUP(PV_DATA[[#This Row],[PORT DESTINATION]],Table12[PORT DESTINATION],Table12[Cosco Line],,0)</f>
        <v>AEU</v>
      </c>
    </row>
    <row r="935" spans="1:62" s="462" customFormat="1" ht="10.5">
      <c r="A935" s="951" t="s">
        <v>6265</v>
      </c>
      <c r="B935" s="945" t="s">
        <v>111</v>
      </c>
      <c r="C935" s="462" t="str">
        <f>IFERROR(LEFT(PV_DATA[[#This Row],[TCL REFERENCE]],FIND(".",PV_DATA[[#This Row],[TCL REFERENCE]],1)-1),"Main Line")</f>
        <v>26Aug010</v>
      </c>
      <c r="D935" s="945" t="s">
        <v>113</v>
      </c>
      <c r="E935" s="462" t="s">
        <v>144</v>
      </c>
      <c r="F935" s="945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5" s="462" t="s">
        <v>402</v>
      </c>
      <c r="H935" s="462" t="s">
        <v>670</v>
      </c>
      <c r="I935" s="462" t="s">
        <v>6234</v>
      </c>
      <c r="J935" s="462" t="s">
        <v>670</v>
      </c>
      <c r="K935" s="462" t="s">
        <v>6266</v>
      </c>
      <c r="L935" s="945">
        <v>11</v>
      </c>
      <c r="M935" s="462" t="s">
        <v>4967</v>
      </c>
      <c r="N935" s="1069"/>
      <c r="O935" s="945" t="s">
        <v>4531</v>
      </c>
      <c r="P935" s="945" t="s">
        <v>6235</v>
      </c>
      <c r="Q935" s="945" t="s">
        <v>330</v>
      </c>
      <c r="R935" s="430" t="str">
        <f>_xlfn.XLOOKUP(PV_DATA[[#This Row],[New Ark SKU]],Table9[New Ark SKU],Table9[Connector],,0)</f>
        <v>H4(Com)</v>
      </c>
      <c r="S935" s="433" t="str">
        <f>_xlfn.XLOOKUP(PV_DATA[[#This Row],[New Ark SKU]],Table9[New Ark SKU],Table9[Cable],,0)</f>
        <v>+400mm/-200mm</v>
      </c>
      <c r="T935" s="952">
        <v>625</v>
      </c>
      <c r="U935" s="1098">
        <f>720*5</f>
        <v>3600</v>
      </c>
      <c r="V935" s="953">
        <f>PV_DATA[[#This Row],[QUANTITY]]*PV_DATA[[#This Row],[WATT]]/1000000</f>
        <v>2.25</v>
      </c>
      <c r="W935" s="714">
        <f>PV_DATA[[#This Row],[QUANTITY]]/36</f>
        <v>100</v>
      </c>
      <c r="X935" s="1176">
        <f>PV_DATA[[#This Row],[QUANTITY]]/PV_DATA[[#This Row],[Qty/CT]]</f>
        <v>5</v>
      </c>
      <c r="Y935" s="462" t="s">
        <v>6261</v>
      </c>
      <c r="Z935" s="462" t="str">
        <f t="shared" si="12"/>
        <v>IN-TRANSIT</v>
      </c>
      <c r="AA935" s="1065">
        <v>46251</v>
      </c>
      <c r="AB935" s="971">
        <v>46254</v>
      </c>
      <c r="AC935" s="1066">
        <f>IF(PV_DATA[[#This Row],[Pick- Up Date]]&lt;&gt;"",_xlfn.ISOWEEKNUM(PV_DATA[[#This Row],[Pick- Up Date]]),"")</f>
        <v>34</v>
      </c>
      <c r="AD935" s="945" t="s">
        <v>6267</v>
      </c>
      <c r="AE935" s="945" t="s">
        <v>6267</v>
      </c>
      <c r="AF935" s="945" t="s">
        <v>122</v>
      </c>
      <c r="AG935" s="945" t="s">
        <v>122</v>
      </c>
      <c r="AH935" s="462" t="s">
        <v>105</v>
      </c>
      <c r="AI935" s="713">
        <v>46257</v>
      </c>
      <c r="AJ935" s="713">
        <v>46259</v>
      </c>
      <c r="AK935" s="437">
        <v>46259</v>
      </c>
      <c r="AL935" s="713">
        <v>46298</v>
      </c>
      <c r="AM935" s="949"/>
      <c r="AN935" s="949"/>
      <c r="AP935" s="462" t="s">
        <v>632</v>
      </c>
      <c r="AQ935" s="970" t="s">
        <v>161</v>
      </c>
      <c r="AR935" s="462" t="s">
        <v>6263</v>
      </c>
      <c r="AS935" s="462" t="s">
        <v>6264</v>
      </c>
      <c r="AT935" s="462" t="s">
        <v>6268</v>
      </c>
      <c r="AU9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35" s="713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3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5" s="713">
        <f>IF(ISERROR(PV_DATA[[#This Row],[New Ark PO status]]),"",_xlfn.XLOOKUP(PV_DATA[[#This Row],[SPTN-PVHK New Ark PO'#]],New_Ark_Data[Purchase order Number],New_Ark_Data[Estimated time of arrival],"",0))</f>
        <v>46298</v>
      </c>
      <c r="AZ935" s="9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5" s="713">
        <f>IFERROR(PV_DATA[[#This Row],[ODP ETA Port]]+PV_DATA[[#This Row],[Customs/Leg3 Assumption]],"n/a")</f>
        <v>46298</v>
      </c>
      <c r="BB935" s="946">
        <f>YEAR(PV_DATA[[#This Row],[ETA for New Ark update]])</f>
        <v>2026</v>
      </c>
      <c r="BC935" s="462">
        <f>MONTH(PV_DATA[[#This Row],[ETA for New Ark update]])</f>
        <v>10</v>
      </c>
      <c r="BD935" s="462">
        <f>IFERROR(_xlfn.ISOWEEKNUM(PV_DATA[[#This Row],[ETA for New Ark update]]),0)</f>
        <v>40</v>
      </c>
      <c r="BE935" s="462">
        <f>_xlfn.XLOOKUP(PV_DATA[[#This Row],[New Ark SKU]],Table9[New Ark SKU],Table9[Total PCS per Pallet],,0)</f>
        <v>36</v>
      </c>
      <c r="BF935" s="462">
        <f>_xlfn.XLOOKUP(PV_DATA[[#This Row],[New Ark SKU]],Table9[New Ark SKU],Table9[Total PCS per 40HQ Container],,0)</f>
        <v>720</v>
      </c>
      <c r="BG935" s="462" t="str">
        <f>_xlfn.XLOOKUP(PV_DATA[[#This Row],[New Ark SKU]],Table9[New Ark SKU],Table9[Back Glass],,0)</f>
        <v>Redirection Film</v>
      </c>
      <c r="BH935" s="948" t="str">
        <f>_xlfn.XLOOKUP(PV_DATA[[#This Row],[PORT DESTINATION]],Table12[PORT DESTINATION],Table12[Cosco Line],,0)</f>
        <v>AEU</v>
      </c>
    </row>
    <row r="936" spans="1:62" ht="10.5">
      <c r="A936" s="462" t="s">
        <v>6269</v>
      </c>
      <c r="B936" s="462" t="s">
        <v>111</v>
      </c>
      <c r="C936" s="462" t="str">
        <f>IFERROR(LEFT(PV_DATA[[#This Row],[TCL REFERENCE]],FIND(".",PV_DATA[[#This Row],[TCL REFERENCE]],1)-1),"Main Line")</f>
        <v>26Jul003</v>
      </c>
      <c r="D936" s="462" t="s">
        <v>63</v>
      </c>
      <c r="E936" s="462" t="s">
        <v>64</v>
      </c>
      <c r="F936" s="462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6" s="462" t="s">
        <v>402</v>
      </c>
      <c r="H936" s="462" t="s">
        <v>67</v>
      </c>
      <c r="I936" s="462" t="s">
        <v>689</v>
      </c>
      <c r="J936" s="430" t="s">
        <v>96</v>
      </c>
      <c r="K936" s="430"/>
      <c r="L936" s="430"/>
      <c r="M936" s="430" t="s">
        <v>68</v>
      </c>
      <c r="N936" s="432">
        <v>46223</v>
      </c>
      <c r="O936" s="430" t="s">
        <v>132</v>
      </c>
      <c r="P936" s="430" t="s">
        <v>189</v>
      </c>
      <c r="Q936" s="430" t="s">
        <v>190</v>
      </c>
      <c r="R936" s="430" t="str">
        <f>_xlfn.XLOOKUP(PV_DATA[[#This Row],[New Ark SKU]],Table9[New Ark SKU],Table9[Connector],,0)</f>
        <v>EVO2A</v>
      </c>
      <c r="S936" s="433" t="str">
        <f>_xlfn.XLOOKUP(PV_DATA[[#This Row],[New Ark SKU]],Table9[New Ark SKU],Table9[Cable],,0)</f>
        <v>±1200mm</v>
      </c>
      <c r="T936" s="433">
        <v>465</v>
      </c>
      <c r="U936" s="1088">
        <f>864*2</f>
        <v>1728</v>
      </c>
      <c r="V936" s="434">
        <f>PV_DATA[[#This Row],[QUANTITY]]*PV_DATA[[#This Row],[WATT]]/1000000</f>
        <v>0.80352000000000001</v>
      </c>
      <c r="W936" s="435">
        <f>PV_DATA[[#This Row],[QUANTITY]]/PV_DATA[[#This Row],[Qty/Pallet]]</f>
        <v>48</v>
      </c>
      <c r="X936" s="1040">
        <f>PV_DATA[[#This Row],[QUANTITY]]/PV_DATA[[#This Row],[Qty/CT]]</f>
        <v>2</v>
      </c>
      <c r="Y936" s="430" t="s">
        <v>2464</v>
      </c>
      <c r="Z936" s="430" t="str">
        <f t="shared" si="12"/>
        <v>IN-TRANSIT</v>
      </c>
      <c r="AA936" s="430"/>
      <c r="AB936" s="437">
        <v>46256</v>
      </c>
      <c r="AC936" s="485">
        <f>IF(PV_DATA[[#This Row],[Pick- Up Date]]&lt;&gt;"",_xlfn.ISOWEEKNUM(PV_DATA[[#This Row],[Pick- Up Date]]),"")</f>
        <v>34</v>
      </c>
      <c r="AD936" s="430" t="s">
        <v>6270</v>
      </c>
      <c r="AE936" s="430"/>
      <c r="AF936" s="430" t="s">
        <v>122</v>
      </c>
      <c r="AG936" s="430" t="s">
        <v>123</v>
      </c>
      <c r="AH936" s="430" t="s">
        <v>78</v>
      </c>
      <c r="AI936" s="713">
        <v>46264</v>
      </c>
      <c r="AJ936" s="437">
        <f>IFERROR(VLOOKUP(AT936, Vessel!A:D, 4, FALSE), "")</f>
        <v>46269.166666666664</v>
      </c>
      <c r="AK936" s="437">
        <f>IFERROR(IF(VLOOKUP(AT936,Vessel!A:F,5,FALSE)=0,"",VLOOKUP(AT936,Vessel!A:F,5,FALSE)),"")</f>
        <v>46269.097187500003</v>
      </c>
      <c r="AL936" s="437">
        <v>46314</v>
      </c>
      <c r="AM936" s="949">
        <f>IFERROR(VLOOKUP(AT936, Vessel!A:H, 8, FALSE), "")</f>
        <v>46323.791666666664</v>
      </c>
      <c r="AN936" s="949" t="str">
        <f>IFERROR(IF(VLOOKUP(AT936,Vessel!A:I,9,FALSE)=0,"",VLOOKUP(AT936,Vessel!A:I,9,FALSE)),"")</f>
        <v/>
      </c>
      <c r="AP936" s="430" t="s">
        <v>6271</v>
      </c>
      <c r="AQ936" s="438" t="s">
        <v>80</v>
      </c>
      <c r="AR936" s="430" t="s">
        <v>6272</v>
      </c>
      <c r="AS936" s="430" t="s">
        <v>6273</v>
      </c>
      <c r="AT936" s="430" t="s">
        <v>6273</v>
      </c>
      <c r="AU9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54.69447916666104</v>
      </c>
      <c r="AW936" s="437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3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437">
        <f>IF(ISERROR(PV_DATA[[#This Row],[New Ark PO status]]),"",_xlfn.XLOOKUP(PV_DATA[[#This Row],[SPTN-PVHK New Ark PO'#]],New_Ark_Data[Purchase order Number],New_Ark_Data[Estimated time of arrival],"",0))</f>
        <v>46322</v>
      </c>
      <c r="AZ9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6" s="437">
        <f>IFERROR(PV_DATA[[#This Row],[ODP ETA Port]]+PV_DATA[[#This Row],[Customs/Leg3 Assumption]],"n/a")</f>
        <v>46331.791666666664</v>
      </c>
      <c r="BB936" s="433">
        <f>YEAR(PV_DATA[[#This Row],[ETA for New Ark update]])</f>
        <v>2026</v>
      </c>
      <c r="BC936" s="430">
        <f>MONTH(PV_DATA[[#This Row],[ETA for New Ark update]])</f>
        <v>11</v>
      </c>
      <c r="BD936" s="430">
        <f>IFERROR(_xlfn.ISOWEEKNUM(PV_DATA[[#This Row],[ETA for New Ark update]]),0)</f>
        <v>45</v>
      </c>
      <c r="BE936" s="430">
        <f>_xlfn.XLOOKUP(PV_DATA[[#This Row],[New Ark SKU]],Table9[New Ark SKU],Table9[Total PCS per Pallet],,0)</f>
        <v>36</v>
      </c>
      <c r="BF936" s="430">
        <f>_xlfn.XLOOKUP(PV_DATA[[#This Row],[New Ark SKU]],Table9[New Ark SKU],Table9[Total PCS per 40HQ Container],,0)</f>
        <v>864</v>
      </c>
      <c r="BG936" s="430" t="str">
        <f>_xlfn.XLOOKUP(PV_DATA[[#This Row],[New Ark SKU]],Table9[New Ark SKU],Table9[Back Glass],,0)</f>
        <v>White glazing</v>
      </c>
      <c r="BH936" s="430" t="str">
        <f>_xlfn.XLOOKUP(PV_DATA[[#This Row],[PORT DESTINATION]],Table12[PORT DESTINATION],Table12[Cosco Line],,0)</f>
        <v>AEM</v>
      </c>
      <c r="BJ936" s="430"/>
    </row>
    <row r="937" spans="1:62" ht="10.5">
      <c r="A937" s="462" t="s">
        <v>6274</v>
      </c>
      <c r="B937" s="462" t="s">
        <v>1757</v>
      </c>
      <c r="C937" s="462" t="str">
        <f>IFERROR(LEFT(PV_DATA[[#This Row],[TCL REFERENCE]],FIND(".",PV_DATA[[#This Row],[TCL REFERENCE]],1)-1),"Main Line")</f>
        <v>26Aug007</v>
      </c>
      <c r="D937" s="462" t="s">
        <v>63</v>
      </c>
      <c r="E937" s="462" t="s">
        <v>144</v>
      </c>
      <c r="F937" s="462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7" s="462" t="s">
        <v>402</v>
      </c>
      <c r="H937" s="462" t="s">
        <v>6200</v>
      </c>
      <c r="I937" s="462" t="s">
        <v>1395</v>
      </c>
      <c r="J937" s="430" t="s">
        <v>6200</v>
      </c>
      <c r="K937" s="430" t="s">
        <v>6201</v>
      </c>
      <c r="L937" s="430">
        <v>5</v>
      </c>
      <c r="M937" s="430" t="s">
        <v>6275</v>
      </c>
      <c r="N937" s="432" t="s">
        <v>6202</v>
      </c>
      <c r="O937" s="430" t="s">
        <v>284</v>
      </c>
      <c r="P937" s="430" t="s">
        <v>5851</v>
      </c>
      <c r="Q937" s="430" t="s">
        <v>5852</v>
      </c>
      <c r="R937" s="430" t="str">
        <f>_xlfn.XLOOKUP(PV_DATA[[#This Row],[New Ark SKU]],Table9[New Ark SKU],Table9[Connector],,0)</f>
        <v>EVO2A</v>
      </c>
      <c r="S937" s="433" t="str">
        <f>_xlfn.XLOOKUP(PV_DATA[[#This Row],[New Ark SKU]],Table9[New Ark SKU],Table9[Cable],,0)</f>
        <v>±1200mm</v>
      </c>
      <c r="T937" s="433">
        <v>485</v>
      </c>
      <c r="U937" s="1088">
        <v>936</v>
      </c>
      <c r="V937" s="434">
        <f>PV_DATA[[#This Row],[QUANTITY]]*PV_DATA[[#This Row],[WATT]]/1000000</f>
        <v>0.45395999999999997</v>
      </c>
      <c r="W937" s="435">
        <f>PV_DATA[[#This Row],[QUANTITY]]/36</f>
        <v>26</v>
      </c>
      <c r="X937" s="1040">
        <f>PV_DATA[[#This Row],[QUANTITY]]/PV_DATA[[#This Row],[Qty/CT]]</f>
        <v>1</v>
      </c>
      <c r="Y937" s="430" t="s">
        <v>2465</v>
      </c>
      <c r="Z937" s="430" t="str">
        <f t="shared" si="12"/>
        <v>IN-TRANSIT</v>
      </c>
      <c r="AA937" s="430" t="s">
        <v>5853</v>
      </c>
      <c r="AB937" s="1076">
        <v>46264</v>
      </c>
      <c r="AC937" s="485">
        <f>IF(PV_DATA[[#This Row],[Pick- Up Date]]&lt;&gt;"",_xlfn.ISOWEEKNUM(PV_DATA[[#This Row],[Pick- Up Date]]),"")</f>
        <v>35</v>
      </c>
      <c r="AD937" s="430" t="s">
        <v>6276</v>
      </c>
      <c r="AE937" s="430"/>
      <c r="AF937" s="430" t="s">
        <v>1525</v>
      </c>
      <c r="AG937" s="430" t="s">
        <v>5994</v>
      </c>
      <c r="AH937" s="430" t="s">
        <v>541</v>
      </c>
      <c r="AI937" s="437">
        <v>46253</v>
      </c>
      <c r="AJ937" s="437">
        <v>46268</v>
      </c>
      <c r="AK937" s="437">
        <f>IFERROR(IF(VLOOKUP(AT937,Vessel!A:F,5,FALSE)=0,"",VLOOKUP(AT937,Vessel!A:F,5,FALSE)),"")</f>
        <v>46269.101157407407</v>
      </c>
      <c r="AL937" s="1138">
        <v>46304</v>
      </c>
      <c r="AM937" s="949"/>
      <c r="AN937" s="949" t="str">
        <f>IFERROR(IF(VLOOKUP(AT937,Vessel!A:I,9,FALSE)=0,"",VLOOKUP(AT937,Vessel!A:I,9,FALSE)),"")</f>
        <v/>
      </c>
      <c r="AP937" s="430" t="s">
        <v>6277</v>
      </c>
      <c r="AQ937" s="430" t="s">
        <v>80</v>
      </c>
      <c r="AR937" s="430" t="s">
        <v>6278</v>
      </c>
      <c r="AS937" s="430" t="s">
        <v>6279</v>
      </c>
      <c r="AT937" s="430" t="s">
        <v>6279</v>
      </c>
      <c r="AU9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34.8988425925927</v>
      </c>
      <c r="AW937" s="437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7" s="437">
        <f>IF(ISERROR(PV_DATA[[#This Row],[New Ark PO status]]),"",_xlfn.XLOOKUP(PV_DATA[[#This Row],[SPTN-PVHK New Ark PO'#]],New_Ark_Data[Purchase order Number],New_Ark_Data[Estimated time of arrival],"",0))</f>
        <v>46304</v>
      </c>
      <c r="AZ93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7" s="437">
        <f>IFERROR(PV_DATA[[#This Row],[ODP ETA Port]]+PV_DATA[[#This Row],[Customs/Leg3 Assumption]],"n/a")</f>
        <v>46304</v>
      </c>
      <c r="BB937" s="433">
        <f>YEAR(PV_DATA[[#This Row],[ETA for New Ark update]])</f>
        <v>2026</v>
      </c>
      <c r="BC937" s="430">
        <f>MONTH(PV_DATA[[#This Row],[ETA for New Ark update]])</f>
        <v>10</v>
      </c>
      <c r="BD937" s="430">
        <f>IFERROR(_xlfn.ISOWEEKNUM(PV_DATA[[#This Row],[ETA for New Ark update]]),0)</f>
        <v>41</v>
      </c>
      <c r="BE937" s="430">
        <f>_xlfn.XLOOKUP(PV_DATA[[#This Row],[New Ark SKU]],Table9[New Ark SKU],Table9[Total PCS per Pallet],,0)</f>
        <v>36</v>
      </c>
      <c r="BF937" s="430">
        <f>_xlfn.XLOOKUP(PV_DATA[[#This Row],[New Ark SKU]],Table9[New Ark SKU],Table9[Total PCS per 40HQ Container],,0)</f>
        <v>936</v>
      </c>
      <c r="BG937" s="430" t="str">
        <f>_xlfn.XLOOKUP(PV_DATA[[#This Row],[New Ark SKU]],Table9[New Ark SKU],Table9[Back Glass],,0)</f>
        <v>Black glazing</v>
      </c>
      <c r="BH937" s="430" t="str">
        <f>_xlfn.XLOOKUP(PV_DATA[[#This Row],[PORT DESTINATION]],Table12[PORT DESTINATION],Table12[Cosco Line],,0)</f>
        <v>AEU</v>
      </c>
      <c r="BJ937" s="430"/>
    </row>
    <row r="938" spans="1:62" ht="10.5">
      <c r="A938" s="730" t="s">
        <v>6280</v>
      </c>
      <c r="B938" s="462" t="s">
        <v>111</v>
      </c>
      <c r="C938" s="462" t="str">
        <f>IFERROR(LEFT(PV_DATA[[#This Row],[TCL REFERENCE]],FIND(".",PV_DATA[[#This Row],[TCL REFERENCE]],1)-1),"Main Line")</f>
        <v>26Jul019</v>
      </c>
      <c r="D938" s="462" t="s">
        <v>63</v>
      </c>
      <c r="E938" s="462" t="s">
        <v>64</v>
      </c>
      <c r="F938" s="462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8" s="462" t="s">
        <v>402</v>
      </c>
      <c r="H938" s="462" t="s">
        <v>67</v>
      </c>
      <c r="I938" s="462" t="s">
        <v>882</v>
      </c>
      <c r="J938" s="430" t="s">
        <v>96</v>
      </c>
      <c r="K938" s="430"/>
      <c r="L938" s="430"/>
      <c r="M938" s="430" t="s">
        <v>68</v>
      </c>
      <c r="N938" s="432">
        <v>46237</v>
      </c>
      <c r="O938" s="430" t="s">
        <v>5379</v>
      </c>
      <c r="P938" s="430" t="s">
        <v>6281</v>
      </c>
      <c r="Q938" s="430" t="s">
        <v>6282</v>
      </c>
      <c r="R938" s="430" t="str">
        <f>_xlfn.XLOOKUP(PV_DATA[[#This Row],[New Ark SKU]],Table9[New Ark SKU],Table9[Connector],,0)</f>
        <v>EVO2A</v>
      </c>
      <c r="S938" s="433" t="str">
        <f>_xlfn.XLOOKUP(PV_DATA[[#This Row],[New Ark SKU]],Table9[New Ark SKU],Table9[Cable],,0)</f>
        <v>±1200mm</v>
      </c>
      <c r="T938" s="433">
        <v>480</v>
      </c>
      <c r="U938" s="1088">
        <f>936*4</f>
        <v>3744</v>
      </c>
      <c r="V938" s="434">
        <f>PV_DATA[[#This Row],[QUANTITY]]*PV_DATA[[#This Row],[WATT]]/1000000</f>
        <v>1.7971200000000001</v>
      </c>
      <c r="W938" s="435">
        <f>PV_DATA[[#This Row],[QUANTITY]]/PV_DATA[[#This Row],[Qty/Pallet]]</f>
        <v>104</v>
      </c>
      <c r="X938" s="1040">
        <f>PV_DATA[[#This Row],[QUANTITY]]/PV_DATA[[#This Row],[Qty/CT]]</f>
        <v>4</v>
      </c>
      <c r="Y938" s="430" t="s">
        <v>2463</v>
      </c>
      <c r="Z938" s="430" t="str">
        <f t="shared" si="12"/>
        <v>IN-TRANSIT</v>
      </c>
      <c r="AA938" s="430"/>
      <c r="AB938" s="437">
        <v>46259</v>
      </c>
      <c r="AC938" s="485">
        <f>IF(PV_DATA[[#This Row],[Pick- Up Date]]&lt;&gt;"",_xlfn.ISOWEEKNUM(PV_DATA[[#This Row],[Pick- Up Date]]),"")</f>
        <v>35</v>
      </c>
      <c r="AD938" s="430" t="s">
        <v>6283</v>
      </c>
      <c r="AE938" s="430"/>
      <c r="AF938" s="430" t="s">
        <v>122</v>
      </c>
      <c r="AG938" s="430" t="s">
        <v>123</v>
      </c>
      <c r="AH938" s="430" t="s">
        <v>78</v>
      </c>
      <c r="AI938" s="713">
        <v>46256</v>
      </c>
      <c r="AJ938" s="437">
        <v>46265</v>
      </c>
      <c r="AK938" s="437">
        <v>46265</v>
      </c>
      <c r="AL938" s="437">
        <v>46302</v>
      </c>
      <c r="AM938" s="588">
        <v>46303</v>
      </c>
      <c r="AN938" s="588"/>
      <c r="AP938" s="430" t="s">
        <v>6083</v>
      </c>
      <c r="AQ938" s="438" t="s">
        <v>161</v>
      </c>
      <c r="AR938" s="430" t="s">
        <v>6284</v>
      </c>
      <c r="AS938" s="430">
        <v>274975766</v>
      </c>
      <c r="AT938" s="430">
        <v>274975766</v>
      </c>
      <c r="AU9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38" s="437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3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8" s="437">
        <f>IF(ISERROR(PV_DATA[[#This Row],[New Ark PO status]]),"",_xlfn.XLOOKUP(PV_DATA[[#This Row],[SPTN-PVHK New Ark PO'#]],New_Ark_Data[Purchase order Number],New_Ark_Data[Estimated time of arrival],"",0))</f>
        <v>46310</v>
      </c>
      <c r="AZ93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8" s="437">
        <f>IFERROR(PV_DATA[[#This Row],[ODP ETA Port]]+PV_DATA[[#This Row],[Customs/Leg3 Assumption]],"n/a")</f>
        <v>46311</v>
      </c>
      <c r="BB938" s="433">
        <f>YEAR(PV_DATA[[#This Row],[ETA for New Ark update]])</f>
        <v>2026</v>
      </c>
      <c r="BC938" s="430">
        <f>MONTH(PV_DATA[[#This Row],[ETA for New Ark update]])</f>
        <v>10</v>
      </c>
      <c r="BD938" s="430">
        <f>IFERROR(_xlfn.ISOWEEKNUM(PV_DATA[[#This Row],[ETA for New Ark update]]),0)</f>
        <v>42</v>
      </c>
      <c r="BE938" s="430">
        <f>_xlfn.XLOOKUP(PV_DATA[[#This Row],[New Ark SKU]],Table9[New Ark SKU],Table9[Total PCS per Pallet],,0)</f>
        <v>36</v>
      </c>
      <c r="BF938" s="430">
        <f>_xlfn.XLOOKUP(PV_DATA[[#This Row],[New Ark SKU]],Table9[New Ark SKU],Table9[Total PCS per 40HQ Container],,0)</f>
        <v>936</v>
      </c>
      <c r="BG938" s="430" t="str">
        <f>_xlfn.XLOOKUP(PV_DATA[[#This Row],[New Ark SKU]],Table9[New Ark SKU],Table9[Back Glass],,0)</f>
        <v>White glazing</v>
      </c>
      <c r="BH938" s="430" t="str">
        <f>_xlfn.XLOOKUP(PV_DATA[[#This Row],[PORT DESTINATION]],Table12[PORT DESTINATION],Table12[Cosco Line],,0)</f>
        <v>AEM</v>
      </c>
      <c r="BJ938" s="430"/>
    </row>
    <row r="939" spans="1:62" ht="10.5">
      <c r="A939" s="730" t="s">
        <v>6285</v>
      </c>
      <c r="B939" s="462" t="s">
        <v>111</v>
      </c>
      <c r="C939" s="462" t="str">
        <f>IFERROR(LEFT(PV_DATA[[#This Row],[TCL REFERENCE]],FIND(".",PV_DATA[[#This Row],[TCL REFERENCE]],1)-1),"Main Line")</f>
        <v>26Jul016</v>
      </c>
      <c r="D939" s="462" t="s">
        <v>63</v>
      </c>
      <c r="E939" s="462" t="s">
        <v>64</v>
      </c>
      <c r="F939" s="462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9" s="462" t="s">
        <v>402</v>
      </c>
      <c r="H939" s="462" t="s">
        <v>67</v>
      </c>
      <c r="I939" s="462" t="s">
        <v>689</v>
      </c>
      <c r="J939" s="430" t="s">
        <v>96</v>
      </c>
      <c r="K939" s="430"/>
      <c r="L939" s="430"/>
      <c r="M939" s="430" t="s">
        <v>68</v>
      </c>
      <c r="N939" s="432">
        <v>46237</v>
      </c>
      <c r="O939" s="430" t="s">
        <v>5379</v>
      </c>
      <c r="P939" s="430" t="s">
        <v>5735</v>
      </c>
      <c r="Q939" s="430" t="s">
        <v>5736</v>
      </c>
      <c r="R939" s="430" t="str">
        <f>_xlfn.XLOOKUP(PV_DATA[[#This Row],[New Ark SKU]],Table9[New Ark SKU],Table9[Connector],,0)</f>
        <v>EVO2A</v>
      </c>
      <c r="S939" s="433" t="str">
        <f>_xlfn.XLOOKUP(PV_DATA[[#This Row],[New Ark SKU]],Table9[New Ark SKU],Table9[Cable],,0)</f>
        <v>±1200mm</v>
      </c>
      <c r="T939" s="433">
        <v>475</v>
      </c>
      <c r="U939" s="1088">
        <f>936*3</f>
        <v>2808</v>
      </c>
      <c r="V939" s="434">
        <f>PV_DATA[[#This Row],[QUANTITY]]*PV_DATA[[#This Row],[WATT]]/1000000</f>
        <v>1.3338000000000001</v>
      </c>
      <c r="W939" s="435">
        <f>PV_DATA[[#This Row],[QUANTITY]]/PV_DATA[[#This Row],[Qty/Pallet]]</f>
        <v>78</v>
      </c>
      <c r="X939" s="1040">
        <f>PV_DATA[[#This Row],[QUANTITY]]/PV_DATA[[#This Row],[Qty/CT]]</f>
        <v>3</v>
      </c>
      <c r="Y939" s="430" t="s">
        <v>2465</v>
      </c>
      <c r="Z939" s="430" t="str">
        <f t="shared" si="12"/>
        <v>IN-TRANSIT</v>
      </c>
      <c r="AA939" s="430"/>
      <c r="AB939" s="437">
        <v>46259</v>
      </c>
      <c r="AC939" s="485">
        <f>IF(PV_DATA[[#This Row],[Pick- Up Date]]&lt;&gt;"",_xlfn.ISOWEEKNUM(PV_DATA[[#This Row],[Pick- Up Date]]),"")</f>
        <v>35</v>
      </c>
      <c r="AD939" s="430" t="s">
        <v>6286</v>
      </c>
      <c r="AE939" s="430"/>
      <c r="AF939" s="430" t="s">
        <v>122</v>
      </c>
      <c r="AG939" s="430" t="s">
        <v>123</v>
      </c>
      <c r="AH939" s="430" t="s">
        <v>78</v>
      </c>
      <c r="AI939" s="713">
        <v>46256</v>
      </c>
      <c r="AJ939" s="437">
        <v>46265</v>
      </c>
      <c r="AK939" s="437">
        <v>46265</v>
      </c>
      <c r="AL939" s="437">
        <v>46302</v>
      </c>
      <c r="AM939" s="437">
        <v>46303</v>
      </c>
      <c r="AN939" s="588"/>
      <c r="AP939" s="430" t="s">
        <v>6083</v>
      </c>
      <c r="AQ939" s="438" t="s">
        <v>161</v>
      </c>
      <c r="AR939" s="430" t="s">
        <v>6284</v>
      </c>
      <c r="AS939" s="430">
        <v>274975766</v>
      </c>
      <c r="AT939" s="430">
        <v>274975766</v>
      </c>
      <c r="AU9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39" s="437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3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9" s="437">
        <f>IF(ISERROR(PV_DATA[[#This Row],[New Ark PO status]]),"",_xlfn.XLOOKUP(PV_DATA[[#This Row],[SPTN-PVHK New Ark PO'#]],New_Ark_Data[Purchase order Number],New_Ark_Data[Estimated time of arrival],"",0))</f>
        <v>46310</v>
      </c>
      <c r="AZ93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9" s="437">
        <f>IFERROR(PV_DATA[[#This Row],[ODP ETA Port]]+PV_DATA[[#This Row],[Customs/Leg3 Assumption]],"n/a")</f>
        <v>46311</v>
      </c>
      <c r="BB939" s="433">
        <f>YEAR(PV_DATA[[#This Row],[ETA for New Ark update]])</f>
        <v>2026</v>
      </c>
      <c r="BC939" s="430">
        <f>MONTH(PV_DATA[[#This Row],[ETA for New Ark update]])</f>
        <v>10</v>
      </c>
      <c r="BD939" s="430">
        <f>IFERROR(_xlfn.ISOWEEKNUM(PV_DATA[[#This Row],[ETA for New Ark update]]),0)</f>
        <v>42</v>
      </c>
      <c r="BE939" s="430">
        <f>_xlfn.XLOOKUP(PV_DATA[[#This Row],[New Ark SKU]],Table9[New Ark SKU],Table9[Total PCS per Pallet],,0)</f>
        <v>36</v>
      </c>
      <c r="BF939" s="430">
        <f>_xlfn.XLOOKUP(PV_DATA[[#This Row],[New Ark SKU]],Table9[New Ark SKU],Table9[Total PCS per 40HQ Container],,0)</f>
        <v>936</v>
      </c>
      <c r="BG939" s="430" t="str">
        <f>_xlfn.XLOOKUP(PV_DATA[[#This Row],[New Ark SKU]],Table9[New Ark SKU],Table9[Back Glass],,0)</f>
        <v>White glazing</v>
      </c>
      <c r="BH939" s="430" t="str">
        <f>_xlfn.XLOOKUP(PV_DATA[[#This Row],[PORT DESTINATION]],Table12[PORT DESTINATION],Table12[Cosco Line],,0)</f>
        <v>AEM</v>
      </c>
      <c r="BJ939" s="430"/>
    </row>
    <row r="940" spans="1:62" ht="10.5">
      <c r="A940" s="462" t="s">
        <v>6287</v>
      </c>
      <c r="B940" s="462" t="s">
        <v>111</v>
      </c>
      <c r="C940" s="462" t="str">
        <f>IFERROR(LEFT(PV_DATA[[#This Row],[TCL REFERENCE]],FIND(".",PV_DATA[[#This Row],[TCL REFERENCE]],1)-1),"Main Line")</f>
        <v>26Jul014</v>
      </c>
      <c r="D940" s="462" t="s">
        <v>63</v>
      </c>
      <c r="E940" s="462" t="s">
        <v>64</v>
      </c>
      <c r="F940" s="462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40" s="462" t="s">
        <v>402</v>
      </c>
      <c r="H940" s="462" t="s">
        <v>115</v>
      </c>
      <c r="I940" s="462" t="s">
        <v>882</v>
      </c>
      <c r="J940" s="430" t="s">
        <v>96</v>
      </c>
      <c r="K940" s="430"/>
      <c r="L940" s="430"/>
      <c r="M940" s="430" t="s">
        <v>68</v>
      </c>
      <c r="N940" s="432">
        <v>46202</v>
      </c>
      <c r="O940" s="430" t="s">
        <v>5336</v>
      </c>
      <c r="P940" s="430" t="s">
        <v>5555</v>
      </c>
      <c r="Q940" s="430" t="s">
        <v>5556</v>
      </c>
      <c r="R940" s="430" t="str">
        <f>_xlfn.XLOOKUP(PV_DATA[[#This Row],[New Ark SKU]],Table9[New Ark SKU],Table9[Connector],,0)</f>
        <v>EVO2A</v>
      </c>
      <c r="S940" s="433" t="str">
        <f>_xlfn.XLOOKUP(PV_DATA[[#This Row],[New Ark SKU]],Table9[New Ark SKU],Table9[Cable],,0)</f>
        <v>±1400mm</v>
      </c>
      <c r="T940" s="433">
        <v>585</v>
      </c>
      <c r="U940" s="1088">
        <f>720*2</f>
        <v>1440</v>
      </c>
      <c r="V940" s="434">
        <f>PV_DATA[[#This Row],[QUANTITY]]*PV_DATA[[#This Row],[WATT]]/1000000</f>
        <v>0.84240000000000004</v>
      </c>
      <c r="W940" s="435">
        <f>PV_DATA[[#This Row],[QUANTITY]]/PV_DATA[[#This Row],[Qty/Pallet]]</f>
        <v>40</v>
      </c>
      <c r="X940" s="1040">
        <f>PV_DATA[[#This Row],[QUANTITY]]/PV_DATA[[#This Row],[Qty/CT]]</f>
        <v>2</v>
      </c>
      <c r="Y940" s="430" t="s">
        <v>2465</v>
      </c>
      <c r="Z940" s="430" t="str">
        <f t="shared" si="12"/>
        <v>IN-TRANSIT</v>
      </c>
      <c r="AA940" s="430" t="s">
        <v>5650</v>
      </c>
      <c r="AB940" s="437">
        <v>46256</v>
      </c>
      <c r="AC940" s="485">
        <f>IF(PV_DATA[[#This Row],[Pick- Up Date]]&lt;&gt;"",_xlfn.ISOWEEKNUM(PV_DATA[[#This Row],[Pick- Up Date]]),"")</f>
        <v>34</v>
      </c>
      <c r="AD940" s="430" t="s">
        <v>6288</v>
      </c>
      <c r="AE940" s="430"/>
      <c r="AF940" s="430" t="s">
        <v>122</v>
      </c>
      <c r="AG940" s="430" t="s">
        <v>123</v>
      </c>
      <c r="AH940" s="430" t="s">
        <v>124</v>
      </c>
      <c r="AI940" s="713">
        <v>46264</v>
      </c>
      <c r="AJ940" s="437">
        <f>IFERROR(VLOOKUP(AT940, Vessel!A:D, 4, FALSE), "")</f>
        <v>46269.166666666664</v>
      </c>
      <c r="AK940" s="437">
        <f>IFERROR(IF(VLOOKUP(AT940,Vessel!A:F,5,FALSE)=0,"",VLOOKUP(AT940,Vessel!A:F,5,FALSE)),"")</f>
        <v>46269.097187500003</v>
      </c>
      <c r="AL940" s="437">
        <v>46317</v>
      </c>
      <c r="AM940" s="949">
        <f>IFERROR(VLOOKUP(AT940, Vessel!A:H, 8, FALSE), "")</f>
        <v>46326.625</v>
      </c>
      <c r="AN940" s="949" t="str">
        <f>IFERROR(IF(VLOOKUP(AT940,Vessel!A:I,9,FALSE)=0,"",VLOOKUP(AT940,Vessel!A:I,9,FALSE)),"")</f>
        <v/>
      </c>
      <c r="AP940" s="430" t="s">
        <v>6271</v>
      </c>
      <c r="AQ940" s="438" t="s">
        <v>80</v>
      </c>
      <c r="AR940" s="430" t="s">
        <v>6289</v>
      </c>
      <c r="AS940" s="430" t="s">
        <v>6290</v>
      </c>
      <c r="AT940" s="430" t="s">
        <v>6290</v>
      </c>
      <c r="AU9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57.527812499996799</v>
      </c>
      <c r="AW940" s="437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46326.625</v>
      </c>
      <c r="AX94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437">
        <f>IF(ISERROR(PV_DATA[[#This Row],[New Ark PO status]]),"",_xlfn.XLOOKUP(PV_DATA[[#This Row],[SPTN-PVHK New Ark PO'#]],New_Ark_Data[Purchase order Number],New_Ark_Data[Estimated time of arrival],"",0))</f>
        <v>46326</v>
      </c>
      <c r="AZ940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40" s="437">
        <f>IFERROR(PV_DATA[[#This Row],[ODP ETA Port]]+PV_DATA[[#This Row],[Customs/Leg3 Assumption]],"n/a")</f>
        <v>46335.625</v>
      </c>
      <c r="BB940" s="433">
        <f>YEAR(PV_DATA[[#This Row],[ETA for New Ark update]])</f>
        <v>2026</v>
      </c>
      <c r="BC940" s="430">
        <f>MONTH(PV_DATA[[#This Row],[ETA for New Ark update]])</f>
        <v>11</v>
      </c>
      <c r="BD940" s="430">
        <f>IFERROR(_xlfn.ISOWEEKNUM(PV_DATA[[#This Row],[ETA for New Ark update]]),0)</f>
        <v>46</v>
      </c>
      <c r="BE940" s="430">
        <f>_xlfn.XLOOKUP(PV_DATA[[#This Row],[New Ark SKU]],Table9[New Ark SKU],Table9[Total PCS per Pallet],,0)</f>
        <v>36</v>
      </c>
      <c r="BF940" s="430">
        <f>_xlfn.XLOOKUP(PV_DATA[[#This Row],[New Ark SKU]],Table9[New Ark SKU],Table9[Total PCS per 40HQ Container],,0)</f>
        <v>720</v>
      </c>
      <c r="BG940" s="430" t="str">
        <f>_xlfn.XLOOKUP(PV_DATA[[#This Row],[New Ark SKU]],Table9[New Ark SKU],Table9[Back Glass],,0)</f>
        <v>Transparent</v>
      </c>
      <c r="BH940" s="430" t="str">
        <f>_xlfn.XLOOKUP(PV_DATA[[#This Row],[PORT DESTINATION]],Table12[PORT DESTINATION],Table12[Cosco Line],,0)</f>
        <v>AEM</v>
      </c>
      <c r="BJ940" s="430"/>
    </row>
    <row r="941" spans="1:62" ht="10.5">
      <c r="A941" s="462" t="s">
        <v>6291</v>
      </c>
      <c r="B941" s="462" t="s">
        <v>111</v>
      </c>
      <c r="C941" s="462" t="str">
        <f>IFERROR(LEFT(PV_DATA[[#This Row],[TCL REFERENCE]],FIND(".",PV_DATA[[#This Row],[TCL REFERENCE]],1)-1),"Main Line")</f>
        <v>26Jul013</v>
      </c>
      <c r="D941" s="462" t="s">
        <v>63</v>
      </c>
      <c r="E941" s="462" t="s">
        <v>64</v>
      </c>
      <c r="F941" s="462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41" s="462" t="s">
        <v>402</v>
      </c>
      <c r="H941" s="462" t="s">
        <v>115</v>
      </c>
      <c r="I941" s="462" t="s">
        <v>689</v>
      </c>
      <c r="J941" s="430" t="s">
        <v>96</v>
      </c>
      <c r="K941" s="430"/>
      <c r="L941" s="430"/>
      <c r="M941" s="430" t="s">
        <v>68</v>
      </c>
      <c r="N941" s="432">
        <v>46202</v>
      </c>
      <c r="O941" s="430" t="s">
        <v>5336</v>
      </c>
      <c r="P941" s="430" t="s">
        <v>5337</v>
      </c>
      <c r="Q941" s="430" t="s">
        <v>5338</v>
      </c>
      <c r="R941" s="430" t="str">
        <f>_xlfn.XLOOKUP(PV_DATA[[#This Row],[New Ark SKU]],Table9[New Ark SKU],Table9[Connector],,0)</f>
        <v>EVO2A</v>
      </c>
      <c r="S941" s="433" t="str">
        <f>_xlfn.XLOOKUP(PV_DATA[[#This Row],[New Ark SKU]],Table9[New Ark SKU],Table9[Cable],,0)</f>
        <v>±1400mm</v>
      </c>
      <c r="T941" s="433">
        <v>580</v>
      </c>
      <c r="U941" s="1096">
        <f>720*2</f>
        <v>1440</v>
      </c>
      <c r="V941" s="434">
        <f>PV_DATA[[#This Row],[QUANTITY]]*PV_DATA[[#This Row],[WATT]]/1000000</f>
        <v>0.83520000000000005</v>
      </c>
      <c r="W941" s="435">
        <f>PV_DATA[[#This Row],[QUANTITY]]/PV_DATA[[#This Row],[Qty/Pallet]]</f>
        <v>40</v>
      </c>
      <c r="X941" s="1040">
        <f>PV_DATA[[#This Row],[QUANTITY]]/PV_DATA[[#This Row],[Qty/CT]]</f>
        <v>2</v>
      </c>
      <c r="Y941" s="430" t="s">
        <v>2465</v>
      </c>
      <c r="Z941" s="430" t="str">
        <f t="shared" si="12"/>
        <v>IN-TRANSIT</v>
      </c>
      <c r="AA941" s="545">
        <v>46206</v>
      </c>
      <c r="AB941" s="437">
        <v>46256</v>
      </c>
      <c r="AC941" s="485">
        <f>IF(PV_DATA[[#This Row],[Pick- Up Date]]&lt;&gt;"",_xlfn.ISOWEEKNUM(PV_DATA[[#This Row],[Pick- Up Date]]),"")</f>
        <v>34</v>
      </c>
      <c r="AD941" s="430" t="s">
        <v>6292</v>
      </c>
      <c r="AE941" s="430"/>
      <c r="AF941" s="430" t="s">
        <v>122</v>
      </c>
      <c r="AG941" s="430" t="s">
        <v>123</v>
      </c>
      <c r="AH941" s="430" t="s">
        <v>124</v>
      </c>
      <c r="AI941" s="713">
        <v>46264</v>
      </c>
      <c r="AJ941" s="437">
        <f>IFERROR(VLOOKUP(AT941, Vessel!A:D, 4, FALSE), "")</f>
        <v>46269.166666666664</v>
      </c>
      <c r="AK941" s="437">
        <f>IFERROR(IF(VLOOKUP(AT941,Vessel!A:F,5,FALSE)=0,"",VLOOKUP(AT941,Vessel!A:F,5,FALSE)),"")</f>
        <v>46269.097187500003</v>
      </c>
      <c r="AL941" s="437">
        <v>46317</v>
      </c>
      <c r="AM941" s="949">
        <f>IFERROR(VLOOKUP(AT941, Vessel!A:H, 8, FALSE), "")</f>
        <v>46326.625</v>
      </c>
      <c r="AN941" s="949" t="str">
        <f>IFERROR(IF(VLOOKUP(AT941,Vessel!A:I,9,FALSE)=0,"",VLOOKUP(AT941,Vessel!A:I,9,FALSE)),"")</f>
        <v/>
      </c>
      <c r="AP941" s="430" t="s">
        <v>6271</v>
      </c>
      <c r="AQ941" s="438" t="s">
        <v>80</v>
      </c>
      <c r="AR941" s="430" t="s">
        <v>6289</v>
      </c>
      <c r="AS941" s="430" t="s">
        <v>6290</v>
      </c>
      <c r="AT941" s="430" t="s">
        <v>6290</v>
      </c>
      <c r="AU9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57.527812499996799</v>
      </c>
      <c r="AW941" s="437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46326.625</v>
      </c>
      <c r="AX94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1" s="437">
        <f>IF(ISERROR(PV_DATA[[#This Row],[New Ark PO status]]),"",_xlfn.XLOOKUP(PV_DATA[[#This Row],[SPTN-PVHK New Ark PO'#]],New_Ark_Data[Purchase order Number],New_Ark_Data[Estimated time of arrival],"",0))</f>
        <v>46326</v>
      </c>
      <c r="AZ941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41" s="437">
        <f>IFERROR(PV_DATA[[#This Row],[ODP ETA Port]]+PV_DATA[[#This Row],[Customs/Leg3 Assumption]],"n/a")</f>
        <v>46335.625</v>
      </c>
      <c r="BB941" s="433">
        <f>YEAR(PV_DATA[[#This Row],[ETA for New Ark update]])</f>
        <v>2026</v>
      </c>
      <c r="BC941" s="430">
        <f>MONTH(PV_DATA[[#This Row],[ETA for New Ark update]])</f>
        <v>11</v>
      </c>
      <c r="BD941" s="430">
        <f>IFERROR(_xlfn.ISOWEEKNUM(PV_DATA[[#This Row],[ETA for New Ark update]]),0)</f>
        <v>46</v>
      </c>
      <c r="BE941" s="430">
        <f>_xlfn.XLOOKUP(PV_DATA[[#This Row],[New Ark SKU]],Table9[New Ark SKU],Table9[Total PCS per Pallet],,0)</f>
        <v>36</v>
      </c>
      <c r="BF941" s="430">
        <f>_xlfn.XLOOKUP(PV_DATA[[#This Row],[New Ark SKU]],Table9[New Ark SKU],Table9[Total PCS per 40HQ Container],,0)</f>
        <v>720</v>
      </c>
      <c r="BG941" s="430" t="str">
        <f>_xlfn.XLOOKUP(PV_DATA[[#This Row],[New Ark SKU]],Table9[New Ark SKU],Table9[Back Glass],,0)</f>
        <v>Transparent</v>
      </c>
      <c r="BH941" s="430" t="str">
        <f>_xlfn.XLOOKUP(PV_DATA[[#This Row],[PORT DESTINATION]],Table12[PORT DESTINATION],Table12[Cosco Line],,0)</f>
        <v>AEM</v>
      </c>
      <c r="BJ941" s="430"/>
    </row>
    <row r="942" spans="1:62" ht="10.5">
      <c r="A942" s="462" t="s">
        <v>6293</v>
      </c>
      <c r="B942" s="462" t="s">
        <v>111</v>
      </c>
      <c r="C942" s="462" t="str">
        <f>IFERROR(LEFT(PV_DATA[[#This Row],[TCL REFERENCE]],FIND(".",PV_DATA[[#This Row],[TCL REFERENCE]],1)-1),"Main Line")</f>
        <v>26Jul002</v>
      </c>
      <c r="D942" s="462" t="s">
        <v>63</v>
      </c>
      <c r="E942" s="462" t="s">
        <v>64</v>
      </c>
      <c r="F942" s="462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42" s="462" t="s">
        <v>402</v>
      </c>
      <c r="H942" s="462" t="s">
        <v>115</v>
      </c>
      <c r="I942" s="462" t="s">
        <v>689</v>
      </c>
      <c r="J942" s="430" t="s">
        <v>96</v>
      </c>
      <c r="K942" s="430"/>
      <c r="L942" s="430"/>
      <c r="M942" s="430" t="s">
        <v>68</v>
      </c>
      <c r="N942" s="432">
        <v>46209</v>
      </c>
      <c r="O942" s="430" t="s">
        <v>550</v>
      </c>
      <c r="P942" s="430" t="s">
        <v>2134</v>
      </c>
      <c r="Q942" s="430" t="s">
        <v>2135</v>
      </c>
      <c r="R942" s="430" t="str">
        <f>_xlfn.XLOOKUP(PV_DATA[[#This Row],[New Ark SKU]],Table9[New Ark SKU],Table9[Connector],,0)</f>
        <v>EVO2A</v>
      </c>
      <c r="S942" s="433" t="str">
        <f>_xlfn.XLOOKUP(PV_DATA[[#This Row],[New Ark SKU]],Table9[New Ark SKU],Table9[Cable],,0)</f>
        <v>±1350mm</v>
      </c>
      <c r="T942" s="433">
        <v>515</v>
      </c>
      <c r="U942" s="1088">
        <v>792</v>
      </c>
      <c r="V942" s="434">
        <f>PV_DATA[[#This Row],[QUANTITY]]*PV_DATA[[#This Row],[WATT]]/1000000</f>
        <v>0.40788000000000002</v>
      </c>
      <c r="W942" s="435">
        <f>PV_DATA[[#This Row],[QUANTITY]]/PV_DATA[[#This Row],[Qty/Pallet]]</f>
        <v>22</v>
      </c>
      <c r="X942" s="1040">
        <f>PV_DATA[[#This Row],[QUANTITY]]/PV_DATA[[#This Row],[Qty/CT]]</f>
        <v>1</v>
      </c>
      <c r="Y942" s="430" t="s">
        <v>2465</v>
      </c>
      <c r="Z942" s="430" t="str">
        <f t="shared" si="12"/>
        <v>IN-TRANSIT</v>
      </c>
      <c r="AA942" s="430" t="s">
        <v>5853</v>
      </c>
      <c r="AB942" s="437">
        <v>46256</v>
      </c>
      <c r="AC942" s="485">
        <f>IF(PV_DATA[[#This Row],[Pick- Up Date]]&lt;&gt;"",_xlfn.ISOWEEKNUM(PV_DATA[[#This Row],[Pick- Up Date]]),"")</f>
        <v>34</v>
      </c>
      <c r="AD942" s="430" t="s">
        <v>6294</v>
      </c>
      <c r="AE942" s="430"/>
      <c r="AF942" s="430" t="s">
        <v>122</v>
      </c>
      <c r="AG942" s="430" t="s">
        <v>123</v>
      </c>
      <c r="AH942" s="430" t="s">
        <v>124</v>
      </c>
      <c r="AI942" s="713">
        <v>46264</v>
      </c>
      <c r="AJ942" s="437">
        <f>IFERROR(VLOOKUP(AT942, Vessel!A:D, 4, FALSE), "")</f>
        <v>46269.166666666664</v>
      </c>
      <c r="AK942" s="437">
        <f>IFERROR(IF(VLOOKUP(AT942,Vessel!A:F,5,FALSE)=0,"",VLOOKUP(AT942,Vessel!A:F,5,FALSE)),"")</f>
        <v>46269.097187500003</v>
      </c>
      <c r="AL942" s="588">
        <v>46317</v>
      </c>
      <c r="AM942" s="1306">
        <f>IFERROR(VLOOKUP(AT942, Vessel!A:H, 8, FALSE), "")</f>
        <v>46326.625</v>
      </c>
      <c r="AN942" s="949" t="str">
        <f>IFERROR(IF(VLOOKUP(AT942,Vessel!A:I,9,FALSE)=0,"",VLOOKUP(AT942,Vessel!A:I,9,FALSE)),"")</f>
        <v/>
      </c>
      <c r="AP942" s="430" t="s">
        <v>6271</v>
      </c>
      <c r="AQ942" s="438" t="s">
        <v>80</v>
      </c>
      <c r="AR942" s="430" t="s">
        <v>6289</v>
      </c>
      <c r="AS942" s="430" t="s">
        <v>6290</v>
      </c>
      <c r="AT942" s="430" t="s">
        <v>6290</v>
      </c>
      <c r="AU9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57.527812499996799</v>
      </c>
      <c r="AW942" s="437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46326.625</v>
      </c>
      <c r="AX94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2" s="437">
        <f>IF(ISERROR(PV_DATA[[#This Row],[New Ark PO status]]),"",_xlfn.XLOOKUP(PV_DATA[[#This Row],[SPTN-PVHK New Ark PO'#]],New_Ark_Data[Purchase order Number],New_Ark_Data[Estimated time of arrival],"",0))</f>
        <v>46325</v>
      </c>
      <c r="AZ942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42" s="437">
        <f>IFERROR(PV_DATA[[#This Row],[ODP ETA Port]]+PV_DATA[[#This Row],[Customs/Leg3 Assumption]],"n/a")</f>
        <v>46335.625</v>
      </c>
      <c r="BB942" s="433">
        <f>YEAR(PV_DATA[[#This Row],[ETA for New Ark update]])</f>
        <v>2026</v>
      </c>
      <c r="BC942" s="430">
        <f>MONTH(PV_DATA[[#This Row],[ETA for New Ark update]])</f>
        <v>11</v>
      </c>
      <c r="BD942" s="430">
        <f>IFERROR(_xlfn.ISOWEEKNUM(PV_DATA[[#This Row],[ETA for New Ark update]]),0)</f>
        <v>46</v>
      </c>
      <c r="BE942" s="430">
        <f>_xlfn.XLOOKUP(PV_DATA[[#This Row],[New Ark SKU]],Table9[New Ark SKU],Table9[Total PCS per Pallet],,0)</f>
        <v>36</v>
      </c>
      <c r="BF942" s="430">
        <f>_xlfn.XLOOKUP(PV_DATA[[#This Row],[New Ark SKU]],Table9[New Ark SKU],Table9[Total PCS per 40HQ Container],,0)</f>
        <v>792</v>
      </c>
      <c r="BG942" s="430" t="str">
        <f>_xlfn.XLOOKUP(PV_DATA[[#This Row],[New Ark SKU]],Table9[New Ark SKU],Table9[Back Glass],,0)</f>
        <v>Black glazing</v>
      </c>
      <c r="BH942" s="430" t="str">
        <f>_xlfn.XLOOKUP(PV_DATA[[#This Row],[PORT DESTINATION]],Table12[PORT DESTINATION],Table12[Cosco Line],,0)</f>
        <v>AEM</v>
      </c>
      <c r="BJ942" s="430"/>
    </row>
    <row r="943" spans="1:62" s="462" customFormat="1" ht="10.5">
      <c r="A943" s="729" t="s">
        <v>6295</v>
      </c>
      <c r="B943" s="945" t="s">
        <v>111</v>
      </c>
      <c r="C943" s="945" t="str">
        <f>IFERROR(LEFT(PV_DATA[[#This Row],[TCL REFERENCE]],FIND(".",PV_DATA[[#This Row],[TCL REFERENCE]],1)-1),"Main Line")</f>
        <v>26Aug002</v>
      </c>
      <c r="D943" s="462" t="s">
        <v>63</v>
      </c>
      <c r="E943" s="462" t="s">
        <v>64</v>
      </c>
      <c r="F943" s="462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3" s="462" t="s">
        <v>402</v>
      </c>
      <c r="H943" s="462" t="s">
        <v>311</v>
      </c>
      <c r="I943" s="462" t="s">
        <v>689</v>
      </c>
      <c r="J943" s="462" t="s">
        <v>96</v>
      </c>
      <c r="M943" s="462" t="s">
        <v>68</v>
      </c>
      <c r="N943" s="712">
        <v>46215</v>
      </c>
      <c r="O943" s="945" t="s">
        <v>550</v>
      </c>
      <c r="P943" s="945" t="s">
        <v>2134</v>
      </c>
      <c r="Q943" s="945" t="s">
        <v>2135</v>
      </c>
      <c r="R943" s="430" t="str">
        <f>_xlfn.XLOOKUP(PV_DATA[[#This Row],[New Ark SKU]],Table9[New Ark SKU],Table9[Connector],,0)</f>
        <v>EVO2A</v>
      </c>
      <c r="S943" s="433" t="str">
        <f>_xlfn.XLOOKUP(PV_DATA[[#This Row],[New Ark SKU]],Table9[New Ark SKU],Table9[Cable],,0)</f>
        <v>±1350mm</v>
      </c>
      <c r="T943" s="952">
        <v>515</v>
      </c>
      <c r="U943" s="1095">
        <f>792*2</f>
        <v>1584</v>
      </c>
      <c r="V943" s="953">
        <f>PV_DATA[[#This Row],[QUANTITY]]*PV_DATA[[#This Row],[WATT]]/1000000</f>
        <v>0.81576000000000004</v>
      </c>
      <c r="W943" s="954">
        <f>PV_DATA[[#This Row],[QUANTITY]]/PV_DATA[[#This Row],[Qty/Pallet]]</f>
        <v>44</v>
      </c>
      <c r="X943" s="1042">
        <f>PV_DATA[[#This Row],[QUANTITY]]/PV_DATA[[#This Row],[Qty/CT]]</f>
        <v>2</v>
      </c>
      <c r="Y943" s="462" t="s">
        <v>2466</v>
      </c>
      <c r="Z943" s="462" t="str">
        <f t="shared" si="12"/>
        <v>IN-TRANSIT</v>
      </c>
      <c r="AA943" s="623" t="s">
        <v>5853</v>
      </c>
      <c r="AB943" s="971">
        <v>46252</v>
      </c>
      <c r="AC943" s="1066">
        <f>IF(PV_DATA[[#This Row],[Pick- Up Date]]&lt;&gt;"",_xlfn.ISOWEEKNUM(PV_DATA[[#This Row],[Pick- Up Date]]),"")</f>
        <v>34</v>
      </c>
      <c r="AD943" s="945" t="s">
        <v>6296</v>
      </c>
      <c r="AE943" s="945" t="s">
        <v>6296</v>
      </c>
      <c r="AF943" s="945" t="s">
        <v>122</v>
      </c>
      <c r="AG943" s="945" t="s">
        <v>123</v>
      </c>
      <c r="AH943" s="462" t="s">
        <v>1561</v>
      </c>
      <c r="AI943" s="971">
        <v>46262</v>
      </c>
      <c r="AJ943" s="713">
        <f>IFERROR(VLOOKUP(AT943, Vessel!A:D, 4, FALSE), "")</f>
        <v>46266.083333333336</v>
      </c>
      <c r="AK943" s="437">
        <v>46266</v>
      </c>
      <c r="AL943" s="949">
        <v>46318</v>
      </c>
      <c r="AM943" s="1306">
        <f>IFERROR(VLOOKUP(AT943, Vessel!A:H, 8, FALSE), "")</f>
        <v>46334.75</v>
      </c>
      <c r="AN943" s="949" t="str">
        <f>IFERROR(IF(VLOOKUP(AT943,Vessel!A:I,9,FALSE)=0,"",VLOOKUP(AT943,Vessel!A:I,9,FALSE)),"")</f>
        <v/>
      </c>
      <c r="AO943" s="945"/>
      <c r="AP943" s="945" t="s">
        <v>6297</v>
      </c>
      <c r="AQ943" s="970" t="s">
        <v>80</v>
      </c>
      <c r="AR943" s="945" t="s">
        <v>6298</v>
      </c>
      <c r="AS943" s="945" t="s">
        <v>6299</v>
      </c>
      <c r="AT943" s="462" t="s">
        <v>6299</v>
      </c>
      <c r="AU9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68.75</v>
      </c>
      <c r="AV943" s="945"/>
      <c r="AW943" s="971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46334.75</v>
      </c>
      <c r="AX94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3" s="971">
        <f>IF(ISERROR(PV_DATA[[#This Row],[New Ark PO status]]),"",_xlfn.XLOOKUP(PV_DATA[[#This Row],[SPTN-PVHK New Ark PO'#]],New_Ark_Data[Purchase order Number],New_Ark_Data[Estimated time of arrival],"",0))</f>
        <v>46321</v>
      </c>
      <c r="AZ943" s="95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43" s="971">
        <f>IFERROR(PV_DATA[[#This Row],[ODP ETA Port]]+PV_DATA[[#This Row],[Customs/Leg3 Assumption]],"n/a")</f>
        <v>46344.75</v>
      </c>
      <c r="BB943" s="952">
        <f>YEAR(PV_DATA[[#This Row],[ETA for New Ark update]])</f>
        <v>2026</v>
      </c>
      <c r="BC943" s="945">
        <f>MONTH(PV_DATA[[#This Row],[ETA for New Ark update]])</f>
        <v>11</v>
      </c>
      <c r="BD943" s="945">
        <f>IFERROR(_xlfn.ISOWEEKNUM(PV_DATA[[#This Row],[ETA for New Ark update]]),0)</f>
        <v>47</v>
      </c>
      <c r="BE943" s="945">
        <f>_xlfn.XLOOKUP(PV_DATA[[#This Row],[New Ark SKU]],Table9[New Ark SKU],Table9[Total PCS per Pallet],,0)</f>
        <v>36</v>
      </c>
      <c r="BF943" s="945">
        <f>_xlfn.XLOOKUP(PV_DATA[[#This Row],[New Ark SKU]],Table9[New Ark SKU],Table9[Total PCS per 40HQ Container],,0)</f>
        <v>792</v>
      </c>
      <c r="BG943" s="462" t="str">
        <f>_xlfn.XLOOKUP(PV_DATA[[#This Row],[New Ark SKU]],Table9[New Ark SKU],Table9[Back Glass],,0)</f>
        <v>Black glazing</v>
      </c>
      <c r="BH943" s="1067" t="str">
        <f>_xlfn.XLOOKUP(PV_DATA[[#This Row],[PORT DESTINATION]],Table12[PORT DESTINATION],Table12[Cosco Line],,0)</f>
        <v>AEM</v>
      </c>
    </row>
    <row r="944" spans="1:62" ht="10.5">
      <c r="A944" s="462" t="s">
        <v>6300</v>
      </c>
      <c r="B944" s="462" t="s">
        <v>111</v>
      </c>
      <c r="C944" s="462" t="str">
        <f>IFERROR(LEFT(PV_DATA[[#This Row],[TCL REFERENCE]],FIND(".",PV_DATA[[#This Row],[TCL REFERENCE]],1)-1),"Main Line")</f>
        <v>26Jul004</v>
      </c>
      <c r="D944" s="462" t="s">
        <v>63</v>
      </c>
      <c r="E944" s="462" t="s">
        <v>64</v>
      </c>
      <c r="F944" s="462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4" s="462" t="s">
        <v>402</v>
      </c>
      <c r="H944" s="462" t="s">
        <v>67</v>
      </c>
      <c r="I944" s="462" t="s">
        <v>689</v>
      </c>
      <c r="J944" s="430" t="s">
        <v>96</v>
      </c>
      <c r="K944" s="430"/>
      <c r="L944" s="430"/>
      <c r="M944" s="430" t="s">
        <v>68</v>
      </c>
      <c r="N944" s="432">
        <v>46223</v>
      </c>
      <c r="O944" s="430" t="s">
        <v>132</v>
      </c>
      <c r="P944" s="430" t="s">
        <v>1062</v>
      </c>
      <c r="Q944" s="430" t="s">
        <v>1063</v>
      </c>
      <c r="R944" s="430" t="str">
        <f>_xlfn.XLOOKUP(PV_DATA[[#This Row],[New Ark SKU]],Table9[New Ark SKU],Table9[Connector],,0)</f>
        <v>EVO2A</v>
      </c>
      <c r="S944" s="433" t="str">
        <f>_xlfn.XLOOKUP(PV_DATA[[#This Row],[New Ark SKU]],Table9[New Ark SKU],Table9[Cable],,0)</f>
        <v>±1200mm</v>
      </c>
      <c r="T944" s="433">
        <v>470</v>
      </c>
      <c r="U944" s="1088">
        <v>1728</v>
      </c>
      <c r="V944" s="434">
        <f>PV_DATA[[#This Row],[QUANTITY]]*PV_DATA[[#This Row],[WATT]]/1000000</f>
        <v>0.81215999999999999</v>
      </c>
      <c r="W944" s="435">
        <f>PV_DATA[[#This Row],[QUANTITY]]/PV_DATA[[#This Row],[Qty/Pallet]]</f>
        <v>48</v>
      </c>
      <c r="X944" s="1040">
        <f>PV_DATA[[#This Row],[QUANTITY]]/PV_DATA[[#This Row],[Qty/CT]]</f>
        <v>2</v>
      </c>
      <c r="Y944" s="430" t="s">
        <v>2466</v>
      </c>
      <c r="Z944" s="430" t="str">
        <f t="shared" ref="Z944:Z975" si="13">IF(AN944&lt;&gt;"","COMPLETED",IF(AK944&lt;&gt;"","IN-TRANSIT",""))</f>
        <v>IN-TRANSIT</v>
      </c>
      <c r="AA944" s="430" t="s">
        <v>5853</v>
      </c>
      <c r="AB944" s="437">
        <v>46271</v>
      </c>
      <c r="AC944" s="485">
        <f>IF(PV_DATA[[#This Row],[Pick- Up Date]]&lt;&gt;"",_xlfn.ISOWEEKNUM(PV_DATA[[#This Row],[Pick- Up Date]]),"")</f>
        <v>36</v>
      </c>
      <c r="AD944" s="430" t="s">
        <v>6301</v>
      </c>
      <c r="AE944" s="430"/>
      <c r="AF944" s="430" t="s">
        <v>122</v>
      </c>
      <c r="AG944" s="430" t="s">
        <v>123</v>
      </c>
      <c r="AH944" s="430" t="s">
        <v>78</v>
      </c>
      <c r="AI944" s="437">
        <v>46260</v>
      </c>
      <c r="AJ944" s="437">
        <v>46276</v>
      </c>
      <c r="AK944" s="437">
        <v>46277</v>
      </c>
      <c r="AL944" s="437">
        <v>46309</v>
      </c>
      <c r="AN944" s="588"/>
      <c r="AP944" s="430" t="s">
        <v>6302</v>
      </c>
      <c r="AQ944" s="438" t="s">
        <v>161</v>
      </c>
      <c r="AR944" s="430" t="s">
        <v>6303</v>
      </c>
      <c r="AS944" s="430">
        <v>274975950</v>
      </c>
      <c r="AT944" s="430">
        <v>274975950</v>
      </c>
      <c r="AU9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44" s="437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4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4" s="437" t="str">
        <f>IF(ISERROR(PV_DATA[[#This Row],[New Ark PO status]]),"",_xlfn.XLOOKUP(PV_DATA[[#This Row],[SPTN-PVHK New Ark PO'#]],New_Ark_Data[Purchase order Number],New_Ark_Data[Estimated time of arrival],"",0))</f>
        <v/>
      </c>
      <c r="AZ94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4" s="437">
        <f>IFERROR(PV_DATA[[#This Row],[ODP ETA Port]]+PV_DATA[[#This Row],[Customs/Leg3 Assumption]],"n/a")</f>
        <v>46317</v>
      </c>
      <c r="BB944" s="433">
        <f>YEAR(PV_DATA[[#This Row],[ETA for New Ark update]])</f>
        <v>2026</v>
      </c>
      <c r="BC944" s="430">
        <f>MONTH(PV_DATA[[#This Row],[ETA for New Ark update]])</f>
        <v>10</v>
      </c>
      <c r="BD944" s="430">
        <f>IFERROR(_xlfn.ISOWEEKNUM(PV_DATA[[#This Row],[ETA for New Ark update]]),0)</f>
        <v>43</v>
      </c>
      <c r="BE944" s="430">
        <f>_xlfn.XLOOKUP(PV_DATA[[#This Row],[New Ark SKU]],Table9[New Ark SKU],Table9[Total PCS per Pallet],,0)</f>
        <v>36</v>
      </c>
      <c r="BF944" s="430">
        <f>_xlfn.XLOOKUP(PV_DATA[[#This Row],[New Ark SKU]],Table9[New Ark SKU],Table9[Total PCS per 40HQ Container],,0)</f>
        <v>864</v>
      </c>
      <c r="BG944" s="430" t="str">
        <f>_xlfn.XLOOKUP(PV_DATA[[#This Row],[New Ark SKU]],Table9[New Ark SKU],Table9[Back Glass],,0)</f>
        <v>White glazing</v>
      </c>
      <c r="BH944" s="430" t="str">
        <f>_xlfn.XLOOKUP(PV_DATA[[#This Row],[PORT DESTINATION]],Table12[PORT DESTINATION],Table12[Cosco Line],,0)</f>
        <v>AEM</v>
      </c>
      <c r="BJ944" s="430"/>
    </row>
    <row r="945" spans="1:62" ht="10.5">
      <c r="A945" s="462" t="s">
        <v>6304</v>
      </c>
      <c r="B945" s="462" t="s">
        <v>111</v>
      </c>
      <c r="C945" s="462" t="str">
        <f>IFERROR(LEFT(PV_DATA[[#This Row],[TCL REFERENCE]],FIND(".",PV_DATA[[#This Row],[TCL REFERENCE]],1)-1),"Main Line")</f>
        <v>26Jul016</v>
      </c>
      <c r="D945" s="462" t="s">
        <v>63</v>
      </c>
      <c r="E945" s="462" t="s">
        <v>64</v>
      </c>
      <c r="F945" s="945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5" s="462" t="s">
        <v>402</v>
      </c>
      <c r="H945" s="462" t="s">
        <v>67</v>
      </c>
      <c r="I945" s="462" t="s">
        <v>689</v>
      </c>
      <c r="J945" s="623" t="s">
        <v>96</v>
      </c>
      <c r="K945" s="430"/>
      <c r="L945" s="430"/>
      <c r="M945" s="430" t="s">
        <v>68</v>
      </c>
      <c r="N945" s="432">
        <v>46237</v>
      </c>
      <c r="O945" s="430" t="s">
        <v>5379</v>
      </c>
      <c r="P945" s="430" t="s">
        <v>5735</v>
      </c>
      <c r="Q945" s="430" t="s">
        <v>5736</v>
      </c>
      <c r="R945" s="430" t="str">
        <f>_xlfn.XLOOKUP(PV_DATA[[#This Row],[New Ark SKU]],Table9[New Ark SKU],Table9[Connector],,0)</f>
        <v>EVO2A</v>
      </c>
      <c r="S945" s="433" t="str">
        <f>_xlfn.XLOOKUP(PV_DATA[[#This Row],[New Ark SKU]],Table9[New Ark SKU],Table9[Cable],,0)</f>
        <v>±1200mm</v>
      </c>
      <c r="T945" s="433">
        <v>475</v>
      </c>
      <c r="U945" s="1088">
        <f>936*8</f>
        <v>7488</v>
      </c>
      <c r="V945" s="434">
        <f>PV_DATA[[#This Row],[QUANTITY]]*PV_DATA[[#This Row],[WATT]]/1000000</f>
        <v>3.5568</v>
      </c>
      <c r="W945" s="981">
        <f>PV_DATA[[#This Row],[QUANTITY]]/PV_DATA[[#This Row],[Qty/Pallet]]</f>
        <v>208</v>
      </c>
      <c r="X945" s="1040">
        <f>PV_DATA[[#This Row],[QUANTITY]]/PV_DATA[[#This Row],[Qty/CT]]</f>
        <v>8</v>
      </c>
      <c r="Y945" s="430" t="s">
        <v>2465</v>
      </c>
      <c r="Z945" s="430" t="str">
        <f t="shared" si="13"/>
        <v>IN-TRANSIT</v>
      </c>
      <c r="AA945" s="430"/>
      <c r="AB945" s="437">
        <v>46271</v>
      </c>
      <c r="AC945" s="485">
        <f>IF(PV_DATA[[#This Row],[Pick- Up Date]]&lt;&gt;"",_xlfn.ISOWEEKNUM(PV_DATA[[#This Row],[Pick- Up Date]]),"")</f>
        <v>36</v>
      </c>
      <c r="AD945" s="430" t="s">
        <v>6305</v>
      </c>
      <c r="AE945" s="430"/>
      <c r="AF945" s="430" t="s">
        <v>122</v>
      </c>
      <c r="AG945" s="430" t="s">
        <v>123</v>
      </c>
      <c r="AH945" s="430" t="s">
        <v>78</v>
      </c>
      <c r="AI945" s="437">
        <v>46260</v>
      </c>
      <c r="AJ945" s="437">
        <v>46276</v>
      </c>
      <c r="AK945" s="437">
        <v>46277</v>
      </c>
      <c r="AL945" s="437">
        <v>46309</v>
      </c>
      <c r="AN945" s="588"/>
      <c r="AP945" s="430" t="s">
        <v>6302</v>
      </c>
      <c r="AQ945" s="438" t="s">
        <v>161</v>
      </c>
      <c r="AR945" s="430" t="s">
        <v>6303</v>
      </c>
      <c r="AS945" s="430">
        <v>274975950</v>
      </c>
      <c r="AT945" s="430">
        <v>274975950</v>
      </c>
      <c r="AU9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45" s="437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4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5" s="437" t="str">
        <f>IF(ISERROR(PV_DATA[[#This Row],[New Ark PO status]]),"",_xlfn.XLOOKUP(PV_DATA[[#This Row],[SPTN-PVHK New Ark PO'#]],New_Ark_Data[Purchase order Number],New_Ark_Data[Estimated time of arrival],"",0))</f>
        <v/>
      </c>
      <c r="AZ9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5" s="437">
        <f>IFERROR(PV_DATA[[#This Row],[ODP ETA Port]]+PV_DATA[[#This Row],[Customs/Leg3 Assumption]],"n/a")</f>
        <v>46317</v>
      </c>
      <c r="BB945" s="433">
        <f>YEAR(PV_DATA[[#This Row],[ETA for New Ark update]])</f>
        <v>2026</v>
      </c>
      <c r="BC945" s="430">
        <f>MONTH(PV_DATA[[#This Row],[ETA for New Ark update]])</f>
        <v>10</v>
      </c>
      <c r="BD945" s="430">
        <f>IFERROR(_xlfn.ISOWEEKNUM(PV_DATA[[#This Row],[ETA for New Ark update]]),0)</f>
        <v>43</v>
      </c>
      <c r="BE945" s="430">
        <f>_xlfn.XLOOKUP(PV_DATA[[#This Row],[New Ark SKU]],Table9[New Ark SKU],Table9[Total PCS per Pallet],,0)</f>
        <v>36</v>
      </c>
      <c r="BF945" s="430">
        <f>_xlfn.XLOOKUP(PV_DATA[[#This Row],[New Ark SKU]],Table9[New Ark SKU],Table9[Total PCS per 40HQ Container],,0)</f>
        <v>936</v>
      </c>
      <c r="BG945" s="430" t="str">
        <f>_xlfn.XLOOKUP(PV_DATA[[#This Row],[New Ark SKU]],Table9[New Ark SKU],Table9[Back Glass],,0)</f>
        <v>White glazing</v>
      </c>
      <c r="BH945" s="610" t="str">
        <f>_xlfn.XLOOKUP(PV_DATA[[#This Row],[PORT DESTINATION]],Table12[PORT DESTINATION],Table12[Cosco Line],,0)</f>
        <v>AEM</v>
      </c>
      <c r="BJ945" s="430"/>
    </row>
    <row r="946" spans="1:62" ht="10.5">
      <c r="A946" s="462" t="s">
        <v>6306</v>
      </c>
      <c r="B946" s="945" t="s">
        <v>111</v>
      </c>
      <c r="C946" s="462" t="str">
        <f>IFERROR(LEFT(PV_DATA[[#This Row],[TCL REFERENCE]],FIND(".",PV_DATA[[#This Row],[TCL REFERENCE]],1)-1),"Main Line")</f>
        <v>26Jul016</v>
      </c>
      <c r="D946" s="945" t="s">
        <v>63</v>
      </c>
      <c r="E946" s="462" t="s">
        <v>64</v>
      </c>
      <c r="F946" s="462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6" s="462" t="s">
        <v>402</v>
      </c>
      <c r="H946" s="462" t="s">
        <v>67</v>
      </c>
      <c r="I946" s="462" t="s">
        <v>689</v>
      </c>
      <c r="J946" s="430" t="s">
        <v>96</v>
      </c>
      <c r="K946" s="430"/>
      <c r="L946" s="430"/>
      <c r="M946" s="430" t="s">
        <v>68</v>
      </c>
      <c r="N946" s="1079">
        <v>46234</v>
      </c>
      <c r="O946" s="623" t="s">
        <v>5379</v>
      </c>
      <c r="P946" s="623" t="s">
        <v>5735</v>
      </c>
      <c r="Q946" s="623" t="s">
        <v>5736</v>
      </c>
      <c r="R946" s="430" t="str">
        <f>_xlfn.XLOOKUP(PV_DATA[[#This Row],[New Ark SKU]],Table9[New Ark SKU],Table9[Connector],,0)</f>
        <v>EVO2A</v>
      </c>
      <c r="S946" s="433" t="str">
        <f>_xlfn.XLOOKUP(PV_DATA[[#This Row],[New Ark SKU]],Table9[New Ark SKU],Table9[Cable],,0)</f>
        <v>±1200mm</v>
      </c>
      <c r="T946" s="976">
        <v>475</v>
      </c>
      <c r="U946" s="1088">
        <f>936*1</f>
        <v>936</v>
      </c>
      <c r="V946" s="977">
        <f>PV_DATA[[#This Row],[QUANTITY]]*PV_DATA[[#This Row],[WATT]]/1000000</f>
        <v>0.4446</v>
      </c>
      <c r="W946" s="435">
        <f>PV_DATA[[#This Row],[QUANTITY]]/PV_DATA[[#This Row],[Qty/Pallet]]</f>
        <v>26</v>
      </c>
      <c r="X946" s="1221">
        <f>PV_DATA[[#This Row],[QUANTITY]]/PV_DATA[[#This Row],[Qty/CT]]</f>
        <v>1</v>
      </c>
      <c r="Y946" s="430" t="s">
        <v>2464</v>
      </c>
      <c r="Z946" s="430" t="str">
        <f t="shared" si="13"/>
        <v>IN-TRANSIT</v>
      </c>
      <c r="AA946" s="623" t="s">
        <v>6307</v>
      </c>
      <c r="AB946" s="978">
        <v>46271</v>
      </c>
      <c r="AC946" s="1222">
        <f>IF(PV_DATA[[#This Row],[Pick- Up Date]]&lt;&gt;"",_xlfn.ISOWEEKNUM(PV_DATA[[#This Row],[Pick- Up Date]]),"")</f>
        <v>36</v>
      </c>
      <c r="AD946" s="623" t="s">
        <v>6308</v>
      </c>
      <c r="AE946" s="623"/>
      <c r="AF946" s="430" t="s">
        <v>122</v>
      </c>
      <c r="AG946" s="430" t="s">
        <v>123</v>
      </c>
      <c r="AH946" s="430" t="s">
        <v>78</v>
      </c>
      <c r="AI946" s="437">
        <v>46260</v>
      </c>
      <c r="AJ946" s="437">
        <v>46277</v>
      </c>
      <c r="AK946" s="437">
        <v>46277</v>
      </c>
      <c r="AL946" s="437">
        <v>46309</v>
      </c>
      <c r="AN946" s="588"/>
      <c r="AP946" s="430" t="s">
        <v>6302</v>
      </c>
      <c r="AQ946" s="438" t="s">
        <v>161</v>
      </c>
      <c r="AR946" s="430" t="s">
        <v>6309</v>
      </c>
      <c r="AS946" s="430">
        <v>275569028</v>
      </c>
      <c r="AT946" s="430">
        <v>275569028</v>
      </c>
      <c r="AU9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46" s="623"/>
      <c r="AW946" s="978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4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6" s="978" t="str">
        <f>IF(ISERROR(PV_DATA[[#This Row],[New Ark PO status]]),"",_xlfn.XLOOKUP(PV_DATA[[#This Row],[SPTN-PVHK New Ark PO'#]],New_Ark_Data[Purchase order Number],New_Ark_Data[Estimated time of arrival],"",0))</f>
        <v/>
      </c>
      <c r="AZ946" s="97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6" s="978">
        <f>IFERROR(PV_DATA[[#This Row],[ODP ETA Port]]+PV_DATA[[#This Row],[Customs/Leg3 Assumption]],"n/a")</f>
        <v>46317</v>
      </c>
      <c r="BB946" s="976">
        <f>YEAR(PV_DATA[[#This Row],[ETA for New Ark update]])</f>
        <v>2026</v>
      </c>
      <c r="BC946" s="623">
        <f>MONTH(PV_DATA[[#This Row],[ETA for New Ark update]])</f>
        <v>10</v>
      </c>
      <c r="BD946" s="623">
        <f>IFERROR(_xlfn.ISOWEEKNUM(PV_DATA[[#This Row],[ETA for New Ark update]]),0)</f>
        <v>43</v>
      </c>
      <c r="BE946" s="623">
        <f>_xlfn.XLOOKUP(PV_DATA[[#This Row],[New Ark SKU]],Table9[New Ark SKU],Table9[Total PCS per Pallet],,0)</f>
        <v>36</v>
      </c>
      <c r="BF946" s="623">
        <f>_xlfn.XLOOKUP(PV_DATA[[#This Row],[New Ark SKU]],Table9[New Ark SKU],Table9[Total PCS per 40HQ Container],,0)</f>
        <v>936</v>
      </c>
      <c r="BG946" s="623" t="str">
        <f>_xlfn.XLOOKUP(PV_DATA[[#This Row],[New Ark SKU]],Table9[New Ark SKU],Table9[Back Glass],,0)</f>
        <v>White glazing</v>
      </c>
      <c r="BH946" s="979" t="str">
        <f>_xlfn.XLOOKUP(PV_DATA[[#This Row],[PORT DESTINATION]],Table12[PORT DESTINATION],Table12[Cosco Line],,0)</f>
        <v>AEM</v>
      </c>
      <c r="BJ946" s="430"/>
    </row>
    <row r="947" spans="1:62" ht="10.5">
      <c r="A947" s="462" t="s">
        <v>6310</v>
      </c>
      <c r="B947" s="462" t="s">
        <v>111</v>
      </c>
      <c r="C947" s="462" t="str">
        <f>IFERROR(LEFT(PV_DATA[[#This Row],[TCL REFERENCE]],FIND(".",PV_DATA[[#This Row],[TCL REFERENCE]],1)-1),"Main Line")</f>
        <v>26Aug001</v>
      </c>
      <c r="D947" s="462" t="s">
        <v>63</v>
      </c>
      <c r="E947" s="462" t="s">
        <v>64</v>
      </c>
      <c r="F947" s="462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7" s="462" t="s">
        <v>402</v>
      </c>
      <c r="H947" s="462" t="s">
        <v>67</v>
      </c>
      <c r="I947" s="462" t="s">
        <v>689</v>
      </c>
      <c r="J947" s="430" t="s">
        <v>96</v>
      </c>
      <c r="K947" s="430"/>
      <c r="L947" s="430"/>
      <c r="M947" s="430" t="s">
        <v>68</v>
      </c>
      <c r="N947" s="432">
        <v>46215</v>
      </c>
      <c r="O947" s="430" t="s">
        <v>550</v>
      </c>
      <c r="P947" s="430" t="s">
        <v>551</v>
      </c>
      <c r="Q947" s="430" t="s">
        <v>2151</v>
      </c>
      <c r="R947" s="430" t="str">
        <f>_xlfn.XLOOKUP(PV_DATA[[#This Row],[New Ark SKU]],Table9[New Ark SKU],Table9[Connector],,0)</f>
        <v>EVO2A</v>
      </c>
      <c r="S947" s="433" t="str">
        <f>_xlfn.XLOOKUP(PV_DATA[[#This Row],[New Ark SKU]],Table9[New Ark SKU],Table9[Cable],,0)</f>
        <v>±1350mm</v>
      </c>
      <c r="T947" s="433">
        <v>510</v>
      </c>
      <c r="U947" s="1088">
        <f>792*4</f>
        <v>3168</v>
      </c>
      <c r="V947" s="434">
        <f>PV_DATA[[#This Row],[QUANTITY]]*PV_DATA[[#This Row],[WATT]]/1000000</f>
        <v>1.61568</v>
      </c>
      <c r="W947" s="435">
        <f>PV_DATA[[#This Row],[QUANTITY]]/PV_DATA[[#This Row],[Qty/Pallet]]</f>
        <v>88</v>
      </c>
      <c r="X947" s="1040">
        <f>PV_DATA[[#This Row],[QUANTITY]]/PV_DATA[[#This Row],[Qty/CT]]</f>
        <v>4</v>
      </c>
      <c r="Y947" s="430" t="s">
        <v>2464</v>
      </c>
      <c r="Z947" s="430" t="str">
        <f t="shared" si="13"/>
        <v>IN-TRANSIT</v>
      </c>
      <c r="AA947" s="430"/>
      <c r="AB947" s="437">
        <v>46271</v>
      </c>
      <c r="AC947" s="485">
        <f>IF(PV_DATA[[#This Row],[Pick- Up Date]]&lt;&gt;"",_xlfn.ISOWEEKNUM(PV_DATA[[#This Row],[Pick- Up Date]]),"")</f>
        <v>36</v>
      </c>
      <c r="AD947" s="430" t="s">
        <v>6311</v>
      </c>
      <c r="AE947" s="430"/>
      <c r="AF947" s="430" t="s">
        <v>122</v>
      </c>
      <c r="AG947" s="430" t="s">
        <v>123</v>
      </c>
      <c r="AH947" s="430" t="s">
        <v>78</v>
      </c>
      <c r="AI947" s="437">
        <v>46260</v>
      </c>
      <c r="AJ947" s="437">
        <v>46277</v>
      </c>
      <c r="AK947" s="437">
        <v>46277</v>
      </c>
      <c r="AL947" s="437">
        <v>46309</v>
      </c>
      <c r="AM947" s="1038"/>
      <c r="AN947" s="588"/>
      <c r="AP947" s="430" t="s">
        <v>6302</v>
      </c>
      <c r="AQ947" s="438" t="s">
        <v>161</v>
      </c>
      <c r="AR947" s="430" t="s">
        <v>6309</v>
      </c>
      <c r="AS947" s="430">
        <v>275569028</v>
      </c>
      <c r="AT947" s="430">
        <v>275569028</v>
      </c>
      <c r="AU9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47" s="437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4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7" s="437" t="str">
        <f>IF(ISERROR(PV_DATA[[#This Row],[New Ark PO status]]),"",_xlfn.XLOOKUP(PV_DATA[[#This Row],[SPTN-PVHK New Ark PO'#]],New_Ark_Data[Purchase order Number],New_Ark_Data[Estimated time of arrival],"",0))</f>
        <v/>
      </c>
      <c r="AZ9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7" s="437">
        <f>IFERROR(PV_DATA[[#This Row],[ODP ETA Port]]+PV_DATA[[#This Row],[Customs/Leg3 Assumption]],"n/a")</f>
        <v>46317</v>
      </c>
      <c r="BB947" s="433">
        <f>YEAR(PV_DATA[[#This Row],[ETA for New Ark update]])</f>
        <v>2026</v>
      </c>
      <c r="BC947" s="430">
        <f>MONTH(PV_DATA[[#This Row],[ETA for New Ark update]])</f>
        <v>10</v>
      </c>
      <c r="BD947" s="430">
        <f>IFERROR(_xlfn.ISOWEEKNUM(PV_DATA[[#This Row],[ETA for New Ark update]]),0)</f>
        <v>43</v>
      </c>
      <c r="BE947" s="430">
        <f>_xlfn.XLOOKUP(PV_DATA[[#This Row],[New Ark SKU]],Table9[New Ark SKU],Table9[Total PCS per Pallet],,0)</f>
        <v>36</v>
      </c>
      <c r="BF947" s="430">
        <f>_xlfn.XLOOKUP(PV_DATA[[#This Row],[New Ark SKU]],Table9[New Ark SKU],Table9[Total PCS per 40HQ Container],,0)</f>
        <v>792</v>
      </c>
      <c r="BG947" s="430" t="str">
        <f>_xlfn.XLOOKUP(PV_DATA[[#This Row],[New Ark SKU]],Table9[New Ark SKU],Table9[Back Glass],,0)</f>
        <v>Black glazing</v>
      </c>
      <c r="BH947" s="610" t="str">
        <f>_xlfn.XLOOKUP(PV_DATA[[#This Row],[PORT DESTINATION]],Table12[PORT DESTINATION],Table12[Cosco Line],,0)</f>
        <v>AEM</v>
      </c>
      <c r="BJ947" s="430"/>
    </row>
    <row r="948" spans="1:62" ht="10.5">
      <c r="A948" s="462" t="s">
        <v>6312</v>
      </c>
      <c r="B948" s="462" t="s">
        <v>111</v>
      </c>
      <c r="C948" s="462" t="str">
        <f>IFERROR(LEFT(PV_DATA[[#This Row],[TCL REFERENCE]],FIND(".",PV_DATA[[#This Row],[TCL REFERENCE]],1)-1),"Main Line")</f>
        <v>26Jul019</v>
      </c>
      <c r="D948" s="462" t="s">
        <v>63</v>
      </c>
      <c r="E948" s="462" t="s">
        <v>64</v>
      </c>
      <c r="F948" s="462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8" s="462" t="s">
        <v>402</v>
      </c>
      <c r="H948" s="462" t="s">
        <v>67</v>
      </c>
      <c r="I948" s="462" t="s">
        <v>689</v>
      </c>
      <c r="J948" s="430" t="s">
        <v>96</v>
      </c>
      <c r="K948" s="430"/>
      <c r="L948" s="430"/>
      <c r="M948" s="430" t="s">
        <v>68</v>
      </c>
      <c r="N948" s="432">
        <v>46234</v>
      </c>
      <c r="O948" s="430" t="s">
        <v>5379</v>
      </c>
      <c r="P948" s="430" t="s">
        <v>6281</v>
      </c>
      <c r="Q948" s="430" t="s">
        <v>6282</v>
      </c>
      <c r="R948" s="430" t="str">
        <f>_xlfn.XLOOKUP(PV_DATA[[#This Row],[New Ark SKU]],Table9[New Ark SKU],Table9[Connector],,0)</f>
        <v>EVO2A</v>
      </c>
      <c r="S948" s="433" t="str">
        <f>_xlfn.XLOOKUP(PV_DATA[[#This Row],[New Ark SKU]],Table9[New Ark SKU],Table9[Cable],,0)</f>
        <v>±1200mm</v>
      </c>
      <c r="T948" s="433">
        <v>480</v>
      </c>
      <c r="U948" s="1088">
        <v>1872</v>
      </c>
      <c r="V948" s="434">
        <f>PV_DATA[[#This Row],[QUANTITY]]*PV_DATA[[#This Row],[WATT]]/1000000</f>
        <v>0.89856000000000003</v>
      </c>
      <c r="W948" s="435">
        <f>PV_DATA[[#This Row],[QUANTITY]]/PV_DATA[[#This Row],[Qty/Pallet]]</f>
        <v>52</v>
      </c>
      <c r="X948" s="1040">
        <f>PV_DATA[[#This Row],[QUANTITY]]/PV_DATA[[#This Row],[Qty/CT]]</f>
        <v>2</v>
      </c>
      <c r="Y948" s="430" t="s">
        <v>2464</v>
      </c>
      <c r="Z948" s="430" t="str">
        <f t="shared" si="13"/>
        <v>IN-TRANSIT</v>
      </c>
      <c r="AA948" s="430" t="s">
        <v>6307</v>
      </c>
      <c r="AB948" s="437">
        <v>46271</v>
      </c>
      <c r="AC948" s="485">
        <f>IF(PV_DATA[[#This Row],[Pick- Up Date]]&lt;&gt;"",_xlfn.ISOWEEKNUM(PV_DATA[[#This Row],[Pick- Up Date]]),"")</f>
        <v>36</v>
      </c>
      <c r="AD948" s="430" t="s">
        <v>6313</v>
      </c>
      <c r="AE948" s="430"/>
      <c r="AF948" s="430" t="s">
        <v>122</v>
      </c>
      <c r="AG948" s="430" t="s">
        <v>123</v>
      </c>
      <c r="AH948" s="430" t="s">
        <v>78</v>
      </c>
      <c r="AI948" s="437">
        <v>46260</v>
      </c>
      <c r="AJ948" s="437">
        <v>46277</v>
      </c>
      <c r="AK948" s="437">
        <v>46277</v>
      </c>
      <c r="AL948" s="437">
        <v>46309</v>
      </c>
      <c r="AN948" s="588"/>
      <c r="AP948" s="430" t="s">
        <v>6302</v>
      </c>
      <c r="AQ948" s="438" t="s">
        <v>161</v>
      </c>
      <c r="AR948" s="430" t="s">
        <v>6309</v>
      </c>
      <c r="AS948" s="430">
        <v>275569028</v>
      </c>
      <c r="AT948" s="430">
        <v>275569028</v>
      </c>
      <c r="AU9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48" s="437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4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8" s="437" t="str">
        <f>IF(ISERROR(PV_DATA[[#This Row],[New Ark PO status]]),"",_xlfn.XLOOKUP(PV_DATA[[#This Row],[SPTN-PVHK New Ark PO'#]],New_Ark_Data[Purchase order Number],New_Ark_Data[Estimated time of arrival],"",0))</f>
        <v/>
      </c>
      <c r="AZ94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8" s="437">
        <f>IFERROR(PV_DATA[[#This Row],[ODP ETA Port]]+PV_DATA[[#This Row],[Customs/Leg3 Assumption]],"n/a")</f>
        <v>46317</v>
      </c>
      <c r="BB948" s="433">
        <f>YEAR(PV_DATA[[#This Row],[ETA for New Ark update]])</f>
        <v>2026</v>
      </c>
      <c r="BC948" s="430">
        <f>MONTH(PV_DATA[[#This Row],[ETA for New Ark update]])</f>
        <v>10</v>
      </c>
      <c r="BD948" s="430">
        <f>IFERROR(_xlfn.ISOWEEKNUM(PV_DATA[[#This Row],[ETA for New Ark update]]),0)</f>
        <v>43</v>
      </c>
      <c r="BE948" s="430">
        <f>_xlfn.XLOOKUP(PV_DATA[[#This Row],[New Ark SKU]],Table9[New Ark SKU],Table9[Total PCS per Pallet],,0)</f>
        <v>36</v>
      </c>
      <c r="BF948" s="430">
        <f>_xlfn.XLOOKUP(PV_DATA[[#This Row],[New Ark SKU]],Table9[New Ark SKU],Table9[Total PCS per 40HQ Container],,0)</f>
        <v>936</v>
      </c>
      <c r="BG948" s="430" t="str">
        <f>_xlfn.XLOOKUP(PV_DATA[[#This Row],[New Ark SKU]],Table9[New Ark SKU],Table9[Back Glass],,0)</f>
        <v>White glazing</v>
      </c>
      <c r="BH948" s="430" t="str">
        <f>_xlfn.XLOOKUP(PV_DATA[[#This Row],[PORT DESTINATION]],Table12[PORT DESTINATION],Table12[Cosco Line],,0)</f>
        <v>AEM</v>
      </c>
      <c r="BJ948" s="430"/>
    </row>
    <row r="949" spans="1:62" s="431" customFormat="1" ht="10.5">
      <c r="A949" s="727" t="s">
        <v>6314</v>
      </c>
      <c r="B949" s="726" t="s">
        <v>111</v>
      </c>
      <c r="C949" s="439" t="str">
        <f>IFERROR(LEFT(PV_DATA[[#This Row],[TCL REFERENCE]],FIND(".",PV_DATA[[#This Row],[TCL REFERENCE]],1)-1),"Main Line")</f>
        <v>26Aug002</v>
      </c>
      <c r="D949" s="726" t="s">
        <v>63</v>
      </c>
      <c r="E949" s="439" t="s">
        <v>64</v>
      </c>
      <c r="F949" s="726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9" s="439" t="s">
        <v>402</v>
      </c>
      <c r="H949" s="439" t="s">
        <v>311</v>
      </c>
      <c r="I949" s="439" t="s">
        <v>689</v>
      </c>
      <c r="J949" s="431" t="s">
        <v>96</v>
      </c>
      <c r="L949" s="619"/>
      <c r="M949" s="431" t="s">
        <v>6315</v>
      </c>
      <c r="N949" s="630">
        <v>46215</v>
      </c>
      <c r="O949" s="619" t="s">
        <v>550</v>
      </c>
      <c r="P949" s="619" t="s">
        <v>2134</v>
      </c>
      <c r="Q949" s="619" t="s">
        <v>2135</v>
      </c>
      <c r="R949" s="430" t="str">
        <f>_xlfn.XLOOKUP(PV_DATA[[#This Row],[New Ark SKU]],Table9[New Ark SKU],Table9[Connector],,0)</f>
        <v>EVO2A</v>
      </c>
      <c r="S949" s="433" t="str">
        <f>_xlfn.XLOOKUP(PV_DATA[[#This Row],[New Ark SKU]],Table9[New Ark SKU],Table9[Cable],,0)</f>
        <v>±1350mm</v>
      </c>
      <c r="T949" s="620">
        <v>515</v>
      </c>
      <c r="U949" s="1093">
        <v>792</v>
      </c>
      <c r="V949" s="624">
        <f>PV_DATA[[#This Row],[QUANTITY]]*PV_DATA[[#This Row],[WATT]]/1000000</f>
        <v>0.40788000000000002</v>
      </c>
      <c r="W949" s="466">
        <f>PV_DATA[[#This Row],[QUANTITY]]/PV_DATA[[#This Row],[Qty/Pallet]]</f>
        <v>22</v>
      </c>
      <c r="X949" s="1047">
        <f>PV_DATA[[#This Row],[QUANTITY]]/PV_DATA[[#This Row],[Qty/CT]]</f>
        <v>1</v>
      </c>
      <c r="Y949" s="431" t="s">
        <v>2465</v>
      </c>
      <c r="Z949" s="431" t="str">
        <f t="shared" si="13"/>
        <v>IN-TRANSIT</v>
      </c>
      <c r="AA949" s="619" t="s">
        <v>5853</v>
      </c>
      <c r="AB949" s="903">
        <v>46267</v>
      </c>
      <c r="AC949" s="627">
        <f>IF(PV_DATA[[#This Row],[Pick- Up Date]]&lt;&gt;"",_xlfn.ISOWEEKNUM(PV_DATA[[#This Row],[Pick- Up Date]]),"")</f>
        <v>36</v>
      </c>
      <c r="AD949" s="619" t="s">
        <v>6316</v>
      </c>
      <c r="AE949" s="619"/>
      <c r="AF949" s="619" t="s">
        <v>1525</v>
      </c>
      <c r="AG949" s="619" t="s">
        <v>5994</v>
      </c>
      <c r="AH949" s="447" t="s">
        <v>1561</v>
      </c>
      <c r="AI949" s="626">
        <v>46263</v>
      </c>
      <c r="AJ949" s="626">
        <v>46271</v>
      </c>
      <c r="AK949" s="437">
        <f>IFERROR(IF(VLOOKUP(AT949,Vessel!A:F,5,FALSE)=0,"",VLOOKUP(AT949,Vessel!A:F,5,FALSE)),"")</f>
        <v>46270.981307870374</v>
      </c>
      <c r="AL949" s="626">
        <v>46318</v>
      </c>
      <c r="AM949" s="1306">
        <f>IFERROR(VLOOKUP(AT949, Vessel!A:H, 8, FALSE), "")</f>
        <v>46334.75</v>
      </c>
      <c r="AN949" s="949" t="str">
        <f>IFERROR(IF(VLOOKUP(AT949,Vessel!A:I,9,FALSE)=0,"",VLOOKUP(AT949,Vessel!A:I,9,FALSE)),"")</f>
        <v/>
      </c>
      <c r="AO949" s="619"/>
      <c r="AP949" s="619" t="s">
        <v>6317</v>
      </c>
      <c r="AQ949" s="628" t="s">
        <v>80</v>
      </c>
      <c r="AR949" s="726" t="s">
        <v>6318</v>
      </c>
      <c r="AS949" s="619" t="s">
        <v>6319</v>
      </c>
      <c r="AT949" s="431" t="s">
        <v>6319</v>
      </c>
      <c r="AU9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63.768692129626288</v>
      </c>
      <c r="AV949" s="619"/>
      <c r="AW949" s="626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46334.75</v>
      </c>
      <c r="AX94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9" s="626" t="str">
        <f>IF(ISERROR(PV_DATA[[#This Row],[New Ark PO status]]),"",_xlfn.XLOOKUP(PV_DATA[[#This Row],[SPTN-PVHK New Ark PO'#]],New_Ark_Data[Purchase order Number],New_Ark_Data[Estimated time of arrival],"",0))</f>
        <v/>
      </c>
      <c r="AZ949" s="620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49" s="626">
        <f>IFERROR(PV_DATA[[#This Row],[ODP ETA Port]]+PV_DATA[[#This Row],[Customs/Leg3 Assumption]],"n/a")</f>
        <v>46344.75</v>
      </c>
      <c r="BB949" s="620">
        <f>YEAR(PV_DATA[[#This Row],[ETA for New Ark update]])</f>
        <v>2026</v>
      </c>
      <c r="BC949" s="619">
        <f>MONTH(PV_DATA[[#This Row],[ETA for New Ark update]])</f>
        <v>11</v>
      </c>
      <c r="BD949" s="619">
        <f>IFERROR(_xlfn.ISOWEEKNUM(PV_DATA[[#This Row],[ETA for New Ark update]]),0)</f>
        <v>47</v>
      </c>
      <c r="BE949" s="619">
        <f>_xlfn.XLOOKUP(PV_DATA[[#This Row],[New Ark SKU]],Table9[New Ark SKU],Table9[Total PCS per Pallet],,0)</f>
        <v>36</v>
      </c>
      <c r="BF949" s="619">
        <f>_xlfn.XLOOKUP(PV_DATA[[#This Row],[New Ark SKU]],Table9[New Ark SKU],Table9[Total PCS per 40HQ Container],,0)</f>
        <v>792</v>
      </c>
      <c r="BG949" s="619" t="str">
        <f>_xlfn.XLOOKUP(PV_DATA[[#This Row],[New Ark SKU]],Table9[New Ark SKU],Table9[Back Glass],,0)</f>
        <v>Black glazing</v>
      </c>
      <c r="BH949" s="629" t="str">
        <f>_xlfn.XLOOKUP(PV_DATA[[#This Row],[PORT DESTINATION]],Table12[PORT DESTINATION],Table12[Cosco Line],,0)</f>
        <v>AEM</v>
      </c>
    </row>
    <row r="950" spans="1:62" ht="10.5">
      <c r="A950" s="951" t="s">
        <v>6320</v>
      </c>
      <c r="B950" s="945" t="s">
        <v>1757</v>
      </c>
      <c r="C950" s="945" t="str">
        <f>IFERROR(LEFT(PV_DATA[[#This Row],[TCL REFERENCE]],FIND(".",PV_DATA[[#This Row],[TCL REFERENCE]],1)-1),"Main Line")</f>
        <v>26Aug008</v>
      </c>
      <c r="D950" s="945" t="s">
        <v>63</v>
      </c>
      <c r="E950" s="462" t="s">
        <v>144</v>
      </c>
      <c r="F950" s="462" t="str" cm="1">
        <f t="array" ref="F9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0" s="462" t="s">
        <v>402</v>
      </c>
      <c r="H950" s="462" t="s">
        <v>6321</v>
      </c>
      <c r="I950" s="462" t="s">
        <v>1395</v>
      </c>
      <c r="J950" s="430" t="s">
        <v>6322</v>
      </c>
      <c r="K950" s="430" t="s">
        <v>6323</v>
      </c>
      <c r="L950" s="430">
        <v>1</v>
      </c>
      <c r="M950" s="430" t="s">
        <v>840</v>
      </c>
      <c r="N950" s="432" t="s">
        <v>6202</v>
      </c>
      <c r="O950" s="623" t="s">
        <v>284</v>
      </c>
      <c r="P950" s="623" t="s">
        <v>6209</v>
      </c>
      <c r="Q950" s="623" t="s">
        <v>6210</v>
      </c>
      <c r="R950" s="430" t="str">
        <f>_xlfn.XLOOKUP(PV_DATA[[#This Row],[New Ark SKU]],Table9[New Ark SKU],Table9[Connector],,0)</f>
        <v>EVO2A</v>
      </c>
      <c r="S950" s="433" t="str">
        <f>_xlfn.XLOOKUP(PV_DATA[[#This Row],[New Ark SKU]],Table9[New Ark SKU],Table9[Cable],,0)</f>
        <v>±1200mm</v>
      </c>
      <c r="T950" s="976">
        <v>490</v>
      </c>
      <c r="U950" s="1100">
        <f>936*1</f>
        <v>936</v>
      </c>
      <c r="V950" s="977">
        <f>PV_DATA[[#This Row],[QUANTITY]]*PV_DATA[[#This Row],[WATT]]/1000000</f>
        <v>0.45863999999999999</v>
      </c>
      <c r="W950" s="981">
        <f>PV_DATA[[#This Row],[QUANTITY]]/36</f>
        <v>26</v>
      </c>
      <c r="X950" s="1040">
        <f>PV_DATA[[#This Row],[QUANTITY]]/PV_DATA[[#This Row],[Qty/CT]]</f>
        <v>1</v>
      </c>
      <c r="Y950" s="430" t="s">
        <v>2463</v>
      </c>
      <c r="Z950" s="430" t="str">
        <f t="shared" si="13"/>
        <v>IN-TRANSIT</v>
      </c>
      <c r="AA950" s="1077" t="s">
        <v>5853</v>
      </c>
      <c r="AB950" s="543">
        <v>46264</v>
      </c>
      <c r="AC950" s="485">
        <f>IF(PV_DATA[[#This Row],[Pick- Up Date]]&lt;&gt;"",_xlfn.ISOWEEKNUM(PV_DATA[[#This Row],[Pick- Up Date]]),"")</f>
        <v>35</v>
      </c>
      <c r="AD950" s="623" t="s">
        <v>6324</v>
      </c>
      <c r="AE950" s="623"/>
      <c r="AF950" s="1078" t="s">
        <v>1525</v>
      </c>
      <c r="AG950" s="430" t="s">
        <v>5994</v>
      </c>
      <c r="AH950" s="430" t="s">
        <v>456</v>
      </c>
      <c r="AI950" s="437">
        <v>46262</v>
      </c>
      <c r="AJ950" s="437">
        <f>IFERROR(VLOOKUP(AT950, Vessel!A:D, 4, FALSE), "")</f>
        <v>46269.041666666664</v>
      </c>
      <c r="AK950" s="437">
        <f>IFERROR(IF(VLOOKUP(AT950,Vessel!A:F,5,FALSE)=0,"",VLOOKUP(AT950,Vessel!A:F,5,FALSE)),"")</f>
        <v>46269.101157407407</v>
      </c>
      <c r="AL950" s="1138">
        <v>46299</v>
      </c>
      <c r="AM950" s="949">
        <f>IFERROR(VLOOKUP(AT950, Vessel!A:H, 8, FALSE), "")</f>
        <v>46310.041666666664</v>
      </c>
      <c r="AN950" s="949" t="str">
        <f>IFERROR(IF(VLOOKUP(AT950,Vessel!A:I,9,FALSE)=0,"",VLOOKUP(AT950,Vessel!A:I,9,FALSE)),"")</f>
        <v/>
      </c>
      <c r="AO950" s="438"/>
      <c r="AP950" s="430" t="s">
        <v>6325</v>
      </c>
      <c r="AQ950" s="430" t="s">
        <v>80</v>
      </c>
      <c r="AR950" s="462" t="s">
        <v>6326</v>
      </c>
      <c r="AS950" s="430" t="s">
        <v>6327</v>
      </c>
      <c r="AT950" s="430" t="s">
        <v>6327</v>
      </c>
      <c r="AU9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40.940509259256942</v>
      </c>
      <c r="AW950" s="437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46310.041666666664</v>
      </c>
      <c r="AX95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0" s="437">
        <f>IF(ISERROR(PV_DATA[[#This Row],[New Ark PO status]]),"",_xlfn.XLOOKUP(PV_DATA[[#This Row],[SPTN-PVHK New Ark PO'#]],New_Ark_Data[Purchase order Number],New_Ark_Data[Estimated time of arrival],"",0))</f>
        <v>46307</v>
      </c>
      <c r="AZ95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0" s="437">
        <f>IFERROR(PV_DATA[[#This Row],[ODP ETA Port]]+PV_DATA[[#This Row],[Customs/Leg3 Assumption]],"n/a")</f>
        <v>46310.041666666664</v>
      </c>
      <c r="BB950" s="433">
        <f>YEAR(PV_DATA[[#This Row],[ETA for New Ark update]])</f>
        <v>2026</v>
      </c>
      <c r="BC950" s="430">
        <f>MONTH(PV_DATA[[#This Row],[ETA for New Ark update]])</f>
        <v>10</v>
      </c>
      <c r="BD950" s="430">
        <f>IFERROR(_xlfn.ISOWEEKNUM(PV_DATA[[#This Row],[ETA for New Ark update]]),0)</f>
        <v>42</v>
      </c>
      <c r="BE950" s="430">
        <f>_xlfn.XLOOKUP(PV_DATA[[#This Row],[New Ark SKU]],Table9[New Ark SKU],Table9[Total PCS per Pallet],,0)</f>
        <v>36</v>
      </c>
      <c r="BF950" s="430">
        <f>_xlfn.XLOOKUP(PV_DATA[[#This Row],[New Ark SKU]],Table9[New Ark SKU],Table9[Total PCS per 40HQ Container],,0)</f>
        <v>936</v>
      </c>
      <c r="BG950" s="610" t="str">
        <f>_xlfn.XLOOKUP(PV_DATA[[#This Row],[New Ark SKU]],Table9[New Ark SKU],Table9[Back Glass],,0)</f>
        <v>Black glazing</v>
      </c>
      <c r="BH950" s="979" t="str">
        <f>_xlfn.XLOOKUP(PV_DATA[[#This Row],[PORT DESTINATION]],Table12[PORT DESTINATION],Table12[Cosco Line],,0)</f>
        <v>AEU</v>
      </c>
      <c r="BJ950" s="430"/>
    </row>
    <row r="951" spans="1:62" ht="10.5">
      <c r="A951" s="951" t="s">
        <v>6328</v>
      </c>
      <c r="B951" s="945" t="s">
        <v>1757</v>
      </c>
      <c r="C951" s="462" t="str">
        <f>IFERROR(LEFT(PV_DATA[[#This Row],[TCL REFERENCE]],FIND(".",PV_DATA[[#This Row],[TCL REFERENCE]],1)-1),"Main Line")</f>
        <v>26Aug008</v>
      </c>
      <c r="D951" s="945" t="s">
        <v>63</v>
      </c>
      <c r="E951" s="945" t="s">
        <v>64</v>
      </c>
      <c r="F951" s="462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51" s="945" t="s">
        <v>402</v>
      </c>
      <c r="H951" s="462" t="s">
        <v>451</v>
      </c>
      <c r="I951" s="462" t="s">
        <v>1395</v>
      </c>
      <c r="J951" s="623" t="s">
        <v>6329</v>
      </c>
      <c r="K951" s="430"/>
      <c r="L951" s="432"/>
      <c r="M951" s="430" t="s">
        <v>68</v>
      </c>
      <c r="N951" s="432" t="s">
        <v>6202</v>
      </c>
      <c r="O951" s="623" t="s">
        <v>284</v>
      </c>
      <c r="P951" s="623" t="s">
        <v>6209</v>
      </c>
      <c r="Q951" s="623" t="s">
        <v>6210</v>
      </c>
      <c r="R951" s="430" t="str">
        <f>_xlfn.XLOOKUP(PV_DATA[[#This Row],[New Ark SKU]],Table9[New Ark SKU],Table9[Connector],,0)</f>
        <v>EVO2A</v>
      </c>
      <c r="S951" s="433" t="str">
        <f>_xlfn.XLOOKUP(PV_DATA[[#This Row],[New Ark SKU]],Table9[New Ark SKU],Table9[Cable],,0)</f>
        <v>±1200mm</v>
      </c>
      <c r="T951" s="976">
        <v>490</v>
      </c>
      <c r="U951" s="1100">
        <v>1872</v>
      </c>
      <c r="V951" s="977">
        <f>PV_DATA[[#This Row],[QUANTITY]]*PV_DATA[[#This Row],[WATT]]/1000000</f>
        <v>0.91727999999999998</v>
      </c>
      <c r="W951" s="981">
        <f>PV_DATA[[#This Row],[QUANTITY]]/36</f>
        <v>52</v>
      </c>
      <c r="X951" s="1040">
        <f>PV_DATA[[#This Row],[QUANTITY]]/PV_DATA[[#This Row],[Qty/CT]]</f>
        <v>2</v>
      </c>
      <c r="Y951" s="430" t="s">
        <v>2464</v>
      </c>
      <c r="Z951" s="430" t="str">
        <f t="shared" si="13"/>
        <v>IN-TRANSIT</v>
      </c>
      <c r="AA951" s="1077" t="s">
        <v>5853</v>
      </c>
      <c r="AB951" s="543">
        <v>46264</v>
      </c>
      <c r="AC951" s="485">
        <f>IF(PV_DATA[[#This Row],[Pick- Up Date]]&lt;&gt;"",_xlfn.ISOWEEKNUM(PV_DATA[[#This Row],[Pick- Up Date]]),"")</f>
        <v>35</v>
      </c>
      <c r="AD951" s="430" t="s">
        <v>6330</v>
      </c>
      <c r="AE951" s="430"/>
      <c r="AF951" s="430" t="s">
        <v>1525</v>
      </c>
      <c r="AG951" s="430" t="s">
        <v>5994</v>
      </c>
      <c r="AH951" s="430" t="s">
        <v>456</v>
      </c>
      <c r="AI951" s="437">
        <v>46260</v>
      </c>
      <c r="AJ951" s="437">
        <f>IFERROR(VLOOKUP(AT951, Vessel!A:D, 4, FALSE), "")</f>
        <v>46269.041666666664</v>
      </c>
      <c r="AK951" s="437">
        <f>IFERROR(IF(VLOOKUP(AT951,Vessel!A:F,5,FALSE)=0,"",VLOOKUP(AT951,Vessel!A:F,5,FALSE)),"")</f>
        <v>46269.101157407407</v>
      </c>
      <c r="AL951" s="1138">
        <v>46299</v>
      </c>
      <c r="AM951" s="949">
        <f>IFERROR(VLOOKUP(AT951, Vessel!A:H, 8, FALSE), "")</f>
        <v>46310.041666666664</v>
      </c>
      <c r="AN951" s="949" t="str">
        <f>IFERROR(IF(VLOOKUP(AT951,Vessel!A:I,9,FALSE)=0,"",VLOOKUP(AT951,Vessel!A:I,9,FALSE)),"")</f>
        <v/>
      </c>
      <c r="AO951" s="438"/>
      <c r="AP951" s="430" t="s">
        <v>6325</v>
      </c>
      <c r="AQ951" s="430" t="s">
        <v>80</v>
      </c>
      <c r="AR951" s="462" t="s">
        <v>6331</v>
      </c>
      <c r="AS951" s="430" t="s">
        <v>6332</v>
      </c>
      <c r="AT951" s="430" t="s">
        <v>6332</v>
      </c>
      <c r="AU9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40.940509259256942</v>
      </c>
      <c r="AV951" s="433"/>
      <c r="AW951" s="437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46310.041666666664</v>
      </c>
      <c r="AX95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437">
        <f>IF(ISERROR(PV_DATA[[#This Row],[New Ark PO status]]),"",_xlfn.XLOOKUP(PV_DATA[[#This Row],[SPTN-PVHK New Ark PO'#]],New_Ark_Data[Purchase order Number],New_Ark_Data[Estimated time of arrival],"",0))</f>
        <v>46314</v>
      </c>
      <c r="AZ95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437">
        <f>IFERROR(PV_DATA[[#This Row],[ODP ETA Port]]+PV_DATA[[#This Row],[Customs/Leg3 Assumption]],"n/a")</f>
        <v>46317.041666666664</v>
      </c>
      <c r="BB951" s="433">
        <f>YEAR(PV_DATA[[#This Row],[ETA for New Ark update]])</f>
        <v>2026</v>
      </c>
      <c r="BC951" s="430">
        <f>MONTH(PV_DATA[[#This Row],[ETA for New Ark update]])</f>
        <v>10</v>
      </c>
      <c r="BD951" s="430">
        <f>IFERROR(_xlfn.ISOWEEKNUM(PV_DATA[[#This Row],[ETA for New Ark update]]),0)</f>
        <v>43</v>
      </c>
      <c r="BE951" s="430">
        <f>_xlfn.XLOOKUP(PV_DATA[[#This Row],[New Ark SKU]],Table9[New Ark SKU],Table9[Total PCS per Pallet],,0)</f>
        <v>36</v>
      </c>
      <c r="BF951" s="430">
        <f>_xlfn.XLOOKUP(PV_DATA[[#This Row],[New Ark SKU]],Table9[New Ark SKU],Table9[Total PCS per 40HQ Container],,0)</f>
        <v>936</v>
      </c>
      <c r="BG951" s="430" t="str">
        <f>_xlfn.XLOOKUP(PV_DATA[[#This Row],[New Ark SKU]],Table9[New Ark SKU],Table9[Back Glass],,0)</f>
        <v>Black glazing</v>
      </c>
      <c r="BH951" s="610" t="str">
        <f>_xlfn.XLOOKUP(PV_DATA[[#This Row],[PORT DESTINATION]],Table12[PORT DESTINATION],Table12[Cosco Line],,0)</f>
        <v>AEU</v>
      </c>
      <c r="BJ951" s="430"/>
    </row>
    <row r="952" spans="1:62" s="462" customFormat="1" ht="10.5">
      <c r="A952" s="729" t="s">
        <v>6333</v>
      </c>
      <c r="B952" s="945" t="s">
        <v>111</v>
      </c>
      <c r="C952" s="945" t="str">
        <f>IFERROR(LEFT(PV_DATA[[#This Row],[TCL REFERENCE]],FIND(".",PV_DATA[[#This Row],[TCL REFERENCE]],1)-1),"Main Line")</f>
        <v>26Aug002</v>
      </c>
      <c r="D952" s="462" t="s">
        <v>63</v>
      </c>
      <c r="E952" s="462" t="s">
        <v>64</v>
      </c>
      <c r="F952" s="462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52" s="462" t="s">
        <v>402</v>
      </c>
      <c r="H952" s="462" t="s">
        <v>311</v>
      </c>
      <c r="I952" s="462" t="s">
        <v>689</v>
      </c>
      <c r="J952" s="462" t="s">
        <v>96</v>
      </c>
      <c r="M952" s="462" t="s">
        <v>6315</v>
      </c>
      <c r="N952" s="712">
        <v>46215</v>
      </c>
      <c r="O952" s="945" t="s">
        <v>550</v>
      </c>
      <c r="P952" s="945" t="s">
        <v>2134</v>
      </c>
      <c r="Q952" s="945" t="s">
        <v>2135</v>
      </c>
      <c r="R952" s="430" t="str">
        <f>_xlfn.XLOOKUP(PV_DATA[[#This Row],[New Ark SKU]],Table9[New Ark SKU],Table9[Connector],,0)</f>
        <v>EVO2A</v>
      </c>
      <c r="S952" s="433" t="str">
        <f>_xlfn.XLOOKUP(PV_DATA[[#This Row],[New Ark SKU]],Table9[New Ark SKU],Table9[Cable],,0)</f>
        <v>±1350mm</v>
      </c>
      <c r="T952" s="952">
        <v>515</v>
      </c>
      <c r="U952" s="1095">
        <v>792</v>
      </c>
      <c r="V952" s="953">
        <f>PV_DATA[[#This Row],[QUANTITY]]*PV_DATA[[#This Row],[WATT]]/1000000</f>
        <v>0.40788000000000002</v>
      </c>
      <c r="W952" s="954">
        <f>PV_DATA[[#This Row],[QUANTITY]]/PV_DATA[[#This Row],[Qty/Pallet]]</f>
        <v>22</v>
      </c>
      <c r="X952" s="1042">
        <f>PV_DATA[[#This Row],[QUANTITY]]/PV_DATA[[#This Row],[Qty/CT]]</f>
        <v>1</v>
      </c>
      <c r="Y952" s="462" t="s">
        <v>2465</v>
      </c>
      <c r="Z952" s="462" t="str">
        <f t="shared" si="13"/>
        <v>IN-TRANSIT</v>
      </c>
      <c r="AA952" s="623" t="s">
        <v>5853</v>
      </c>
      <c r="AB952" s="971">
        <v>46252</v>
      </c>
      <c r="AC952" s="1066">
        <f>IF(PV_DATA[[#This Row],[Pick- Up Date]]&lt;&gt;"",_xlfn.ISOWEEKNUM(PV_DATA[[#This Row],[Pick- Up Date]]),"")</f>
        <v>34</v>
      </c>
      <c r="AD952" s="945" t="s">
        <v>6334</v>
      </c>
      <c r="AE952" s="945" t="s">
        <v>6334</v>
      </c>
      <c r="AF952" s="462" t="s">
        <v>1525</v>
      </c>
      <c r="AG952" s="462" t="s">
        <v>5994</v>
      </c>
      <c r="AH952" s="462" t="s">
        <v>1561</v>
      </c>
      <c r="AI952" s="971">
        <v>46254</v>
      </c>
      <c r="AJ952" s="713">
        <f>IFERROR(VLOOKUP(AT952, Vessel!A:D, 4, FALSE), "")</f>
        <v>46257.291666666664</v>
      </c>
      <c r="AK952" s="713">
        <f>IFERROR(IF(VLOOKUP(AT952,Vessel!A:F,5,FALSE)=0,"",VLOOKUP(AT952,Vessel!A:F,5,FALSE)),"")</f>
        <v>46257.156030092592</v>
      </c>
      <c r="AL952" s="1139">
        <v>46308</v>
      </c>
      <c r="AM952" s="1191">
        <f>IFERROR(VLOOKUP(AT952, Vessel!A:H, 8, FALSE), "")</f>
        <v>46308.75</v>
      </c>
      <c r="AN952" s="949" t="str">
        <f>IFERROR(IF(VLOOKUP(AT952,Vessel!A:I,9,FALSE)=0,"",VLOOKUP(AT952,Vessel!A:I,9,FALSE)),"")</f>
        <v/>
      </c>
      <c r="AO952" s="945"/>
      <c r="AP952" s="945" t="s">
        <v>6099</v>
      </c>
      <c r="AQ952" s="950" t="s">
        <v>80</v>
      </c>
      <c r="AR952" s="945" t="s">
        <v>6335</v>
      </c>
      <c r="AS952" s="945" t="s">
        <v>6336</v>
      </c>
      <c r="AT952" s="462" t="s">
        <v>6336</v>
      </c>
      <c r="AU9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51.593969907407882</v>
      </c>
      <c r="AV952" s="945"/>
      <c r="AW952" s="971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95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971">
        <f>IF(ISERROR(PV_DATA[[#This Row],[New Ark PO status]]),"",_xlfn.XLOOKUP(PV_DATA[[#This Row],[SPTN-PVHK New Ark PO'#]],New_Ark_Data[Purchase order Number],New_Ark_Data[Estimated time of arrival],"",0))</f>
        <v>46310</v>
      </c>
      <c r="AZ952" s="95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52" s="971">
        <f>IFERROR(PV_DATA[[#This Row],[ODP ETA Port]]+PV_DATA[[#This Row],[Customs/Leg3 Assumption]],"n/a")</f>
        <v>46318.75</v>
      </c>
      <c r="BB952" s="952">
        <f>YEAR(PV_DATA[[#This Row],[ETA for New Ark update]])</f>
        <v>2026</v>
      </c>
      <c r="BC952" s="945">
        <f>MONTH(PV_DATA[[#This Row],[ETA for New Ark update]])</f>
        <v>10</v>
      </c>
      <c r="BD952" s="945">
        <f>IFERROR(_xlfn.ISOWEEKNUM(PV_DATA[[#This Row],[ETA for New Ark update]]),0)</f>
        <v>43</v>
      </c>
      <c r="BE952" s="945">
        <f>_xlfn.XLOOKUP(PV_DATA[[#This Row],[New Ark SKU]],Table9[New Ark SKU],Table9[Total PCS per Pallet],,0)</f>
        <v>36</v>
      </c>
      <c r="BF952" s="945">
        <f>_xlfn.XLOOKUP(PV_DATA[[#This Row],[New Ark SKU]],Table9[New Ark SKU],Table9[Total PCS per 40HQ Container],,0)</f>
        <v>792</v>
      </c>
      <c r="BG952" s="462" t="str">
        <f>_xlfn.XLOOKUP(PV_DATA[[#This Row],[New Ark SKU]],Table9[New Ark SKU],Table9[Back Glass],,0)</f>
        <v>Black glazing</v>
      </c>
      <c r="BH952" s="1067" t="str">
        <f>_xlfn.XLOOKUP(PV_DATA[[#This Row],[PORT DESTINATION]],Table12[PORT DESTINATION],Table12[Cosco Line],,0)</f>
        <v>AEM</v>
      </c>
    </row>
    <row r="953" spans="1:62" s="857" customFormat="1" ht="10.5">
      <c r="A953" s="856" t="s">
        <v>6337</v>
      </c>
      <c r="B953" s="856" t="s">
        <v>1757</v>
      </c>
      <c r="C953" s="856" t="str">
        <f>IFERROR(LEFT(PV_DATA[[#This Row],[TCL REFERENCE]],FIND(".",PV_DATA[[#This Row],[TCL REFERENCE]],1)-1),"Main Line")</f>
        <v>26Jul008</v>
      </c>
      <c r="D953" s="856" t="s">
        <v>63</v>
      </c>
      <c r="E953" s="856" t="s">
        <v>6338</v>
      </c>
      <c r="F953" s="856" t="str" cm="1">
        <f t="array" ref="F9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3" s="856" t="s">
        <v>402</v>
      </c>
      <c r="H953" s="856" t="s">
        <v>67</v>
      </c>
      <c r="I953" s="856" t="s">
        <v>1395</v>
      </c>
      <c r="J953" s="462" t="s">
        <v>6339</v>
      </c>
      <c r="K953" s="857" t="s">
        <v>6340</v>
      </c>
      <c r="L953" s="857">
        <v>1</v>
      </c>
      <c r="M953" s="857" t="s">
        <v>6275</v>
      </c>
      <c r="N953" s="956">
        <v>46209</v>
      </c>
      <c r="O953" s="857" t="s">
        <v>4531</v>
      </c>
      <c r="P953" s="857" t="s">
        <v>1151</v>
      </c>
      <c r="Q953" s="857" t="s">
        <v>421</v>
      </c>
      <c r="R953" s="430" t="str">
        <f>_xlfn.XLOOKUP(PV_DATA[[#This Row],[New Ark SKU]],Table9[New Ark SKU],Table9[Connector],,0)</f>
        <v>EVO2A</v>
      </c>
      <c r="S953" s="433" t="str">
        <f>_xlfn.XLOOKUP(PV_DATA[[#This Row],[New Ark SKU]],Table9[New Ark SKU],Table9[Cable],,0)</f>
        <v>±1200mm</v>
      </c>
      <c r="T953" s="858">
        <v>505</v>
      </c>
      <c r="U953" s="1102">
        <v>864</v>
      </c>
      <c r="V953" s="859">
        <f>PV_DATA[[#This Row],[QUANTITY]]*PV_DATA[[#This Row],[WATT]]/1000000</f>
        <v>0.43631999999999999</v>
      </c>
      <c r="W953" s="860">
        <f>PV_DATA[[#This Row],[QUANTITY]]/PV_DATA[[#This Row],[Qty/Pallet]]</f>
        <v>24</v>
      </c>
      <c r="X953" s="1054">
        <f>PV_DATA[[#This Row],[QUANTITY]]/PV_DATA[[#This Row],[Qty/CT]]</f>
        <v>1</v>
      </c>
      <c r="Y953" s="857" t="s">
        <v>2463</v>
      </c>
      <c r="Z953" s="857" t="str">
        <f t="shared" si="13"/>
        <v>IN-TRANSIT</v>
      </c>
      <c r="AB953" s="861">
        <v>46266</v>
      </c>
      <c r="AC953" s="862">
        <f>IF(PV_DATA[[#This Row],[Pick- Up Date]]&lt;&gt;"",_xlfn.ISOWEEKNUM(PV_DATA[[#This Row],[Pick- Up Date]]),"")</f>
        <v>36</v>
      </c>
      <c r="AD953" s="857" t="s">
        <v>6341</v>
      </c>
      <c r="AF953" s="955" t="s">
        <v>1525</v>
      </c>
      <c r="AG953" s="955" t="s">
        <v>1525</v>
      </c>
      <c r="AH953" s="857" t="s">
        <v>78</v>
      </c>
      <c r="AI953" s="861">
        <v>46261</v>
      </c>
      <c r="AJ953" s="861">
        <v>46267</v>
      </c>
      <c r="AK953" s="861">
        <f>IFERROR(IF(VLOOKUP(AT953,Vessel!A:F,5,FALSE)=0,"",VLOOKUP(AT953,Vessel!A:F,5,FALSE)),"")</f>
        <v>46270.062141203707</v>
      </c>
      <c r="AL953" s="861">
        <v>46307</v>
      </c>
      <c r="AM953" s="1282">
        <f>IFERROR(VLOOKUP(AT953, Vessel!A:H, 8, FALSE), "")</f>
        <v>46320.25</v>
      </c>
      <c r="AN953" s="1282" t="str">
        <f>IFERROR(IF(VLOOKUP(AT953,Vessel!A:I,9,FALSE)=0,"",VLOOKUP(AT953,Vessel!A:I,9,FALSE)),"")</f>
        <v/>
      </c>
      <c r="AP953" s="857" t="s">
        <v>6067</v>
      </c>
      <c r="AQ953" s="857" t="s">
        <v>80</v>
      </c>
      <c r="AR953" s="857" t="s">
        <v>6342</v>
      </c>
      <c r="AS953" s="857" t="s">
        <v>6343</v>
      </c>
      <c r="AT953" s="857" t="s">
        <v>6343</v>
      </c>
      <c r="AU953" s="85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50.187858796292858</v>
      </c>
      <c r="AW953" s="861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953" s="128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3" s="861">
        <f>IF(ISERROR(PV_DATA[[#This Row],[New Ark PO status]]),"",_xlfn.XLOOKUP(PV_DATA[[#This Row],[SPTN-PVHK New Ark PO'#]],New_Ark_Data[Purchase order Number],New_Ark_Data[Estimated time of arrival],"",0))</f>
        <v>46311</v>
      </c>
      <c r="AZ953" s="8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3" s="861">
        <f>IFERROR(PV_DATA[[#This Row],[ODP ETA Port]]+PV_DATA[[#This Row],[Customs/Leg3 Assumption]],"n/a")</f>
        <v>46328.25</v>
      </c>
      <c r="BB953" s="858">
        <f>YEAR(PV_DATA[[#This Row],[ETA for New Ark update]])</f>
        <v>2026</v>
      </c>
      <c r="BC953" s="857">
        <f>MONTH(PV_DATA[[#This Row],[ETA for New Ark update]])</f>
        <v>11</v>
      </c>
      <c r="BD953" s="857">
        <f>IFERROR(_xlfn.ISOWEEKNUM(PV_DATA[[#This Row],[ETA for New Ark update]]),0)</f>
        <v>45</v>
      </c>
      <c r="BE953" s="857">
        <f>_xlfn.XLOOKUP(PV_DATA[[#This Row],[New Ark SKU]],Table9[New Ark SKU],Table9[Total PCS per Pallet],,0)</f>
        <v>36</v>
      </c>
      <c r="BF953" s="857">
        <f>_xlfn.XLOOKUP(PV_DATA[[#This Row],[New Ark SKU]],Table9[New Ark SKU],Table9[Total PCS per 40HQ Container],,0)</f>
        <v>864</v>
      </c>
      <c r="BG953" s="857" t="str">
        <f>_xlfn.XLOOKUP(PV_DATA[[#This Row],[New Ark SKU]],Table9[New Ark SKU],Table9[Back Glass],,0)</f>
        <v>Black glazing</v>
      </c>
      <c r="BH953" s="857" t="str">
        <f>_xlfn.XLOOKUP(PV_DATA[[#This Row],[PORT DESTINATION]],Table12[PORT DESTINATION],Table12[Cosco Line],,0)</f>
        <v>AEM</v>
      </c>
    </row>
    <row r="954" spans="1:62" s="462" customFormat="1" ht="10.5">
      <c r="A954" s="462" t="s">
        <v>6344</v>
      </c>
      <c r="B954" s="462" t="s">
        <v>1757</v>
      </c>
      <c r="C954" s="462" t="str">
        <f>IFERROR(LEFT(PV_DATA[[#This Row],[TCL REFERENCE]],FIND(".",PV_DATA[[#This Row],[TCL REFERENCE]],1)-1),"Main Line")</f>
        <v>26Jul008</v>
      </c>
      <c r="D954" s="462" t="s">
        <v>63</v>
      </c>
      <c r="E954" s="462" t="s">
        <v>144</v>
      </c>
      <c r="F954" s="462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4" s="462" t="s">
        <v>146</v>
      </c>
      <c r="H954" s="462" t="s">
        <v>4964</v>
      </c>
      <c r="I954" s="462" t="s">
        <v>1395</v>
      </c>
      <c r="J954" s="462" t="s">
        <v>4964</v>
      </c>
      <c r="K954" s="462" t="s">
        <v>6340</v>
      </c>
      <c r="L954" s="462">
        <v>5</v>
      </c>
      <c r="M954" s="462" t="s">
        <v>6275</v>
      </c>
      <c r="N954" s="712">
        <v>46209</v>
      </c>
      <c r="O954" s="462" t="s">
        <v>4531</v>
      </c>
      <c r="P954" s="462" t="s">
        <v>1151</v>
      </c>
      <c r="Q954" s="462" t="s">
        <v>421</v>
      </c>
      <c r="R954" s="430" t="str">
        <f>_xlfn.XLOOKUP(PV_DATA[[#This Row],[New Ark SKU]],Table9[New Ark SKU],Table9[Connector],,0)</f>
        <v>EVO2A</v>
      </c>
      <c r="S954" s="433" t="str">
        <f>_xlfn.XLOOKUP(PV_DATA[[#This Row],[New Ark SKU]],Table9[New Ark SKU],Table9[Cable],,0)</f>
        <v>±1200mm</v>
      </c>
      <c r="T954" s="946">
        <v>505</v>
      </c>
      <c r="U954" s="1095">
        <v>864</v>
      </c>
      <c r="V954" s="458">
        <f>PV_DATA[[#This Row],[QUANTITY]]*PV_DATA[[#This Row],[WATT]]/1000000</f>
        <v>0.43631999999999999</v>
      </c>
      <c r="W954" s="714">
        <f>PV_DATA[[#This Row],[QUANTITY]]/PV_DATA[[#This Row],[Qty/Pallet]]</f>
        <v>24</v>
      </c>
      <c r="X954" s="1042">
        <f>PV_DATA[[#This Row],[QUANTITY]]/PV_DATA[[#This Row],[Qty/CT]]</f>
        <v>1</v>
      </c>
      <c r="Y954" s="462" t="s">
        <v>2463</v>
      </c>
      <c r="Z954" s="462" t="str">
        <f t="shared" si="13"/>
        <v>COMPLETED</v>
      </c>
      <c r="AB954" s="713">
        <v>46245</v>
      </c>
      <c r="AC954" s="947">
        <f>IF(PV_DATA[[#This Row],[Pick- Up Date]]&lt;&gt;"",_xlfn.ISOWEEKNUM(PV_DATA[[#This Row],[Pick- Up Date]]),"")</f>
        <v>33</v>
      </c>
      <c r="AD954" s="462" t="s">
        <v>6345</v>
      </c>
      <c r="AF954" s="462" t="s">
        <v>1525</v>
      </c>
      <c r="AG954" s="462" t="s">
        <v>1525</v>
      </c>
      <c r="AH954" s="462" t="s">
        <v>78</v>
      </c>
      <c r="AI954" s="713">
        <v>46251</v>
      </c>
      <c r="AJ954" s="713"/>
      <c r="AK954" s="713">
        <f>IFERROR(IF(VLOOKUP(AT954,Vessel!A:F,5,FALSE)=0,"",VLOOKUP(AT954,Vessel!A:F,5,FALSE)),"")</f>
        <v>46254.01357638889</v>
      </c>
      <c r="AL954" s="713">
        <v>46295</v>
      </c>
      <c r="AM954" s="949">
        <f>IFERROR(VLOOKUP(AT954, Vessel!A:H, 8, FALSE), "")</f>
        <v>46297.25</v>
      </c>
      <c r="AN954" s="949">
        <v>46296</v>
      </c>
      <c r="AP954" s="462" t="s">
        <v>6346</v>
      </c>
      <c r="AQ954" s="462" t="s">
        <v>80</v>
      </c>
      <c r="AR954" s="945" t="s">
        <v>6347</v>
      </c>
      <c r="AS954" s="462" t="s">
        <v>6348</v>
      </c>
      <c r="AT954" s="462" t="s">
        <v>6348</v>
      </c>
      <c r="AU9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41.986423611109785</v>
      </c>
      <c r="AW954" s="713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5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4" s="713">
        <f>IF(ISERROR(PV_DATA[[#This Row],[New Ark PO status]]),"",_xlfn.XLOOKUP(PV_DATA[[#This Row],[SPTN-PVHK New Ark PO'#]],New_Ark_Data[Purchase order Number],New_Ark_Data[Estimated time of arrival],"",0))</f>
        <v>46295</v>
      </c>
      <c r="AZ954" s="9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4" s="713">
        <f>IFERROR(PV_DATA[[#This Row],[ODP ETA Port]]+PV_DATA[[#This Row],[Customs/Leg3 Assumption]],"n/a")</f>
        <v>46296</v>
      </c>
      <c r="BB954" s="946">
        <f>YEAR(PV_DATA[[#This Row],[ETA for New Ark update]])</f>
        <v>2026</v>
      </c>
      <c r="BC954" s="462">
        <f>MONTH(PV_DATA[[#This Row],[ETA for New Ark update]])</f>
        <v>10</v>
      </c>
      <c r="BD954" s="462">
        <f>IFERROR(_xlfn.ISOWEEKNUM(PV_DATA[[#This Row],[ETA for New Ark update]]),0)</f>
        <v>40</v>
      </c>
      <c r="BE954" s="462">
        <f>_xlfn.XLOOKUP(PV_DATA[[#This Row],[New Ark SKU]],Table9[New Ark SKU],Table9[Total PCS per Pallet],,0)</f>
        <v>36</v>
      </c>
      <c r="BF954" s="462">
        <f>_xlfn.XLOOKUP(PV_DATA[[#This Row],[New Ark SKU]],Table9[New Ark SKU],Table9[Total PCS per 40HQ Container],,0)</f>
        <v>864</v>
      </c>
      <c r="BG954" s="462" t="str">
        <f>_xlfn.XLOOKUP(PV_DATA[[#This Row],[New Ark SKU]],Table9[New Ark SKU],Table9[Back Glass],,0)</f>
        <v>Black glazing</v>
      </c>
      <c r="BH954" s="462" t="str">
        <f>_xlfn.XLOOKUP(PV_DATA[[#This Row],[PORT DESTINATION]],Table12[PORT DESTINATION],Table12[Cosco Line],,0)</f>
        <v>AEM</v>
      </c>
    </row>
    <row r="955" spans="1:62" ht="10.5">
      <c r="A955" s="439" t="s">
        <v>6349</v>
      </c>
      <c r="B955" s="439" t="s">
        <v>1757</v>
      </c>
      <c r="C955" s="439" t="str">
        <f>IFERROR(LEFT(PV_DATA[[#This Row],[TCL REFERENCE]],FIND(".",PV_DATA[[#This Row],[TCL REFERENCE]],1)-1),"Main Line")</f>
        <v>26Jun011</v>
      </c>
      <c r="D955" s="439" t="s">
        <v>63</v>
      </c>
      <c r="E955" s="439" t="s">
        <v>64</v>
      </c>
      <c r="F955" s="462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5" s="439" t="s">
        <v>402</v>
      </c>
      <c r="H955" s="439" t="s">
        <v>67</v>
      </c>
      <c r="I955" s="439" t="s">
        <v>689</v>
      </c>
      <c r="J955" s="431" t="s">
        <v>96</v>
      </c>
      <c r="K955" s="431"/>
      <c r="L955" s="431"/>
      <c r="M955" s="430" t="s">
        <v>6315</v>
      </c>
      <c r="N955" s="461">
        <v>46195</v>
      </c>
      <c r="O955" s="431" t="s">
        <v>4531</v>
      </c>
      <c r="P955" s="431" t="s">
        <v>71</v>
      </c>
      <c r="Q955" s="431" t="s">
        <v>72</v>
      </c>
      <c r="R955" s="430" t="str">
        <f>_xlfn.XLOOKUP(PV_DATA[[#This Row],[New Ark SKU]],Table9[New Ark SKU],Table9[Connector],,0)</f>
        <v>EVO2A</v>
      </c>
      <c r="S955" s="433" t="str">
        <f>_xlfn.XLOOKUP(PV_DATA[[#This Row],[New Ark SKU]],Table9[New Ark SKU],Table9[Cable],,0)</f>
        <v>±1200mm</v>
      </c>
      <c r="T955" s="442">
        <v>500</v>
      </c>
      <c r="U955" s="1093">
        <v>864</v>
      </c>
      <c r="V955" s="448">
        <f>PV_DATA[[#This Row],[QUANTITY]]*PV_DATA[[#This Row],[WATT]]/1000000</f>
        <v>0.432</v>
      </c>
      <c r="W955" s="466">
        <f>PV_DATA[[#This Row],[QUANTITY]]/PV_DATA[[#This Row],[Qty/Pallet]]</f>
        <v>24</v>
      </c>
      <c r="X955" s="1044">
        <f>PV_DATA[[#This Row],[QUANTITY]]/PV_DATA[[#This Row],[Qty/CT]]</f>
        <v>1</v>
      </c>
      <c r="Y955" s="431" t="s">
        <v>2461</v>
      </c>
      <c r="Z955" s="430" t="str">
        <f t="shared" si="13"/>
        <v>IN-TRANSIT</v>
      </c>
      <c r="AA955" s="431" t="s">
        <v>5630</v>
      </c>
      <c r="AB955" s="441">
        <v>46269</v>
      </c>
      <c r="AC955" s="467">
        <f>IF(PV_DATA[[#This Row],[Pick- Up Date]]&lt;&gt;"",_xlfn.ISOWEEKNUM(PV_DATA[[#This Row],[Pick- Up Date]]),"")</f>
        <v>36</v>
      </c>
      <c r="AD955" s="431" t="s">
        <v>6350</v>
      </c>
      <c r="AE955" s="431"/>
      <c r="AF955" s="447" t="s">
        <v>1525</v>
      </c>
      <c r="AG955" s="447" t="s">
        <v>1525</v>
      </c>
      <c r="AH955" s="431" t="s">
        <v>78</v>
      </c>
      <c r="AI955" s="441">
        <v>46265</v>
      </c>
      <c r="AJ955" s="437">
        <f>IFERROR(VLOOKUP(AT955, Vessel!A:D, 4, FALSE), "")</f>
        <v>46275</v>
      </c>
      <c r="AK955" s="437">
        <f>IFERROR(IF(VLOOKUP(AT955,Vessel!A:F,5,FALSE)=0,"",VLOOKUP(AT955,Vessel!A:F,5,FALSE)),"")</f>
        <v>46275.042812500003</v>
      </c>
      <c r="AL955" s="441">
        <v>46314</v>
      </c>
      <c r="AM955" s="949">
        <f>IFERROR(VLOOKUP(AT955, Vessel!A:H, 8, FALSE), "")</f>
        <v>46323.791666666664</v>
      </c>
      <c r="AN955" s="949" t="str">
        <f>IFERROR(IF(VLOOKUP(AT955,Vessel!A:I,9,FALSE)=0,"",VLOOKUP(AT955,Vessel!A:I,9,FALSE)),"")</f>
        <v/>
      </c>
      <c r="AO955" s="431"/>
      <c r="AP955" s="431" t="s">
        <v>6351</v>
      </c>
      <c r="AQ955" s="431" t="s">
        <v>80</v>
      </c>
      <c r="AR955" s="431" t="s">
        <v>6352</v>
      </c>
      <c r="AS955" s="431" t="s">
        <v>6353</v>
      </c>
      <c r="AT955" s="431" t="s">
        <v>6353</v>
      </c>
      <c r="AU9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48.748854166660749</v>
      </c>
      <c r="AV955" s="441"/>
      <c r="AW955" s="441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5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5" s="441" t="str">
        <f>IF(ISERROR(PV_DATA[[#This Row],[New Ark PO status]]),"",_xlfn.XLOOKUP(PV_DATA[[#This Row],[SPTN-PVHK New Ark PO'#]],New_Ark_Data[Purchase order Number],New_Ark_Data[Estimated time of arrival],"",0))</f>
        <v/>
      </c>
      <c r="AZ95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5" s="441">
        <f>IFERROR(PV_DATA[[#This Row],[ODP ETA Port]]+PV_DATA[[#This Row],[Customs/Leg3 Assumption]],"n/a")</f>
        <v>46331.791666666664</v>
      </c>
      <c r="BB955" s="442">
        <f>YEAR(PV_DATA[[#This Row],[ETA for New Ark update]])</f>
        <v>2026</v>
      </c>
      <c r="BC955" s="431">
        <f>MONTH(PV_DATA[[#This Row],[ETA for New Ark update]])</f>
        <v>11</v>
      </c>
      <c r="BD955" s="431">
        <f>IFERROR(_xlfn.ISOWEEKNUM(PV_DATA[[#This Row],[ETA for New Ark update]]),0)</f>
        <v>45</v>
      </c>
      <c r="BE955" s="431">
        <f>_xlfn.XLOOKUP(PV_DATA[[#This Row],[New Ark SKU]],Table9[New Ark SKU],Table9[Total PCS per Pallet],,0)</f>
        <v>36</v>
      </c>
      <c r="BF955" s="431">
        <f>_xlfn.XLOOKUP(PV_DATA[[#This Row],[New Ark SKU]],Table9[New Ark SKU],Table9[Total PCS per 40HQ Container],,0)</f>
        <v>864</v>
      </c>
      <c r="BG955" s="431" t="str">
        <f>_xlfn.XLOOKUP(PV_DATA[[#This Row],[New Ark SKU]],Table9[New Ark SKU],Table9[Back Glass],,0)</f>
        <v>Black glazing</v>
      </c>
      <c r="BH955" s="431" t="str">
        <f>_xlfn.XLOOKUP(PV_DATA[[#This Row],[PORT DESTINATION]],Table12[PORT DESTINATION],Table12[Cosco Line],,0)</f>
        <v>AEM</v>
      </c>
      <c r="BJ955" s="430"/>
    </row>
    <row r="956" spans="1:62" ht="11.15" customHeight="1">
      <c r="A956" s="462" t="s">
        <v>6354</v>
      </c>
      <c r="B956" s="462" t="s">
        <v>1757</v>
      </c>
      <c r="C956" s="462" t="str">
        <f>IFERROR(LEFT(PV_DATA[[#This Row],[TCL REFERENCE]],FIND(".",PV_DATA[[#This Row],[TCL REFERENCE]],1)-1),"Main Line")</f>
        <v>26Aug007</v>
      </c>
      <c r="D956" s="462" t="s">
        <v>63</v>
      </c>
      <c r="E956" s="462" t="s">
        <v>144</v>
      </c>
      <c r="F956" s="945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6" s="945" t="s">
        <v>402</v>
      </c>
      <c r="H956" s="462" t="s">
        <v>6200</v>
      </c>
      <c r="I956" s="462" t="s">
        <v>689</v>
      </c>
      <c r="J956" s="430" t="s">
        <v>6200</v>
      </c>
      <c r="K956" s="430" t="s">
        <v>6224</v>
      </c>
      <c r="L956" s="430">
        <v>7</v>
      </c>
      <c r="M956" s="430" t="s">
        <v>840</v>
      </c>
      <c r="N956" s="432" t="s">
        <v>6202</v>
      </c>
      <c r="O956" s="430" t="s">
        <v>284</v>
      </c>
      <c r="P956" s="430" t="s">
        <v>5851</v>
      </c>
      <c r="Q956" s="430" t="s">
        <v>5852</v>
      </c>
      <c r="R956" s="430" t="str">
        <f>_xlfn.XLOOKUP(PV_DATA[[#This Row],[New Ark SKU]],Table9[New Ark SKU],Table9[Connector],,0)</f>
        <v>EVO2A</v>
      </c>
      <c r="S956" s="433" t="str">
        <f>_xlfn.XLOOKUP(PV_DATA[[#This Row],[New Ark SKU]],Table9[New Ark SKU],Table9[Cable],,0)</f>
        <v>±1200mm</v>
      </c>
      <c r="T956" s="433">
        <v>485</v>
      </c>
      <c r="U956" s="1088">
        <v>1872</v>
      </c>
      <c r="V956" s="434">
        <f>PV_DATA[[#This Row],[QUANTITY]]*PV_DATA[[#This Row],[WATT]]/1000000</f>
        <v>0.90791999999999995</v>
      </c>
      <c r="W956" s="981">
        <f>PV_DATA[[#This Row],[QUANTITY]]/36</f>
        <v>52</v>
      </c>
      <c r="X956" s="1040">
        <f>PV_DATA[[#This Row],[QUANTITY]]/PV_DATA[[#This Row],[Qty/CT]]</f>
        <v>2</v>
      </c>
      <c r="Y956" s="430" t="s">
        <v>2465</v>
      </c>
      <c r="Z956" s="430" t="str">
        <f t="shared" si="13"/>
        <v>IN-TRANSIT</v>
      </c>
      <c r="AA956" s="545">
        <v>46255</v>
      </c>
      <c r="AB956" s="437">
        <v>46255</v>
      </c>
      <c r="AC956" s="485">
        <f>IF(PV_DATA[[#This Row],[Pick- Up Date]]&lt;&gt;"",_xlfn.ISOWEEKNUM(PV_DATA[[#This Row],[Pick- Up Date]]),"")</f>
        <v>34</v>
      </c>
      <c r="AD956" s="430" t="s">
        <v>6355</v>
      </c>
      <c r="AE956" s="430"/>
      <c r="AF956" s="430" t="s">
        <v>1525</v>
      </c>
      <c r="AG956" s="430" t="s">
        <v>5994</v>
      </c>
      <c r="AH956" s="430" t="s">
        <v>456</v>
      </c>
      <c r="AI956" s="713">
        <v>46259</v>
      </c>
      <c r="AK956" s="437">
        <f>IFERROR(IF(VLOOKUP(AT956,Vessel!A:F,5,FALSE)=0,"",VLOOKUP(AT956,Vessel!A:F,5,FALSE)),"")</f>
        <v>46260.478738425925</v>
      </c>
      <c r="AL956" s="1138">
        <v>46296</v>
      </c>
      <c r="AM956" s="949">
        <f>IFERROR(VLOOKUP(AT956, Vessel!A:H, 8, FALSE), "")</f>
        <v>46305.5</v>
      </c>
      <c r="AN956" s="949" t="str">
        <f>IFERROR(IF(VLOOKUP(AT956,Vessel!A:I,9,FALSE)=0,"",VLOOKUP(AT956,Vessel!A:I,9,FALSE)),"")</f>
        <v/>
      </c>
      <c r="AP956" s="430" t="s">
        <v>6356</v>
      </c>
      <c r="AQ956" s="430" t="s">
        <v>80</v>
      </c>
      <c r="AR956" s="430" t="s">
        <v>6357</v>
      </c>
      <c r="AS956" s="430" t="s">
        <v>6358</v>
      </c>
      <c r="AT956" s="430" t="s">
        <v>6358</v>
      </c>
      <c r="AU9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45.021261574074742</v>
      </c>
      <c r="AW956" s="437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46305.5</v>
      </c>
      <c r="AX95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6" s="437">
        <f>IF(ISERROR(PV_DATA[[#This Row],[New Ark PO status]]),"",_xlfn.XLOOKUP(PV_DATA[[#This Row],[SPTN-PVHK New Ark PO'#]],New_Ark_Data[Purchase order Number],New_Ark_Data[Estimated time of arrival],"",0))</f>
        <v>46296</v>
      </c>
      <c r="AZ95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6" s="437">
        <f>IFERROR(PV_DATA[[#This Row],[ODP ETA Port]]+PV_DATA[[#This Row],[Customs/Leg3 Assumption]],"n/a")</f>
        <v>46305.5</v>
      </c>
      <c r="BB956" s="433">
        <f>YEAR(PV_DATA[[#This Row],[ETA for New Ark update]])</f>
        <v>2026</v>
      </c>
      <c r="BC956" s="430">
        <f>MONTH(PV_DATA[[#This Row],[ETA for New Ark update]])</f>
        <v>10</v>
      </c>
      <c r="BD956" s="430">
        <f>IFERROR(_xlfn.ISOWEEKNUM(PV_DATA[[#This Row],[ETA for New Ark update]]),0)</f>
        <v>41</v>
      </c>
      <c r="BE956" s="430">
        <f>_xlfn.XLOOKUP(PV_DATA[[#This Row],[New Ark SKU]],Table9[New Ark SKU],Table9[Total PCS per Pallet],,0)</f>
        <v>36</v>
      </c>
      <c r="BF956" s="430">
        <f>_xlfn.XLOOKUP(PV_DATA[[#This Row],[New Ark SKU]],Table9[New Ark SKU],Table9[Total PCS per 40HQ Container],,0)</f>
        <v>936</v>
      </c>
      <c r="BG956" s="430" t="str">
        <f>_xlfn.XLOOKUP(PV_DATA[[#This Row],[New Ark SKU]],Table9[New Ark SKU],Table9[Back Glass],,0)</f>
        <v>Black glazing</v>
      </c>
      <c r="BH956" s="610" t="str">
        <f>_xlfn.XLOOKUP(PV_DATA[[#This Row],[PORT DESTINATION]],Table12[PORT DESTINATION],Table12[Cosco Line],,0)</f>
        <v>AEU</v>
      </c>
      <c r="BJ956" s="430"/>
    </row>
    <row r="957" spans="1:62" ht="10.5">
      <c r="A957" s="729" t="s">
        <v>6359</v>
      </c>
      <c r="B957" s="462" t="s">
        <v>1757</v>
      </c>
      <c r="C957" s="462" t="str">
        <f>IFERROR(LEFT(PV_DATA[[#This Row],[TCL REFERENCE]],FIND(".",PV_DATA[[#This Row],[TCL REFERENCE]],1)-1),"Main Line")</f>
        <v>26Aug007</v>
      </c>
      <c r="D957" s="462" t="s">
        <v>63</v>
      </c>
      <c r="E957" s="462" t="s">
        <v>144</v>
      </c>
      <c r="F957" s="462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7" s="462" t="s">
        <v>402</v>
      </c>
      <c r="H957" s="462" t="s">
        <v>6200</v>
      </c>
      <c r="I957" s="462" t="s">
        <v>1395</v>
      </c>
      <c r="J957" s="430" t="s">
        <v>6200</v>
      </c>
      <c r="K957" s="430" t="s">
        <v>6201</v>
      </c>
      <c r="L957" s="430">
        <v>4</v>
      </c>
      <c r="M957" s="430" t="s">
        <v>6275</v>
      </c>
      <c r="N957" s="432" t="s">
        <v>6202</v>
      </c>
      <c r="O957" s="430" t="s">
        <v>284</v>
      </c>
      <c r="P957" s="430" t="s">
        <v>5851</v>
      </c>
      <c r="Q957" s="430" t="s">
        <v>5852</v>
      </c>
      <c r="R957" s="430" t="str">
        <f>_xlfn.XLOOKUP(PV_DATA[[#This Row],[New Ark SKU]],Table9[New Ark SKU],Table9[Connector],,0)</f>
        <v>EVO2A</v>
      </c>
      <c r="S957" s="433" t="str">
        <f>_xlfn.XLOOKUP(PV_DATA[[#This Row],[New Ark SKU]],Table9[New Ark SKU],Table9[Cable],,0)</f>
        <v>±1200mm</v>
      </c>
      <c r="T957" s="433">
        <v>485</v>
      </c>
      <c r="U957" s="1096">
        <v>4680</v>
      </c>
      <c r="V957" s="434">
        <f>PV_DATA[[#This Row],[QUANTITY]]*PV_DATA[[#This Row],[WATT]]/1000000</f>
        <v>2.2698</v>
      </c>
      <c r="W957" s="981">
        <f>PV_DATA[[#This Row],[QUANTITY]]/36</f>
        <v>130</v>
      </c>
      <c r="X957" s="1040">
        <f>PV_DATA[[#This Row],[QUANTITY]]/PV_DATA[[#This Row],[Qty/CT]]</f>
        <v>5</v>
      </c>
      <c r="Y957" s="430" t="s">
        <v>2465</v>
      </c>
      <c r="Z957" s="430" t="str">
        <f t="shared" si="13"/>
        <v>COMPLETED</v>
      </c>
      <c r="AA957" s="430" t="s">
        <v>5853</v>
      </c>
      <c r="AB957" s="437">
        <v>46255</v>
      </c>
      <c r="AC957" s="485">
        <f>IF(PV_DATA[[#This Row],[Pick- Up Date]]&lt;&gt;"",_xlfn.ISOWEEKNUM(PV_DATA[[#This Row],[Pick- Up Date]]),"")</f>
        <v>34</v>
      </c>
      <c r="AD957" s="430" t="s">
        <v>6360</v>
      </c>
      <c r="AE957" s="430"/>
      <c r="AF957" s="430" t="s">
        <v>1525</v>
      </c>
      <c r="AG957" s="430" t="s">
        <v>5994</v>
      </c>
      <c r="AH957" s="430" t="s">
        <v>541</v>
      </c>
      <c r="AI957" s="713">
        <v>46255</v>
      </c>
      <c r="AJ957" s="437">
        <v>46260</v>
      </c>
      <c r="AK957" s="437">
        <f>IFERROR(IF(VLOOKUP(AT957,Vessel!A:F,5,FALSE)=0,"",VLOOKUP(AT957,Vessel!A:F,5,FALSE)),"")</f>
        <v>46257.848101851851</v>
      </c>
      <c r="AL957" s="1138">
        <v>46297</v>
      </c>
      <c r="AM957" s="949">
        <f>IFERROR(VLOOKUP(AT957, Vessel!A:H, 8, FALSE), "")</f>
        <v>46299.083333333336</v>
      </c>
      <c r="AN957" s="949">
        <v>46301</v>
      </c>
      <c r="AP957" s="430" t="s">
        <v>5952</v>
      </c>
      <c r="AQ957" s="430" t="s">
        <v>80</v>
      </c>
      <c r="AR957" s="430" t="s">
        <v>6361</v>
      </c>
      <c r="AS957" s="430" t="s">
        <v>6362</v>
      </c>
      <c r="AT957" s="430" t="s">
        <v>6362</v>
      </c>
      <c r="AU9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43.151898148149485</v>
      </c>
      <c r="AW957" s="437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</v>
      </c>
      <c r="AX95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7" s="437">
        <f>IF(ISERROR(PV_DATA[[#This Row],[New Ark PO status]]),"",_xlfn.XLOOKUP(PV_DATA[[#This Row],[SPTN-PVHK New Ark PO'#]],New_Ark_Data[Purchase order Number],New_Ark_Data[Estimated time of arrival],"",0))</f>
        <v>46297</v>
      </c>
      <c r="AZ95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7" s="437">
        <f>IFERROR(PV_DATA[[#This Row],[ODP ETA Port]]+PV_DATA[[#This Row],[Customs/Leg3 Assumption]],"n/a")</f>
        <v>46301</v>
      </c>
      <c r="BB957" s="433">
        <f>YEAR(PV_DATA[[#This Row],[ETA for New Ark update]])</f>
        <v>2026</v>
      </c>
      <c r="BC957" s="430">
        <f>MONTH(PV_DATA[[#This Row],[ETA for New Ark update]])</f>
        <v>10</v>
      </c>
      <c r="BD957" s="430">
        <f>IFERROR(_xlfn.ISOWEEKNUM(PV_DATA[[#This Row],[ETA for New Ark update]]),0)</f>
        <v>41</v>
      </c>
      <c r="BE957" s="430">
        <f>_xlfn.XLOOKUP(PV_DATA[[#This Row],[New Ark SKU]],Table9[New Ark SKU],Table9[Total PCS per Pallet],,0)</f>
        <v>36</v>
      </c>
      <c r="BF957" s="430">
        <f>_xlfn.XLOOKUP(PV_DATA[[#This Row],[New Ark SKU]],Table9[New Ark SKU],Table9[Total PCS per 40HQ Container],,0)</f>
        <v>936</v>
      </c>
      <c r="BG957" s="430" t="str">
        <f>_xlfn.XLOOKUP(PV_DATA[[#This Row],[New Ark SKU]],Table9[New Ark SKU],Table9[Back Glass],,0)</f>
        <v>Black glazing</v>
      </c>
      <c r="BH957" s="610" t="str">
        <f>_xlfn.XLOOKUP(PV_DATA[[#This Row],[PORT DESTINATION]],Table12[PORT DESTINATION],Table12[Cosco Line],,0)</f>
        <v>AEU</v>
      </c>
      <c r="BJ957" s="430"/>
    </row>
    <row r="958" spans="1:62" ht="10.5">
      <c r="A958" s="729" t="s">
        <v>6363</v>
      </c>
      <c r="B958" s="462" t="s">
        <v>1757</v>
      </c>
      <c r="C958" s="462" t="str">
        <f>IFERROR(LEFT(PV_DATA[[#This Row],[TCL REFERENCE]],FIND(".",PV_DATA[[#This Row],[TCL REFERENCE]],1)-1),"Main Line")</f>
        <v>26Aug007</v>
      </c>
      <c r="D958" s="462" t="s">
        <v>63</v>
      </c>
      <c r="E958" s="462" t="s">
        <v>144</v>
      </c>
      <c r="F958" s="945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8" s="462" t="s">
        <v>402</v>
      </c>
      <c r="H958" s="462" t="s">
        <v>6200</v>
      </c>
      <c r="I958" s="462" t="s">
        <v>882</v>
      </c>
      <c r="J958" s="430" t="s">
        <v>6200</v>
      </c>
      <c r="K958" s="430" t="s">
        <v>6224</v>
      </c>
      <c r="L958" s="430">
        <v>2</v>
      </c>
      <c r="M958" s="430" t="s">
        <v>6275</v>
      </c>
      <c r="N958" s="432" t="s">
        <v>6202</v>
      </c>
      <c r="O958" s="430" t="s">
        <v>284</v>
      </c>
      <c r="P958" s="430" t="s">
        <v>5851</v>
      </c>
      <c r="Q958" s="430" t="s">
        <v>5852</v>
      </c>
      <c r="R958" s="430" t="str">
        <f>_xlfn.XLOOKUP(PV_DATA[[#This Row],[New Ark SKU]],Table9[New Ark SKU],Table9[Connector],,0)</f>
        <v>EVO2A</v>
      </c>
      <c r="S958" s="433" t="str">
        <f>_xlfn.XLOOKUP(PV_DATA[[#This Row],[New Ark SKU]],Table9[New Ark SKU],Table9[Cable],,0)</f>
        <v>±1200mm</v>
      </c>
      <c r="T958" s="433">
        <v>485</v>
      </c>
      <c r="U958" s="1096">
        <v>1872</v>
      </c>
      <c r="V958" s="434">
        <f>PV_DATA[[#This Row],[QUANTITY]]*PV_DATA[[#This Row],[WATT]]/1000000</f>
        <v>0.90791999999999995</v>
      </c>
      <c r="W958" s="981">
        <f>PV_DATA[[#This Row],[QUANTITY]]/36</f>
        <v>52</v>
      </c>
      <c r="X958" s="1040">
        <f>PV_DATA[[#This Row],[QUANTITY]]/PV_DATA[[#This Row],[Qty/CT]]</f>
        <v>2</v>
      </c>
      <c r="Y958" s="430" t="s">
        <v>2464</v>
      </c>
      <c r="Z958" s="430" t="str">
        <f t="shared" si="13"/>
        <v>IN-TRANSIT</v>
      </c>
      <c r="AA958" s="430" t="s">
        <v>5853</v>
      </c>
      <c r="AB958" s="437">
        <v>46255</v>
      </c>
      <c r="AC958" s="485">
        <f>IF(PV_DATA[[#This Row],[Pick- Up Date]]&lt;&gt;"",_xlfn.ISOWEEKNUM(PV_DATA[[#This Row],[Pick- Up Date]]),"")</f>
        <v>34</v>
      </c>
      <c r="AD958" s="430" t="s">
        <v>6364</v>
      </c>
      <c r="AE958" s="430"/>
      <c r="AF958" s="430" t="s">
        <v>1525</v>
      </c>
      <c r="AG958" s="430" t="s">
        <v>5994</v>
      </c>
      <c r="AH958" s="430" t="s">
        <v>456</v>
      </c>
      <c r="AI958" s="713">
        <v>46256</v>
      </c>
      <c r="AK958" s="437">
        <f>IFERROR(IF(VLOOKUP(AT958,Vessel!A:F,5,FALSE)=0,"",VLOOKUP(AT958,Vessel!A:F,5,FALSE)),"")</f>
        <v>46260.478738425925</v>
      </c>
      <c r="AL958" s="1138">
        <v>46292</v>
      </c>
      <c r="AM958" s="949">
        <f>IFERROR(VLOOKUP(AT958, Vessel!A:H, 8, FALSE), "")</f>
        <v>46305.5</v>
      </c>
      <c r="AN958" s="949" t="str">
        <f>IFERROR(IF(VLOOKUP(AT958,Vessel!A:I,9,FALSE)=0,"",VLOOKUP(AT958,Vessel!A:I,9,FALSE)),"")</f>
        <v/>
      </c>
      <c r="AP958" s="430" t="s">
        <v>6365</v>
      </c>
      <c r="AQ958" s="438" t="s">
        <v>80</v>
      </c>
      <c r="AR958" s="430" t="s">
        <v>6366</v>
      </c>
      <c r="AS958" s="430" t="s">
        <v>6367</v>
      </c>
      <c r="AT958" s="430" t="s">
        <v>6367</v>
      </c>
      <c r="AU9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45.021261574074742</v>
      </c>
      <c r="AW958" s="437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46305.5</v>
      </c>
      <c r="AX95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8" s="437">
        <f>IF(ISERROR(PV_DATA[[#This Row],[New Ark PO status]]),"",_xlfn.XLOOKUP(PV_DATA[[#This Row],[SPTN-PVHK New Ark PO'#]],New_Ark_Data[Purchase order Number],New_Ark_Data[Estimated time of arrival],"",0))</f>
        <v>46296</v>
      </c>
      <c r="AZ95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8" s="437">
        <f>IFERROR(PV_DATA[[#This Row],[ODP ETA Port]]+PV_DATA[[#This Row],[Customs/Leg3 Assumption]],"n/a")</f>
        <v>46305.5</v>
      </c>
      <c r="BB958" s="433">
        <f>YEAR(PV_DATA[[#This Row],[ETA for New Ark update]])</f>
        <v>2026</v>
      </c>
      <c r="BC958" s="430">
        <f>MONTH(PV_DATA[[#This Row],[ETA for New Ark update]])</f>
        <v>10</v>
      </c>
      <c r="BD958" s="430">
        <f>IFERROR(_xlfn.ISOWEEKNUM(PV_DATA[[#This Row],[ETA for New Ark update]]),0)</f>
        <v>41</v>
      </c>
      <c r="BE958" s="430">
        <f>_xlfn.XLOOKUP(PV_DATA[[#This Row],[New Ark SKU]],Table9[New Ark SKU],Table9[Total PCS per Pallet],,0)</f>
        <v>36</v>
      </c>
      <c r="BF958" s="430">
        <f>_xlfn.XLOOKUP(PV_DATA[[#This Row],[New Ark SKU]],Table9[New Ark SKU],Table9[Total PCS per 40HQ Container],,0)</f>
        <v>936</v>
      </c>
      <c r="BG958" s="430" t="str">
        <f>_xlfn.XLOOKUP(PV_DATA[[#This Row],[New Ark SKU]],Table9[New Ark SKU],Table9[Back Glass],,0)</f>
        <v>Black glazing</v>
      </c>
      <c r="BH958" s="610" t="str">
        <f>_xlfn.XLOOKUP(PV_DATA[[#This Row],[PORT DESTINATION]],Table12[PORT DESTINATION],Table12[Cosco Line],,0)</f>
        <v>AEU</v>
      </c>
      <c r="BJ958" s="430"/>
    </row>
    <row r="959" spans="1:62" ht="10.5">
      <c r="A959" s="729" t="s">
        <v>6368</v>
      </c>
      <c r="B959" s="462" t="s">
        <v>1757</v>
      </c>
      <c r="C959" s="462" t="str">
        <f>IFERROR(LEFT(PV_DATA[[#This Row],[TCL REFERENCE]],FIND(".",PV_DATA[[#This Row],[TCL REFERENCE]],1)-1),"Main Line")</f>
        <v>26Aug007</v>
      </c>
      <c r="D959" s="462" t="s">
        <v>63</v>
      </c>
      <c r="E959" s="462" t="s">
        <v>144</v>
      </c>
      <c r="F959" s="945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9" s="462" t="s">
        <v>402</v>
      </c>
      <c r="H959" s="462" t="s">
        <v>6200</v>
      </c>
      <c r="I959" s="462" t="s">
        <v>882</v>
      </c>
      <c r="J959" s="430" t="s">
        <v>6200</v>
      </c>
      <c r="K959" s="430" t="s">
        <v>6224</v>
      </c>
      <c r="L959" s="430">
        <v>6</v>
      </c>
      <c r="M959" s="430" t="s">
        <v>4967</v>
      </c>
      <c r="N959" s="432" t="s">
        <v>6202</v>
      </c>
      <c r="O959" s="430" t="s">
        <v>284</v>
      </c>
      <c r="P959" s="430" t="s">
        <v>5851</v>
      </c>
      <c r="Q959" s="430" t="s">
        <v>5852</v>
      </c>
      <c r="R959" s="430" t="str">
        <f>_xlfn.XLOOKUP(PV_DATA[[#This Row],[New Ark SKU]],Table9[New Ark SKU],Table9[Connector],,0)</f>
        <v>EVO2A</v>
      </c>
      <c r="S959" s="433" t="str">
        <f>_xlfn.XLOOKUP(PV_DATA[[#This Row],[New Ark SKU]],Table9[New Ark SKU],Table9[Cable],,0)</f>
        <v>±1200mm</v>
      </c>
      <c r="T959" s="433">
        <v>485</v>
      </c>
      <c r="U959" s="1096">
        <v>1872</v>
      </c>
      <c r="V959" s="434">
        <f>PV_DATA[[#This Row],[QUANTITY]]*PV_DATA[[#This Row],[WATT]]/1000000</f>
        <v>0.90791999999999995</v>
      </c>
      <c r="W959" s="981">
        <f>PV_DATA[[#This Row],[QUANTITY]]/36</f>
        <v>52</v>
      </c>
      <c r="X959" s="1040">
        <f>PV_DATA[[#This Row],[QUANTITY]]/PV_DATA[[#This Row],[Qty/CT]]</f>
        <v>2</v>
      </c>
      <c r="Y959" s="430" t="s">
        <v>2464</v>
      </c>
      <c r="Z959" s="430" t="str">
        <f t="shared" si="13"/>
        <v>IN-TRANSIT</v>
      </c>
      <c r="AA959" s="430" t="s">
        <v>5853</v>
      </c>
      <c r="AB959" s="437">
        <v>46255</v>
      </c>
      <c r="AC959" s="485">
        <f>IF(PV_DATA[[#This Row],[Pick- Up Date]]&lt;&gt;"",_xlfn.ISOWEEKNUM(PV_DATA[[#This Row],[Pick- Up Date]]),"")</f>
        <v>34</v>
      </c>
      <c r="AD959" s="430" t="s">
        <v>6369</v>
      </c>
      <c r="AE959" s="430"/>
      <c r="AF959" s="430" t="s">
        <v>1525</v>
      </c>
      <c r="AG959" s="430" t="s">
        <v>5994</v>
      </c>
      <c r="AH959" s="430" t="s">
        <v>456</v>
      </c>
      <c r="AI959" s="713">
        <v>46253</v>
      </c>
      <c r="AK959" s="437">
        <f>IFERROR(IF(VLOOKUP(AT959,Vessel!A:F,5,FALSE)=0,"",VLOOKUP(AT959,Vessel!A:F,5,FALSE)),"")</f>
        <v>46260.478738425925</v>
      </c>
      <c r="AL959" s="1138">
        <v>46292</v>
      </c>
      <c r="AM959" s="949">
        <f>IFERROR(VLOOKUP(AT959, Vessel!A:H, 8, FALSE), "")</f>
        <v>46305.5</v>
      </c>
      <c r="AN959" s="949" t="str">
        <f>IFERROR(IF(VLOOKUP(AT959,Vessel!A:I,9,FALSE)=0,"",VLOOKUP(AT959,Vessel!A:I,9,FALSE)),"")</f>
        <v/>
      </c>
      <c r="AP959" s="430" t="s">
        <v>6365</v>
      </c>
      <c r="AQ959" s="438" t="s">
        <v>80</v>
      </c>
      <c r="AR959" s="430" t="s">
        <v>6370</v>
      </c>
      <c r="AS959" s="430" t="s">
        <v>6371</v>
      </c>
      <c r="AT959" s="865" t="s">
        <v>6371</v>
      </c>
      <c r="AU9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45.021261574074742</v>
      </c>
      <c r="AW959" s="437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46305.5</v>
      </c>
      <c r="AX95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9" s="437">
        <f>IF(ISERROR(PV_DATA[[#This Row],[New Ark PO status]]),"",_xlfn.XLOOKUP(PV_DATA[[#This Row],[SPTN-PVHK New Ark PO'#]],New_Ark_Data[Purchase order Number],New_Ark_Data[Estimated time of arrival],"",0))</f>
        <v>46296</v>
      </c>
      <c r="AZ95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9" s="437">
        <f>IFERROR(PV_DATA[[#This Row],[ODP ETA Port]]+PV_DATA[[#This Row],[Customs/Leg3 Assumption]],"n/a")</f>
        <v>46305.5</v>
      </c>
      <c r="BB959" s="433">
        <f>YEAR(PV_DATA[[#This Row],[ETA for New Ark update]])</f>
        <v>2026</v>
      </c>
      <c r="BC959" s="430">
        <f>MONTH(PV_DATA[[#This Row],[ETA for New Ark update]])</f>
        <v>10</v>
      </c>
      <c r="BD959" s="430">
        <f>IFERROR(_xlfn.ISOWEEKNUM(PV_DATA[[#This Row],[ETA for New Ark update]]),0)</f>
        <v>41</v>
      </c>
      <c r="BE959" s="430">
        <f>_xlfn.XLOOKUP(PV_DATA[[#This Row],[New Ark SKU]],Table9[New Ark SKU],Table9[Total PCS per Pallet],,0)</f>
        <v>36</v>
      </c>
      <c r="BF959" s="430">
        <f>_xlfn.XLOOKUP(PV_DATA[[#This Row],[New Ark SKU]],Table9[New Ark SKU],Table9[Total PCS per 40HQ Container],,0)</f>
        <v>936</v>
      </c>
      <c r="BG959" s="430" t="str">
        <f>_xlfn.XLOOKUP(PV_DATA[[#This Row],[New Ark SKU]],Table9[New Ark SKU],Table9[Back Glass],,0)</f>
        <v>Black glazing</v>
      </c>
      <c r="BH959" s="610" t="str">
        <f>_xlfn.XLOOKUP(PV_DATA[[#This Row],[PORT DESTINATION]],Table12[PORT DESTINATION],Table12[Cosco Line],,0)</f>
        <v>AEU</v>
      </c>
      <c r="BJ959" s="430"/>
    </row>
    <row r="960" spans="1:62" ht="10.5">
      <c r="A960" s="729" t="s">
        <v>6372</v>
      </c>
      <c r="B960" s="462" t="s">
        <v>1757</v>
      </c>
      <c r="C960" s="462" t="str">
        <f>IFERROR(LEFT(PV_DATA[[#This Row],[TCL REFERENCE]],FIND(".",PV_DATA[[#This Row],[TCL REFERENCE]],1)-1),"Main Line")</f>
        <v>26Aug007</v>
      </c>
      <c r="D960" s="462" t="s">
        <v>63</v>
      </c>
      <c r="E960" s="462" t="s">
        <v>144</v>
      </c>
      <c r="F960" s="945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0" s="462" t="s">
        <v>402</v>
      </c>
      <c r="H960" s="462" t="s">
        <v>6200</v>
      </c>
      <c r="I960" s="462" t="s">
        <v>882</v>
      </c>
      <c r="J960" s="430" t="s">
        <v>6200</v>
      </c>
      <c r="K960" s="430" t="s">
        <v>6201</v>
      </c>
      <c r="L960" s="430">
        <v>6</v>
      </c>
      <c r="M960" s="430" t="s">
        <v>4967</v>
      </c>
      <c r="N960" s="432" t="s">
        <v>6202</v>
      </c>
      <c r="O960" s="430" t="s">
        <v>284</v>
      </c>
      <c r="P960" s="430" t="s">
        <v>5851</v>
      </c>
      <c r="Q960" s="430" t="s">
        <v>5852</v>
      </c>
      <c r="R960" s="430" t="str">
        <f>_xlfn.XLOOKUP(PV_DATA[[#This Row],[New Ark SKU]],Table9[New Ark SKU],Table9[Connector],,0)</f>
        <v>EVO2A</v>
      </c>
      <c r="S960" s="433" t="str">
        <f>_xlfn.XLOOKUP(PV_DATA[[#This Row],[New Ark SKU]],Table9[New Ark SKU],Table9[Cable],,0)</f>
        <v>±1200mm</v>
      </c>
      <c r="T960" s="433">
        <v>485</v>
      </c>
      <c r="U960" s="1095">
        <f>936*5</f>
        <v>4680</v>
      </c>
      <c r="V960" s="434">
        <f>PV_DATA[[#This Row],[QUANTITY]]*PV_DATA[[#This Row],[WATT]]/1000000</f>
        <v>2.2698</v>
      </c>
      <c r="W960" s="981">
        <f>PV_DATA[[#This Row],[QUANTITY]]/36</f>
        <v>130</v>
      </c>
      <c r="X960" s="1040">
        <f>PV_DATA[[#This Row],[QUANTITY]]/PV_DATA[[#This Row],[Qty/CT]]</f>
        <v>5</v>
      </c>
      <c r="Y960" s="430" t="s">
        <v>2464</v>
      </c>
      <c r="Z960" s="430" t="str">
        <f t="shared" si="13"/>
        <v>IN-TRANSIT</v>
      </c>
      <c r="AA960" s="430" t="s">
        <v>5853</v>
      </c>
      <c r="AB960" s="437">
        <v>46265</v>
      </c>
      <c r="AC960" s="485">
        <f>IF(PV_DATA[[#This Row],[Pick- Up Date]]&lt;&gt;"",_xlfn.ISOWEEKNUM(PV_DATA[[#This Row],[Pick- Up Date]]),"")</f>
        <v>36</v>
      </c>
      <c r="AD960" s="430" t="s">
        <v>6373</v>
      </c>
      <c r="AE960" s="430"/>
      <c r="AF960" s="430" t="s">
        <v>1525</v>
      </c>
      <c r="AG960" s="430" t="s">
        <v>5994</v>
      </c>
      <c r="AH960" s="430" t="s">
        <v>541</v>
      </c>
      <c r="AI960" s="437">
        <v>46259</v>
      </c>
      <c r="AJ960" s="437">
        <v>46269</v>
      </c>
      <c r="AK960" s="437">
        <f>IFERROR(IF(VLOOKUP(AT960,Vessel!A:F,5,FALSE)=0,"",VLOOKUP(AT960,Vessel!A:F,5,FALSE)),"")</f>
        <v>46269.824548611112</v>
      </c>
      <c r="AL960" s="1138">
        <v>46304</v>
      </c>
      <c r="AM960" s="949"/>
      <c r="AN960" s="949" t="str">
        <f>IFERROR(IF(VLOOKUP(AT960,Vessel!A:I,9,FALSE)=0,"",VLOOKUP(AT960,Vessel!A:I,9,FALSE)),"")</f>
        <v/>
      </c>
      <c r="AP960" s="430" t="s">
        <v>6175</v>
      </c>
      <c r="AQ960" s="430" t="s">
        <v>80</v>
      </c>
      <c r="AR960" s="430" t="s">
        <v>6374</v>
      </c>
      <c r="AS960" s="430" t="s">
        <v>6375</v>
      </c>
      <c r="AT960" s="430" t="s">
        <v>6375</v>
      </c>
      <c r="AU9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34.175451388888177</v>
      </c>
      <c r="AW960" s="437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6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60" s="437">
        <f>IF(ISERROR(PV_DATA[[#This Row],[New Ark PO status]]),"",_xlfn.XLOOKUP(PV_DATA[[#This Row],[SPTN-PVHK New Ark PO'#]],New_Ark_Data[Purchase order Number],New_Ark_Data[Estimated time of arrival],"",0))</f>
        <v>46304</v>
      </c>
      <c r="AZ96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0" s="437">
        <f>IFERROR(PV_DATA[[#This Row],[ODP ETA Port]]+PV_DATA[[#This Row],[Customs/Leg3 Assumption]],"n/a")</f>
        <v>46304</v>
      </c>
      <c r="BB960" s="433">
        <f>YEAR(PV_DATA[[#This Row],[ETA for New Ark update]])</f>
        <v>2026</v>
      </c>
      <c r="BC960" s="430">
        <f>MONTH(PV_DATA[[#This Row],[ETA for New Ark update]])</f>
        <v>10</v>
      </c>
      <c r="BD960" s="430">
        <f>IFERROR(_xlfn.ISOWEEKNUM(PV_DATA[[#This Row],[ETA for New Ark update]]),0)</f>
        <v>41</v>
      </c>
      <c r="BE960" s="430">
        <f>_xlfn.XLOOKUP(PV_DATA[[#This Row],[New Ark SKU]],Table9[New Ark SKU],Table9[Total PCS per Pallet],,0)</f>
        <v>36</v>
      </c>
      <c r="BF960" s="430">
        <f>_xlfn.XLOOKUP(PV_DATA[[#This Row],[New Ark SKU]],Table9[New Ark SKU],Table9[Total PCS per 40HQ Container],,0)</f>
        <v>936</v>
      </c>
      <c r="BG960" s="430" t="str">
        <f>_xlfn.XLOOKUP(PV_DATA[[#This Row],[New Ark SKU]],Table9[New Ark SKU],Table9[Back Glass],,0)</f>
        <v>Black glazing</v>
      </c>
      <c r="BH960" s="610" t="str">
        <f>_xlfn.XLOOKUP(PV_DATA[[#This Row],[PORT DESTINATION]],Table12[PORT DESTINATION],Table12[Cosco Line],,0)</f>
        <v>AEU</v>
      </c>
      <c r="BJ960" s="430"/>
    </row>
    <row r="961" spans="1:60" s="462" customFormat="1" ht="10.5">
      <c r="A961" s="462" t="s">
        <v>6376</v>
      </c>
      <c r="B961" s="462" t="s">
        <v>61</v>
      </c>
      <c r="C961" s="462" t="str">
        <f>IFERROR(LEFT(PV_DATA[[#This Row],[TCL REFERENCE]],FIND(".",PV_DATA[[#This Row],[TCL REFERENCE]],1)-1),"Main Line")</f>
        <v>26Jun005</v>
      </c>
      <c r="D961" s="462" t="s">
        <v>63</v>
      </c>
      <c r="E961" s="462" t="s">
        <v>64</v>
      </c>
      <c r="F961" s="462" t="str" cm="1">
        <f t="array" ref="F9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62" t="s">
        <v>402</v>
      </c>
      <c r="H961" s="462" t="s">
        <v>67</v>
      </c>
      <c r="I961" s="462" t="s">
        <v>689</v>
      </c>
      <c r="J961" s="462" t="s">
        <v>96</v>
      </c>
      <c r="M961" s="462" t="s">
        <v>68</v>
      </c>
      <c r="N961" s="712">
        <v>46188</v>
      </c>
      <c r="O961" s="462" t="s">
        <v>4531</v>
      </c>
      <c r="P961" s="462" t="s">
        <v>1461</v>
      </c>
      <c r="Q961" s="462" t="s">
        <v>103</v>
      </c>
      <c r="R961" s="430" t="str">
        <f>_xlfn.XLOOKUP(PV_DATA[[#This Row],[New Ark SKU]],Table9[New Ark SKU],Table9[Connector],,0)</f>
        <v>EVO2A</v>
      </c>
      <c r="S961" s="433" t="str">
        <f>_xlfn.XLOOKUP(PV_DATA[[#This Row],[New Ark SKU]],Table9[New Ark SKU],Table9[Cable],,0)</f>
        <v>±1400mm</v>
      </c>
      <c r="T961" s="946">
        <v>620</v>
      </c>
      <c r="U961" s="1095">
        <v>720</v>
      </c>
      <c r="V961" s="458">
        <f>PV_DATA[[#This Row],[QUANTITY]]*PV_DATA[[#This Row],[WATT]]/1000000</f>
        <v>0.44640000000000002</v>
      </c>
      <c r="W961" s="714">
        <f>PV_DATA[[#This Row],[QUANTITY]]/PV_DATA[[#This Row],[Qty/Pallet]]</f>
        <v>20</v>
      </c>
      <c r="X961" s="1042">
        <f>PV_DATA[[#This Row],[QUANTITY]]/PV_DATA[[#This Row],[Qty/CT]]</f>
        <v>1</v>
      </c>
      <c r="Y961" s="462" t="s">
        <v>2462</v>
      </c>
      <c r="Z961" s="462" t="str">
        <f t="shared" si="13"/>
        <v>IN-TRANSIT</v>
      </c>
      <c r="AA961" s="462" t="s">
        <v>5853</v>
      </c>
      <c r="AB961" s="713">
        <v>46253</v>
      </c>
      <c r="AC961" s="947">
        <f>IF(PV_DATA[[#This Row],[Pick- Up Date]]&lt;&gt;"",_xlfn.ISOWEEKNUM(PV_DATA[[#This Row],[Pick- Up Date]]),"")</f>
        <v>34</v>
      </c>
      <c r="AD961" s="462" t="s">
        <v>6377</v>
      </c>
      <c r="AE961" s="462" t="s">
        <v>6377</v>
      </c>
      <c r="AF961" s="462" t="s">
        <v>61</v>
      </c>
      <c r="AG961" s="462" t="s">
        <v>61</v>
      </c>
      <c r="AH961" s="462" t="s">
        <v>105</v>
      </c>
      <c r="AI961" s="713">
        <v>46258</v>
      </c>
      <c r="AJ961" s="713">
        <v>46259</v>
      </c>
      <c r="AK961" s="713">
        <f>IFERROR(IF(VLOOKUP(AT961,Vessel!A:F,5,FALSE)=0,"",VLOOKUP(AT961,Vessel!A:F,5,FALSE)),"")</f>
        <v>46259.371157407404</v>
      </c>
      <c r="AL961" s="713">
        <v>46303</v>
      </c>
      <c r="AM961" s="949">
        <f>IFERROR(VLOOKUP(AT961, Vessel!A:H, 8, FALSE), "")</f>
        <v>46307.833333333336</v>
      </c>
      <c r="AN961" s="949" t="str">
        <f>IFERROR(IF(VLOOKUP(AT961,Vessel!A:I,9,FALSE)=0,"",VLOOKUP(AT961,Vessel!A:I,9,FALSE)),"")</f>
        <v/>
      </c>
      <c r="AP961" s="462" t="s">
        <v>6378</v>
      </c>
      <c r="AQ961" s="462" t="s">
        <v>80</v>
      </c>
      <c r="AR961" s="462" t="s">
        <v>6379</v>
      </c>
      <c r="AS961" s="462" t="s">
        <v>6380</v>
      </c>
      <c r="AT961" s="462" t="s">
        <v>6380</v>
      </c>
      <c r="AU9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48.46217592593166</v>
      </c>
      <c r="AW961" s="713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46307.833333333336</v>
      </c>
      <c r="AX96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713">
        <f>IF(ISERROR(PV_DATA[[#This Row],[New Ark PO status]]),"",_xlfn.XLOOKUP(PV_DATA[[#This Row],[SPTN-PVHK New Ark PO'#]],New_Ark_Data[Purchase order Number],New_Ark_Data[Estimated time of arrival],"",0))</f>
        <v>46310</v>
      </c>
      <c r="AZ961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713">
        <f>IFERROR(PV_DATA[[#This Row],[ODP ETA Port]]+PV_DATA[[#This Row],[Customs/Leg3 Assumption]],"n/a")</f>
        <v>46314.833333333336</v>
      </c>
      <c r="BB961" s="946">
        <f>YEAR(PV_DATA[[#This Row],[ETA for New Ark update]])</f>
        <v>2026</v>
      </c>
      <c r="BC961" s="462">
        <f>MONTH(PV_DATA[[#This Row],[ETA for New Ark update]])</f>
        <v>10</v>
      </c>
      <c r="BD961" s="462">
        <f>IFERROR(_xlfn.ISOWEEKNUM(PV_DATA[[#This Row],[ETA for New Ark update]]),0)</f>
        <v>43</v>
      </c>
      <c r="BE961" s="462">
        <f>_xlfn.XLOOKUP(PV_DATA[[#This Row],[New Ark SKU]],Table9[New Ark SKU],Table9[Total PCS per Pallet],,0)</f>
        <v>36</v>
      </c>
      <c r="BF961" s="462">
        <f>_xlfn.XLOOKUP(PV_DATA[[#This Row],[New Ark SKU]],Table9[New Ark SKU],Table9[Total PCS per 40HQ Container],,0)</f>
        <v>720</v>
      </c>
      <c r="BG961" s="462" t="str">
        <f>_xlfn.XLOOKUP(PV_DATA[[#This Row],[New Ark SKU]],Table9[New Ark SKU],Table9[Back Glass],,0)</f>
        <v>Redirection Film</v>
      </c>
      <c r="BH961" s="948" t="str">
        <f>_xlfn.XLOOKUP(PV_DATA[[#This Row],[PORT DESTINATION]],Table12[PORT DESTINATION],Table12[Cosco Line],,0)</f>
        <v>AEU</v>
      </c>
    </row>
    <row r="962" spans="1:60" s="462" customFormat="1" ht="10.5">
      <c r="A962" s="462" t="s">
        <v>6381</v>
      </c>
      <c r="B962" s="462" t="s">
        <v>61</v>
      </c>
      <c r="C962" s="462" t="str">
        <f>IFERROR(LEFT(PV_DATA[[#This Row],[TCL REFERENCE]],FIND(".",PV_DATA[[#This Row],[TCL REFERENCE]],1)-1),"Main Line")</f>
        <v>26Jun021</v>
      </c>
      <c r="D962" s="462" t="s">
        <v>63</v>
      </c>
      <c r="E962" s="462" t="s">
        <v>64</v>
      </c>
      <c r="F962" s="462" t="str" cm="1">
        <f t="array" ref="F9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2" s="462" t="s">
        <v>402</v>
      </c>
      <c r="H962" s="462" t="s">
        <v>67</v>
      </c>
      <c r="I962" s="462" t="s">
        <v>689</v>
      </c>
      <c r="J962" s="462" t="s">
        <v>96</v>
      </c>
      <c r="M962" s="462" t="s">
        <v>68</v>
      </c>
      <c r="N962" s="712">
        <v>46202</v>
      </c>
      <c r="O962" s="462" t="s">
        <v>284</v>
      </c>
      <c r="P962" s="730" t="s">
        <v>6159</v>
      </c>
      <c r="Q962" s="462" t="s">
        <v>1570</v>
      </c>
      <c r="R962" s="430" t="str">
        <f>_xlfn.XLOOKUP(PV_DATA[[#This Row],[New Ark SKU]],Table9[New Ark SKU],Table9[Connector],,0)</f>
        <v>EVO2A</v>
      </c>
      <c r="S962" s="433" t="str">
        <f>_xlfn.XLOOKUP(PV_DATA[[#This Row],[New Ark SKU]],Table9[New Ark SKU],Table9[Cable],,0)</f>
        <v>±1400mm</v>
      </c>
      <c r="T962" s="946">
        <v>650</v>
      </c>
      <c r="U962" s="1095">
        <v>720</v>
      </c>
      <c r="V962" s="458">
        <f>PV_DATA[[#This Row],[QUANTITY]]*PV_DATA[[#This Row],[WATT]]/1000000</f>
        <v>0.46800000000000003</v>
      </c>
      <c r="W962" s="714">
        <f>PV_DATA[[#This Row],[QUANTITY]]/PV_DATA[[#This Row],[Qty/Pallet]]</f>
        <v>20</v>
      </c>
      <c r="X962" s="1042">
        <f>PV_DATA[[#This Row],[QUANTITY]]/PV_DATA[[#This Row],[Qty/CT]]</f>
        <v>1</v>
      </c>
      <c r="Y962" s="462" t="s">
        <v>2464</v>
      </c>
      <c r="Z962" s="462" t="str">
        <f t="shared" si="13"/>
        <v>IN-TRANSIT</v>
      </c>
      <c r="AB962" s="713">
        <v>46253</v>
      </c>
      <c r="AC962" s="947">
        <f>IF(PV_DATA[[#This Row],[Pick- Up Date]]&lt;&gt;"",_xlfn.ISOWEEKNUM(PV_DATA[[#This Row],[Pick- Up Date]]),"")</f>
        <v>34</v>
      </c>
      <c r="AD962" s="462" t="s">
        <v>6382</v>
      </c>
      <c r="AE962" s="462" t="s">
        <v>6382</v>
      </c>
      <c r="AF962" s="462" t="s">
        <v>61</v>
      </c>
      <c r="AG962" s="462" t="s">
        <v>61</v>
      </c>
      <c r="AH962" s="462" t="s">
        <v>105</v>
      </c>
      <c r="AI962" s="713">
        <v>46258</v>
      </c>
      <c r="AJ962" s="713">
        <v>46259</v>
      </c>
      <c r="AK962" s="713">
        <f>IFERROR(IF(VLOOKUP(AT962,Vessel!A:F,5,FALSE)=0,"",VLOOKUP(AT962,Vessel!A:F,5,FALSE)),"")</f>
        <v>46259.371157407404</v>
      </c>
      <c r="AL962" s="713">
        <v>46303</v>
      </c>
      <c r="AM962" s="949">
        <f>IFERROR(VLOOKUP(AT962, Vessel!A:H, 8, FALSE), "")</f>
        <v>46307.833333333336</v>
      </c>
      <c r="AN962" s="949" t="str">
        <f>IFERROR(IF(VLOOKUP(AT962,Vessel!A:I,9,FALSE)=0,"",VLOOKUP(AT962,Vessel!A:I,9,FALSE)),"")</f>
        <v/>
      </c>
      <c r="AP962" s="462" t="s">
        <v>6378</v>
      </c>
      <c r="AQ962" s="462" t="s">
        <v>80</v>
      </c>
      <c r="AR962" s="462" t="s">
        <v>6379</v>
      </c>
      <c r="AS962" s="462" t="s">
        <v>6380</v>
      </c>
      <c r="AT962" s="462" t="s">
        <v>6380</v>
      </c>
      <c r="AU9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48.46217592593166</v>
      </c>
      <c r="AW962" s="713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46307.833333333336</v>
      </c>
      <c r="AX96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13">
        <f>IF(ISERROR(PV_DATA[[#This Row],[New Ark PO status]]),"",_xlfn.XLOOKUP(PV_DATA[[#This Row],[SPTN-PVHK New Ark PO'#]],New_Ark_Data[Purchase order Number],New_Ark_Data[Estimated time of arrival],"",0))</f>
        <v>46310</v>
      </c>
      <c r="AZ962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13">
        <f>IFERROR(PV_DATA[[#This Row],[ODP ETA Port]]+PV_DATA[[#This Row],[Customs/Leg3 Assumption]],"n/a")</f>
        <v>46314.833333333336</v>
      </c>
      <c r="BB962" s="946">
        <f>YEAR(PV_DATA[[#This Row],[ETA for New Ark update]])</f>
        <v>2026</v>
      </c>
      <c r="BC962" s="462">
        <f>MONTH(PV_DATA[[#This Row],[ETA for New Ark update]])</f>
        <v>10</v>
      </c>
      <c r="BD962" s="462">
        <f>IFERROR(_xlfn.ISOWEEKNUM(PV_DATA[[#This Row],[ETA for New Ark update]]),0)</f>
        <v>43</v>
      </c>
      <c r="BE962" s="462">
        <f>_xlfn.XLOOKUP(PV_DATA[[#This Row],[New Ark SKU]],Table9[New Ark SKU],Table9[Total PCS per Pallet],,0)</f>
        <v>36</v>
      </c>
      <c r="BF962" s="462">
        <f>_xlfn.XLOOKUP(PV_DATA[[#This Row],[New Ark SKU]],Table9[New Ark SKU],Table9[Total PCS per 40HQ Container],,0)</f>
        <v>720</v>
      </c>
      <c r="BG962" s="462" t="str">
        <f>_xlfn.XLOOKUP(PV_DATA[[#This Row],[New Ark SKU]],Table9[New Ark SKU],Table9[Back Glass],,0)</f>
        <v>White glazing</v>
      </c>
      <c r="BH962" s="948" t="str">
        <f>_xlfn.XLOOKUP(PV_DATA[[#This Row],[PORT DESTINATION]],Table12[PORT DESTINATION],Table12[Cosco Line],,0)</f>
        <v>AEU</v>
      </c>
    </row>
    <row r="963" spans="1:60" s="462" customFormat="1" ht="10.5">
      <c r="A963" s="729" t="s">
        <v>6383</v>
      </c>
      <c r="B963" s="462" t="s">
        <v>61</v>
      </c>
      <c r="C963" s="462" t="str">
        <f>IFERROR(LEFT(PV_DATA[[#This Row],[TCL REFERENCE]],FIND(".",PV_DATA[[#This Row],[TCL REFERENCE]],1)-1),"Main Line")</f>
        <v>26Aug003</v>
      </c>
      <c r="D963" s="462" t="s">
        <v>63</v>
      </c>
      <c r="E963" s="462" t="s">
        <v>64</v>
      </c>
      <c r="F963" s="462" t="str" cm="1">
        <f t="array" ref="F9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3" s="462" t="s">
        <v>402</v>
      </c>
      <c r="H963" s="462" t="s">
        <v>67</v>
      </c>
      <c r="I963" s="462" t="s">
        <v>1395</v>
      </c>
      <c r="J963" s="462" t="s">
        <v>96</v>
      </c>
      <c r="M963" s="462" t="s">
        <v>68</v>
      </c>
      <c r="N963" s="712">
        <v>46237</v>
      </c>
      <c r="O963" s="462" t="s">
        <v>4531</v>
      </c>
      <c r="P963" s="462" t="s">
        <v>71</v>
      </c>
      <c r="Q963" s="462" t="s">
        <v>72</v>
      </c>
      <c r="R963" s="430" t="str">
        <f>_xlfn.XLOOKUP(PV_DATA[[#This Row],[New Ark SKU]],Table9[New Ark SKU],Table9[Connector],,0)</f>
        <v>EVO2A</v>
      </c>
      <c r="S963" s="433" t="str">
        <f>_xlfn.XLOOKUP(PV_DATA[[#This Row],[New Ark SKU]],Table9[New Ark SKU],Table9[Cable],,0)</f>
        <v>±1200mm</v>
      </c>
      <c r="T963" s="946">
        <v>500</v>
      </c>
      <c r="U963" s="1095">
        <f>864*6</f>
        <v>5184</v>
      </c>
      <c r="V963" s="458">
        <f>PV_DATA[[#This Row],[QUANTITY]]*PV_DATA[[#This Row],[WATT]]/1000000</f>
        <v>2.5920000000000001</v>
      </c>
      <c r="W963" s="714">
        <f>PV_DATA[[#This Row],[QUANTITY]]/PV_DATA[[#This Row],[Qty/Pallet]]</f>
        <v>144</v>
      </c>
      <c r="X963" s="1042">
        <f>PV_DATA[[#This Row],[QUANTITY]]/PV_DATA[[#This Row],[Qty/CT]]</f>
        <v>6</v>
      </c>
      <c r="Y963" s="462" t="s">
        <v>2465</v>
      </c>
      <c r="Z963" s="462" t="str">
        <f t="shared" si="13"/>
        <v>IN-TRANSIT</v>
      </c>
      <c r="AA963" s="462" t="s">
        <v>5853</v>
      </c>
      <c r="AB963" s="713">
        <v>46253</v>
      </c>
      <c r="AC963" s="947">
        <f>IF(PV_DATA[[#This Row],[Pick- Up Date]]&lt;&gt;"",_xlfn.ISOWEEKNUM(PV_DATA[[#This Row],[Pick- Up Date]]),"")</f>
        <v>34</v>
      </c>
      <c r="AD963" s="462" t="s">
        <v>6384</v>
      </c>
      <c r="AE963" s="462" t="s">
        <v>6384</v>
      </c>
      <c r="AF963" s="462" t="s">
        <v>61</v>
      </c>
      <c r="AG963" s="462" t="s">
        <v>61</v>
      </c>
      <c r="AH963" s="462" t="s">
        <v>105</v>
      </c>
      <c r="AI963" s="713">
        <v>46258</v>
      </c>
      <c r="AJ963" s="713">
        <v>46259</v>
      </c>
      <c r="AK963" s="713">
        <f>IFERROR(IF(VLOOKUP(AT963,Vessel!A:F,5,FALSE)=0,"",VLOOKUP(AT963,Vessel!A:F,5,FALSE)),"")</f>
        <v>46259.371157407404</v>
      </c>
      <c r="AL963" s="713">
        <v>46303</v>
      </c>
      <c r="AM963" s="949">
        <f>IFERROR(VLOOKUP(AT963, Vessel!A:H, 8, FALSE), "")</f>
        <v>46307.833333333336</v>
      </c>
      <c r="AN963" s="949" t="str">
        <f>IFERROR(IF(VLOOKUP(AT963,Vessel!A:I,9,FALSE)=0,"",VLOOKUP(AT963,Vessel!A:I,9,FALSE)),"")</f>
        <v/>
      </c>
      <c r="AP963" s="462" t="s">
        <v>6378</v>
      </c>
      <c r="AQ963" s="462" t="s">
        <v>80</v>
      </c>
      <c r="AR963" s="462" t="s">
        <v>6379</v>
      </c>
      <c r="AS963" s="462" t="s">
        <v>6380</v>
      </c>
      <c r="AT963" s="462" t="s">
        <v>6380</v>
      </c>
      <c r="AU9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48.46217592593166</v>
      </c>
      <c r="AW963" s="713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46307.833333333336</v>
      </c>
      <c r="AX96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13">
        <f>IF(ISERROR(PV_DATA[[#This Row],[New Ark PO status]]),"",_xlfn.XLOOKUP(PV_DATA[[#This Row],[SPTN-PVHK New Ark PO'#]],New_Ark_Data[Purchase order Number],New_Ark_Data[Estimated time of arrival],"",0))</f>
        <v>46310</v>
      </c>
      <c r="AZ963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13">
        <f>IFERROR(PV_DATA[[#This Row],[ODP ETA Port]]+PV_DATA[[#This Row],[Customs/Leg3 Assumption]],"n/a")</f>
        <v>46314.833333333336</v>
      </c>
      <c r="BB963" s="946">
        <f>YEAR(PV_DATA[[#This Row],[ETA for New Ark update]])</f>
        <v>2026</v>
      </c>
      <c r="BC963" s="462">
        <f>MONTH(PV_DATA[[#This Row],[ETA for New Ark update]])</f>
        <v>10</v>
      </c>
      <c r="BD963" s="462">
        <f>IFERROR(_xlfn.ISOWEEKNUM(PV_DATA[[#This Row],[ETA for New Ark update]]),0)</f>
        <v>43</v>
      </c>
      <c r="BE963" s="462">
        <f>_xlfn.XLOOKUP(PV_DATA[[#This Row],[New Ark SKU]],Table9[New Ark SKU],Table9[Total PCS per Pallet],,0)</f>
        <v>36</v>
      </c>
      <c r="BF963" s="462">
        <f>_xlfn.XLOOKUP(PV_DATA[[#This Row],[New Ark SKU]],Table9[New Ark SKU],Table9[Total PCS per 40HQ Container],,0)</f>
        <v>864</v>
      </c>
      <c r="BG963" s="462" t="str">
        <f>_xlfn.XLOOKUP(PV_DATA[[#This Row],[New Ark SKU]],Table9[New Ark SKU],Table9[Back Glass],,0)</f>
        <v>Black glazing</v>
      </c>
      <c r="BH963" s="948" t="str">
        <f>_xlfn.XLOOKUP(PV_DATA[[#This Row],[PORT DESTINATION]],Table12[PORT DESTINATION],Table12[Cosco Line],,0)</f>
        <v>AEU</v>
      </c>
    </row>
    <row r="964" spans="1:60" s="462" customFormat="1" ht="10.5">
      <c r="A964" s="462" t="s">
        <v>6385</v>
      </c>
      <c r="B964" s="462" t="s">
        <v>61</v>
      </c>
      <c r="C964" s="462" t="str">
        <f>IFERROR(LEFT(PV_DATA[[#This Row],[TCL REFERENCE]],FIND(".",PV_DATA[[#This Row],[TCL REFERENCE]],1)-1),"Main Line")</f>
        <v>26Jun005</v>
      </c>
      <c r="D964" s="462" t="s">
        <v>63</v>
      </c>
      <c r="E964" s="462" t="s">
        <v>64</v>
      </c>
      <c r="F964" s="462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2" t="s">
        <v>402</v>
      </c>
      <c r="H964" s="462" t="s">
        <v>67</v>
      </c>
      <c r="I964" s="462" t="s">
        <v>689</v>
      </c>
      <c r="J964" s="462" t="s">
        <v>96</v>
      </c>
      <c r="M964" s="462" t="s">
        <v>68</v>
      </c>
      <c r="N964" s="712">
        <v>46188</v>
      </c>
      <c r="O964" s="462" t="s">
        <v>4531</v>
      </c>
      <c r="P964" s="462" t="s">
        <v>1461</v>
      </c>
      <c r="Q964" s="462" t="s">
        <v>103</v>
      </c>
      <c r="R964" s="430" t="str">
        <f>_xlfn.XLOOKUP(PV_DATA[[#This Row],[New Ark SKU]],Table9[New Ark SKU],Table9[Connector],,0)</f>
        <v>EVO2A</v>
      </c>
      <c r="S964" s="433" t="str">
        <f>_xlfn.XLOOKUP(PV_DATA[[#This Row],[New Ark SKU]],Table9[New Ark SKU],Table9[Cable],,0)</f>
        <v>±1400mm</v>
      </c>
      <c r="T964" s="946">
        <v>620</v>
      </c>
      <c r="U964" s="1095">
        <v>1440</v>
      </c>
      <c r="V964" s="458">
        <f>PV_DATA[[#This Row],[QUANTITY]]*PV_DATA[[#This Row],[WATT]]/1000000</f>
        <v>0.89280000000000004</v>
      </c>
      <c r="W964" s="714">
        <f>PV_DATA[[#This Row],[QUANTITY]]/PV_DATA[[#This Row],[Qty/Pallet]]</f>
        <v>40</v>
      </c>
      <c r="X964" s="1042">
        <f>PV_DATA[[#This Row],[QUANTITY]]/PV_DATA[[#This Row],[Qty/CT]]</f>
        <v>2</v>
      </c>
      <c r="Y964" s="462" t="s">
        <v>2462</v>
      </c>
      <c r="Z964" s="462" t="str">
        <f t="shared" si="13"/>
        <v>IN-TRANSIT</v>
      </c>
      <c r="AA964" s="462" t="s">
        <v>5853</v>
      </c>
      <c r="AB964" s="713">
        <v>46249</v>
      </c>
      <c r="AC964" s="947">
        <f>IF(PV_DATA[[#This Row],[Pick- Up Date]]&lt;&gt;"",_xlfn.ISOWEEKNUM(PV_DATA[[#This Row],[Pick- Up Date]]),"")</f>
        <v>33</v>
      </c>
      <c r="AD964" s="462" t="s">
        <v>6386</v>
      </c>
      <c r="AE964" s="462" t="s">
        <v>6386</v>
      </c>
      <c r="AF964" s="462" t="s">
        <v>61</v>
      </c>
      <c r="AG964" s="462" t="s">
        <v>61</v>
      </c>
      <c r="AH964" s="462" t="s">
        <v>105</v>
      </c>
      <c r="AI964" s="713">
        <v>46257</v>
      </c>
      <c r="AJ964" s="713">
        <v>46263</v>
      </c>
      <c r="AK964" s="437">
        <v>46263</v>
      </c>
      <c r="AL964" s="713">
        <v>46305</v>
      </c>
      <c r="AM964" s="713"/>
      <c r="AN964" s="949"/>
      <c r="AO964" s="462" t="s">
        <v>402</v>
      </c>
      <c r="AP964" s="462" t="s">
        <v>6387</v>
      </c>
      <c r="AQ964" s="462" t="s">
        <v>161</v>
      </c>
      <c r="AR964" s="462" t="s">
        <v>6388</v>
      </c>
      <c r="AS964" s="462" t="s">
        <v>6389</v>
      </c>
      <c r="AT964" s="462" t="s">
        <v>6389</v>
      </c>
      <c r="AU9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64" s="713"/>
      <c r="AW964" s="713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13">
        <f>IF(ISERROR(PV_DATA[[#This Row],[New Ark PO status]]),"",_xlfn.XLOOKUP(PV_DATA[[#This Row],[SPTN-PVHK New Ark PO'#]],New_Ark_Data[Purchase order Number],New_Ark_Data[Estimated time of arrival],"",0))</f>
        <v>46318</v>
      </c>
      <c r="AZ964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13">
        <f>IFERROR(PV_DATA[[#This Row],[ODP ETA Port]]+PV_DATA[[#This Row],[Customs/Leg3 Assumption]],"n/a")</f>
        <v>46312</v>
      </c>
      <c r="BB964" s="946">
        <f>YEAR(PV_DATA[[#This Row],[ETA for New Ark update]])</f>
        <v>2026</v>
      </c>
      <c r="BC964" s="462">
        <f>MONTH(PV_DATA[[#This Row],[ETA for New Ark update]])</f>
        <v>10</v>
      </c>
      <c r="BD964" s="462">
        <f>IFERROR(_xlfn.ISOWEEKNUM(PV_DATA[[#This Row],[ETA for New Ark update]]),0)</f>
        <v>42</v>
      </c>
      <c r="BE964" s="462">
        <f>_xlfn.XLOOKUP(PV_DATA[[#This Row],[New Ark SKU]],Table9[New Ark SKU],Table9[Total PCS per Pallet],,0)</f>
        <v>36</v>
      </c>
      <c r="BF964" s="462">
        <f>_xlfn.XLOOKUP(PV_DATA[[#This Row],[New Ark SKU]],Table9[New Ark SKU],Table9[Total PCS per 40HQ Container],,0)</f>
        <v>720</v>
      </c>
      <c r="BG964" s="462" t="str">
        <f>_xlfn.XLOOKUP(PV_DATA[[#This Row],[New Ark SKU]],Table9[New Ark SKU],Table9[Back Glass],,0)</f>
        <v>Redirection Film</v>
      </c>
      <c r="BH964" s="462" t="str">
        <f>_xlfn.XLOOKUP(PV_DATA[[#This Row],[PORT DESTINATION]],Table12[PORT DESTINATION],Table12[Cosco Line],,0)</f>
        <v>AEU</v>
      </c>
    </row>
    <row r="965" spans="1:60" s="462" customFormat="1" ht="10.5">
      <c r="A965" s="729" t="s">
        <v>6390</v>
      </c>
      <c r="B965" s="462" t="s">
        <v>61</v>
      </c>
      <c r="C965" s="462" t="str">
        <f>IFERROR(LEFT(PV_DATA[[#This Row],[TCL REFERENCE]],FIND(".",PV_DATA[[#This Row],[TCL REFERENCE]],1)-1),"Main Line")</f>
        <v>26Aug004</v>
      </c>
      <c r="D965" s="462" t="s">
        <v>63</v>
      </c>
      <c r="E965" s="462" t="s">
        <v>64</v>
      </c>
      <c r="F965" s="462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5" s="462" t="s">
        <v>402</v>
      </c>
      <c r="H965" s="462" t="s">
        <v>67</v>
      </c>
      <c r="I965" s="462" t="s">
        <v>882</v>
      </c>
      <c r="J965" s="462" t="s">
        <v>96</v>
      </c>
      <c r="M965" s="462" t="s">
        <v>68</v>
      </c>
      <c r="N965" s="712">
        <v>46237</v>
      </c>
      <c r="O965" s="462" t="s">
        <v>4531</v>
      </c>
      <c r="P965" s="462" t="s">
        <v>1151</v>
      </c>
      <c r="Q965" s="462" t="s">
        <v>421</v>
      </c>
      <c r="R965" s="430" t="str">
        <f>_xlfn.XLOOKUP(PV_DATA[[#This Row],[New Ark SKU]],Table9[New Ark SKU],Table9[Connector],,0)</f>
        <v>EVO2A</v>
      </c>
      <c r="S965" s="433" t="str">
        <f>_xlfn.XLOOKUP(PV_DATA[[#This Row],[New Ark SKU]],Table9[New Ark SKU],Table9[Cable],,0)</f>
        <v>±1200mm</v>
      </c>
      <c r="T965" s="946">
        <v>505</v>
      </c>
      <c r="U965" s="1095">
        <f>864*6</f>
        <v>5184</v>
      </c>
      <c r="V965" s="458">
        <f>PV_DATA[[#This Row],[QUANTITY]]*PV_DATA[[#This Row],[WATT]]/1000000</f>
        <v>2.6179199999999998</v>
      </c>
      <c r="W965" s="714">
        <f>PV_DATA[[#This Row],[QUANTITY]]/PV_DATA[[#This Row],[Qty/Pallet]]</f>
        <v>144</v>
      </c>
      <c r="X965" s="1042">
        <f>PV_DATA[[#This Row],[QUANTITY]]/PV_DATA[[#This Row],[Qty/CT]]</f>
        <v>6</v>
      </c>
      <c r="Y965" s="462" t="s">
        <v>2464</v>
      </c>
      <c r="Z965" s="462" t="str">
        <f t="shared" si="13"/>
        <v>IN-TRANSIT</v>
      </c>
      <c r="AA965" s="462" t="s">
        <v>6391</v>
      </c>
      <c r="AB965" s="713">
        <v>46249</v>
      </c>
      <c r="AC965" s="947">
        <f>IF(PV_DATA[[#This Row],[Pick- Up Date]]&lt;&gt;"",_xlfn.ISOWEEKNUM(PV_DATA[[#This Row],[Pick- Up Date]]),"")</f>
        <v>33</v>
      </c>
      <c r="AD965" s="462" t="s">
        <v>6392</v>
      </c>
      <c r="AE965" s="462" t="s">
        <v>6392</v>
      </c>
      <c r="AF965" s="462" t="s">
        <v>61</v>
      </c>
      <c r="AG965" s="462" t="s">
        <v>61</v>
      </c>
      <c r="AH965" s="462" t="s">
        <v>105</v>
      </c>
      <c r="AI965" s="713">
        <v>46257</v>
      </c>
      <c r="AJ965" s="713">
        <v>46263</v>
      </c>
      <c r="AK965" s="437">
        <v>46263</v>
      </c>
      <c r="AL965" s="713">
        <v>46305</v>
      </c>
      <c r="AM965" s="713"/>
      <c r="AN965" s="949"/>
      <c r="AO965" s="462" t="s">
        <v>402</v>
      </c>
      <c r="AP965" s="462" t="s">
        <v>6387</v>
      </c>
      <c r="AQ965" s="462" t="s">
        <v>161</v>
      </c>
      <c r="AR965" s="462" t="s">
        <v>6388</v>
      </c>
      <c r="AS965" s="462" t="s">
        <v>6389</v>
      </c>
      <c r="AT965" s="462" t="s">
        <v>6389</v>
      </c>
      <c r="AU9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65" s="713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13">
        <f>IF(ISERROR(PV_DATA[[#This Row],[New Ark PO status]]),"",_xlfn.XLOOKUP(PV_DATA[[#This Row],[SPTN-PVHK New Ark PO'#]],New_Ark_Data[Purchase order Number],New_Ark_Data[Estimated time of arrival],"",0))</f>
        <v>46318</v>
      </c>
      <c r="AZ965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5" s="713">
        <f>IFERROR(PV_DATA[[#This Row],[ODP ETA Port]]+PV_DATA[[#This Row],[Customs/Leg3 Assumption]],"n/a")</f>
        <v>46312</v>
      </c>
      <c r="BB965" s="946">
        <f>YEAR(PV_DATA[[#This Row],[ETA for New Ark update]])</f>
        <v>2026</v>
      </c>
      <c r="BC965" s="462">
        <f>MONTH(PV_DATA[[#This Row],[ETA for New Ark update]])</f>
        <v>10</v>
      </c>
      <c r="BD965" s="462">
        <f>IFERROR(_xlfn.ISOWEEKNUM(PV_DATA[[#This Row],[ETA for New Ark update]]),0)</f>
        <v>42</v>
      </c>
      <c r="BE965" s="462">
        <f>_xlfn.XLOOKUP(PV_DATA[[#This Row],[New Ark SKU]],Table9[New Ark SKU],Table9[Total PCS per Pallet],,0)</f>
        <v>36</v>
      </c>
      <c r="BF965" s="462">
        <f>_xlfn.XLOOKUP(PV_DATA[[#This Row],[New Ark SKU]],Table9[New Ark SKU],Table9[Total PCS per 40HQ Container],,0)</f>
        <v>864</v>
      </c>
      <c r="BG965" s="462" t="str">
        <f>_xlfn.XLOOKUP(PV_DATA[[#This Row],[New Ark SKU]],Table9[New Ark SKU],Table9[Back Glass],,0)</f>
        <v>Black glazing</v>
      </c>
      <c r="BH965" s="948" t="str">
        <f>_xlfn.XLOOKUP(PV_DATA[[#This Row],[PORT DESTINATION]],Table12[PORT DESTINATION],Table12[Cosco Line],,0)</f>
        <v>AEU</v>
      </c>
    </row>
    <row r="966" spans="1:60" s="462" customFormat="1" ht="10.5">
      <c r="A966" s="729" t="s">
        <v>6393</v>
      </c>
      <c r="B966" s="462" t="s">
        <v>61</v>
      </c>
      <c r="C966" s="462" t="str">
        <f>IFERROR(LEFT(PV_DATA[[#This Row],[TCL REFERENCE]],FIND(".",PV_DATA[[#This Row],[TCL REFERENCE]],1)-1),"Main Line")</f>
        <v>26Aug004</v>
      </c>
      <c r="D966" s="462" t="s">
        <v>63</v>
      </c>
      <c r="E966" s="462" t="s">
        <v>64</v>
      </c>
      <c r="F966" s="462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6" s="462" t="s">
        <v>402</v>
      </c>
      <c r="H966" s="462" t="s">
        <v>67</v>
      </c>
      <c r="I966" s="462" t="s">
        <v>882</v>
      </c>
      <c r="J966" s="462" t="s">
        <v>96</v>
      </c>
      <c r="M966" s="462" t="s">
        <v>68</v>
      </c>
      <c r="N966" s="712">
        <v>46237</v>
      </c>
      <c r="O966" s="462" t="s">
        <v>4531</v>
      </c>
      <c r="P966" s="462" t="s">
        <v>1151</v>
      </c>
      <c r="Q966" s="462" t="s">
        <v>421</v>
      </c>
      <c r="R966" s="430" t="str">
        <f>_xlfn.XLOOKUP(PV_DATA[[#This Row],[New Ark SKU]],Table9[New Ark SKU],Table9[Connector],,0)</f>
        <v>EVO2A</v>
      </c>
      <c r="S966" s="433" t="str">
        <f>_xlfn.XLOOKUP(PV_DATA[[#This Row],[New Ark SKU]],Table9[New Ark SKU],Table9[Cable],,0)</f>
        <v>±1200mm</v>
      </c>
      <c r="T966" s="946">
        <v>505</v>
      </c>
      <c r="U966" s="1095">
        <f>864*6</f>
        <v>5184</v>
      </c>
      <c r="V966" s="458">
        <f>PV_DATA[[#This Row],[QUANTITY]]*PV_DATA[[#This Row],[WATT]]/1000000</f>
        <v>2.6179199999999998</v>
      </c>
      <c r="W966" s="714">
        <f>PV_DATA[[#This Row],[QUANTITY]]/PV_DATA[[#This Row],[Qty/Pallet]]</f>
        <v>144</v>
      </c>
      <c r="X966" s="1042">
        <f>PV_DATA[[#This Row],[QUANTITY]]/PV_DATA[[#This Row],[Qty/CT]]</f>
        <v>6</v>
      </c>
      <c r="Y966" s="462" t="s">
        <v>2465</v>
      </c>
      <c r="Z966" s="462" t="str">
        <f t="shared" si="13"/>
        <v>IN-TRANSIT</v>
      </c>
      <c r="AA966" s="462" t="s">
        <v>6394</v>
      </c>
      <c r="AB966" s="713">
        <v>46249</v>
      </c>
      <c r="AC966" s="947">
        <f>IF(PV_DATA[[#This Row],[Pick- Up Date]]&lt;&gt;"",_xlfn.ISOWEEKNUM(PV_DATA[[#This Row],[Pick- Up Date]]),"")</f>
        <v>33</v>
      </c>
      <c r="AD966" s="462" t="s">
        <v>6395</v>
      </c>
      <c r="AE966" s="462" t="s">
        <v>6395</v>
      </c>
      <c r="AF966" s="462" t="s">
        <v>61</v>
      </c>
      <c r="AG966" s="462" t="s">
        <v>61</v>
      </c>
      <c r="AH966" s="462" t="s">
        <v>105</v>
      </c>
      <c r="AI966" s="713">
        <v>46257</v>
      </c>
      <c r="AJ966" s="713">
        <v>46263</v>
      </c>
      <c r="AK966" s="437">
        <v>46263</v>
      </c>
      <c r="AL966" s="713">
        <v>46305</v>
      </c>
      <c r="AM966" s="713"/>
      <c r="AN966" s="949"/>
      <c r="AO966" s="462" t="s">
        <v>402</v>
      </c>
      <c r="AP966" s="462" t="s">
        <v>6387</v>
      </c>
      <c r="AQ966" s="462" t="s">
        <v>161</v>
      </c>
      <c r="AR966" s="462" t="s">
        <v>6388</v>
      </c>
      <c r="AS966" s="462" t="s">
        <v>6389</v>
      </c>
      <c r="AT966" s="462" t="s">
        <v>6389</v>
      </c>
      <c r="AU9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66" s="713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13">
        <f>IF(ISERROR(PV_DATA[[#This Row],[New Ark PO status]]),"",_xlfn.XLOOKUP(PV_DATA[[#This Row],[SPTN-PVHK New Ark PO'#]],New_Ark_Data[Purchase order Number],New_Ark_Data[Estimated time of arrival],"",0))</f>
        <v>46318</v>
      </c>
      <c r="AZ966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6" s="713">
        <f>IFERROR(PV_DATA[[#This Row],[ODP ETA Port]]+PV_DATA[[#This Row],[Customs/Leg3 Assumption]],"n/a")</f>
        <v>46312</v>
      </c>
      <c r="BB966" s="946">
        <f>YEAR(PV_DATA[[#This Row],[ETA for New Ark update]])</f>
        <v>2026</v>
      </c>
      <c r="BC966" s="462">
        <f>MONTH(PV_DATA[[#This Row],[ETA for New Ark update]])</f>
        <v>10</v>
      </c>
      <c r="BD966" s="462">
        <f>IFERROR(_xlfn.ISOWEEKNUM(PV_DATA[[#This Row],[ETA for New Ark update]]),0)</f>
        <v>42</v>
      </c>
      <c r="BE966" s="462">
        <f>_xlfn.XLOOKUP(PV_DATA[[#This Row],[New Ark SKU]],Table9[New Ark SKU],Table9[Total PCS per Pallet],,0)</f>
        <v>36</v>
      </c>
      <c r="BF966" s="462">
        <f>_xlfn.XLOOKUP(PV_DATA[[#This Row],[New Ark SKU]],Table9[New Ark SKU],Table9[Total PCS per 40HQ Container],,0)</f>
        <v>864</v>
      </c>
      <c r="BG966" s="462" t="str">
        <f>_xlfn.XLOOKUP(PV_DATA[[#This Row],[New Ark SKU]],Table9[New Ark SKU],Table9[Back Glass],,0)</f>
        <v>Black glazing</v>
      </c>
      <c r="BH966" s="948" t="str">
        <f>_xlfn.XLOOKUP(PV_DATA[[#This Row],[PORT DESTINATION]],Table12[PORT DESTINATION],Table12[Cosco Line],,0)</f>
        <v>AEU</v>
      </c>
    </row>
    <row r="967" spans="1:60" s="462" customFormat="1" ht="10.5">
      <c r="A967" s="462" t="s">
        <v>6396</v>
      </c>
      <c r="B967" s="462" t="s">
        <v>61</v>
      </c>
      <c r="C967" s="462" t="str">
        <f>IFERROR(LEFT(PV_DATA[[#This Row],[TCL REFERENCE]],FIND(".",PV_DATA[[#This Row],[TCL REFERENCE]],1)-1),"Main Line")</f>
        <v>26Jun005</v>
      </c>
      <c r="D967" s="462" t="s">
        <v>63</v>
      </c>
      <c r="E967" s="462" t="s">
        <v>64</v>
      </c>
      <c r="F967" s="462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7" s="462" t="s">
        <v>402</v>
      </c>
      <c r="H967" s="462" t="s">
        <v>67</v>
      </c>
      <c r="I967" s="462" t="s">
        <v>689</v>
      </c>
      <c r="J967" s="462" t="s">
        <v>96</v>
      </c>
      <c r="M967" s="462" t="s">
        <v>68</v>
      </c>
      <c r="N967" s="712">
        <v>46188</v>
      </c>
      <c r="O967" s="462" t="s">
        <v>4531</v>
      </c>
      <c r="P967" s="462" t="s">
        <v>1461</v>
      </c>
      <c r="Q967" s="462" t="s">
        <v>103</v>
      </c>
      <c r="R967" s="430" t="str">
        <f>_xlfn.XLOOKUP(PV_DATA[[#This Row],[New Ark SKU]],Table9[New Ark SKU],Table9[Connector],,0)</f>
        <v>EVO2A</v>
      </c>
      <c r="S967" s="433" t="str">
        <f>_xlfn.XLOOKUP(PV_DATA[[#This Row],[New Ark SKU]],Table9[New Ark SKU],Table9[Cable],,0)</f>
        <v>±1400mm</v>
      </c>
      <c r="T967" s="946">
        <v>620</v>
      </c>
      <c r="U967" s="1095">
        <v>1440</v>
      </c>
      <c r="V967" s="458">
        <f>PV_DATA[[#This Row],[QUANTITY]]*PV_DATA[[#This Row],[WATT]]/1000000</f>
        <v>0.89280000000000004</v>
      </c>
      <c r="W967" s="714">
        <f>PV_DATA[[#This Row],[QUANTITY]]/PV_DATA[[#This Row],[Qty/Pallet]]</f>
        <v>40</v>
      </c>
      <c r="X967" s="1042">
        <f>PV_DATA[[#This Row],[QUANTITY]]/PV_DATA[[#This Row],[Qty/CT]]</f>
        <v>2</v>
      </c>
      <c r="Y967" s="462" t="s">
        <v>2462</v>
      </c>
      <c r="Z967" s="462" t="str">
        <f t="shared" si="13"/>
        <v>IN-TRANSIT</v>
      </c>
      <c r="AA967" s="462" t="s">
        <v>5853</v>
      </c>
      <c r="AB967" s="713">
        <v>46247</v>
      </c>
      <c r="AC967" s="947">
        <f>IF(PV_DATA[[#This Row],[Pick- Up Date]]&lt;&gt;"",_xlfn.ISOWEEKNUM(PV_DATA[[#This Row],[Pick- Up Date]]),"")</f>
        <v>33</v>
      </c>
      <c r="AD967" s="462" t="s">
        <v>6397</v>
      </c>
      <c r="AF967" s="462" t="s">
        <v>61</v>
      </c>
      <c r="AG967" s="462" t="s">
        <v>61</v>
      </c>
      <c r="AH967" s="462" t="s">
        <v>105</v>
      </c>
      <c r="AI967" s="713">
        <v>46253</v>
      </c>
      <c r="AJ967" s="713"/>
      <c r="AK967" s="713">
        <v>46254</v>
      </c>
      <c r="AL967" s="713">
        <v>46305</v>
      </c>
      <c r="AM967" s="713"/>
      <c r="AN967" s="949"/>
      <c r="AO967" s="462" t="s">
        <v>402</v>
      </c>
      <c r="AP967" s="462" t="s">
        <v>6398</v>
      </c>
      <c r="AQ967" s="462" t="s">
        <v>161</v>
      </c>
      <c r="AR967" s="462" t="s">
        <v>6399</v>
      </c>
      <c r="AS967" s="462" t="s">
        <v>6400</v>
      </c>
      <c r="AT967" s="462" t="s">
        <v>6400</v>
      </c>
      <c r="AU9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67" s="713"/>
      <c r="AW967" s="713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13">
        <f>IF(ISERROR(PV_DATA[[#This Row],[New Ark PO status]]),"",_xlfn.XLOOKUP(PV_DATA[[#This Row],[SPTN-PVHK New Ark PO'#]],New_Ark_Data[Purchase order Number],New_Ark_Data[Estimated time of arrival],"",0))</f>
        <v>46312</v>
      </c>
      <c r="AZ967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7" s="713">
        <f>IFERROR(PV_DATA[[#This Row],[ODP ETA Port]]+PV_DATA[[#This Row],[Customs/Leg3 Assumption]],"n/a")</f>
        <v>46312</v>
      </c>
      <c r="BB967" s="946">
        <f>YEAR(PV_DATA[[#This Row],[ETA for New Ark update]])</f>
        <v>2026</v>
      </c>
      <c r="BC967" s="462">
        <f>MONTH(PV_DATA[[#This Row],[ETA for New Ark update]])</f>
        <v>10</v>
      </c>
      <c r="BD967" s="462">
        <f>IFERROR(_xlfn.ISOWEEKNUM(PV_DATA[[#This Row],[ETA for New Ark update]]),0)</f>
        <v>42</v>
      </c>
      <c r="BE967" s="462">
        <f>_xlfn.XLOOKUP(PV_DATA[[#This Row],[New Ark SKU]],Table9[New Ark SKU],Table9[Total PCS per Pallet],,0)</f>
        <v>36</v>
      </c>
      <c r="BF967" s="462">
        <f>_xlfn.XLOOKUP(PV_DATA[[#This Row],[New Ark SKU]],Table9[New Ark SKU],Table9[Total PCS per 40HQ Container],,0)</f>
        <v>720</v>
      </c>
      <c r="BG967" s="462" t="str">
        <f>_xlfn.XLOOKUP(PV_DATA[[#This Row],[New Ark SKU]],Table9[New Ark SKU],Table9[Back Glass],,0)</f>
        <v>Redirection Film</v>
      </c>
      <c r="BH967" s="462" t="str">
        <f>_xlfn.XLOOKUP(PV_DATA[[#This Row],[PORT DESTINATION]],Table12[PORT DESTINATION],Table12[Cosco Line],,0)</f>
        <v>AEU</v>
      </c>
    </row>
    <row r="968" spans="1:60" s="462" customFormat="1" ht="10.5">
      <c r="A968" s="462" t="s">
        <v>6401</v>
      </c>
      <c r="B968" s="462" t="s">
        <v>61</v>
      </c>
      <c r="C968" s="462" t="str">
        <f>IFERROR(LEFT(PV_DATA[[#This Row],[TCL REFERENCE]],FIND(".",PV_DATA[[#This Row],[TCL REFERENCE]],1)-1),"Main Line")</f>
        <v>Main Line</v>
      </c>
      <c r="D968" s="462" t="s">
        <v>63</v>
      </c>
      <c r="E968" s="462" t="s">
        <v>64</v>
      </c>
      <c r="F968" s="462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8" s="462" t="s">
        <v>402</v>
      </c>
      <c r="H968" s="462" t="s">
        <v>67</v>
      </c>
      <c r="I968" s="462" t="s">
        <v>689</v>
      </c>
      <c r="J968" s="462" t="s">
        <v>96</v>
      </c>
      <c r="M968" s="462" t="s">
        <v>68</v>
      </c>
      <c r="N968" s="712">
        <v>46188</v>
      </c>
      <c r="O968" s="462" t="s">
        <v>4531</v>
      </c>
      <c r="P968" s="462" t="s">
        <v>1002</v>
      </c>
      <c r="Q968" s="462" t="s">
        <v>330</v>
      </c>
      <c r="R968" s="430" t="str">
        <f>_xlfn.XLOOKUP(PV_DATA[[#This Row],[New Ark SKU]],Table9[New Ark SKU],Table9[Connector],,0)</f>
        <v>EVO2A</v>
      </c>
      <c r="S968" s="433" t="str">
        <f>_xlfn.XLOOKUP(PV_DATA[[#This Row],[New Ark SKU]],Table9[New Ark SKU],Table9[Cable],,0)</f>
        <v>±1400mm</v>
      </c>
      <c r="T968" s="946">
        <v>625</v>
      </c>
      <c r="U968" s="1095" cm="1">
        <f t="array" ref="U968">9360-fx_qty</f>
        <v>2880</v>
      </c>
      <c r="V968" s="458">
        <f>PV_DATA[[#This Row],[QUANTITY]]*PV_DATA[[#This Row],[WATT]]/1000000</f>
        <v>1.8</v>
      </c>
      <c r="W968" s="714">
        <f>PV_DATA[[#This Row],[QUANTITY]]/PV_DATA[[#This Row],[Qty/Pallet]]</f>
        <v>80</v>
      </c>
      <c r="X968" s="1042">
        <f>PV_DATA[[#This Row],[QUANTITY]]/PV_DATA[[#This Row],[Qty/CT]]</f>
        <v>4</v>
      </c>
      <c r="Y968" s="462" t="s">
        <v>2462</v>
      </c>
      <c r="Z968" s="462" t="str">
        <f t="shared" si="13"/>
        <v>IN-TRANSIT</v>
      </c>
      <c r="AA968" s="462" t="s">
        <v>5853</v>
      </c>
      <c r="AB968" s="713">
        <v>46247</v>
      </c>
      <c r="AC968" s="947">
        <f>IF(PV_DATA[[#This Row],[Pick- Up Date]]&lt;&gt;"",_xlfn.ISOWEEKNUM(PV_DATA[[#This Row],[Pick- Up Date]]),"")</f>
        <v>33</v>
      </c>
      <c r="AD968" s="462" t="s">
        <v>6402</v>
      </c>
      <c r="AF968" s="462" t="s">
        <v>61</v>
      </c>
      <c r="AG968" s="462" t="s">
        <v>61</v>
      </c>
      <c r="AH968" s="462" t="s">
        <v>105</v>
      </c>
      <c r="AI968" s="713">
        <v>46253</v>
      </c>
      <c r="AJ968" s="713"/>
      <c r="AK968" s="713">
        <v>46254</v>
      </c>
      <c r="AL968" s="713">
        <v>46305</v>
      </c>
      <c r="AM968" s="713"/>
      <c r="AN968" s="949"/>
      <c r="AO968" s="462" t="s">
        <v>402</v>
      </c>
      <c r="AP968" s="462" t="s">
        <v>6398</v>
      </c>
      <c r="AQ968" s="462" t="s">
        <v>161</v>
      </c>
      <c r="AR968" s="462" t="s">
        <v>6399</v>
      </c>
      <c r="AS968" s="462" t="s">
        <v>6400</v>
      </c>
      <c r="AT968" s="462" t="s">
        <v>6400</v>
      </c>
      <c r="AU9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68" s="713"/>
      <c r="AW968" s="713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13">
        <f>IF(ISERROR(PV_DATA[[#This Row],[New Ark PO status]]),"",_xlfn.XLOOKUP(PV_DATA[[#This Row],[SPTN-PVHK New Ark PO'#]],New_Ark_Data[Purchase order Number],New_Ark_Data[Estimated time of arrival],"",0))</f>
        <v>46312</v>
      </c>
      <c r="AZ968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8" s="713">
        <f>IFERROR(PV_DATA[[#This Row],[ODP ETA Port]]+PV_DATA[[#This Row],[Customs/Leg3 Assumption]],"n/a")</f>
        <v>46312</v>
      </c>
      <c r="BB968" s="946">
        <f>YEAR(PV_DATA[[#This Row],[ETA for New Ark update]])</f>
        <v>2026</v>
      </c>
      <c r="BC968" s="462">
        <f>MONTH(PV_DATA[[#This Row],[ETA for New Ark update]])</f>
        <v>10</v>
      </c>
      <c r="BD968" s="462">
        <f>IFERROR(_xlfn.ISOWEEKNUM(PV_DATA[[#This Row],[ETA for New Ark update]]),0)</f>
        <v>42</v>
      </c>
      <c r="BE968" s="462">
        <f>_xlfn.XLOOKUP(PV_DATA[[#This Row],[New Ark SKU]],Table9[New Ark SKU],Table9[Total PCS per Pallet],,0)</f>
        <v>36</v>
      </c>
      <c r="BF968" s="462">
        <f>_xlfn.XLOOKUP(PV_DATA[[#This Row],[New Ark SKU]],Table9[New Ark SKU],Table9[Total PCS per 40HQ Container],,0)</f>
        <v>720</v>
      </c>
      <c r="BG968" s="462" t="str">
        <f>_xlfn.XLOOKUP(PV_DATA[[#This Row],[New Ark SKU]],Table9[New Ark SKU],Table9[Back Glass],,0)</f>
        <v>Redirection Film</v>
      </c>
      <c r="BH968" s="462" t="str">
        <f>_xlfn.XLOOKUP(PV_DATA[[#This Row],[PORT DESTINATION]],Table12[PORT DESTINATION],Table12[Cosco Line],,0)</f>
        <v>AEU</v>
      </c>
    </row>
    <row r="969" spans="1:60" s="462" customFormat="1" ht="10.5">
      <c r="A969" s="462" t="s">
        <v>6403</v>
      </c>
      <c r="B969" s="462" t="s">
        <v>61</v>
      </c>
      <c r="C969" s="462" t="str">
        <f>IFERROR(LEFT(PV_DATA[[#This Row],[TCL REFERENCE]],FIND(".",PV_DATA[[#This Row],[TCL REFERENCE]],1)-1),"Main Line")</f>
        <v>26Jun005</v>
      </c>
      <c r="D969" s="462" t="s">
        <v>63</v>
      </c>
      <c r="E969" s="462" t="s">
        <v>64</v>
      </c>
      <c r="F969" s="462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9" s="462" t="s">
        <v>402</v>
      </c>
      <c r="H969" s="462" t="s">
        <v>67</v>
      </c>
      <c r="I969" s="462" t="s">
        <v>689</v>
      </c>
      <c r="J969" s="462" t="s">
        <v>96</v>
      </c>
      <c r="M969" s="462" t="s">
        <v>68</v>
      </c>
      <c r="N969" s="712">
        <v>46188</v>
      </c>
      <c r="O969" s="462" t="s">
        <v>4531</v>
      </c>
      <c r="P969" s="462" t="s">
        <v>1461</v>
      </c>
      <c r="Q969" s="462" t="s">
        <v>103</v>
      </c>
      <c r="R969" s="430" t="str">
        <f>_xlfn.XLOOKUP(PV_DATA[[#This Row],[New Ark SKU]],Table9[New Ark SKU],Table9[Connector],,0)</f>
        <v>EVO2A</v>
      </c>
      <c r="S969" s="433" t="str">
        <f>_xlfn.XLOOKUP(PV_DATA[[#This Row],[New Ark SKU]],Table9[New Ark SKU],Table9[Cable],,0)</f>
        <v>±1400mm</v>
      </c>
      <c r="T969" s="946">
        <v>620</v>
      </c>
      <c r="U969" s="1095">
        <f>720*3</f>
        <v>2160</v>
      </c>
      <c r="V969" s="458">
        <f>PV_DATA[[#This Row],[QUANTITY]]*PV_DATA[[#This Row],[WATT]]/1000000</f>
        <v>1.3391999999999999</v>
      </c>
      <c r="W969" s="714">
        <f>PV_DATA[[#This Row],[QUANTITY]]/PV_DATA[[#This Row],[Qty/Pallet]]</f>
        <v>60</v>
      </c>
      <c r="X969" s="1042">
        <f>PV_DATA[[#This Row],[QUANTITY]]/PV_DATA[[#This Row],[Qty/CT]]</f>
        <v>3</v>
      </c>
      <c r="Y969" s="462" t="s">
        <v>2462</v>
      </c>
      <c r="Z969" s="462" t="str">
        <f t="shared" si="13"/>
        <v>IN-TRANSIT</v>
      </c>
      <c r="AA969" s="462" t="s">
        <v>5853</v>
      </c>
      <c r="AB969" s="713">
        <v>46253</v>
      </c>
      <c r="AC969" s="947">
        <f>IF(PV_DATA[[#This Row],[Pick- Up Date]]&lt;&gt;"",_xlfn.ISOWEEKNUM(PV_DATA[[#This Row],[Pick- Up Date]]),"")</f>
        <v>34</v>
      </c>
      <c r="AD969" s="462" t="s">
        <v>6404</v>
      </c>
      <c r="AE969" s="462" t="s">
        <v>6404</v>
      </c>
      <c r="AF969" s="462" t="s">
        <v>61</v>
      </c>
      <c r="AG969" s="462" t="s">
        <v>61</v>
      </c>
      <c r="AH969" s="462" t="s">
        <v>78</v>
      </c>
      <c r="AI969" s="713">
        <v>46258</v>
      </c>
      <c r="AJ969" s="713">
        <v>46259</v>
      </c>
      <c r="AK969" s="713">
        <f>IFERROR(IF(VLOOKUP(AT969,Vessel!A:F,5,FALSE)=0,"",VLOOKUP(AT969,Vessel!A:F,5,FALSE)),"")</f>
        <v>46259.371157407404</v>
      </c>
      <c r="AL969" s="713">
        <v>46321</v>
      </c>
      <c r="AM969" s="949">
        <f>IFERROR(VLOOKUP(AT969, Vessel!A:H, 8, FALSE), "")</f>
        <v>46330.25</v>
      </c>
      <c r="AN969" s="949" t="str">
        <f>IFERROR(IF(VLOOKUP(AT969,Vessel!A:I,9,FALSE)=0,"",VLOOKUP(AT969,Vessel!A:I,9,FALSE)),"")</f>
        <v/>
      </c>
      <c r="AP969" s="462" t="s">
        <v>6378</v>
      </c>
      <c r="AQ969" s="462" t="s">
        <v>80</v>
      </c>
      <c r="AR969" s="462" t="s">
        <v>6405</v>
      </c>
      <c r="AS969" s="462" t="s">
        <v>6406</v>
      </c>
      <c r="AT969" s="462" t="s">
        <v>6406</v>
      </c>
      <c r="AU9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70.878842592595902</v>
      </c>
      <c r="AV969" s="713"/>
      <c r="AW969" s="713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96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13">
        <f>IF(ISERROR(PV_DATA[[#This Row],[New Ark PO status]]),"",_xlfn.XLOOKUP(PV_DATA[[#This Row],[SPTN-PVHK New Ark PO'#]],New_Ark_Data[Purchase order Number],New_Ark_Data[Estimated time of arrival],"",0))</f>
        <v>46329</v>
      </c>
      <c r="AZ969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9" s="713">
        <f>IFERROR(PV_DATA[[#This Row],[ODP ETA Port]]+PV_DATA[[#This Row],[Customs/Leg3 Assumption]],"n/a")</f>
        <v>46338.25</v>
      </c>
      <c r="BB969" s="946">
        <f>YEAR(PV_DATA[[#This Row],[ETA for New Ark update]])</f>
        <v>2026</v>
      </c>
      <c r="BC969" s="462">
        <f>MONTH(PV_DATA[[#This Row],[ETA for New Ark update]])</f>
        <v>11</v>
      </c>
      <c r="BD969" s="462">
        <f>IFERROR(_xlfn.ISOWEEKNUM(PV_DATA[[#This Row],[ETA for New Ark update]]),0)</f>
        <v>46</v>
      </c>
      <c r="BE969" s="462">
        <f>_xlfn.XLOOKUP(PV_DATA[[#This Row],[New Ark SKU]],Table9[New Ark SKU],Table9[Total PCS per Pallet],,0)</f>
        <v>36</v>
      </c>
      <c r="BF969" s="462">
        <f>_xlfn.XLOOKUP(PV_DATA[[#This Row],[New Ark SKU]],Table9[New Ark SKU],Table9[Total PCS per 40HQ Container],,0)</f>
        <v>720</v>
      </c>
      <c r="BG969" s="462" t="str">
        <f>_xlfn.XLOOKUP(PV_DATA[[#This Row],[New Ark SKU]],Table9[New Ark SKU],Table9[Back Glass],,0)</f>
        <v>Redirection Film</v>
      </c>
      <c r="BH969" s="462" t="str">
        <f>_xlfn.XLOOKUP(PV_DATA[[#This Row],[PORT DESTINATION]],Table12[PORT DESTINATION],Table12[Cosco Line],,0)</f>
        <v>AEM</v>
      </c>
    </row>
    <row r="970" spans="1:60" s="462" customFormat="1" ht="10.5">
      <c r="A970" s="462" t="s">
        <v>6407</v>
      </c>
      <c r="B970" s="462" t="s">
        <v>61</v>
      </c>
      <c r="C970" s="462" t="str">
        <f>IFERROR(LEFT(PV_DATA[[#This Row],[TCL REFERENCE]],FIND(".",PV_DATA[[#This Row],[TCL REFERENCE]],1)-1),"Main Line")</f>
        <v>26Jun021</v>
      </c>
      <c r="D970" s="462" t="s">
        <v>63</v>
      </c>
      <c r="E970" s="462" t="s">
        <v>64</v>
      </c>
      <c r="F970" s="462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70" s="462" t="s">
        <v>402</v>
      </c>
      <c r="H970" s="462" t="s">
        <v>67</v>
      </c>
      <c r="I970" s="462" t="s">
        <v>1395</v>
      </c>
      <c r="J970" s="462" t="s">
        <v>96</v>
      </c>
      <c r="M970" s="462" t="s">
        <v>68</v>
      </c>
      <c r="N970" s="712">
        <v>46202</v>
      </c>
      <c r="O970" s="462" t="s">
        <v>284</v>
      </c>
      <c r="P970" s="730" t="s">
        <v>6159</v>
      </c>
      <c r="Q970" s="462" t="s">
        <v>1570</v>
      </c>
      <c r="R970" s="430" t="str">
        <f>_xlfn.XLOOKUP(PV_DATA[[#This Row],[New Ark SKU]],Table9[New Ark SKU],Table9[Connector],,0)</f>
        <v>EVO2A</v>
      </c>
      <c r="S970" s="433" t="str">
        <f>_xlfn.XLOOKUP(PV_DATA[[#This Row],[New Ark SKU]],Table9[New Ark SKU],Table9[Cable],,0)</f>
        <v>±1400mm</v>
      </c>
      <c r="T970" s="946">
        <v>650</v>
      </c>
      <c r="U970" s="1095">
        <v>720</v>
      </c>
      <c r="V970" s="458">
        <f>PV_DATA[[#This Row],[QUANTITY]]*PV_DATA[[#This Row],[WATT]]/1000000</f>
        <v>0.46800000000000003</v>
      </c>
      <c r="W970" s="714">
        <f>PV_DATA[[#This Row],[QUANTITY]]/PV_DATA[[#This Row],[Qty/Pallet]]</f>
        <v>20</v>
      </c>
      <c r="X970" s="1042">
        <f>PV_DATA[[#This Row],[QUANTITY]]/PV_DATA[[#This Row],[Qty/CT]]</f>
        <v>1</v>
      </c>
      <c r="Y970" s="462" t="s">
        <v>2461</v>
      </c>
      <c r="Z970" s="462" t="str">
        <f t="shared" si="13"/>
        <v>IN-TRANSIT</v>
      </c>
      <c r="AB970" s="713">
        <v>46253</v>
      </c>
      <c r="AC970" s="947">
        <f>IF(PV_DATA[[#This Row],[Pick- Up Date]]&lt;&gt;"",_xlfn.ISOWEEKNUM(PV_DATA[[#This Row],[Pick- Up Date]]),"")</f>
        <v>34</v>
      </c>
      <c r="AD970" s="462" t="s">
        <v>6408</v>
      </c>
      <c r="AE970" s="462" t="s">
        <v>6408</v>
      </c>
      <c r="AF970" s="462" t="s">
        <v>61</v>
      </c>
      <c r="AG970" s="462" t="s">
        <v>61</v>
      </c>
      <c r="AH970" s="462" t="s">
        <v>78</v>
      </c>
      <c r="AI970" s="713">
        <v>46258</v>
      </c>
      <c r="AJ970" s="713">
        <v>46259</v>
      </c>
      <c r="AK970" s="713">
        <f>IFERROR(IF(VLOOKUP(AT970,Vessel!A:F,5,FALSE)=0,"",VLOOKUP(AT970,Vessel!A:F,5,FALSE)),"")</f>
        <v>46259.371157407404</v>
      </c>
      <c r="AL970" s="713">
        <v>46321</v>
      </c>
      <c r="AM970" s="949">
        <f>IFERROR(VLOOKUP(AT970, Vessel!A:H, 8, FALSE), "")</f>
        <v>46330.25</v>
      </c>
      <c r="AN970" s="949" t="str">
        <f>IFERROR(IF(VLOOKUP(AT970,Vessel!A:I,9,FALSE)=0,"",VLOOKUP(AT970,Vessel!A:I,9,FALSE)),"")</f>
        <v/>
      </c>
      <c r="AP970" s="462" t="s">
        <v>6378</v>
      </c>
      <c r="AQ970" s="950" t="s">
        <v>80</v>
      </c>
      <c r="AR970" s="462" t="s">
        <v>6405</v>
      </c>
      <c r="AS970" s="462" t="s">
        <v>6406</v>
      </c>
      <c r="AT970" s="462" t="s">
        <v>6406</v>
      </c>
      <c r="AU9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70.878842592595902</v>
      </c>
      <c r="AW970" s="713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97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13">
        <f>IF(ISERROR(PV_DATA[[#This Row],[New Ark PO status]]),"",_xlfn.XLOOKUP(PV_DATA[[#This Row],[SPTN-PVHK New Ark PO'#]],New_Ark_Data[Purchase order Number],New_Ark_Data[Estimated time of arrival],"",0))</f>
        <v>46329</v>
      </c>
      <c r="AZ970" s="94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70" s="713">
        <f>IFERROR(PV_DATA[[#This Row],[ODP ETA Port]]+PV_DATA[[#This Row],[Customs/Leg3 Assumption]],"n/a")</f>
        <v>46338.25</v>
      </c>
      <c r="BB970" s="946">
        <f>YEAR(PV_DATA[[#This Row],[ETA for New Ark update]])</f>
        <v>2026</v>
      </c>
      <c r="BC970" s="462">
        <f>MONTH(PV_DATA[[#This Row],[ETA for New Ark update]])</f>
        <v>11</v>
      </c>
      <c r="BD970" s="462">
        <f>IFERROR(_xlfn.ISOWEEKNUM(PV_DATA[[#This Row],[ETA for New Ark update]]),0)</f>
        <v>46</v>
      </c>
      <c r="BE970" s="462">
        <f>_xlfn.XLOOKUP(PV_DATA[[#This Row],[New Ark SKU]],Table9[New Ark SKU],Table9[Total PCS per Pallet],,0)</f>
        <v>36</v>
      </c>
      <c r="BF970" s="462">
        <f>_xlfn.XLOOKUP(PV_DATA[[#This Row],[New Ark SKU]],Table9[New Ark SKU],Table9[Total PCS per 40HQ Container],,0)</f>
        <v>720</v>
      </c>
      <c r="BG970" s="462" t="str">
        <f>_xlfn.XLOOKUP(PV_DATA[[#This Row],[New Ark SKU]],Table9[New Ark SKU],Table9[Back Glass],,0)</f>
        <v>White glazing</v>
      </c>
      <c r="BH970" s="462" t="str">
        <f>_xlfn.XLOOKUP(PV_DATA[[#This Row],[PORT DESTINATION]],Table12[PORT DESTINATION],Table12[Cosco Line],,0)</f>
        <v>AEM</v>
      </c>
    </row>
    <row r="971" spans="1:60" s="462" customFormat="1" ht="10.5">
      <c r="A971" s="462" t="s">
        <v>6409</v>
      </c>
      <c r="B971" s="462" t="s">
        <v>61</v>
      </c>
      <c r="C971" s="462" t="str">
        <f>IFERROR(LEFT(PV_DATA[[#This Row],[TCL REFERENCE]],FIND(".",PV_DATA[[#This Row],[TCL REFERENCE]],1)-1),"Main Line")</f>
        <v>26Aug004</v>
      </c>
      <c r="D971" s="462" t="s">
        <v>63</v>
      </c>
      <c r="E971" s="462" t="s">
        <v>144</v>
      </c>
      <c r="F971" s="462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1" s="462" t="s">
        <v>146</v>
      </c>
      <c r="H971" s="462" t="s">
        <v>4964</v>
      </c>
      <c r="I971" s="462" t="s">
        <v>869</v>
      </c>
      <c r="J971" s="462" t="s">
        <v>4964</v>
      </c>
      <c r="K971" s="462" t="s">
        <v>6340</v>
      </c>
      <c r="L971" s="462">
        <v>2</v>
      </c>
      <c r="M971" s="462" t="s">
        <v>4967</v>
      </c>
      <c r="N971" s="712">
        <v>46237</v>
      </c>
      <c r="O971" s="462" t="s">
        <v>4531</v>
      </c>
      <c r="P971" s="462" t="s">
        <v>1151</v>
      </c>
      <c r="Q971" s="462" t="s">
        <v>421</v>
      </c>
      <c r="R971" s="430" t="str">
        <f>_xlfn.XLOOKUP(PV_DATA[[#This Row],[New Ark SKU]],Table9[New Ark SKU],Table9[Connector],,0)</f>
        <v>EVO2A</v>
      </c>
      <c r="S971" s="433" t="str">
        <f>_xlfn.XLOOKUP(PV_DATA[[#This Row],[New Ark SKU]],Table9[New Ark SKU],Table9[Cable],,0)</f>
        <v>±1200mm</v>
      </c>
      <c r="T971" s="946">
        <v>505</v>
      </c>
      <c r="U971" s="1095">
        <f>864*2</f>
        <v>1728</v>
      </c>
      <c r="V971" s="458">
        <f>PV_DATA[[#This Row],[QUANTITY]]*PV_DATA[[#This Row],[WATT]]/1000000</f>
        <v>0.87263999999999997</v>
      </c>
      <c r="W971" s="714">
        <f>PV_DATA[[#This Row],[QUANTITY]]/PV_DATA[[#This Row],[Qty/Pallet]]</f>
        <v>48</v>
      </c>
      <c r="X971" s="1042">
        <f>PV_DATA[[#This Row],[QUANTITY]]/PV_DATA[[#This Row],[Qty/CT]]</f>
        <v>2</v>
      </c>
      <c r="Y971" s="462" t="s">
        <v>2464</v>
      </c>
      <c r="Z971" s="462" t="str">
        <f t="shared" si="13"/>
        <v>IN-TRANSIT</v>
      </c>
      <c r="AA971" s="462" t="s">
        <v>6410</v>
      </c>
      <c r="AB971" s="713">
        <v>46253</v>
      </c>
      <c r="AC971" s="947">
        <f>IF(PV_DATA[[#This Row],[Pick- Up Date]]&lt;&gt;"",_xlfn.ISOWEEKNUM(PV_DATA[[#This Row],[Pick- Up Date]]),"")</f>
        <v>34</v>
      </c>
      <c r="AD971" s="462" t="s">
        <v>6411</v>
      </c>
      <c r="AE971" s="462" t="s">
        <v>6411</v>
      </c>
      <c r="AF971" s="462" t="s">
        <v>61</v>
      </c>
      <c r="AG971" s="462" t="s">
        <v>61</v>
      </c>
      <c r="AH971" s="462" t="s">
        <v>78</v>
      </c>
      <c r="AI971" s="971">
        <v>46258</v>
      </c>
      <c r="AJ971" s="713">
        <v>46259</v>
      </c>
      <c r="AK971" s="713">
        <f>IFERROR(IF(VLOOKUP(AT971,Vessel!A:F,5,FALSE)=0,"",VLOOKUP(AT971,Vessel!A:F,5,FALSE)),"")</f>
        <v>46259.371157407404</v>
      </c>
      <c r="AL971" s="971">
        <v>46316</v>
      </c>
      <c r="AM971" s="949">
        <f>IFERROR(VLOOKUP(AT971, Vessel!A:H, 8, FALSE), "")</f>
        <v>46316.833333333336</v>
      </c>
      <c r="AN971" s="949" t="str">
        <f>IFERROR(IF(VLOOKUP(AT971,Vessel!A:I,9,FALSE)=0,"",VLOOKUP(AT971,Vessel!A:I,9,FALSE)),"")</f>
        <v/>
      </c>
      <c r="AP971" s="462" t="s">
        <v>6378</v>
      </c>
      <c r="AQ971" s="950" t="s">
        <v>80</v>
      </c>
      <c r="AR971" s="462" t="s">
        <v>6412</v>
      </c>
      <c r="AS971" s="462" t="s">
        <v>6413</v>
      </c>
      <c r="AT971" s="462" t="s">
        <v>6413</v>
      </c>
      <c r="AU9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57.46217592593166</v>
      </c>
      <c r="AW971" s="713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46316.833333333336</v>
      </c>
      <c r="AX97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1" s="713">
        <f>IF(ISERROR(PV_DATA[[#This Row],[New Ark PO status]]),"",_xlfn.XLOOKUP(PV_DATA[[#This Row],[SPTN-PVHK New Ark PO'#]],New_Ark_Data[Purchase order Number],New_Ark_Data[Estimated time of arrival],"",0))</f>
        <v>46316</v>
      </c>
      <c r="AZ971" s="9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1" s="713">
        <f>IFERROR(PV_DATA[[#This Row],[ODP ETA Port]]+PV_DATA[[#This Row],[Customs/Leg3 Assumption]],"n/a")</f>
        <v>46316.833333333336</v>
      </c>
      <c r="BB971" s="946">
        <f>YEAR(PV_DATA[[#This Row],[ETA for New Ark update]])</f>
        <v>2026</v>
      </c>
      <c r="BC971" s="462">
        <f>MONTH(PV_DATA[[#This Row],[ETA for New Ark update]])</f>
        <v>10</v>
      </c>
      <c r="BD971" s="462">
        <f>IFERROR(_xlfn.ISOWEEKNUM(PV_DATA[[#This Row],[ETA for New Ark update]]),0)</f>
        <v>43</v>
      </c>
      <c r="BE971" s="462">
        <f>_xlfn.XLOOKUP(PV_DATA[[#This Row],[New Ark SKU]],Table9[New Ark SKU],Table9[Total PCS per Pallet],,0)</f>
        <v>36</v>
      </c>
      <c r="BF971" s="462">
        <f>_xlfn.XLOOKUP(PV_DATA[[#This Row],[New Ark SKU]],Table9[New Ark SKU],Table9[Total PCS per 40HQ Container],,0)</f>
        <v>864</v>
      </c>
      <c r="BG971" s="462" t="str">
        <f>_xlfn.XLOOKUP(PV_DATA[[#This Row],[New Ark SKU]],Table9[New Ark SKU],Table9[Back Glass],,0)</f>
        <v>Black glazing</v>
      </c>
      <c r="BH971" s="948" t="str">
        <f>_xlfn.XLOOKUP(PV_DATA[[#This Row],[PORT DESTINATION]],Table12[PORT DESTINATION],Table12[Cosco Line],,0)</f>
        <v>AEM</v>
      </c>
    </row>
    <row r="972" spans="1:60" s="431" customFormat="1" ht="10.5">
      <c r="A972" s="728" t="s">
        <v>6414</v>
      </c>
      <c r="B972" s="439" t="s">
        <v>61</v>
      </c>
      <c r="C972" s="439" t="str">
        <f>IFERROR(LEFT(PV_DATA[[#This Row],[TCL REFERENCE]],FIND(".",PV_DATA[[#This Row],[TCL REFERENCE]],1)-1),"Main Line")</f>
        <v>26Aug004</v>
      </c>
      <c r="D972" s="439" t="s">
        <v>63</v>
      </c>
      <c r="E972" s="439" t="s">
        <v>64</v>
      </c>
      <c r="F972" s="439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2" s="439" t="s">
        <v>402</v>
      </c>
      <c r="H972" s="439" t="s">
        <v>67</v>
      </c>
      <c r="I972" s="439" t="s">
        <v>6415</v>
      </c>
      <c r="J972" s="431" t="s">
        <v>96</v>
      </c>
      <c r="M972" s="430" t="s">
        <v>6315</v>
      </c>
      <c r="N972" s="461">
        <v>46237</v>
      </c>
      <c r="O972" s="431" t="s">
        <v>4531</v>
      </c>
      <c r="P972" s="431" t="s">
        <v>1151</v>
      </c>
      <c r="Q972" s="431" t="s">
        <v>421</v>
      </c>
      <c r="R972" s="430" t="str">
        <f>_xlfn.XLOOKUP(PV_DATA[[#This Row],[New Ark SKU]],Table9[New Ark SKU],Table9[Connector],,0)</f>
        <v>EVO2A</v>
      </c>
      <c r="S972" s="433" t="str">
        <f>_xlfn.XLOOKUP(PV_DATA[[#This Row],[New Ark SKU]],Table9[New Ark SKU],Table9[Cable],,0)</f>
        <v>±1200mm</v>
      </c>
      <c r="T972" s="442">
        <v>505</v>
      </c>
      <c r="U972" s="1093">
        <v>1728</v>
      </c>
      <c r="V972" s="448">
        <f>PV_DATA[[#This Row],[QUANTITY]]*PV_DATA[[#This Row],[WATT]]/1000000</f>
        <v>0.87263999999999997</v>
      </c>
      <c r="W972" s="466">
        <f>PV_DATA[[#This Row],[QUANTITY]]/PV_DATA[[#This Row],[Qty/Pallet]]</f>
        <v>48</v>
      </c>
      <c r="X972" s="1044">
        <f>PV_DATA[[#This Row],[QUANTITY]]/PV_DATA[[#This Row],[Qty/CT]]</f>
        <v>2</v>
      </c>
      <c r="Y972" s="431" t="s">
        <v>2466</v>
      </c>
      <c r="Z972" s="431" t="str">
        <f t="shared" si="13"/>
        <v>IN-TRANSIT</v>
      </c>
      <c r="AA972" s="431" t="s">
        <v>6416</v>
      </c>
      <c r="AB972" s="441">
        <v>46255</v>
      </c>
      <c r="AC972" s="467">
        <f>IF(PV_DATA[[#This Row],[Pick- Up Date]]&lt;&gt;"",_xlfn.ISOWEEKNUM(PV_DATA[[#This Row],[Pick- Up Date]]),"")</f>
        <v>34</v>
      </c>
      <c r="AD972" s="431" t="s">
        <v>6417</v>
      </c>
      <c r="AF972" s="447" t="s">
        <v>61</v>
      </c>
      <c r="AG972" s="447" t="s">
        <v>61</v>
      </c>
      <c r="AH972" s="431" t="s">
        <v>105</v>
      </c>
      <c r="AI972" s="974">
        <v>46263</v>
      </c>
      <c r="AJ972" s="437">
        <v>46267</v>
      </c>
      <c r="AK972" s="437">
        <v>46267</v>
      </c>
      <c r="AL972" s="626">
        <v>46321</v>
      </c>
      <c r="AM972" s="626">
        <v>46324</v>
      </c>
      <c r="AN972" s="586"/>
      <c r="AO972" s="431" t="s">
        <v>402</v>
      </c>
      <c r="AP972" s="431" t="s">
        <v>6418</v>
      </c>
      <c r="AQ972" s="445" t="s">
        <v>161</v>
      </c>
      <c r="AR972" s="431" t="s">
        <v>6419</v>
      </c>
      <c r="AS972" s="431" t="s">
        <v>6420</v>
      </c>
      <c r="AT972" s="431" t="s">
        <v>6420</v>
      </c>
      <c r="AU9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72" s="441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97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2" s="441">
        <f>IF(ISERROR(PV_DATA[[#This Row],[New Ark PO status]]),"",_xlfn.XLOOKUP(PV_DATA[[#This Row],[SPTN-PVHK New Ark PO'#]],New_Ark_Data[Purchase order Number],New_Ark_Data[Estimated time of arrival],"",0))</f>
        <v>46328</v>
      </c>
      <c r="AZ97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2" s="441">
        <f>IFERROR(PV_DATA[[#This Row],[ODP ETA Port]]+PV_DATA[[#This Row],[Customs/Leg3 Assumption]],"n/a")</f>
        <v>46331</v>
      </c>
      <c r="BB972" s="442">
        <f>YEAR(PV_DATA[[#This Row],[ETA for New Ark update]])</f>
        <v>2026</v>
      </c>
      <c r="BC972" s="431">
        <f>MONTH(PV_DATA[[#This Row],[ETA for New Ark update]])</f>
        <v>11</v>
      </c>
      <c r="BD972" s="431">
        <f>IFERROR(_xlfn.ISOWEEKNUM(PV_DATA[[#This Row],[ETA for New Ark update]]),0)</f>
        <v>45</v>
      </c>
      <c r="BE972" s="431">
        <f>_xlfn.XLOOKUP(PV_DATA[[#This Row],[New Ark SKU]],Table9[New Ark SKU],Table9[Total PCS per Pallet],,0)</f>
        <v>36</v>
      </c>
      <c r="BF972" s="431">
        <f>_xlfn.XLOOKUP(PV_DATA[[#This Row],[New Ark SKU]],Table9[New Ark SKU],Table9[Total PCS per 40HQ Container],,0)</f>
        <v>864</v>
      </c>
      <c r="BG972" s="431" t="str">
        <f>_xlfn.XLOOKUP(PV_DATA[[#This Row],[New Ark SKU]],Table9[New Ark SKU],Table9[Back Glass],,0)</f>
        <v>Black glazing</v>
      </c>
      <c r="BH972" s="622" t="str">
        <f>_xlfn.XLOOKUP(PV_DATA[[#This Row],[PORT DESTINATION]],Table12[PORT DESTINATION],Table12[Cosco Line],,0)</f>
        <v>AEU</v>
      </c>
    </row>
    <row r="973" spans="1:60" s="462" customFormat="1" ht="10.5">
      <c r="A973" s="462" t="s">
        <v>6421</v>
      </c>
      <c r="B973" s="462" t="s">
        <v>61</v>
      </c>
      <c r="C973" s="462" t="str">
        <f>IFERROR(LEFT(PV_DATA[[#This Row],[TCL REFERENCE]],FIND(".",PV_DATA[[#This Row],[TCL REFERENCE]],1)-1),"Main Line")</f>
        <v>26Jun021</v>
      </c>
      <c r="D973" s="462" t="s">
        <v>63</v>
      </c>
      <c r="E973" s="462" t="s">
        <v>64</v>
      </c>
      <c r="F973" s="462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3" s="462" t="s">
        <v>402</v>
      </c>
      <c r="H973" s="462" t="s">
        <v>67</v>
      </c>
      <c r="I973" s="462" t="s">
        <v>689</v>
      </c>
      <c r="J973" s="462" t="s">
        <v>96</v>
      </c>
      <c r="M973" s="462" t="s">
        <v>6315</v>
      </c>
      <c r="N973" s="712">
        <v>46202</v>
      </c>
      <c r="O973" s="462" t="s">
        <v>284</v>
      </c>
      <c r="P973" s="730" t="s">
        <v>6159</v>
      </c>
      <c r="Q973" s="462" t="s">
        <v>1570</v>
      </c>
      <c r="R973" s="430" t="str">
        <f>_xlfn.XLOOKUP(PV_DATA[[#This Row],[New Ark SKU]],Table9[New Ark SKU],Table9[Connector],,0)</f>
        <v>EVO2A</v>
      </c>
      <c r="S973" s="433" t="str">
        <f>_xlfn.XLOOKUP(PV_DATA[[#This Row],[New Ark SKU]],Table9[New Ark SKU],Table9[Cable],,0)</f>
        <v>±1400mm</v>
      </c>
      <c r="T973" s="946">
        <v>650</v>
      </c>
      <c r="U973" s="1095">
        <v>720</v>
      </c>
      <c r="V973" s="458">
        <f>PV_DATA[[#This Row],[QUANTITY]]*PV_DATA[[#This Row],[WATT]]/1000000</f>
        <v>0.46800000000000003</v>
      </c>
      <c r="W973" s="714">
        <f>PV_DATA[[#This Row],[QUANTITY]]/PV_DATA[[#This Row],[Qty/Pallet]]</f>
        <v>20</v>
      </c>
      <c r="X973" s="1042">
        <f>PV_DATA[[#This Row],[QUANTITY]]/PV_DATA[[#This Row],[Qty/CT]]</f>
        <v>1</v>
      </c>
      <c r="Y973" s="462" t="s">
        <v>2463</v>
      </c>
      <c r="Z973" s="462" t="str">
        <f t="shared" si="13"/>
        <v>IN-TRANSIT</v>
      </c>
      <c r="AA973" s="973" t="s">
        <v>6422</v>
      </c>
      <c r="AB973" s="713">
        <v>46252</v>
      </c>
      <c r="AC973" s="947">
        <f>IF(PV_DATA[[#This Row],[Pick- Up Date]]&lt;&gt;"",_xlfn.ISOWEEKNUM(PV_DATA[[#This Row],[Pick- Up Date]]),"")</f>
        <v>34</v>
      </c>
      <c r="AD973" s="462" t="s">
        <v>6423</v>
      </c>
      <c r="AE973" s="462" t="s">
        <v>6423</v>
      </c>
      <c r="AF973" s="462" t="s">
        <v>61</v>
      </c>
      <c r="AG973" s="462" t="s">
        <v>61</v>
      </c>
      <c r="AH973" s="462" t="s">
        <v>105</v>
      </c>
      <c r="AI973" s="713">
        <v>46259</v>
      </c>
      <c r="AJ973" s="713">
        <v>46259</v>
      </c>
      <c r="AK973" s="966">
        <v>46259</v>
      </c>
      <c r="AL973" s="713">
        <v>46319</v>
      </c>
      <c r="AM973" s="713"/>
      <c r="AN973" s="949"/>
      <c r="AO973" s="462" t="s">
        <v>402</v>
      </c>
      <c r="AP973" s="462" t="s">
        <v>6424</v>
      </c>
      <c r="AQ973" s="950" t="s">
        <v>161</v>
      </c>
      <c r="AR973" s="462" t="s">
        <v>6425</v>
      </c>
      <c r="AS973" s="462" t="s">
        <v>6426</v>
      </c>
      <c r="AT973" s="462" t="s">
        <v>6426</v>
      </c>
      <c r="AU9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73" s="713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7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3" s="713">
        <f>IF(ISERROR(PV_DATA[[#This Row],[New Ark PO status]]),"",_xlfn.XLOOKUP(PV_DATA[[#This Row],[SPTN-PVHK New Ark PO'#]],New_Ark_Data[Purchase order Number],New_Ark_Data[Estimated time of arrival],"",0))</f>
        <v>46336</v>
      </c>
      <c r="AZ973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713">
        <f>IFERROR(PV_DATA[[#This Row],[ODP ETA Port]]+PV_DATA[[#This Row],[Customs/Leg3 Assumption]],"n/a")</f>
        <v>46326</v>
      </c>
      <c r="BB973" s="946">
        <f>YEAR(PV_DATA[[#This Row],[ETA for New Ark update]])</f>
        <v>2026</v>
      </c>
      <c r="BC973" s="462">
        <f>MONTH(PV_DATA[[#This Row],[ETA for New Ark update]])</f>
        <v>10</v>
      </c>
      <c r="BD973" s="462">
        <f>IFERROR(_xlfn.ISOWEEKNUM(PV_DATA[[#This Row],[ETA for New Ark update]]),0)</f>
        <v>44</v>
      </c>
      <c r="BE973" s="462">
        <f>_xlfn.XLOOKUP(PV_DATA[[#This Row],[New Ark SKU]],Table9[New Ark SKU],Table9[Total PCS per Pallet],,0)</f>
        <v>36</v>
      </c>
      <c r="BF973" s="462">
        <f>_xlfn.XLOOKUP(PV_DATA[[#This Row],[New Ark SKU]],Table9[New Ark SKU],Table9[Total PCS per 40HQ Container],,0)</f>
        <v>720</v>
      </c>
      <c r="BG973" s="462" t="str">
        <f>_xlfn.XLOOKUP(PV_DATA[[#This Row],[New Ark SKU]],Table9[New Ark SKU],Table9[Back Glass],,0)</f>
        <v>White glazing</v>
      </c>
      <c r="BH973" s="462" t="str">
        <f>_xlfn.XLOOKUP(PV_DATA[[#This Row],[PORT DESTINATION]],Table12[PORT DESTINATION],Table12[Cosco Line],,0)</f>
        <v>AEU</v>
      </c>
    </row>
    <row r="974" spans="1:60" s="462" customFormat="1" ht="10.5">
      <c r="A974" s="462" t="s">
        <v>6427</v>
      </c>
      <c r="B974" s="462" t="s">
        <v>61</v>
      </c>
      <c r="C974" s="462" t="str">
        <f>IFERROR(LEFT(PV_DATA[[#This Row],[TCL REFERENCE]],FIND(".",PV_DATA[[#This Row],[TCL REFERENCE]],1)-1),"Main Line")</f>
        <v>26May008</v>
      </c>
      <c r="D974" s="462" t="s">
        <v>63</v>
      </c>
      <c r="E974" s="462" t="s">
        <v>64</v>
      </c>
      <c r="F974" s="462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4" s="462" t="s">
        <v>402</v>
      </c>
      <c r="H974" s="462" t="s">
        <v>67</v>
      </c>
      <c r="I974" s="462" t="s">
        <v>689</v>
      </c>
      <c r="J974" s="462" t="s">
        <v>96</v>
      </c>
      <c r="M974" s="462" t="s">
        <v>68</v>
      </c>
      <c r="N974" s="712">
        <v>45809</v>
      </c>
      <c r="O974" s="462" t="s">
        <v>4531</v>
      </c>
      <c r="P974" s="462" t="s">
        <v>965</v>
      </c>
      <c r="Q974" s="462" t="s">
        <v>966</v>
      </c>
      <c r="R974" s="430" t="str">
        <f>_xlfn.XLOOKUP(PV_DATA[[#This Row],[New Ark SKU]],Table9[New Ark SKU],Table9[Connector],,0)</f>
        <v>EVO2A</v>
      </c>
      <c r="S974" s="433" t="str">
        <f>_xlfn.XLOOKUP(PV_DATA[[#This Row],[New Ark SKU]],Table9[New Ark SKU],Table9[Cable],,0)</f>
        <v>±1200mm</v>
      </c>
      <c r="T974" s="946">
        <v>455</v>
      </c>
      <c r="U974" s="1095">
        <f>936*6</f>
        <v>5616</v>
      </c>
      <c r="V974" s="458">
        <f>PV_DATA[[#This Row],[QUANTITY]]*PV_DATA[[#This Row],[WATT]]/1000000</f>
        <v>2.5552800000000002</v>
      </c>
      <c r="W974" s="714">
        <f>PV_DATA[[#This Row],[QUANTITY]]/PV_DATA[[#This Row],[Qty/Pallet]]</f>
        <v>156</v>
      </c>
      <c r="X974" s="1042">
        <f>PV_DATA[[#This Row],[QUANTITY]]/PV_DATA[[#This Row],[Qty/CT]]</f>
        <v>6</v>
      </c>
      <c r="Y974" s="462" t="s">
        <v>2460</v>
      </c>
      <c r="Z974" s="462" t="str">
        <f t="shared" si="13"/>
        <v>IN-TRANSIT</v>
      </c>
      <c r="AA974" s="462" t="s">
        <v>5785</v>
      </c>
      <c r="AB974" s="713">
        <v>46246</v>
      </c>
      <c r="AC974" s="947">
        <f>IF(PV_DATA[[#This Row],[Pick- Up Date]]&lt;&gt;"",_xlfn.ISOWEEKNUM(PV_DATA[[#This Row],[Pick- Up Date]]),"")</f>
        <v>33</v>
      </c>
      <c r="AD974" s="462" t="s">
        <v>6428</v>
      </c>
      <c r="AF974" s="462" t="s">
        <v>61</v>
      </c>
      <c r="AG974" s="462" t="s">
        <v>61</v>
      </c>
      <c r="AH974" s="462" t="s">
        <v>105</v>
      </c>
      <c r="AI974" s="713">
        <v>46253</v>
      </c>
      <c r="AJ974" s="713">
        <v>46260</v>
      </c>
      <c r="AK974" s="713">
        <v>46260</v>
      </c>
      <c r="AL974" s="713">
        <v>46313</v>
      </c>
      <c r="AM974" s="949"/>
      <c r="AN974" s="949"/>
      <c r="AP974" s="462" t="s">
        <v>6429</v>
      </c>
      <c r="AQ974" s="462" t="s">
        <v>161</v>
      </c>
      <c r="AR974" s="462" t="s">
        <v>6430</v>
      </c>
      <c r="AS974" s="462" t="s">
        <v>6431</v>
      </c>
      <c r="AT974" s="462" t="s">
        <v>6431</v>
      </c>
      <c r="AU9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74" s="713"/>
      <c r="AW974" s="713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4" s="713">
        <f>IF(ISERROR(PV_DATA[[#This Row],[New Ark PO status]]),"",_xlfn.XLOOKUP(PV_DATA[[#This Row],[SPTN-PVHK New Ark PO'#]],New_Ark_Data[Purchase order Number],New_Ark_Data[Estimated time of arrival],"",0))</f>
        <v>46304</v>
      </c>
      <c r="AZ974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4" s="713">
        <f>IFERROR(PV_DATA[[#This Row],[ODP ETA Port]]+PV_DATA[[#This Row],[Customs/Leg3 Assumption]],"n/a")</f>
        <v>46320</v>
      </c>
      <c r="BB974" s="946">
        <f>YEAR(PV_DATA[[#This Row],[ETA for New Ark update]])</f>
        <v>2026</v>
      </c>
      <c r="BC974" s="462">
        <f>MONTH(PV_DATA[[#This Row],[ETA for New Ark update]])</f>
        <v>10</v>
      </c>
      <c r="BD974" s="462">
        <f>IFERROR(_xlfn.ISOWEEKNUM(PV_DATA[[#This Row],[ETA for New Ark update]]),0)</f>
        <v>43</v>
      </c>
      <c r="BE974" s="462">
        <f>_xlfn.XLOOKUP(PV_DATA[[#This Row],[New Ark SKU]],Table9[New Ark SKU],Table9[Total PCS per Pallet],,0)</f>
        <v>36</v>
      </c>
      <c r="BF974" s="462">
        <f>_xlfn.XLOOKUP(PV_DATA[[#This Row],[New Ark SKU]],Table9[New Ark SKU],Table9[Total PCS per 40HQ Container],,0)</f>
        <v>936</v>
      </c>
      <c r="BG974" s="462" t="str">
        <f>_xlfn.XLOOKUP(PV_DATA[[#This Row],[New Ark SKU]],Table9[New Ark SKU],Table9[Back Glass],,0)</f>
        <v>Black glazing</v>
      </c>
      <c r="BH974" s="462" t="str">
        <f>_xlfn.XLOOKUP(PV_DATA[[#This Row],[PORT DESTINATION]],Table12[PORT DESTINATION],Table12[Cosco Line],,0)</f>
        <v>AEU</v>
      </c>
    </row>
    <row r="975" spans="1:60" s="462" customFormat="1" ht="10.5">
      <c r="A975" s="729" t="s">
        <v>6432</v>
      </c>
      <c r="B975" s="462" t="s">
        <v>61</v>
      </c>
      <c r="C975" s="462" t="str">
        <f>IFERROR(LEFT(PV_DATA[[#This Row],[TCL REFERENCE]],FIND(".",PV_DATA[[#This Row],[TCL REFERENCE]],1)-1),"Main Line")</f>
        <v>26Aug004</v>
      </c>
      <c r="D975" s="462" t="s">
        <v>63</v>
      </c>
      <c r="E975" s="462" t="s">
        <v>64</v>
      </c>
      <c r="F975" s="462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5" s="462" t="s">
        <v>402</v>
      </c>
      <c r="H975" s="462" t="s">
        <v>451</v>
      </c>
      <c r="I975" s="462" t="s">
        <v>689</v>
      </c>
      <c r="J975" s="462" t="s">
        <v>5666</v>
      </c>
      <c r="M975" s="462" t="s">
        <v>68</v>
      </c>
      <c r="N975" s="712">
        <v>46237</v>
      </c>
      <c r="O975" s="462" t="s">
        <v>4531</v>
      </c>
      <c r="P975" s="462" t="s">
        <v>1151</v>
      </c>
      <c r="Q975" s="462" t="s">
        <v>421</v>
      </c>
      <c r="R975" s="430" t="str">
        <f>_xlfn.XLOOKUP(PV_DATA[[#This Row],[New Ark SKU]],Table9[New Ark SKU],Table9[Connector],,0)</f>
        <v>EVO2A</v>
      </c>
      <c r="S975" s="433" t="str">
        <f>_xlfn.XLOOKUP(PV_DATA[[#This Row],[New Ark SKU]],Table9[New Ark SKU],Table9[Cable],,0)</f>
        <v>±1200mm</v>
      </c>
      <c r="T975" s="946">
        <v>505</v>
      </c>
      <c r="U975" s="1095">
        <v>864</v>
      </c>
      <c r="V975" s="458">
        <f>PV_DATA[[#This Row],[QUANTITY]]*PV_DATA[[#This Row],[WATT]]/1000000</f>
        <v>0.43631999999999999</v>
      </c>
      <c r="W975" s="714">
        <f>PV_DATA[[#This Row],[QUANTITY]]/PV_DATA[[#This Row],[Qty/Pallet]]</f>
        <v>24</v>
      </c>
      <c r="X975" s="1042">
        <f>PV_DATA[[#This Row],[QUANTITY]]/PV_DATA[[#This Row],[Qty/CT]]</f>
        <v>1</v>
      </c>
      <c r="Y975" s="462" t="s">
        <v>2466</v>
      </c>
      <c r="Z975" s="462" t="str">
        <f t="shared" si="13"/>
        <v>IN-TRANSIT</v>
      </c>
      <c r="AA975" s="462" t="s">
        <v>6416</v>
      </c>
      <c r="AB975" s="713">
        <v>46253</v>
      </c>
      <c r="AC975" s="947">
        <f>IF(PV_DATA[[#This Row],[Pick- Up Date]]&lt;&gt;"",_xlfn.ISOWEEKNUM(PV_DATA[[#This Row],[Pick- Up Date]]),"")</f>
        <v>34</v>
      </c>
      <c r="AD975" s="462" t="s">
        <v>6433</v>
      </c>
      <c r="AE975" s="462" t="s">
        <v>6433</v>
      </c>
      <c r="AF975" s="462" t="s">
        <v>61</v>
      </c>
      <c r="AG975" s="462" t="s">
        <v>61</v>
      </c>
      <c r="AH975" s="462" t="s">
        <v>456</v>
      </c>
      <c r="AI975" s="713">
        <v>46258</v>
      </c>
      <c r="AJ975" s="713">
        <v>46259</v>
      </c>
      <c r="AK975" s="713">
        <f>IFERROR(IF(VLOOKUP(AT975,Vessel!A:F,5,FALSE)=0,"",VLOOKUP(AT975,Vessel!A:F,5,FALSE)),"")</f>
        <v>46259.371157407404</v>
      </c>
      <c r="AL975" s="713">
        <v>46313</v>
      </c>
      <c r="AM975" s="949">
        <f>IFERROR(VLOOKUP(AT975, Vessel!A:H, 8, FALSE), "")</f>
        <v>46315.291666666664</v>
      </c>
      <c r="AN975" s="949" t="str">
        <f>IFERROR(IF(VLOOKUP(AT975,Vessel!A:I,9,FALSE)=0,"",VLOOKUP(AT975,Vessel!A:I,9,FALSE)),"")</f>
        <v/>
      </c>
      <c r="AO975" s="462" t="s">
        <v>402</v>
      </c>
      <c r="AP975" s="462" t="s">
        <v>6378</v>
      </c>
      <c r="AQ975" s="462" t="s">
        <v>80</v>
      </c>
      <c r="AR975" s="972" t="s">
        <v>6434</v>
      </c>
      <c r="AS975" s="462" t="s">
        <v>6435</v>
      </c>
      <c r="AT975" s="462" t="s">
        <v>6435</v>
      </c>
      <c r="AU9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55.920509259260143</v>
      </c>
      <c r="AW975" s="713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46315.291666666664</v>
      </c>
      <c r="AX97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5" s="713">
        <f>IF(ISERROR(PV_DATA[[#This Row],[New Ark PO status]]),"",_xlfn.XLOOKUP(PV_DATA[[#This Row],[SPTN-PVHK New Ark PO'#]],New_Ark_Data[Purchase order Number],New_Ark_Data[Estimated time of arrival],"",0))</f>
        <v>46321</v>
      </c>
      <c r="AZ975" s="94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5" s="713">
        <f>IFERROR(PV_DATA[[#This Row],[ODP ETA Port]]+PV_DATA[[#This Row],[Customs/Leg3 Assumption]],"n/a")</f>
        <v>46322.291666666664</v>
      </c>
      <c r="BB975" s="946">
        <f>YEAR(PV_DATA[[#This Row],[ETA for New Ark update]])</f>
        <v>2026</v>
      </c>
      <c r="BC975" s="462">
        <f>MONTH(PV_DATA[[#This Row],[ETA for New Ark update]])</f>
        <v>10</v>
      </c>
      <c r="BD975" s="462">
        <f>IFERROR(_xlfn.ISOWEEKNUM(PV_DATA[[#This Row],[ETA for New Ark update]]),0)</f>
        <v>44</v>
      </c>
      <c r="BE975" s="462">
        <f>_xlfn.XLOOKUP(PV_DATA[[#This Row],[New Ark SKU]],Table9[New Ark SKU],Table9[Total PCS per Pallet],,0)</f>
        <v>36</v>
      </c>
      <c r="BF975" s="462">
        <f>_xlfn.XLOOKUP(PV_DATA[[#This Row],[New Ark SKU]],Table9[New Ark SKU],Table9[Total PCS per 40HQ Container],,0)</f>
        <v>864</v>
      </c>
      <c r="BG975" s="462" t="str">
        <f>_xlfn.XLOOKUP(PV_DATA[[#This Row],[New Ark SKU]],Table9[New Ark SKU],Table9[Back Glass],,0)</f>
        <v>Black glazing</v>
      </c>
      <c r="BH975" s="948" t="str">
        <f>_xlfn.XLOOKUP(PV_DATA[[#This Row],[PORT DESTINATION]],Table12[PORT DESTINATION],Table12[Cosco Line],,0)</f>
        <v>AEU</v>
      </c>
    </row>
    <row r="976" spans="1:60" s="431" customFormat="1" ht="10.5">
      <c r="A976" s="983" t="s">
        <v>6436</v>
      </c>
      <c r="B976" s="726" t="s">
        <v>111</v>
      </c>
      <c r="C976" s="439" t="str">
        <f>IFERROR(LEFT(PV_DATA[[#This Row],[TCL REFERENCE]],FIND(".",PV_DATA[[#This Row],[TCL REFERENCE]],1)-1),"Main Line")</f>
        <v>26Jul019</v>
      </c>
      <c r="D976" s="726" t="s">
        <v>63</v>
      </c>
      <c r="E976" s="439" t="s">
        <v>144</v>
      </c>
      <c r="F976" s="726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39" t="s">
        <v>402</v>
      </c>
      <c r="H976" s="439" t="s">
        <v>6437</v>
      </c>
      <c r="I976" s="439" t="s">
        <v>882</v>
      </c>
      <c r="J976" s="439" t="s">
        <v>6437</v>
      </c>
      <c r="K976" s="430" t="s">
        <v>6438</v>
      </c>
      <c r="L976" s="623">
        <v>1</v>
      </c>
      <c r="M976" s="430" t="s">
        <v>840</v>
      </c>
      <c r="N976" s="1079">
        <v>46234</v>
      </c>
      <c r="O976" s="623" t="s">
        <v>5379</v>
      </c>
      <c r="P976" s="623" t="s">
        <v>6281</v>
      </c>
      <c r="Q976" s="619" t="s">
        <v>6282</v>
      </c>
      <c r="R976" s="430" t="str">
        <f>_xlfn.XLOOKUP(PV_DATA[[#This Row],[New Ark SKU]],Table9[New Ark SKU],Table9[Connector],,0)</f>
        <v>EVO2A</v>
      </c>
      <c r="S976" s="433" t="str">
        <f>_xlfn.XLOOKUP(PV_DATA[[#This Row],[New Ark SKU]],Table9[New Ark SKU],Table9[Cable],,0)</f>
        <v>±1200mm</v>
      </c>
      <c r="T976" s="620">
        <v>480</v>
      </c>
      <c r="U976" s="1064">
        <f>936*2</f>
        <v>1872</v>
      </c>
      <c r="V976" s="624">
        <f>PV_DATA[[#This Row],[QUANTITY]]*PV_DATA[[#This Row],[WATT]]/1000000</f>
        <v>0.89856000000000003</v>
      </c>
      <c r="W976" s="466">
        <f>PV_DATA[[#This Row],[QUANTITY]]/PV_DATA[[#This Row],[Qty/Pallet]]</f>
        <v>52</v>
      </c>
      <c r="X976" s="1044">
        <f>PV_DATA[[#This Row],[QUANTITY]]/PV_DATA[[#This Row],[Qty/CT]]</f>
        <v>2</v>
      </c>
      <c r="Y976" s="431" t="s">
        <v>2464</v>
      </c>
      <c r="Z976" s="431" t="str">
        <f t="shared" ref="Z976:Z996" si="14">IF(AN976&lt;&gt;"","COMPLETED",IF(AK976&lt;&gt;"","IN-TRANSIT",""))</f>
        <v>IN-TRANSIT</v>
      </c>
      <c r="AA976" s="619" t="s">
        <v>6307</v>
      </c>
      <c r="AB976" s="626">
        <v>46262</v>
      </c>
      <c r="AC976" s="627">
        <f>IF(PV_DATA[[#This Row],[Pick- Up Date]]&lt;&gt;"",_xlfn.ISOWEEKNUM(PV_DATA[[#This Row],[Pick- Up Date]]),"")</f>
        <v>35</v>
      </c>
      <c r="AD976" s="619" t="s">
        <v>6439</v>
      </c>
      <c r="AE976" s="619"/>
      <c r="AF976" s="619" t="s">
        <v>122</v>
      </c>
      <c r="AG976" s="619" t="s">
        <v>123</v>
      </c>
      <c r="AH976" s="431" t="s">
        <v>356</v>
      </c>
      <c r="AI976" s="1011">
        <v>46269</v>
      </c>
      <c r="AJ976" s="626">
        <f>IFERROR(VLOOKUP(AT976, Vessel!A:D, 4, FALSE), "")</f>
        <v>46278.8125</v>
      </c>
      <c r="AK976" s="441">
        <f>IFERROR(IF(VLOOKUP(AT976,Vessel!A:F,5,FALSE)=0,"",VLOOKUP(AT976,Vessel!A:F,5,FALSE)),"")</f>
        <v>46278.838460648149</v>
      </c>
      <c r="AL976" s="626">
        <v>46313</v>
      </c>
      <c r="AM976" s="949">
        <f>IFERROR(VLOOKUP(AT976, Vessel!A:H, 8, FALSE), "")</f>
        <v>46318.291666666664</v>
      </c>
      <c r="AN976" s="949" t="str">
        <f>IFERROR(IF(VLOOKUP(AT976,Vessel!A:I,9,FALSE)=0,"",VLOOKUP(AT976,Vessel!A:I,9,FALSE)),"")</f>
        <v/>
      </c>
      <c r="AO976" s="619"/>
      <c r="AP976" s="619" t="s">
        <v>6440</v>
      </c>
      <c r="AQ976" s="628" t="s">
        <v>80</v>
      </c>
      <c r="AR976" s="619" t="s">
        <v>6441</v>
      </c>
      <c r="AS976" s="619" t="s">
        <v>6442</v>
      </c>
      <c r="AT976" s="619" t="s">
        <v>6442</v>
      </c>
      <c r="AU9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39.45320601851563</v>
      </c>
      <c r="AV976" s="619"/>
      <c r="AW976" s="626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46318.291666666664</v>
      </c>
      <c r="AX97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6" s="626">
        <f>IF(ISERROR(PV_DATA[[#This Row],[New Ark PO status]]),"",_xlfn.XLOOKUP(PV_DATA[[#This Row],[SPTN-PVHK New Ark PO'#]],New_Ark_Data[Purchase order Number],New_Ark_Data[Estimated time of arrival],"",0))</f>
        <v>46313</v>
      </c>
      <c r="AZ976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26">
        <f>IFERROR(PV_DATA[[#This Row],[ODP ETA Port]]+PV_DATA[[#This Row],[Customs/Leg3 Assumption]],"n/a")</f>
        <v>46318.291666666664</v>
      </c>
      <c r="BB976" s="620">
        <f>YEAR(PV_DATA[[#This Row],[ETA for New Ark update]])</f>
        <v>2026</v>
      </c>
      <c r="BC976" s="619">
        <f>MONTH(PV_DATA[[#This Row],[ETA for New Ark update]])</f>
        <v>10</v>
      </c>
      <c r="BD976" s="619">
        <f>IFERROR(_xlfn.ISOWEEKNUM(PV_DATA[[#This Row],[ETA for New Ark update]]),0)</f>
        <v>43</v>
      </c>
      <c r="BE976" s="619">
        <f>_xlfn.XLOOKUP(PV_DATA[[#This Row],[New Ark SKU]],Table9[New Ark SKU],Table9[Total PCS per Pallet],,0)</f>
        <v>36</v>
      </c>
      <c r="BF976" s="619">
        <f>_xlfn.XLOOKUP(PV_DATA[[#This Row],[New Ark SKU]],Table9[New Ark SKU],Table9[Total PCS per 40HQ Container],,0)</f>
        <v>936</v>
      </c>
      <c r="BG976" s="619" t="str">
        <f>_xlfn.XLOOKUP(PV_DATA[[#This Row],[New Ark SKU]],Table9[New Ark SKU],Table9[Back Glass],,0)</f>
        <v>White glazing</v>
      </c>
      <c r="BH976" s="629" t="str">
        <f>_xlfn.XLOOKUP(PV_DATA[[#This Row],[PORT DESTINATION]],Table12[PORT DESTINATION],Table12[Cosco Line],,0)</f>
        <v>AEU</v>
      </c>
    </row>
    <row r="977" spans="1:62" s="431" customFormat="1" ht="10.5">
      <c r="A977" s="951" t="s">
        <v>6443</v>
      </c>
      <c r="B977" s="726" t="s">
        <v>1757</v>
      </c>
      <c r="C977" s="439" t="str">
        <f>IFERROR(LEFT(PV_DATA[[#This Row],[TCL REFERENCE]],FIND(".",PV_DATA[[#This Row],[TCL REFERENCE]],1)-1),"Main Line")</f>
        <v>26Jul017</v>
      </c>
      <c r="D977" s="726" t="s">
        <v>63</v>
      </c>
      <c r="E977" s="439" t="s">
        <v>64</v>
      </c>
      <c r="F977" s="726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7" s="439" t="s">
        <v>402</v>
      </c>
      <c r="H977" s="439" t="s">
        <v>451</v>
      </c>
      <c r="I977" s="439" t="s">
        <v>882</v>
      </c>
      <c r="J977" s="431" t="s">
        <v>6219</v>
      </c>
      <c r="K977" s="430"/>
      <c r="L977" s="623"/>
      <c r="M977" s="430" t="s">
        <v>68</v>
      </c>
      <c r="N977" s="1079" t="s">
        <v>6202</v>
      </c>
      <c r="O977" s="623" t="s">
        <v>284</v>
      </c>
      <c r="P977" s="623" t="s">
        <v>5851</v>
      </c>
      <c r="Q977" s="619" t="s">
        <v>5852</v>
      </c>
      <c r="R977" s="430" t="str">
        <f>_xlfn.XLOOKUP(PV_DATA[[#This Row],[New Ark SKU]],Table9[New Ark SKU],Table9[Connector],,0)</f>
        <v>EVO2A</v>
      </c>
      <c r="S977" s="433" t="str">
        <f>_xlfn.XLOOKUP(PV_DATA[[#This Row],[New Ark SKU]],Table9[New Ark SKU],Table9[Cable],,0)</f>
        <v>±1200mm</v>
      </c>
      <c r="T977" s="620">
        <v>485</v>
      </c>
      <c r="U977" s="1093">
        <v>2808</v>
      </c>
      <c r="V977" s="624">
        <f>PV_DATA[[#This Row],[QUANTITY]]*PV_DATA[[#This Row],[WATT]]/1000000</f>
        <v>1.36188</v>
      </c>
      <c r="W977" s="466">
        <f>PV_DATA[[#This Row],[QUANTITY]]/36</f>
        <v>78</v>
      </c>
      <c r="X977" s="1047">
        <f>PV_DATA[[#This Row],[QUANTITY]]/PV_DATA[[#This Row],[Qty/CT]]</f>
        <v>3</v>
      </c>
      <c r="Y977" s="431" t="s">
        <v>2464</v>
      </c>
      <c r="Z977" s="431" t="str">
        <f t="shared" si="14"/>
        <v>IN-TRANSIT</v>
      </c>
      <c r="AA977" s="855">
        <v>46257</v>
      </c>
      <c r="AB977" s="626">
        <v>46262</v>
      </c>
      <c r="AC977" s="627">
        <f>IF(PV_DATA[[#This Row],[Pick- Up Date]]&lt;&gt;"",_xlfn.ISOWEEKNUM(PV_DATA[[#This Row],[Pick- Up Date]]),"")</f>
        <v>35</v>
      </c>
      <c r="AD977" s="431" t="s">
        <v>6444</v>
      </c>
      <c r="AE977" s="619"/>
      <c r="AF977" s="619" t="s">
        <v>5855</v>
      </c>
      <c r="AG977" s="619" t="s">
        <v>123</v>
      </c>
      <c r="AH977" s="431" t="s">
        <v>456</v>
      </c>
      <c r="AI977" s="903">
        <v>46269</v>
      </c>
      <c r="AJ977" s="626">
        <f>IFERROR(VLOOKUP(AT977, Vessel!A:D, 4, FALSE), "")</f>
        <v>46282.395833333336</v>
      </c>
      <c r="AK977" s="441">
        <f>IFERROR(IF(VLOOKUP(AT977,Vessel!A:F,5,FALSE)=0,"",VLOOKUP(AT977,Vessel!A:F,5,FALSE)),"")</f>
        <v>46282.285486111112</v>
      </c>
      <c r="AL977" s="1141">
        <v>46306</v>
      </c>
      <c r="AM977" s="949">
        <f>IFERROR(VLOOKUP(AT977, Vessel!A:H, 8, FALSE), "")</f>
        <v>46316.791666666664</v>
      </c>
      <c r="AN977" s="949" t="str">
        <f>IFERROR(IF(VLOOKUP(AT977,Vessel!A:I,9,FALSE)=0,"",VLOOKUP(AT977,Vessel!A:I,9,FALSE)),"")</f>
        <v/>
      </c>
      <c r="AO977" s="619"/>
      <c r="AP977" s="619" t="s">
        <v>6440</v>
      </c>
      <c r="AQ977" s="628" t="s">
        <v>80</v>
      </c>
      <c r="AR977" s="619" t="s">
        <v>6445</v>
      </c>
      <c r="AS977" s="619" t="s">
        <v>6446</v>
      </c>
      <c r="AT977" s="619" t="s">
        <v>6446</v>
      </c>
      <c r="AU9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34.506180555552419</v>
      </c>
      <c r="AV977" s="619"/>
      <c r="AW977" s="626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46316.791666666664</v>
      </c>
      <c r="AX97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7" s="626">
        <f>IF(ISERROR(PV_DATA[[#This Row],[New Ark PO status]]),"",_xlfn.XLOOKUP(PV_DATA[[#This Row],[SPTN-PVHK New Ark PO'#]],New_Ark_Data[Purchase order Number],New_Ark_Data[Estimated time of arrival],"",0))</f>
        <v>46314</v>
      </c>
      <c r="AZ977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7" s="626">
        <f>IFERROR(PV_DATA[[#This Row],[ODP ETA Port]]+PV_DATA[[#This Row],[Customs/Leg3 Assumption]],"n/a")</f>
        <v>46323.791666666664</v>
      </c>
      <c r="BB977" s="620">
        <f>YEAR(PV_DATA[[#This Row],[ETA for New Ark update]])</f>
        <v>2026</v>
      </c>
      <c r="BC977" s="619">
        <f>MONTH(PV_DATA[[#This Row],[ETA for New Ark update]])</f>
        <v>10</v>
      </c>
      <c r="BD977" s="619">
        <f>IFERROR(_xlfn.ISOWEEKNUM(PV_DATA[[#This Row],[ETA for New Ark update]]),0)</f>
        <v>44</v>
      </c>
      <c r="BE977" s="619">
        <f>_xlfn.XLOOKUP(PV_DATA[[#This Row],[New Ark SKU]],Table9[New Ark SKU],Table9[Total PCS per Pallet],,0)</f>
        <v>36</v>
      </c>
      <c r="BF977" s="619">
        <f>_xlfn.XLOOKUP(PV_DATA[[#This Row],[New Ark SKU]],Table9[New Ark SKU],Table9[Total PCS per 40HQ Container],,0)</f>
        <v>936</v>
      </c>
      <c r="BG977" s="619" t="str">
        <f>_xlfn.XLOOKUP(PV_DATA[[#This Row],[New Ark SKU]],Table9[New Ark SKU],Table9[Back Glass],,0)</f>
        <v>Black glazing</v>
      </c>
      <c r="BH977" s="629" t="str">
        <f>_xlfn.XLOOKUP(PV_DATA[[#This Row],[PORT DESTINATION]],Table12[PORT DESTINATION],Table12[Cosco Line],,0)</f>
        <v>AEU</v>
      </c>
    </row>
    <row r="978" spans="1:62" s="431" customFormat="1" ht="10.5">
      <c r="A978" s="729" t="s">
        <v>6447</v>
      </c>
      <c r="B978" s="726" t="s">
        <v>111</v>
      </c>
      <c r="C978" s="726" t="str">
        <f>IFERROR(LEFT(PV_DATA[[#This Row],[TCL REFERENCE]],FIND(".",PV_DATA[[#This Row],[TCL REFERENCE]],1)-1),"Main Line")</f>
        <v>26Aug002</v>
      </c>
      <c r="D978" s="439" t="s">
        <v>63</v>
      </c>
      <c r="E978" s="439" t="s">
        <v>64</v>
      </c>
      <c r="F978" s="439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8" s="439" t="s">
        <v>402</v>
      </c>
      <c r="H978" s="439" t="s">
        <v>67</v>
      </c>
      <c r="I978" s="439" t="s">
        <v>689</v>
      </c>
      <c r="J978" s="431" t="s">
        <v>96</v>
      </c>
      <c r="K978" s="430"/>
      <c r="L978" s="430"/>
      <c r="M978" s="430" t="s">
        <v>68</v>
      </c>
      <c r="N978" s="432">
        <v>46215</v>
      </c>
      <c r="O978" s="623" t="s">
        <v>550</v>
      </c>
      <c r="P978" s="623" t="s">
        <v>2134</v>
      </c>
      <c r="Q978" s="619" t="s">
        <v>2135</v>
      </c>
      <c r="R978" s="430" t="str">
        <f>_xlfn.XLOOKUP(PV_DATA[[#This Row],[New Ark SKU]],Table9[New Ark SKU],Table9[Connector],,0)</f>
        <v>EVO2A</v>
      </c>
      <c r="S978" s="433" t="str">
        <f>_xlfn.XLOOKUP(PV_DATA[[#This Row],[New Ark SKU]],Table9[New Ark SKU],Table9[Cable],,0)</f>
        <v>±1350mm</v>
      </c>
      <c r="T978" s="620">
        <v>515</v>
      </c>
      <c r="U978" s="1064">
        <f>792*2</f>
        <v>1584</v>
      </c>
      <c r="V978" s="624">
        <f>PV_DATA[[#This Row],[QUANTITY]]*PV_DATA[[#This Row],[WATT]]/1000000</f>
        <v>0.81576000000000004</v>
      </c>
      <c r="W978" s="625">
        <f>PV_DATA[[#This Row],[QUANTITY]]/PV_DATA[[#This Row],[Qty/Pallet]]</f>
        <v>44</v>
      </c>
      <c r="X978" s="1044">
        <f>PV_DATA[[#This Row],[QUANTITY]]/PV_DATA[[#This Row],[Qty/CT]]</f>
        <v>2</v>
      </c>
      <c r="Y978" s="431" t="s">
        <v>2466</v>
      </c>
      <c r="Z978" s="431" t="str">
        <f t="shared" si="14"/>
        <v>IN-TRANSIT</v>
      </c>
      <c r="AA978" s="431" t="s">
        <v>5853</v>
      </c>
      <c r="AB978" s="626">
        <v>46259</v>
      </c>
      <c r="AC978" s="627">
        <f>IF(PV_DATA[[#This Row],[Pick- Up Date]]&lt;&gt;"",_xlfn.ISOWEEKNUM(PV_DATA[[#This Row],[Pick- Up Date]]),"")</f>
        <v>35</v>
      </c>
      <c r="AD978" s="619" t="s">
        <v>6448</v>
      </c>
      <c r="AE978" s="619"/>
      <c r="AF978" s="619" t="s">
        <v>122</v>
      </c>
      <c r="AG978" s="619" t="s">
        <v>123</v>
      </c>
      <c r="AH978" s="431" t="s">
        <v>105</v>
      </c>
      <c r="AI978" s="903">
        <v>46267</v>
      </c>
      <c r="AJ978" s="441">
        <f>IFERROR(VLOOKUP(AT978, Vessel!A:D, 4, FALSE), "")</f>
        <v>46267.520833333336</v>
      </c>
      <c r="AK978" s="441">
        <f>IFERROR(IF(VLOOKUP(AT978,Vessel!A:F,5,FALSE)=0,"",VLOOKUP(AT978,Vessel!A:F,5,FALSE)),"")</f>
        <v>46267.407708333332</v>
      </c>
      <c r="AL978" s="1039">
        <v>46302</v>
      </c>
      <c r="AM978" s="1192">
        <f>IFERROR(VLOOKUP(AT978, Vessel!A:H, 8, FALSE), "")</f>
        <v>46307.833333333336</v>
      </c>
      <c r="AN978" s="949" t="str">
        <f>IFERROR(IF(VLOOKUP(AT978,Vessel!A:I,9,FALSE)=0,"",VLOOKUP(AT978,Vessel!A:I,9,FALSE)),"")</f>
        <v/>
      </c>
      <c r="AO978" s="619"/>
      <c r="AP978" s="619" t="s">
        <v>6449</v>
      </c>
      <c r="AQ978" s="431" t="s">
        <v>80</v>
      </c>
      <c r="AR978" s="619" t="s">
        <v>6450</v>
      </c>
      <c r="AS978" s="619" t="s">
        <v>6451</v>
      </c>
      <c r="AT978" s="431" t="s">
        <v>6451</v>
      </c>
      <c r="AU9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40.425625000003492</v>
      </c>
      <c r="AV978" s="619"/>
      <c r="AW978" s="626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46307.833333333336</v>
      </c>
      <c r="AX97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8" s="626">
        <f>IF(ISERROR(PV_DATA[[#This Row],[New Ark PO status]]),"",_xlfn.XLOOKUP(PV_DATA[[#This Row],[SPTN-PVHK New Ark PO'#]],New_Ark_Data[Purchase order Number],New_Ark_Data[Estimated time of arrival],"",0))</f>
        <v>46311</v>
      </c>
      <c r="AZ978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8" s="626">
        <f>IFERROR(PV_DATA[[#This Row],[ODP ETA Port]]+PV_DATA[[#This Row],[Customs/Leg3 Assumption]],"n/a")</f>
        <v>46314.833333333336</v>
      </c>
      <c r="BB978" s="620">
        <f>YEAR(PV_DATA[[#This Row],[ETA for New Ark update]])</f>
        <v>2026</v>
      </c>
      <c r="BC978" s="619">
        <f>MONTH(PV_DATA[[#This Row],[ETA for New Ark update]])</f>
        <v>10</v>
      </c>
      <c r="BD978" s="619">
        <f>IFERROR(_xlfn.ISOWEEKNUM(PV_DATA[[#This Row],[ETA for New Ark update]]),0)</f>
        <v>43</v>
      </c>
      <c r="BE978" s="619">
        <f>_xlfn.XLOOKUP(PV_DATA[[#This Row],[New Ark SKU]],Table9[New Ark SKU],Table9[Total PCS per Pallet],,0)</f>
        <v>36</v>
      </c>
      <c r="BF978" s="619">
        <f>_xlfn.XLOOKUP(PV_DATA[[#This Row],[New Ark SKU]],Table9[New Ark SKU],Table9[Total PCS per 40HQ Container],,0)</f>
        <v>792</v>
      </c>
      <c r="BG978" s="431" t="str">
        <f>_xlfn.XLOOKUP(PV_DATA[[#This Row],[New Ark SKU]],Table9[New Ark SKU],Table9[Back Glass],,0)</f>
        <v>Black glazing</v>
      </c>
      <c r="BH978" s="629" t="str">
        <f>_xlfn.XLOOKUP(PV_DATA[[#This Row],[PORT DESTINATION]],Table12[PORT DESTINATION],Table12[Cosco Line],,0)</f>
        <v>AEU</v>
      </c>
    </row>
    <row r="979" spans="1:62" s="431" customFormat="1" ht="10.5">
      <c r="A979" s="727" t="s">
        <v>6452</v>
      </c>
      <c r="B979" s="726" t="s">
        <v>111</v>
      </c>
      <c r="C979" s="439" t="str">
        <f>IFERROR(LEFT(PV_DATA[[#This Row],[TCL REFERENCE]],FIND(".",PV_DATA[[#This Row],[TCL REFERENCE]],1)-1),"Main Line")</f>
        <v>26Aug010</v>
      </c>
      <c r="D979" s="726" t="s">
        <v>113</v>
      </c>
      <c r="E979" s="439" t="s">
        <v>144</v>
      </c>
      <c r="F979" s="726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39" t="s">
        <v>402</v>
      </c>
      <c r="H979" s="439" t="s">
        <v>670</v>
      </c>
      <c r="I979" s="439" t="s">
        <v>6234</v>
      </c>
      <c r="J979" s="439" t="s">
        <v>670</v>
      </c>
      <c r="K979" s="430" t="s">
        <v>5892</v>
      </c>
      <c r="L979" s="623">
        <v>22</v>
      </c>
      <c r="M979" s="430" t="s">
        <v>4967</v>
      </c>
      <c r="N979" s="1079"/>
      <c r="O979" s="623" t="s">
        <v>4531</v>
      </c>
      <c r="P979" s="623" t="s">
        <v>6235</v>
      </c>
      <c r="Q979" s="619" t="s">
        <v>330</v>
      </c>
      <c r="R979" s="430" t="str">
        <f>_xlfn.XLOOKUP(PV_DATA[[#This Row],[New Ark SKU]],Table9[New Ark SKU],Table9[Connector],,0)</f>
        <v>H4(Com)</v>
      </c>
      <c r="S979" s="433" t="str">
        <f>_xlfn.XLOOKUP(PV_DATA[[#This Row],[New Ark SKU]],Table9[New Ark SKU],Table9[Cable],,0)</f>
        <v>+400mm/-200mm</v>
      </c>
      <c r="T979" s="620">
        <v>625</v>
      </c>
      <c r="U979" s="1064">
        <f>720*3</f>
        <v>2160</v>
      </c>
      <c r="V979" s="624">
        <f>PV_DATA[[#This Row],[QUANTITY]]*PV_DATA[[#This Row],[WATT]]/1000000</f>
        <v>1.35</v>
      </c>
      <c r="W979" s="466">
        <f>PV_DATA[[#This Row],[QUANTITY]]/36</f>
        <v>60</v>
      </c>
      <c r="X979" s="1047">
        <f>PV_DATA[[#This Row],[QUANTITY]]/PV_DATA[[#This Row],[Qty/CT]]</f>
        <v>3</v>
      </c>
      <c r="Y979" s="431" t="s">
        <v>6261</v>
      </c>
      <c r="Z979" s="431" t="str">
        <f t="shared" si="14"/>
        <v>IN-TRANSIT</v>
      </c>
      <c r="AA979" s="855">
        <v>46251</v>
      </c>
      <c r="AB979" s="626">
        <v>46259</v>
      </c>
      <c r="AC979" s="627">
        <f>IF(PV_DATA[[#This Row],[Pick- Up Date]]&lt;&gt;"",_xlfn.ISOWEEKNUM(PV_DATA[[#This Row],[Pick- Up Date]]),"")</f>
        <v>35</v>
      </c>
      <c r="AD979" s="619" t="s">
        <v>6453</v>
      </c>
      <c r="AE979" s="619"/>
      <c r="AF979" s="619" t="s">
        <v>122</v>
      </c>
      <c r="AG979" s="619" t="s">
        <v>122</v>
      </c>
      <c r="AH979" s="431" t="s">
        <v>105</v>
      </c>
      <c r="AI979" s="1011">
        <v>46267</v>
      </c>
      <c r="AJ979" s="441">
        <f>IFERROR(VLOOKUP(AT979, Vessel!A:D, 4, FALSE), "")</f>
        <v>46267.520833333336</v>
      </c>
      <c r="AK979" s="441">
        <f>IFERROR(IF(VLOOKUP(AT979,Vessel!A:F,5,FALSE)=0,"",VLOOKUP(AT979,Vessel!A:F,5,FALSE)),"")</f>
        <v>46267.407708333332</v>
      </c>
      <c r="AL979" s="626">
        <v>46302</v>
      </c>
      <c r="AM979" s="949">
        <f>IFERROR(VLOOKUP(AT979, Vessel!A:H, 8, FALSE), "")</f>
        <v>46307.833333333336</v>
      </c>
      <c r="AN979" s="949" t="str">
        <f>IFERROR(IF(VLOOKUP(AT979,Vessel!A:I,9,FALSE)=0,"",VLOOKUP(AT979,Vessel!A:I,9,FALSE)),"")</f>
        <v/>
      </c>
      <c r="AO979" s="619"/>
      <c r="AP979" s="619" t="s">
        <v>6449</v>
      </c>
      <c r="AQ979" s="431" t="s">
        <v>80</v>
      </c>
      <c r="AR979" s="619" t="s">
        <v>6454</v>
      </c>
      <c r="AS979" s="619" t="s">
        <v>6455</v>
      </c>
      <c r="AT979" s="431" t="s">
        <v>6451</v>
      </c>
      <c r="AU9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40.425625000003492</v>
      </c>
      <c r="AV979" s="619"/>
      <c r="AW979" s="626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46307.833333333336</v>
      </c>
      <c r="AX97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626">
        <f>IF(ISERROR(PV_DATA[[#This Row],[New Ark PO status]]),"",_xlfn.XLOOKUP(PV_DATA[[#This Row],[SPTN-PVHK New Ark PO'#]],New_Ark_Data[Purchase order Number],New_Ark_Data[Estimated time of arrival],"",0))</f>
        <v>46305</v>
      </c>
      <c r="AZ979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626">
        <f>IFERROR(PV_DATA[[#This Row],[ODP ETA Port]]+PV_DATA[[#This Row],[Customs/Leg3 Assumption]],"n/a")</f>
        <v>46307.833333333336</v>
      </c>
      <c r="BB979" s="620">
        <f>YEAR(PV_DATA[[#This Row],[ETA for New Ark update]])</f>
        <v>2026</v>
      </c>
      <c r="BC979" s="619">
        <f>MONTH(PV_DATA[[#This Row],[ETA for New Ark update]])</f>
        <v>10</v>
      </c>
      <c r="BD979" s="619">
        <f>IFERROR(_xlfn.ISOWEEKNUM(PV_DATA[[#This Row],[ETA for New Ark update]]),0)</f>
        <v>42</v>
      </c>
      <c r="BE979" s="619">
        <f>_xlfn.XLOOKUP(PV_DATA[[#This Row],[New Ark SKU]],Table9[New Ark SKU],Table9[Total PCS per Pallet],,0)</f>
        <v>36</v>
      </c>
      <c r="BF979" s="619">
        <f>_xlfn.XLOOKUP(PV_DATA[[#This Row],[New Ark SKU]],Table9[New Ark SKU],Table9[Total PCS per 40HQ Container],,0)</f>
        <v>720</v>
      </c>
      <c r="BG979" s="619" t="str">
        <f>_xlfn.XLOOKUP(PV_DATA[[#This Row],[New Ark SKU]],Table9[New Ark SKU],Table9[Back Glass],,0)</f>
        <v>Redirection Film</v>
      </c>
      <c r="BH979" s="629" t="str">
        <f>_xlfn.XLOOKUP(PV_DATA[[#This Row],[PORT DESTINATION]],Table12[PORT DESTINATION],Table12[Cosco Line],,0)</f>
        <v>AEU</v>
      </c>
    </row>
    <row r="980" spans="1:62" s="431" customFormat="1" ht="10.5">
      <c r="A980" s="727" t="s">
        <v>6456</v>
      </c>
      <c r="B980" s="726" t="s">
        <v>111</v>
      </c>
      <c r="C980" s="439" t="str">
        <f>IFERROR(LEFT(PV_DATA[[#This Row],[TCL REFERENCE]],FIND(".",PV_DATA[[#This Row],[TCL REFERENCE]],1)-1),"Main Line")</f>
        <v>26Aug010</v>
      </c>
      <c r="D980" s="726" t="s">
        <v>113</v>
      </c>
      <c r="E980" s="439" t="s">
        <v>144</v>
      </c>
      <c r="F980" s="726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39" t="s">
        <v>402</v>
      </c>
      <c r="H980" s="439" t="s">
        <v>670</v>
      </c>
      <c r="I980" s="439" t="s">
        <v>6234</v>
      </c>
      <c r="J980" s="439" t="s">
        <v>670</v>
      </c>
      <c r="K980" s="430" t="s">
        <v>5892</v>
      </c>
      <c r="L980" s="623">
        <v>14</v>
      </c>
      <c r="M980" s="430" t="s">
        <v>4967</v>
      </c>
      <c r="N980" s="1079"/>
      <c r="O980" s="623" t="s">
        <v>4531</v>
      </c>
      <c r="P980" s="623" t="s">
        <v>6235</v>
      </c>
      <c r="Q980" s="619" t="s">
        <v>330</v>
      </c>
      <c r="R980" s="430" t="str">
        <f>_xlfn.XLOOKUP(PV_DATA[[#This Row],[New Ark SKU]],Table9[New Ark SKU],Table9[Connector],,0)</f>
        <v>H4(Com)</v>
      </c>
      <c r="S980" s="433" t="str">
        <f>_xlfn.XLOOKUP(PV_DATA[[#This Row],[New Ark SKU]],Table9[New Ark SKU],Table9[Cable],,0)</f>
        <v>+400mm/-200mm</v>
      </c>
      <c r="T980" s="620">
        <v>625</v>
      </c>
      <c r="U980" s="1064">
        <v>7920</v>
      </c>
      <c r="V980" s="624">
        <f>PV_DATA[[#This Row],[QUANTITY]]*PV_DATA[[#This Row],[WATT]]/1000000</f>
        <v>4.95</v>
      </c>
      <c r="W980" s="466">
        <f>PV_DATA[[#This Row],[QUANTITY]]/36</f>
        <v>220</v>
      </c>
      <c r="X980" s="1047">
        <f>PV_DATA[[#This Row],[QUANTITY]]/PV_DATA[[#This Row],[Qty/CT]]</f>
        <v>11</v>
      </c>
      <c r="Y980" s="431" t="s">
        <v>6236</v>
      </c>
      <c r="Z980" s="431" t="str">
        <f t="shared" si="14"/>
        <v>IN-TRANSIT</v>
      </c>
      <c r="AA980" s="855">
        <v>46261</v>
      </c>
      <c r="AB980" s="626">
        <v>46259</v>
      </c>
      <c r="AC980" s="627">
        <f>IF(PV_DATA[[#This Row],[Pick- Up Date]]&lt;&gt;"",_xlfn.ISOWEEKNUM(PV_DATA[[#This Row],[Pick- Up Date]]),"")</f>
        <v>35</v>
      </c>
      <c r="AD980" s="619" t="s">
        <v>6457</v>
      </c>
      <c r="AE980" s="619"/>
      <c r="AF980" s="619" t="s">
        <v>122</v>
      </c>
      <c r="AG980" s="619" t="s">
        <v>122</v>
      </c>
      <c r="AH980" s="431" t="s">
        <v>105</v>
      </c>
      <c r="AI980" s="1011">
        <v>46268</v>
      </c>
      <c r="AJ980" s="441">
        <f>IFERROR(VLOOKUP(AT980, Vessel!A:D, 4, FALSE), "")</f>
        <v>46267.520833333336</v>
      </c>
      <c r="AK980" s="441">
        <f>IFERROR(IF(VLOOKUP(AT980,Vessel!A:F,5,FALSE)=0,"",VLOOKUP(AT980,Vessel!A:F,5,FALSE)),"")</f>
        <v>46267.407708333332</v>
      </c>
      <c r="AL980" s="626">
        <v>46303</v>
      </c>
      <c r="AM980" s="949">
        <f>IFERROR(VLOOKUP(AT980, Vessel!A:H, 8, FALSE), "")</f>
        <v>46307.833333333336</v>
      </c>
      <c r="AN980" s="949" t="str">
        <f>IFERROR(IF(VLOOKUP(AT980,Vessel!A:I,9,FALSE)=0,"",VLOOKUP(AT980,Vessel!A:I,9,FALSE)),"")</f>
        <v/>
      </c>
      <c r="AO980" s="619"/>
      <c r="AP980" s="619" t="s">
        <v>6378</v>
      </c>
      <c r="AQ980" s="628" t="s">
        <v>80</v>
      </c>
      <c r="AR980" s="619" t="s">
        <v>6458</v>
      </c>
      <c r="AS980" s="619" t="s">
        <v>6459</v>
      </c>
      <c r="AT980" s="431" t="s">
        <v>6459</v>
      </c>
      <c r="AU9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40.425625000003492</v>
      </c>
      <c r="AV980" s="619"/>
      <c r="AW980" s="626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46307.833333333336</v>
      </c>
      <c r="AX98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626">
        <f>IF(ISERROR(PV_DATA[[#This Row],[New Ark PO status]]),"",_xlfn.XLOOKUP(PV_DATA[[#This Row],[SPTN-PVHK New Ark PO'#]],New_Ark_Data[Purchase order Number],New_Ark_Data[Estimated time of arrival],"",0))</f>
        <v>46303</v>
      </c>
      <c r="AZ980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626">
        <f>IFERROR(PV_DATA[[#This Row],[ODP ETA Port]]+PV_DATA[[#This Row],[Customs/Leg3 Assumption]],"n/a")</f>
        <v>46307.833333333336</v>
      </c>
      <c r="BB980" s="620">
        <f>YEAR(PV_DATA[[#This Row],[ETA for New Ark update]])</f>
        <v>2026</v>
      </c>
      <c r="BC980" s="619">
        <f>MONTH(PV_DATA[[#This Row],[ETA for New Ark update]])</f>
        <v>10</v>
      </c>
      <c r="BD980" s="619">
        <f>IFERROR(_xlfn.ISOWEEKNUM(PV_DATA[[#This Row],[ETA for New Ark update]]),0)</f>
        <v>42</v>
      </c>
      <c r="BE980" s="619">
        <f>_xlfn.XLOOKUP(PV_DATA[[#This Row],[New Ark SKU]],Table9[New Ark SKU],Table9[Total PCS per Pallet],,0)</f>
        <v>36</v>
      </c>
      <c r="BF980" s="619">
        <f>_xlfn.XLOOKUP(PV_DATA[[#This Row],[New Ark SKU]],Table9[New Ark SKU],Table9[Total PCS per 40HQ Container],,0)</f>
        <v>720</v>
      </c>
      <c r="BG980" s="619" t="str">
        <f>_xlfn.XLOOKUP(PV_DATA[[#This Row],[New Ark SKU]],Table9[New Ark SKU],Table9[Back Glass],,0)</f>
        <v>Redirection Film</v>
      </c>
      <c r="BH980" s="629" t="str">
        <f>_xlfn.XLOOKUP(PV_DATA[[#This Row],[PORT DESTINATION]],Table12[PORT DESTINATION],Table12[Cosco Line],,0)</f>
        <v>AEU</v>
      </c>
    </row>
    <row r="981" spans="1:62" s="431" customFormat="1" ht="10.5">
      <c r="A981" s="727" t="s">
        <v>6460</v>
      </c>
      <c r="B981" s="726" t="s">
        <v>111</v>
      </c>
      <c r="C981" s="439" t="str">
        <f>IFERROR(LEFT(PV_DATA[[#This Row],[TCL REFERENCE]],FIND(".",PV_DATA[[#This Row],[TCL REFERENCE]],1)-1),"Main Line")</f>
        <v>26Aug025</v>
      </c>
      <c r="D981" s="726" t="s">
        <v>113</v>
      </c>
      <c r="E981" s="439" t="s">
        <v>144</v>
      </c>
      <c r="F981" s="726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39" t="s">
        <v>402</v>
      </c>
      <c r="H981" s="439" t="s">
        <v>670</v>
      </c>
      <c r="I981" s="439" t="s">
        <v>6234</v>
      </c>
      <c r="J981" s="439" t="s">
        <v>670</v>
      </c>
      <c r="K981" s="430" t="s">
        <v>6266</v>
      </c>
      <c r="L981" s="623">
        <v>18</v>
      </c>
      <c r="M981" s="430" t="s">
        <v>4967</v>
      </c>
      <c r="N981" s="1079"/>
      <c r="O981" s="623" t="s">
        <v>4531</v>
      </c>
      <c r="P981" s="623" t="s">
        <v>6461</v>
      </c>
      <c r="Q981" s="619" t="s">
        <v>4598</v>
      </c>
      <c r="R981" s="430" t="str">
        <f>_xlfn.XLOOKUP(PV_DATA[[#This Row],[New Ark SKU]],Table9[New Ark SKU],Table9[Connector],,0)</f>
        <v>H4(Com)</v>
      </c>
      <c r="S981" s="433" t="str">
        <f>_xlfn.XLOOKUP(PV_DATA[[#This Row],[New Ark SKU]],Table9[New Ark SKU],Table9[Cable],,0)</f>
        <v>+400mm/-200mm</v>
      </c>
      <c r="T981" s="620">
        <v>630</v>
      </c>
      <c r="U981" s="1093">
        <f>720*8</f>
        <v>5760</v>
      </c>
      <c r="V981" s="624">
        <f>PV_DATA[[#This Row],[QUANTITY]]*PV_DATA[[#This Row],[WATT]]/1000000</f>
        <v>3.6288</v>
      </c>
      <c r="W981" s="466">
        <f>PV_DATA[[#This Row],[QUANTITY]]/36</f>
        <v>160</v>
      </c>
      <c r="X981" s="1047">
        <f>PV_DATA[[#This Row],[QUANTITY]]/PV_DATA[[#This Row],[Qty/CT]]</f>
        <v>8</v>
      </c>
      <c r="Y981" s="431" t="s">
        <v>6261</v>
      </c>
      <c r="Z981" s="431" t="str">
        <f t="shared" si="14"/>
        <v>IN-TRANSIT</v>
      </c>
      <c r="AA981" s="855">
        <v>46251</v>
      </c>
      <c r="AB981" s="626">
        <v>46263</v>
      </c>
      <c r="AC981" s="627">
        <f>IF(PV_DATA[[#This Row],[Pick- Up Date]]&lt;&gt;"",_xlfn.ISOWEEKNUM(PV_DATA[[#This Row],[Pick- Up Date]]),"")</f>
        <v>35</v>
      </c>
      <c r="AD981" s="619" t="s">
        <v>6462</v>
      </c>
      <c r="AE981" s="619"/>
      <c r="AF981" s="619" t="s">
        <v>122</v>
      </c>
      <c r="AG981" s="619" t="s">
        <v>122</v>
      </c>
      <c r="AH981" s="431" t="s">
        <v>105</v>
      </c>
      <c r="AI981" s="626">
        <v>46270</v>
      </c>
      <c r="AJ981" s="626">
        <v>46275</v>
      </c>
      <c r="AK981" s="626">
        <v>46274</v>
      </c>
      <c r="AL981" s="626">
        <v>46312</v>
      </c>
      <c r="AM981" s="626"/>
      <c r="AN981" s="586"/>
      <c r="AO981" s="619"/>
      <c r="AP981" s="619" t="s">
        <v>6449</v>
      </c>
      <c r="AQ981" s="628" t="s">
        <v>161</v>
      </c>
      <c r="AR981" s="619" t="s">
        <v>6463</v>
      </c>
      <c r="AS981" s="619" t="s">
        <v>6464</v>
      </c>
      <c r="AT981" s="431" t="s">
        <v>6464</v>
      </c>
      <c r="AU9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81" s="619"/>
      <c r="AW981" s="626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98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26">
        <f>IF(ISERROR(PV_DATA[[#This Row],[New Ark PO status]]),"",_xlfn.XLOOKUP(PV_DATA[[#This Row],[SPTN-PVHK New Ark PO'#]],New_Ark_Data[Purchase order Number],New_Ark_Data[Estimated time of arrival],"",0))</f>
        <v>46302</v>
      </c>
      <c r="AZ981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26">
        <f>IFERROR(PV_DATA[[#This Row],[ODP ETA Port]]+PV_DATA[[#This Row],[Customs/Leg3 Assumption]],"n/a")</f>
        <v>46312</v>
      </c>
      <c r="BB981" s="620">
        <f>YEAR(PV_DATA[[#This Row],[ETA for New Ark update]])</f>
        <v>2026</v>
      </c>
      <c r="BC981" s="619">
        <f>MONTH(PV_DATA[[#This Row],[ETA for New Ark update]])</f>
        <v>10</v>
      </c>
      <c r="BD981" s="619">
        <f>IFERROR(_xlfn.ISOWEEKNUM(PV_DATA[[#This Row],[ETA for New Ark update]]),0)</f>
        <v>42</v>
      </c>
      <c r="BE981" s="619">
        <f>_xlfn.XLOOKUP(PV_DATA[[#This Row],[New Ark SKU]],Table9[New Ark SKU],Table9[Total PCS per Pallet],,0)</f>
        <v>36</v>
      </c>
      <c r="BF981" s="619">
        <f>_xlfn.XLOOKUP(PV_DATA[[#This Row],[New Ark SKU]],Table9[New Ark SKU],Table9[Total PCS per 40HQ Container],,0)</f>
        <v>720</v>
      </c>
      <c r="BG981" s="619" t="str">
        <f>_xlfn.XLOOKUP(PV_DATA[[#This Row],[New Ark SKU]],Table9[New Ark SKU],Table9[Back Glass],,0)</f>
        <v>Redirection Film</v>
      </c>
      <c r="BH981" s="629" t="str">
        <f>_xlfn.XLOOKUP(PV_DATA[[#This Row],[PORT DESTINATION]],Table12[PORT DESTINATION],Table12[Cosco Line],,0)</f>
        <v>AEU</v>
      </c>
    </row>
    <row r="982" spans="1:62" s="431" customFormat="1" ht="10.5">
      <c r="A982" s="728" t="s">
        <v>6465</v>
      </c>
      <c r="B982" s="439" t="s">
        <v>111</v>
      </c>
      <c r="C982" s="439" t="str">
        <f>IFERROR(LEFT(PV_DATA[[#This Row],[TCL REFERENCE]],FIND(".",PV_DATA[[#This Row],[TCL REFERENCE]],1)-1),"Main Line")</f>
        <v>26Aug010</v>
      </c>
      <c r="D982" s="439" t="s">
        <v>113</v>
      </c>
      <c r="E982" s="439" t="s">
        <v>144</v>
      </c>
      <c r="F982" s="726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2" s="439" t="s">
        <v>402</v>
      </c>
      <c r="H982" s="439" t="s">
        <v>670</v>
      </c>
      <c r="I982" s="439" t="s">
        <v>6234</v>
      </c>
      <c r="J982" s="726" t="s">
        <v>670</v>
      </c>
      <c r="K982" s="430" t="s">
        <v>5892</v>
      </c>
      <c r="L982" s="430">
        <v>12</v>
      </c>
      <c r="M982" s="430" t="s">
        <v>4967</v>
      </c>
      <c r="N982" s="432"/>
      <c r="O982" s="430" t="s">
        <v>4531</v>
      </c>
      <c r="P982" s="430" t="s">
        <v>6235</v>
      </c>
      <c r="Q982" s="431" t="s">
        <v>330</v>
      </c>
      <c r="R982" s="430" t="str">
        <f>_xlfn.XLOOKUP(PV_DATA[[#This Row],[New Ark SKU]],Table9[New Ark SKU],Table9[Connector],,0)</f>
        <v>H4(Com)</v>
      </c>
      <c r="S982" s="433" t="str">
        <f>_xlfn.XLOOKUP(PV_DATA[[#This Row],[New Ark SKU]],Table9[New Ark SKU],Table9[Cable],,0)</f>
        <v>+400mm/-200mm</v>
      </c>
      <c r="T982" s="442">
        <v>625</v>
      </c>
      <c r="U982" s="1093">
        <f>720*5</f>
        <v>3600</v>
      </c>
      <c r="V982" s="448">
        <f>PV_DATA[[#This Row],[QUANTITY]]*PV_DATA[[#This Row],[WATT]]/1000000</f>
        <v>2.25</v>
      </c>
      <c r="W982" s="625">
        <f>PV_DATA[[#This Row],[QUANTITY]]/36</f>
        <v>100</v>
      </c>
      <c r="X982" s="1044">
        <f>PV_DATA[[#This Row],[QUANTITY]]/PV_DATA[[#This Row],[Qty/CT]]</f>
        <v>5</v>
      </c>
      <c r="Y982" s="431" t="s">
        <v>6236</v>
      </c>
      <c r="Z982" s="431" t="str">
        <f t="shared" si="14"/>
        <v>IN-TRANSIT</v>
      </c>
      <c r="AA982" s="661">
        <v>46251</v>
      </c>
      <c r="AB982" s="441">
        <v>46260</v>
      </c>
      <c r="AC982" s="467">
        <f>IF(PV_DATA[[#This Row],[Pick- Up Date]]&lt;&gt;"",_xlfn.ISOWEEKNUM(PV_DATA[[#This Row],[Pick- Up Date]]),"")</f>
        <v>35</v>
      </c>
      <c r="AD982" s="431" t="s">
        <v>6466</v>
      </c>
      <c r="AF982" s="431" t="s">
        <v>122</v>
      </c>
      <c r="AG982" s="431" t="s">
        <v>122</v>
      </c>
      <c r="AH982" s="431" t="s">
        <v>105</v>
      </c>
      <c r="AI982" s="719">
        <v>46264</v>
      </c>
      <c r="AJ982" s="441">
        <v>46269</v>
      </c>
      <c r="AK982" s="441">
        <v>46272</v>
      </c>
      <c r="AL982" s="441">
        <v>46305</v>
      </c>
      <c r="AM982" s="441"/>
      <c r="AN982" s="586"/>
      <c r="AP982" s="431" t="s">
        <v>6467</v>
      </c>
      <c r="AQ982" s="628" t="s">
        <v>161</v>
      </c>
      <c r="AR982" s="431" t="s">
        <v>6468</v>
      </c>
      <c r="AS982" s="431" t="s">
        <v>6469</v>
      </c>
      <c r="AT982" s="431" t="s">
        <v>6469</v>
      </c>
      <c r="AU9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82" s="441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2" s="441">
        <f>IF(ISERROR(PV_DATA[[#This Row],[New Ark PO status]]),"",_xlfn.XLOOKUP(PV_DATA[[#This Row],[SPTN-PVHK New Ark PO'#]],New_Ark_Data[Purchase order Number],New_Ark_Data[Estimated time of arrival],"",0))</f>
        <v>46305</v>
      </c>
      <c r="AZ9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2" s="441">
        <f>IFERROR(PV_DATA[[#This Row],[ODP ETA Port]]+PV_DATA[[#This Row],[Customs/Leg3 Assumption]],"n/a")</f>
        <v>46305</v>
      </c>
      <c r="BB982" s="442">
        <f>YEAR(PV_DATA[[#This Row],[ETA for New Ark update]])</f>
        <v>2026</v>
      </c>
      <c r="BC982" s="431">
        <f>MONTH(PV_DATA[[#This Row],[ETA for New Ark update]])</f>
        <v>10</v>
      </c>
      <c r="BD982" s="431">
        <f>IFERROR(_xlfn.ISOWEEKNUM(PV_DATA[[#This Row],[ETA for New Ark update]]),0)</f>
        <v>41</v>
      </c>
      <c r="BE982" s="431">
        <f>_xlfn.XLOOKUP(PV_DATA[[#This Row],[New Ark SKU]],Table9[New Ark SKU],Table9[Total PCS per Pallet],,0)</f>
        <v>36</v>
      </c>
      <c r="BF982" s="431">
        <f>_xlfn.XLOOKUP(PV_DATA[[#This Row],[New Ark SKU]],Table9[New Ark SKU],Table9[Total PCS per 40HQ Container],,0)</f>
        <v>720</v>
      </c>
      <c r="BG982" s="431" t="str">
        <f>_xlfn.XLOOKUP(PV_DATA[[#This Row],[New Ark SKU]],Table9[New Ark SKU],Table9[Back Glass],,0)</f>
        <v>Redirection Film</v>
      </c>
      <c r="BH982" s="622" t="str">
        <f>_xlfn.XLOOKUP(PV_DATA[[#This Row],[PORT DESTINATION]],Table12[PORT DESTINATION],Table12[Cosco Line],,0)</f>
        <v>AEU</v>
      </c>
    </row>
    <row r="983" spans="1:62" s="431" customFormat="1" ht="10.5">
      <c r="A983" s="728" t="s">
        <v>6470</v>
      </c>
      <c r="B983" s="439" t="s">
        <v>111</v>
      </c>
      <c r="C983" s="439" t="str">
        <f>IFERROR(LEFT(PV_DATA[[#This Row],[TCL REFERENCE]],FIND(".",PV_DATA[[#This Row],[TCL REFERENCE]],1)-1),"Main Line")</f>
        <v>26Aug010</v>
      </c>
      <c r="D983" s="439" t="s">
        <v>113</v>
      </c>
      <c r="E983" s="439" t="s">
        <v>144</v>
      </c>
      <c r="F983" s="439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3" s="439" t="s">
        <v>402</v>
      </c>
      <c r="H983" s="439" t="s">
        <v>670</v>
      </c>
      <c r="I983" s="439" t="s">
        <v>6234</v>
      </c>
      <c r="J983" s="439" t="s">
        <v>670</v>
      </c>
      <c r="K983" s="430" t="s">
        <v>6266</v>
      </c>
      <c r="L983" s="430">
        <v>21</v>
      </c>
      <c r="M983" s="430" t="s">
        <v>4967</v>
      </c>
      <c r="N983" s="432"/>
      <c r="O983" s="430" t="s">
        <v>4531</v>
      </c>
      <c r="P983" s="430" t="s">
        <v>6235</v>
      </c>
      <c r="Q983" s="431" t="s">
        <v>330</v>
      </c>
      <c r="R983" s="430" t="str">
        <f>_xlfn.XLOOKUP(PV_DATA[[#This Row],[New Ark SKU]],Table9[New Ark SKU],Table9[Connector],,0)</f>
        <v>H4(Com)</v>
      </c>
      <c r="S983" s="433" t="str">
        <f>_xlfn.XLOOKUP(PV_DATA[[#This Row],[New Ark SKU]],Table9[New Ark SKU],Table9[Cable],,0)</f>
        <v>+400mm/-200mm</v>
      </c>
      <c r="T983" s="442">
        <v>625</v>
      </c>
      <c r="U983" s="1093">
        <v>3600</v>
      </c>
      <c r="V983" s="448">
        <f>PV_DATA[[#This Row],[QUANTITY]]*PV_DATA[[#This Row],[WATT]]/1000000</f>
        <v>2.25</v>
      </c>
      <c r="W983" s="466">
        <f>PV_DATA[[#This Row],[QUANTITY]]/36</f>
        <v>100</v>
      </c>
      <c r="X983" s="1044">
        <f>PV_DATA[[#This Row],[QUANTITY]]/PV_DATA[[#This Row],[Qty/CT]]</f>
        <v>5</v>
      </c>
      <c r="Y983" s="431" t="s">
        <v>6236</v>
      </c>
      <c r="Z983" s="431" t="str">
        <f t="shared" si="14"/>
        <v>IN-TRANSIT</v>
      </c>
      <c r="AA983" s="661">
        <v>46251</v>
      </c>
      <c r="AB983" s="441">
        <v>46260</v>
      </c>
      <c r="AC983" s="467">
        <f>IF(PV_DATA[[#This Row],[Pick- Up Date]]&lt;&gt;"",_xlfn.ISOWEEKNUM(PV_DATA[[#This Row],[Pick- Up Date]]),"")</f>
        <v>35</v>
      </c>
      <c r="AD983" s="431" t="s">
        <v>6471</v>
      </c>
      <c r="AF983" s="431" t="s">
        <v>122</v>
      </c>
      <c r="AG983" s="431" t="s">
        <v>122</v>
      </c>
      <c r="AH983" s="431" t="s">
        <v>105</v>
      </c>
      <c r="AI983" s="719">
        <v>46264</v>
      </c>
      <c r="AJ983" s="441">
        <v>46269</v>
      </c>
      <c r="AK983" s="441">
        <v>46272</v>
      </c>
      <c r="AL983" s="441">
        <v>46305</v>
      </c>
      <c r="AM983" s="586"/>
      <c r="AN983" s="586"/>
      <c r="AP983" s="431" t="s">
        <v>6467</v>
      </c>
      <c r="AQ983" s="445" t="s">
        <v>161</v>
      </c>
      <c r="AR983" s="431" t="s">
        <v>6468</v>
      </c>
      <c r="AS983" s="431" t="s">
        <v>6469</v>
      </c>
      <c r="AT983" s="431" t="s">
        <v>6472</v>
      </c>
      <c r="AU9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83" s="441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3" s="441">
        <f>IF(ISERROR(PV_DATA[[#This Row],[New Ark PO status]]),"",_xlfn.XLOOKUP(PV_DATA[[#This Row],[SPTN-PVHK New Ark PO'#]],New_Ark_Data[Purchase order Number],New_Ark_Data[Estimated time of arrival],"",0))</f>
        <v>46305</v>
      </c>
      <c r="AZ98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3" s="441">
        <f>IFERROR(PV_DATA[[#This Row],[ODP ETA Port]]+PV_DATA[[#This Row],[Customs/Leg3 Assumption]],"n/a")</f>
        <v>46305</v>
      </c>
      <c r="BB983" s="442">
        <f>YEAR(PV_DATA[[#This Row],[ETA for New Ark update]])</f>
        <v>2026</v>
      </c>
      <c r="BC983" s="431">
        <f>MONTH(PV_DATA[[#This Row],[ETA for New Ark update]])</f>
        <v>10</v>
      </c>
      <c r="BD983" s="431">
        <f>IFERROR(_xlfn.ISOWEEKNUM(PV_DATA[[#This Row],[ETA for New Ark update]]),0)</f>
        <v>41</v>
      </c>
      <c r="BE983" s="431">
        <f>_xlfn.XLOOKUP(PV_DATA[[#This Row],[New Ark SKU]],Table9[New Ark SKU],Table9[Total PCS per Pallet],,0)</f>
        <v>36</v>
      </c>
      <c r="BF983" s="431">
        <f>_xlfn.XLOOKUP(PV_DATA[[#This Row],[New Ark SKU]],Table9[New Ark SKU],Table9[Total PCS per 40HQ Container],,0)</f>
        <v>720</v>
      </c>
      <c r="BG983" s="431" t="str">
        <f>_xlfn.XLOOKUP(PV_DATA[[#This Row],[New Ark SKU]],Table9[New Ark SKU],Table9[Back Glass],,0)</f>
        <v>Redirection Film</v>
      </c>
      <c r="BH983" s="622" t="str">
        <f>_xlfn.XLOOKUP(PV_DATA[[#This Row],[PORT DESTINATION]],Table12[PORT DESTINATION],Table12[Cosco Line],,0)</f>
        <v>AEU</v>
      </c>
    </row>
    <row r="984" spans="1:62" s="431" customFormat="1" ht="10.5">
      <c r="A984" s="439" t="s">
        <v>6473</v>
      </c>
      <c r="B984" s="439" t="s">
        <v>111</v>
      </c>
      <c r="C984" s="439" t="str">
        <f>IFERROR(LEFT(PV_DATA[[#This Row],[TCL REFERENCE]],FIND(".",PV_DATA[[#This Row],[TCL REFERENCE]],1)-1),"Main Line")</f>
        <v>26Aug010</v>
      </c>
      <c r="D984" s="439" t="s">
        <v>113</v>
      </c>
      <c r="E984" s="439" t="s">
        <v>144</v>
      </c>
      <c r="F984" s="439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439" t="s">
        <v>402</v>
      </c>
      <c r="H984" s="439" t="s">
        <v>670</v>
      </c>
      <c r="I984" s="439" t="s">
        <v>6234</v>
      </c>
      <c r="J984" s="439" t="s">
        <v>670</v>
      </c>
      <c r="K984" s="430" t="s">
        <v>5892</v>
      </c>
      <c r="L984" s="430">
        <v>9</v>
      </c>
      <c r="M984" s="430" t="s">
        <v>4967</v>
      </c>
      <c r="N984" s="432"/>
      <c r="O984" s="430" t="s">
        <v>4531</v>
      </c>
      <c r="P984" s="430" t="s">
        <v>6235</v>
      </c>
      <c r="Q984" s="431" t="s">
        <v>330</v>
      </c>
      <c r="R984" s="430" t="str">
        <f>_xlfn.XLOOKUP(PV_DATA[[#This Row],[New Ark SKU]],Table9[New Ark SKU],Table9[Connector],,0)</f>
        <v>H4(Com)</v>
      </c>
      <c r="S984" s="433" t="str">
        <f>_xlfn.XLOOKUP(PV_DATA[[#This Row],[New Ark SKU]],Table9[New Ark SKU],Table9[Cable],,0)</f>
        <v>+400mm/-200mm</v>
      </c>
      <c r="T984" s="442">
        <v>625</v>
      </c>
      <c r="U984" s="1093">
        <v>3600</v>
      </c>
      <c r="V984" s="448">
        <f>PV_DATA[[#This Row],[QUANTITY]]*PV_DATA[[#This Row],[WATT]]/1000000</f>
        <v>2.25</v>
      </c>
      <c r="W984" s="466">
        <f>PV_DATA[[#This Row],[QUANTITY]]/36</f>
        <v>100</v>
      </c>
      <c r="X984" s="1044">
        <f>PV_DATA[[#This Row],[QUANTITY]]/PV_DATA[[#This Row],[Qty/CT]]</f>
        <v>5</v>
      </c>
      <c r="Y984" s="431" t="s">
        <v>6236</v>
      </c>
      <c r="Z984" s="431" t="str">
        <f t="shared" si="14"/>
        <v>IN-TRANSIT</v>
      </c>
      <c r="AA984" s="661">
        <v>46251</v>
      </c>
      <c r="AB984" s="441">
        <v>46261</v>
      </c>
      <c r="AC984" s="467">
        <f>IF(PV_DATA[[#This Row],[Pick- Up Date]]&lt;&gt;"",_xlfn.ISOWEEKNUM(PV_DATA[[#This Row],[Pick- Up Date]]),"")</f>
        <v>35</v>
      </c>
      <c r="AD984" s="431" t="s">
        <v>6474</v>
      </c>
      <c r="AF984" s="431" t="s">
        <v>122</v>
      </c>
      <c r="AG984" s="431" t="s">
        <v>122</v>
      </c>
      <c r="AH984" s="431" t="s">
        <v>105</v>
      </c>
      <c r="AI984" s="719">
        <v>46264</v>
      </c>
      <c r="AJ984" s="441">
        <v>46269</v>
      </c>
      <c r="AK984" s="441">
        <v>46272</v>
      </c>
      <c r="AL984" s="441">
        <v>46305</v>
      </c>
      <c r="AM984" s="441"/>
      <c r="AN984" s="586"/>
      <c r="AP984" s="431" t="s">
        <v>6467</v>
      </c>
      <c r="AQ984" s="445" t="s">
        <v>161</v>
      </c>
      <c r="AR984" s="431" t="s">
        <v>6475</v>
      </c>
      <c r="AS984" s="431" t="s">
        <v>6476</v>
      </c>
      <c r="AT984" s="431" t="s">
        <v>6476</v>
      </c>
      <c r="AU9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84" s="441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4" s="441">
        <f>IF(ISERROR(PV_DATA[[#This Row],[New Ark PO status]]),"",_xlfn.XLOOKUP(PV_DATA[[#This Row],[SPTN-PVHK New Ark PO'#]],New_Ark_Data[Purchase order Number],New_Ark_Data[Estimated time of arrival],"",0))</f>
        <v>46305</v>
      </c>
      <c r="AZ98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441">
        <f>IFERROR(PV_DATA[[#This Row],[ODP ETA Port]]+PV_DATA[[#This Row],[Customs/Leg3 Assumption]],"n/a")</f>
        <v>46305</v>
      </c>
      <c r="BB984" s="442">
        <f>YEAR(PV_DATA[[#This Row],[ETA for New Ark update]])</f>
        <v>2026</v>
      </c>
      <c r="BC984" s="431">
        <f>MONTH(PV_DATA[[#This Row],[ETA for New Ark update]])</f>
        <v>10</v>
      </c>
      <c r="BD984" s="431">
        <f>IFERROR(_xlfn.ISOWEEKNUM(PV_DATA[[#This Row],[ETA for New Ark update]]),0)</f>
        <v>41</v>
      </c>
      <c r="BE984" s="431">
        <f>_xlfn.XLOOKUP(PV_DATA[[#This Row],[New Ark SKU]],Table9[New Ark SKU],Table9[Total PCS per Pallet],,0)</f>
        <v>36</v>
      </c>
      <c r="BF984" s="431">
        <f>_xlfn.XLOOKUP(PV_DATA[[#This Row],[New Ark SKU]],Table9[New Ark SKU],Table9[Total PCS per 40HQ Container],,0)</f>
        <v>720</v>
      </c>
      <c r="BG984" s="431" t="str">
        <f>_xlfn.XLOOKUP(PV_DATA[[#This Row],[New Ark SKU]],Table9[New Ark SKU],Table9[Back Glass],,0)</f>
        <v>Redirection Film</v>
      </c>
      <c r="BH984" s="431" t="str">
        <f>_xlfn.XLOOKUP(PV_DATA[[#This Row],[PORT DESTINATION]],Table12[PORT DESTINATION],Table12[Cosco Line],,0)</f>
        <v>AEU</v>
      </c>
    </row>
    <row r="985" spans="1:62" ht="10.5">
      <c r="A985" s="727" t="s">
        <v>6477</v>
      </c>
      <c r="B985" s="726" t="s">
        <v>111</v>
      </c>
      <c r="C985" s="439" t="str">
        <f>IFERROR(LEFT(PV_DATA[[#This Row],[TCL REFERENCE]],FIND(".",PV_DATA[[#This Row],[TCL REFERENCE]],1)-1),"Main Line")</f>
        <v>26Aug025</v>
      </c>
      <c r="D985" s="726" t="s">
        <v>113</v>
      </c>
      <c r="E985" s="439" t="s">
        <v>144</v>
      </c>
      <c r="F985" s="726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5" s="439" t="s">
        <v>402</v>
      </c>
      <c r="H985" s="439" t="s">
        <v>670</v>
      </c>
      <c r="I985" s="439" t="s">
        <v>6234</v>
      </c>
      <c r="J985" s="439" t="s">
        <v>670</v>
      </c>
      <c r="K985" s="623" t="s">
        <v>6266</v>
      </c>
      <c r="L985" s="623">
        <v>35</v>
      </c>
      <c r="M985" s="430" t="s">
        <v>4967</v>
      </c>
      <c r="N985" s="1079"/>
      <c r="O985" s="623" t="s">
        <v>4531</v>
      </c>
      <c r="P985" s="623" t="s">
        <v>6461</v>
      </c>
      <c r="Q985" s="619" t="s">
        <v>4598</v>
      </c>
      <c r="R985" s="430" t="str">
        <f>_xlfn.XLOOKUP(PV_DATA[[#This Row],[New Ark SKU]],Table9[New Ark SKU],Table9[Connector],,0)</f>
        <v>H4(Com)</v>
      </c>
      <c r="S985" s="433" t="str">
        <f>_xlfn.XLOOKUP(PV_DATA[[#This Row],[New Ark SKU]],Table9[New Ark SKU],Table9[Cable],,0)</f>
        <v>+400mm/-200mm</v>
      </c>
      <c r="T985" s="620">
        <v>630</v>
      </c>
      <c r="U985" s="1093">
        <v>720</v>
      </c>
      <c r="V985" s="624">
        <f>PV_DATA[[#This Row],[QUANTITY]]*PV_DATA[[#This Row],[WATT]]/1000000</f>
        <v>0.4536</v>
      </c>
      <c r="W985" s="466">
        <f>PV_DATA[[#This Row],[QUANTITY]]/36</f>
        <v>20</v>
      </c>
      <c r="X985" s="1047">
        <f>PV_DATA[[#This Row],[QUANTITY]]/PV_DATA[[#This Row],[Qty/CT]]</f>
        <v>1</v>
      </c>
      <c r="Y985" s="431" t="s">
        <v>2466</v>
      </c>
      <c r="Z985" s="430" t="str">
        <f t="shared" si="14"/>
        <v>IN-TRANSIT</v>
      </c>
      <c r="AA985" s="619"/>
      <c r="AB985" s="626">
        <v>46261</v>
      </c>
      <c r="AC985" s="627">
        <f>IF(PV_DATA[[#This Row],[Pick- Up Date]]&lt;&gt;"",_xlfn.ISOWEEKNUM(PV_DATA[[#This Row],[Pick- Up Date]]),"")</f>
        <v>35</v>
      </c>
      <c r="AD985" s="619" t="s">
        <v>6478</v>
      </c>
      <c r="AE985" s="619"/>
      <c r="AF985" s="619" t="s">
        <v>122</v>
      </c>
      <c r="AG985" s="619" t="s">
        <v>122</v>
      </c>
      <c r="AH985" s="430" t="s">
        <v>105</v>
      </c>
      <c r="AI985" s="719">
        <v>46264</v>
      </c>
      <c r="AJ985" s="441">
        <v>46269</v>
      </c>
      <c r="AK985" s="441">
        <v>46272</v>
      </c>
      <c r="AL985" s="441">
        <v>46305</v>
      </c>
      <c r="AM985" s="626"/>
      <c r="AN985" s="586"/>
      <c r="AO985" s="619"/>
      <c r="AP985" s="431" t="s">
        <v>6467</v>
      </c>
      <c r="AQ985" s="628" t="s">
        <v>161</v>
      </c>
      <c r="AR985" s="431" t="s">
        <v>6479</v>
      </c>
      <c r="AS985" s="431" t="s">
        <v>6480</v>
      </c>
      <c r="AT985" s="431" t="s">
        <v>6481</v>
      </c>
      <c r="AU9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5" s="619"/>
      <c r="AW985" s="626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5" s="626">
        <f>IF(ISERROR(PV_DATA[[#This Row],[New Ark PO status]]),"",_xlfn.XLOOKUP(PV_DATA[[#This Row],[SPTN-PVHK New Ark PO'#]],New_Ark_Data[Purchase order Number],New_Ark_Data[Estimated time of arrival],"",0))</f>
        <v>46305</v>
      </c>
      <c r="AZ985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5" s="626">
        <f>IFERROR(PV_DATA[[#This Row],[ODP ETA Port]]+PV_DATA[[#This Row],[Customs/Leg3 Assumption]],"n/a")</f>
        <v>46305</v>
      </c>
      <c r="BB985" s="442">
        <f>YEAR(PV_DATA[[#This Row],[ETA for New Ark update]])</f>
        <v>2026</v>
      </c>
      <c r="BC985" s="431">
        <f>MONTH(PV_DATA[[#This Row],[ETA for New Ark update]])</f>
        <v>10</v>
      </c>
      <c r="BD985" s="619">
        <f>IFERROR(_xlfn.ISOWEEKNUM(PV_DATA[[#This Row],[ETA for New Ark update]]),0)</f>
        <v>41</v>
      </c>
      <c r="BE985" s="619">
        <f>_xlfn.XLOOKUP(PV_DATA[[#This Row],[New Ark SKU]],Table9[New Ark SKU],Table9[Total PCS per Pallet],,0)</f>
        <v>36</v>
      </c>
      <c r="BF985" s="619">
        <f>_xlfn.XLOOKUP(PV_DATA[[#This Row],[New Ark SKU]],Table9[New Ark SKU],Table9[Total PCS per 40HQ Container],,0)</f>
        <v>720</v>
      </c>
      <c r="BG985" s="619" t="str">
        <f>_xlfn.XLOOKUP(PV_DATA[[#This Row],[New Ark SKU]],Table9[New Ark SKU],Table9[Back Glass],,0)</f>
        <v>Redirection Film</v>
      </c>
      <c r="BH985" s="629" t="str">
        <f>_xlfn.XLOOKUP(PV_DATA[[#This Row],[PORT DESTINATION]],Table12[PORT DESTINATION],Table12[Cosco Line],,0)</f>
        <v>AEU</v>
      </c>
      <c r="BJ985" s="430"/>
    </row>
    <row r="986" spans="1:62" s="431" customFormat="1" ht="10.5">
      <c r="A986" s="727" t="s">
        <v>6482</v>
      </c>
      <c r="B986" s="726" t="s">
        <v>111</v>
      </c>
      <c r="C986" s="439" t="str">
        <f>IFERROR(LEFT(PV_DATA[[#This Row],[TCL REFERENCE]],FIND(".",PV_DATA[[#This Row],[TCL REFERENCE]],1)-1),"Main Line")</f>
        <v>26Aug009</v>
      </c>
      <c r="D986" s="726" t="s">
        <v>113</v>
      </c>
      <c r="E986" s="439" t="s">
        <v>144</v>
      </c>
      <c r="F986" s="726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6" s="439" t="s">
        <v>402</v>
      </c>
      <c r="H986" s="439" t="s">
        <v>670</v>
      </c>
      <c r="I986" s="439" t="s">
        <v>6234</v>
      </c>
      <c r="J986" s="439" t="s">
        <v>670</v>
      </c>
      <c r="K986" s="430" t="s">
        <v>6266</v>
      </c>
      <c r="L986" s="623">
        <v>31</v>
      </c>
      <c r="M986" s="430" t="s">
        <v>4967</v>
      </c>
      <c r="N986" s="1079"/>
      <c r="O986" s="623" t="s">
        <v>4531</v>
      </c>
      <c r="P986" s="623" t="s">
        <v>6483</v>
      </c>
      <c r="Q986" s="619" t="s">
        <v>103</v>
      </c>
      <c r="R986" s="430" t="str">
        <f>_xlfn.XLOOKUP(PV_DATA[[#This Row],[New Ark SKU]],Table9[New Ark SKU],Table9[Connector],,0)</f>
        <v>H4(Com)</v>
      </c>
      <c r="S986" s="433" t="str">
        <f>_xlfn.XLOOKUP(PV_DATA[[#This Row],[New Ark SKU]],Table9[New Ark SKU],Table9[Cable],,0)</f>
        <v>+400mm/-200mm</v>
      </c>
      <c r="T986" s="620">
        <v>620</v>
      </c>
      <c r="U986" s="1064">
        <v>1440</v>
      </c>
      <c r="V986" s="624">
        <f>PV_DATA[[#This Row],[QUANTITY]]*PV_DATA[[#This Row],[WATT]]/1000000</f>
        <v>0.89280000000000004</v>
      </c>
      <c r="W986" s="466">
        <f>PV_DATA[[#This Row],[QUANTITY]]/36</f>
        <v>40</v>
      </c>
      <c r="X986" s="1047">
        <f>PV_DATA[[#This Row],[QUANTITY]]/PV_DATA[[#This Row],[Qty/CT]]</f>
        <v>2</v>
      </c>
      <c r="Y986" s="431" t="s">
        <v>2466</v>
      </c>
      <c r="Z986" s="431" t="str">
        <f t="shared" si="14"/>
        <v>IN-TRANSIT</v>
      </c>
      <c r="AA986" s="450" t="s">
        <v>6484</v>
      </c>
      <c r="AB986" s="626">
        <v>46261</v>
      </c>
      <c r="AC986" s="627">
        <f>IF(PV_DATA[[#This Row],[Pick- Up Date]]&lt;&gt;"",_xlfn.ISOWEEKNUM(PV_DATA[[#This Row],[Pick- Up Date]]),"")</f>
        <v>35</v>
      </c>
      <c r="AD986" s="619" t="s">
        <v>6485</v>
      </c>
      <c r="AE986" s="619"/>
      <c r="AF986" s="619" t="s">
        <v>122</v>
      </c>
      <c r="AG986" s="619" t="s">
        <v>122</v>
      </c>
      <c r="AH986" s="431" t="s">
        <v>105</v>
      </c>
      <c r="AI986" s="719">
        <v>46264</v>
      </c>
      <c r="AJ986" s="441">
        <v>46269</v>
      </c>
      <c r="AK986" s="441">
        <v>46272</v>
      </c>
      <c r="AL986" s="441">
        <v>46305</v>
      </c>
      <c r="AM986" s="586"/>
      <c r="AN986" s="586"/>
      <c r="AO986" s="619"/>
      <c r="AP986" s="431" t="s">
        <v>6467</v>
      </c>
      <c r="AQ986" s="628" t="s">
        <v>161</v>
      </c>
      <c r="AR986" s="431" t="s">
        <v>6479</v>
      </c>
      <c r="AS986" s="431" t="s">
        <v>6480</v>
      </c>
      <c r="AT986" s="431" t="s">
        <v>6481</v>
      </c>
      <c r="AU9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6" s="619"/>
      <c r="AW986" s="626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6" s="626">
        <f>IF(ISERROR(PV_DATA[[#This Row],[New Ark PO status]]),"",_xlfn.XLOOKUP(PV_DATA[[#This Row],[SPTN-PVHK New Ark PO'#]],New_Ark_Data[Purchase order Number],New_Ark_Data[Estimated time of arrival],"",0))</f>
        <v>46305</v>
      </c>
      <c r="AZ986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6" s="626">
        <f>IFERROR(PV_DATA[[#This Row],[ODP ETA Port]]+PV_DATA[[#This Row],[Customs/Leg3 Assumption]],"n/a")</f>
        <v>46305</v>
      </c>
      <c r="BB986" s="620">
        <f>YEAR(PV_DATA[[#This Row],[ETA for New Ark update]])</f>
        <v>2026</v>
      </c>
      <c r="BC986" s="619">
        <f>MONTH(PV_DATA[[#This Row],[ETA for New Ark update]])</f>
        <v>10</v>
      </c>
      <c r="BD986" s="619">
        <f>IFERROR(_xlfn.ISOWEEKNUM(PV_DATA[[#This Row],[ETA for New Ark update]]),0)</f>
        <v>41</v>
      </c>
      <c r="BE986" s="619">
        <f>_xlfn.XLOOKUP(PV_DATA[[#This Row],[New Ark SKU]],Table9[New Ark SKU],Table9[Total PCS per Pallet],,0)</f>
        <v>36</v>
      </c>
      <c r="BF986" s="619">
        <f>_xlfn.XLOOKUP(PV_DATA[[#This Row],[New Ark SKU]],Table9[New Ark SKU],Table9[Total PCS per 40HQ Container],,0)</f>
        <v>720</v>
      </c>
      <c r="BG986" s="619" t="str">
        <f>_xlfn.XLOOKUP(PV_DATA[[#This Row],[New Ark SKU]],Table9[New Ark SKU],Table9[Back Glass],,0)</f>
        <v>Redirection Film</v>
      </c>
      <c r="BH986" s="629" t="str">
        <f>_xlfn.XLOOKUP(PV_DATA[[#This Row],[PORT DESTINATION]],Table12[PORT DESTINATION],Table12[Cosco Line],,0)</f>
        <v>AEU</v>
      </c>
    </row>
    <row r="987" spans="1:62" s="431" customFormat="1" ht="10.5">
      <c r="A987" s="727" t="s">
        <v>6486</v>
      </c>
      <c r="B987" s="726" t="s">
        <v>111</v>
      </c>
      <c r="C987" s="439" t="str">
        <f>IFERROR(LEFT(PV_DATA[[#This Row],[TCL REFERENCE]],FIND(".",PV_DATA[[#This Row],[TCL REFERENCE]],1)-1),"Main Line")</f>
        <v>26Jul010</v>
      </c>
      <c r="D987" s="726" t="s">
        <v>63</v>
      </c>
      <c r="E987" s="439" t="s">
        <v>64</v>
      </c>
      <c r="F987" s="726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7" s="439" t="s">
        <v>402</v>
      </c>
      <c r="H987" s="439" t="s">
        <v>67</v>
      </c>
      <c r="I987" s="439" t="s">
        <v>1395</v>
      </c>
      <c r="J987" s="431" t="s">
        <v>96</v>
      </c>
      <c r="K987" s="430"/>
      <c r="L987" s="623"/>
      <c r="M987" s="430" t="s">
        <v>68</v>
      </c>
      <c r="N987" s="1079">
        <v>46251</v>
      </c>
      <c r="O987" s="623" t="s">
        <v>5379</v>
      </c>
      <c r="P987" s="623" t="s">
        <v>5380</v>
      </c>
      <c r="Q987" s="619" t="s">
        <v>5381</v>
      </c>
      <c r="R987" s="430" t="str">
        <f>_xlfn.XLOOKUP(PV_DATA[[#This Row],[New Ark SKU]],Table9[New Ark SKU],Table9[Connector],,0)</f>
        <v>EVO2A</v>
      </c>
      <c r="S987" s="433" t="str">
        <f>_xlfn.XLOOKUP(PV_DATA[[#This Row],[New Ark SKU]],Table9[New Ark SKU],Table9[Cable],,0)</f>
        <v>±1200mm</v>
      </c>
      <c r="T987" s="620">
        <v>470</v>
      </c>
      <c r="U987" s="1064">
        <v>1872</v>
      </c>
      <c r="V987" s="624">
        <f>PV_DATA[[#This Row],[QUANTITY]]*PV_DATA[[#This Row],[WATT]]/1000000</f>
        <v>0.87983999999999996</v>
      </c>
      <c r="W987" s="466">
        <f>PV_DATA[[#This Row],[QUANTITY]]/PV_DATA[[#This Row],[Qty/Pallet]]</f>
        <v>52</v>
      </c>
      <c r="X987" s="1047">
        <f>PV_DATA[[#This Row],[QUANTITY]]/PV_DATA[[#This Row],[Qty/CT]]</f>
        <v>2</v>
      </c>
      <c r="Y987" s="431" t="s">
        <v>2466</v>
      </c>
      <c r="Z987" s="431" t="str">
        <f t="shared" si="14"/>
        <v>IN-TRANSIT</v>
      </c>
      <c r="AA987" s="855">
        <v>46260</v>
      </c>
      <c r="AB987" s="626">
        <v>46261</v>
      </c>
      <c r="AC987" s="627">
        <f>IF(PV_DATA[[#This Row],[Pick- Up Date]]&lt;&gt;"",_xlfn.ISOWEEKNUM(PV_DATA[[#This Row],[Pick- Up Date]]),"")</f>
        <v>35</v>
      </c>
      <c r="AD987" s="619" t="s">
        <v>6487</v>
      </c>
      <c r="AE987" s="619"/>
      <c r="AF987" s="619" t="s">
        <v>122</v>
      </c>
      <c r="AG987" s="619" t="s">
        <v>123</v>
      </c>
      <c r="AH987" s="431" t="s">
        <v>105</v>
      </c>
      <c r="AI987" s="719">
        <v>46264</v>
      </c>
      <c r="AJ987" s="441">
        <v>46269</v>
      </c>
      <c r="AK987" s="441">
        <v>46272</v>
      </c>
      <c r="AL987" s="441">
        <v>46305</v>
      </c>
      <c r="AM987" s="984"/>
      <c r="AN987" s="586"/>
      <c r="AO987" s="619"/>
      <c r="AP987" s="431" t="s">
        <v>6467</v>
      </c>
      <c r="AQ987" s="628" t="s">
        <v>161</v>
      </c>
      <c r="AR987" s="431" t="s">
        <v>6488</v>
      </c>
      <c r="AS987" s="431" t="s">
        <v>6489</v>
      </c>
      <c r="AT987" s="431" t="s">
        <v>6481</v>
      </c>
      <c r="AU9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7" s="619"/>
      <c r="AW987" s="626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7" s="626">
        <f>IF(ISERROR(PV_DATA[[#This Row],[New Ark PO status]]),"",_xlfn.XLOOKUP(PV_DATA[[#This Row],[SPTN-PVHK New Ark PO'#]],New_Ark_Data[Purchase order Number],New_Ark_Data[Estimated time of arrival],"",0))</f>
        <v>46312</v>
      </c>
      <c r="AZ987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7" s="626">
        <f>IFERROR(PV_DATA[[#This Row],[ODP ETA Port]]+PV_DATA[[#This Row],[Customs/Leg3 Assumption]],"n/a")</f>
        <v>46312</v>
      </c>
      <c r="BB987" s="620">
        <f>YEAR(PV_DATA[[#This Row],[ETA for New Ark update]])</f>
        <v>2026</v>
      </c>
      <c r="BC987" s="619">
        <f>MONTH(PV_DATA[[#This Row],[ETA for New Ark update]])</f>
        <v>10</v>
      </c>
      <c r="BD987" s="619">
        <f>IFERROR(_xlfn.ISOWEEKNUM(PV_DATA[[#This Row],[ETA for New Ark update]]),0)</f>
        <v>42</v>
      </c>
      <c r="BE987" s="619">
        <f>_xlfn.XLOOKUP(PV_DATA[[#This Row],[New Ark SKU]],Table9[New Ark SKU],Table9[Total PCS per Pallet],,0)</f>
        <v>36</v>
      </c>
      <c r="BF987" s="619">
        <f>_xlfn.XLOOKUP(PV_DATA[[#This Row],[New Ark SKU]],Table9[New Ark SKU],Table9[Total PCS per 40HQ Container],,0)</f>
        <v>936</v>
      </c>
      <c r="BG987" s="619" t="str">
        <f>_xlfn.XLOOKUP(PV_DATA[[#This Row],[New Ark SKU]],Table9[New Ark SKU],Table9[Back Glass],,0)</f>
        <v>Black glazing</v>
      </c>
      <c r="BH987" s="629" t="str">
        <f>_xlfn.XLOOKUP(PV_DATA[[#This Row],[PORT DESTINATION]],Table12[PORT DESTINATION],Table12[Cosco Line],,0)</f>
        <v>AEU</v>
      </c>
    </row>
    <row r="988" spans="1:62" ht="10.5">
      <c r="A988" s="729" t="s">
        <v>6490</v>
      </c>
      <c r="B988" s="462" t="s">
        <v>111</v>
      </c>
      <c r="C988" s="462" t="str">
        <f>IFERROR(LEFT(PV_DATA[[#This Row],[TCL REFERENCE]],FIND(".",PV_DATA[[#This Row],[TCL REFERENCE]],1)-1),"Main Line")</f>
        <v>26Aug009</v>
      </c>
      <c r="D988" s="462" t="s">
        <v>113</v>
      </c>
      <c r="E988" s="462" t="s">
        <v>144</v>
      </c>
      <c r="F988" s="462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8" s="462" t="s">
        <v>402</v>
      </c>
      <c r="H988" s="462" t="s">
        <v>670</v>
      </c>
      <c r="I988" s="462" t="s">
        <v>6234</v>
      </c>
      <c r="J988" s="462" t="s">
        <v>670</v>
      </c>
      <c r="K988" s="430" t="s">
        <v>5892</v>
      </c>
      <c r="L988" s="430">
        <v>34</v>
      </c>
      <c r="M988" s="430" t="s">
        <v>4967</v>
      </c>
      <c r="N988" s="432"/>
      <c r="O988" s="430" t="s">
        <v>4531</v>
      </c>
      <c r="P988" s="430" t="s">
        <v>6483</v>
      </c>
      <c r="Q988" s="430" t="s">
        <v>103</v>
      </c>
      <c r="R988" s="430" t="str">
        <f>_xlfn.XLOOKUP(PV_DATA[[#This Row],[New Ark SKU]],Table9[New Ark SKU],Table9[Connector],,0)</f>
        <v>H4(Com)</v>
      </c>
      <c r="S988" s="433" t="str">
        <f>_xlfn.XLOOKUP(PV_DATA[[#This Row],[New Ark SKU]],Table9[New Ark SKU],Table9[Cable],,0)</f>
        <v>+400mm/-200mm</v>
      </c>
      <c r="T988" s="433">
        <v>620</v>
      </c>
      <c r="U988" s="1088">
        <v>2160</v>
      </c>
      <c r="V988" s="434">
        <f>PV_DATA[[#This Row],[QUANTITY]]*PV_DATA[[#This Row],[WATT]]/1000000</f>
        <v>1.3391999999999999</v>
      </c>
      <c r="W988" s="981">
        <f>PV_DATA[[#This Row],[QUANTITY]]/36</f>
        <v>60</v>
      </c>
      <c r="X988" s="1040">
        <f>PV_DATA[[#This Row],[QUANTITY]]/720</f>
        <v>3</v>
      </c>
      <c r="Y988" s="430" t="s">
        <v>2466</v>
      </c>
      <c r="Z988" s="430" t="str">
        <f t="shared" si="14"/>
        <v>IN-TRANSIT</v>
      </c>
      <c r="AA988" s="545">
        <v>46261</v>
      </c>
      <c r="AB988" s="437">
        <v>46267</v>
      </c>
      <c r="AC988" s="485">
        <f>IF(PV_DATA[[#This Row],[Pick- Up Date]]&lt;&gt;"",_xlfn.ISOWEEKNUM(PV_DATA[[#This Row],[Pick- Up Date]]),"")</f>
        <v>36</v>
      </c>
      <c r="AD988" s="430" t="s">
        <v>6491</v>
      </c>
      <c r="AE988" s="430"/>
      <c r="AF988" s="430" t="s">
        <v>122</v>
      </c>
      <c r="AG988" s="430" t="s">
        <v>122</v>
      </c>
      <c r="AH988" s="430" t="s">
        <v>105</v>
      </c>
      <c r="AI988" s="437">
        <v>46270</v>
      </c>
      <c r="AJ988" s="437">
        <v>46275</v>
      </c>
      <c r="AK988" s="437">
        <v>46274</v>
      </c>
      <c r="AL988" s="437">
        <v>46302</v>
      </c>
      <c r="AN988" s="588"/>
      <c r="AP988" s="430" t="s">
        <v>6449</v>
      </c>
      <c r="AQ988" s="438" t="s">
        <v>161</v>
      </c>
      <c r="AR988" s="430" t="s">
        <v>6492</v>
      </c>
      <c r="AS988" s="430" t="s">
        <v>6493</v>
      </c>
      <c r="AT988" s="430" t="s">
        <v>6493</v>
      </c>
      <c r="AU9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W988" s="437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8" s="437" t="str">
        <f>IF(ISERROR(PV_DATA[[#This Row],[New Ark PO status]]),"",_xlfn.XLOOKUP(PV_DATA[[#This Row],[SPTN-PVHK New Ark PO'#]],New_Ark_Data[Purchase order Number],New_Ark_Data[Estimated time of arrival],"",0))</f>
        <v/>
      </c>
      <c r="AZ98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8" s="437">
        <f>IFERROR(PV_DATA[[#This Row],[ODP ETA Port]]+PV_DATA[[#This Row],[Customs/Leg3 Assumption]],"n/a")</f>
        <v>46302</v>
      </c>
      <c r="BB988" s="433">
        <f>YEAR(PV_DATA[[#This Row],[ETA for New Ark update]])</f>
        <v>2026</v>
      </c>
      <c r="BC988" s="430">
        <f>MONTH(PV_DATA[[#This Row],[ETA for New Ark update]])</f>
        <v>10</v>
      </c>
      <c r="BD988" s="430">
        <f>IFERROR(_xlfn.ISOWEEKNUM(PV_DATA[[#This Row],[ETA for New Ark update]]),0)</f>
        <v>41</v>
      </c>
      <c r="BE988" s="430">
        <f>_xlfn.XLOOKUP(PV_DATA[[#This Row],[New Ark SKU]],Table9[New Ark SKU],Table9[Total PCS per Pallet],,0)</f>
        <v>36</v>
      </c>
      <c r="BF988" s="430">
        <f>_xlfn.XLOOKUP(PV_DATA[[#This Row],[New Ark SKU]],Table9[New Ark SKU],Table9[Total PCS per 40HQ Container],,0)</f>
        <v>720</v>
      </c>
      <c r="BG988" s="430" t="str">
        <f>_xlfn.XLOOKUP(PV_DATA[[#This Row],[New Ark SKU]],Table9[New Ark SKU],Table9[Back Glass],,0)</f>
        <v>Redirection Film</v>
      </c>
      <c r="BH988" s="610" t="str">
        <f>_xlfn.XLOOKUP(PV_DATA[[#This Row],[PORT DESTINATION]],Table12[PORT DESTINATION],Table12[Cosco Line],,0)</f>
        <v>AEU</v>
      </c>
      <c r="BJ988" s="430"/>
    </row>
    <row r="989" spans="1:62" ht="10.5">
      <c r="A989" s="951" t="s">
        <v>6494</v>
      </c>
      <c r="B989" s="945" t="s">
        <v>111</v>
      </c>
      <c r="C989" s="462" t="str">
        <f>IFERROR(LEFT(PV_DATA[[#This Row],[TCL REFERENCE]],FIND(".",PV_DATA[[#This Row],[TCL REFERENCE]],1)-1),"Main Line")</f>
        <v>26Aug025</v>
      </c>
      <c r="D989" s="945" t="s">
        <v>113</v>
      </c>
      <c r="E989" s="462" t="s">
        <v>144</v>
      </c>
      <c r="F989" s="945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9" s="462" t="s">
        <v>402</v>
      </c>
      <c r="H989" s="462" t="s">
        <v>670</v>
      </c>
      <c r="I989" s="462" t="s">
        <v>6234</v>
      </c>
      <c r="J989" s="462" t="s">
        <v>670</v>
      </c>
      <c r="K989" s="623" t="s">
        <v>6266</v>
      </c>
      <c r="L989" s="623">
        <v>30</v>
      </c>
      <c r="M989" s="430" t="s">
        <v>4967</v>
      </c>
      <c r="N989" s="1079"/>
      <c r="O989" s="623" t="s">
        <v>4531</v>
      </c>
      <c r="P989" s="623" t="s">
        <v>6461</v>
      </c>
      <c r="Q989" s="623" t="s">
        <v>4598</v>
      </c>
      <c r="R989" s="430" t="str">
        <f>_xlfn.XLOOKUP(PV_DATA[[#This Row],[New Ark SKU]],Table9[New Ark SKU],Table9[Connector],,0)</f>
        <v>H4(Com)</v>
      </c>
      <c r="S989" s="433" t="str">
        <f>_xlfn.XLOOKUP(PV_DATA[[#This Row],[New Ark SKU]],Table9[New Ark SKU],Table9[Cable],,0)</f>
        <v>+400mm/-200mm</v>
      </c>
      <c r="T989" s="976">
        <v>630</v>
      </c>
      <c r="U989" s="1088">
        <v>720</v>
      </c>
      <c r="V989" s="977">
        <f>PV_DATA[[#This Row],[QUANTITY]]*PV_DATA[[#This Row],[WATT]]/1000000</f>
        <v>0.4536</v>
      </c>
      <c r="W989" s="435">
        <f>PV_DATA[[#This Row],[QUANTITY]]/36</f>
        <v>20</v>
      </c>
      <c r="X989" s="1221">
        <f>PV_DATA[[#This Row],[QUANTITY]]/PV_DATA[[#This Row],[Qty/CT]]</f>
        <v>1</v>
      </c>
      <c r="Y989" s="430" t="s">
        <v>2466</v>
      </c>
      <c r="Z989" s="430" t="str">
        <f t="shared" si="14"/>
        <v>IN-TRANSIT</v>
      </c>
      <c r="AA989" s="623"/>
      <c r="AB989" s="978">
        <v>46267</v>
      </c>
      <c r="AC989" s="1222">
        <f>IF(PV_DATA[[#This Row],[Pick- Up Date]]&lt;&gt;"",_xlfn.ISOWEEKNUM(PV_DATA[[#This Row],[Pick- Up Date]]),"")</f>
        <v>36</v>
      </c>
      <c r="AD989" s="623" t="s">
        <v>6495</v>
      </c>
      <c r="AE989" s="623"/>
      <c r="AF989" s="623" t="s">
        <v>122</v>
      </c>
      <c r="AG989" s="623" t="s">
        <v>122</v>
      </c>
      <c r="AH989" s="430" t="s">
        <v>105</v>
      </c>
      <c r="AI989" s="978">
        <v>46270</v>
      </c>
      <c r="AJ989" s="437">
        <v>46275</v>
      </c>
      <c r="AK989" s="437">
        <v>46274</v>
      </c>
      <c r="AL989" s="978">
        <v>46302</v>
      </c>
      <c r="AM989" s="978"/>
      <c r="AN989" s="588"/>
      <c r="AO989" s="623"/>
      <c r="AP989" s="430" t="s">
        <v>6449</v>
      </c>
      <c r="AQ989" s="438" t="s">
        <v>161</v>
      </c>
      <c r="AR989" s="430" t="s">
        <v>6492</v>
      </c>
      <c r="AS989" s="430" t="s">
        <v>6493</v>
      </c>
      <c r="AT989" s="430" t="s">
        <v>6493</v>
      </c>
      <c r="AU9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89" s="623"/>
      <c r="AW989" s="978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9" s="978" t="str">
        <f>IF(ISERROR(PV_DATA[[#This Row],[New Ark PO status]]),"",_xlfn.XLOOKUP(PV_DATA[[#This Row],[SPTN-PVHK New Ark PO'#]],New_Ark_Data[Purchase order Number],New_Ark_Data[Estimated time of arrival],"",0))</f>
        <v/>
      </c>
      <c r="AZ989" s="97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9" s="978">
        <f>IFERROR(PV_DATA[[#This Row],[ODP ETA Port]]+PV_DATA[[#This Row],[Customs/Leg3 Assumption]],"n/a")</f>
        <v>46302</v>
      </c>
      <c r="BB989" s="433">
        <f>YEAR(PV_DATA[[#This Row],[ETA for New Ark update]])</f>
        <v>2026</v>
      </c>
      <c r="BC989" s="430">
        <f>MONTH(PV_DATA[[#This Row],[ETA for New Ark update]])</f>
        <v>10</v>
      </c>
      <c r="BD989" s="623">
        <f>IFERROR(_xlfn.ISOWEEKNUM(PV_DATA[[#This Row],[ETA for New Ark update]]),0)</f>
        <v>41</v>
      </c>
      <c r="BE989" s="623">
        <f>_xlfn.XLOOKUP(PV_DATA[[#This Row],[New Ark SKU]],Table9[New Ark SKU],Table9[Total PCS per Pallet],,0)</f>
        <v>36</v>
      </c>
      <c r="BF989" s="623">
        <f>_xlfn.XLOOKUP(PV_DATA[[#This Row],[New Ark SKU]],Table9[New Ark SKU],Table9[Total PCS per 40HQ Container],,0)</f>
        <v>720</v>
      </c>
      <c r="BG989" s="623" t="str">
        <f>_xlfn.XLOOKUP(PV_DATA[[#This Row],[New Ark SKU]],Table9[New Ark SKU],Table9[Back Glass],,0)</f>
        <v>Redirection Film</v>
      </c>
      <c r="BH989" s="979" t="str">
        <f>_xlfn.XLOOKUP(PV_DATA[[#This Row],[PORT DESTINATION]],Table12[PORT DESTINATION],Table12[Cosco Line],,0)</f>
        <v>AEU</v>
      </c>
      <c r="BJ989" s="430"/>
    </row>
    <row r="990" spans="1:62" ht="10.5">
      <c r="A990" s="951" t="s">
        <v>6496</v>
      </c>
      <c r="B990" s="945" t="s">
        <v>111</v>
      </c>
      <c r="C990" s="462" t="str">
        <f>IFERROR(LEFT(PV_DATA[[#This Row],[TCL REFERENCE]],FIND(".",PV_DATA[[#This Row],[TCL REFERENCE]],1)-1),"Main Line")</f>
        <v>26Jul010</v>
      </c>
      <c r="D990" s="945" t="s">
        <v>63</v>
      </c>
      <c r="E990" s="462" t="s">
        <v>64</v>
      </c>
      <c r="F990" s="945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90" s="462" t="s">
        <v>402</v>
      </c>
      <c r="H990" s="462" t="s">
        <v>67</v>
      </c>
      <c r="I990" s="462" t="s">
        <v>1395</v>
      </c>
      <c r="J990" s="430" t="s">
        <v>96</v>
      </c>
      <c r="K990" s="430"/>
      <c r="L990" s="623"/>
      <c r="M990" s="430" t="s">
        <v>68</v>
      </c>
      <c r="N990" s="1079">
        <v>46251</v>
      </c>
      <c r="O990" s="623" t="s">
        <v>5379</v>
      </c>
      <c r="P990" s="623" t="s">
        <v>5380</v>
      </c>
      <c r="Q990" s="623" t="s">
        <v>5381</v>
      </c>
      <c r="R990" s="430" t="str">
        <f>_xlfn.XLOOKUP(PV_DATA[[#This Row],[New Ark SKU]],Table9[New Ark SKU],Table9[Connector],,0)</f>
        <v>EVO2A</v>
      </c>
      <c r="S990" s="433" t="str">
        <f>_xlfn.XLOOKUP(PV_DATA[[#This Row],[New Ark SKU]],Table9[New Ark SKU],Table9[Cable],,0)</f>
        <v>±1200mm</v>
      </c>
      <c r="T990" s="976">
        <v>470</v>
      </c>
      <c r="U990" s="1100">
        <v>1872</v>
      </c>
      <c r="V990" s="977">
        <f>PV_DATA[[#This Row],[QUANTITY]]*PV_DATA[[#This Row],[WATT]]/1000000</f>
        <v>0.87983999999999996</v>
      </c>
      <c r="W990" s="435">
        <f>PV_DATA[[#This Row],[QUANTITY]]/PV_DATA[[#This Row],[Qty/Pallet]]</f>
        <v>52</v>
      </c>
      <c r="X990" s="1221">
        <f>PV_DATA[[#This Row],[QUANTITY]]/PV_DATA[[#This Row],[Qty/CT]]</f>
        <v>2</v>
      </c>
      <c r="Y990" s="430" t="s">
        <v>2466</v>
      </c>
      <c r="Z990" s="430" t="str">
        <f t="shared" si="14"/>
        <v>IN-TRANSIT</v>
      </c>
      <c r="AA990" s="1077">
        <v>46260</v>
      </c>
      <c r="AB990" s="978">
        <v>46267</v>
      </c>
      <c r="AC990" s="1222">
        <f>IF(PV_DATA[[#This Row],[Pick- Up Date]]&lt;&gt;"",_xlfn.ISOWEEKNUM(PV_DATA[[#This Row],[Pick- Up Date]]),"")</f>
        <v>36</v>
      </c>
      <c r="AD990" s="623" t="s">
        <v>6497</v>
      </c>
      <c r="AE990" s="623"/>
      <c r="AF990" s="623" t="s">
        <v>122</v>
      </c>
      <c r="AG990" s="623" t="s">
        <v>123</v>
      </c>
      <c r="AH990" s="430" t="s">
        <v>105</v>
      </c>
      <c r="AI990" s="978">
        <v>46270</v>
      </c>
      <c r="AJ990" s="437">
        <v>46275</v>
      </c>
      <c r="AK990" s="437">
        <v>46274</v>
      </c>
      <c r="AL990" s="978">
        <v>46302</v>
      </c>
      <c r="AM990" s="1223"/>
      <c r="AN990" s="588"/>
      <c r="AO990" s="623"/>
      <c r="AP990" s="623" t="s">
        <v>6449</v>
      </c>
      <c r="AQ990" s="438" t="s">
        <v>161</v>
      </c>
      <c r="AR990" s="623" t="s">
        <v>6498</v>
      </c>
      <c r="AS990" s="623" t="s">
        <v>6499</v>
      </c>
      <c r="AT990" s="430" t="s">
        <v>6493</v>
      </c>
      <c r="AU9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90" s="623"/>
      <c r="AW990" s="978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9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0" s="978" t="str">
        <f>IF(ISERROR(PV_DATA[[#This Row],[New Ark PO status]]),"",_xlfn.XLOOKUP(PV_DATA[[#This Row],[SPTN-PVHK New Ark PO'#]],New_Ark_Data[Purchase order Number],New_Ark_Data[Estimated time of arrival],"",0))</f>
        <v/>
      </c>
      <c r="AZ990" s="97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90" s="978">
        <f>IFERROR(PV_DATA[[#This Row],[ODP ETA Port]]+PV_DATA[[#This Row],[Customs/Leg3 Assumption]],"n/a")</f>
        <v>46309</v>
      </c>
      <c r="BB990" s="976">
        <f>YEAR(PV_DATA[[#This Row],[ETA for New Ark update]])</f>
        <v>2026</v>
      </c>
      <c r="BC990" s="623">
        <f>MONTH(PV_DATA[[#This Row],[ETA for New Ark update]])</f>
        <v>10</v>
      </c>
      <c r="BD990" s="623">
        <f>IFERROR(_xlfn.ISOWEEKNUM(PV_DATA[[#This Row],[ETA for New Ark update]]),0)</f>
        <v>42</v>
      </c>
      <c r="BE990" s="623">
        <f>_xlfn.XLOOKUP(PV_DATA[[#This Row],[New Ark SKU]],Table9[New Ark SKU],Table9[Total PCS per Pallet],,0)</f>
        <v>36</v>
      </c>
      <c r="BF990" s="623">
        <f>_xlfn.XLOOKUP(PV_DATA[[#This Row],[New Ark SKU]],Table9[New Ark SKU],Table9[Total PCS per 40HQ Container],,0)</f>
        <v>936</v>
      </c>
      <c r="BG990" s="623" t="str">
        <f>_xlfn.XLOOKUP(PV_DATA[[#This Row],[New Ark SKU]],Table9[New Ark SKU],Table9[Back Glass],,0)</f>
        <v>Black glazing</v>
      </c>
      <c r="BH990" s="979" t="str">
        <f>_xlfn.XLOOKUP(PV_DATA[[#This Row],[PORT DESTINATION]],Table12[PORT DESTINATION],Table12[Cosco Line],,0)</f>
        <v>AEU</v>
      </c>
      <c r="BJ990" s="430"/>
    </row>
    <row r="991" spans="1:62" ht="10.5">
      <c r="A991" s="462" t="s">
        <v>6500</v>
      </c>
      <c r="B991" s="462" t="s">
        <v>111</v>
      </c>
      <c r="C991" s="462" t="str">
        <f>IFERROR(LEFT(PV_DATA[[#This Row],[TCL REFERENCE]],FIND(".",PV_DATA[[#This Row],[TCL REFERENCE]],1)-1),"Main Line")</f>
        <v>26Jun015</v>
      </c>
      <c r="D991" s="462" t="s">
        <v>63</v>
      </c>
      <c r="E991" s="462" t="s">
        <v>144</v>
      </c>
      <c r="F991" s="462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1" s="462" t="s">
        <v>402</v>
      </c>
      <c r="H991" s="462" t="s">
        <v>1080</v>
      </c>
      <c r="I991" s="462" t="s">
        <v>689</v>
      </c>
      <c r="J991" s="430" t="s">
        <v>1080</v>
      </c>
      <c r="K991" s="430" t="s">
        <v>5399</v>
      </c>
      <c r="L991" s="430">
        <v>4</v>
      </c>
      <c r="M991" s="430" t="s">
        <v>4967</v>
      </c>
      <c r="N991" s="432">
        <v>46202</v>
      </c>
      <c r="O991" s="430" t="s">
        <v>5379</v>
      </c>
      <c r="P991" s="430" t="s">
        <v>5400</v>
      </c>
      <c r="Q991" s="430" t="s">
        <v>5401</v>
      </c>
      <c r="R991" s="430" t="str">
        <f>_xlfn.XLOOKUP(PV_DATA[[#This Row],[New Ark SKU]],Table9[New Ark SKU],Table9[Connector],,0)</f>
        <v>EVO2A</v>
      </c>
      <c r="S991" s="433" t="str">
        <f>_xlfn.XLOOKUP(PV_DATA[[#This Row],[New Ark SKU]],Table9[New Ark SKU],Table9[Cable],,0)</f>
        <v>±1200mm</v>
      </c>
      <c r="T991" s="433">
        <v>465</v>
      </c>
      <c r="U991" s="1088">
        <v>936</v>
      </c>
      <c r="V991" s="434">
        <f>PV_DATA[[#This Row],[QUANTITY]]*PV_DATA[[#This Row],[WATT]]/1000000</f>
        <v>0.43524000000000002</v>
      </c>
      <c r="W991" s="435">
        <f>PV_DATA[[#This Row],[QUANTITY]]/PV_DATA[[#This Row],[Qty/Pallet]]</f>
        <v>26</v>
      </c>
      <c r="X991" s="1040">
        <f>PV_DATA[[#This Row],[QUANTITY]]/PV_DATA[[#This Row],[Qty/CT]]</f>
        <v>1</v>
      </c>
      <c r="Y991" s="430" t="s">
        <v>6501</v>
      </c>
      <c r="Z991" s="430" t="str">
        <f t="shared" si="14"/>
        <v>IN-TRANSIT</v>
      </c>
      <c r="AA991" s="430" t="s">
        <v>6502</v>
      </c>
      <c r="AB991" s="437">
        <v>46267</v>
      </c>
      <c r="AC991" s="485"/>
      <c r="AD991" s="430" t="s">
        <v>6503</v>
      </c>
      <c r="AE991" s="430"/>
      <c r="AF991" s="430" t="s">
        <v>122</v>
      </c>
      <c r="AG991" s="430" t="s">
        <v>123</v>
      </c>
      <c r="AH991" s="430" t="s">
        <v>105</v>
      </c>
      <c r="AI991" s="437">
        <v>46270</v>
      </c>
      <c r="AJ991" s="437">
        <v>46275</v>
      </c>
      <c r="AK991" s="437">
        <v>46274</v>
      </c>
      <c r="AL991" s="437">
        <v>46302</v>
      </c>
      <c r="AM991" s="588"/>
      <c r="AN991" s="588"/>
      <c r="AP991" s="430" t="s">
        <v>6449</v>
      </c>
      <c r="AQ991" s="430" t="s">
        <v>161</v>
      </c>
      <c r="AR991" s="430" t="s">
        <v>6504</v>
      </c>
      <c r="AS991" s="430" t="s">
        <v>6505</v>
      </c>
      <c r="AT991" s="430" t="s">
        <v>6493</v>
      </c>
      <c r="AU9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W991" s="437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9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437" t="str">
        <f>IF(ISERROR(PV_DATA[[#This Row],[New Ark PO status]]),"",_xlfn.XLOOKUP(PV_DATA[[#This Row],[SPTN-PVHK New Ark PO'#]],New_Ark_Data[Purchase order Number],New_Ark_Data[Estimated time of arrival],"",0))</f>
        <v/>
      </c>
      <c r="AZ9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1" s="437">
        <f>IFERROR(PV_DATA[[#This Row],[ODP ETA Port]]+PV_DATA[[#This Row],[Customs/Leg3 Assumption]],"n/a")</f>
        <v>46302</v>
      </c>
      <c r="BB991" s="433">
        <f>YEAR(PV_DATA[[#This Row],[ETA for New Ark update]])</f>
        <v>2026</v>
      </c>
      <c r="BC991" s="430">
        <f>MONTH(PV_DATA[[#This Row],[ETA for New Ark update]])</f>
        <v>10</v>
      </c>
      <c r="BD991" s="430">
        <f>IFERROR(_xlfn.ISOWEEKNUM(PV_DATA[[#This Row],[ETA for New Ark update]]),0)</f>
        <v>41</v>
      </c>
      <c r="BE991" s="430">
        <f>_xlfn.XLOOKUP(PV_DATA[[#This Row],[New Ark SKU]],Table9[New Ark SKU],Table9[Total PCS per Pallet],,0)</f>
        <v>36</v>
      </c>
      <c r="BF991" s="430">
        <f>_xlfn.XLOOKUP(PV_DATA[[#This Row],[New Ark SKU]],Table9[New Ark SKU],Table9[Total PCS per 40HQ Container],,0)</f>
        <v>936</v>
      </c>
      <c r="BG991" s="430" t="str">
        <f>_xlfn.XLOOKUP(PV_DATA[[#This Row],[New Ark SKU]],Table9[New Ark SKU],Table9[Back Glass],,0)</f>
        <v>Black glazing</v>
      </c>
      <c r="BH991" s="430" t="str">
        <f>_xlfn.XLOOKUP(PV_DATA[[#This Row],[PORT DESTINATION]],Table12[PORT DESTINATION],Table12[Cosco Line],,0)</f>
        <v>AEU</v>
      </c>
      <c r="BJ991" s="430"/>
    </row>
    <row r="992" spans="1:62" ht="11.15" customHeight="1">
      <c r="A992" s="462" t="s">
        <v>6506</v>
      </c>
      <c r="B992" s="462" t="s">
        <v>111</v>
      </c>
      <c r="C992" s="462" t="str">
        <f>IFERROR(LEFT(PV_DATA[[#This Row],[TCL REFERENCE]],FIND(".",PV_DATA[[#This Row],[TCL REFERENCE]],1)-1),"Main Line")</f>
        <v>26Aug010</v>
      </c>
      <c r="D992" s="462" t="s">
        <v>113</v>
      </c>
      <c r="E992" s="462" t="s">
        <v>144</v>
      </c>
      <c r="F992" s="945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2" s="945" t="s">
        <v>402</v>
      </c>
      <c r="H992" s="462" t="s">
        <v>6507</v>
      </c>
      <c r="I992" s="462" t="s">
        <v>1395</v>
      </c>
      <c r="J992" s="462" t="s">
        <v>6507</v>
      </c>
      <c r="K992" s="430" t="s">
        <v>6508</v>
      </c>
      <c r="L992" s="430">
        <v>1</v>
      </c>
      <c r="M992" s="430" t="s">
        <v>840</v>
      </c>
      <c r="N992" s="432"/>
      <c r="O992" s="430" t="s">
        <v>4531</v>
      </c>
      <c r="P992" s="430" t="s">
        <v>6235</v>
      </c>
      <c r="Q992" s="430" t="s">
        <v>330</v>
      </c>
      <c r="R992" s="430" t="str">
        <f>_xlfn.XLOOKUP(PV_DATA[[#This Row],[New Ark SKU]],Table9[New Ark SKU],Table9[Connector],,0)</f>
        <v>H4(Com)</v>
      </c>
      <c r="S992" s="433" t="str">
        <f>_xlfn.XLOOKUP(PV_DATA[[#This Row],[New Ark SKU]],Table9[New Ark SKU],Table9[Cable],,0)</f>
        <v>+400mm/-200mm</v>
      </c>
      <c r="T992" s="433">
        <v>625</v>
      </c>
      <c r="U992" s="1088">
        <f>720*11</f>
        <v>7920</v>
      </c>
      <c r="V992" s="434">
        <f>PV_DATA[[#This Row],[QUANTITY]]*PV_DATA[[#This Row],[WATT]]/1000000</f>
        <v>4.95</v>
      </c>
      <c r="W992" s="981">
        <f>PV_DATA[[#This Row],[QUANTITY]]/36</f>
        <v>220</v>
      </c>
      <c r="X992" s="1040">
        <f>PV_DATA[[#This Row],[QUANTITY]]/PV_DATA[[#This Row],[Qty/CT]]</f>
        <v>11</v>
      </c>
      <c r="Y992" s="430" t="s">
        <v>6501</v>
      </c>
      <c r="Z992" s="430" t="str">
        <f t="shared" si="14"/>
        <v>IN-TRANSIT</v>
      </c>
      <c r="AA992" s="545">
        <v>46263</v>
      </c>
      <c r="AB992" s="437">
        <v>46264</v>
      </c>
      <c r="AC992" s="485">
        <f>IF(PV_DATA[[#This Row],[Pick- Up Date]]&lt;&gt;"",_xlfn.ISOWEEKNUM(PV_DATA[[#This Row],[Pick- Up Date]]),"")</f>
        <v>35</v>
      </c>
      <c r="AD992" s="430" t="s">
        <v>6509</v>
      </c>
      <c r="AE992" s="430"/>
      <c r="AF992" s="430" t="s">
        <v>122</v>
      </c>
      <c r="AG992" s="430" t="s">
        <v>122</v>
      </c>
      <c r="AH992" s="430" t="s">
        <v>6510</v>
      </c>
      <c r="AI992" s="437">
        <v>46276</v>
      </c>
      <c r="AJ992" s="437">
        <v>46273</v>
      </c>
      <c r="AK992" s="437">
        <v>46273</v>
      </c>
      <c r="AL992" s="437">
        <v>46314</v>
      </c>
      <c r="AN992" s="588"/>
      <c r="AP992" s="430" t="s">
        <v>6511</v>
      </c>
      <c r="AQ992" s="438" t="s">
        <v>161</v>
      </c>
      <c r="AR992" s="430" t="s">
        <v>6512</v>
      </c>
      <c r="AS992" s="430" t="s">
        <v>6513</v>
      </c>
      <c r="AT992" s="430" t="s">
        <v>6513</v>
      </c>
      <c r="AU9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2" s="437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9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92" s="437">
        <f>IF(ISERROR(PV_DATA[[#This Row],[New Ark PO status]]),"",_xlfn.XLOOKUP(PV_DATA[[#This Row],[SPTN-PVHK New Ark PO'#]],New_Ark_Data[Purchase order Number],New_Ark_Data[Estimated time of arrival],"",0))</f>
        <v>46314</v>
      </c>
      <c r="AZ9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2" s="437">
        <f>IFERROR(PV_DATA[[#This Row],[ODP ETA Port]]+PV_DATA[[#This Row],[Customs/Leg3 Assumption]],"n/a")</f>
        <v>46314</v>
      </c>
      <c r="BB992" s="433" t="s">
        <v>6315</v>
      </c>
      <c r="BC992" s="433" t="s">
        <v>6315</v>
      </c>
      <c r="BD992" s="430">
        <f>IFERROR(_xlfn.ISOWEEKNUM(PV_DATA[[#This Row],[ETA for New Ark update]]),0)</f>
        <v>43</v>
      </c>
      <c r="BE992" s="430">
        <f>_xlfn.XLOOKUP(PV_DATA[[#This Row],[New Ark SKU]],Table9[New Ark SKU],Table9[Total PCS per Pallet],,0)</f>
        <v>36</v>
      </c>
      <c r="BF992" s="430">
        <f>_xlfn.XLOOKUP(PV_DATA[[#This Row],[New Ark SKU]],Table9[New Ark SKU],Table9[Total PCS per 40HQ Container],,0)</f>
        <v>720</v>
      </c>
      <c r="BG992" s="430" t="str">
        <f>_xlfn.XLOOKUP(PV_DATA[[#This Row],[New Ark SKU]],Table9[New Ark SKU],Table9[Back Glass],,0)</f>
        <v>Redirection Film</v>
      </c>
      <c r="BH992" s="610" t="str">
        <f>_xlfn.XLOOKUP(PV_DATA[[#This Row],[PORT DESTINATION]],Table12[PORT DESTINATION],Table12[Cosco Line],,0)</f>
        <v>n/a</v>
      </c>
      <c r="BJ992" s="430"/>
    </row>
    <row r="993" spans="1:62" ht="10.5">
      <c r="A993" s="462" t="s">
        <v>6514</v>
      </c>
      <c r="B993" s="462" t="s">
        <v>111</v>
      </c>
      <c r="C993" s="462" t="str">
        <f>IFERROR(LEFT(PV_DATA[[#This Row],[TCL REFERENCE]],FIND(".",PV_DATA[[#This Row],[TCL REFERENCE]],1)-1),"Main Line")</f>
        <v>26Aug002</v>
      </c>
      <c r="D993" s="462" t="s">
        <v>63</v>
      </c>
      <c r="E993" s="462" t="s">
        <v>64</v>
      </c>
      <c r="F993" s="462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93" s="462" t="s">
        <v>402</v>
      </c>
      <c r="H993" s="462" t="s">
        <v>311</v>
      </c>
      <c r="I993" s="462" t="s">
        <v>689</v>
      </c>
      <c r="J993" s="430" t="s">
        <v>96</v>
      </c>
      <c r="K993" s="430"/>
      <c r="L993" s="430"/>
      <c r="M993" s="430" t="s">
        <v>68</v>
      </c>
      <c r="N993" s="432">
        <v>46215</v>
      </c>
      <c r="O993" s="430" t="s">
        <v>550</v>
      </c>
      <c r="P993" s="430" t="s">
        <v>2134</v>
      </c>
      <c r="Q993" s="430" t="s">
        <v>2135</v>
      </c>
      <c r="R993" s="430" t="str">
        <f>_xlfn.XLOOKUP(PV_DATA[[#This Row],[New Ark SKU]],Table9[New Ark SKU],Table9[Connector],,0)</f>
        <v>EVO2A</v>
      </c>
      <c r="S993" s="433" t="str">
        <f>_xlfn.XLOOKUP(PV_DATA[[#This Row],[New Ark SKU]],Table9[New Ark SKU],Table9[Cable],,0)</f>
        <v>±1350mm</v>
      </c>
      <c r="T993" s="433">
        <v>515</v>
      </c>
      <c r="U993" s="1088">
        <f>792*6</f>
        <v>4752</v>
      </c>
      <c r="V993" s="434">
        <f>PV_DATA[[#This Row],[QUANTITY]]*PV_DATA[[#This Row],[WATT]]/1000000</f>
        <v>2.4472800000000001</v>
      </c>
      <c r="W993" s="435">
        <f>PV_DATA[[#This Row],[QUANTITY]]/PV_DATA[[#This Row],[Qty/Pallet]]</f>
        <v>132</v>
      </c>
      <c r="X993" s="1040">
        <f>PV_DATA[[#This Row],[QUANTITY]]/PV_DATA[[#This Row],[Qty/CT]]</f>
        <v>6</v>
      </c>
      <c r="Y993" s="430" t="s">
        <v>2465</v>
      </c>
      <c r="Z993" s="430" t="str">
        <f t="shared" si="14"/>
        <v>IN-TRANSIT</v>
      </c>
      <c r="AA993" s="430" t="s">
        <v>5853</v>
      </c>
      <c r="AB993" s="437">
        <v>46265</v>
      </c>
      <c r="AC993" s="485">
        <f>IF(PV_DATA[[#This Row],[Pick- Up Date]]&lt;&gt;"",_xlfn.ISOWEEKNUM(PV_DATA[[#This Row],[Pick- Up Date]]),"")</f>
        <v>36</v>
      </c>
      <c r="AD993" s="430" t="s">
        <v>6515</v>
      </c>
      <c r="AE993" s="430"/>
      <c r="AF993" s="430" t="s">
        <v>122</v>
      </c>
      <c r="AG993" s="430" t="s">
        <v>123</v>
      </c>
      <c r="AH993" s="459" t="s">
        <v>314</v>
      </c>
      <c r="AI993" s="437">
        <v>46274</v>
      </c>
      <c r="AJ993" s="437">
        <f>IFERROR(VLOOKUP(AT993, Vessel!A:D, 4, FALSE), "")</f>
        <v>46273.041666666664</v>
      </c>
      <c r="AK993" s="437">
        <v>46273</v>
      </c>
      <c r="AL993" s="437">
        <v>46316</v>
      </c>
      <c r="AM993" s="1306">
        <f>IFERROR(VLOOKUP(AT993, Vessel!A:H, 8, FALSE), "")</f>
        <v>46324.25</v>
      </c>
      <c r="AN993" s="949" t="str">
        <f>IFERROR(IF(VLOOKUP(AT993,Vessel!A:I,9,FALSE)=0,"",VLOOKUP(AT993,Vessel!A:I,9,FALSE)),"")</f>
        <v/>
      </c>
      <c r="AP993" s="430" t="s">
        <v>6511</v>
      </c>
      <c r="AQ993" s="438" t="s">
        <v>80</v>
      </c>
      <c r="AR993" s="430" t="s">
        <v>6516</v>
      </c>
      <c r="AS993" s="430" t="s">
        <v>6517</v>
      </c>
      <c r="AT993" s="430" t="s">
        <v>6517</v>
      </c>
      <c r="AU9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51.25</v>
      </c>
      <c r="AW993" s="437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46324.25</v>
      </c>
      <c r="AX99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3" s="437">
        <f>IF(ISERROR(PV_DATA[[#This Row],[New Ark PO status]]),"",_xlfn.XLOOKUP(PV_DATA[[#This Row],[SPTN-PVHK New Ark PO'#]],New_Ark_Data[Purchase order Number],New_Ark_Data[Estimated time of arrival],"",0))</f>
        <v>46329</v>
      </c>
      <c r="AZ99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93" s="437">
        <f>IFERROR(PV_DATA[[#This Row],[ODP ETA Port]]+PV_DATA[[#This Row],[Customs/Leg3 Assumption]],"n/a")</f>
        <v>46334.25</v>
      </c>
      <c r="BB993" s="433">
        <f>YEAR(PV_DATA[[#This Row],[ETA for New Ark update]])</f>
        <v>2026</v>
      </c>
      <c r="BC993" s="430">
        <f>MONTH(PV_DATA[[#This Row],[ETA for New Ark update]])</f>
        <v>11</v>
      </c>
      <c r="BD993" s="430">
        <f>IFERROR(_xlfn.ISOWEEKNUM(PV_DATA[[#This Row],[ETA for New Ark update]]),0)</f>
        <v>45</v>
      </c>
      <c r="BE993" s="430">
        <f>_xlfn.XLOOKUP(PV_DATA[[#This Row],[New Ark SKU]],Table9[New Ark SKU],Table9[Total PCS per Pallet],,0)</f>
        <v>36</v>
      </c>
      <c r="BF993" s="430">
        <f>_xlfn.XLOOKUP(PV_DATA[[#This Row],[New Ark SKU]],Table9[New Ark SKU],Table9[Total PCS per 40HQ Container],,0)</f>
        <v>792</v>
      </c>
      <c r="BG993" s="430" t="str">
        <f>_xlfn.XLOOKUP(PV_DATA[[#This Row],[New Ark SKU]],Table9[New Ark SKU],Table9[Back Glass],,0)</f>
        <v>Black glazing</v>
      </c>
      <c r="BH993" s="430" t="str">
        <f>_xlfn.XLOOKUP(PV_DATA[[#This Row],[PORT DESTINATION]],Table12[PORT DESTINATION],Table12[Cosco Line],,0)</f>
        <v>AEM</v>
      </c>
      <c r="BJ993" s="430"/>
    </row>
    <row r="994" spans="1:62" ht="10.5">
      <c r="A994" s="462" t="s">
        <v>6518</v>
      </c>
      <c r="B994" s="462" t="s">
        <v>111</v>
      </c>
      <c r="C994" s="462" t="str">
        <f>IFERROR(LEFT(PV_DATA[[#This Row],[TCL REFERENCE]],FIND(".",PV_DATA[[#This Row],[TCL REFERENCE]],1)-1),"Main Line")</f>
        <v>26Jul016</v>
      </c>
      <c r="D994" s="462" t="s">
        <v>63</v>
      </c>
      <c r="E994" s="462" t="s">
        <v>64</v>
      </c>
      <c r="F994" s="462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462" t="s">
        <v>402</v>
      </c>
      <c r="H994" s="462" t="s">
        <v>67</v>
      </c>
      <c r="I994" s="462" t="s">
        <v>689</v>
      </c>
      <c r="J994" s="430" t="s">
        <v>96</v>
      </c>
      <c r="K994" s="430"/>
      <c r="L994" s="430"/>
      <c r="M994" s="430" t="s">
        <v>68</v>
      </c>
      <c r="N994" s="432">
        <v>46237</v>
      </c>
      <c r="O994" s="430" t="s">
        <v>5379</v>
      </c>
      <c r="P994" s="430" t="s">
        <v>5735</v>
      </c>
      <c r="Q994" s="430" t="s">
        <v>5736</v>
      </c>
      <c r="R994" s="430" t="str">
        <f>_xlfn.XLOOKUP(PV_DATA[[#This Row],[New Ark SKU]],Table9[New Ark SKU],Table9[Connector],,0)</f>
        <v>EVO2A</v>
      </c>
      <c r="S994" s="433" t="str">
        <f>_xlfn.XLOOKUP(PV_DATA[[#This Row],[New Ark SKU]],Table9[New Ark SKU],Table9[Cable],,0)</f>
        <v>±1200mm</v>
      </c>
      <c r="T994" s="433">
        <v>475</v>
      </c>
      <c r="U994" s="1088">
        <v>2808</v>
      </c>
      <c r="V994" s="434">
        <f>PV_DATA[[#This Row],[QUANTITY]]*PV_DATA[[#This Row],[WATT]]/1000000</f>
        <v>1.3338000000000001</v>
      </c>
      <c r="W994" s="435">
        <f>PV_DATA[[#This Row],[QUANTITY]]/PV_DATA[[#This Row],[Qty/Pallet]]</f>
        <v>78</v>
      </c>
      <c r="X994" s="1040">
        <f>PV_DATA[[#This Row],[QUANTITY]]/PV_DATA[[#This Row],[Qty/CT]]</f>
        <v>3</v>
      </c>
      <c r="Y994" s="430" t="s">
        <v>2465</v>
      </c>
      <c r="Z994" s="430" t="str">
        <f t="shared" si="14"/>
        <v>IN-TRANSIT</v>
      </c>
      <c r="AA994" s="430" t="s">
        <v>5853</v>
      </c>
      <c r="AB994" s="437">
        <v>46260</v>
      </c>
      <c r="AC994" s="485">
        <f>IF(PV_DATA[[#This Row],[Pick- Up Date]]&lt;&gt;"",_xlfn.ISOWEEKNUM(PV_DATA[[#This Row],[Pick- Up Date]]),"")</f>
        <v>35</v>
      </c>
      <c r="AD994" s="430" t="s">
        <v>6519</v>
      </c>
      <c r="AE994" s="430"/>
      <c r="AF994" s="430" t="s">
        <v>122</v>
      </c>
      <c r="AG994" s="430" t="s">
        <v>123</v>
      </c>
      <c r="AH994" s="430" t="s">
        <v>78</v>
      </c>
      <c r="AI994" s="543">
        <v>46268</v>
      </c>
      <c r="AJ994" s="437">
        <v>46271</v>
      </c>
      <c r="AK994" s="437">
        <f>IFERROR(IF(VLOOKUP(AT994,Vessel!A:F,5,FALSE)=0,"",VLOOKUP(AT994,Vessel!A:F,5,FALSE)),"")</f>
        <v>46270.941423611112</v>
      </c>
      <c r="AL994" s="437">
        <v>46309</v>
      </c>
      <c r="AM994" s="949">
        <f>IFERROR(VLOOKUP(AT994, Vessel!A:H, 8, FALSE), "")</f>
        <v>46309.25</v>
      </c>
      <c r="AN994" s="949" t="str">
        <f>IFERROR(IF(VLOOKUP(AT994,Vessel!A:I,9,FALSE)=0,"",VLOOKUP(AT994,Vessel!A:I,9,FALSE)),"")</f>
        <v/>
      </c>
      <c r="AP994" s="430" t="s">
        <v>6520</v>
      </c>
      <c r="AQ994" s="438" t="s">
        <v>80</v>
      </c>
      <c r="AR994" s="430" t="s">
        <v>6521</v>
      </c>
      <c r="AS994" s="430" t="s">
        <v>6522</v>
      </c>
      <c r="AT994" s="623" t="s">
        <v>6522</v>
      </c>
      <c r="AU9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38.308576388888469</v>
      </c>
      <c r="AW994" s="437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46309.25</v>
      </c>
      <c r="AX99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4" s="437">
        <f>IF(ISERROR(PV_DATA[[#This Row],[New Ark PO status]]),"",_xlfn.XLOOKUP(PV_DATA[[#This Row],[SPTN-PVHK New Ark PO'#]],New_Ark_Data[Purchase order Number],New_Ark_Data[Estimated time of arrival],"",0))</f>
        <v>46317</v>
      </c>
      <c r="AZ99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437">
        <f>IFERROR(PV_DATA[[#This Row],[ODP ETA Port]]+PV_DATA[[#This Row],[Customs/Leg3 Assumption]],"n/a")</f>
        <v>46317.25</v>
      </c>
      <c r="BB994" s="433">
        <f>YEAR(PV_DATA[[#This Row],[ETA for New Ark update]])</f>
        <v>2026</v>
      </c>
      <c r="BC994" s="430">
        <f>MONTH(PV_DATA[[#This Row],[ETA for New Ark update]])</f>
        <v>10</v>
      </c>
      <c r="BD994" s="430">
        <f>IFERROR(_xlfn.ISOWEEKNUM(PV_DATA[[#This Row],[ETA for New Ark update]]),0)</f>
        <v>43</v>
      </c>
      <c r="BE994" s="430">
        <f>_xlfn.XLOOKUP(PV_DATA[[#This Row],[New Ark SKU]],Table9[New Ark SKU],Table9[Total PCS per Pallet],,0)</f>
        <v>36</v>
      </c>
      <c r="BF994" s="430">
        <f>_xlfn.XLOOKUP(PV_DATA[[#This Row],[New Ark SKU]],Table9[New Ark SKU],Table9[Total PCS per 40HQ Container],,0)</f>
        <v>936</v>
      </c>
      <c r="BG994" s="430" t="str">
        <f>_xlfn.XLOOKUP(PV_DATA[[#This Row],[New Ark SKU]],Table9[New Ark SKU],Table9[Back Glass],,0)</f>
        <v>White glazing</v>
      </c>
      <c r="BH994" s="610" t="str">
        <f>_xlfn.XLOOKUP(PV_DATA[[#This Row],[PORT DESTINATION]],Table12[PORT DESTINATION],Table12[Cosco Line],,0)</f>
        <v>AEM</v>
      </c>
      <c r="BJ994" s="430"/>
    </row>
    <row r="995" spans="1:62" ht="10.5">
      <c r="A995" s="462" t="s">
        <v>6523</v>
      </c>
      <c r="B995" s="462" t="s">
        <v>111</v>
      </c>
      <c r="C995" s="462" t="str">
        <f>IFERROR(LEFT(PV_DATA[[#This Row],[TCL REFERENCE]],FIND(".",PV_DATA[[#This Row],[TCL REFERENCE]],1)-1),"Main Line")</f>
        <v>26Aug001</v>
      </c>
      <c r="D995" s="462" t="s">
        <v>63</v>
      </c>
      <c r="E995" s="462" t="s">
        <v>64</v>
      </c>
      <c r="F995" s="462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462" t="s">
        <v>402</v>
      </c>
      <c r="H995" s="462" t="s">
        <v>67</v>
      </c>
      <c r="I995" s="462" t="s">
        <v>689</v>
      </c>
      <c r="J995" s="430" t="s">
        <v>96</v>
      </c>
      <c r="K995" s="430"/>
      <c r="L995" s="430"/>
      <c r="M995" s="430" t="s">
        <v>68</v>
      </c>
      <c r="N995" s="432">
        <v>46215</v>
      </c>
      <c r="O995" s="430" t="s">
        <v>550</v>
      </c>
      <c r="P995" s="430" t="s">
        <v>551</v>
      </c>
      <c r="Q995" s="430" t="s">
        <v>2151</v>
      </c>
      <c r="R995" s="430" t="str">
        <f>_xlfn.XLOOKUP(PV_DATA[[#This Row],[New Ark SKU]],Table9[New Ark SKU],Table9[Connector],,0)</f>
        <v>EVO2A</v>
      </c>
      <c r="S995" s="433" t="str">
        <f>_xlfn.XLOOKUP(PV_DATA[[#This Row],[New Ark SKU]],Table9[New Ark SKU],Table9[Cable],,0)</f>
        <v>±1350mm</v>
      </c>
      <c r="T995" s="433">
        <v>510</v>
      </c>
      <c r="U995" s="1088">
        <v>1584</v>
      </c>
      <c r="V995" s="434">
        <f>PV_DATA[[#This Row],[QUANTITY]]*PV_DATA[[#This Row],[WATT]]/1000000</f>
        <v>0.80784</v>
      </c>
      <c r="W995" s="435">
        <f>PV_DATA[[#This Row],[QUANTITY]]/PV_DATA[[#This Row],[Qty/Pallet]]</f>
        <v>44</v>
      </c>
      <c r="X995" s="1040">
        <f>PV_DATA[[#This Row],[QUANTITY]]/PV_DATA[[#This Row],[Qty/CT]]</f>
        <v>2</v>
      </c>
      <c r="Y995" s="430" t="s">
        <v>2465</v>
      </c>
      <c r="Z995" s="430" t="str">
        <f t="shared" si="14"/>
        <v>IN-TRANSIT</v>
      </c>
      <c r="AA995" s="430" t="s">
        <v>5853</v>
      </c>
      <c r="AB995" s="437">
        <v>46273</v>
      </c>
      <c r="AC995" s="485">
        <f>IF(PV_DATA[[#This Row],[Pick- Up Date]]&lt;&gt;"",_xlfn.ISOWEEKNUM(PV_DATA[[#This Row],[Pick- Up Date]]),"")</f>
        <v>37</v>
      </c>
      <c r="AD995" s="430" t="s">
        <v>6524</v>
      </c>
      <c r="AE995" s="430"/>
      <c r="AF995" s="430" t="s">
        <v>122</v>
      </c>
      <c r="AG995" s="430" t="s">
        <v>123</v>
      </c>
      <c r="AH995" s="430" t="s">
        <v>78</v>
      </c>
      <c r="AI995" s="437">
        <v>46271</v>
      </c>
      <c r="AJ995" s="437">
        <v>46275</v>
      </c>
      <c r="AK995" s="437">
        <v>46275</v>
      </c>
      <c r="AL995" s="437">
        <v>46316</v>
      </c>
      <c r="AM995" s="1308"/>
      <c r="AN995" s="588"/>
      <c r="AP995" s="430" t="s">
        <v>6525</v>
      </c>
      <c r="AQ995" s="438" t="s">
        <v>161</v>
      </c>
      <c r="AR995" s="623" t="s">
        <v>6526</v>
      </c>
      <c r="AS995" s="430">
        <v>275745289</v>
      </c>
      <c r="AT995" s="430">
        <v>275745289</v>
      </c>
      <c r="AU9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5" s="437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437" t="str">
        <f>IF(ISERROR(PV_DATA[[#This Row],[New Ark PO status]]),"",_xlfn.XLOOKUP(PV_DATA[[#This Row],[SPTN-PVHK New Ark PO'#]],New_Ark_Data[Purchase order Number],New_Ark_Data[Estimated time of arrival],"",0))</f>
        <v/>
      </c>
      <c r="AZ99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437">
        <f>IFERROR(PV_DATA[[#This Row],[ODP ETA Port]]+PV_DATA[[#This Row],[Customs/Leg3 Assumption]],"n/a")</f>
        <v>46324</v>
      </c>
      <c r="BB995" s="433">
        <f>YEAR(PV_DATA[[#This Row],[ETA for New Ark update]])</f>
        <v>2026</v>
      </c>
      <c r="BC995" s="430">
        <f>MONTH(PV_DATA[[#This Row],[ETA for New Ark update]])</f>
        <v>10</v>
      </c>
      <c r="BD995" s="430">
        <f>IFERROR(_xlfn.ISOWEEKNUM(PV_DATA[[#This Row],[ETA for New Ark update]]),0)</f>
        <v>44</v>
      </c>
      <c r="BE995" s="430">
        <f>_xlfn.XLOOKUP(PV_DATA[[#This Row],[New Ark SKU]],Table9[New Ark SKU],Table9[Total PCS per Pallet],,0)</f>
        <v>36</v>
      </c>
      <c r="BF995" s="430">
        <f>_xlfn.XLOOKUP(PV_DATA[[#This Row],[New Ark SKU]],Table9[New Ark SKU],Table9[Total PCS per 40HQ Container],,0)</f>
        <v>792</v>
      </c>
      <c r="BG995" s="430" t="str">
        <f>_xlfn.XLOOKUP(PV_DATA[[#This Row],[New Ark SKU]],Table9[New Ark SKU],Table9[Back Glass],,0)</f>
        <v>Black glazing</v>
      </c>
      <c r="BH995" s="430" t="str">
        <f>_xlfn.XLOOKUP(PV_DATA[[#This Row],[PORT DESTINATION]],Table12[PORT DESTINATION],Table12[Cosco Line],,0)</f>
        <v>AEM</v>
      </c>
      <c r="BJ995" s="430"/>
    </row>
    <row r="996" spans="1:62" ht="10.5">
      <c r="A996" s="462" t="s">
        <v>6527</v>
      </c>
      <c r="B996" s="945" t="s">
        <v>111</v>
      </c>
      <c r="C996" s="462" t="str">
        <f>IFERROR(LEFT(PV_DATA[[#This Row],[TCL REFERENCE]],FIND(".",PV_DATA[[#This Row],[TCL REFERENCE]],1)-1),"Main Line")</f>
        <v>26Jul016</v>
      </c>
      <c r="D996" s="945" t="s">
        <v>63</v>
      </c>
      <c r="E996" s="462" t="s">
        <v>64</v>
      </c>
      <c r="F996" s="945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462" t="s">
        <v>402</v>
      </c>
      <c r="H996" s="462" t="s">
        <v>67</v>
      </c>
      <c r="I996" s="462" t="s">
        <v>689</v>
      </c>
      <c r="J996" s="430" t="s">
        <v>96</v>
      </c>
      <c r="K996" s="430"/>
      <c r="L996" s="623"/>
      <c r="M996" s="430" t="s">
        <v>68</v>
      </c>
      <c r="N996" s="1079">
        <v>46234</v>
      </c>
      <c r="O996" s="623" t="s">
        <v>5379</v>
      </c>
      <c r="P996" s="623" t="s">
        <v>5735</v>
      </c>
      <c r="Q996" s="623" t="s">
        <v>5736</v>
      </c>
      <c r="R996" s="430" t="str">
        <f>_xlfn.XLOOKUP(PV_DATA[[#This Row],[New Ark SKU]],Table9[New Ark SKU],Table9[Connector],,0)</f>
        <v>EVO2A</v>
      </c>
      <c r="S996" s="433" t="str">
        <f>_xlfn.XLOOKUP(PV_DATA[[#This Row],[New Ark SKU]],Table9[New Ark SKU],Table9[Cable],,0)</f>
        <v>±1200mm</v>
      </c>
      <c r="T996" s="976">
        <v>475</v>
      </c>
      <c r="U996" s="1088">
        <f>936*3</f>
        <v>2808</v>
      </c>
      <c r="V996" s="977">
        <f>PV_DATA[[#This Row],[QUANTITY]]*PV_DATA[[#This Row],[WATT]]/1000000</f>
        <v>1.3338000000000001</v>
      </c>
      <c r="W996" s="435">
        <f>PV_DATA[[#This Row],[QUANTITY]]/PV_DATA[[#This Row],[Qty/Pallet]]</f>
        <v>78</v>
      </c>
      <c r="X996" s="1221">
        <f>PV_DATA[[#This Row],[QUANTITY]]/PV_DATA[[#This Row],[Qty/CT]]</f>
        <v>3</v>
      </c>
      <c r="Y996" s="430" t="s">
        <v>2466</v>
      </c>
      <c r="Z996" s="430" t="str">
        <f t="shared" si="14"/>
        <v>IN-TRANSIT</v>
      </c>
      <c r="AA996" s="623" t="s">
        <v>6307</v>
      </c>
      <c r="AB996" s="978">
        <v>46273</v>
      </c>
      <c r="AC996" s="1222">
        <f>IF(PV_DATA[[#This Row],[Pick- Up Date]]&lt;&gt;"",_xlfn.ISOWEEKNUM(PV_DATA[[#This Row],[Pick- Up Date]]),"")</f>
        <v>37</v>
      </c>
      <c r="AD996" s="623" t="s">
        <v>6528</v>
      </c>
      <c r="AE996" s="623"/>
      <c r="AF996" s="623" t="s">
        <v>122</v>
      </c>
      <c r="AG996" s="623" t="s">
        <v>123</v>
      </c>
      <c r="AH996" s="430" t="s">
        <v>78</v>
      </c>
      <c r="AI996" s="978">
        <v>46271</v>
      </c>
      <c r="AJ996" s="978">
        <v>46275</v>
      </c>
      <c r="AK996" s="437">
        <v>46275</v>
      </c>
      <c r="AL996" s="978">
        <v>46316</v>
      </c>
      <c r="AM996" s="978"/>
      <c r="AN996" s="588"/>
      <c r="AO996" s="623"/>
      <c r="AP996" s="623" t="s">
        <v>6525</v>
      </c>
      <c r="AQ996" s="1070" t="s">
        <v>161</v>
      </c>
      <c r="AR996" s="623" t="s">
        <v>6526</v>
      </c>
      <c r="AS996" s="623">
        <v>275745289</v>
      </c>
      <c r="AT996" s="430">
        <v>275745289</v>
      </c>
      <c r="AU9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6" s="623"/>
      <c r="AW996" s="978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978" t="str">
        <f>IF(ISERROR(PV_DATA[[#This Row],[New Ark PO status]]),"",_xlfn.XLOOKUP(PV_DATA[[#This Row],[SPTN-PVHK New Ark PO'#]],New_Ark_Data[Purchase order Number],New_Ark_Data[Estimated time of arrival],"",0))</f>
        <v/>
      </c>
      <c r="AZ996" s="97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978">
        <f>IFERROR(PV_DATA[[#This Row],[ODP ETA Port]]+PV_DATA[[#This Row],[Customs/Leg3 Assumption]],"n/a")</f>
        <v>46324</v>
      </c>
      <c r="BB996" s="976">
        <f>YEAR(PV_DATA[[#This Row],[ETA for New Ark update]])</f>
        <v>2026</v>
      </c>
      <c r="BC996" s="623">
        <f>MONTH(PV_DATA[[#This Row],[ETA for New Ark update]])</f>
        <v>10</v>
      </c>
      <c r="BD996" s="623">
        <f>IFERROR(_xlfn.ISOWEEKNUM(PV_DATA[[#This Row],[ETA for New Ark update]]),0)</f>
        <v>44</v>
      </c>
      <c r="BE996" s="623">
        <f>_xlfn.XLOOKUP(PV_DATA[[#This Row],[New Ark SKU]],Table9[New Ark SKU],Table9[Total PCS per Pallet],,0)</f>
        <v>36</v>
      </c>
      <c r="BF996" s="623">
        <f>_xlfn.XLOOKUP(PV_DATA[[#This Row],[New Ark SKU]],Table9[New Ark SKU],Table9[Total PCS per 40HQ Container],,0)</f>
        <v>936</v>
      </c>
      <c r="BG996" s="623" t="str">
        <f>_xlfn.XLOOKUP(PV_DATA[[#This Row],[New Ark SKU]],Table9[New Ark SKU],Table9[Back Glass],,0)</f>
        <v>White glazing</v>
      </c>
      <c r="BH996" s="979" t="str">
        <f>_xlfn.XLOOKUP(PV_DATA[[#This Row],[PORT DESTINATION]],Table12[PORT DESTINATION],Table12[Cosco Line],,0)</f>
        <v>AEM</v>
      </c>
      <c r="BJ996" s="430"/>
    </row>
    <row r="997" spans="1:62" ht="10.5">
      <c r="A997" s="462" t="s">
        <v>6529</v>
      </c>
      <c r="B997" s="462" t="s">
        <v>111</v>
      </c>
      <c r="C997" s="462" t="str">
        <f>IFERROR(LEFT(PV_DATA[[#This Row],[TCL REFERENCE]],FIND(".",PV_DATA[[#This Row],[TCL REFERENCE]],1)-1),"Main Line")</f>
        <v>26Aug019</v>
      </c>
      <c r="D997" s="462" t="s">
        <v>63</v>
      </c>
      <c r="E997" s="462" t="s">
        <v>64</v>
      </c>
      <c r="F997" s="462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462" t="s">
        <v>402</v>
      </c>
      <c r="H997" s="462" t="s">
        <v>67</v>
      </c>
      <c r="I997" s="462" t="s">
        <v>689</v>
      </c>
      <c r="J997" s="430" t="s">
        <v>96</v>
      </c>
      <c r="K997" s="430"/>
      <c r="L997" s="430"/>
      <c r="M997" s="430" t="s">
        <v>6315</v>
      </c>
      <c r="N997" s="432">
        <v>46238</v>
      </c>
      <c r="O997" s="430" t="s">
        <v>132</v>
      </c>
      <c r="P997" s="430" t="s">
        <v>189</v>
      </c>
      <c r="Q997" s="430" t="s">
        <v>190</v>
      </c>
      <c r="R997" s="430" t="str">
        <f>_xlfn.XLOOKUP(PV_DATA[[#This Row],[New Ark SKU]],Table9[New Ark SKU],Table9[Connector],,0)</f>
        <v>EVO2A</v>
      </c>
      <c r="S997" s="433" t="str">
        <f>_xlfn.XLOOKUP(PV_DATA[[#This Row],[New Ark SKU]],Table9[New Ark SKU],Table9[Cable],,0)</f>
        <v>±1200mm</v>
      </c>
      <c r="T997" s="433">
        <v>465</v>
      </c>
      <c r="U997" s="1088">
        <v>864</v>
      </c>
      <c r="V997" s="544">
        <f>PV_DATA[[#This Row],[QUANTITY]]*PV_DATA[[#This Row],[WATT]]/1000000</f>
        <v>0.40176000000000001</v>
      </c>
      <c r="W997" s="435">
        <f>PV_DATA[[#This Row],[QUANTITY]]/PV_DATA[[#This Row],[Qty/Pallet]]</f>
        <v>24</v>
      </c>
      <c r="X997" s="1040">
        <f>PV_DATA[[#This Row],[QUANTITY]]/PV_DATA[[#This Row],[Qty/CT]]</f>
        <v>1</v>
      </c>
      <c r="Y997" s="430" t="s">
        <v>2467</v>
      </c>
      <c r="Z997" s="430"/>
      <c r="AA997" s="430" t="s">
        <v>5853</v>
      </c>
      <c r="AB997" s="437">
        <v>46273</v>
      </c>
      <c r="AC997" s="485"/>
      <c r="AD997" s="430" t="s">
        <v>6530</v>
      </c>
      <c r="AE997" s="430"/>
      <c r="AF997" s="430" t="s">
        <v>122</v>
      </c>
      <c r="AG997" s="430" t="s">
        <v>123</v>
      </c>
      <c r="AH997" s="430" t="s">
        <v>78</v>
      </c>
      <c r="AI997" s="978">
        <v>46271</v>
      </c>
      <c r="AJ997" s="437">
        <v>46275</v>
      </c>
      <c r="AK997" s="437">
        <v>46275</v>
      </c>
      <c r="AL997" s="978">
        <v>46316</v>
      </c>
      <c r="AN997" s="437"/>
      <c r="AP997" s="623" t="s">
        <v>6525</v>
      </c>
      <c r="AQ997" s="1070" t="s">
        <v>161</v>
      </c>
      <c r="AR997" s="430" t="s">
        <v>6526</v>
      </c>
      <c r="AS997" s="430">
        <v>275745289</v>
      </c>
      <c r="AT997" s="430">
        <v>275745289</v>
      </c>
      <c r="AU9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7" s="437"/>
      <c r="AW997" s="437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437" t="str">
        <f>IF(ISERROR(PV_DATA[[#This Row],[New Ark PO status]]),"",_xlfn.XLOOKUP(PV_DATA[[#This Row],[SPTN-PVHK New Ark PO'#]],New_Ark_Data[Purchase order Number],New_Ark_Data[Estimated time of arrival],"",0))</f>
        <v/>
      </c>
      <c r="AZ99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437">
        <f>IFERROR(PV_DATA[[#This Row],[ODP ETA Port]]+PV_DATA[[#This Row],[Customs/Leg3 Assumption]],"n/a")</f>
        <v>46324</v>
      </c>
      <c r="BB997" s="433">
        <f>YEAR(PV_DATA[[#This Row],[ETA for New Ark update]])</f>
        <v>2026</v>
      </c>
      <c r="BC997" s="430">
        <f>MONTH(PV_DATA[[#This Row],[ETA for New Ark update]])</f>
        <v>10</v>
      </c>
      <c r="BD997" s="430">
        <f>IFERROR(_xlfn.ISOWEEKNUM(PV_DATA[[#This Row],[ETA for New Ark update]]),0)</f>
        <v>44</v>
      </c>
      <c r="BE997" s="430">
        <f>_xlfn.XLOOKUP(PV_DATA[[#This Row],[New Ark SKU]],Table9[New Ark SKU],Table9[Total PCS per Pallet],,0)</f>
        <v>36</v>
      </c>
      <c r="BF997" s="430">
        <f>_xlfn.XLOOKUP(PV_DATA[[#This Row],[New Ark SKU]],Table9[New Ark SKU],Table9[Total PCS per 40HQ Container],,0)</f>
        <v>864</v>
      </c>
      <c r="BG997" s="430" t="str">
        <f>_xlfn.XLOOKUP(PV_DATA[[#This Row],[New Ark SKU]],Table9[New Ark SKU],Table9[Back Glass],,0)</f>
        <v>White glazing</v>
      </c>
      <c r="BH997" s="430" t="str">
        <f>_xlfn.XLOOKUP(PV_DATA[[#This Row],[PORT DESTINATION]],Table12[PORT DESTINATION],Table12[Cosco Line],,0)</f>
        <v>AEM</v>
      </c>
      <c r="BJ997" s="430"/>
    </row>
    <row r="998" spans="1:62" ht="10.5">
      <c r="A998" s="462" t="s">
        <v>6531</v>
      </c>
      <c r="B998" s="462" t="s">
        <v>111</v>
      </c>
      <c r="C998" s="462" t="str">
        <f>IFERROR(LEFT(PV_DATA[[#This Row],[TCL REFERENCE]],FIND(".",PV_DATA[[#This Row],[TCL REFERENCE]],1)-1),"Main Line")</f>
        <v>26Jul004</v>
      </c>
      <c r="D998" s="462" t="s">
        <v>63</v>
      </c>
      <c r="E998" s="462" t="s">
        <v>64</v>
      </c>
      <c r="F998" s="462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462" t="s">
        <v>402</v>
      </c>
      <c r="H998" s="462" t="s">
        <v>67</v>
      </c>
      <c r="I998" s="462" t="s">
        <v>689</v>
      </c>
      <c r="J998" s="430" t="s">
        <v>96</v>
      </c>
      <c r="K998" s="430"/>
      <c r="L998" s="430"/>
      <c r="M998" s="430" t="s">
        <v>6315</v>
      </c>
      <c r="N998" s="432">
        <v>46223</v>
      </c>
      <c r="O998" s="430" t="s">
        <v>132</v>
      </c>
      <c r="P998" s="430" t="s">
        <v>1062</v>
      </c>
      <c r="Q998" s="430" t="s">
        <v>1063</v>
      </c>
      <c r="R998" s="430" t="str">
        <f>_xlfn.XLOOKUP(PV_DATA[[#This Row],[New Ark SKU]],Table9[New Ark SKU],Table9[Connector],,0)</f>
        <v>EVO2A</v>
      </c>
      <c r="S998" s="433" t="str">
        <f>_xlfn.XLOOKUP(PV_DATA[[#This Row],[New Ark SKU]],Table9[New Ark SKU],Table9[Cable],,0)</f>
        <v>±1200mm</v>
      </c>
      <c r="T998" s="433">
        <v>470</v>
      </c>
      <c r="U998" s="1088">
        <v>864</v>
      </c>
      <c r="V998" s="434">
        <f>PV_DATA[[#This Row],[QUANTITY]]*PV_DATA[[#This Row],[WATT]]/1000000</f>
        <v>0.40608</v>
      </c>
      <c r="W998" s="435">
        <f>PV_DATA[[#This Row],[QUANTITY]]/PV_DATA[[#This Row],[Qty/Pallet]]</f>
        <v>24</v>
      </c>
      <c r="X998" s="1040">
        <f>PV_DATA[[#This Row],[QUANTITY]]/PV_DATA[[#This Row],[Qty/CT]]</f>
        <v>1</v>
      </c>
      <c r="Y998" s="430" t="s">
        <v>2466</v>
      </c>
      <c r="Z998" s="430" t="str">
        <f>IF(AN998&lt;&gt;"","COMPLETED",IF(AK998&lt;&gt;"","IN-TRANSIT",""))</f>
        <v>IN-TRANSIT</v>
      </c>
      <c r="AA998" s="430" t="s">
        <v>5853</v>
      </c>
      <c r="AB998" s="437">
        <v>46266</v>
      </c>
      <c r="AC998" s="485">
        <f>IF(PV_DATA[[#This Row],[Pick- Up Date]]&lt;&gt;"",_xlfn.ISOWEEKNUM(PV_DATA[[#This Row],[Pick- Up Date]]),"")</f>
        <v>36</v>
      </c>
      <c r="AD998" s="430" t="s">
        <v>6532</v>
      </c>
      <c r="AE998" s="430"/>
      <c r="AF998" s="430" t="s">
        <v>122</v>
      </c>
      <c r="AG998" s="430" t="s">
        <v>123</v>
      </c>
      <c r="AH998" s="430" t="s">
        <v>78</v>
      </c>
      <c r="AI998" s="437">
        <v>46274</v>
      </c>
      <c r="AJ998" s="437">
        <f>IFERROR(VLOOKUP(AT998, Vessel!A:D, 4, FALSE), "")</f>
        <v>46273.041666666664</v>
      </c>
      <c r="AK998" s="437">
        <v>46273</v>
      </c>
      <c r="AL998" s="437">
        <v>46321</v>
      </c>
      <c r="AM998" s="949">
        <f>IFERROR(VLOOKUP(AT998, Vessel!A:H, 8, FALSE), "")</f>
        <v>46330.25</v>
      </c>
      <c r="AN998" s="949" t="str">
        <f>IFERROR(IF(VLOOKUP(AT998,Vessel!A:I,9,FALSE)=0,"",VLOOKUP(AT998,Vessel!A:I,9,FALSE)),"")</f>
        <v/>
      </c>
      <c r="AP998" s="430" t="s">
        <v>6511</v>
      </c>
      <c r="AQ998" s="438" t="s">
        <v>80</v>
      </c>
      <c r="AR998" s="430" t="s">
        <v>6533</v>
      </c>
      <c r="AS998" s="430" t="s">
        <v>6534</v>
      </c>
      <c r="AT998" s="430" t="s">
        <v>6534</v>
      </c>
      <c r="AU9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57.25</v>
      </c>
      <c r="AW998" s="437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99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8" s="437">
        <f>IF(ISERROR(PV_DATA[[#This Row],[New Ark PO status]]),"",_xlfn.XLOOKUP(PV_DATA[[#This Row],[SPTN-PVHK New Ark PO'#]],New_Ark_Data[Purchase order Number],New_Ark_Data[Estimated time of arrival],"",0))</f>
        <v>46329</v>
      </c>
      <c r="AZ99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437">
        <f>IFERROR(PV_DATA[[#This Row],[ODP ETA Port]]+PV_DATA[[#This Row],[Customs/Leg3 Assumption]],"n/a")</f>
        <v>46338.25</v>
      </c>
      <c r="BB998" s="433">
        <f>YEAR(PV_DATA[[#This Row],[ETA for New Ark update]])</f>
        <v>2026</v>
      </c>
      <c r="BC998" s="430">
        <f>MONTH(PV_DATA[[#This Row],[ETA for New Ark update]])</f>
        <v>11</v>
      </c>
      <c r="BD998" s="430">
        <f>IFERROR(_xlfn.ISOWEEKNUM(PV_DATA[[#This Row],[ETA for New Ark update]]),0)</f>
        <v>46</v>
      </c>
      <c r="BE998" s="430">
        <f>_xlfn.XLOOKUP(PV_DATA[[#This Row],[New Ark SKU]],Table9[New Ark SKU],Table9[Total PCS per Pallet],,0)</f>
        <v>36</v>
      </c>
      <c r="BF998" s="430">
        <f>_xlfn.XLOOKUP(PV_DATA[[#This Row],[New Ark SKU]],Table9[New Ark SKU],Table9[Total PCS per 40HQ Container],,0)</f>
        <v>864</v>
      </c>
      <c r="BG998" s="430" t="str">
        <f>_xlfn.XLOOKUP(PV_DATA[[#This Row],[New Ark SKU]],Table9[New Ark SKU],Table9[Back Glass],,0)</f>
        <v>White glazing</v>
      </c>
      <c r="BH998" s="430" t="str">
        <f>_xlfn.XLOOKUP(PV_DATA[[#This Row],[PORT DESTINATION]],Table12[PORT DESTINATION],Table12[Cosco Line],,0)</f>
        <v>AEM</v>
      </c>
      <c r="BJ998" s="430"/>
    </row>
    <row r="999" spans="1:62" ht="10.5">
      <c r="A999" s="462" t="s">
        <v>6535</v>
      </c>
      <c r="B999" s="462" t="s">
        <v>111</v>
      </c>
      <c r="C999" s="462" t="str">
        <f>IFERROR(LEFT(PV_DATA[[#This Row],[TCL REFERENCE]],FIND(".",PV_DATA[[#This Row],[TCL REFERENCE]],1)-1),"Main Line")</f>
        <v>26Aug019</v>
      </c>
      <c r="D999" s="462" t="s">
        <v>63</v>
      </c>
      <c r="E999" s="462" t="s">
        <v>64</v>
      </c>
      <c r="F999" s="462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462" t="s">
        <v>402</v>
      </c>
      <c r="H999" s="462" t="s">
        <v>67</v>
      </c>
      <c r="I999" s="462" t="s">
        <v>689</v>
      </c>
      <c r="J999" s="430" t="s">
        <v>96</v>
      </c>
      <c r="K999" s="430"/>
      <c r="L999" s="430"/>
      <c r="M999" s="430" t="s">
        <v>6536</v>
      </c>
      <c r="N999" s="432">
        <v>46238</v>
      </c>
      <c r="O999" s="430" t="s">
        <v>132</v>
      </c>
      <c r="P999" s="430" t="s">
        <v>189</v>
      </c>
      <c r="Q999" s="430" t="s">
        <v>190</v>
      </c>
      <c r="R999" s="430" t="str">
        <f>_xlfn.XLOOKUP(PV_DATA[[#This Row],[New Ark SKU]],Table9[New Ark SKU],Table9[Connector],,0)</f>
        <v>EVO2A</v>
      </c>
      <c r="S999" s="433" t="str">
        <f>_xlfn.XLOOKUP(PV_DATA[[#This Row],[New Ark SKU]],Table9[New Ark SKU],Table9[Cable],,0)</f>
        <v>±1200mm</v>
      </c>
      <c r="T999" s="433">
        <v>465</v>
      </c>
      <c r="U999" s="1088">
        <v>864</v>
      </c>
      <c r="V999" s="544">
        <f>PV_DATA[[#This Row],[QUANTITY]]*PV_DATA[[#This Row],[WATT]]/1000000</f>
        <v>0.40176000000000001</v>
      </c>
      <c r="W999" s="435">
        <f>PV_DATA[[#This Row],[QUANTITY]]/PV_DATA[[#This Row],[Qty/Pallet]]</f>
        <v>24</v>
      </c>
      <c r="X999" s="1040">
        <f>PV_DATA[[#This Row],[QUANTITY]]/PV_DATA[[#This Row],[Qty/CT]]</f>
        <v>1</v>
      </c>
      <c r="Y999" s="430" t="s">
        <v>2467</v>
      </c>
      <c r="Z999" s="430"/>
      <c r="AA999" s="430" t="s">
        <v>5853</v>
      </c>
      <c r="AB999" s="437">
        <v>46266</v>
      </c>
      <c r="AC999" s="485"/>
      <c r="AD999" s="430" t="s">
        <v>6537</v>
      </c>
      <c r="AE999" s="430"/>
      <c r="AF999" s="430" t="s">
        <v>122</v>
      </c>
      <c r="AG999" s="430" t="s">
        <v>123</v>
      </c>
      <c r="AH999" s="430" t="s">
        <v>78</v>
      </c>
      <c r="AI999" s="437">
        <v>46274</v>
      </c>
      <c r="AJ999" s="437">
        <f>IFERROR(VLOOKUP(AT999, Vessel!A:D, 4, FALSE), "")</f>
        <v>46273.041666666664</v>
      </c>
      <c r="AK999" s="437">
        <v>46273</v>
      </c>
      <c r="AL999" s="437">
        <v>46321</v>
      </c>
      <c r="AM999" s="949">
        <f>IFERROR(VLOOKUP(AT999, Vessel!A:H, 8, FALSE), "")</f>
        <v>46330.25</v>
      </c>
      <c r="AN999" s="949" t="str">
        <f>IFERROR(IF(VLOOKUP(AT999,Vessel!A:I,9,FALSE)=0,"",VLOOKUP(AT999,Vessel!A:I,9,FALSE)),"")</f>
        <v/>
      </c>
      <c r="AP999" s="430" t="s">
        <v>6511</v>
      </c>
      <c r="AQ999" s="430" t="s">
        <v>80</v>
      </c>
      <c r="AR999" s="430" t="s">
        <v>6533</v>
      </c>
      <c r="AS999" s="430" t="s">
        <v>6534</v>
      </c>
      <c r="AT999" s="430" t="s">
        <v>6534</v>
      </c>
      <c r="AU9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57.25</v>
      </c>
      <c r="AV999" s="437"/>
      <c r="AW999" s="437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99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9" s="437">
        <f>IF(ISERROR(PV_DATA[[#This Row],[New Ark PO status]]),"",_xlfn.XLOOKUP(PV_DATA[[#This Row],[SPTN-PVHK New Ark PO'#]],New_Ark_Data[Purchase order Number],New_Ark_Data[Estimated time of arrival],"",0))</f>
        <v>46329</v>
      </c>
      <c r="AZ99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437">
        <f>IFERROR(PV_DATA[[#This Row],[ODP ETA Port]]+PV_DATA[[#This Row],[Customs/Leg3 Assumption]],"n/a")</f>
        <v>46338.25</v>
      </c>
      <c r="BB999" s="433">
        <f>YEAR(PV_DATA[[#This Row],[ETA for New Ark update]])</f>
        <v>2026</v>
      </c>
      <c r="BC999" s="430">
        <f>MONTH(PV_DATA[[#This Row],[ETA for New Ark update]])</f>
        <v>11</v>
      </c>
      <c r="BD999" s="430">
        <f>IFERROR(_xlfn.ISOWEEKNUM(PV_DATA[[#This Row],[ETA for New Ark update]]),0)</f>
        <v>46</v>
      </c>
      <c r="BE999" s="430">
        <f>_xlfn.XLOOKUP(PV_DATA[[#This Row],[New Ark SKU]],Table9[New Ark SKU],Table9[Total PCS per Pallet],,0)</f>
        <v>36</v>
      </c>
      <c r="BF999" s="430">
        <f>_xlfn.XLOOKUP(PV_DATA[[#This Row],[New Ark SKU]],Table9[New Ark SKU],Table9[Total PCS per 40HQ Container],,0)</f>
        <v>864</v>
      </c>
      <c r="BG999" s="430" t="str">
        <f>_xlfn.XLOOKUP(PV_DATA[[#This Row],[New Ark SKU]],Table9[New Ark SKU],Table9[Back Glass],,0)</f>
        <v>White glazing</v>
      </c>
      <c r="BH999" s="430" t="str">
        <f>_xlfn.XLOOKUP(PV_DATA[[#This Row],[PORT DESTINATION]],Table12[PORT DESTINATION],Table12[Cosco Line],,0)</f>
        <v>AEM</v>
      </c>
      <c r="BJ999" s="430"/>
    </row>
    <row r="1000" spans="1:62" ht="10.5">
      <c r="A1000" s="462" t="s">
        <v>6538</v>
      </c>
      <c r="B1000" s="462" t="s">
        <v>111</v>
      </c>
      <c r="C1000" s="462" t="str">
        <f>IFERROR(LEFT(PV_DATA[[#This Row],[TCL REFERENCE]],FIND(".",PV_DATA[[#This Row],[TCL REFERENCE]],1)-1),"Main Line")</f>
        <v>26Jul014</v>
      </c>
      <c r="D1000" s="462" t="s">
        <v>63</v>
      </c>
      <c r="E1000" s="462" t="s">
        <v>64</v>
      </c>
      <c r="F1000" s="462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0" s="462" t="s">
        <v>402</v>
      </c>
      <c r="H1000" s="462" t="s">
        <v>115</v>
      </c>
      <c r="I1000" s="462" t="s">
        <v>689</v>
      </c>
      <c r="J1000" s="430" t="s">
        <v>96</v>
      </c>
      <c r="K1000" s="430"/>
      <c r="L1000" s="430"/>
      <c r="M1000" s="430" t="s">
        <v>68</v>
      </c>
      <c r="N1000" s="432">
        <v>46202</v>
      </c>
      <c r="O1000" s="430" t="s">
        <v>5336</v>
      </c>
      <c r="P1000" s="430" t="s">
        <v>5555</v>
      </c>
      <c r="Q1000" s="430" t="s">
        <v>5556</v>
      </c>
      <c r="R1000" s="430" t="str">
        <f>_xlfn.XLOOKUP(PV_DATA[[#This Row],[New Ark SKU]],Table9[New Ark SKU],Table9[Connector],,0)</f>
        <v>EVO2A</v>
      </c>
      <c r="S1000" s="433" t="str">
        <f>_xlfn.XLOOKUP(PV_DATA[[#This Row],[New Ark SKU]],Table9[New Ark SKU],Table9[Cable],,0)</f>
        <v>±1400mm</v>
      </c>
      <c r="T1000" s="433">
        <v>585</v>
      </c>
      <c r="U1000" s="1096">
        <f>720*2</f>
        <v>1440</v>
      </c>
      <c r="V1000" s="434">
        <f>PV_DATA[[#This Row],[QUANTITY]]*PV_DATA[[#This Row],[WATT]]/1000000</f>
        <v>0.84240000000000004</v>
      </c>
      <c r="W1000" s="435">
        <f>PV_DATA[[#This Row],[QUANTITY]]/PV_DATA[[#This Row],[Qty/Pallet]]</f>
        <v>40</v>
      </c>
      <c r="X1000" s="1040">
        <f>PV_DATA[[#This Row],[QUANTITY]]/720</f>
        <v>2</v>
      </c>
      <c r="Y1000" s="430" t="s">
        <v>2466</v>
      </c>
      <c r="Z1000" s="430" t="str">
        <f t="shared" ref="Z1000:Z1006" si="15">IF(AN1000&lt;&gt;"","COMPLETED",IF(AK1000&lt;&gt;"","IN-TRANSIT",""))</f>
        <v>IN-TRANSIT</v>
      </c>
      <c r="AA1000" s="545">
        <v>46206</v>
      </c>
      <c r="AB1000" s="437">
        <v>46261</v>
      </c>
      <c r="AC1000" s="485">
        <f>IF(PV_DATA[[#This Row],[Pick- Up Date]]&lt;&gt;"",_xlfn.ISOWEEKNUM(PV_DATA[[#This Row],[Pick- Up Date]]),"")</f>
        <v>35</v>
      </c>
      <c r="AD1000" s="430" t="s">
        <v>6539</v>
      </c>
      <c r="AE1000" s="430"/>
      <c r="AF1000" s="430" t="s">
        <v>122</v>
      </c>
      <c r="AG1000" s="430" t="s">
        <v>123</v>
      </c>
      <c r="AH1000" s="430" t="s">
        <v>124</v>
      </c>
      <c r="AI1000" s="543">
        <v>46268</v>
      </c>
      <c r="AJ1000" s="437">
        <v>46270</v>
      </c>
      <c r="AK1000" s="437">
        <f>IFERROR(IF(VLOOKUP(AT1000,Vessel!A:F,5,FALSE)=0,"",VLOOKUP(AT1000,Vessel!A:F,5,FALSE)),"")</f>
        <v>46270.941423611112</v>
      </c>
      <c r="AL1000" s="437">
        <v>46303</v>
      </c>
      <c r="AM1000" s="949">
        <f>IFERROR(VLOOKUP(AT1000, Vessel!A:H, 8, FALSE), "")</f>
        <v>46303.833333333336</v>
      </c>
      <c r="AN1000" s="949" t="str">
        <f>IFERROR(IF(VLOOKUP(AT1000,Vessel!A:I,9,FALSE)=0,"",VLOOKUP(AT1000,Vessel!A:I,9,FALSE)),"")</f>
        <v/>
      </c>
      <c r="AP1000" s="430" t="s">
        <v>6540</v>
      </c>
      <c r="AQ1000" s="438" t="s">
        <v>80</v>
      </c>
      <c r="AR1000" s="430" t="s">
        <v>6541</v>
      </c>
      <c r="AS1000" s="430" t="s">
        <v>6542</v>
      </c>
      <c r="AT1000" s="430" t="s">
        <v>6542</v>
      </c>
      <c r="AU10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32.891909722224227</v>
      </c>
      <c r="AW1000" s="437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46303.833333333336</v>
      </c>
      <c r="AX100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0" s="437">
        <f>IF(ISERROR(PV_DATA[[#This Row],[New Ark PO status]]),"",_xlfn.XLOOKUP(PV_DATA[[#This Row],[SPTN-PVHK New Ark PO'#]],New_Ark_Data[Purchase order Number],New_Ark_Data[Estimated time of arrival],"",0))</f>
        <v>46311</v>
      </c>
      <c r="AZ1000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00" s="437">
        <f>IFERROR(PV_DATA[[#This Row],[ODP ETA Port]]+PV_DATA[[#This Row],[Customs/Leg3 Assumption]],"n/a")</f>
        <v>46312.833333333336</v>
      </c>
      <c r="BB1000" s="433">
        <f>YEAR(PV_DATA[[#This Row],[ETA for New Ark update]])</f>
        <v>2026</v>
      </c>
      <c r="BC1000" s="430">
        <f>MONTH(PV_DATA[[#This Row],[ETA for New Ark update]])</f>
        <v>10</v>
      </c>
      <c r="BD1000" s="430">
        <f>IFERROR(_xlfn.ISOWEEKNUM(PV_DATA[[#This Row],[ETA for New Ark update]]),0)</f>
        <v>42</v>
      </c>
      <c r="BE1000" s="430">
        <f>_xlfn.XLOOKUP(PV_DATA[[#This Row],[New Ark SKU]],Table9[New Ark SKU],Table9[Total PCS per Pallet],,0)</f>
        <v>36</v>
      </c>
      <c r="BF1000" s="430">
        <f>_xlfn.XLOOKUP(PV_DATA[[#This Row],[New Ark SKU]],Table9[New Ark SKU],Table9[Total PCS per 40HQ Container],,0)</f>
        <v>720</v>
      </c>
      <c r="BG1000" s="430" t="str">
        <f>_xlfn.XLOOKUP(PV_DATA[[#This Row],[New Ark SKU]],Table9[New Ark SKU],Table9[Back Glass],,0)</f>
        <v>Transparent</v>
      </c>
      <c r="BH1000" s="610" t="str">
        <f>_xlfn.XLOOKUP(PV_DATA[[#This Row],[PORT DESTINATION]],Table12[PORT DESTINATION],Table12[Cosco Line],,0)</f>
        <v>AEM</v>
      </c>
      <c r="BJ1000" s="430"/>
    </row>
    <row r="1001" spans="1:62" ht="10.5">
      <c r="A1001" s="951" t="s">
        <v>6543</v>
      </c>
      <c r="B1001" s="945" t="s">
        <v>1757</v>
      </c>
      <c r="C1001" s="462" t="str">
        <f>IFERROR(LEFT(PV_DATA[[#This Row],[TCL REFERENCE]],FIND(".",PV_DATA[[#This Row],[TCL REFERENCE]],1)-1),"Main Line")</f>
        <v>26Jul017</v>
      </c>
      <c r="D1001" s="945" t="s">
        <v>63</v>
      </c>
      <c r="E1001" s="462" t="s">
        <v>64</v>
      </c>
      <c r="F1001" s="945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1" s="462" t="s">
        <v>402</v>
      </c>
      <c r="H1001" s="462" t="s">
        <v>451</v>
      </c>
      <c r="I1001" s="462" t="s">
        <v>882</v>
      </c>
      <c r="J1001" s="430" t="s">
        <v>6219</v>
      </c>
      <c r="K1001" s="430"/>
      <c r="L1001" s="623"/>
      <c r="M1001" s="430" t="s">
        <v>68</v>
      </c>
      <c r="N1001" s="1079" t="s">
        <v>6202</v>
      </c>
      <c r="O1001" s="623" t="s">
        <v>284</v>
      </c>
      <c r="P1001" s="623" t="s">
        <v>5851</v>
      </c>
      <c r="Q1001" s="623" t="s">
        <v>5852</v>
      </c>
      <c r="R1001" s="430" t="str">
        <f>_xlfn.XLOOKUP(PV_DATA[[#This Row],[New Ark SKU]],Table9[New Ark SKU],Table9[Connector],,0)</f>
        <v>EVO2A</v>
      </c>
      <c r="S1001" s="433" t="str">
        <f>_xlfn.XLOOKUP(PV_DATA[[#This Row],[New Ark SKU]],Table9[New Ark SKU],Table9[Cable],,0)</f>
        <v>±1200mm</v>
      </c>
      <c r="T1001" s="976">
        <v>485</v>
      </c>
      <c r="U1001" s="1100">
        <v>936</v>
      </c>
      <c r="V1001" s="977">
        <f>PV_DATA[[#This Row],[QUANTITY]]*PV_DATA[[#This Row],[WATT]]/1000000</f>
        <v>0.45395999999999997</v>
      </c>
      <c r="W1001" s="435">
        <f>PV_DATA[[#This Row],[QUANTITY]]/36</f>
        <v>26</v>
      </c>
      <c r="X1001" s="1221">
        <f>PV_DATA[[#This Row],[QUANTITY]]/PV_DATA[[#This Row],[Qty/CT]]</f>
        <v>1</v>
      </c>
      <c r="Y1001" s="430" t="s">
        <v>2464</v>
      </c>
      <c r="Z1001" s="430" t="str">
        <f t="shared" si="15"/>
        <v>IN-TRANSIT</v>
      </c>
      <c r="AA1001" s="1077">
        <v>46257</v>
      </c>
      <c r="AB1001" s="1076">
        <v>46268</v>
      </c>
      <c r="AC1001" s="1222">
        <f>IF(PV_DATA[[#This Row],[Pick- Up Date]]&lt;&gt;"",_xlfn.ISOWEEKNUM(PV_DATA[[#This Row],[Pick- Up Date]]),"")</f>
        <v>36</v>
      </c>
      <c r="AD1001" s="623" t="s">
        <v>6544</v>
      </c>
      <c r="AE1001" s="623"/>
      <c r="AF1001" s="623" t="s">
        <v>1525</v>
      </c>
      <c r="AG1001" s="623" t="s">
        <v>5994</v>
      </c>
      <c r="AH1001" s="430" t="s">
        <v>456</v>
      </c>
      <c r="AI1001" s="978">
        <v>46267</v>
      </c>
      <c r="AJ1001" s="437">
        <f>IFERROR(VLOOKUP(AT1001, Vessel!A:D, 4, FALSE), "")</f>
        <v>46273.645833333336</v>
      </c>
      <c r="AK1001" s="437">
        <f>IFERROR(IF(VLOOKUP(AT1001,Vessel!A:F,5,FALSE)=0,"",VLOOKUP(AT1001,Vessel!A:F,5,FALSE)),"")</f>
        <v>46273.670289351852</v>
      </c>
      <c r="AL1001" s="978">
        <v>46337</v>
      </c>
      <c r="AM1001" s="949">
        <f>IFERROR(VLOOKUP(AT1001, Vessel!A:H, 8, FALSE), "")</f>
        <v>46308.770833333336</v>
      </c>
      <c r="AN1001" s="949" t="str">
        <f>IFERROR(IF(VLOOKUP(AT1001,Vessel!A:I,9,FALSE)=0,"",VLOOKUP(AT1001,Vessel!A:I,9,FALSE)),"")</f>
        <v/>
      </c>
      <c r="AO1001" s="623"/>
      <c r="AP1001" s="623" t="s">
        <v>6440</v>
      </c>
      <c r="AQ1001" s="623" t="s">
        <v>80</v>
      </c>
      <c r="AR1001" s="623" t="s">
        <v>6545</v>
      </c>
      <c r="AS1001" s="623" t="s">
        <v>6546</v>
      </c>
      <c r="AT1001" s="430" t="s">
        <v>6546</v>
      </c>
      <c r="AU10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35.100543981483497</v>
      </c>
      <c r="AV1001" s="623"/>
      <c r="AW1001" s="978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46308.770833333336</v>
      </c>
      <c r="AX100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1" s="978" t="str">
        <f>IF(ISERROR(PV_DATA[[#This Row],[New Ark PO status]]),"",_xlfn.XLOOKUP(PV_DATA[[#This Row],[SPTN-PVHK New Ark PO'#]],New_Ark_Data[Purchase order Number],New_Ark_Data[Estimated time of arrival],"",0))</f>
        <v/>
      </c>
      <c r="AZ1001" s="97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1" s="978">
        <f>IFERROR(PV_DATA[[#This Row],[ODP ETA Port]]+PV_DATA[[#This Row],[Customs/Leg3 Assumption]],"n/a")</f>
        <v>46315.770833333336</v>
      </c>
      <c r="BB1001" s="976">
        <f>YEAR(PV_DATA[[#This Row],[ETA for New Ark update]])</f>
        <v>2026</v>
      </c>
      <c r="BC1001" s="623">
        <f>MONTH(PV_DATA[[#This Row],[ETA for New Ark update]])</f>
        <v>10</v>
      </c>
      <c r="BD1001" s="623">
        <f>IFERROR(_xlfn.ISOWEEKNUM(PV_DATA[[#This Row],[ETA for New Ark update]]),0)</f>
        <v>43</v>
      </c>
      <c r="BE1001" s="623">
        <f>_xlfn.XLOOKUP(PV_DATA[[#This Row],[New Ark SKU]],Table9[New Ark SKU],Table9[Total PCS per Pallet],,0)</f>
        <v>36</v>
      </c>
      <c r="BF1001" s="623">
        <f>_xlfn.XLOOKUP(PV_DATA[[#This Row],[New Ark SKU]],Table9[New Ark SKU],Table9[Total PCS per 40HQ Container],,0)</f>
        <v>936</v>
      </c>
      <c r="BG1001" s="623" t="str">
        <f>_xlfn.XLOOKUP(PV_DATA[[#This Row],[New Ark SKU]],Table9[New Ark SKU],Table9[Back Glass],,0)</f>
        <v>Black glazing</v>
      </c>
      <c r="BH1001" s="979" t="str">
        <f>_xlfn.XLOOKUP(PV_DATA[[#This Row],[PORT DESTINATION]],Table12[PORT DESTINATION],Table12[Cosco Line],,0)</f>
        <v>AEU</v>
      </c>
      <c r="BJ1001" s="430"/>
    </row>
    <row r="1002" spans="1:62" ht="10.5">
      <c r="A1002" s="462" t="s">
        <v>6547</v>
      </c>
      <c r="B1002" s="462" t="s">
        <v>1757</v>
      </c>
      <c r="C1002" s="462" t="str">
        <f>IFERROR(LEFT(PV_DATA[[#This Row],[TCL REFERENCE]],FIND(".",PV_DATA[[#This Row],[TCL REFERENCE]],1)-1),"Main Line")</f>
        <v>26Aug007</v>
      </c>
      <c r="D1002" s="462" t="s">
        <v>63</v>
      </c>
      <c r="E1002" s="462" t="s">
        <v>144</v>
      </c>
      <c r="F1002" s="462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462" t="s">
        <v>402</v>
      </c>
      <c r="H1002" s="462" t="s">
        <v>6200</v>
      </c>
      <c r="I1002" s="462" t="s">
        <v>689</v>
      </c>
      <c r="J1002" s="430" t="s">
        <v>6200</v>
      </c>
      <c r="K1002" s="430" t="s">
        <v>6224</v>
      </c>
      <c r="L1002" s="430">
        <v>5</v>
      </c>
      <c r="M1002" s="430" t="s">
        <v>840</v>
      </c>
      <c r="N1002" s="432" t="s">
        <v>6202</v>
      </c>
      <c r="O1002" s="430" t="s">
        <v>284</v>
      </c>
      <c r="P1002" s="430" t="s">
        <v>5851</v>
      </c>
      <c r="Q1002" s="430" t="s">
        <v>5852</v>
      </c>
      <c r="R1002" s="430" t="str">
        <f>_xlfn.XLOOKUP(PV_DATA[[#This Row],[New Ark SKU]],Table9[New Ark SKU],Table9[Connector],,0)</f>
        <v>EVO2A</v>
      </c>
      <c r="S1002" s="433" t="str">
        <f>_xlfn.XLOOKUP(PV_DATA[[#This Row],[New Ark SKU]],Table9[New Ark SKU],Table9[Cable],,0)</f>
        <v>±1200mm</v>
      </c>
      <c r="T1002" s="433">
        <v>485</v>
      </c>
      <c r="U1002" s="1088">
        <v>936</v>
      </c>
      <c r="V1002" s="434">
        <f>PV_DATA[[#This Row],[QUANTITY]]*PV_DATA[[#This Row],[WATT]]/1000000</f>
        <v>0.45395999999999997</v>
      </c>
      <c r="W1002" s="435">
        <f>PV_DATA[[#This Row],[QUANTITY]]/36</f>
        <v>26</v>
      </c>
      <c r="X1002" s="1040">
        <f>PV_DATA[[#This Row],[QUANTITY]]/PV_DATA[[#This Row],[Qty/CT]]</f>
        <v>1</v>
      </c>
      <c r="Y1002" s="430" t="s">
        <v>2465</v>
      </c>
      <c r="Z1002" s="430" t="str">
        <f t="shared" si="15"/>
        <v>IN-TRANSIT</v>
      </c>
      <c r="AA1002" s="545">
        <v>46255</v>
      </c>
      <c r="AB1002" s="1076">
        <v>46268</v>
      </c>
      <c r="AC1002" s="485">
        <f>IF(PV_DATA[[#This Row],[Pick- Up Date]]&lt;&gt;"",_xlfn.ISOWEEKNUM(PV_DATA[[#This Row],[Pick- Up Date]]),"")</f>
        <v>36</v>
      </c>
      <c r="AD1002" s="430" t="s">
        <v>6548</v>
      </c>
      <c r="AE1002" s="430"/>
      <c r="AF1002" s="430" t="s">
        <v>1525</v>
      </c>
      <c r="AG1002" s="430" t="s">
        <v>5994</v>
      </c>
      <c r="AH1002" s="430" t="s">
        <v>456</v>
      </c>
      <c r="AI1002" s="437">
        <v>46267</v>
      </c>
      <c r="AJ1002" s="437">
        <f>IFERROR(VLOOKUP(AT1002, Vessel!A:D, 4, FALSE), "")</f>
        <v>46273.645833333336</v>
      </c>
      <c r="AK1002" s="437">
        <f>IFERROR(IF(VLOOKUP(AT1002,Vessel!A:F,5,FALSE)=0,"",VLOOKUP(AT1002,Vessel!A:F,5,FALSE)),"")</f>
        <v>46273.670289351852</v>
      </c>
      <c r="AL1002" s="437">
        <v>46337</v>
      </c>
      <c r="AM1002" s="949">
        <f>IFERROR(VLOOKUP(AT1002, Vessel!A:H, 8, FALSE), "")</f>
        <v>46308.75</v>
      </c>
      <c r="AN1002" s="949" t="str">
        <f>IFERROR(IF(VLOOKUP(AT1002,Vessel!A:I,9,FALSE)=0,"",VLOOKUP(AT1002,Vessel!A:I,9,FALSE)),"")</f>
        <v/>
      </c>
      <c r="AP1002" s="430" t="s">
        <v>6440</v>
      </c>
      <c r="AQ1002" s="430" t="s">
        <v>80</v>
      </c>
      <c r="AR1002" s="430" t="s">
        <v>6549</v>
      </c>
      <c r="AS1002" s="430" t="s">
        <v>6550</v>
      </c>
      <c r="AT1002" s="430" t="s">
        <v>6550</v>
      </c>
      <c r="AU10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35.079710648147739</v>
      </c>
      <c r="AW1002" s="437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46308.75</v>
      </c>
      <c r="AX100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437" t="str">
        <f>IF(ISERROR(PV_DATA[[#This Row],[New Ark PO status]]),"",_xlfn.XLOOKUP(PV_DATA[[#This Row],[SPTN-PVHK New Ark PO'#]],New_Ark_Data[Purchase order Number],New_Ark_Data[Estimated time of arrival],"",0))</f>
        <v/>
      </c>
      <c r="AZ100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437">
        <f>IFERROR(PV_DATA[[#This Row],[ODP ETA Port]]+PV_DATA[[#This Row],[Customs/Leg3 Assumption]],"n/a")</f>
        <v>46308.75</v>
      </c>
      <c r="BB1002" s="433">
        <f>YEAR(PV_DATA[[#This Row],[ETA for New Ark update]])</f>
        <v>2026</v>
      </c>
      <c r="BC1002" s="430">
        <f>MONTH(PV_DATA[[#This Row],[ETA for New Ark update]])</f>
        <v>10</v>
      </c>
      <c r="BD1002" s="430">
        <f>IFERROR(_xlfn.ISOWEEKNUM(PV_DATA[[#This Row],[ETA for New Ark update]]),0)</f>
        <v>42</v>
      </c>
      <c r="BE1002" s="430">
        <f>_xlfn.XLOOKUP(PV_DATA[[#This Row],[New Ark SKU]],Table9[New Ark SKU],Table9[Total PCS per Pallet],,0)</f>
        <v>36</v>
      </c>
      <c r="BF1002" s="430">
        <f>_xlfn.XLOOKUP(PV_DATA[[#This Row],[New Ark SKU]],Table9[New Ark SKU],Table9[Total PCS per 40HQ Container],,0)</f>
        <v>936</v>
      </c>
      <c r="BG1002" s="430" t="str">
        <f>_xlfn.XLOOKUP(PV_DATA[[#This Row],[New Ark SKU]],Table9[New Ark SKU],Table9[Back Glass],,0)</f>
        <v>Black glazing</v>
      </c>
      <c r="BH1002" s="430" t="str">
        <f>_xlfn.XLOOKUP(PV_DATA[[#This Row],[PORT DESTINATION]],Table12[PORT DESTINATION],Table12[Cosco Line],,0)</f>
        <v>AEU</v>
      </c>
      <c r="BJ1002" s="430"/>
    </row>
    <row r="1003" spans="1:62" ht="10.5">
      <c r="A1003" s="729" t="s">
        <v>6551</v>
      </c>
      <c r="B1003" s="462" t="s">
        <v>1757</v>
      </c>
      <c r="C1003" s="462" t="str">
        <f>IFERROR(LEFT(PV_DATA[[#This Row],[TCL REFERENCE]],FIND(".",PV_DATA[[#This Row],[TCL REFERENCE]],1)-1),"Main Line")</f>
        <v>26Aug007</v>
      </c>
      <c r="D1003" s="462" t="s">
        <v>63</v>
      </c>
      <c r="E1003" s="462" t="s">
        <v>64</v>
      </c>
      <c r="F1003" s="945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3" s="462" t="s">
        <v>402</v>
      </c>
      <c r="H1003" s="462" t="s">
        <v>67</v>
      </c>
      <c r="I1003" s="462" t="s">
        <v>1395</v>
      </c>
      <c r="J1003" s="430" t="s">
        <v>96</v>
      </c>
      <c r="K1003" s="430"/>
      <c r="L1003" s="430"/>
      <c r="M1003" s="430" t="s">
        <v>68</v>
      </c>
      <c r="N1003" s="432" t="s">
        <v>6202</v>
      </c>
      <c r="O1003" s="430" t="s">
        <v>284</v>
      </c>
      <c r="P1003" s="430" t="s">
        <v>5851</v>
      </c>
      <c r="Q1003" s="430" t="s">
        <v>5852</v>
      </c>
      <c r="R1003" s="430" t="str">
        <f>_xlfn.XLOOKUP(PV_DATA[[#This Row],[New Ark SKU]],Table9[New Ark SKU],Table9[Connector],,0)</f>
        <v>EVO2A</v>
      </c>
      <c r="S1003" s="433" t="str">
        <f>_xlfn.XLOOKUP(PV_DATA[[#This Row],[New Ark SKU]],Table9[New Ark SKU],Table9[Cable],,0)</f>
        <v>±1200mm</v>
      </c>
      <c r="T1003" s="433">
        <v>485</v>
      </c>
      <c r="U1003" s="1088">
        <f>936*5</f>
        <v>4680</v>
      </c>
      <c r="V1003" s="1311">
        <f>PV_DATA[[#This Row],[QUANTITY]]*PV_DATA[[#This Row],[WATT]]/1000000</f>
        <v>2.2698</v>
      </c>
      <c r="W1003" s="1312">
        <f>PV_DATA[[#This Row],[QUANTITY]]/36</f>
        <v>130</v>
      </c>
      <c r="X1003" s="1040">
        <f>PV_DATA[[#This Row],[QUANTITY]]/PV_DATA[[#This Row],[Qty/CT]]</f>
        <v>5</v>
      </c>
      <c r="Y1003" s="430" t="s">
        <v>2464</v>
      </c>
      <c r="Z1003" s="430" t="str">
        <f t="shared" si="15"/>
        <v>IN-TRANSIT</v>
      </c>
      <c r="AA1003" s="545">
        <v>46256</v>
      </c>
      <c r="AB1003" s="1076">
        <v>46268</v>
      </c>
      <c r="AC1003" s="485">
        <f>IF(PV_DATA[[#This Row],[Pick- Up Date]]&lt;&gt;"",_xlfn.ISOWEEKNUM(PV_DATA[[#This Row],[Pick- Up Date]]),"")</f>
        <v>36</v>
      </c>
      <c r="AD1003" s="430" t="s">
        <v>6552</v>
      </c>
      <c r="AE1003" s="430"/>
      <c r="AF1003" s="430" t="s">
        <v>1525</v>
      </c>
      <c r="AG1003" s="430" t="s">
        <v>5994</v>
      </c>
      <c r="AH1003" s="430" t="s">
        <v>105</v>
      </c>
      <c r="AI1003" s="437">
        <v>46266</v>
      </c>
      <c r="AJ1003" s="437">
        <f>IFERROR(VLOOKUP(AT1003, Vessel!A:D, 4, FALSE), "")</f>
        <v>46272.625</v>
      </c>
      <c r="AK1003" s="437">
        <f>IFERROR(IF(VLOOKUP(AT1003,Vessel!A:F,5,FALSE)=0,"",VLOOKUP(AT1003,Vessel!A:F,5,FALSE)),"")</f>
        <v>46272.645995370367</v>
      </c>
      <c r="AL1003" s="437">
        <v>46305</v>
      </c>
      <c r="AM1003" s="949">
        <f>IFERROR(VLOOKUP(AT1003, Vessel!A:H, 8, FALSE), "")</f>
        <v>46307.833333333336</v>
      </c>
      <c r="AN1003" s="949" t="str">
        <f>IFERROR(IF(VLOOKUP(AT1003,Vessel!A:I,9,FALSE)=0,"",VLOOKUP(AT1003,Vessel!A:I,9,FALSE)),"")</f>
        <v/>
      </c>
      <c r="AP1003" s="430" t="s">
        <v>6378</v>
      </c>
      <c r="AQ1003" s="430" t="s">
        <v>80</v>
      </c>
      <c r="AR1003" s="430" t="s">
        <v>6553</v>
      </c>
      <c r="AS1003" s="430" t="s">
        <v>6554</v>
      </c>
      <c r="AT1003" s="430" t="s">
        <v>6554</v>
      </c>
      <c r="AU10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35.187337962968741</v>
      </c>
      <c r="AW1003" s="437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46307.833333333336</v>
      </c>
      <c r="AX100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437" t="str">
        <f>IF(ISERROR(PV_DATA[[#This Row],[New Ark PO status]]),"",_xlfn.XLOOKUP(PV_DATA[[#This Row],[SPTN-PVHK New Ark PO'#]],New_Ark_Data[Purchase order Number],New_Ark_Data[Estimated time of arrival],"",0))</f>
        <v/>
      </c>
      <c r="AZ100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3" s="437">
        <f>IFERROR(PV_DATA[[#This Row],[ODP ETA Port]]+PV_DATA[[#This Row],[Customs/Leg3 Assumption]],"n/a")</f>
        <v>46314.833333333336</v>
      </c>
      <c r="BB1003" s="433">
        <f>YEAR(PV_DATA[[#This Row],[ETA for New Ark update]])</f>
        <v>2026</v>
      </c>
      <c r="BC1003" s="430">
        <f>MONTH(PV_DATA[[#This Row],[ETA for New Ark update]])</f>
        <v>10</v>
      </c>
      <c r="BD1003" s="430">
        <f>IFERROR(_xlfn.ISOWEEKNUM(PV_DATA[[#This Row],[ETA for New Ark update]]),0)</f>
        <v>43</v>
      </c>
      <c r="BE1003" s="430">
        <f>_xlfn.XLOOKUP(PV_DATA[[#This Row],[New Ark SKU]],Table9[New Ark SKU],Table9[Total PCS per Pallet],,0)</f>
        <v>36</v>
      </c>
      <c r="BF1003" s="430">
        <f>_xlfn.XLOOKUP(PV_DATA[[#This Row],[New Ark SKU]],Table9[New Ark SKU],Table9[Total PCS per 40HQ Container],,0)</f>
        <v>936</v>
      </c>
      <c r="BG1003" s="430" t="str">
        <f>_xlfn.XLOOKUP(PV_DATA[[#This Row],[New Ark SKU]],Table9[New Ark SKU],Table9[Back Glass],,0)</f>
        <v>Black glazing</v>
      </c>
      <c r="BH1003" s="610" t="str">
        <f>_xlfn.XLOOKUP(PV_DATA[[#This Row],[PORT DESTINATION]],Table12[PORT DESTINATION],Table12[Cosco Line],,0)</f>
        <v>AEU</v>
      </c>
      <c r="BJ1003" s="430"/>
    </row>
    <row r="1004" spans="1:62" ht="11.15" customHeight="1">
      <c r="A1004" s="462" t="s">
        <v>6555</v>
      </c>
      <c r="B1004" s="462" t="s">
        <v>1757</v>
      </c>
      <c r="C1004" s="462" t="str">
        <f>IFERROR(LEFT(PV_DATA[[#This Row],[TCL REFERENCE]],FIND(".",PV_DATA[[#This Row],[TCL REFERENCE]],1)-1),"Main Line")</f>
        <v>26Aug007</v>
      </c>
      <c r="D1004" s="462" t="s">
        <v>63</v>
      </c>
      <c r="E1004" s="462" t="s">
        <v>144</v>
      </c>
      <c r="F1004" s="945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4" s="945" t="s">
        <v>402</v>
      </c>
      <c r="H1004" s="462" t="s">
        <v>6200</v>
      </c>
      <c r="I1004" s="462" t="s">
        <v>689</v>
      </c>
      <c r="J1004" s="430" t="s">
        <v>6200</v>
      </c>
      <c r="K1004" s="430" t="s">
        <v>6224</v>
      </c>
      <c r="L1004" s="430">
        <v>8</v>
      </c>
      <c r="M1004" s="430" t="s">
        <v>840</v>
      </c>
      <c r="N1004" s="432" t="s">
        <v>6202</v>
      </c>
      <c r="O1004" s="430" t="s">
        <v>284</v>
      </c>
      <c r="P1004" s="430" t="s">
        <v>5851</v>
      </c>
      <c r="Q1004" s="430" t="s">
        <v>5852</v>
      </c>
      <c r="R1004" s="430" t="str">
        <f>_xlfn.XLOOKUP(PV_DATA[[#This Row],[New Ark SKU]],Table9[New Ark SKU],Table9[Connector],,0)</f>
        <v>EVO2A</v>
      </c>
      <c r="S1004" s="433" t="str">
        <f>_xlfn.XLOOKUP(PV_DATA[[#This Row],[New Ark SKU]],Table9[New Ark SKU],Table9[Cable],,0)</f>
        <v>±1200mm</v>
      </c>
      <c r="T1004" s="433">
        <v>485</v>
      </c>
      <c r="U1004" s="1088">
        <v>1872</v>
      </c>
      <c r="V1004" s="434">
        <f>PV_DATA[[#This Row],[QUANTITY]]*PV_DATA[[#This Row],[WATT]]/1000000</f>
        <v>0.90791999999999995</v>
      </c>
      <c r="W1004" s="981">
        <f>PV_DATA[[#This Row],[QUANTITY]]/36</f>
        <v>52</v>
      </c>
      <c r="X1004" s="1040">
        <f>PV_DATA[[#This Row],[QUANTITY]]/PV_DATA[[#This Row],[Qty/CT]]</f>
        <v>2</v>
      </c>
      <c r="Y1004" s="430" t="s">
        <v>2465</v>
      </c>
      <c r="Z1004" s="430" t="str">
        <f t="shared" si="15"/>
        <v>IN-TRANSIT</v>
      </c>
      <c r="AA1004" s="545">
        <v>46255</v>
      </c>
      <c r="AB1004" s="437">
        <v>46265</v>
      </c>
      <c r="AC1004" s="485">
        <f>IF(PV_DATA[[#This Row],[Pick- Up Date]]&lt;&gt;"",_xlfn.ISOWEEKNUM(PV_DATA[[#This Row],[Pick- Up Date]]),"")</f>
        <v>36</v>
      </c>
      <c r="AD1004" s="430" t="s">
        <v>6556</v>
      </c>
      <c r="AE1004" s="430"/>
      <c r="AF1004" s="430" t="s">
        <v>1525</v>
      </c>
      <c r="AG1004" s="430" t="s">
        <v>5994</v>
      </c>
      <c r="AH1004" s="430" t="s">
        <v>456</v>
      </c>
      <c r="AI1004" s="437">
        <v>46267</v>
      </c>
      <c r="AJ1004" s="437">
        <v>46273</v>
      </c>
      <c r="AK1004" s="437">
        <v>46273</v>
      </c>
      <c r="AL1004" s="437">
        <v>46309</v>
      </c>
      <c r="AM1004" s="437">
        <v>46311</v>
      </c>
      <c r="AN1004" s="588"/>
      <c r="AP1004" s="430" t="s">
        <v>6557</v>
      </c>
      <c r="AQ1004" s="438" t="s">
        <v>6558</v>
      </c>
      <c r="AR1004" s="430" t="s">
        <v>6559</v>
      </c>
      <c r="AS1004" s="430" t="s">
        <v>6560</v>
      </c>
      <c r="AT1004" s="430" t="s">
        <v>6560</v>
      </c>
      <c r="AU10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04" s="437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00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4" s="437">
        <f>IF(ISERROR(PV_DATA[[#This Row],[New Ark PO status]]),"",_xlfn.XLOOKUP(PV_DATA[[#This Row],[SPTN-PVHK New Ark PO'#]],New_Ark_Data[Purchase order Number],New_Ark_Data[Estimated time of arrival],"",0))</f>
        <v>46309</v>
      </c>
      <c r="AZ100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4" s="437">
        <f>IFERROR(PV_DATA[[#This Row],[ODP ETA Port]]+PV_DATA[[#This Row],[Customs/Leg3 Assumption]],"n/a")</f>
        <v>46311</v>
      </c>
      <c r="BB1004" s="433">
        <f>YEAR(PV_DATA[[#This Row],[ETA for New Ark update]])</f>
        <v>2026</v>
      </c>
      <c r="BC1004" s="430">
        <f>MONTH(PV_DATA[[#This Row],[ETA for New Ark update]])</f>
        <v>10</v>
      </c>
      <c r="BD1004" s="430">
        <f>IFERROR(_xlfn.ISOWEEKNUM(PV_DATA[[#This Row],[ETA for New Ark update]]),0)</f>
        <v>42</v>
      </c>
      <c r="BE1004" s="430">
        <f>_xlfn.XLOOKUP(PV_DATA[[#This Row],[New Ark SKU]],Table9[New Ark SKU],Table9[Total PCS per Pallet],,0)</f>
        <v>36</v>
      </c>
      <c r="BF1004" s="430">
        <f>_xlfn.XLOOKUP(PV_DATA[[#This Row],[New Ark SKU]],Table9[New Ark SKU],Table9[Total PCS per 40HQ Container],,0)</f>
        <v>936</v>
      </c>
      <c r="BG1004" s="430" t="str">
        <f>_xlfn.XLOOKUP(PV_DATA[[#This Row],[New Ark SKU]],Table9[New Ark SKU],Table9[Back Glass],,0)</f>
        <v>Black glazing</v>
      </c>
      <c r="BH1004" s="610" t="str">
        <f>_xlfn.XLOOKUP(PV_DATA[[#This Row],[PORT DESTINATION]],Table12[PORT DESTINATION],Table12[Cosco Line],,0)</f>
        <v>AEU</v>
      </c>
      <c r="BJ1004" s="430"/>
    </row>
    <row r="1005" spans="1:62" ht="10.5">
      <c r="A1005" s="951" t="s">
        <v>6561</v>
      </c>
      <c r="B1005" s="945" t="s">
        <v>1757</v>
      </c>
      <c r="C1005" s="462" t="str">
        <f>IFERROR(LEFT(PV_DATA[[#This Row],[TCL REFERENCE]],FIND(".",PV_DATA[[#This Row],[TCL REFERENCE]],1)-1),"Main Line")</f>
        <v>26Aug008</v>
      </c>
      <c r="D1005" s="945" t="s">
        <v>63</v>
      </c>
      <c r="E1005" s="945" t="s">
        <v>64</v>
      </c>
      <c r="F1005" s="462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5" s="945" t="s">
        <v>402</v>
      </c>
      <c r="H1005" s="462" t="s">
        <v>451</v>
      </c>
      <c r="I1005" s="462" t="s">
        <v>1395</v>
      </c>
      <c r="J1005" s="623" t="s">
        <v>6329</v>
      </c>
      <c r="K1005" s="430"/>
      <c r="L1005" s="432"/>
      <c r="M1005" s="430" t="s">
        <v>68</v>
      </c>
      <c r="N1005" s="432" t="s">
        <v>6202</v>
      </c>
      <c r="O1005" s="623" t="s">
        <v>284</v>
      </c>
      <c r="P1005" s="623" t="s">
        <v>6209</v>
      </c>
      <c r="Q1005" s="623" t="s">
        <v>6210</v>
      </c>
      <c r="R1005" s="430" t="str">
        <f>_xlfn.XLOOKUP(PV_DATA[[#This Row],[New Ark SKU]],Table9[New Ark SKU],Table9[Connector],,0)</f>
        <v>EVO2A</v>
      </c>
      <c r="S1005" s="433" t="str">
        <f>_xlfn.XLOOKUP(PV_DATA[[#This Row],[New Ark SKU]],Table9[New Ark SKU],Table9[Cable],,0)</f>
        <v>±1200mm</v>
      </c>
      <c r="T1005" s="976">
        <v>490</v>
      </c>
      <c r="U1005" s="1100">
        <v>2808</v>
      </c>
      <c r="V1005" s="977">
        <f>PV_DATA[[#This Row],[QUANTITY]]*PV_DATA[[#This Row],[WATT]]/1000000</f>
        <v>1.37592</v>
      </c>
      <c r="W1005" s="981">
        <f>PV_DATA[[#This Row],[QUANTITY]]/36</f>
        <v>78</v>
      </c>
      <c r="X1005" s="1040">
        <f>PV_DATA[[#This Row],[QUANTITY]]/PV_DATA[[#This Row],[Qty/CT]]</f>
        <v>3</v>
      </c>
      <c r="Y1005" s="430" t="s">
        <v>2464</v>
      </c>
      <c r="Z1005" s="430" t="str">
        <f t="shared" si="15"/>
        <v>IN-TRANSIT</v>
      </c>
      <c r="AA1005" s="1077" t="s">
        <v>5853</v>
      </c>
      <c r="AB1005" s="437">
        <v>46264</v>
      </c>
      <c r="AC1005" s="485">
        <f>IF(PV_DATA[[#This Row],[Pick- Up Date]]&lt;&gt;"",_xlfn.ISOWEEKNUM(PV_DATA[[#This Row],[Pick- Up Date]]),"")</f>
        <v>35</v>
      </c>
      <c r="AD1005" s="430" t="s">
        <v>6562</v>
      </c>
      <c r="AE1005" s="430"/>
      <c r="AF1005" s="430" t="s">
        <v>1525</v>
      </c>
      <c r="AG1005" s="430" t="s">
        <v>5994</v>
      </c>
      <c r="AH1005" s="430" t="s">
        <v>456</v>
      </c>
      <c r="AI1005" s="437">
        <v>46269</v>
      </c>
      <c r="AJ1005" s="437">
        <f>IFERROR(VLOOKUP(AT1005, Vessel!A:D, 4, FALSE), "")</f>
        <v>46269.041666666664</v>
      </c>
      <c r="AK1005" s="437">
        <f>IFERROR(IF(VLOOKUP(AT1005,Vessel!A:F,5,FALSE)=0,"",VLOOKUP(AT1005,Vessel!A:F,5,FALSE)),"")</f>
        <v>46269.101157407407</v>
      </c>
      <c r="AL1005" s="437">
        <v>46306</v>
      </c>
      <c r="AM1005" s="949">
        <f>IFERROR(VLOOKUP(AT1005, Vessel!A:H, 8, FALSE), "")</f>
        <v>46310.041666666664</v>
      </c>
      <c r="AN1005" s="949" t="str">
        <f>IFERROR(IF(VLOOKUP(AT1005,Vessel!A:I,9,FALSE)=0,"",VLOOKUP(AT1005,Vessel!A:I,9,FALSE)),"")</f>
        <v/>
      </c>
      <c r="AO1005" s="438"/>
      <c r="AP1005" s="430" t="s">
        <v>6563</v>
      </c>
      <c r="AQ1005" s="430" t="s">
        <v>80</v>
      </c>
      <c r="AR1005" s="430" t="s">
        <v>6564</v>
      </c>
      <c r="AS1005" s="430" t="s">
        <v>6565</v>
      </c>
      <c r="AT1005" s="430" t="s">
        <v>6565</v>
      </c>
      <c r="AU10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40.940509259256942</v>
      </c>
      <c r="AV1005" s="433"/>
      <c r="AW1005" s="437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46310.041666666664</v>
      </c>
      <c r="AX100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5" s="437">
        <f>IF(ISERROR(PV_DATA[[#This Row],[New Ark PO status]]),"",_xlfn.XLOOKUP(PV_DATA[[#This Row],[SPTN-PVHK New Ark PO'#]],New_Ark_Data[Purchase order Number],New_Ark_Data[Estimated time of arrival],"",0))</f>
        <v>46314</v>
      </c>
      <c r="AZ100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5" s="437">
        <f>IFERROR(PV_DATA[[#This Row],[ODP ETA Port]]+PV_DATA[[#This Row],[Customs/Leg3 Assumption]],"n/a")</f>
        <v>46317.041666666664</v>
      </c>
      <c r="BB1005" s="433">
        <f>YEAR(PV_DATA[[#This Row],[ETA for New Ark update]])</f>
        <v>2026</v>
      </c>
      <c r="BC1005" s="430">
        <f>MONTH(PV_DATA[[#This Row],[ETA for New Ark update]])</f>
        <v>10</v>
      </c>
      <c r="BD1005" s="430">
        <f>IFERROR(_xlfn.ISOWEEKNUM(PV_DATA[[#This Row],[ETA for New Ark update]]),0)</f>
        <v>43</v>
      </c>
      <c r="BE1005" s="430">
        <f>_xlfn.XLOOKUP(PV_DATA[[#This Row],[New Ark SKU]],Table9[New Ark SKU],Table9[Total PCS per Pallet],,0)</f>
        <v>36</v>
      </c>
      <c r="BF1005" s="430">
        <f>_xlfn.XLOOKUP(PV_DATA[[#This Row],[New Ark SKU]],Table9[New Ark SKU],Table9[Total PCS per 40HQ Container],,0)</f>
        <v>936</v>
      </c>
      <c r="BG1005" s="430" t="str">
        <f>_xlfn.XLOOKUP(PV_DATA[[#This Row],[New Ark SKU]],Table9[New Ark SKU],Table9[Back Glass],,0)</f>
        <v>Black glazing</v>
      </c>
      <c r="BH1005" s="610" t="str">
        <f>_xlfn.XLOOKUP(PV_DATA[[#This Row],[PORT DESTINATION]],Table12[PORT DESTINATION],Table12[Cosco Line],,0)</f>
        <v>AEU</v>
      </c>
      <c r="BJ1005" s="430"/>
    </row>
    <row r="1006" spans="1:62" ht="10.5">
      <c r="A1006" s="462" t="s">
        <v>6566</v>
      </c>
      <c r="B1006" s="462" t="s">
        <v>1757</v>
      </c>
      <c r="C1006" s="462" t="str">
        <f>IFERROR(LEFT(PV_DATA[[#This Row],[TCL REFERENCE]],FIND(".",PV_DATA[[#This Row],[TCL REFERENCE]],1)-1),"Main Line")</f>
        <v>26Jul007</v>
      </c>
      <c r="D1006" s="462" t="s">
        <v>63</v>
      </c>
      <c r="E1006" s="462" t="s">
        <v>64</v>
      </c>
      <c r="F1006" s="462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6" s="462" t="s">
        <v>402</v>
      </c>
      <c r="H1006" s="462" t="s">
        <v>67</v>
      </c>
      <c r="I1006" s="462" t="s">
        <v>689</v>
      </c>
      <c r="J1006" s="430" t="s">
        <v>96</v>
      </c>
      <c r="K1006" s="462"/>
      <c r="L1006" s="430"/>
      <c r="M1006" s="430" t="s">
        <v>6315</v>
      </c>
      <c r="N1006" s="432">
        <v>46209</v>
      </c>
      <c r="O1006" s="430" t="s">
        <v>4531</v>
      </c>
      <c r="P1006" s="430" t="s">
        <v>71</v>
      </c>
      <c r="Q1006" s="430" t="s">
        <v>72</v>
      </c>
      <c r="R1006" s="430" t="str">
        <f>_xlfn.XLOOKUP(PV_DATA[[#This Row],[New Ark SKU]],Table9[New Ark SKU],Table9[Connector],,0)</f>
        <v>EVO2A</v>
      </c>
      <c r="S1006" s="433" t="str">
        <f>_xlfn.XLOOKUP(PV_DATA[[#This Row],[New Ark SKU]],Table9[New Ark SKU],Table9[Cable],,0)</f>
        <v>±1200mm</v>
      </c>
      <c r="T1006" s="433">
        <v>500</v>
      </c>
      <c r="U1006" s="1088">
        <v>864</v>
      </c>
      <c r="V1006" s="434">
        <f>PV_DATA[[#This Row],[QUANTITY]]*PV_DATA[[#This Row],[WATT]]/1000000</f>
        <v>0.432</v>
      </c>
      <c r="W1006" s="435">
        <f>PV_DATA[[#This Row],[QUANTITY]]/PV_DATA[[#This Row],[Qty/Pallet]]</f>
        <v>24</v>
      </c>
      <c r="X1006" s="1040">
        <f>PV_DATA[[#This Row],[QUANTITY]]/PV_DATA[[#This Row],[Qty/CT]]</f>
        <v>1</v>
      </c>
      <c r="Y1006" s="430" t="s">
        <v>2464</v>
      </c>
      <c r="Z1006" s="430" t="str">
        <f t="shared" si="15"/>
        <v>IN-TRANSIT</v>
      </c>
      <c r="AA1006" s="1077" t="s">
        <v>5853</v>
      </c>
      <c r="AB1006" s="437">
        <v>46264</v>
      </c>
      <c r="AC1006" s="485">
        <f>IF(PV_DATA[[#This Row],[Pick- Up Date]]&lt;&gt;"",_xlfn.ISOWEEKNUM(PV_DATA[[#This Row],[Pick- Up Date]]),"")</f>
        <v>35</v>
      </c>
      <c r="AD1006" s="430" t="s">
        <v>6567</v>
      </c>
      <c r="AE1006" s="430"/>
      <c r="AF1006" s="459" t="s">
        <v>1525</v>
      </c>
      <c r="AG1006" s="459" t="s">
        <v>1525</v>
      </c>
      <c r="AH1006" s="430" t="s">
        <v>78</v>
      </c>
      <c r="AI1006" s="437">
        <v>46268</v>
      </c>
      <c r="AJ1006" s="437">
        <v>46268</v>
      </c>
      <c r="AK1006" s="437">
        <f>IFERROR(IF(VLOOKUP(AT1006,Vessel!A:F,5,FALSE)=0,"",VLOOKUP(AT1006,Vessel!A:F,5,FALSE)),"")</f>
        <v>46268.365231481483</v>
      </c>
      <c r="AL1006" s="437">
        <v>46316</v>
      </c>
      <c r="AM1006" s="949">
        <f>IFERROR(VLOOKUP(AT1006, Vessel!A:H, 8, FALSE), "")</f>
        <v>46309.25</v>
      </c>
      <c r="AN1006" s="949" t="str">
        <f>IFERROR(IF(VLOOKUP(AT1006,Vessel!A:I,9,FALSE)=0,"",VLOOKUP(AT1006,Vessel!A:I,9,FALSE)),"")</f>
        <v/>
      </c>
      <c r="AP1006" s="430" t="s">
        <v>6568</v>
      </c>
      <c r="AQ1006" s="430" t="s">
        <v>80</v>
      </c>
      <c r="AR1006" s="430" t="s">
        <v>6569</v>
      </c>
      <c r="AS1006" s="430" t="s">
        <v>6570</v>
      </c>
      <c r="AT1006" s="430" t="s">
        <v>6570</v>
      </c>
      <c r="AU10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40.884768518517376</v>
      </c>
      <c r="AW1006" s="437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46309.25</v>
      </c>
      <c r="AX100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6" s="437">
        <f>IF(ISERROR(PV_DATA[[#This Row],[New Ark PO status]]),"",_xlfn.XLOOKUP(PV_DATA[[#This Row],[SPTN-PVHK New Ark PO'#]],New_Ark_Data[Purchase order Number],New_Ark_Data[Estimated time of arrival],"",0))</f>
        <v>46317</v>
      </c>
      <c r="AZ100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6" s="437">
        <f>IFERROR(PV_DATA[[#This Row],[ODP ETA Port]]+PV_DATA[[#This Row],[Customs/Leg3 Assumption]],"n/a")</f>
        <v>46317.25</v>
      </c>
      <c r="BB1006" s="433">
        <f>YEAR(PV_DATA[[#This Row],[ETA for New Ark update]])</f>
        <v>2026</v>
      </c>
      <c r="BC1006" s="430">
        <f>MONTH(PV_DATA[[#This Row],[ETA for New Ark update]])</f>
        <v>10</v>
      </c>
      <c r="BD1006" s="430">
        <f>IFERROR(_xlfn.ISOWEEKNUM(PV_DATA[[#This Row],[ETA for New Ark update]]),0)</f>
        <v>43</v>
      </c>
      <c r="BE1006" s="430">
        <f>_xlfn.XLOOKUP(PV_DATA[[#This Row],[New Ark SKU]],Table9[New Ark SKU],Table9[Total PCS per Pallet],,0)</f>
        <v>36</v>
      </c>
      <c r="BF1006" s="430">
        <f>_xlfn.XLOOKUP(PV_DATA[[#This Row],[New Ark SKU]],Table9[New Ark SKU],Table9[Total PCS per 40HQ Container],,0)</f>
        <v>864</v>
      </c>
      <c r="BG1006" s="430" t="str">
        <f>_xlfn.XLOOKUP(PV_DATA[[#This Row],[New Ark SKU]],Table9[New Ark SKU],Table9[Back Glass],,0)</f>
        <v>Black glazing</v>
      </c>
      <c r="BH1006" s="430" t="str">
        <f>_xlfn.XLOOKUP(PV_DATA[[#This Row],[PORT DESTINATION]],Table12[PORT DESTINATION],Table12[Cosco Line],,0)</f>
        <v>AEM</v>
      </c>
      <c r="BJ1006" s="430"/>
    </row>
    <row r="1007" spans="1:62" ht="10.5">
      <c r="A1007" s="729" t="s">
        <v>6571</v>
      </c>
      <c r="B1007" s="462" t="s">
        <v>61</v>
      </c>
      <c r="C1007" s="462" t="str">
        <f>IFERROR(LEFT(PV_DATA[[#This Row],[TCL REFERENCE]],FIND(".",PV_DATA[[#This Row],[TCL REFERENCE]],1)-1),"Main Line")</f>
        <v>26Aug003</v>
      </c>
      <c r="D1007" s="462" t="s">
        <v>63</v>
      </c>
      <c r="E1007" s="462" t="s">
        <v>64</v>
      </c>
      <c r="F1007" s="462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7" s="462" t="s">
        <v>402</v>
      </c>
      <c r="H1007" s="462" t="s">
        <v>67</v>
      </c>
      <c r="I1007" s="462" t="s">
        <v>6415</v>
      </c>
      <c r="J1007" s="430" t="s">
        <v>96</v>
      </c>
      <c r="K1007" s="462"/>
      <c r="L1007" s="430"/>
      <c r="M1007" s="430" t="s">
        <v>6315</v>
      </c>
      <c r="N1007" s="432">
        <v>46237</v>
      </c>
      <c r="O1007" s="430" t="s">
        <v>4531</v>
      </c>
      <c r="P1007" s="430" t="s">
        <v>71</v>
      </c>
      <c r="Q1007" s="430" t="s">
        <v>72</v>
      </c>
      <c r="R1007" s="430" t="str">
        <f>_xlfn.XLOOKUP(PV_DATA[[#This Row],[New Ark SKU]],Table9[New Ark SKU],Table9[Connector],,0)</f>
        <v>EVO2A</v>
      </c>
      <c r="S1007" s="433" t="str">
        <f>_xlfn.XLOOKUP(PV_DATA[[#This Row],[New Ark SKU]],Table9[New Ark SKU],Table9[Cable],,0)</f>
        <v>±1200mm</v>
      </c>
      <c r="T1007" s="433">
        <v>500</v>
      </c>
      <c r="U1007" s="1088">
        <v>4320</v>
      </c>
      <c r="V1007" s="434">
        <f>PV_DATA[[#This Row],[QUANTITY]]*PV_DATA[[#This Row],[WATT]]/1000000</f>
        <v>2.16</v>
      </c>
      <c r="W1007" s="435">
        <f>PV_DATA[[#This Row],[QUANTITY]]/PV_DATA[[#This Row],[Qty/Pallet]]</f>
        <v>120</v>
      </c>
      <c r="X1007" s="1040">
        <f>PV_DATA[[#This Row],[QUANTITY]]/PV_DATA[[#This Row],[Qty/CT]]</f>
        <v>5</v>
      </c>
      <c r="Y1007" s="430" t="s">
        <v>2463</v>
      </c>
      <c r="Z1007" s="430"/>
      <c r="AA1007" s="430" t="s">
        <v>5853</v>
      </c>
      <c r="AB1007" s="543">
        <v>46262</v>
      </c>
      <c r="AC1007" s="485">
        <f>IF(PV_DATA[[#This Row],[Pick- Up Date]]&lt;&gt;"",_xlfn.ISOWEEKNUM(PV_DATA[[#This Row],[Pick- Up Date]]),"")</f>
        <v>35</v>
      </c>
      <c r="AD1007" s="430" t="s">
        <v>6572</v>
      </c>
      <c r="AE1007" s="430"/>
      <c r="AF1007" s="459" t="s">
        <v>61</v>
      </c>
      <c r="AG1007" s="459" t="s">
        <v>61</v>
      </c>
      <c r="AH1007" s="430" t="s">
        <v>105</v>
      </c>
      <c r="AI1007" s="1076">
        <v>46268</v>
      </c>
      <c r="AJ1007" s="437">
        <f>IFERROR(VLOOKUP(AT1007, Vessel!A:D, 4, FALSE), "")</f>
        <v>46269.833333333336</v>
      </c>
      <c r="AK1007" s="437">
        <f>IFERROR(IF(VLOOKUP(AT1007,Vessel!A:F,5,FALSE)=0,"",VLOOKUP(AT1007,Vessel!A:F,5,FALSE)),"")</f>
        <v>46269.854108796295</v>
      </c>
      <c r="AL1007" s="978">
        <v>46313</v>
      </c>
      <c r="AM1007" s="949">
        <f>IFERROR(VLOOKUP(AT1007, Vessel!A:H, 8, FALSE), "")</f>
        <v>46317.625</v>
      </c>
      <c r="AN1007" s="949" t="str">
        <f>IFERROR(IF(VLOOKUP(AT1007,Vessel!A:I,9,FALSE)=0,"",VLOOKUP(AT1007,Vessel!A:I,9,FALSE)),"")</f>
        <v/>
      </c>
      <c r="AO1007" s="462" t="s">
        <v>402</v>
      </c>
      <c r="AP1007" s="430" t="s">
        <v>6573</v>
      </c>
      <c r="AQ1007" s="430" t="s">
        <v>80</v>
      </c>
      <c r="AR1007" s="430" t="s">
        <v>6574</v>
      </c>
      <c r="AS1007" s="430" t="s">
        <v>6575</v>
      </c>
      <c r="AT1007" s="430" t="s">
        <v>6575</v>
      </c>
      <c r="AU10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47.770891203705105</v>
      </c>
      <c r="AW1007" s="437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0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7" s="437">
        <f>IF(ISERROR(PV_DATA[[#This Row],[New Ark PO status]]),"",_xlfn.XLOOKUP(PV_DATA[[#This Row],[SPTN-PVHK New Ark PO'#]],New_Ark_Data[Purchase order Number],New_Ark_Data[Estimated time of arrival],"",0))</f>
        <v>46321</v>
      </c>
      <c r="AZ100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7" s="437">
        <f>IFERROR(PV_DATA[[#This Row],[ODP ETA Port]]+PV_DATA[[#This Row],[Customs/Leg3 Assumption]],"n/a")</f>
        <v>46324.625</v>
      </c>
      <c r="BB1007" s="433">
        <f>YEAR(PV_DATA[[#This Row],[ETA for New Ark update]])</f>
        <v>2026</v>
      </c>
      <c r="BC1007" s="430">
        <f>MONTH(PV_DATA[[#This Row],[ETA for New Ark update]])</f>
        <v>10</v>
      </c>
      <c r="BD1007" s="430">
        <f>IFERROR(_xlfn.ISOWEEKNUM(PV_DATA[[#This Row],[ETA for New Ark update]]),0)</f>
        <v>44</v>
      </c>
      <c r="BE1007" s="430">
        <f>_xlfn.XLOOKUP(PV_DATA[[#This Row],[New Ark SKU]],Table9[New Ark SKU],Table9[Total PCS per Pallet],,0)</f>
        <v>36</v>
      </c>
      <c r="BF1007" s="430">
        <f>_xlfn.XLOOKUP(PV_DATA[[#This Row],[New Ark SKU]],Table9[New Ark SKU],Table9[Total PCS per 40HQ Container],,0)</f>
        <v>864</v>
      </c>
      <c r="BG1007" s="430" t="str">
        <f>_xlfn.XLOOKUP(PV_DATA[[#This Row],[New Ark SKU]],Table9[New Ark SKU],Table9[Back Glass],,0)</f>
        <v>Black glazing</v>
      </c>
      <c r="BH1007" s="610" t="str">
        <f>_xlfn.XLOOKUP(PV_DATA[[#This Row],[PORT DESTINATION]],Table12[PORT DESTINATION],Table12[Cosco Line],,0)</f>
        <v>AEU</v>
      </c>
      <c r="BJ1007" s="430"/>
    </row>
    <row r="1008" spans="1:62" ht="10.5">
      <c r="A1008" s="729" t="s">
        <v>6576</v>
      </c>
      <c r="B1008" s="462" t="s">
        <v>61</v>
      </c>
      <c r="C1008" s="462" t="str">
        <f>IFERROR(LEFT(PV_DATA[[#This Row],[TCL REFERENCE]],FIND(".",PV_DATA[[#This Row],[TCL REFERENCE]],1)-1),"Main Line")</f>
        <v>26Aug004</v>
      </c>
      <c r="D1008" s="462" t="s">
        <v>63</v>
      </c>
      <c r="E1008" s="462" t="s">
        <v>64</v>
      </c>
      <c r="F1008" s="462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8" s="462" t="s">
        <v>402</v>
      </c>
      <c r="H1008" s="462" t="s">
        <v>67</v>
      </c>
      <c r="I1008" s="462" t="s">
        <v>6415</v>
      </c>
      <c r="J1008" s="430" t="s">
        <v>96</v>
      </c>
      <c r="K1008" s="430"/>
      <c r="L1008" s="430"/>
      <c r="M1008" s="430" t="s">
        <v>6315</v>
      </c>
      <c r="N1008" s="432">
        <v>46237</v>
      </c>
      <c r="O1008" s="430" t="s">
        <v>4531</v>
      </c>
      <c r="P1008" s="430" t="s">
        <v>1151</v>
      </c>
      <c r="Q1008" s="430" t="s">
        <v>421</v>
      </c>
      <c r="R1008" s="430" t="str">
        <f>_xlfn.XLOOKUP(PV_DATA[[#This Row],[New Ark SKU]],Table9[New Ark SKU],Table9[Connector],,0)</f>
        <v>EVO2A</v>
      </c>
      <c r="S1008" s="433" t="str">
        <f>_xlfn.XLOOKUP(PV_DATA[[#This Row],[New Ark SKU]],Table9[New Ark SKU],Table9[Cable],,0)</f>
        <v>±1200mm</v>
      </c>
      <c r="T1008" s="433">
        <v>505</v>
      </c>
      <c r="U1008" s="1088">
        <v>2592</v>
      </c>
      <c r="V1008" s="434">
        <f>PV_DATA[[#This Row],[QUANTITY]]*PV_DATA[[#This Row],[WATT]]/1000000</f>
        <v>1.3089599999999999</v>
      </c>
      <c r="W1008" s="435">
        <f>PV_DATA[[#This Row],[QUANTITY]]/PV_DATA[[#This Row],[Qty/Pallet]]</f>
        <v>72</v>
      </c>
      <c r="X1008" s="1040">
        <f>PV_DATA[[#This Row],[QUANTITY]]/PV_DATA[[#This Row],[Qty/CT]]</f>
        <v>3</v>
      </c>
      <c r="Y1008" s="430" t="s">
        <v>2466</v>
      </c>
      <c r="Z1008" s="430" t="str">
        <f t="shared" ref="Z1008:Z1019" si="16">IF(AN1008&lt;&gt;"","COMPLETED",IF(AK1008&lt;&gt;"","IN-TRANSIT",""))</f>
        <v>IN-TRANSIT</v>
      </c>
      <c r="AA1008" s="430" t="s">
        <v>6416</v>
      </c>
      <c r="AB1008" s="543">
        <v>46262</v>
      </c>
      <c r="AC1008" s="485">
        <f>IF(PV_DATA[[#This Row],[Pick- Up Date]]&lt;&gt;"",_xlfn.ISOWEEKNUM(PV_DATA[[#This Row],[Pick- Up Date]]),"")</f>
        <v>35</v>
      </c>
      <c r="AD1008" s="430" t="s">
        <v>6577</v>
      </c>
      <c r="AE1008" s="430"/>
      <c r="AF1008" s="459" t="s">
        <v>61</v>
      </c>
      <c r="AG1008" s="459" t="s">
        <v>61</v>
      </c>
      <c r="AH1008" s="430" t="s">
        <v>105</v>
      </c>
      <c r="AI1008" s="1076">
        <v>46268</v>
      </c>
      <c r="AJ1008" s="437">
        <f>IFERROR(VLOOKUP(AT1008, Vessel!A:D, 4, FALSE), "")</f>
        <v>46269.833333333336</v>
      </c>
      <c r="AK1008" s="437">
        <f>IFERROR(IF(VLOOKUP(AT1008,Vessel!A:F,5,FALSE)=0,"",VLOOKUP(AT1008,Vessel!A:F,5,FALSE)),"")</f>
        <v>46269.854108796295</v>
      </c>
      <c r="AL1008" s="978">
        <v>46313</v>
      </c>
      <c r="AM1008" s="949">
        <f>IFERROR(VLOOKUP(AT1008, Vessel!A:H, 8, FALSE), "")</f>
        <v>46317.625</v>
      </c>
      <c r="AN1008" s="949" t="str">
        <f>IFERROR(IF(VLOOKUP(AT1008,Vessel!A:I,9,FALSE)=0,"",VLOOKUP(AT1008,Vessel!A:I,9,FALSE)),"")</f>
        <v/>
      </c>
      <c r="AO1008" s="462" t="s">
        <v>402</v>
      </c>
      <c r="AP1008" s="430" t="s">
        <v>6573</v>
      </c>
      <c r="AQ1008" s="438" t="s">
        <v>80</v>
      </c>
      <c r="AR1008" s="430" t="s">
        <v>6574</v>
      </c>
      <c r="AS1008" s="430" t="s">
        <v>6575</v>
      </c>
      <c r="AT1008" s="430" t="s">
        <v>6575</v>
      </c>
      <c r="AU10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47.770891203705105</v>
      </c>
      <c r="AW1008" s="437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0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8" s="437">
        <f>IF(ISERROR(PV_DATA[[#This Row],[New Ark PO status]]),"",_xlfn.XLOOKUP(PV_DATA[[#This Row],[SPTN-PVHK New Ark PO'#]],New_Ark_Data[Purchase order Number],New_Ark_Data[Estimated time of arrival],"",0))</f>
        <v>46321</v>
      </c>
      <c r="AZ100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8" s="437">
        <f>IFERROR(PV_DATA[[#This Row],[ODP ETA Port]]+PV_DATA[[#This Row],[Customs/Leg3 Assumption]],"n/a")</f>
        <v>46324.625</v>
      </c>
      <c r="BB1008" s="433">
        <f>YEAR(PV_DATA[[#This Row],[ETA for New Ark update]])</f>
        <v>2026</v>
      </c>
      <c r="BC1008" s="430">
        <f>MONTH(PV_DATA[[#This Row],[ETA for New Ark update]])</f>
        <v>10</v>
      </c>
      <c r="BD1008" s="430">
        <f>IFERROR(_xlfn.ISOWEEKNUM(PV_DATA[[#This Row],[ETA for New Ark update]]),0)</f>
        <v>44</v>
      </c>
      <c r="BE1008" s="430">
        <f>_xlfn.XLOOKUP(PV_DATA[[#This Row],[New Ark SKU]],Table9[New Ark SKU],Table9[Total PCS per Pallet],,0)</f>
        <v>36</v>
      </c>
      <c r="BF1008" s="430">
        <f>_xlfn.XLOOKUP(PV_DATA[[#This Row],[New Ark SKU]],Table9[New Ark SKU],Table9[Total PCS per 40HQ Container],,0)</f>
        <v>864</v>
      </c>
      <c r="BG1008" s="430" t="str">
        <f>_xlfn.XLOOKUP(PV_DATA[[#This Row],[New Ark SKU]],Table9[New Ark SKU],Table9[Back Glass],,0)</f>
        <v>Black glazing</v>
      </c>
      <c r="BH1008" s="610" t="str">
        <f>_xlfn.XLOOKUP(PV_DATA[[#This Row],[PORT DESTINATION]],Table12[PORT DESTINATION],Table12[Cosco Line],,0)</f>
        <v>AEU</v>
      </c>
      <c r="BJ1008" s="430"/>
    </row>
    <row r="1009" spans="1:60" s="430" customFormat="1" ht="10.5">
      <c r="A1009" s="729" t="s">
        <v>6578</v>
      </c>
      <c r="B1009" s="462" t="s">
        <v>61</v>
      </c>
      <c r="C1009" s="462" t="str">
        <f>IFERROR(LEFT(PV_DATA[[#This Row],[TCL REFERENCE]],FIND(".",PV_DATA[[#This Row],[TCL REFERENCE]],1)-1),"Main Line")</f>
        <v>26Aug004</v>
      </c>
      <c r="D1009" s="462" t="s">
        <v>63</v>
      </c>
      <c r="E1009" s="462" t="s">
        <v>144</v>
      </c>
      <c r="F1009" s="462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9" s="462" t="s">
        <v>146</v>
      </c>
      <c r="H1009" s="462" t="s">
        <v>4964</v>
      </c>
      <c r="I1009" s="462" t="s">
        <v>869</v>
      </c>
      <c r="J1009" s="462" t="s">
        <v>4964</v>
      </c>
      <c r="K1009" s="430" t="s">
        <v>6340</v>
      </c>
      <c r="L1009" s="430">
        <v>3</v>
      </c>
      <c r="M1009" s="430" t="s">
        <v>6275</v>
      </c>
      <c r="N1009" s="432">
        <v>46237</v>
      </c>
      <c r="O1009" s="430" t="s">
        <v>4531</v>
      </c>
      <c r="P1009" s="430" t="s">
        <v>1151</v>
      </c>
      <c r="Q1009" s="430" t="s">
        <v>421</v>
      </c>
      <c r="R1009" s="430" t="str">
        <f>_xlfn.XLOOKUP(PV_DATA[[#This Row],[New Ark SKU]],Table9[New Ark SKU],Table9[Connector],,0)</f>
        <v>EVO2A</v>
      </c>
      <c r="S1009" s="433" t="str">
        <f>_xlfn.XLOOKUP(PV_DATA[[#This Row],[New Ark SKU]],Table9[New Ark SKU],Table9[Cable],,0)</f>
        <v>±1200mm</v>
      </c>
      <c r="T1009" s="433">
        <v>505</v>
      </c>
      <c r="U1009" s="1088">
        <f>864*2</f>
        <v>1728</v>
      </c>
      <c r="V1009" s="434">
        <f>PV_DATA[[#This Row],[QUANTITY]]*PV_DATA[[#This Row],[WATT]]/1000000</f>
        <v>0.87263999999999997</v>
      </c>
      <c r="W1009" s="435">
        <f>PV_DATA[[#This Row],[QUANTITY]]/PV_DATA[[#This Row],[Qty/Pallet]]</f>
        <v>48</v>
      </c>
      <c r="X1009" s="1040">
        <f>PV_DATA[[#This Row],[QUANTITY]]/PV_DATA[[#This Row],[Qty/CT]]</f>
        <v>2</v>
      </c>
      <c r="Y1009" s="430" t="s">
        <v>2466</v>
      </c>
      <c r="Z1009" s="430" t="str">
        <f t="shared" si="16"/>
        <v>IN-TRANSIT</v>
      </c>
      <c r="AA1009" s="430" t="s">
        <v>6416</v>
      </c>
      <c r="AB1009" s="543">
        <v>46261</v>
      </c>
      <c r="AC1009" s="485">
        <f>IF(PV_DATA[[#This Row],[Pick- Up Date]]&lt;&gt;"",_xlfn.ISOWEEKNUM(PV_DATA[[#This Row],[Pick- Up Date]]),"")</f>
        <v>35</v>
      </c>
      <c r="AD1009" s="430" t="s">
        <v>6579</v>
      </c>
      <c r="AF1009" s="459" t="s">
        <v>61</v>
      </c>
      <c r="AG1009" s="459" t="s">
        <v>61</v>
      </c>
      <c r="AH1009" s="430" t="s">
        <v>78</v>
      </c>
      <c r="AI1009" s="713">
        <v>46268</v>
      </c>
      <c r="AJ1009" s="437">
        <f>IFERROR(VLOOKUP(AT1009, Vessel!A:D, 4, FALSE), "")</f>
        <v>46269.833333333336</v>
      </c>
      <c r="AK1009" s="437">
        <f>IFERROR(IF(VLOOKUP(AT1009,Vessel!A:F,5,FALSE)=0,"",VLOOKUP(AT1009,Vessel!A:F,5,FALSE)),"")</f>
        <v>46269.854108796295</v>
      </c>
      <c r="AL1009" s="978">
        <v>46323</v>
      </c>
      <c r="AM1009" s="949">
        <f>IFERROR(VLOOKUP(AT1009, Vessel!A:H, 8, FALSE), "")</f>
        <v>46323.25</v>
      </c>
      <c r="AN1009" s="949" t="str">
        <f>IFERROR(IF(VLOOKUP(AT1009,Vessel!A:I,9,FALSE)=0,"",VLOOKUP(AT1009,Vessel!A:I,9,FALSE)),"")</f>
        <v/>
      </c>
      <c r="AO1009" s="462" t="s">
        <v>402</v>
      </c>
      <c r="AP1009" s="430" t="s">
        <v>6573</v>
      </c>
      <c r="AQ1009" s="438" t="s">
        <v>80</v>
      </c>
      <c r="AR1009" s="430" t="s">
        <v>6580</v>
      </c>
      <c r="AS1009" s="430" t="s">
        <v>6581</v>
      </c>
      <c r="AT1009" s="430" t="s">
        <v>6581</v>
      </c>
      <c r="AU10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53.395891203705105</v>
      </c>
      <c r="AW1009" s="437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0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9" s="437">
        <f>IF(ISERROR(PV_DATA[[#This Row],[New Ark PO status]]),"",_xlfn.XLOOKUP(PV_DATA[[#This Row],[SPTN-PVHK New Ark PO'#]],New_Ark_Data[Purchase order Number],New_Ark_Data[Estimated time of arrival],"",0))</f>
        <v>46323</v>
      </c>
      <c r="AZ100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9" s="437">
        <f>IFERROR(PV_DATA[[#This Row],[ODP ETA Port]]+PV_DATA[[#This Row],[Customs/Leg3 Assumption]],"n/a")</f>
        <v>46323.25</v>
      </c>
      <c r="BB1009" s="433">
        <f>YEAR(PV_DATA[[#This Row],[ETA for New Ark update]])</f>
        <v>2026</v>
      </c>
      <c r="BC1009" s="430">
        <f>MONTH(PV_DATA[[#This Row],[ETA for New Ark update]])</f>
        <v>10</v>
      </c>
      <c r="BD1009" s="430">
        <f>IFERROR(_xlfn.ISOWEEKNUM(PV_DATA[[#This Row],[ETA for New Ark update]]),0)</f>
        <v>44</v>
      </c>
      <c r="BE1009" s="430">
        <f>_xlfn.XLOOKUP(PV_DATA[[#This Row],[New Ark SKU]],Table9[New Ark SKU],Table9[Total PCS per Pallet],,0)</f>
        <v>36</v>
      </c>
      <c r="BF1009" s="430">
        <f>_xlfn.XLOOKUP(PV_DATA[[#This Row],[New Ark SKU]],Table9[New Ark SKU],Table9[Total PCS per 40HQ Container],,0)</f>
        <v>864</v>
      </c>
      <c r="BG1009" s="430" t="str">
        <f>_xlfn.XLOOKUP(PV_DATA[[#This Row],[New Ark SKU]],Table9[New Ark SKU],Table9[Back Glass],,0)</f>
        <v>Black glazing</v>
      </c>
      <c r="BH1009" s="610" t="str">
        <f>_xlfn.XLOOKUP(PV_DATA[[#This Row],[PORT DESTINATION]],Table12[PORT DESTINATION],Table12[Cosco Line],,0)</f>
        <v>AEM</v>
      </c>
    </row>
    <row r="1010" spans="1:60" s="430" customFormat="1" ht="10.5">
      <c r="A1010" s="729" t="s">
        <v>6582</v>
      </c>
      <c r="B1010" s="462" t="s">
        <v>61</v>
      </c>
      <c r="C1010" s="462" t="str">
        <f>IFERROR(LEFT(PV_DATA[[#This Row],[TCL REFERENCE]],FIND(".",PV_DATA[[#This Row],[TCL REFERENCE]],1)-1),"Main Line")</f>
        <v>26Aug006</v>
      </c>
      <c r="D1010" s="462" t="s">
        <v>63</v>
      </c>
      <c r="E1010" s="462" t="s">
        <v>64</v>
      </c>
      <c r="F1010" s="462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0" s="462" t="s">
        <v>402</v>
      </c>
      <c r="H1010" s="462" t="s">
        <v>67</v>
      </c>
      <c r="I1010" s="462" t="s">
        <v>882</v>
      </c>
      <c r="J1010" s="430" t="s">
        <v>96</v>
      </c>
      <c r="M1010" s="430" t="s">
        <v>6315</v>
      </c>
      <c r="N1010" s="432">
        <v>46258</v>
      </c>
      <c r="O1010" s="430" t="s">
        <v>4531</v>
      </c>
      <c r="P1010" s="430" t="s">
        <v>691</v>
      </c>
      <c r="Q1010" s="430" t="s">
        <v>692</v>
      </c>
      <c r="R1010" s="430" t="str">
        <f>_xlfn.XLOOKUP(PV_DATA[[#This Row],[New Ark SKU]],Table9[New Ark SKU],Table9[Connector],,0)</f>
        <v>EVO2A</v>
      </c>
      <c r="S1010" s="433" t="str">
        <f>_xlfn.XLOOKUP(PV_DATA[[#This Row],[New Ark SKU]],Table9[New Ark SKU],Table9[Cable],,0)</f>
        <v>±1200mm</v>
      </c>
      <c r="T1010" s="433">
        <v>505</v>
      </c>
      <c r="U1010" s="1088">
        <f>864*4</f>
        <v>3456</v>
      </c>
      <c r="V1010" s="434">
        <f>PV_DATA[[#This Row],[QUANTITY]]*PV_DATA[[#This Row],[WATT]]/1000000</f>
        <v>1.7452799999999999</v>
      </c>
      <c r="W1010" s="435">
        <f>PV_DATA[[#This Row],[QUANTITY]]/PV_DATA[[#This Row],[Qty/Pallet]]</f>
        <v>96</v>
      </c>
      <c r="X1010" s="1040">
        <f>PV_DATA[[#This Row],[QUANTITY]]/PV_DATA[[#This Row],[Qty/CT]]</f>
        <v>4</v>
      </c>
      <c r="Y1010" s="430" t="s">
        <v>2465</v>
      </c>
      <c r="Z1010" s="430" t="str">
        <f t="shared" si="16"/>
        <v>IN-TRANSIT</v>
      </c>
      <c r="AA1010" s="430" t="s">
        <v>6583</v>
      </c>
      <c r="AB1010" s="543">
        <v>46262</v>
      </c>
      <c r="AC1010" s="485">
        <f>IF(PV_DATA[[#This Row],[Pick- Up Date]]&lt;&gt;"",_xlfn.ISOWEEKNUM(PV_DATA[[#This Row],[Pick- Up Date]]),"")</f>
        <v>35</v>
      </c>
      <c r="AD1010" s="430" t="s">
        <v>6584</v>
      </c>
      <c r="AF1010" s="430" t="s">
        <v>77</v>
      </c>
      <c r="AG1010" s="430" t="s">
        <v>61</v>
      </c>
      <c r="AH1010" s="430" t="s">
        <v>78</v>
      </c>
      <c r="AI1010" s="543">
        <v>46268</v>
      </c>
      <c r="AJ1010" s="437">
        <f>IFERROR(VLOOKUP(AT1010, Vessel!A:D, 4, FALSE), "")</f>
        <v>46269.833333333336</v>
      </c>
      <c r="AK1010" s="437">
        <f>IFERROR(IF(VLOOKUP(AT1010,Vessel!A:F,5,FALSE)=0,"",VLOOKUP(AT1010,Vessel!A:F,5,FALSE)),"")</f>
        <v>46269.854108796295</v>
      </c>
      <c r="AL1010" s="437">
        <v>46335</v>
      </c>
      <c r="AM1010" s="949">
        <f>IFERROR(VLOOKUP(AT1010, Vessel!A:H, 8, FALSE), "")</f>
        <v>46344.791666666664</v>
      </c>
      <c r="AN1010" s="949" t="str">
        <f>IFERROR(IF(VLOOKUP(AT1010,Vessel!A:I,9,FALSE)=0,"",VLOOKUP(AT1010,Vessel!A:I,9,FALSE)),"")</f>
        <v/>
      </c>
      <c r="AO1010" s="462" t="s">
        <v>402</v>
      </c>
      <c r="AP1010" s="430" t="s">
        <v>6573</v>
      </c>
      <c r="AQ1010" s="438" t="s">
        <v>80</v>
      </c>
      <c r="AR1010" s="430" t="s">
        <v>6585</v>
      </c>
      <c r="AS1010" s="430" t="s">
        <v>6586</v>
      </c>
      <c r="AT1010" s="430" t="s">
        <v>6586</v>
      </c>
      <c r="AU10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74.937557870369346</v>
      </c>
      <c r="AW1010" s="437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46344.791666666664</v>
      </c>
      <c r="AX101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0" s="437">
        <f>IF(ISERROR(PV_DATA[[#This Row],[New Ark PO status]]),"",_xlfn.XLOOKUP(PV_DATA[[#This Row],[SPTN-PVHK New Ark PO'#]],New_Ark_Data[Purchase order Number],New_Ark_Data[Estimated time of arrival],"",0))</f>
        <v>46343</v>
      </c>
      <c r="AZ101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10" s="437">
        <f>IFERROR(PV_DATA[[#This Row],[ODP ETA Port]]+PV_DATA[[#This Row],[Customs/Leg3 Assumption]],"n/a")</f>
        <v>46352.791666666664</v>
      </c>
      <c r="BB1010" s="433">
        <f>YEAR(PV_DATA[[#This Row],[ETA for New Ark update]])</f>
        <v>2026</v>
      </c>
      <c r="BC1010" s="430">
        <f>MONTH(PV_DATA[[#This Row],[ETA for New Ark update]])</f>
        <v>11</v>
      </c>
      <c r="BD1010" s="430">
        <f>IFERROR(_xlfn.ISOWEEKNUM(PV_DATA[[#This Row],[ETA for New Ark update]]),0)</f>
        <v>48</v>
      </c>
      <c r="BE1010" s="430">
        <f>_xlfn.XLOOKUP(PV_DATA[[#This Row],[New Ark SKU]],Table9[New Ark SKU],Table9[Total PCS per Pallet],,0)</f>
        <v>36</v>
      </c>
      <c r="BF1010" s="430">
        <f>_xlfn.XLOOKUP(PV_DATA[[#This Row],[New Ark SKU]],Table9[New Ark SKU],Table9[Total PCS per 40HQ Container],,0)</f>
        <v>864</v>
      </c>
      <c r="BG1010" s="430" t="str">
        <f>_xlfn.XLOOKUP(PV_DATA[[#This Row],[New Ark SKU]],Table9[New Ark SKU],Table9[Back Glass],,0)</f>
        <v>Black glazing</v>
      </c>
      <c r="BH1010" s="610" t="str">
        <f>_xlfn.XLOOKUP(PV_DATA[[#This Row],[PORT DESTINATION]],Table12[PORT DESTINATION],Table12[Cosco Line],,0)</f>
        <v>AEM</v>
      </c>
    </row>
    <row r="1011" spans="1:60" s="463" customFormat="1" ht="12" customHeight="1">
      <c r="A1011" s="462" t="s">
        <v>6587</v>
      </c>
      <c r="B1011" s="462" t="s">
        <v>61</v>
      </c>
      <c r="C1011" s="462" t="str">
        <f>IFERROR(LEFT(PV_DATA[[#This Row],[TCL REFERENCE]],FIND(".",PV_DATA[[#This Row],[TCL REFERENCE]],1)-1),"Main Line")</f>
        <v>26Jun021</v>
      </c>
      <c r="D1011" s="462" t="s">
        <v>63</v>
      </c>
      <c r="E1011" s="462" t="s">
        <v>64</v>
      </c>
      <c r="F1011" s="462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1" s="462" t="s">
        <v>402</v>
      </c>
      <c r="H1011" s="462" t="s">
        <v>311</v>
      </c>
      <c r="I1011" s="462" t="s">
        <v>1395</v>
      </c>
      <c r="J1011" s="430" t="s">
        <v>96</v>
      </c>
      <c r="K1011" s="430"/>
      <c r="L1011" s="430"/>
      <c r="M1011" s="430" t="s">
        <v>6315</v>
      </c>
      <c r="N1011" s="432">
        <v>46202</v>
      </c>
      <c r="O1011" s="430" t="s">
        <v>284</v>
      </c>
      <c r="P1011" s="484" t="s">
        <v>6159</v>
      </c>
      <c r="Q1011" s="430" t="s">
        <v>1570</v>
      </c>
      <c r="R1011" s="430" t="str">
        <f>_xlfn.XLOOKUP(PV_DATA[[#This Row],[New Ark SKU]],Table9[New Ark SKU],Table9[Connector],,0)</f>
        <v>EVO2A</v>
      </c>
      <c r="S1011" s="433" t="str">
        <f>_xlfn.XLOOKUP(PV_DATA[[#This Row],[New Ark SKU]],Table9[New Ark SKU],Table9[Cable],,0)</f>
        <v>±1400mm</v>
      </c>
      <c r="T1011" s="433">
        <v>650</v>
      </c>
      <c r="U1011" s="1088">
        <v>720</v>
      </c>
      <c r="V1011" s="434">
        <f>PV_DATA[[#This Row],[QUANTITY]]*PV_DATA[[#This Row],[WATT]]/1000000</f>
        <v>0.46800000000000003</v>
      </c>
      <c r="W1011" s="435">
        <f>PV_DATA[[#This Row],[QUANTITY]]/PV_DATA[[#This Row],[Qty/Pallet]]</f>
        <v>20</v>
      </c>
      <c r="X1011" s="1040">
        <f>PV_DATA[[#This Row],[QUANTITY]]/PV_DATA[[#This Row],[Qty/CT]]</f>
        <v>1</v>
      </c>
      <c r="Y1011" s="430" t="s">
        <v>2461</v>
      </c>
      <c r="Z1011" s="430" t="str">
        <f t="shared" si="16"/>
        <v>IN-TRANSIT</v>
      </c>
      <c r="AA1011" s="430" t="s">
        <v>5497</v>
      </c>
      <c r="AB1011" s="1076">
        <v>46262</v>
      </c>
      <c r="AC1011" s="485">
        <f>IF(PV_DATA[[#This Row],[Pick- Up Date]]&lt;&gt;"",_xlfn.ISOWEEKNUM(PV_DATA[[#This Row],[Pick- Up Date]]),"")</f>
        <v>35</v>
      </c>
      <c r="AD1011" s="430" t="s">
        <v>6588</v>
      </c>
      <c r="AE1011" s="430"/>
      <c r="AF1011" s="430" t="s">
        <v>61</v>
      </c>
      <c r="AG1011" s="430" t="s">
        <v>61</v>
      </c>
      <c r="AH1011" s="430" t="s">
        <v>1561</v>
      </c>
      <c r="AI1011" s="543">
        <v>46268</v>
      </c>
      <c r="AJ1011" s="437">
        <f>IFERROR(VLOOKUP(AT1011, Vessel!A:D, 4, FALSE), "")</f>
        <v>46269.833333333336</v>
      </c>
      <c r="AK1011" s="437">
        <f>IFERROR(IF(VLOOKUP(AT1011,Vessel!A:F,5,FALSE)=0,"",VLOOKUP(AT1011,Vessel!A:F,5,FALSE)),"")</f>
        <v>46269.854108796295</v>
      </c>
      <c r="AL1011" s="437">
        <v>46334</v>
      </c>
      <c r="AM1011" s="949"/>
      <c r="AN1011" s="949" t="str">
        <f>IFERROR(IF(VLOOKUP(AT1011,Vessel!A:I,9,FALSE)=0,"",VLOOKUP(AT1011,Vessel!A:I,9,FALSE)),"")</f>
        <v/>
      </c>
      <c r="AO1011" s="430" t="s">
        <v>402</v>
      </c>
      <c r="AP1011" s="430" t="s">
        <v>6573</v>
      </c>
      <c r="AQ1011" s="438" t="s">
        <v>80</v>
      </c>
      <c r="AR1011" s="430" t="s">
        <v>6589</v>
      </c>
      <c r="AS1011" s="430" t="s">
        <v>6590</v>
      </c>
      <c r="AT1011" s="430" t="s">
        <v>6590</v>
      </c>
      <c r="AU10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64.145891203705105</v>
      </c>
      <c r="AV1011" s="430"/>
      <c r="AW1011" s="437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1" s="437">
        <f>IF(ISERROR(PV_DATA[[#This Row],[New Ark PO status]]),"",_xlfn.XLOOKUP(PV_DATA[[#This Row],[SPTN-PVHK New Ark PO'#]],New_Ark_Data[Purchase order Number],New_Ark_Data[Estimated time of arrival],"",0))</f>
        <v>46346</v>
      </c>
      <c r="AZ101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11" s="437">
        <f>IFERROR(PV_DATA[[#This Row],[ODP ETA Port]]+PV_DATA[[#This Row],[Customs/Leg3 Assumption]],"n/a")</f>
        <v>46344</v>
      </c>
      <c r="BB1011" s="433">
        <f>YEAR(PV_DATA[[#This Row],[ETA for New Ark update]])</f>
        <v>2026</v>
      </c>
      <c r="BC1011" s="430">
        <f>MONTH(PV_DATA[[#This Row],[ETA for New Ark update]])</f>
        <v>11</v>
      </c>
      <c r="BD1011" s="430">
        <f>IFERROR(_xlfn.ISOWEEKNUM(PV_DATA[[#This Row],[ETA for New Ark update]]),0)</f>
        <v>47</v>
      </c>
      <c r="BE1011" s="430">
        <f>_xlfn.XLOOKUP(PV_DATA[[#This Row],[New Ark SKU]],Table9[New Ark SKU],Table9[Total PCS per Pallet],,0)</f>
        <v>36</v>
      </c>
      <c r="BF1011" s="430">
        <f>_xlfn.XLOOKUP(PV_DATA[[#This Row],[New Ark SKU]],Table9[New Ark SKU],Table9[Total PCS per 40HQ Container],,0)</f>
        <v>720</v>
      </c>
      <c r="BG1011" s="430" t="str">
        <f>_xlfn.XLOOKUP(PV_DATA[[#This Row],[New Ark SKU]],Table9[New Ark SKU],Table9[Back Glass],,0)</f>
        <v>White glazing</v>
      </c>
      <c r="BH1011" s="430" t="str">
        <f>_xlfn.XLOOKUP(PV_DATA[[#This Row],[PORT DESTINATION]],Table12[PORT DESTINATION],Table12[Cosco Line],,0)</f>
        <v>AEM</v>
      </c>
    </row>
    <row r="1012" spans="1:60" s="430" customFormat="1" ht="10.5">
      <c r="A1012" s="462" t="s">
        <v>6591</v>
      </c>
      <c r="B1012" s="462" t="s">
        <v>61</v>
      </c>
      <c r="C1012" s="462" t="str">
        <f>IFERROR(LEFT(PV_DATA[[#This Row],[TCL REFERENCE]],FIND(".",PV_DATA[[#This Row],[TCL REFERENCE]],1)-1),"Main Line")</f>
        <v>26Jun021</v>
      </c>
      <c r="D1012" s="462" t="s">
        <v>63</v>
      </c>
      <c r="E1012" s="462" t="s">
        <v>64</v>
      </c>
      <c r="F1012" s="462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2" s="462" t="s">
        <v>402</v>
      </c>
      <c r="H1012" s="462" t="s">
        <v>67</v>
      </c>
      <c r="I1012" s="462" t="s">
        <v>689</v>
      </c>
      <c r="J1012" s="430" t="s">
        <v>96</v>
      </c>
      <c r="M1012" s="430" t="s">
        <v>6315</v>
      </c>
      <c r="N1012" s="432">
        <v>46202</v>
      </c>
      <c r="O1012" s="430" t="s">
        <v>284</v>
      </c>
      <c r="P1012" s="484" t="s">
        <v>6159</v>
      </c>
      <c r="Q1012" s="430" t="s">
        <v>1570</v>
      </c>
      <c r="R1012" s="430" t="str">
        <f>_xlfn.XLOOKUP(PV_DATA[[#This Row],[New Ark SKU]],Table9[New Ark SKU],Table9[Connector],,0)</f>
        <v>EVO2A</v>
      </c>
      <c r="S1012" s="433" t="str">
        <f>_xlfn.XLOOKUP(PV_DATA[[#This Row],[New Ark SKU]],Table9[New Ark SKU],Table9[Cable],,0)</f>
        <v>±1400mm</v>
      </c>
      <c r="T1012" s="433">
        <v>650</v>
      </c>
      <c r="U1012" s="1088">
        <f>720*2</f>
        <v>1440</v>
      </c>
      <c r="V1012" s="434">
        <f>PV_DATA[[#This Row],[QUANTITY]]*PV_DATA[[#This Row],[WATT]]/1000000</f>
        <v>0.93600000000000005</v>
      </c>
      <c r="W1012" s="435">
        <f>PV_DATA[[#This Row],[QUANTITY]]/PV_DATA[[#This Row],[Qty/Pallet]]</f>
        <v>40</v>
      </c>
      <c r="X1012" s="1040">
        <f>PV_DATA[[#This Row],[QUANTITY]]/PV_DATA[[#This Row],[Qty/CT]]</f>
        <v>2</v>
      </c>
      <c r="Y1012" s="430" t="s">
        <v>2465</v>
      </c>
      <c r="Z1012" s="430" t="str">
        <f t="shared" si="16"/>
        <v>IN-TRANSIT</v>
      </c>
      <c r="AA1012" s="1313" t="s">
        <v>6422</v>
      </c>
      <c r="AB1012" s="971">
        <v>46258</v>
      </c>
      <c r="AC1012" s="485">
        <f>IF(PV_DATA[[#This Row],[Pick- Up Date]]&lt;&gt;"",_xlfn.ISOWEEKNUM(PV_DATA[[#This Row],[Pick- Up Date]]),"")</f>
        <v>35</v>
      </c>
      <c r="AD1012" s="430" t="s">
        <v>6592</v>
      </c>
      <c r="AF1012" s="430" t="s">
        <v>61</v>
      </c>
      <c r="AG1012" s="430" t="s">
        <v>61</v>
      </c>
      <c r="AH1012" s="430" t="s">
        <v>105</v>
      </c>
      <c r="AI1012" s="543">
        <v>46267</v>
      </c>
      <c r="AJ1012" s="437">
        <v>46269</v>
      </c>
      <c r="AK1012" s="543">
        <v>46269</v>
      </c>
      <c r="AL1012" s="437">
        <v>46335</v>
      </c>
      <c r="AM1012" s="437"/>
      <c r="AN1012" s="588"/>
      <c r="AO1012" s="462" t="s">
        <v>402</v>
      </c>
      <c r="AP1012" s="430" t="s">
        <v>6593</v>
      </c>
      <c r="AQ1012" s="438" t="s">
        <v>161</v>
      </c>
      <c r="AR1012" s="430" t="s">
        <v>6594</v>
      </c>
      <c r="AS1012" s="430" t="s">
        <v>6595</v>
      </c>
      <c r="AT1012" s="430" t="s">
        <v>6595</v>
      </c>
      <c r="AU10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2" s="437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2" s="437">
        <f>IF(ISERROR(PV_DATA[[#This Row],[New Ark PO status]]),"",_xlfn.XLOOKUP(PV_DATA[[#This Row],[SPTN-PVHK New Ark PO'#]],New_Ark_Data[Purchase order Number],New_Ark_Data[Estimated time of arrival],"",0))</f>
        <v>46342</v>
      </c>
      <c r="AZ101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2" s="437">
        <f>IFERROR(PV_DATA[[#This Row],[ODP ETA Port]]+PV_DATA[[#This Row],[Customs/Leg3 Assumption]],"n/a")</f>
        <v>46342</v>
      </c>
      <c r="BB1012" s="433">
        <f>YEAR(PV_DATA[[#This Row],[ETA for New Ark update]])</f>
        <v>2026</v>
      </c>
      <c r="BC1012" s="430">
        <f>MONTH(PV_DATA[[#This Row],[ETA for New Ark update]])</f>
        <v>11</v>
      </c>
      <c r="BD1012" s="430">
        <f>IFERROR(_xlfn.ISOWEEKNUM(PV_DATA[[#This Row],[ETA for New Ark update]]),0)</f>
        <v>47</v>
      </c>
      <c r="BE1012" s="430">
        <f>_xlfn.XLOOKUP(PV_DATA[[#This Row],[New Ark SKU]],Table9[New Ark SKU],Table9[Total PCS per Pallet],,0)</f>
        <v>36</v>
      </c>
      <c r="BF1012" s="430">
        <f>_xlfn.XLOOKUP(PV_DATA[[#This Row],[New Ark SKU]],Table9[New Ark SKU],Table9[Total PCS per 40HQ Container],,0)</f>
        <v>720</v>
      </c>
      <c r="BG1012" s="430" t="str">
        <f>_xlfn.XLOOKUP(PV_DATA[[#This Row],[New Ark SKU]],Table9[New Ark SKU],Table9[Back Glass],,0)</f>
        <v>White glazing</v>
      </c>
      <c r="BH1012" s="430" t="str">
        <f>_xlfn.XLOOKUP(PV_DATA[[#This Row],[PORT DESTINATION]],Table12[PORT DESTINATION],Table12[Cosco Line],,0)</f>
        <v>AEU</v>
      </c>
    </row>
    <row r="1013" spans="1:60" s="430" customFormat="1" ht="10.5">
      <c r="A1013" s="729" t="s">
        <v>6596</v>
      </c>
      <c r="B1013" s="462" t="s">
        <v>61</v>
      </c>
      <c r="C1013" s="462" t="str">
        <f>IFERROR(LEFT(PV_DATA[[#This Row],[TCL REFERENCE]],FIND(".",PV_DATA[[#This Row],[TCL REFERENCE]],1)-1),"Main Line")</f>
        <v>26Aug004</v>
      </c>
      <c r="D1013" s="462" t="s">
        <v>63</v>
      </c>
      <c r="E1013" s="462" t="s">
        <v>64</v>
      </c>
      <c r="F1013" s="462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3" s="462" t="s">
        <v>402</v>
      </c>
      <c r="H1013" s="462" t="s">
        <v>67</v>
      </c>
      <c r="I1013" s="462" t="s">
        <v>6415</v>
      </c>
      <c r="J1013" s="430" t="s">
        <v>96</v>
      </c>
      <c r="M1013" s="430" t="s">
        <v>6315</v>
      </c>
      <c r="N1013" s="432">
        <v>46237</v>
      </c>
      <c r="O1013" s="430" t="s">
        <v>4531</v>
      </c>
      <c r="P1013" s="430" t="s">
        <v>1151</v>
      </c>
      <c r="Q1013" s="430" t="s">
        <v>421</v>
      </c>
      <c r="R1013" s="430" t="str">
        <f>_xlfn.XLOOKUP(PV_DATA[[#This Row],[New Ark SKU]],Table9[New Ark SKU],Table9[Connector],,0)</f>
        <v>EVO2A</v>
      </c>
      <c r="S1013" s="433" t="str">
        <f>_xlfn.XLOOKUP(PV_DATA[[#This Row],[New Ark SKU]],Table9[New Ark SKU],Table9[Cable],,0)</f>
        <v>±1200mm</v>
      </c>
      <c r="T1013" s="433">
        <v>505</v>
      </c>
      <c r="U1013" s="1088">
        <v>864</v>
      </c>
      <c r="V1013" s="434">
        <f>PV_DATA[[#This Row],[QUANTITY]]*PV_DATA[[#This Row],[WATT]]/1000000</f>
        <v>0.43631999999999999</v>
      </c>
      <c r="W1013" s="435">
        <f>PV_DATA[[#This Row],[QUANTITY]]/PV_DATA[[#This Row],[Qty/Pallet]]</f>
        <v>24</v>
      </c>
      <c r="X1013" s="1040">
        <f>PV_DATA[[#This Row],[QUANTITY]]/PV_DATA[[#This Row],[Qty/CT]]</f>
        <v>1</v>
      </c>
      <c r="Y1013" s="430" t="s">
        <v>2466</v>
      </c>
      <c r="Z1013" s="430" t="str">
        <f t="shared" si="16"/>
        <v>IN-TRANSIT</v>
      </c>
      <c r="AA1013" s="430" t="s">
        <v>6416</v>
      </c>
      <c r="AB1013" s="971">
        <v>46258</v>
      </c>
      <c r="AC1013" s="485">
        <f>IF(PV_DATA[[#This Row],[Pick- Up Date]]&lt;&gt;"",_xlfn.ISOWEEKNUM(PV_DATA[[#This Row],[Pick- Up Date]]),"")</f>
        <v>35</v>
      </c>
      <c r="AD1013" s="430" t="s">
        <v>6597</v>
      </c>
      <c r="AF1013" s="459" t="s">
        <v>61</v>
      </c>
      <c r="AG1013" s="459" t="s">
        <v>61</v>
      </c>
      <c r="AH1013" s="430" t="s">
        <v>105</v>
      </c>
      <c r="AI1013" s="543">
        <v>46267</v>
      </c>
      <c r="AJ1013" s="437">
        <v>46269</v>
      </c>
      <c r="AK1013" s="543">
        <v>46269</v>
      </c>
      <c r="AL1013" s="437">
        <v>46335</v>
      </c>
      <c r="AM1013" s="588"/>
      <c r="AN1013" s="588"/>
      <c r="AO1013" s="462" t="s">
        <v>402</v>
      </c>
      <c r="AP1013" s="430" t="s">
        <v>6593</v>
      </c>
      <c r="AQ1013" s="438" t="s">
        <v>161</v>
      </c>
      <c r="AR1013" s="430" t="s">
        <v>6594</v>
      </c>
      <c r="AS1013" s="430" t="s">
        <v>6595</v>
      </c>
      <c r="AT1013" s="430" t="s">
        <v>6595</v>
      </c>
      <c r="AU10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3" s="437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3" s="437">
        <f>IF(ISERROR(PV_DATA[[#This Row],[New Ark PO status]]),"",_xlfn.XLOOKUP(PV_DATA[[#This Row],[SPTN-PVHK New Ark PO'#]],New_Ark_Data[Purchase order Number],New_Ark_Data[Estimated time of arrival],"",0))</f>
        <v>46342</v>
      </c>
      <c r="AZ101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3" s="437">
        <f>IFERROR(PV_DATA[[#This Row],[ODP ETA Port]]+PV_DATA[[#This Row],[Customs/Leg3 Assumption]],"n/a")</f>
        <v>46342</v>
      </c>
      <c r="BB1013" s="433">
        <f>YEAR(PV_DATA[[#This Row],[ETA for New Ark update]])</f>
        <v>2026</v>
      </c>
      <c r="BC1013" s="430">
        <f>MONTH(PV_DATA[[#This Row],[ETA for New Ark update]])</f>
        <v>11</v>
      </c>
      <c r="BD1013" s="430">
        <f>IFERROR(_xlfn.ISOWEEKNUM(PV_DATA[[#This Row],[ETA for New Ark update]]),0)</f>
        <v>47</v>
      </c>
      <c r="BE1013" s="430">
        <f>_xlfn.XLOOKUP(PV_DATA[[#This Row],[New Ark SKU]],Table9[New Ark SKU],Table9[Total PCS per Pallet],,0)</f>
        <v>36</v>
      </c>
      <c r="BF1013" s="430">
        <f>_xlfn.XLOOKUP(PV_DATA[[#This Row],[New Ark SKU]],Table9[New Ark SKU],Table9[Total PCS per 40HQ Container],,0)</f>
        <v>864</v>
      </c>
      <c r="BG1013" s="430" t="str">
        <f>_xlfn.XLOOKUP(PV_DATA[[#This Row],[New Ark SKU]],Table9[New Ark SKU],Table9[Back Glass],,0)</f>
        <v>Black glazing</v>
      </c>
      <c r="BH1013" s="610" t="str">
        <f>_xlfn.XLOOKUP(PV_DATA[[#This Row],[PORT DESTINATION]],Table12[PORT DESTINATION],Table12[Cosco Line],,0)</f>
        <v>AEU</v>
      </c>
    </row>
    <row r="1014" spans="1:60" s="430" customFormat="1" ht="10.5">
      <c r="A1014" s="462" t="s">
        <v>6598</v>
      </c>
      <c r="B1014" s="462" t="s">
        <v>111</v>
      </c>
      <c r="C1014" s="462" t="str">
        <f>IFERROR(LEFT(PV_DATA[[#This Row],[TCL REFERENCE]],FIND(".",PV_DATA[[#This Row],[TCL REFERENCE]],1)-1),"Main Line")</f>
        <v>26Aug009</v>
      </c>
      <c r="D1014" s="462" t="s">
        <v>113</v>
      </c>
      <c r="E1014" s="462" t="s">
        <v>144</v>
      </c>
      <c r="F1014" s="462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4" s="462" t="s">
        <v>402</v>
      </c>
      <c r="H1014" s="462" t="s">
        <v>670</v>
      </c>
      <c r="I1014" s="462" t="s">
        <v>6234</v>
      </c>
      <c r="J1014" s="462" t="s">
        <v>670</v>
      </c>
      <c r="K1014" s="430" t="s">
        <v>6266</v>
      </c>
      <c r="L1014" s="430">
        <v>1</v>
      </c>
      <c r="M1014" s="430" t="s">
        <v>4967</v>
      </c>
      <c r="N1014" s="432"/>
      <c r="O1014" s="430" t="s">
        <v>4531</v>
      </c>
      <c r="P1014" s="430" t="s">
        <v>6483</v>
      </c>
      <c r="Q1014" s="430" t="s">
        <v>103</v>
      </c>
      <c r="R1014" s="430" t="str">
        <f>_xlfn.XLOOKUP(PV_DATA[[#This Row],[New Ark SKU]],Table9[New Ark SKU],Table9[Connector],,0)</f>
        <v>H4(Com)</v>
      </c>
      <c r="S1014" s="433" t="str">
        <f>_xlfn.XLOOKUP(PV_DATA[[#This Row],[New Ark SKU]],Table9[New Ark SKU],Table9[Cable],,0)</f>
        <v>+400mm/-200mm</v>
      </c>
      <c r="T1014" s="433">
        <v>620</v>
      </c>
      <c r="U1014" s="1088">
        <v>720</v>
      </c>
      <c r="V1014" s="434">
        <f>PV_DATA[[#This Row],[QUANTITY]]*PV_DATA[[#This Row],[WATT]]/1000000</f>
        <v>0.44640000000000002</v>
      </c>
      <c r="W1014" s="435">
        <f>PV_DATA[[#This Row],[QUANTITY]]/PV_DATA[[#This Row],[Qty/Pallet]]</f>
        <v>20</v>
      </c>
      <c r="X1014" s="1040">
        <f>PV_DATA[[#This Row],[QUANTITY]]/720</f>
        <v>1</v>
      </c>
      <c r="Y1014" s="436" t="s">
        <v>6261</v>
      </c>
      <c r="Z1014" s="430" t="str">
        <f t="shared" si="16"/>
        <v>IN-TRANSIT</v>
      </c>
      <c r="AA1014" s="545">
        <v>46251</v>
      </c>
      <c r="AB1014" s="437">
        <v>46269</v>
      </c>
      <c r="AC1014" s="485">
        <f>IF(PV_DATA[[#This Row],[Pick- Up Date]]&lt;&gt;"",_xlfn.ISOWEEKNUM(PV_DATA[[#This Row],[Pick- Up Date]]),"")</f>
        <v>36</v>
      </c>
      <c r="AD1014" s="430" t="s">
        <v>6599</v>
      </c>
      <c r="AF1014" s="430" t="s">
        <v>122</v>
      </c>
      <c r="AG1014" s="430" t="s">
        <v>122</v>
      </c>
      <c r="AH1014" s="430" t="s">
        <v>105</v>
      </c>
      <c r="AI1014" s="437">
        <v>46271</v>
      </c>
      <c r="AJ1014" s="437">
        <v>46282</v>
      </c>
      <c r="AK1014" s="437">
        <v>46280</v>
      </c>
      <c r="AL1014" s="437">
        <v>46312</v>
      </c>
      <c r="AM1014" s="437"/>
      <c r="AN1014" s="588"/>
      <c r="AP1014" s="430" t="s">
        <v>6600</v>
      </c>
      <c r="AQ1014" s="438" t="s">
        <v>161</v>
      </c>
      <c r="AR1014" s="623" t="s">
        <v>6601</v>
      </c>
      <c r="AS1014" s="430" t="s">
        <v>6602</v>
      </c>
      <c r="AT1014" s="430" t="s">
        <v>6602</v>
      </c>
      <c r="AU10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014" s="437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1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4" s="437" t="str">
        <f>IF(ISERROR(PV_DATA[[#This Row],[New Ark PO status]]),"",_xlfn.XLOOKUP(PV_DATA[[#This Row],[SPTN-PVHK New Ark PO'#]],New_Ark_Data[Purchase order Number],New_Ark_Data[Estimated time of arrival],"",0))</f>
        <v/>
      </c>
      <c r="AZ101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4" s="437">
        <f>IFERROR(PV_DATA[[#This Row],[ODP ETA Port]]+PV_DATA[[#This Row],[Customs/Leg3 Assumption]],"n/a")</f>
        <v>46312</v>
      </c>
      <c r="BB1014" s="433">
        <f>YEAR(PV_DATA[[#This Row],[ETA for New Ark update]])</f>
        <v>2026</v>
      </c>
      <c r="BC1014" s="430">
        <f>MONTH(PV_DATA[[#This Row],[ETA for New Ark update]])</f>
        <v>10</v>
      </c>
      <c r="BD1014" s="430">
        <f>IFERROR(_xlfn.ISOWEEKNUM(PV_DATA[[#This Row],[ETA for New Ark update]]),0)</f>
        <v>42</v>
      </c>
      <c r="BE1014" s="430">
        <f>_xlfn.XLOOKUP(PV_DATA[[#This Row],[New Ark SKU]],Table9[New Ark SKU],Table9[Total PCS per Pallet],,0)</f>
        <v>36</v>
      </c>
      <c r="BF1014" s="430">
        <f>_xlfn.XLOOKUP(PV_DATA[[#This Row],[New Ark SKU]],Table9[New Ark SKU],Table9[Total PCS per 40HQ Container],,0)</f>
        <v>720</v>
      </c>
      <c r="BG1014" s="430" t="str">
        <f>_xlfn.XLOOKUP(PV_DATA[[#This Row],[New Ark SKU]],Table9[New Ark SKU],Table9[Back Glass],,0)</f>
        <v>Redirection Film</v>
      </c>
      <c r="BH1014" s="430" t="str">
        <f>_xlfn.XLOOKUP(PV_DATA[[#This Row],[PORT DESTINATION]],Table12[PORT DESTINATION],Table12[Cosco Line],,0)</f>
        <v>AEU</v>
      </c>
    </row>
    <row r="1015" spans="1:60" s="430" customFormat="1" ht="10.5">
      <c r="A1015" s="462" t="s">
        <v>6603</v>
      </c>
      <c r="B1015" s="945" t="s">
        <v>111</v>
      </c>
      <c r="C1015" s="462" t="str">
        <f>IFERROR(LEFT(PV_DATA[[#This Row],[TCL REFERENCE]],FIND(".",PV_DATA[[#This Row],[TCL REFERENCE]],1)-1),"Main Line")</f>
        <v>26Aug025</v>
      </c>
      <c r="D1015" s="945" t="s">
        <v>113</v>
      </c>
      <c r="E1015" s="462" t="s">
        <v>144</v>
      </c>
      <c r="F1015" s="945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5" s="462" t="s">
        <v>402</v>
      </c>
      <c r="H1015" s="462" t="s">
        <v>670</v>
      </c>
      <c r="I1015" s="462" t="s">
        <v>6234</v>
      </c>
      <c r="J1015" s="462" t="s">
        <v>670</v>
      </c>
      <c r="K1015" s="430" t="s">
        <v>5892</v>
      </c>
      <c r="L1015" s="623">
        <v>17</v>
      </c>
      <c r="M1015" s="430" t="s">
        <v>4967</v>
      </c>
      <c r="N1015" s="1079"/>
      <c r="O1015" s="623" t="s">
        <v>4531</v>
      </c>
      <c r="P1015" s="623" t="s">
        <v>6461</v>
      </c>
      <c r="Q1015" s="623" t="s">
        <v>4598</v>
      </c>
      <c r="R1015" s="430" t="str">
        <f>_xlfn.XLOOKUP(PV_DATA[[#This Row],[New Ark SKU]],Table9[New Ark SKU],Table9[Connector],,0)</f>
        <v>H4(Com)</v>
      </c>
      <c r="S1015" s="433" t="str">
        <f>_xlfn.XLOOKUP(PV_DATA[[#This Row],[New Ark SKU]],Table9[New Ark SKU],Table9[Cable],,0)</f>
        <v>+400mm/-200mm</v>
      </c>
      <c r="T1015" s="976">
        <v>630</v>
      </c>
      <c r="U1015" s="1100">
        <v>2880</v>
      </c>
      <c r="V1015" s="977">
        <f>PV_DATA[[#This Row],[QUANTITY]]*PV_DATA[[#This Row],[WATT]]/1000000</f>
        <v>1.8144</v>
      </c>
      <c r="W1015" s="435">
        <f>PV_DATA[[#This Row],[QUANTITY]]/36</f>
        <v>80</v>
      </c>
      <c r="X1015" s="1221">
        <f>PV_DATA[[#This Row],[QUANTITY]]/PV_DATA[[#This Row],[Qty/CT]]</f>
        <v>4</v>
      </c>
      <c r="Y1015" s="430" t="s">
        <v>6236</v>
      </c>
      <c r="Z1015" s="430" t="str">
        <f t="shared" si="16"/>
        <v>IN-TRANSIT</v>
      </c>
      <c r="AA1015" s="1077">
        <v>46261</v>
      </c>
      <c r="AB1015" s="978">
        <v>46269</v>
      </c>
      <c r="AC1015" s="1222">
        <f>IF(PV_DATA[[#This Row],[Pick- Up Date]]&lt;&gt;"",_xlfn.ISOWEEKNUM(PV_DATA[[#This Row],[Pick- Up Date]]),"")</f>
        <v>36</v>
      </c>
      <c r="AD1015" s="623" t="s">
        <v>6604</v>
      </c>
      <c r="AE1015" s="623"/>
      <c r="AF1015" s="623" t="s">
        <v>122</v>
      </c>
      <c r="AG1015" s="623" t="s">
        <v>122</v>
      </c>
      <c r="AH1015" s="430" t="s">
        <v>105</v>
      </c>
      <c r="AI1015" s="978">
        <v>46271</v>
      </c>
      <c r="AJ1015" s="437">
        <v>46282</v>
      </c>
      <c r="AK1015" s="437">
        <v>46280</v>
      </c>
      <c r="AL1015" s="978">
        <v>46312</v>
      </c>
      <c r="AM1015" s="978"/>
      <c r="AN1015" s="588"/>
      <c r="AO1015" s="623"/>
      <c r="AP1015" s="623" t="s">
        <v>6600</v>
      </c>
      <c r="AQ1015" s="1070" t="s">
        <v>161</v>
      </c>
      <c r="AR1015" s="623" t="s">
        <v>6601</v>
      </c>
      <c r="AS1015" s="623" t="s">
        <v>6602</v>
      </c>
      <c r="AT1015" s="430" t="s">
        <v>6602</v>
      </c>
      <c r="AU10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015" s="623"/>
      <c r="AW1015" s="978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1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5" s="978" t="str">
        <f>IF(ISERROR(PV_DATA[[#This Row],[New Ark PO status]]),"",_xlfn.XLOOKUP(PV_DATA[[#This Row],[SPTN-PVHK New Ark PO'#]],New_Ark_Data[Purchase order Number],New_Ark_Data[Estimated time of arrival],"",0))</f>
        <v/>
      </c>
      <c r="AZ1015" s="97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5" s="978">
        <f>IFERROR(PV_DATA[[#This Row],[ODP ETA Port]]+PV_DATA[[#This Row],[Customs/Leg3 Assumption]],"n/a")</f>
        <v>46312</v>
      </c>
      <c r="BB1015" s="976">
        <f>YEAR(PV_DATA[[#This Row],[ETA for New Ark update]])</f>
        <v>2026</v>
      </c>
      <c r="BC1015" s="623">
        <f>MONTH(PV_DATA[[#This Row],[ETA for New Ark update]])</f>
        <v>10</v>
      </c>
      <c r="BD1015" s="623">
        <f>IFERROR(_xlfn.ISOWEEKNUM(PV_DATA[[#This Row],[ETA for New Ark update]]),0)</f>
        <v>42</v>
      </c>
      <c r="BE1015" s="623">
        <f>_xlfn.XLOOKUP(PV_DATA[[#This Row],[New Ark SKU]],Table9[New Ark SKU],Table9[Total PCS per Pallet],,0)</f>
        <v>36</v>
      </c>
      <c r="BF1015" s="623">
        <f>_xlfn.XLOOKUP(PV_DATA[[#This Row],[New Ark SKU]],Table9[New Ark SKU],Table9[Total PCS per 40HQ Container],,0)</f>
        <v>720</v>
      </c>
      <c r="BG1015" s="623" t="str">
        <f>_xlfn.XLOOKUP(PV_DATA[[#This Row],[New Ark SKU]],Table9[New Ark SKU],Table9[Back Glass],,0)</f>
        <v>Redirection Film</v>
      </c>
      <c r="BH1015" s="979" t="str">
        <f>_xlfn.XLOOKUP(PV_DATA[[#This Row],[PORT DESTINATION]],Table12[PORT DESTINATION],Table12[Cosco Line],,0)</f>
        <v>AEU</v>
      </c>
    </row>
    <row r="1016" spans="1:60" s="430" customFormat="1" ht="10.5">
      <c r="A1016" s="729" t="s">
        <v>6605</v>
      </c>
      <c r="B1016" s="462" t="s">
        <v>111</v>
      </c>
      <c r="C1016" s="462" t="str">
        <f>IFERROR(LEFT(PV_DATA[[#This Row],[TCL REFERENCE]],FIND(".",PV_DATA[[#This Row],[TCL REFERENCE]],1)-1),"Main Line")</f>
        <v>26Aug002</v>
      </c>
      <c r="D1016" s="462" t="s">
        <v>63</v>
      </c>
      <c r="E1016" s="462" t="s">
        <v>64</v>
      </c>
      <c r="F1016" s="462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6" s="462" t="s">
        <v>402</v>
      </c>
      <c r="H1016" s="462" t="s">
        <v>67</v>
      </c>
      <c r="I1016" s="462" t="s">
        <v>689</v>
      </c>
      <c r="J1016" s="430" t="s">
        <v>96</v>
      </c>
      <c r="M1016" s="430" t="s">
        <v>6315</v>
      </c>
      <c r="N1016" s="432">
        <v>46215</v>
      </c>
      <c r="O1016" s="430" t="s">
        <v>550</v>
      </c>
      <c r="P1016" s="430" t="s">
        <v>2134</v>
      </c>
      <c r="Q1016" s="430" t="s">
        <v>2135</v>
      </c>
      <c r="R1016" s="430" t="str">
        <f>_xlfn.XLOOKUP(PV_DATA[[#This Row],[New Ark SKU]],Table9[New Ark SKU],Table9[Connector],,0)</f>
        <v>EVO2A</v>
      </c>
      <c r="S1016" s="433" t="str">
        <f>_xlfn.XLOOKUP(PV_DATA[[#This Row],[New Ark SKU]],Table9[New Ark SKU],Table9[Cable],,0)</f>
        <v>±1350mm</v>
      </c>
      <c r="T1016" s="433">
        <v>515</v>
      </c>
      <c r="U1016" s="1088">
        <f>792*3</f>
        <v>2376</v>
      </c>
      <c r="V1016" s="434">
        <f>PV_DATA[[#This Row],[QUANTITY]]*PV_DATA[[#This Row],[WATT]]/1000000</f>
        <v>1.2236400000000001</v>
      </c>
      <c r="W1016" s="435">
        <f>PV_DATA[[#This Row],[QUANTITY]]/PV_DATA[[#This Row],[Qty/Pallet]]</f>
        <v>66</v>
      </c>
      <c r="X1016" s="1040">
        <f>PV_DATA[[#This Row],[QUANTITY]]/PV_DATA[[#This Row],[Qty/CT]]</f>
        <v>3</v>
      </c>
      <c r="Y1016" s="430" t="s">
        <v>2467</v>
      </c>
      <c r="Z1016" s="430" t="str">
        <f t="shared" si="16"/>
        <v>IN-TRANSIT</v>
      </c>
      <c r="AB1016" s="437">
        <v>46268</v>
      </c>
      <c r="AC1016" s="485">
        <f>IF(PV_DATA[[#This Row],[Pick- Up Date]]&lt;&gt;"",_xlfn.ISOWEEKNUM(PV_DATA[[#This Row],[Pick- Up Date]]),"")</f>
        <v>36</v>
      </c>
      <c r="AD1016" s="430" t="s">
        <v>6606</v>
      </c>
      <c r="AF1016" s="430" t="s">
        <v>122</v>
      </c>
      <c r="AG1016" s="430" t="s">
        <v>123</v>
      </c>
      <c r="AH1016" s="430" t="s">
        <v>456</v>
      </c>
      <c r="AI1016" s="437">
        <v>46273</v>
      </c>
      <c r="AJ1016" s="437">
        <f>IFERROR(VLOOKUP(AT1016, Vessel!A:D, 4, FALSE), "")</f>
        <v>46274.083333333336</v>
      </c>
      <c r="AK1016" s="437">
        <f>IFERROR(IF(VLOOKUP(AT1016,Vessel!A:F,5,FALSE)=0,"",VLOOKUP(AT1016,Vessel!A:F,5,FALSE)),"")</f>
        <v>46274.103541666664</v>
      </c>
      <c r="AL1016" s="437">
        <v>46313</v>
      </c>
      <c r="AM1016" s="949">
        <f>IFERROR(VLOOKUP(AT1016, Vessel!A:H, 8, FALSE), "")</f>
        <v>46315.291666666664</v>
      </c>
      <c r="AN1016" s="949" t="str">
        <f>IFERROR(IF(VLOOKUP(AT1016,Vessel!A:I,9,FALSE)=0,"",VLOOKUP(AT1016,Vessel!A:I,9,FALSE)),"")</f>
        <v/>
      </c>
      <c r="AP1016" s="430" t="s">
        <v>6607</v>
      </c>
      <c r="AQ1016" s="438" t="s">
        <v>80</v>
      </c>
      <c r="AR1016" s="430" t="s">
        <v>6608</v>
      </c>
      <c r="AS1016" s="430" t="s">
        <v>6609</v>
      </c>
      <c r="AT1016" s="430" t="s">
        <v>6609</v>
      </c>
      <c r="AU10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41.188125000000582</v>
      </c>
      <c r="AW1016" s="437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46315.291666666664</v>
      </c>
      <c r="AX101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6" s="437" t="str">
        <f>IF(ISERROR(PV_DATA[[#This Row],[New Ark PO status]]),"",_xlfn.XLOOKUP(PV_DATA[[#This Row],[SPTN-PVHK New Ark PO'#]],New_Ark_Data[Purchase order Number],New_Ark_Data[Estimated time of arrival],"",0))</f>
        <v/>
      </c>
      <c r="AZ101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437">
        <f>IFERROR(PV_DATA[[#This Row],[ODP ETA Port]]+PV_DATA[[#This Row],[Customs/Leg3 Assumption]],"n/a")</f>
        <v>46322.291666666664</v>
      </c>
      <c r="BB1016" s="433" t="s">
        <v>6315</v>
      </c>
      <c r="BC1016" s="433" t="s">
        <v>6315</v>
      </c>
      <c r="BD1016" s="430">
        <f>IFERROR(_xlfn.ISOWEEKNUM(PV_DATA[[#This Row],[ETA for New Ark update]]),0)</f>
        <v>44</v>
      </c>
      <c r="BE1016" s="430">
        <f>_xlfn.XLOOKUP(PV_DATA[[#This Row],[New Ark SKU]],Table9[New Ark SKU],Table9[Total PCS per Pallet],,0)</f>
        <v>36</v>
      </c>
      <c r="BF1016" s="430">
        <f>_xlfn.XLOOKUP(PV_DATA[[#This Row],[New Ark SKU]],Table9[New Ark SKU],Table9[Total PCS per 40HQ Container],,0)</f>
        <v>792</v>
      </c>
      <c r="BG1016" s="430" t="str">
        <f>_xlfn.XLOOKUP(PV_DATA[[#This Row],[New Ark SKU]],Table9[New Ark SKU],Table9[Back Glass],,0)</f>
        <v>Black glazing</v>
      </c>
      <c r="BH1016" s="610" t="str">
        <f>_xlfn.XLOOKUP(PV_DATA[[#This Row],[PORT DESTINATION]],Table12[PORT DESTINATION],Table12[Cosco Line],,0)</f>
        <v>AEU</v>
      </c>
    </row>
    <row r="1017" spans="1:60" s="430" customFormat="1" ht="10.5">
      <c r="A1017" s="951" t="s">
        <v>6610</v>
      </c>
      <c r="B1017" s="945" t="s">
        <v>111</v>
      </c>
      <c r="C1017" s="462" t="str">
        <f>IFERROR(LEFT(PV_DATA[[#This Row],[TCL REFERENCE]],FIND(".",PV_DATA[[#This Row],[TCL REFERENCE]],1)-1),"Main Line")</f>
        <v>26Aug009</v>
      </c>
      <c r="D1017" s="945" t="s">
        <v>113</v>
      </c>
      <c r="E1017" s="462" t="s">
        <v>144</v>
      </c>
      <c r="F1017" s="945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7" s="462" t="s">
        <v>402</v>
      </c>
      <c r="H1017" s="462" t="s">
        <v>670</v>
      </c>
      <c r="I1017" s="462" t="s">
        <v>6234</v>
      </c>
      <c r="J1017" s="462" t="s">
        <v>670</v>
      </c>
      <c r="K1017" s="430" t="s">
        <v>6266</v>
      </c>
      <c r="L1017" s="623">
        <v>33</v>
      </c>
      <c r="M1017" s="430" t="s">
        <v>4967</v>
      </c>
      <c r="N1017" s="1079"/>
      <c r="O1017" s="623" t="s">
        <v>4531</v>
      </c>
      <c r="P1017" s="623" t="s">
        <v>6483</v>
      </c>
      <c r="Q1017" s="623" t="s">
        <v>103</v>
      </c>
      <c r="R1017" s="430" t="str">
        <f>_xlfn.XLOOKUP(PV_DATA[[#This Row],[New Ark SKU]],Table9[New Ark SKU],Table9[Connector],,0)</f>
        <v>H4(Com)</v>
      </c>
      <c r="S1017" s="433" t="str">
        <f>_xlfn.XLOOKUP(PV_DATA[[#This Row],[New Ark SKU]],Table9[New Ark SKU],Table9[Cable],,0)</f>
        <v>+400mm/-200mm</v>
      </c>
      <c r="T1017" s="976">
        <v>620</v>
      </c>
      <c r="U1017" s="1100">
        <f>720*11</f>
        <v>7920</v>
      </c>
      <c r="V1017" s="977">
        <f>PV_DATA[[#This Row],[QUANTITY]]*PV_DATA[[#This Row],[WATT]]/1000000</f>
        <v>4.9104000000000001</v>
      </c>
      <c r="W1017" s="435">
        <f>PV_DATA[[#This Row],[QUANTITY]]/36</f>
        <v>220</v>
      </c>
      <c r="X1017" s="1221">
        <f>PV_DATA[[#This Row],[QUANTITY]]/PV_DATA[[#This Row],[Qty/CT]]</f>
        <v>11</v>
      </c>
      <c r="Y1017" s="430" t="s">
        <v>2467</v>
      </c>
      <c r="Z1017" s="430" t="str">
        <f t="shared" si="16"/>
        <v>IN-TRANSIT</v>
      </c>
      <c r="AA1017" s="1077">
        <v>46271</v>
      </c>
      <c r="AB1017" s="978">
        <v>46273</v>
      </c>
      <c r="AC1017" s="1222">
        <f>IF(PV_DATA[[#This Row],[Pick- Up Date]]&lt;&gt;"",_xlfn.ISOWEEKNUM(PV_DATA[[#This Row],[Pick- Up Date]]),"")</f>
        <v>37</v>
      </c>
      <c r="AD1017" s="623" t="s">
        <v>6611</v>
      </c>
      <c r="AE1017" s="623"/>
      <c r="AF1017" s="623" t="s">
        <v>122</v>
      </c>
      <c r="AG1017" s="623" t="s">
        <v>122</v>
      </c>
      <c r="AH1017" s="430" t="s">
        <v>105</v>
      </c>
      <c r="AI1017" s="978">
        <v>46278</v>
      </c>
      <c r="AJ1017" s="978">
        <f>IFERROR(VLOOKUP(AT1017, Vessel!A:D, 4, FALSE), "")</f>
        <v>46278.708333333336</v>
      </c>
      <c r="AK1017" s="437">
        <f>IFERROR(IF(VLOOKUP(AT1017,Vessel!A:F,5,FALSE)=0,"",VLOOKUP(AT1017,Vessel!A:F,5,FALSE)),"")</f>
        <v>46278.586898148147</v>
      </c>
      <c r="AL1017" s="978">
        <v>46313</v>
      </c>
      <c r="AM1017" s="949">
        <f>IFERROR(VLOOKUP(AT1017, Vessel!A:H, 8, FALSE), "")</f>
        <v>46317.625</v>
      </c>
      <c r="AN1017" s="949" t="str">
        <f>IFERROR(IF(VLOOKUP(AT1017,Vessel!A:I,9,FALSE)=0,"",VLOOKUP(AT1017,Vessel!A:I,9,FALSE)),"")</f>
        <v/>
      </c>
      <c r="AO1017" s="623"/>
      <c r="AP1017" s="430" t="s">
        <v>6573</v>
      </c>
      <c r="AQ1017" s="1070" t="s">
        <v>80</v>
      </c>
      <c r="AR1017" s="430" t="s">
        <v>6612</v>
      </c>
      <c r="AS1017" s="430" t="s">
        <v>6613</v>
      </c>
      <c r="AT1017" s="430" t="s">
        <v>6613</v>
      </c>
      <c r="AU10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39.038101851852844</v>
      </c>
      <c r="AV1017" s="623"/>
      <c r="AW1017" s="978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1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978" t="str">
        <f>IF(ISERROR(PV_DATA[[#This Row],[New Ark PO status]]),"",_xlfn.XLOOKUP(PV_DATA[[#This Row],[SPTN-PVHK New Ark PO'#]],New_Ark_Data[Purchase order Number],New_Ark_Data[Estimated time of arrival],"",0))</f>
        <v/>
      </c>
      <c r="AZ1017" s="97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7" s="978">
        <f>IFERROR(PV_DATA[[#This Row],[ODP ETA Port]]+PV_DATA[[#This Row],[Customs/Leg3 Assumption]],"n/a")</f>
        <v>46317.625</v>
      </c>
      <c r="BB1017" s="976">
        <f>YEAR(PV_DATA[[#This Row],[ETA for New Ark update]])</f>
        <v>2026</v>
      </c>
      <c r="BC1017" s="623">
        <f>MONTH(PV_DATA[[#This Row],[ETA for New Ark update]])</f>
        <v>10</v>
      </c>
      <c r="BD1017" s="623">
        <f>IFERROR(_xlfn.ISOWEEKNUM(PV_DATA[[#This Row],[ETA for New Ark update]]),0)</f>
        <v>43</v>
      </c>
      <c r="BE1017" s="623">
        <f>_xlfn.XLOOKUP(PV_DATA[[#This Row],[New Ark SKU]],Table9[New Ark SKU],Table9[Total PCS per Pallet],,0)</f>
        <v>36</v>
      </c>
      <c r="BF1017" s="623">
        <f>_xlfn.XLOOKUP(PV_DATA[[#This Row],[New Ark SKU]],Table9[New Ark SKU],Table9[Total PCS per 40HQ Container],,0)</f>
        <v>720</v>
      </c>
      <c r="BG1017" s="623" t="str">
        <f>_xlfn.XLOOKUP(PV_DATA[[#This Row],[New Ark SKU]],Table9[New Ark SKU],Table9[Back Glass],,0)</f>
        <v>Redirection Film</v>
      </c>
      <c r="BH1017" s="979" t="str">
        <f>_xlfn.XLOOKUP(PV_DATA[[#This Row],[PORT DESTINATION]],Table12[PORT DESTINATION],Table12[Cosco Line],,0)</f>
        <v>AEU</v>
      </c>
    </row>
    <row r="1018" spans="1:60" s="430" customFormat="1" ht="10.5">
      <c r="A1018" s="951" t="s">
        <v>6614</v>
      </c>
      <c r="B1018" s="945" t="s">
        <v>111</v>
      </c>
      <c r="C1018" s="462" t="str">
        <f>IFERROR(LEFT(PV_DATA[[#This Row],[TCL REFERENCE]],FIND(".",PV_DATA[[#This Row],[TCL REFERENCE]],1)-1),"Main Line")</f>
        <v>26Aug009</v>
      </c>
      <c r="D1018" s="945" t="s">
        <v>113</v>
      </c>
      <c r="E1018" s="462" t="s">
        <v>144</v>
      </c>
      <c r="F1018" s="945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8" s="462" t="s">
        <v>402</v>
      </c>
      <c r="H1018" s="462" t="s">
        <v>670</v>
      </c>
      <c r="I1018" s="462" t="s">
        <v>6234</v>
      </c>
      <c r="J1018" s="462" t="s">
        <v>670</v>
      </c>
      <c r="K1018" s="430" t="s">
        <v>6266</v>
      </c>
      <c r="L1018" s="623">
        <v>28</v>
      </c>
      <c r="M1018" s="430" t="s">
        <v>4967</v>
      </c>
      <c r="N1018" s="1079"/>
      <c r="O1018" s="623" t="s">
        <v>4531</v>
      </c>
      <c r="P1018" s="623" t="s">
        <v>6483</v>
      </c>
      <c r="Q1018" s="623" t="s">
        <v>103</v>
      </c>
      <c r="R1018" s="430" t="str">
        <f>_xlfn.XLOOKUP(PV_DATA[[#This Row],[New Ark SKU]],Table9[New Ark SKU],Table9[Connector],,0)</f>
        <v>H4(Com)</v>
      </c>
      <c r="S1018" s="433" t="str">
        <f>_xlfn.XLOOKUP(PV_DATA[[#This Row],[New Ark SKU]],Table9[New Ark SKU],Table9[Cable],,0)</f>
        <v>+400mm/-200mm</v>
      </c>
      <c r="T1018" s="976">
        <v>620</v>
      </c>
      <c r="U1018" s="1100">
        <v>3600</v>
      </c>
      <c r="V1018" s="977">
        <f>PV_DATA[[#This Row],[QUANTITY]]*PV_DATA[[#This Row],[WATT]]/1000000</f>
        <v>2.2320000000000002</v>
      </c>
      <c r="W1018" s="435">
        <f>PV_DATA[[#This Row],[QUANTITY]]/36</f>
        <v>100</v>
      </c>
      <c r="X1018" s="1221">
        <f>PV_DATA[[#This Row],[QUANTITY]]/PV_DATA[[#This Row],[Qty/CT]]</f>
        <v>5</v>
      </c>
      <c r="Y1018" s="430" t="s">
        <v>2467</v>
      </c>
      <c r="Z1018" s="430" t="str">
        <f t="shared" si="16"/>
        <v>IN-TRANSIT</v>
      </c>
      <c r="AA1018" s="1077">
        <v>46266</v>
      </c>
      <c r="AB1018" s="978">
        <v>46268</v>
      </c>
      <c r="AC1018" s="1222">
        <f>IF(PV_DATA[[#This Row],[Pick- Up Date]]&lt;&gt;"",_xlfn.ISOWEEKNUM(PV_DATA[[#This Row],[Pick- Up Date]]),"")</f>
        <v>36</v>
      </c>
      <c r="AD1018" s="623" t="s">
        <v>6615</v>
      </c>
      <c r="AE1018" s="623"/>
      <c r="AF1018" s="623" t="s">
        <v>122</v>
      </c>
      <c r="AG1018" s="623" t="s">
        <v>122</v>
      </c>
      <c r="AH1018" s="430" t="s">
        <v>105</v>
      </c>
      <c r="AI1018" s="978">
        <v>46272</v>
      </c>
      <c r="AJ1018" s="978">
        <f>IFERROR(VLOOKUP(AT1018, Vessel!A:D, 4, FALSE), "")</f>
        <v>46277.8125</v>
      </c>
      <c r="AK1018" s="437">
        <f>IFERROR(IF(VLOOKUP(AT1018,Vessel!A:F,5,FALSE)=0,"",VLOOKUP(AT1018,Vessel!A:F,5,FALSE)),"")</f>
        <v>46277.716585648152</v>
      </c>
      <c r="AL1018" s="978">
        <v>46309</v>
      </c>
      <c r="AM1018" s="949">
        <f>IFERROR(VLOOKUP(AT1018, Vessel!A:H, 8, FALSE), "")</f>
        <v>46319.875</v>
      </c>
      <c r="AN1018" s="949" t="str">
        <f>IFERROR(IF(VLOOKUP(AT1018,Vessel!A:I,9,FALSE)=0,"",VLOOKUP(AT1018,Vessel!A:I,9,FALSE)),"")</f>
        <v/>
      </c>
      <c r="AO1018" s="623"/>
      <c r="AP1018" s="623" t="s">
        <v>6616</v>
      </c>
      <c r="AQ1018" s="1070" t="s">
        <v>80</v>
      </c>
      <c r="AR1018" s="623" t="s">
        <v>6617</v>
      </c>
      <c r="AS1018" s="623" t="s">
        <v>6618</v>
      </c>
      <c r="AT1018" s="430" t="s">
        <v>6618</v>
      </c>
      <c r="AU10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42.158414351848478</v>
      </c>
      <c r="AV1018" s="623"/>
      <c r="AW1018" s="978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01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978" t="str">
        <f>IF(ISERROR(PV_DATA[[#This Row],[New Ark PO status]]),"",_xlfn.XLOOKUP(PV_DATA[[#This Row],[SPTN-PVHK New Ark PO'#]],New_Ark_Data[Purchase order Number],New_Ark_Data[Estimated time of arrival],"",0))</f>
        <v/>
      </c>
      <c r="AZ1018" s="97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8" s="978">
        <f>IFERROR(PV_DATA[[#This Row],[ODP ETA Port]]+PV_DATA[[#This Row],[Customs/Leg3 Assumption]],"n/a")</f>
        <v>46319.875</v>
      </c>
      <c r="BB1018" s="976">
        <f>YEAR(PV_DATA[[#This Row],[ETA for New Ark update]])</f>
        <v>2026</v>
      </c>
      <c r="BC1018" s="623">
        <f>MONTH(PV_DATA[[#This Row],[ETA for New Ark update]])</f>
        <v>10</v>
      </c>
      <c r="BD1018" s="623">
        <f>IFERROR(_xlfn.ISOWEEKNUM(PV_DATA[[#This Row],[ETA for New Ark update]]),0)</f>
        <v>43</v>
      </c>
      <c r="BE1018" s="623">
        <f>_xlfn.XLOOKUP(PV_DATA[[#This Row],[New Ark SKU]],Table9[New Ark SKU],Table9[Total PCS per Pallet],,0)</f>
        <v>36</v>
      </c>
      <c r="BF1018" s="623">
        <f>_xlfn.XLOOKUP(PV_DATA[[#This Row],[New Ark SKU]],Table9[New Ark SKU],Table9[Total PCS per 40HQ Container],,0)</f>
        <v>720</v>
      </c>
      <c r="BG1018" s="623" t="str">
        <f>_xlfn.XLOOKUP(PV_DATA[[#This Row],[New Ark SKU]],Table9[New Ark SKU],Table9[Back Glass],,0)</f>
        <v>Redirection Film</v>
      </c>
      <c r="BH1018" s="979" t="str">
        <f>_xlfn.XLOOKUP(PV_DATA[[#This Row],[PORT DESTINATION]],Table12[PORT DESTINATION],Table12[Cosco Line],,0)</f>
        <v>AEU</v>
      </c>
    </row>
    <row r="1019" spans="1:60" s="430" customFormat="1" ht="10.5">
      <c r="A1019" s="951" t="s">
        <v>6619</v>
      </c>
      <c r="B1019" s="945" t="s">
        <v>111</v>
      </c>
      <c r="C1019" s="462" t="str">
        <f>IFERROR(LEFT(PV_DATA[[#This Row],[TCL REFERENCE]],FIND(".",PV_DATA[[#This Row],[TCL REFERENCE]],1)-1),"Main Line")</f>
        <v>26Aug009</v>
      </c>
      <c r="D1019" s="945" t="s">
        <v>113</v>
      </c>
      <c r="E1019" s="462" t="s">
        <v>144</v>
      </c>
      <c r="F1019" s="945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462" t="s">
        <v>402</v>
      </c>
      <c r="H1019" s="462" t="s">
        <v>670</v>
      </c>
      <c r="I1019" s="462" t="s">
        <v>6234</v>
      </c>
      <c r="J1019" s="462" t="s">
        <v>670</v>
      </c>
      <c r="K1019" s="430" t="s">
        <v>5892</v>
      </c>
      <c r="L1019" s="623">
        <v>29</v>
      </c>
      <c r="M1019" s="430" t="s">
        <v>4967</v>
      </c>
      <c r="N1019" s="1079"/>
      <c r="O1019" s="623" t="s">
        <v>4531</v>
      </c>
      <c r="P1019" s="623" t="s">
        <v>6483</v>
      </c>
      <c r="Q1019" s="623" t="s">
        <v>103</v>
      </c>
      <c r="R1019" s="430" t="str">
        <f>_xlfn.XLOOKUP(PV_DATA[[#This Row],[New Ark SKU]],Table9[New Ark SKU],Table9[Connector],,0)</f>
        <v>H4(Com)</v>
      </c>
      <c r="S1019" s="433" t="str">
        <f>_xlfn.XLOOKUP(PV_DATA[[#This Row],[New Ark SKU]],Table9[New Ark SKU],Table9[Cable],,0)</f>
        <v>+400mm/-200mm</v>
      </c>
      <c r="T1019" s="976">
        <v>620</v>
      </c>
      <c r="U1019" s="1100">
        <v>5760</v>
      </c>
      <c r="V1019" s="977">
        <f>PV_DATA[[#This Row],[QUANTITY]]*PV_DATA[[#This Row],[WATT]]/1000000</f>
        <v>3.5712000000000002</v>
      </c>
      <c r="W1019" s="435">
        <f>PV_DATA[[#This Row],[QUANTITY]]/36</f>
        <v>160</v>
      </c>
      <c r="X1019" s="1221">
        <f>PV_DATA[[#This Row],[QUANTITY]]/PV_DATA[[#This Row],[Qty/CT]]</f>
        <v>8</v>
      </c>
      <c r="Y1019" s="430" t="s">
        <v>2467</v>
      </c>
      <c r="Z1019" s="430" t="str">
        <f t="shared" si="16"/>
        <v>IN-TRANSIT</v>
      </c>
      <c r="AA1019" s="1077">
        <v>46269</v>
      </c>
      <c r="AB1019" s="978">
        <v>46270</v>
      </c>
      <c r="AC1019" s="1222">
        <f>IF(PV_DATA[[#This Row],[Pick- Up Date]]&lt;&gt;"",_xlfn.ISOWEEKNUM(PV_DATA[[#This Row],[Pick- Up Date]]),"")</f>
        <v>36</v>
      </c>
      <c r="AD1019" s="623" t="s">
        <v>6620</v>
      </c>
      <c r="AE1019" s="623"/>
      <c r="AF1019" s="623" t="s">
        <v>122</v>
      </c>
      <c r="AG1019" s="623" t="s">
        <v>122</v>
      </c>
      <c r="AH1019" s="430" t="s">
        <v>105</v>
      </c>
      <c r="AI1019" s="978">
        <v>46275</v>
      </c>
      <c r="AJ1019" s="978">
        <f>IFERROR(VLOOKUP(AT1019, Vessel!A:D, 4, FALSE), "")</f>
        <v>46276.520833333336</v>
      </c>
      <c r="AK1019" s="437">
        <f>IFERROR(IF(VLOOKUP(AT1019,Vessel!A:F,5,FALSE)=0,"",VLOOKUP(AT1019,Vessel!A:F,5,FALSE)),"")</f>
        <v>46276.53597222222</v>
      </c>
      <c r="AL1019" s="978">
        <v>46319</v>
      </c>
      <c r="AM1019" s="949">
        <f>IFERROR(VLOOKUP(AT1019, Vessel!A:H, 8, FALSE), "")</f>
        <v>46321.9375</v>
      </c>
      <c r="AN1019" s="949" t="str">
        <f>IFERROR(IF(VLOOKUP(AT1019,Vessel!A:I,9,FALSE)=0,"",VLOOKUP(AT1019,Vessel!A:I,9,FALSE)),"")</f>
        <v/>
      </c>
      <c r="AO1019" s="623"/>
      <c r="AP1019" s="623" t="s">
        <v>6621</v>
      </c>
      <c r="AQ1019" s="1070" t="s">
        <v>80</v>
      </c>
      <c r="AR1019" s="623" t="s">
        <v>6622</v>
      </c>
      <c r="AS1019" s="623" t="s">
        <v>6623</v>
      </c>
      <c r="AT1019" s="430" t="s">
        <v>6623</v>
      </c>
      <c r="AU10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45.401527777779847</v>
      </c>
      <c r="AV1019" s="623"/>
      <c r="AW1019" s="978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46321.9375</v>
      </c>
      <c r="AX101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978" t="str">
        <f>IF(ISERROR(PV_DATA[[#This Row],[New Ark PO status]]),"",_xlfn.XLOOKUP(PV_DATA[[#This Row],[SPTN-PVHK New Ark PO'#]],New_Ark_Data[Purchase order Number],New_Ark_Data[Estimated time of arrival],"",0))</f>
        <v/>
      </c>
      <c r="AZ1019" s="97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978">
        <f>IFERROR(PV_DATA[[#This Row],[ODP ETA Port]]+PV_DATA[[#This Row],[Customs/Leg3 Assumption]],"n/a")</f>
        <v>46321.9375</v>
      </c>
      <c r="BB1019" s="976">
        <f>YEAR(PV_DATA[[#This Row],[ETA for New Ark update]])</f>
        <v>2026</v>
      </c>
      <c r="BC1019" s="623">
        <f>MONTH(PV_DATA[[#This Row],[ETA for New Ark update]])</f>
        <v>10</v>
      </c>
      <c r="BD1019" s="623">
        <f>IFERROR(_xlfn.ISOWEEKNUM(PV_DATA[[#This Row],[ETA for New Ark update]]),0)</f>
        <v>44</v>
      </c>
      <c r="BE1019" s="623">
        <f>_xlfn.XLOOKUP(PV_DATA[[#This Row],[New Ark SKU]],Table9[New Ark SKU],Table9[Total PCS per Pallet],,0)</f>
        <v>36</v>
      </c>
      <c r="BF1019" s="623">
        <f>_xlfn.XLOOKUP(PV_DATA[[#This Row],[New Ark SKU]],Table9[New Ark SKU],Table9[Total PCS per 40HQ Container],,0)</f>
        <v>720</v>
      </c>
      <c r="BG1019" s="623" t="str">
        <f>_xlfn.XLOOKUP(PV_DATA[[#This Row],[New Ark SKU]],Table9[New Ark SKU],Table9[Back Glass],,0)</f>
        <v>Redirection Film</v>
      </c>
      <c r="BH1019" s="979" t="str">
        <f>_xlfn.XLOOKUP(PV_DATA[[#This Row],[PORT DESTINATION]],Table12[PORT DESTINATION],Table12[Cosco Line],,0)</f>
        <v>AEU</v>
      </c>
    </row>
    <row r="1020" spans="1:60" s="430" customFormat="1" ht="10.5">
      <c r="A1020" s="729" t="s">
        <v>6624</v>
      </c>
      <c r="B1020" s="462" t="s">
        <v>111</v>
      </c>
      <c r="C1020" s="462" t="str">
        <f>IFERROR(LEFT(PV_DATA[[#This Row],[TCL REFERENCE]],FIND(".",PV_DATA[[#This Row],[TCL REFERENCE]],1)-1),"Main Line")</f>
        <v>26Aug019</v>
      </c>
      <c r="D1020" s="462" t="s">
        <v>63</v>
      </c>
      <c r="E1020" s="462" t="s">
        <v>64</v>
      </c>
      <c r="F1020" s="462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0" s="462" t="s">
        <v>402</v>
      </c>
      <c r="H1020" s="462" t="s">
        <v>67</v>
      </c>
      <c r="I1020" s="462" t="s">
        <v>689</v>
      </c>
      <c r="J1020" s="430" t="s">
        <v>96</v>
      </c>
      <c r="M1020" s="430" t="s">
        <v>6315</v>
      </c>
      <c r="N1020" s="432">
        <v>46238</v>
      </c>
      <c r="O1020" s="430" t="s">
        <v>132</v>
      </c>
      <c r="P1020" s="430" t="s">
        <v>189</v>
      </c>
      <c r="Q1020" s="430" t="s">
        <v>190</v>
      </c>
      <c r="R1020" s="430" t="str">
        <f>_xlfn.XLOOKUP(PV_DATA[[#This Row],[New Ark SKU]],Table9[New Ark SKU],Table9[Connector],,0)</f>
        <v>EVO2A</v>
      </c>
      <c r="S1020" s="433" t="str">
        <f>_xlfn.XLOOKUP(PV_DATA[[#This Row],[New Ark SKU]],Table9[New Ark SKU],Table9[Cable],,0)</f>
        <v>±1200mm</v>
      </c>
      <c r="T1020" s="433">
        <v>465</v>
      </c>
      <c r="U1020" s="1088">
        <v>3456</v>
      </c>
      <c r="V1020" s="544">
        <f>PV_DATA[[#This Row],[QUANTITY]]*PV_DATA[[#This Row],[WATT]]/1000000</f>
        <v>1.60704</v>
      </c>
      <c r="W1020" s="435">
        <f>PV_DATA[[#This Row],[QUANTITY]]/PV_DATA[[#This Row],[Qty/Pallet]]</f>
        <v>96</v>
      </c>
      <c r="X1020" s="1040">
        <f>PV_DATA[[#This Row],[QUANTITY]]/PV_DATA[[#This Row],[Qty/CT]]</f>
        <v>4</v>
      </c>
      <c r="Y1020" s="430" t="s">
        <v>2467</v>
      </c>
      <c r="AA1020" s="430" t="s">
        <v>5853</v>
      </c>
      <c r="AB1020" s="437">
        <v>46269</v>
      </c>
      <c r="AC1020" s="485"/>
      <c r="AD1020" s="430" t="s">
        <v>6625</v>
      </c>
      <c r="AF1020" s="430" t="s">
        <v>122</v>
      </c>
      <c r="AG1020" s="430" t="s">
        <v>123</v>
      </c>
      <c r="AH1020" s="430" t="s">
        <v>78</v>
      </c>
      <c r="AI1020" s="437">
        <v>46277</v>
      </c>
      <c r="AJ1020" s="437">
        <f>IFERROR(VLOOKUP(AT1020, Vessel!A:D, 4, FALSE), "")</f>
        <v>46277.791666666664</v>
      </c>
      <c r="AK1020" s="437">
        <f>IFERROR(IF(VLOOKUP(AT1020,Vessel!A:F,5,FALSE)=0,"",VLOOKUP(AT1020,Vessel!A:F,5,FALSE)),"")</f>
        <v>46277.833090277774</v>
      </c>
      <c r="AL1020" s="437">
        <v>46316</v>
      </c>
      <c r="AM1020" s="949">
        <f>IFERROR(VLOOKUP(AT1020, Vessel!A:H, 8, FALSE), "")</f>
        <v>46316.833333333336</v>
      </c>
      <c r="AN1020" s="949" t="str">
        <f>IFERROR(IF(VLOOKUP(AT1020,Vessel!A:I,9,FALSE)=0,"",VLOOKUP(AT1020,Vessel!A:I,9,FALSE)),"")</f>
        <v/>
      </c>
      <c r="AP1020" s="430" t="s">
        <v>6626</v>
      </c>
      <c r="AQ1020" s="430" t="s">
        <v>80</v>
      </c>
      <c r="AR1020" s="623" t="s">
        <v>6627</v>
      </c>
      <c r="AS1020" s="430" t="s">
        <v>6628</v>
      </c>
      <c r="AT1020" s="430" t="s">
        <v>6628</v>
      </c>
      <c r="AU10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39.000243055561441</v>
      </c>
      <c r="AV1020" s="437"/>
      <c r="AW1020" s="437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46316.833333333336</v>
      </c>
      <c r="AX102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437" t="str">
        <f>IF(ISERROR(PV_DATA[[#This Row],[New Ark PO status]]),"",_xlfn.XLOOKUP(PV_DATA[[#This Row],[SPTN-PVHK New Ark PO'#]],New_Ark_Data[Purchase order Number],New_Ark_Data[Estimated time of arrival],"",0))</f>
        <v/>
      </c>
      <c r="AZ102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0" s="437">
        <f>IFERROR(PV_DATA[[#This Row],[ODP ETA Port]]+PV_DATA[[#This Row],[Customs/Leg3 Assumption]],"n/a")</f>
        <v>46324.833333333336</v>
      </c>
      <c r="BB1020" s="433">
        <f>YEAR(PV_DATA[[#This Row],[ETA for New Ark update]])</f>
        <v>2026</v>
      </c>
      <c r="BC1020" s="430">
        <f>MONTH(PV_DATA[[#This Row],[ETA for New Ark update]])</f>
        <v>10</v>
      </c>
      <c r="BD1020" s="430">
        <f>IFERROR(_xlfn.ISOWEEKNUM(PV_DATA[[#This Row],[ETA for New Ark update]]),0)</f>
        <v>44</v>
      </c>
      <c r="BE1020" s="430">
        <f>_xlfn.XLOOKUP(PV_DATA[[#This Row],[New Ark SKU]],Table9[New Ark SKU],Table9[Total PCS per Pallet],,0)</f>
        <v>36</v>
      </c>
      <c r="BF1020" s="430">
        <f>_xlfn.XLOOKUP(PV_DATA[[#This Row],[New Ark SKU]],Table9[New Ark SKU],Table9[Total PCS per 40HQ Container],,0)</f>
        <v>864</v>
      </c>
      <c r="BG1020" s="430" t="str">
        <f>_xlfn.XLOOKUP(PV_DATA[[#This Row],[New Ark SKU]],Table9[New Ark SKU],Table9[Back Glass],,0)</f>
        <v>White glazing</v>
      </c>
      <c r="BH1020" s="430" t="str">
        <f>_xlfn.XLOOKUP(PV_DATA[[#This Row],[PORT DESTINATION]],Table12[PORT DESTINATION],Table12[Cosco Line],,0)</f>
        <v>AEM</v>
      </c>
    </row>
    <row r="1021" spans="1:60" s="430" customFormat="1" ht="10.5">
      <c r="A1021" s="729" t="s">
        <v>6629</v>
      </c>
      <c r="B1021" s="462" t="s">
        <v>6630</v>
      </c>
      <c r="C1021" s="462" t="str">
        <f>IFERROR(LEFT(PV_DATA[[#This Row],[TCL REFERENCE]],FIND(".",PV_DATA[[#This Row],[TCL REFERENCE]],1)-1),"Main Line")</f>
        <v>26Aug005</v>
      </c>
      <c r="D1021" s="462" t="s">
        <v>63</v>
      </c>
      <c r="E1021" s="462" t="s">
        <v>64</v>
      </c>
      <c r="F1021" s="462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1" s="462" t="s">
        <v>402</v>
      </c>
      <c r="H1021" s="462" t="s">
        <v>67</v>
      </c>
      <c r="I1021" s="462" t="s">
        <v>689</v>
      </c>
      <c r="J1021" s="430" t="s">
        <v>96</v>
      </c>
      <c r="M1021" s="430" t="s">
        <v>6315</v>
      </c>
      <c r="N1021" s="432">
        <v>46258</v>
      </c>
      <c r="O1021" s="430" t="s">
        <v>4531</v>
      </c>
      <c r="P1021" s="430" t="s">
        <v>706</v>
      </c>
      <c r="Q1021" s="430" t="s">
        <v>707</v>
      </c>
      <c r="R1021" s="430" t="str">
        <f>_xlfn.XLOOKUP(PV_DATA[[#This Row],[New Ark SKU]],Table9[New Ark SKU],Table9[Connector],,0)</f>
        <v>EVO2A</v>
      </c>
      <c r="S1021" s="433" t="str">
        <f>_xlfn.XLOOKUP(PV_DATA[[#This Row],[New Ark SKU]],Table9[New Ark SKU],Table9[Cable],,0)</f>
        <v>±1200mm</v>
      </c>
      <c r="T1021" s="433">
        <v>500</v>
      </c>
      <c r="U1021" s="1088">
        <f>864*5</f>
        <v>4320</v>
      </c>
      <c r="V1021" s="434">
        <f>PV_DATA[[#This Row],[QUANTITY]]*PV_DATA[[#This Row],[WATT]]/1000000</f>
        <v>2.16</v>
      </c>
      <c r="W1021" s="435">
        <f>PV_DATA[[#This Row],[QUANTITY]]/PV_DATA[[#This Row],[Qty/Pallet]]</f>
        <v>120</v>
      </c>
      <c r="X1021" s="1040">
        <f>PV_DATA[[#This Row],[QUANTITY]]/PV_DATA[[#This Row],[Qty/CT]]</f>
        <v>5</v>
      </c>
      <c r="Y1021" s="430" t="s">
        <v>2468</v>
      </c>
      <c r="Z1021" s="430" t="str">
        <f>IF(AN1021&lt;&gt;"","COMPLETED",IF(AK1021&lt;&gt;"","IN-TRANSIT",""))</f>
        <v>IN-TRANSIT</v>
      </c>
      <c r="AA1021" s="430" t="s">
        <v>6631</v>
      </c>
      <c r="AB1021" s="437">
        <v>46275</v>
      </c>
      <c r="AC1021" s="485">
        <f>IF(PV_DATA[[#This Row],[Pick- Up Date]]&lt;&gt;"",_xlfn.ISOWEEKNUM(PV_DATA[[#This Row],[Pick- Up Date]]),"")</f>
        <v>37</v>
      </c>
      <c r="AD1021" s="430" t="s">
        <v>6632</v>
      </c>
      <c r="AF1021" s="459" t="s">
        <v>122</v>
      </c>
      <c r="AG1021" s="459" t="s">
        <v>123</v>
      </c>
      <c r="AH1021" s="430" t="s">
        <v>78</v>
      </c>
      <c r="AI1021" s="437">
        <v>46280</v>
      </c>
      <c r="AJ1021" s="437">
        <f>IFERROR(VLOOKUP(AT1021, Vessel!A:D, 4, FALSE), "")</f>
        <v>46284.729166666664</v>
      </c>
      <c r="AK1021" s="437">
        <f>IFERROR(IF(VLOOKUP(AT1021,Vessel!A:F,5,FALSE)=0,"",VLOOKUP(AT1021,Vessel!A:F,5,FALSE)),"")</f>
        <v>46284.757893518516</v>
      </c>
      <c r="AL1021" s="437">
        <v>46328</v>
      </c>
      <c r="AM1021" s="949">
        <f>IFERROR(VLOOKUP(AT1021, Vessel!A:H, 8, FALSE), "")</f>
        <v>46336.791666666664</v>
      </c>
      <c r="AN1021" s="949" t="str">
        <f>IFERROR(IF(VLOOKUP(AT1021,Vessel!A:I,9,FALSE)=0,"",VLOOKUP(AT1021,Vessel!A:I,9,FALSE)),"")</f>
        <v/>
      </c>
      <c r="AP1021" s="430" t="s">
        <v>6633</v>
      </c>
      <c r="AQ1021" s="438" t="s">
        <v>80</v>
      </c>
      <c r="AR1021" s="623" t="s">
        <v>6634</v>
      </c>
      <c r="AS1021" s="430" t="s">
        <v>6635</v>
      </c>
      <c r="AT1021" s="430" t="s">
        <v>6635</v>
      </c>
      <c r="AU10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52.033773148148612</v>
      </c>
      <c r="AW1021" s="437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02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437" t="str">
        <f>IF(ISERROR(PV_DATA[[#This Row],[New Ark PO status]]),"",_xlfn.XLOOKUP(PV_DATA[[#This Row],[SPTN-PVHK New Ark PO'#]],New_Ark_Data[Purchase order Number],New_Ark_Data[Estimated time of arrival],"",0))</f>
        <v/>
      </c>
      <c r="AZ102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1" s="437">
        <f>IFERROR(PV_DATA[[#This Row],[ODP ETA Port]]+PV_DATA[[#This Row],[Customs/Leg3 Assumption]],"n/a")</f>
        <v>46344.791666666664</v>
      </c>
      <c r="BB1021" s="433">
        <f>YEAR(PV_DATA[[#This Row],[ETA for New Ark update]])</f>
        <v>2026</v>
      </c>
      <c r="BC1021" s="430">
        <f>MONTH(PV_DATA[[#This Row],[ETA for New Ark update]])</f>
        <v>11</v>
      </c>
      <c r="BD1021" s="430">
        <f>IFERROR(_xlfn.ISOWEEKNUM(PV_DATA[[#This Row],[ETA for New Ark update]]),0)</f>
        <v>47</v>
      </c>
      <c r="BE1021" s="430">
        <f>_xlfn.XLOOKUP(PV_DATA[[#This Row],[New Ark SKU]],Table9[New Ark SKU],Table9[Total PCS per Pallet],,0)</f>
        <v>36</v>
      </c>
      <c r="BF1021" s="430">
        <f>_xlfn.XLOOKUP(PV_DATA[[#This Row],[New Ark SKU]],Table9[New Ark SKU],Table9[Total PCS per 40HQ Container],,0)</f>
        <v>864</v>
      </c>
      <c r="BG1021" s="430" t="str">
        <f>_xlfn.XLOOKUP(PV_DATA[[#This Row],[New Ark SKU]],Table9[New Ark SKU],Table9[Back Glass],,0)</f>
        <v>Black glazing</v>
      </c>
      <c r="BH1021" s="610" t="str">
        <f>_xlfn.XLOOKUP(PV_DATA[[#This Row],[PORT DESTINATION]],Table12[PORT DESTINATION],Table12[Cosco Line],,0)</f>
        <v>AEM</v>
      </c>
    </row>
    <row r="1022" spans="1:60" s="430" customFormat="1" ht="10.5">
      <c r="A1022" s="729" t="s">
        <v>6636</v>
      </c>
      <c r="B1022" s="462" t="s">
        <v>6637</v>
      </c>
      <c r="C1022" s="462" t="str">
        <f>IFERROR(LEFT(PV_DATA[[#This Row],[TCL REFERENCE]],FIND(".",PV_DATA[[#This Row],[TCL REFERENCE]],1)-1),"Main Line")</f>
        <v>26Aug006</v>
      </c>
      <c r="D1022" s="462" t="s">
        <v>63</v>
      </c>
      <c r="E1022" s="462" t="s">
        <v>64</v>
      </c>
      <c r="F1022" s="462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2" s="462" t="s">
        <v>402</v>
      </c>
      <c r="H1022" s="462" t="s">
        <v>67</v>
      </c>
      <c r="I1022" s="462" t="s">
        <v>689</v>
      </c>
      <c r="J1022" s="430" t="s">
        <v>96</v>
      </c>
      <c r="M1022" s="430" t="s">
        <v>6315</v>
      </c>
      <c r="N1022" s="432">
        <v>46258</v>
      </c>
      <c r="O1022" s="430" t="s">
        <v>4531</v>
      </c>
      <c r="P1022" s="430" t="s">
        <v>691</v>
      </c>
      <c r="Q1022" s="430" t="s">
        <v>692</v>
      </c>
      <c r="R1022" s="430" t="str">
        <f>_xlfn.XLOOKUP(PV_DATA[[#This Row],[New Ark SKU]],Table9[New Ark SKU],Table9[Connector],,0)</f>
        <v>EVO2A</v>
      </c>
      <c r="S1022" s="433" t="str">
        <f>_xlfn.XLOOKUP(PV_DATA[[#This Row],[New Ark SKU]],Table9[New Ark SKU],Table9[Cable],,0)</f>
        <v>±1200mm</v>
      </c>
      <c r="T1022" s="433">
        <v>505</v>
      </c>
      <c r="U1022" s="1088">
        <f>864*4</f>
        <v>3456</v>
      </c>
      <c r="V1022" s="434">
        <f>PV_DATA[[#This Row],[QUANTITY]]*PV_DATA[[#This Row],[WATT]]/1000000</f>
        <v>1.7452799999999999</v>
      </c>
      <c r="W1022" s="435">
        <f>PV_DATA[[#This Row],[QUANTITY]]/PV_DATA[[#This Row],[Qty/Pallet]]</f>
        <v>96</v>
      </c>
      <c r="X1022" s="1040">
        <f>PV_DATA[[#This Row],[QUANTITY]]/PV_DATA[[#This Row],[Qty/CT]]</f>
        <v>4</v>
      </c>
      <c r="Y1022" s="430" t="s">
        <v>2467</v>
      </c>
      <c r="Z1022" s="430" t="str">
        <f>IF(AN1022&lt;&gt;"","COMPLETED",IF(AK1022&lt;&gt;"","IN-TRANSIT",""))</f>
        <v>IN-TRANSIT</v>
      </c>
      <c r="AA1022" s="430" t="s">
        <v>6631</v>
      </c>
      <c r="AB1022" s="437">
        <v>46275</v>
      </c>
      <c r="AC1022" s="485">
        <f>IF(PV_DATA[[#This Row],[Pick- Up Date]]&lt;&gt;"",_xlfn.ISOWEEKNUM(PV_DATA[[#This Row],[Pick- Up Date]]),"")</f>
        <v>37</v>
      </c>
      <c r="AD1022" s="430" t="s">
        <v>6638</v>
      </c>
      <c r="AF1022" s="430" t="s">
        <v>122</v>
      </c>
      <c r="AG1022" s="430" t="s">
        <v>123</v>
      </c>
      <c r="AH1022" s="430" t="s">
        <v>78</v>
      </c>
      <c r="AI1022" s="437">
        <v>46280</v>
      </c>
      <c r="AJ1022" s="437">
        <f>IFERROR(VLOOKUP(AT1022, Vessel!A:D, 4, FALSE), "")</f>
        <v>46284.729166666664</v>
      </c>
      <c r="AK1022" s="437">
        <f>IFERROR(IF(VLOOKUP(AT1022,Vessel!A:F,5,FALSE)=0,"",VLOOKUP(AT1022,Vessel!A:F,5,FALSE)),"")</f>
        <v>46284.757893518516</v>
      </c>
      <c r="AL1022" s="437">
        <v>46328</v>
      </c>
      <c r="AM1022" s="949">
        <f>IFERROR(VLOOKUP(AT1022, Vessel!A:H, 8, FALSE), "")</f>
        <v>46336.791666666664</v>
      </c>
      <c r="AN1022" s="949" t="str">
        <f>IFERROR(IF(VLOOKUP(AT1022,Vessel!A:I,9,FALSE)=0,"",VLOOKUP(AT1022,Vessel!A:I,9,FALSE)),"")</f>
        <v/>
      </c>
      <c r="AP1022" s="430" t="s">
        <v>6633</v>
      </c>
      <c r="AQ1022" s="438" t="s">
        <v>80</v>
      </c>
      <c r="AR1022" s="623" t="s">
        <v>6634</v>
      </c>
      <c r="AS1022" s="430" t="s">
        <v>6635</v>
      </c>
      <c r="AT1022" s="430" t="s">
        <v>6635</v>
      </c>
      <c r="AU10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52.033773148148612</v>
      </c>
      <c r="AW1022" s="437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02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437" t="str">
        <f>IF(ISERROR(PV_DATA[[#This Row],[New Ark PO status]]),"",_xlfn.XLOOKUP(PV_DATA[[#This Row],[SPTN-PVHK New Ark PO'#]],New_Ark_Data[Purchase order Number],New_Ark_Data[Estimated time of arrival],"",0))</f>
        <v/>
      </c>
      <c r="AZ102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2" s="437">
        <f>IFERROR(PV_DATA[[#This Row],[ODP ETA Port]]+PV_DATA[[#This Row],[Customs/Leg3 Assumption]],"n/a")</f>
        <v>46344.791666666664</v>
      </c>
      <c r="BB1022" s="433">
        <f>YEAR(PV_DATA[[#This Row],[ETA for New Ark update]])</f>
        <v>2026</v>
      </c>
      <c r="BC1022" s="430">
        <f>MONTH(PV_DATA[[#This Row],[ETA for New Ark update]])</f>
        <v>11</v>
      </c>
      <c r="BD1022" s="430">
        <f>IFERROR(_xlfn.ISOWEEKNUM(PV_DATA[[#This Row],[ETA for New Ark update]]),0)</f>
        <v>47</v>
      </c>
      <c r="BE1022" s="430">
        <f>_xlfn.XLOOKUP(PV_DATA[[#This Row],[New Ark SKU]],Table9[New Ark SKU],Table9[Total PCS per Pallet],,0)</f>
        <v>36</v>
      </c>
      <c r="BF1022" s="430">
        <f>_xlfn.XLOOKUP(PV_DATA[[#This Row],[New Ark SKU]],Table9[New Ark SKU],Table9[Total PCS per 40HQ Container],,0)</f>
        <v>864</v>
      </c>
      <c r="BG1022" s="430" t="str">
        <f>_xlfn.XLOOKUP(PV_DATA[[#This Row],[New Ark SKU]],Table9[New Ark SKU],Table9[Back Glass],,0)</f>
        <v>Black glazing</v>
      </c>
      <c r="BH1022" s="610" t="str">
        <f>_xlfn.XLOOKUP(PV_DATA[[#This Row],[PORT DESTINATION]],Table12[PORT DESTINATION],Table12[Cosco Line],,0)</f>
        <v>AEM</v>
      </c>
    </row>
    <row r="1023" spans="1:60" s="430" customFormat="1" ht="10.5">
      <c r="A1023" s="951" t="s">
        <v>6639</v>
      </c>
      <c r="B1023" s="945" t="s">
        <v>111</v>
      </c>
      <c r="C1023" s="462" t="str">
        <f>IFERROR(LEFT(PV_DATA[[#This Row],[TCL REFERENCE]],FIND(".",PV_DATA[[#This Row],[TCL REFERENCE]],1)-1),"Main Line")</f>
        <v>26Aug010</v>
      </c>
      <c r="D1023" s="945" t="s">
        <v>113</v>
      </c>
      <c r="E1023" s="462" t="s">
        <v>64</v>
      </c>
      <c r="F1023" s="945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3" s="462" t="s">
        <v>402</v>
      </c>
      <c r="H1023" s="462" t="s">
        <v>115</v>
      </c>
      <c r="I1023" s="462" t="s">
        <v>1395</v>
      </c>
      <c r="J1023" s="430" t="s">
        <v>96</v>
      </c>
      <c r="K1023" s="623"/>
      <c r="L1023" s="623"/>
      <c r="M1023" s="430" t="s">
        <v>68</v>
      </c>
      <c r="N1023" s="1079"/>
      <c r="O1023" s="623" t="s">
        <v>4531</v>
      </c>
      <c r="P1023" s="623" t="s">
        <v>6235</v>
      </c>
      <c r="Q1023" s="623" t="s">
        <v>330</v>
      </c>
      <c r="R1023" s="430" t="str">
        <f>_xlfn.XLOOKUP(PV_DATA[[#This Row],[New Ark SKU]],Table9[New Ark SKU],Table9[Connector],,0)</f>
        <v>H4(Com)</v>
      </c>
      <c r="S1023" s="433" t="str">
        <f>_xlfn.XLOOKUP(PV_DATA[[#This Row],[New Ark SKU]],Table9[New Ark SKU],Table9[Cable],,0)</f>
        <v>+400mm/-200mm</v>
      </c>
      <c r="T1023" s="976">
        <v>625</v>
      </c>
      <c r="U1023" s="1088">
        <v>1440</v>
      </c>
      <c r="V1023" s="977">
        <f>PV_DATA[[#This Row],[QUANTITY]]*PV_DATA[[#This Row],[WATT]]/1000000</f>
        <v>0.9</v>
      </c>
      <c r="W1023" s="435">
        <f>PV_DATA[[#This Row],[QUANTITY]]/36</f>
        <v>40</v>
      </c>
      <c r="X1023" s="1221">
        <f>PV_DATA[[#This Row],[QUANTITY]]/PV_DATA[[#This Row],[Qty/CT]]</f>
        <v>2</v>
      </c>
      <c r="Y1023" s="430" t="s">
        <v>2467</v>
      </c>
      <c r="Z1023" s="430" t="str">
        <f>IF(AN1023&lt;&gt;"","COMPLETED",IF(AK1023&lt;&gt;"","IN-TRANSIT",""))</f>
        <v>IN-TRANSIT</v>
      </c>
      <c r="AA1023" s="623" t="s">
        <v>5853</v>
      </c>
      <c r="AB1023" s="978">
        <v>46268</v>
      </c>
      <c r="AC1023" s="1222">
        <f>IF(PV_DATA[[#This Row],[Pick- Up Date]]&lt;&gt;"",_xlfn.ISOWEEKNUM(PV_DATA[[#This Row],[Pick- Up Date]]),"")</f>
        <v>36</v>
      </c>
      <c r="AD1023" s="623" t="s">
        <v>6640</v>
      </c>
      <c r="AE1023" s="623"/>
      <c r="AF1023" s="623" t="s">
        <v>122</v>
      </c>
      <c r="AG1023" s="623" t="s">
        <v>122</v>
      </c>
      <c r="AH1023" s="430" t="s">
        <v>124</v>
      </c>
      <c r="AI1023" s="978">
        <v>46273</v>
      </c>
      <c r="AJ1023" s="437">
        <f>IFERROR(VLOOKUP(AT1023, Vessel!A:D, 4, FALSE), "")</f>
        <v>46273.041666666664</v>
      </c>
      <c r="AK1023" s="437">
        <f>IFERROR(IF(VLOOKUP(AT1023,Vessel!A:F,5,FALSE)=0,"",VLOOKUP(AT1023,Vessel!A:F,5,FALSE)),"")</f>
        <v>46273.077708333331</v>
      </c>
      <c r="AL1023" s="978">
        <v>46317</v>
      </c>
      <c r="AM1023" s="949">
        <f>IFERROR(VLOOKUP(AT1023, Vessel!A:H, 8, FALSE), "")</f>
        <v>46333.583333333336</v>
      </c>
      <c r="AN1023" s="949" t="str">
        <f>IFERROR(IF(VLOOKUP(AT1023,Vessel!A:I,9,FALSE)=0,"",VLOOKUP(AT1023,Vessel!A:I,9,FALSE)),"")</f>
        <v/>
      </c>
      <c r="AO1023" s="623"/>
      <c r="AP1023" s="623" t="s">
        <v>6641</v>
      </c>
      <c r="AQ1023" s="1070" t="s">
        <v>80</v>
      </c>
      <c r="AR1023" s="623" t="s">
        <v>6642</v>
      </c>
      <c r="AS1023" s="623" t="s">
        <v>6643</v>
      </c>
      <c r="AT1023" s="430" t="s">
        <v>6643</v>
      </c>
      <c r="AU10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60.505625000005239</v>
      </c>
      <c r="AV1023" s="623"/>
      <c r="AW1023" s="978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46333.583333333336</v>
      </c>
      <c r="AX102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978" t="str">
        <f>IF(ISERROR(PV_DATA[[#This Row],[New Ark PO status]]),"",_xlfn.XLOOKUP(PV_DATA[[#This Row],[SPTN-PVHK New Ark PO'#]],New_Ark_Data[Purchase order Number],New_Ark_Data[Estimated time of arrival],"",0))</f>
        <v/>
      </c>
      <c r="AZ1023" s="97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3" s="978">
        <f>IFERROR(PV_DATA[[#This Row],[ODP ETA Port]]+PV_DATA[[#This Row],[Customs/Leg3 Assumption]],"n/a")</f>
        <v>46342.583333333336</v>
      </c>
      <c r="BB1023" s="433" t="s">
        <v>6536</v>
      </c>
      <c r="BC1023" s="433" t="s">
        <v>6536</v>
      </c>
      <c r="BD1023" s="623">
        <f>IFERROR(_xlfn.ISOWEEKNUM(PV_DATA[[#This Row],[ETA for New Ark update]]),0)</f>
        <v>47</v>
      </c>
      <c r="BE1023" s="623">
        <f>_xlfn.XLOOKUP(PV_DATA[[#This Row],[New Ark SKU]],Table9[New Ark SKU],Table9[Total PCS per Pallet],,0)</f>
        <v>36</v>
      </c>
      <c r="BF1023" s="623">
        <f>_xlfn.XLOOKUP(PV_DATA[[#This Row],[New Ark SKU]],Table9[New Ark SKU],Table9[Total PCS per 40HQ Container],,0)</f>
        <v>720</v>
      </c>
      <c r="BG1023" s="623" t="str">
        <f>_xlfn.XLOOKUP(PV_DATA[[#This Row],[New Ark SKU]],Table9[New Ark SKU],Table9[Back Glass],,0)</f>
        <v>Redirection Film</v>
      </c>
      <c r="BH1023" s="979" t="str">
        <f>_xlfn.XLOOKUP(PV_DATA[[#This Row],[PORT DESTINATION]],Table12[PORT DESTINATION],Table12[Cosco Line],,0)</f>
        <v>AEM</v>
      </c>
    </row>
    <row r="1024" spans="1:60" s="430" customFormat="1" ht="10.5">
      <c r="A1024" s="951" t="s">
        <v>6644</v>
      </c>
      <c r="B1024" s="945" t="s">
        <v>111</v>
      </c>
      <c r="C1024" s="462" t="str">
        <f>IFERROR(LEFT(PV_DATA[[#This Row],[TCL REFERENCE]],FIND(".",PV_DATA[[#This Row],[TCL REFERENCE]],1)-1),"Main Line")</f>
        <v>26Aug010</v>
      </c>
      <c r="D1024" s="945" t="s">
        <v>113</v>
      </c>
      <c r="E1024" s="462" t="s">
        <v>64</v>
      </c>
      <c r="F1024" s="945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4" s="462" t="s">
        <v>402</v>
      </c>
      <c r="H1024" s="462" t="s">
        <v>115</v>
      </c>
      <c r="I1024" s="462" t="s">
        <v>1395</v>
      </c>
      <c r="J1024" s="430" t="s">
        <v>96</v>
      </c>
      <c r="K1024" s="623"/>
      <c r="L1024" s="623"/>
      <c r="M1024" s="430" t="s">
        <v>68</v>
      </c>
      <c r="N1024" s="1079"/>
      <c r="O1024" s="623" t="s">
        <v>4531</v>
      </c>
      <c r="P1024" s="623" t="s">
        <v>6235</v>
      </c>
      <c r="Q1024" s="623" t="s">
        <v>330</v>
      </c>
      <c r="R1024" s="430" t="str">
        <f>_xlfn.XLOOKUP(PV_DATA[[#This Row],[New Ark SKU]],Table9[New Ark SKU],Table9[Connector],,0)</f>
        <v>H4(Com)</v>
      </c>
      <c r="S1024" s="433" t="str">
        <f>_xlfn.XLOOKUP(PV_DATA[[#This Row],[New Ark SKU]],Table9[New Ark SKU],Table9[Cable],,0)</f>
        <v>+400mm/-200mm</v>
      </c>
      <c r="T1024" s="976">
        <v>625</v>
      </c>
      <c r="U1024" s="1088">
        <v>720</v>
      </c>
      <c r="V1024" s="977">
        <f>PV_DATA[[#This Row],[QUANTITY]]*PV_DATA[[#This Row],[WATT]]/1000000</f>
        <v>0.45</v>
      </c>
      <c r="W1024" s="435">
        <f>PV_DATA[[#This Row],[QUANTITY]]/36</f>
        <v>20</v>
      </c>
      <c r="X1024" s="1221">
        <f>PV_DATA[[#This Row],[QUANTITY]]/PV_DATA[[#This Row],[Qty/CT]]</f>
        <v>1</v>
      </c>
      <c r="Y1024" s="430" t="s">
        <v>2467</v>
      </c>
      <c r="Z1024" s="430" t="str">
        <f>IF(AN1024&lt;&gt;"","COMPLETED",IF(AK1024&lt;&gt;"","IN-TRANSIT",""))</f>
        <v>IN-TRANSIT</v>
      </c>
      <c r="AA1024" s="623" t="s">
        <v>5853</v>
      </c>
      <c r="AB1024" s="978">
        <v>46269</v>
      </c>
      <c r="AC1024" s="1222">
        <f>IF(PV_DATA[[#This Row],[Pick- Up Date]]&lt;&gt;"",_xlfn.ISOWEEKNUM(PV_DATA[[#This Row],[Pick- Up Date]]),"")</f>
        <v>36</v>
      </c>
      <c r="AD1024" s="623" t="s">
        <v>6645</v>
      </c>
      <c r="AE1024" s="623"/>
      <c r="AF1024" s="623" t="s">
        <v>122</v>
      </c>
      <c r="AG1024" s="623" t="s">
        <v>122</v>
      </c>
      <c r="AH1024" s="430" t="s">
        <v>124</v>
      </c>
      <c r="AI1024" s="978">
        <v>46277</v>
      </c>
      <c r="AJ1024" s="437">
        <f>IFERROR(VLOOKUP(AT1024, Vessel!A:D, 4, FALSE), "")</f>
        <v>46277.791666666664</v>
      </c>
      <c r="AK1024" s="437">
        <f>IFERROR(IF(VLOOKUP(AT1024,Vessel!A:F,5,FALSE)=0,"",VLOOKUP(AT1024,Vessel!A:F,5,FALSE)),"")</f>
        <v>46277.833090277774</v>
      </c>
      <c r="AL1024" s="978">
        <v>46310</v>
      </c>
      <c r="AM1024" s="949">
        <f>IFERROR(VLOOKUP(AT1024, Vessel!A:H, 8, FALSE), "")</f>
        <v>46311.583333333336</v>
      </c>
      <c r="AN1024" s="949" t="str">
        <f>IFERROR(IF(VLOOKUP(AT1024,Vessel!A:I,9,FALSE)=0,"",VLOOKUP(AT1024,Vessel!A:I,9,FALSE)),"")</f>
        <v/>
      </c>
      <c r="AO1024" s="623"/>
      <c r="AP1024" s="623" t="s">
        <v>6626</v>
      </c>
      <c r="AQ1024" s="1070" t="s">
        <v>80</v>
      </c>
      <c r="AR1024" s="623" t="s">
        <v>6646</v>
      </c>
      <c r="AS1024" s="623" t="s">
        <v>6647</v>
      </c>
      <c r="AT1024" s="430" t="s">
        <v>6647</v>
      </c>
      <c r="AU10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33.750243055561441</v>
      </c>
      <c r="AV1024" s="623"/>
      <c r="AW1024" s="978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46311.583333333336</v>
      </c>
      <c r="AX102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978" t="str">
        <f>IF(ISERROR(PV_DATA[[#This Row],[New Ark PO status]]),"",_xlfn.XLOOKUP(PV_DATA[[#This Row],[SPTN-PVHK New Ark PO'#]],New_Ark_Data[Purchase order Number],New_Ark_Data[Estimated time of arrival],"",0))</f>
        <v/>
      </c>
      <c r="AZ1024" s="97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4" s="978">
        <f>IFERROR(PV_DATA[[#This Row],[ODP ETA Port]]+PV_DATA[[#This Row],[Customs/Leg3 Assumption]],"n/a")</f>
        <v>46320.583333333336</v>
      </c>
      <c r="BB1024" s="433" t="s">
        <v>6536</v>
      </c>
      <c r="BC1024" s="433" t="s">
        <v>6536</v>
      </c>
      <c r="BD1024" s="623">
        <f>IFERROR(_xlfn.ISOWEEKNUM(PV_DATA[[#This Row],[ETA for New Ark update]]),0)</f>
        <v>43</v>
      </c>
      <c r="BE1024" s="623">
        <f>_xlfn.XLOOKUP(PV_DATA[[#This Row],[New Ark SKU]],Table9[New Ark SKU],Table9[Total PCS per Pallet],,0)</f>
        <v>36</v>
      </c>
      <c r="BF1024" s="623">
        <f>_xlfn.XLOOKUP(PV_DATA[[#This Row],[New Ark SKU]],Table9[New Ark SKU],Table9[Total PCS per 40HQ Container],,0)</f>
        <v>720</v>
      </c>
      <c r="BG1024" s="623" t="str">
        <f>_xlfn.XLOOKUP(PV_DATA[[#This Row],[New Ark SKU]],Table9[New Ark SKU],Table9[Back Glass],,0)</f>
        <v>Redirection Film</v>
      </c>
      <c r="BH1024" s="979" t="str">
        <f>_xlfn.XLOOKUP(PV_DATA[[#This Row],[PORT DESTINATION]],Table12[PORT DESTINATION],Table12[Cosco Line],,0)</f>
        <v>AEM</v>
      </c>
    </row>
    <row r="1025" spans="1:60" s="430" customFormat="1" ht="10.5">
      <c r="A1025" s="729" t="s">
        <v>6648</v>
      </c>
      <c r="B1025" s="462" t="s">
        <v>111</v>
      </c>
      <c r="C1025" s="462" t="str">
        <f>IFERROR(LEFT(PV_DATA[[#This Row],[TCL REFERENCE]],FIND(".",PV_DATA[[#This Row],[TCL REFERENCE]],1)-1),"Main Line")</f>
        <v>26Aug020</v>
      </c>
      <c r="D1025" s="462" t="s">
        <v>63</v>
      </c>
      <c r="E1025" s="462" t="s">
        <v>64</v>
      </c>
      <c r="F1025" s="462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5" s="462" t="s">
        <v>402</v>
      </c>
      <c r="H1025" s="462" t="s">
        <v>67</v>
      </c>
      <c r="I1025" s="462" t="s">
        <v>689</v>
      </c>
      <c r="J1025" s="430" t="s">
        <v>96</v>
      </c>
      <c r="M1025" s="430" t="s">
        <v>6315</v>
      </c>
      <c r="N1025" s="432">
        <v>46238</v>
      </c>
      <c r="O1025" s="430" t="s">
        <v>132</v>
      </c>
      <c r="P1025" s="430" t="s">
        <v>1062</v>
      </c>
      <c r="Q1025" s="430" t="s">
        <v>1063</v>
      </c>
      <c r="R1025" s="430" t="str">
        <f>_xlfn.XLOOKUP(PV_DATA[[#This Row],[New Ark SKU]],Table9[New Ark SKU],Table9[Connector],,0)</f>
        <v>EVO2A</v>
      </c>
      <c r="S1025" s="433" t="str">
        <f>_xlfn.XLOOKUP(PV_DATA[[#This Row],[New Ark SKU]],Table9[New Ark SKU],Table9[Cable],,0)</f>
        <v>±1200mm</v>
      </c>
      <c r="T1025" s="433">
        <v>470</v>
      </c>
      <c r="U1025" s="1088">
        <f>864*3</f>
        <v>2592</v>
      </c>
      <c r="V1025" s="434">
        <f>PV_DATA[[#This Row],[QUANTITY]]*PV_DATA[[#This Row],[WATT]]/1000000</f>
        <v>1.21824</v>
      </c>
      <c r="W1025" s="435">
        <f>PV_DATA[[#This Row],[QUANTITY]]/PV_DATA[[#This Row],[Qty/Pallet]]</f>
        <v>72</v>
      </c>
      <c r="X1025" s="1040">
        <f>PV_DATA[[#This Row],[QUANTITY]]/PV_DATA[[#This Row],[Qty/CT]]</f>
        <v>3</v>
      </c>
      <c r="Y1025" s="430" t="s">
        <v>2468</v>
      </c>
      <c r="AA1025" s="430" t="s">
        <v>5853</v>
      </c>
      <c r="AB1025" s="437">
        <v>46274</v>
      </c>
      <c r="AC1025" s="438"/>
      <c r="AD1025" s="462" t="s">
        <v>6649</v>
      </c>
      <c r="AF1025" s="430" t="s">
        <v>122</v>
      </c>
      <c r="AG1025" s="430" t="s">
        <v>123</v>
      </c>
      <c r="AH1025" s="430" t="s">
        <v>78</v>
      </c>
      <c r="AI1025" s="437">
        <v>46278</v>
      </c>
      <c r="AJ1025" s="437">
        <v>46279</v>
      </c>
      <c r="AK1025" s="437">
        <v>46279</v>
      </c>
      <c r="AL1025" s="437">
        <v>46330</v>
      </c>
      <c r="AM1025" s="437"/>
      <c r="AN1025" s="437"/>
      <c r="AP1025" s="430" t="s">
        <v>6650</v>
      </c>
      <c r="AQ1025" s="430" t="s">
        <v>161</v>
      </c>
      <c r="AR1025" s="430" t="s">
        <v>6651</v>
      </c>
      <c r="AS1025" s="430">
        <v>276098842</v>
      </c>
      <c r="AT1025" s="430">
        <v>276098842</v>
      </c>
      <c r="AU10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1025" s="437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2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437" t="str">
        <f>IF(ISERROR(PV_DATA[[#This Row],[New Ark PO status]]),"",_xlfn.XLOOKUP(PV_DATA[[#This Row],[SPTN-PVHK New Ark PO'#]],New_Ark_Data[Purchase order Number],New_Ark_Data[Estimated time of arrival],"",0))</f>
        <v/>
      </c>
      <c r="AZ102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5" s="437">
        <f>IFERROR(PV_DATA[[#This Row],[ODP ETA Port]]+PV_DATA[[#This Row],[Customs/Leg3 Assumption]],"n/a")</f>
        <v>46338</v>
      </c>
      <c r="BB1025" s="433">
        <f>YEAR(PV_DATA[[#This Row],[ETA for New Ark update]])</f>
        <v>2026</v>
      </c>
      <c r="BC1025" s="430">
        <f>MONTH(PV_DATA[[#This Row],[ETA for New Ark update]])</f>
        <v>11</v>
      </c>
      <c r="BD1025" s="430">
        <f>IFERROR(_xlfn.ISOWEEKNUM(PV_DATA[[#This Row],[ETA for New Ark update]]),0)</f>
        <v>46</v>
      </c>
      <c r="BE1025" s="430">
        <f>_xlfn.XLOOKUP(PV_DATA[[#This Row],[New Ark SKU]],Table9[New Ark SKU],Table9[Total PCS per Pallet],,0)</f>
        <v>36</v>
      </c>
      <c r="BF1025" s="430">
        <f>_xlfn.XLOOKUP(PV_DATA[[#This Row],[New Ark SKU]],Table9[New Ark SKU],Table9[Total PCS per 40HQ Container],,0)</f>
        <v>864</v>
      </c>
      <c r="BG1025" s="430" t="str">
        <f>_xlfn.XLOOKUP(PV_DATA[[#This Row],[New Ark SKU]],Table9[New Ark SKU],Table9[Back Glass],,0)</f>
        <v>White glazing</v>
      </c>
      <c r="BH1025" s="430" t="str">
        <f>_xlfn.XLOOKUP(PV_DATA[[#This Row],[PORT DESTINATION]],Table12[PORT DESTINATION],Table12[Cosco Line],,0)</f>
        <v>AEM</v>
      </c>
    </row>
    <row r="1026" spans="1:60" s="430" customFormat="1" ht="10.5">
      <c r="A1026" s="951" t="s">
        <v>6652</v>
      </c>
      <c r="B1026" s="1078" t="s">
        <v>111</v>
      </c>
      <c r="C1026" s="462" t="str">
        <f>IFERROR(LEFT(PV_DATA[[#This Row],[TCL REFERENCE]],FIND(".",PV_DATA[[#This Row],[TCL REFERENCE]],1)-1),"Main Line")</f>
        <v>26Aug010</v>
      </c>
      <c r="D1026" s="945" t="s">
        <v>113</v>
      </c>
      <c r="E1026" s="462" t="s">
        <v>144</v>
      </c>
      <c r="F1026" s="945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6" s="462" t="s">
        <v>402</v>
      </c>
      <c r="H1026" s="462" t="s">
        <v>6653</v>
      </c>
      <c r="I1026" s="462" t="s">
        <v>6654</v>
      </c>
      <c r="J1026" s="462" t="s">
        <v>6653</v>
      </c>
      <c r="K1026" s="623" t="s">
        <v>6655</v>
      </c>
      <c r="L1026" s="623">
        <v>1</v>
      </c>
      <c r="M1026" s="462" t="s">
        <v>6656</v>
      </c>
      <c r="N1026" s="1079"/>
      <c r="O1026" s="623" t="s">
        <v>4531</v>
      </c>
      <c r="P1026" s="623" t="s">
        <v>6235</v>
      </c>
      <c r="Q1026" s="623" t="s">
        <v>330</v>
      </c>
      <c r="R1026" s="430" t="str">
        <f>_xlfn.XLOOKUP(PV_DATA[[#This Row],[New Ark SKU]],Table9[New Ark SKU],Table9[Connector],,0)</f>
        <v>H4(Com)</v>
      </c>
      <c r="S1026" s="433" t="str">
        <f>_xlfn.XLOOKUP(PV_DATA[[#This Row],[New Ark SKU]],Table9[New Ark SKU],Table9[Cable],,0)</f>
        <v>+400mm/-200mm</v>
      </c>
      <c r="T1026" s="976">
        <v>625</v>
      </c>
      <c r="U1026" s="1088">
        <f>720*8</f>
        <v>5760</v>
      </c>
      <c r="V1026" s="977">
        <f>PV_DATA[[#This Row],[QUANTITY]]*PV_DATA[[#This Row],[WATT]]/1000000</f>
        <v>3.6</v>
      </c>
      <c r="W1026" s="435">
        <f>PV_DATA[[#This Row],[QUANTITY]]/36</f>
        <v>160</v>
      </c>
      <c r="X1026" s="1221">
        <f>PV_DATA[[#This Row],[QUANTITY]]/PV_DATA[[#This Row],[Qty/CT]]</f>
        <v>8</v>
      </c>
      <c r="Y1026" s="430" t="s">
        <v>2467</v>
      </c>
      <c r="Z1026" s="430" t="str">
        <f t="shared" ref="Z1026:Z1033" si="17">IF(AN1026&lt;&gt;"","COMPLETED",IF(AK1026&lt;&gt;"","IN-TRANSIT",""))</f>
        <v>IN-TRANSIT</v>
      </c>
      <c r="AA1026" s="623"/>
      <c r="AB1026" s="978">
        <v>46277</v>
      </c>
      <c r="AC1026" s="1222">
        <f>IF(PV_DATA[[#This Row],[Pick- Up Date]]&lt;&gt;"",_xlfn.ISOWEEKNUM(PV_DATA[[#This Row],[Pick- Up Date]]),"")</f>
        <v>37</v>
      </c>
      <c r="AD1026" s="623" t="s">
        <v>6657</v>
      </c>
      <c r="AE1026" s="623"/>
      <c r="AF1026" s="623" t="s">
        <v>122</v>
      </c>
      <c r="AG1026" s="623" t="s">
        <v>122</v>
      </c>
      <c r="AH1026" s="430" t="s">
        <v>6510</v>
      </c>
      <c r="AI1026" s="978">
        <v>46280</v>
      </c>
      <c r="AJ1026" s="978">
        <v>46284</v>
      </c>
      <c r="AK1026" s="437">
        <v>46284</v>
      </c>
      <c r="AL1026" s="978">
        <v>46324</v>
      </c>
      <c r="AM1026" s="978">
        <v>46325</v>
      </c>
      <c r="AN1026" s="588"/>
      <c r="AO1026" s="623"/>
      <c r="AP1026" s="623" t="s">
        <v>6633</v>
      </c>
      <c r="AQ1026" s="1070" t="s">
        <v>161</v>
      </c>
      <c r="AR1026" s="623" t="s">
        <v>6658</v>
      </c>
      <c r="AS1026" s="623" t="s">
        <v>6659</v>
      </c>
      <c r="AT1026" s="430" t="s">
        <v>6659</v>
      </c>
      <c r="AU10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26" s="623"/>
      <c r="AW1026" s="978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2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978" t="str">
        <f>IF(ISERROR(PV_DATA[[#This Row],[New Ark PO status]]),"",_xlfn.XLOOKUP(PV_DATA[[#This Row],[SPTN-PVHK New Ark PO'#]],New_Ark_Data[Purchase order Number],New_Ark_Data[Estimated time of arrival],"",0))</f>
        <v/>
      </c>
      <c r="AZ1026" s="97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26" s="978">
        <f>IFERROR(PV_DATA[[#This Row],[ODP ETA Port]]+PV_DATA[[#This Row],[Customs/Leg3 Assumption]],"n/a")</f>
        <v>46325</v>
      </c>
      <c r="BB1026" s="433" t="s">
        <v>6315</v>
      </c>
      <c r="BC1026" s="433" t="s">
        <v>6315</v>
      </c>
      <c r="BD1026" s="623">
        <f>IFERROR(_xlfn.ISOWEEKNUM(PV_DATA[[#This Row],[ETA for New Ark update]]),0)</f>
        <v>44</v>
      </c>
      <c r="BE1026" s="623">
        <f>_xlfn.XLOOKUP(PV_DATA[[#This Row],[New Ark SKU]],Table9[New Ark SKU],Table9[Total PCS per Pallet],,0)</f>
        <v>36</v>
      </c>
      <c r="BF1026" s="623">
        <f>_xlfn.XLOOKUP(PV_DATA[[#This Row],[New Ark SKU]],Table9[New Ark SKU],Table9[Total PCS per 40HQ Container],,0)</f>
        <v>720</v>
      </c>
      <c r="BG1026" s="623" t="str">
        <f>_xlfn.XLOOKUP(PV_DATA[[#This Row],[New Ark SKU]],Table9[New Ark SKU],Table9[Back Glass],,0)</f>
        <v>Redirection Film</v>
      </c>
      <c r="BH1026" s="979" t="str">
        <f>_xlfn.XLOOKUP(PV_DATA[[#This Row],[PORT DESTINATION]],Table12[PORT DESTINATION],Table12[Cosco Line],,0)</f>
        <v>n/a</v>
      </c>
    </row>
    <row r="1027" spans="1:60" s="430" customFormat="1" ht="10.5">
      <c r="A1027" s="462" t="s">
        <v>6660</v>
      </c>
      <c r="B1027" s="459" t="s">
        <v>6661</v>
      </c>
      <c r="C1027" s="462" t="str">
        <f>IFERROR(LEFT(PV_DATA[[#This Row],[TCL REFERENCE]],FIND(".",PV_DATA[[#This Row],[TCL REFERENCE]],1)-1),"Main Line")</f>
        <v>26Aug006</v>
      </c>
      <c r="D1027" s="462" t="s">
        <v>63</v>
      </c>
      <c r="E1027" s="462" t="s">
        <v>64</v>
      </c>
      <c r="F1027" s="462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7" s="462" t="s">
        <v>402</v>
      </c>
      <c r="H1027" s="462" t="s">
        <v>67</v>
      </c>
      <c r="I1027" s="462" t="s">
        <v>882</v>
      </c>
      <c r="J1027" s="430" t="s">
        <v>96</v>
      </c>
      <c r="M1027" s="430" t="s">
        <v>6315</v>
      </c>
      <c r="N1027" s="432">
        <v>46258</v>
      </c>
      <c r="O1027" s="430" t="s">
        <v>4531</v>
      </c>
      <c r="P1027" s="430" t="s">
        <v>691</v>
      </c>
      <c r="Q1027" s="430" t="s">
        <v>692</v>
      </c>
      <c r="R1027" s="430" t="str">
        <f>_xlfn.XLOOKUP(PV_DATA[[#This Row],[New Ark SKU]],Table9[New Ark SKU],Table9[Connector],,0)</f>
        <v>EVO2A</v>
      </c>
      <c r="S1027" s="433" t="str">
        <f>_xlfn.XLOOKUP(PV_DATA[[#This Row],[New Ark SKU]],Table9[New Ark SKU],Table9[Cable],,0)</f>
        <v>±1200mm</v>
      </c>
      <c r="T1027" s="433">
        <v>505</v>
      </c>
      <c r="U1027" s="1088">
        <v>864</v>
      </c>
      <c r="V1027" s="434">
        <f>PV_DATA[[#This Row],[QUANTITY]]*PV_DATA[[#This Row],[WATT]]/1000000</f>
        <v>0.43631999999999999</v>
      </c>
      <c r="W1027" s="435">
        <f>PV_DATA[[#This Row],[QUANTITY]]/PV_DATA[[#This Row],[Qty/Pallet]]</f>
        <v>24</v>
      </c>
      <c r="X1027" s="1040">
        <f>PV_DATA[[#This Row],[QUANTITY]]/PV_DATA[[#This Row],[Qty/CT]]</f>
        <v>1</v>
      </c>
      <c r="Y1027" s="430" t="s">
        <v>2465</v>
      </c>
      <c r="Z1027" s="430" t="str">
        <f t="shared" si="17"/>
        <v>IN-TRANSIT</v>
      </c>
      <c r="AA1027" s="545">
        <v>46274</v>
      </c>
      <c r="AB1027" s="437">
        <v>46276</v>
      </c>
      <c r="AC1027" s="485">
        <f>IF(PV_DATA[[#This Row],[Pick- Up Date]]&lt;&gt;"",_xlfn.ISOWEEKNUM(PV_DATA[[#This Row],[Pick- Up Date]]),"")</f>
        <v>37</v>
      </c>
      <c r="AD1027" s="430" t="s">
        <v>6662</v>
      </c>
      <c r="AF1027" s="430" t="s">
        <v>5994</v>
      </c>
      <c r="AG1027" s="430" t="s">
        <v>5994</v>
      </c>
      <c r="AH1027" s="430" t="s">
        <v>78</v>
      </c>
      <c r="AI1027" s="437">
        <v>46280</v>
      </c>
      <c r="AJ1027" s="437">
        <f>IFERROR(VLOOKUP(AT1027, Vessel!A:D, 4, FALSE), "")</f>
        <v>46281.041666666664</v>
      </c>
      <c r="AK1027" s="437">
        <v>46281</v>
      </c>
      <c r="AL1027" s="437">
        <v>46323</v>
      </c>
      <c r="AM1027" s="949">
        <f>IFERROR(VLOOKUP(AT1027, Vessel!A:H, 8, FALSE), "")</f>
        <v>46323.25</v>
      </c>
      <c r="AN1027" s="949" t="str">
        <f>IFERROR(IF(VLOOKUP(AT1027,Vessel!A:I,9,FALSE)=0,"",VLOOKUP(AT1027,Vessel!A:I,9,FALSE)),"")</f>
        <v/>
      </c>
      <c r="AP1027" s="430" t="s">
        <v>6663</v>
      </c>
      <c r="AQ1027" s="438" t="s">
        <v>80</v>
      </c>
      <c r="AR1027" s="430" t="s">
        <v>6664</v>
      </c>
      <c r="AS1027" s="430" t="s">
        <v>6665</v>
      </c>
      <c r="AT1027" s="430" t="s">
        <v>6665</v>
      </c>
      <c r="AU10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42.25</v>
      </c>
      <c r="AW1027" s="437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2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437" t="str">
        <f>IF(ISERROR(PV_DATA[[#This Row],[New Ark PO status]]),"",_xlfn.XLOOKUP(PV_DATA[[#This Row],[SPTN-PVHK New Ark PO'#]],New_Ark_Data[Purchase order Number],New_Ark_Data[Estimated time of arrival],"",0))</f>
        <v/>
      </c>
      <c r="AZ102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7" s="437">
        <f>IFERROR(PV_DATA[[#This Row],[ODP ETA Port]]+PV_DATA[[#This Row],[Customs/Leg3 Assumption]],"n/a")</f>
        <v>46331.25</v>
      </c>
      <c r="BB1027" s="433">
        <f>YEAR(PV_DATA[[#This Row],[ETA for New Ark update]])</f>
        <v>2026</v>
      </c>
      <c r="BC1027" s="430">
        <f>MONTH(PV_DATA[[#This Row],[ETA for New Ark update]])</f>
        <v>11</v>
      </c>
      <c r="BD1027" s="430">
        <f>IFERROR(_xlfn.ISOWEEKNUM(PV_DATA[[#This Row],[ETA for New Ark update]]),0)</f>
        <v>45</v>
      </c>
      <c r="BE1027" s="430">
        <f>_xlfn.XLOOKUP(PV_DATA[[#This Row],[New Ark SKU]],Table9[New Ark SKU],Table9[Total PCS per Pallet],,0)</f>
        <v>36</v>
      </c>
      <c r="BF1027" s="430">
        <f>_xlfn.XLOOKUP(PV_DATA[[#This Row],[New Ark SKU]],Table9[New Ark SKU],Table9[Total PCS per 40HQ Container],,0)</f>
        <v>864</v>
      </c>
      <c r="BG1027" s="430" t="str">
        <f>_xlfn.XLOOKUP(PV_DATA[[#This Row],[New Ark SKU]],Table9[New Ark SKU],Table9[Back Glass],,0)</f>
        <v>Black glazing</v>
      </c>
      <c r="BH1027" s="430" t="str">
        <f>_xlfn.XLOOKUP(PV_DATA[[#This Row],[PORT DESTINATION]],Table12[PORT DESTINATION],Table12[Cosco Line],,0)</f>
        <v>AEM</v>
      </c>
    </row>
    <row r="1028" spans="1:60" s="430" customFormat="1" ht="10.5">
      <c r="A1028" s="462" t="s">
        <v>6666</v>
      </c>
      <c r="B1028" s="462" t="s">
        <v>6661</v>
      </c>
      <c r="C1028" s="462" t="str">
        <f>IFERROR(LEFT(PV_DATA[[#This Row],[TCL REFERENCE]],FIND(".",PV_DATA[[#This Row],[TCL REFERENCE]],1)-1),"Main Line")</f>
        <v>26Aug006</v>
      </c>
      <c r="D1028" s="462" t="s">
        <v>63</v>
      </c>
      <c r="E1028" s="462" t="s">
        <v>64</v>
      </c>
      <c r="F1028" s="462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8" s="462" t="s">
        <v>402</v>
      </c>
      <c r="H1028" s="462" t="s">
        <v>67</v>
      </c>
      <c r="I1028" s="462" t="s">
        <v>882</v>
      </c>
      <c r="J1028" s="430" t="s">
        <v>96</v>
      </c>
      <c r="M1028" s="430" t="s">
        <v>6536</v>
      </c>
      <c r="N1028" s="432">
        <v>46258</v>
      </c>
      <c r="O1028" s="430" t="s">
        <v>4531</v>
      </c>
      <c r="P1028" s="430" t="s">
        <v>691</v>
      </c>
      <c r="Q1028" s="430" t="s">
        <v>692</v>
      </c>
      <c r="R1028" s="430" t="str">
        <f>_xlfn.XLOOKUP(PV_DATA[[#This Row],[New Ark SKU]],Table9[New Ark SKU],Table9[Connector],,0)</f>
        <v>EVO2A</v>
      </c>
      <c r="S1028" s="433" t="str">
        <f>_xlfn.XLOOKUP(PV_DATA[[#This Row],[New Ark SKU]],Table9[New Ark SKU],Table9[Cable],,0)</f>
        <v>±1200mm</v>
      </c>
      <c r="T1028" s="433">
        <v>505</v>
      </c>
      <c r="U1028" s="1088">
        <v>864</v>
      </c>
      <c r="V1028" s="434">
        <f>PV_DATA[[#This Row],[QUANTITY]]*PV_DATA[[#This Row],[WATT]]/1000000</f>
        <v>0.43631999999999999</v>
      </c>
      <c r="W1028" s="435">
        <f>PV_DATA[[#This Row],[QUANTITY]]/PV_DATA[[#This Row],[Qty/Pallet]]</f>
        <v>24</v>
      </c>
      <c r="X1028" s="1040">
        <f>PV_DATA[[#This Row],[QUANTITY]]/PV_DATA[[#This Row],[Qty/CT]]</f>
        <v>1</v>
      </c>
      <c r="Y1028" s="430" t="s">
        <v>2466</v>
      </c>
      <c r="Z1028" s="430" t="str">
        <f t="shared" si="17"/>
        <v>IN-TRANSIT</v>
      </c>
      <c r="AA1028" s="545">
        <v>46279</v>
      </c>
      <c r="AB1028" s="437">
        <v>46286</v>
      </c>
      <c r="AC1028" s="485">
        <f>IF(PV_DATA[[#This Row],[Pick- Up Date]]&lt;&gt;"",_xlfn.ISOWEEKNUM(PV_DATA[[#This Row],[Pick- Up Date]]),"")</f>
        <v>39</v>
      </c>
      <c r="AD1028" s="430" t="s">
        <v>6667</v>
      </c>
      <c r="AF1028" s="430" t="s">
        <v>5994</v>
      </c>
      <c r="AG1028" s="430" t="s">
        <v>5994</v>
      </c>
      <c r="AH1028" s="430" t="s">
        <v>78</v>
      </c>
      <c r="AI1028" s="437">
        <v>46282</v>
      </c>
      <c r="AJ1028" s="437">
        <f>IFERROR(VLOOKUP(AT1028, Vessel!A:D, 4, FALSE), "")</f>
        <v>46289.625</v>
      </c>
      <c r="AK1028" s="437">
        <f>IFERROR(IF(VLOOKUP(AT1028,Vessel!A:F,5,FALSE)=0,"",VLOOKUP(AT1028,Vessel!A:F,5,FALSE)),"")</f>
        <v>46289.666585648149</v>
      </c>
      <c r="AL1028" s="437">
        <v>46328</v>
      </c>
      <c r="AM1028" s="949">
        <f>IFERROR(VLOOKUP(AT1028, Vessel!A:H, 8, FALSE), "")</f>
        <v>46336.791666666664</v>
      </c>
      <c r="AN1028" s="949" t="str">
        <f>IFERROR(IF(VLOOKUP(AT1028,Vessel!A:I,9,FALSE)=0,"",VLOOKUP(AT1028,Vessel!A:I,9,FALSE)),"")</f>
        <v/>
      </c>
      <c r="AP1028" s="430" t="s">
        <v>6633</v>
      </c>
      <c r="AQ1028" s="438" t="s">
        <v>80</v>
      </c>
      <c r="AR1028" s="430" t="s">
        <v>6668</v>
      </c>
      <c r="AS1028" s="430" t="s">
        <v>6669</v>
      </c>
      <c r="AT1028" s="430" t="s">
        <v>6669</v>
      </c>
      <c r="AU10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47.12508101851563</v>
      </c>
      <c r="AW1028" s="437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02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437" t="str">
        <f>IF(ISERROR(PV_DATA[[#This Row],[New Ark PO status]]),"",_xlfn.XLOOKUP(PV_DATA[[#This Row],[SPTN-PVHK New Ark PO'#]],New_Ark_Data[Purchase order Number],New_Ark_Data[Estimated time of arrival],"",0))</f>
        <v/>
      </c>
      <c r="AZ102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8" s="437">
        <f>IFERROR(PV_DATA[[#This Row],[ODP ETA Port]]+PV_DATA[[#This Row],[Customs/Leg3 Assumption]],"n/a")</f>
        <v>46344.791666666664</v>
      </c>
      <c r="BB1028" s="433">
        <f>YEAR(PV_DATA[[#This Row],[ETA for New Ark update]])</f>
        <v>2026</v>
      </c>
      <c r="BC1028" s="430">
        <f>MONTH(PV_DATA[[#This Row],[ETA for New Ark update]])</f>
        <v>11</v>
      </c>
      <c r="BD1028" s="430">
        <f>IFERROR(_xlfn.ISOWEEKNUM(PV_DATA[[#This Row],[ETA for New Ark update]]),0)</f>
        <v>47</v>
      </c>
      <c r="BE1028" s="430">
        <f>_xlfn.XLOOKUP(PV_DATA[[#This Row],[New Ark SKU]],Table9[New Ark SKU],Table9[Total PCS per Pallet],,0)</f>
        <v>36</v>
      </c>
      <c r="BF1028" s="430">
        <f>_xlfn.XLOOKUP(PV_DATA[[#This Row],[New Ark SKU]],Table9[New Ark SKU],Table9[Total PCS per 40HQ Container],,0)</f>
        <v>864</v>
      </c>
      <c r="BG1028" s="430" t="str">
        <f>_xlfn.XLOOKUP(PV_DATA[[#This Row],[New Ark SKU]],Table9[New Ark SKU],Table9[Back Glass],,0)</f>
        <v>Black glazing</v>
      </c>
      <c r="BH1028" s="430" t="str">
        <f>_xlfn.XLOOKUP(PV_DATA[[#This Row],[PORT DESTINATION]],Table12[PORT DESTINATION],Table12[Cosco Line],,0)</f>
        <v>AEM</v>
      </c>
    </row>
    <row r="1029" spans="1:60" s="430" customFormat="1" ht="10.5">
      <c r="A1029" s="729" t="s">
        <v>6670</v>
      </c>
      <c r="B1029" s="462" t="s">
        <v>6661</v>
      </c>
      <c r="C1029" s="462" t="str">
        <f>IFERROR(LEFT(PV_DATA[[#This Row],[TCL REFERENCE]],FIND(".",PV_DATA[[#This Row],[TCL REFERENCE]],1)-1),"Main Line")</f>
        <v>26Aug005</v>
      </c>
      <c r="D1029" s="462" t="s">
        <v>63</v>
      </c>
      <c r="E1029" s="462" t="s">
        <v>64</v>
      </c>
      <c r="F1029" s="462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9" s="462" t="s">
        <v>402</v>
      </c>
      <c r="H1029" s="462" t="s">
        <v>67</v>
      </c>
      <c r="I1029" s="462" t="s">
        <v>689</v>
      </c>
      <c r="J1029" s="430" t="s">
        <v>96</v>
      </c>
      <c r="M1029" s="430" t="s">
        <v>6536</v>
      </c>
      <c r="N1029" s="432">
        <v>46258</v>
      </c>
      <c r="O1029" s="430" t="s">
        <v>4531</v>
      </c>
      <c r="P1029" s="430" t="s">
        <v>706</v>
      </c>
      <c r="Q1029" s="430" t="s">
        <v>707</v>
      </c>
      <c r="R1029" s="430" t="str">
        <f>_xlfn.XLOOKUP(PV_DATA[[#This Row],[New Ark SKU]],Table9[New Ark SKU],Table9[Connector],,0)</f>
        <v>EVO2A</v>
      </c>
      <c r="S1029" s="433" t="str">
        <f>_xlfn.XLOOKUP(PV_DATA[[#This Row],[New Ark SKU]],Table9[New Ark SKU],Table9[Cable],,0)</f>
        <v>±1200mm</v>
      </c>
      <c r="T1029" s="433">
        <v>500</v>
      </c>
      <c r="U1029" s="1088">
        <v>864</v>
      </c>
      <c r="V1029" s="434">
        <f>PV_DATA[[#This Row],[QUANTITY]]*PV_DATA[[#This Row],[WATT]]/1000000</f>
        <v>0.432</v>
      </c>
      <c r="W1029" s="435">
        <f>PV_DATA[[#This Row],[QUANTITY]]/PV_DATA[[#This Row],[Qty/Pallet]]</f>
        <v>24</v>
      </c>
      <c r="X1029" s="1040">
        <f>PV_DATA[[#This Row],[QUANTITY]]/PV_DATA[[#This Row],[Qty/CT]]</f>
        <v>1</v>
      </c>
      <c r="Y1029" s="430" t="s">
        <v>2468</v>
      </c>
      <c r="Z1029" s="430" t="str">
        <f t="shared" si="17"/>
        <v>IN-TRANSIT</v>
      </c>
      <c r="AA1029" s="545">
        <v>46280</v>
      </c>
      <c r="AB1029" s="437">
        <v>46286</v>
      </c>
      <c r="AC1029" s="485">
        <f>IF(PV_DATA[[#This Row],[Pick- Up Date]]&lt;&gt;"",_xlfn.ISOWEEKNUM(PV_DATA[[#This Row],[Pick- Up Date]]),"")</f>
        <v>39</v>
      </c>
      <c r="AD1029" s="430" t="s">
        <v>6671</v>
      </c>
      <c r="AF1029" s="430" t="s">
        <v>5994</v>
      </c>
      <c r="AG1029" s="430" t="s">
        <v>5994</v>
      </c>
      <c r="AH1029" s="430" t="s">
        <v>78</v>
      </c>
      <c r="AI1029" s="437">
        <v>46282</v>
      </c>
      <c r="AJ1029" s="437">
        <f>IFERROR(VLOOKUP(AT1029, Vessel!A:D, 4, FALSE), "")</f>
        <v>46289.625</v>
      </c>
      <c r="AK1029" s="437">
        <f>IFERROR(IF(VLOOKUP(AT1029,Vessel!A:F,5,FALSE)=0,"",VLOOKUP(AT1029,Vessel!A:F,5,FALSE)),"")</f>
        <v>46289.666585648149</v>
      </c>
      <c r="AL1029" s="437">
        <v>46328</v>
      </c>
      <c r="AM1029" s="949">
        <f>IFERROR(VLOOKUP(AT1029, Vessel!A:H, 8, FALSE), "")</f>
        <v>46336.791666666664</v>
      </c>
      <c r="AN1029" s="949" t="str">
        <f>IFERROR(IF(VLOOKUP(AT1029,Vessel!A:I,9,FALSE)=0,"",VLOOKUP(AT1029,Vessel!A:I,9,FALSE)),"")</f>
        <v/>
      </c>
      <c r="AP1029" s="430" t="s">
        <v>6633</v>
      </c>
      <c r="AQ1029" s="430" t="s">
        <v>80</v>
      </c>
      <c r="AR1029" s="430" t="s">
        <v>6668</v>
      </c>
      <c r="AS1029" s="430" t="s">
        <v>6669</v>
      </c>
      <c r="AT1029" s="430" t="s">
        <v>6669</v>
      </c>
      <c r="AU10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47.12508101851563</v>
      </c>
      <c r="AW1029" s="437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02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437" t="str">
        <f>IF(ISERROR(PV_DATA[[#This Row],[New Ark PO status]]),"",_xlfn.XLOOKUP(PV_DATA[[#This Row],[SPTN-PVHK New Ark PO'#]],New_Ark_Data[Purchase order Number],New_Ark_Data[Estimated time of arrival],"",0))</f>
        <v/>
      </c>
      <c r="AZ102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9" s="437">
        <f>IFERROR(PV_DATA[[#This Row],[ODP ETA Port]]+PV_DATA[[#This Row],[Customs/Leg3 Assumption]],"n/a")</f>
        <v>46344.791666666664</v>
      </c>
      <c r="BB1029" s="433">
        <f>YEAR(PV_DATA[[#This Row],[ETA for New Ark update]])</f>
        <v>2026</v>
      </c>
      <c r="BC1029" s="430">
        <f>MONTH(PV_DATA[[#This Row],[ETA for New Ark update]])</f>
        <v>11</v>
      </c>
      <c r="BD1029" s="430">
        <f>IFERROR(_xlfn.ISOWEEKNUM(PV_DATA[[#This Row],[ETA for New Ark update]]),0)</f>
        <v>47</v>
      </c>
      <c r="BE1029" s="430">
        <f>_xlfn.XLOOKUP(PV_DATA[[#This Row],[New Ark SKU]],Table9[New Ark SKU],Table9[Total PCS per Pallet],,0)</f>
        <v>36</v>
      </c>
      <c r="BF1029" s="430">
        <f>_xlfn.XLOOKUP(PV_DATA[[#This Row],[New Ark SKU]],Table9[New Ark SKU],Table9[Total PCS per 40HQ Container],,0)</f>
        <v>864</v>
      </c>
      <c r="BG1029" s="430" t="str">
        <f>_xlfn.XLOOKUP(PV_DATA[[#This Row],[New Ark SKU]],Table9[New Ark SKU],Table9[Back Glass],,0)</f>
        <v>Black glazing</v>
      </c>
      <c r="BH1029" s="610" t="str">
        <f>_xlfn.XLOOKUP(PV_DATA[[#This Row],[PORT DESTINATION]],Table12[PORT DESTINATION],Table12[Cosco Line],,0)</f>
        <v>AEM</v>
      </c>
    </row>
    <row r="1030" spans="1:60" s="430" customFormat="1" ht="10.5">
      <c r="A1030" s="462" t="s">
        <v>6672</v>
      </c>
      <c r="B1030" s="462" t="s">
        <v>6661</v>
      </c>
      <c r="C1030" s="462" t="str">
        <f>IFERROR(LEFT(PV_DATA[[#This Row],[TCL REFERENCE]],FIND(".",PV_DATA[[#This Row],[TCL REFERENCE]],1)-1),"Main Line")</f>
        <v>26Aug006</v>
      </c>
      <c r="D1030" s="462" t="s">
        <v>63</v>
      </c>
      <c r="E1030" s="462" t="s">
        <v>64</v>
      </c>
      <c r="F1030" s="462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0" s="462" t="s">
        <v>402</v>
      </c>
      <c r="H1030" s="462" t="s">
        <v>67</v>
      </c>
      <c r="I1030" s="462" t="s">
        <v>882</v>
      </c>
      <c r="J1030" s="430" t="s">
        <v>96</v>
      </c>
      <c r="M1030" s="430" t="s">
        <v>6536</v>
      </c>
      <c r="N1030" s="432">
        <v>46258</v>
      </c>
      <c r="O1030" s="430" t="s">
        <v>4531</v>
      </c>
      <c r="P1030" s="430" t="s">
        <v>691</v>
      </c>
      <c r="Q1030" s="430" t="s">
        <v>692</v>
      </c>
      <c r="R1030" s="430" t="str">
        <f>_xlfn.XLOOKUP(PV_DATA[[#This Row],[New Ark SKU]],Table9[New Ark SKU],Table9[Connector],,0)</f>
        <v>EVO2A</v>
      </c>
      <c r="S1030" s="433" t="str">
        <f>_xlfn.XLOOKUP(PV_DATA[[#This Row],[New Ark SKU]],Table9[New Ark SKU],Table9[Cable],,0)</f>
        <v>±1200mm</v>
      </c>
      <c r="T1030" s="433">
        <v>505</v>
      </c>
      <c r="U1030" s="1088">
        <v>864</v>
      </c>
      <c r="V1030" s="434">
        <f>PV_DATA[[#This Row],[QUANTITY]]*PV_DATA[[#This Row],[WATT]]/1000000</f>
        <v>0.43631999999999999</v>
      </c>
      <c r="W1030" s="435">
        <f>PV_DATA[[#This Row],[QUANTITY]]/PV_DATA[[#This Row],[Qty/Pallet]]</f>
        <v>24</v>
      </c>
      <c r="X1030" s="1040">
        <f>PV_DATA[[#This Row],[QUANTITY]]/PV_DATA[[#This Row],[Qty/CT]]</f>
        <v>1</v>
      </c>
      <c r="Y1030" s="430" t="s">
        <v>2466</v>
      </c>
      <c r="Z1030" s="430" t="str">
        <f t="shared" si="17"/>
        <v/>
      </c>
      <c r="AA1030" s="545">
        <v>46280</v>
      </c>
      <c r="AB1030" s="437">
        <v>46299</v>
      </c>
      <c r="AC1030" s="485">
        <f>IF(PV_DATA[[#This Row],[Pick- Up Date]]&lt;&gt;"",_xlfn.ISOWEEKNUM(PV_DATA[[#This Row],[Pick- Up Date]]),"")</f>
        <v>40</v>
      </c>
      <c r="AD1030" s="430" t="s">
        <v>6673</v>
      </c>
      <c r="AF1030" s="430" t="s">
        <v>5994</v>
      </c>
      <c r="AG1030" s="430" t="s">
        <v>5994</v>
      </c>
      <c r="AH1030" s="430" t="s">
        <v>78</v>
      </c>
      <c r="AI1030" s="437">
        <v>46288</v>
      </c>
      <c r="AJ1030" s="437">
        <v>46303</v>
      </c>
      <c r="AK1030" s="437" t="str">
        <f>IFERROR(IF(VLOOKUP(AT1030,Vessel!A:F,5,FALSE)=0,"",VLOOKUP(AT1030,Vessel!A:F,5,FALSE)),"")</f>
        <v/>
      </c>
      <c r="AL1030" s="437">
        <v>46335</v>
      </c>
      <c r="AM1030" s="949">
        <f>IFERROR(VLOOKUP(AT1030, Vessel!A:H, 8, FALSE), "")</f>
        <v>46344.791666666664</v>
      </c>
      <c r="AN1030" s="949" t="str">
        <f>IFERROR(IF(VLOOKUP(AT1030,Vessel!A:I,9,FALSE)=0,"",VLOOKUP(AT1030,Vessel!A:I,9,FALSE)),"")</f>
        <v/>
      </c>
      <c r="AP1030" s="430" t="s">
        <v>6674</v>
      </c>
      <c r="AQ1030" s="438" t="s">
        <v>80</v>
      </c>
      <c r="AR1030" s="430" t="s">
        <v>6675</v>
      </c>
      <c r="AS1030" s="430" t="s">
        <v>6676</v>
      </c>
      <c r="AT1030" s="430" t="s">
        <v>6676</v>
      </c>
      <c r="AU10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41.791666666664241</v>
      </c>
      <c r="AW1030" s="437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46344.791666666664</v>
      </c>
      <c r="AX103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437" t="str">
        <f>IF(ISERROR(PV_DATA[[#This Row],[New Ark PO status]]),"",_xlfn.XLOOKUP(PV_DATA[[#This Row],[SPTN-PVHK New Ark PO'#]],New_Ark_Data[Purchase order Number],New_Ark_Data[Estimated time of arrival],"",0))</f>
        <v/>
      </c>
      <c r="AZ103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0" s="437">
        <f>IFERROR(PV_DATA[[#This Row],[ODP ETA Port]]+PV_DATA[[#This Row],[Customs/Leg3 Assumption]],"n/a")</f>
        <v>46352.791666666664</v>
      </c>
      <c r="BB1030" s="433">
        <f>YEAR(PV_DATA[[#This Row],[ETA for New Ark update]])</f>
        <v>2026</v>
      </c>
      <c r="BC1030" s="430">
        <f>MONTH(PV_DATA[[#This Row],[ETA for New Ark update]])</f>
        <v>11</v>
      </c>
      <c r="BD1030" s="430">
        <f>IFERROR(_xlfn.ISOWEEKNUM(PV_DATA[[#This Row],[ETA for New Ark update]]),0)</f>
        <v>48</v>
      </c>
      <c r="BE1030" s="430">
        <f>_xlfn.XLOOKUP(PV_DATA[[#This Row],[New Ark SKU]],Table9[New Ark SKU],Table9[Total PCS per Pallet],,0)</f>
        <v>36</v>
      </c>
      <c r="BF1030" s="430">
        <f>_xlfn.XLOOKUP(PV_DATA[[#This Row],[New Ark SKU]],Table9[New Ark SKU],Table9[Total PCS per 40HQ Container],,0)</f>
        <v>864</v>
      </c>
      <c r="BG1030" s="430" t="str">
        <f>_xlfn.XLOOKUP(PV_DATA[[#This Row],[New Ark SKU]],Table9[New Ark SKU],Table9[Back Glass],,0)</f>
        <v>Black glazing</v>
      </c>
      <c r="BH1030" s="430" t="str">
        <f>_xlfn.XLOOKUP(PV_DATA[[#This Row],[PORT DESTINATION]],Table12[PORT DESTINATION],Table12[Cosco Line],,0)</f>
        <v>AEM</v>
      </c>
    </row>
    <row r="1031" spans="1:60" s="430" customFormat="1" ht="10.5">
      <c r="A1031" s="462" t="s">
        <v>6677</v>
      </c>
      <c r="B1031" s="459" t="s">
        <v>111</v>
      </c>
      <c r="C1031" s="462" t="str">
        <f>IFERROR(LEFT(PV_DATA[[#This Row],[TCL REFERENCE]],FIND(".",PV_DATA[[#This Row],[TCL REFERENCE]],1)-1),"Main Line")</f>
        <v>26Jul009</v>
      </c>
      <c r="D1031" s="462" t="s">
        <v>63</v>
      </c>
      <c r="E1031" s="462" t="s">
        <v>64</v>
      </c>
      <c r="F1031" s="462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1" s="462" t="s">
        <v>402</v>
      </c>
      <c r="H1031" s="462" t="s">
        <v>67</v>
      </c>
      <c r="I1031" s="462" t="s">
        <v>689</v>
      </c>
      <c r="J1031" s="430" t="s">
        <v>96</v>
      </c>
      <c r="M1031" s="430" t="s">
        <v>68</v>
      </c>
      <c r="N1031" s="432">
        <v>46251</v>
      </c>
      <c r="O1031" s="430" t="s">
        <v>5379</v>
      </c>
      <c r="P1031" s="430" t="s">
        <v>6678</v>
      </c>
      <c r="Q1031" s="430" t="s">
        <v>6679</v>
      </c>
      <c r="R1031" s="430" t="str">
        <f>_xlfn.XLOOKUP(PV_DATA[[#This Row],[New Ark SKU]],Table9[New Ark SKU],Table9[Connector],,0)</f>
        <v>EVO2A</v>
      </c>
      <c r="S1031" s="433" t="str">
        <f>_xlfn.XLOOKUP(PV_DATA[[#This Row],[New Ark SKU]],Table9[New Ark SKU],Table9[Cable],,0)</f>
        <v>±1200mm</v>
      </c>
      <c r="T1031" s="433">
        <v>475</v>
      </c>
      <c r="U1031" s="1088">
        <v>4680</v>
      </c>
      <c r="V1031" s="434">
        <f>PV_DATA[[#This Row],[QUANTITY]]*PV_DATA[[#This Row],[WATT]]/1000000</f>
        <v>2.2229999999999999</v>
      </c>
      <c r="W1031" s="435">
        <f>PV_DATA[[#This Row],[QUANTITY]]/PV_DATA[[#This Row],[Qty/Pallet]]</f>
        <v>130</v>
      </c>
      <c r="X1031" s="1040">
        <f>PV_DATA[[#This Row],[QUANTITY]]/PV_DATA[[#This Row],[Qty/CT]]</f>
        <v>5</v>
      </c>
      <c r="Y1031" s="430" t="s">
        <v>2467</v>
      </c>
      <c r="Z1031" s="430" t="str">
        <f t="shared" si="17"/>
        <v>IN-TRANSIT</v>
      </c>
      <c r="AA1031" s="545">
        <v>46260</v>
      </c>
      <c r="AB1031" s="437">
        <v>46279</v>
      </c>
      <c r="AC1031" s="485">
        <f>IF(PV_DATA[[#This Row],[Pick- Up Date]]&lt;&gt;"",_xlfn.ISOWEEKNUM(PV_DATA[[#This Row],[Pick- Up Date]]),"")</f>
        <v>38</v>
      </c>
      <c r="AD1031" s="430" t="s">
        <v>6680</v>
      </c>
      <c r="AF1031" s="430" t="s">
        <v>5994</v>
      </c>
      <c r="AG1031" s="430" t="s">
        <v>5994</v>
      </c>
      <c r="AH1031" s="430" t="s">
        <v>105</v>
      </c>
      <c r="AI1031" s="437">
        <v>46280</v>
      </c>
      <c r="AJ1031" s="437">
        <f>IFERROR(VLOOKUP(AT1031, Vessel!A:D, 4, FALSE), "")</f>
        <v>46282.583333333336</v>
      </c>
      <c r="AK1031" s="437">
        <f>IFERROR(IF(VLOOKUP(AT1031,Vessel!A:F,5,FALSE)=0,"",VLOOKUP(AT1031,Vessel!A:F,5,FALSE)),"")</f>
        <v>46282.614317129628</v>
      </c>
      <c r="AL1031" s="437">
        <v>46313</v>
      </c>
      <c r="AM1031" s="949">
        <f>IFERROR(VLOOKUP(AT1031, Vessel!A:H, 8, FALSE), "")</f>
        <v>46317.625</v>
      </c>
      <c r="AN1031" s="949" t="str">
        <f>IFERROR(IF(VLOOKUP(AT1031,Vessel!A:I,9,FALSE)=0,"",VLOOKUP(AT1031,Vessel!A:I,9,FALSE)),"")</f>
        <v/>
      </c>
      <c r="AP1031" s="430" t="s">
        <v>6573</v>
      </c>
      <c r="AQ1031" s="430" t="s">
        <v>80</v>
      </c>
      <c r="AR1031" s="1314" t="s">
        <v>6681</v>
      </c>
      <c r="AS1031" s="430" t="s">
        <v>6682</v>
      </c>
      <c r="AT1031" s="430" t="s">
        <v>6682</v>
      </c>
      <c r="AU10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35.010682870371966</v>
      </c>
      <c r="AW1031" s="437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46317.625</v>
      </c>
      <c r="AX103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437" t="str">
        <f>IF(ISERROR(PV_DATA[[#This Row],[New Ark PO status]]),"",_xlfn.XLOOKUP(PV_DATA[[#This Row],[SPTN-PVHK New Ark PO'#]],New_Ark_Data[Purchase order Number],New_Ark_Data[Estimated time of arrival],"",0))</f>
        <v/>
      </c>
      <c r="AZ103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1" s="437">
        <f>IFERROR(PV_DATA[[#This Row],[ODP ETA Port]]+PV_DATA[[#This Row],[Customs/Leg3 Assumption]],"n/a")</f>
        <v>46324.625</v>
      </c>
      <c r="BB1031" s="433">
        <f>YEAR(PV_DATA[[#This Row],[ETA for New Ark update]])</f>
        <v>2026</v>
      </c>
      <c r="BC1031" s="430">
        <f>MONTH(PV_DATA[[#This Row],[ETA for New Ark update]])</f>
        <v>10</v>
      </c>
      <c r="BD1031" s="430">
        <f>IFERROR(_xlfn.ISOWEEKNUM(PV_DATA[[#This Row],[ETA for New Ark update]]),0)</f>
        <v>44</v>
      </c>
      <c r="BE1031" s="430">
        <f>_xlfn.XLOOKUP(PV_DATA[[#This Row],[New Ark SKU]],Table9[New Ark SKU],Table9[Total PCS per Pallet],,0)</f>
        <v>36</v>
      </c>
      <c r="BF1031" s="430">
        <f>_xlfn.XLOOKUP(PV_DATA[[#This Row],[New Ark SKU]],Table9[New Ark SKU],Table9[Total PCS per 40HQ Container],,0)</f>
        <v>936</v>
      </c>
      <c r="BG1031" s="430" t="str">
        <f>_xlfn.XLOOKUP(PV_DATA[[#This Row],[New Ark SKU]],Table9[New Ark SKU],Table9[Back Glass],,0)</f>
        <v>Black glazing</v>
      </c>
      <c r="BH1031" s="430" t="str">
        <f>_xlfn.XLOOKUP(PV_DATA[[#This Row],[PORT DESTINATION]],Table12[PORT DESTINATION],Table12[Cosco Line],,0)</f>
        <v>AEU</v>
      </c>
    </row>
    <row r="1032" spans="1:60" s="430" customFormat="1" ht="10.5">
      <c r="A1032" s="462" t="s">
        <v>6683</v>
      </c>
      <c r="B1032" s="459" t="s">
        <v>111</v>
      </c>
      <c r="C1032" s="462" t="str">
        <f>IFERROR(LEFT(PV_DATA[[#This Row],[TCL REFERENCE]],FIND(".",PV_DATA[[#This Row],[TCL REFERENCE]],1)-1),"Main Line")</f>
        <v>26Jul009</v>
      </c>
      <c r="D1032" s="462" t="s">
        <v>63</v>
      </c>
      <c r="E1032" s="462" t="s">
        <v>64</v>
      </c>
      <c r="F1032" s="462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2" s="462" t="s">
        <v>402</v>
      </c>
      <c r="H1032" s="462" t="s">
        <v>67</v>
      </c>
      <c r="I1032" s="462" t="s">
        <v>689</v>
      </c>
      <c r="J1032" s="430" t="s">
        <v>96</v>
      </c>
      <c r="M1032" s="430" t="s">
        <v>68</v>
      </c>
      <c r="N1032" s="432">
        <v>46251</v>
      </c>
      <c r="O1032" s="430" t="s">
        <v>5379</v>
      </c>
      <c r="P1032" s="430" t="s">
        <v>6678</v>
      </c>
      <c r="Q1032" s="430" t="s">
        <v>6679</v>
      </c>
      <c r="R1032" s="430" t="str">
        <f>_xlfn.XLOOKUP(PV_DATA[[#This Row],[New Ark SKU]],Table9[New Ark SKU],Table9[Connector],,0)</f>
        <v>EVO2A</v>
      </c>
      <c r="S1032" s="433" t="str">
        <f>_xlfn.XLOOKUP(PV_DATA[[#This Row],[New Ark SKU]],Table9[New Ark SKU],Table9[Cable],,0)</f>
        <v>±1200mm</v>
      </c>
      <c r="T1032" s="433">
        <v>475</v>
      </c>
      <c r="U1032" s="1088">
        <v>936</v>
      </c>
      <c r="V1032" s="434">
        <f>PV_DATA[[#This Row],[QUANTITY]]*PV_DATA[[#This Row],[WATT]]/1000000</f>
        <v>0.4446</v>
      </c>
      <c r="W1032" s="435">
        <f>PV_DATA[[#This Row],[QUANTITY]]/PV_DATA[[#This Row],[Qty/Pallet]]</f>
        <v>26</v>
      </c>
      <c r="X1032" s="1040">
        <f>PV_DATA[[#This Row],[QUANTITY]]/PV_DATA[[#This Row],[Qty/CT]]</f>
        <v>1</v>
      </c>
      <c r="Y1032" s="430" t="s">
        <v>2467</v>
      </c>
      <c r="Z1032" s="430" t="str">
        <f t="shared" si="17"/>
        <v>IN-TRANSIT</v>
      </c>
      <c r="AA1032" s="545">
        <v>46260</v>
      </c>
      <c r="AB1032" s="437">
        <v>46280</v>
      </c>
      <c r="AC1032" s="485">
        <f>IF(PV_DATA[[#This Row],[Pick- Up Date]]&lt;&gt;"",_xlfn.ISOWEEKNUM(PV_DATA[[#This Row],[Pick- Up Date]]),"")</f>
        <v>38</v>
      </c>
      <c r="AD1032" s="430" t="s">
        <v>6684</v>
      </c>
      <c r="AF1032" s="430" t="s">
        <v>5994</v>
      </c>
      <c r="AG1032" s="430" t="s">
        <v>5994</v>
      </c>
      <c r="AH1032" s="430" t="s">
        <v>105</v>
      </c>
      <c r="AI1032" s="978">
        <v>46282</v>
      </c>
      <c r="AJ1032" s="437">
        <f>IFERROR(VLOOKUP(AT1032, Vessel!A:D, 4, FALSE), "")</f>
        <v>46284.375</v>
      </c>
      <c r="AK1032" s="437">
        <f>IFERROR(IF(VLOOKUP(AT1032,Vessel!A:F,5,FALSE)=0,"",VLOOKUP(AT1032,Vessel!A:F,5,FALSE)),"")</f>
        <v>46284.396817129629</v>
      </c>
      <c r="AL1032" s="978">
        <v>46315</v>
      </c>
      <c r="AM1032" s="949">
        <f>IFERROR(VLOOKUP(AT1032, Vessel!A:H, 8, FALSE), "")</f>
        <v>46319.875</v>
      </c>
      <c r="AN1032" s="949" t="str">
        <f>IFERROR(IF(VLOOKUP(AT1032,Vessel!A:I,9,FALSE)=0,"",VLOOKUP(AT1032,Vessel!A:I,9,FALSE)),"")</f>
        <v/>
      </c>
      <c r="AP1032" s="430" t="s">
        <v>6685</v>
      </c>
      <c r="AQ1032" s="430" t="s">
        <v>80</v>
      </c>
      <c r="AR1032" s="430" t="s">
        <v>6686</v>
      </c>
      <c r="AS1032" s="430" t="s">
        <v>6687</v>
      </c>
      <c r="AT1032" s="430" t="s">
        <v>6687</v>
      </c>
      <c r="AU10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35.478182870370802</v>
      </c>
      <c r="AW1032" s="437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03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437" t="str">
        <f>IF(ISERROR(PV_DATA[[#This Row],[New Ark PO status]]),"",_xlfn.XLOOKUP(PV_DATA[[#This Row],[SPTN-PVHK New Ark PO'#]],New_Ark_Data[Purchase order Number],New_Ark_Data[Estimated time of arrival],"",0))</f>
        <v/>
      </c>
      <c r="AZ103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2" s="437">
        <f>IFERROR(PV_DATA[[#This Row],[ODP ETA Port]]+PV_DATA[[#This Row],[Customs/Leg3 Assumption]],"n/a")</f>
        <v>46326.875</v>
      </c>
      <c r="BB1032" s="433">
        <f>YEAR(PV_DATA[[#This Row],[ETA for New Ark update]])</f>
        <v>2026</v>
      </c>
      <c r="BC1032" s="430">
        <f>MONTH(PV_DATA[[#This Row],[ETA for New Ark update]])</f>
        <v>10</v>
      </c>
      <c r="BD1032" s="430">
        <f>IFERROR(_xlfn.ISOWEEKNUM(PV_DATA[[#This Row],[ETA for New Ark update]]),0)</f>
        <v>44</v>
      </c>
      <c r="BE1032" s="430">
        <f>_xlfn.XLOOKUP(PV_DATA[[#This Row],[New Ark SKU]],Table9[New Ark SKU],Table9[Total PCS per Pallet],,0)</f>
        <v>36</v>
      </c>
      <c r="BF1032" s="430">
        <f>_xlfn.XLOOKUP(PV_DATA[[#This Row],[New Ark SKU]],Table9[New Ark SKU],Table9[Total PCS per 40HQ Container],,0)</f>
        <v>936</v>
      </c>
      <c r="BG1032" s="430" t="str">
        <f>_xlfn.XLOOKUP(PV_DATA[[#This Row],[New Ark SKU]],Table9[New Ark SKU],Table9[Back Glass],,0)</f>
        <v>Black glazing</v>
      </c>
      <c r="BH1032" s="430" t="str">
        <f>_xlfn.XLOOKUP(PV_DATA[[#This Row],[PORT DESTINATION]],Table12[PORT DESTINATION],Table12[Cosco Line],,0)</f>
        <v>AEU</v>
      </c>
    </row>
    <row r="1033" spans="1:60" s="430" customFormat="1" ht="10.5">
      <c r="A1033" s="951" t="s">
        <v>6688</v>
      </c>
      <c r="B1033" s="1078" t="s">
        <v>111</v>
      </c>
      <c r="C1033" s="462" t="str">
        <f>IFERROR(LEFT(PV_DATA[[#This Row],[TCL REFERENCE]],FIND(".",PV_DATA[[#This Row],[TCL REFERENCE]],1)-1),"Main Line")</f>
        <v>26Aug010</v>
      </c>
      <c r="D1033" s="945" t="s">
        <v>113</v>
      </c>
      <c r="E1033" s="462" t="s">
        <v>64</v>
      </c>
      <c r="F1033" s="462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462" t="s">
        <v>402</v>
      </c>
      <c r="H1033" s="462" t="s">
        <v>67</v>
      </c>
      <c r="I1033" s="462" t="s">
        <v>689</v>
      </c>
      <c r="J1033" s="430" t="s">
        <v>96</v>
      </c>
      <c r="K1033" s="623"/>
      <c r="L1033" s="623"/>
      <c r="M1033" s="430" t="s">
        <v>68</v>
      </c>
      <c r="N1033" s="1079"/>
      <c r="O1033" s="623" t="s">
        <v>4531</v>
      </c>
      <c r="P1033" s="623" t="s">
        <v>6235</v>
      </c>
      <c r="Q1033" s="623" t="s">
        <v>330</v>
      </c>
      <c r="R1033" s="430" t="str">
        <f>_xlfn.XLOOKUP(PV_DATA[[#This Row],[New Ark SKU]],Table9[New Ark SKU],Table9[Connector],,0)</f>
        <v>H4(Com)</v>
      </c>
      <c r="S1033" s="433" t="str">
        <f>_xlfn.XLOOKUP(PV_DATA[[#This Row],[New Ark SKU]],Table9[New Ark SKU],Table9[Cable],,0)</f>
        <v>+400mm/-200mm</v>
      </c>
      <c r="T1033" s="976">
        <v>625</v>
      </c>
      <c r="U1033" s="1088">
        <v>720</v>
      </c>
      <c r="V1033" s="977">
        <f>PV_DATA[[#This Row],[QUANTITY]]*PV_DATA[[#This Row],[WATT]]/1000000</f>
        <v>0.45</v>
      </c>
      <c r="W1033" s="435">
        <f>PV_DATA[[#This Row],[QUANTITY]]/36</f>
        <v>20</v>
      </c>
      <c r="X1033" s="1221">
        <f>PV_DATA[[#This Row],[QUANTITY]]/PV_DATA[[#This Row],[Qty/CT]]</f>
        <v>1</v>
      </c>
      <c r="Y1033" s="430" t="s">
        <v>2469</v>
      </c>
      <c r="Z1033" s="430" t="str">
        <f t="shared" si="17"/>
        <v>IN-TRANSIT</v>
      </c>
      <c r="AA1033" s="623" t="s">
        <v>5853</v>
      </c>
      <c r="AB1033" s="978">
        <v>46280</v>
      </c>
      <c r="AC1033" s="1222">
        <f>IF(PV_DATA[[#This Row],[Pick- Up Date]]&lt;&gt;"",_xlfn.ISOWEEKNUM(PV_DATA[[#This Row],[Pick- Up Date]]),"")</f>
        <v>38</v>
      </c>
      <c r="AD1033" s="623" t="s">
        <v>6689</v>
      </c>
      <c r="AE1033" s="623"/>
      <c r="AF1033" s="623" t="s">
        <v>5994</v>
      </c>
      <c r="AG1033" s="623" t="s">
        <v>5994</v>
      </c>
      <c r="AH1033" s="430" t="s">
        <v>105</v>
      </c>
      <c r="AI1033" s="978">
        <v>46282</v>
      </c>
      <c r="AJ1033" s="437">
        <v>46284</v>
      </c>
      <c r="AK1033" s="437">
        <f>IFERROR(IF(VLOOKUP(AT1033,Vessel!A:F,5,FALSE)=0,"",VLOOKUP(AT1033,Vessel!A:F,5,FALSE)),"")</f>
        <v>46284.396817129629</v>
      </c>
      <c r="AL1033" s="978">
        <v>46315</v>
      </c>
      <c r="AM1033" s="949">
        <f>IFERROR(VLOOKUP(AT1033, Vessel!A:H, 8, FALSE), "")</f>
        <v>46319.875</v>
      </c>
      <c r="AN1033" s="949" t="str">
        <f>IFERROR(IF(VLOOKUP(AT1033,Vessel!A:I,9,FALSE)=0,"",VLOOKUP(AT1033,Vessel!A:I,9,FALSE)),"")</f>
        <v/>
      </c>
      <c r="AO1033" s="623"/>
      <c r="AP1033" s="623" t="s">
        <v>6685</v>
      </c>
      <c r="AQ1033" s="430" t="s">
        <v>80</v>
      </c>
      <c r="AR1033" s="623" t="s">
        <v>6686</v>
      </c>
      <c r="AS1033" s="623" t="s">
        <v>6687</v>
      </c>
      <c r="AT1033" s="430" t="s">
        <v>6687</v>
      </c>
      <c r="AU10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35.478182870370802</v>
      </c>
      <c r="AV1033" s="623"/>
      <c r="AW1033" s="978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03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978" t="str">
        <f>IF(ISERROR(PV_DATA[[#This Row],[New Ark PO status]]),"",_xlfn.XLOOKUP(PV_DATA[[#This Row],[SPTN-PVHK New Ark PO'#]],New_Ark_Data[Purchase order Number],New_Ark_Data[Estimated time of arrival],"",0))</f>
        <v/>
      </c>
      <c r="AZ1033" s="97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978">
        <f>IFERROR(PV_DATA[[#This Row],[ODP ETA Port]]+PV_DATA[[#This Row],[Customs/Leg3 Assumption]],"n/a")</f>
        <v>46326.875</v>
      </c>
      <c r="BB1033" s="433" t="s">
        <v>6536</v>
      </c>
      <c r="BC1033" s="433" t="s">
        <v>6536</v>
      </c>
      <c r="BD1033" s="623">
        <f>IFERROR(_xlfn.ISOWEEKNUM(PV_DATA[[#This Row],[ETA for New Ark update]]),0)</f>
        <v>44</v>
      </c>
      <c r="BE1033" s="623">
        <f>_xlfn.XLOOKUP(PV_DATA[[#This Row],[New Ark SKU]],Table9[New Ark SKU],Table9[Total PCS per Pallet],,0)</f>
        <v>36</v>
      </c>
      <c r="BF1033" s="623">
        <f>_xlfn.XLOOKUP(PV_DATA[[#This Row],[New Ark SKU]],Table9[New Ark SKU],Table9[Total PCS per 40HQ Container],,0)</f>
        <v>720</v>
      </c>
      <c r="BG1033" s="623" t="str">
        <f>_xlfn.XLOOKUP(PV_DATA[[#This Row],[New Ark SKU]],Table9[New Ark SKU],Table9[Back Glass],,0)</f>
        <v>Redirection Film</v>
      </c>
      <c r="BH1033" s="979" t="str">
        <f>_xlfn.XLOOKUP(PV_DATA[[#This Row],[PORT DESTINATION]],Table12[PORT DESTINATION],Table12[Cosco Line],,0)</f>
        <v>AEU</v>
      </c>
    </row>
    <row r="1034" spans="1:60" s="430" customFormat="1" ht="10.5">
      <c r="A1034" s="729" t="s">
        <v>6690</v>
      </c>
      <c r="B1034" s="459" t="s">
        <v>111</v>
      </c>
      <c r="C1034" s="462" t="str">
        <f>IFERROR(LEFT(PV_DATA[[#This Row],[TCL REFERENCE]],FIND(".",PV_DATA[[#This Row],[TCL REFERENCE]],1)-1),"Main Line")</f>
        <v>26Aug020</v>
      </c>
      <c r="D1034" s="462" t="s">
        <v>63</v>
      </c>
      <c r="E1034" s="462" t="s">
        <v>64</v>
      </c>
      <c r="F1034" s="462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4" s="462" t="s">
        <v>402</v>
      </c>
      <c r="H1034" s="462" t="s">
        <v>67</v>
      </c>
      <c r="I1034" s="462" t="s">
        <v>689</v>
      </c>
      <c r="J1034" s="430" t="s">
        <v>96</v>
      </c>
      <c r="M1034" s="430" t="s">
        <v>6536</v>
      </c>
      <c r="N1034" s="432">
        <v>46238</v>
      </c>
      <c r="O1034" s="430" t="s">
        <v>132</v>
      </c>
      <c r="P1034" s="430" t="s">
        <v>1062</v>
      </c>
      <c r="Q1034" s="430" t="s">
        <v>1063</v>
      </c>
      <c r="R1034" s="430" t="str">
        <f>_xlfn.XLOOKUP(PV_DATA[[#This Row],[New Ark SKU]],Table9[New Ark SKU],Table9[Connector],,0)</f>
        <v>EVO2A</v>
      </c>
      <c r="S1034" s="433" t="str">
        <f>_xlfn.XLOOKUP(PV_DATA[[#This Row],[New Ark SKU]],Table9[New Ark SKU],Table9[Cable],,0)</f>
        <v>±1200mm</v>
      </c>
      <c r="T1034" s="433">
        <v>470</v>
      </c>
      <c r="U1034" s="1088">
        <v>864</v>
      </c>
      <c r="V1034" s="434">
        <f>PV_DATA[[#This Row],[QUANTITY]]*PV_DATA[[#This Row],[WATT]]/1000000</f>
        <v>0.40608</v>
      </c>
      <c r="W1034" s="435">
        <f>PV_DATA[[#This Row],[QUANTITY]]/PV_DATA[[#This Row],[Qty/Pallet]]</f>
        <v>24</v>
      </c>
      <c r="X1034" s="1040">
        <f>PV_DATA[[#This Row],[QUANTITY]]/PV_DATA[[#This Row],[Qty/CT]]</f>
        <v>1</v>
      </c>
      <c r="Y1034" s="430" t="s">
        <v>2470</v>
      </c>
      <c r="AA1034" s="430" t="s">
        <v>5853</v>
      </c>
      <c r="AB1034" s="437">
        <v>46280</v>
      </c>
      <c r="AC1034" s="1222">
        <f>IF(PV_DATA[[#This Row],[Pick- Up Date]]&lt;&gt;"",_xlfn.ISOWEEKNUM(PV_DATA[[#This Row],[Pick- Up Date]]),"")</f>
        <v>38</v>
      </c>
      <c r="AD1034" s="462" t="s">
        <v>6691</v>
      </c>
      <c r="AF1034" s="430" t="s">
        <v>5994</v>
      </c>
      <c r="AG1034" s="430" t="s">
        <v>5994</v>
      </c>
      <c r="AH1034" s="430" t="s">
        <v>105</v>
      </c>
      <c r="AI1034" s="978">
        <v>46282</v>
      </c>
      <c r="AJ1034" s="437">
        <v>46284</v>
      </c>
      <c r="AK1034" s="437">
        <f>IFERROR(IF(VLOOKUP(AT1034,Vessel!A:F,5,FALSE)=0,"",VLOOKUP(AT1034,Vessel!A:F,5,FALSE)),"")</f>
        <v>46284.396817129629</v>
      </c>
      <c r="AL1034" s="978">
        <v>46315</v>
      </c>
      <c r="AM1034" s="949">
        <f>IFERROR(VLOOKUP(AT1034, Vessel!A:H, 8, FALSE), "")</f>
        <v>46319.875</v>
      </c>
      <c r="AN1034" s="949" t="str">
        <f>IFERROR(IF(VLOOKUP(AT1034,Vessel!A:I,9,FALSE)=0,"",VLOOKUP(AT1034,Vessel!A:I,9,FALSE)),"")</f>
        <v/>
      </c>
      <c r="AP1034" s="430" t="s">
        <v>6685</v>
      </c>
      <c r="AQ1034" s="430" t="s">
        <v>80</v>
      </c>
      <c r="AR1034" s="430" t="s">
        <v>6686</v>
      </c>
      <c r="AS1034" s="430" t="s">
        <v>6687</v>
      </c>
      <c r="AT1034" s="430" t="s">
        <v>6687</v>
      </c>
      <c r="AU10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35.478182870370802</v>
      </c>
      <c r="AW1034" s="437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03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437" t="str">
        <f>IF(ISERROR(PV_DATA[[#This Row],[New Ark PO status]]),"",_xlfn.XLOOKUP(PV_DATA[[#This Row],[SPTN-PVHK New Ark PO'#]],New_Ark_Data[Purchase order Number],New_Ark_Data[Estimated time of arrival],"",0))</f>
        <v/>
      </c>
      <c r="AZ103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437">
        <f>IFERROR(PV_DATA[[#This Row],[ODP ETA Port]]+PV_DATA[[#This Row],[Customs/Leg3 Assumption]],"n/a")</f>
        <v>46326.875</v>
      </c>
      <c r="BB1034" s="433">
        <f>YEAR(PV_DATA[[#This Row],[ETA for New Ark update]])</f>
        <v>2026</v>
      </c>
      <c r="BC1034" s="430">
        <f>MONTH(PV_DATA[[#This Row],[ETA for New Ark update]])</f>
        <v>10</v>
      </c>
      <c r="BD1034" s="430">
        <f>IFERROR(_xlfn.ISOWEEKNUM(PV_DATA[[#This Row],[ETA for New Ark update]]),0)</f>
        <v>44</v>
      </c>
      <c r="BE1034" s="430">
        <f>_xlfn.XLOOKUP(PV_DATA[[#This Row],[New Ark SKU]],Table9[New Ark SKU],Table9[Total PCS per Pallet],,0)</f>
        <v>36</v>
      </c>
      <c r="BF1034" s="430">
        <f>_xlfn.XLOOKUP(PV_DATA[[#This Row],[New Ark SKU]],Table9[New Ark SKU],Table9[Total PCS per 40HQ Container],,0)</f>
        <v>864</v>
      </c>
      <c r="BG1034" s="430" t="str">
        <f>_xlfn.XLOOKUP(PV_DATA[[#This Row],[New Ark SKU]],Table9[New Ark SKU],Table9[Back Glass],,0)</f>
        <v>White glazing</v>
      </c>
      <c r="BH1034" s="430" t="str">
        <f>_xlfn.XLOOKUP(PV_DATA[[#This Row],[PORT DESTINATION]],Table12[PORT DESTINATION],Table12[Cosco Line],,0)</f>
        <v>AEU</v>
      </c>
    </row>
    <row r="1035" spans="1:60" s="430" customFormat="1" ht="10.5">
      <c r="A1035" s="462" t="s">
        <v>6692</v>
      </c>
      <c r="B1035" s="462" t="s">
        <v>1757</v>
      </c>
      <c r="C1035" s="462" t="str">
        <f>IFERROR(LEFT(PV_DATA[[#This Row],[TCL REFERENCE]],FIND(".",PV_DATA[[#This Row],[TCL REFERENCE]],1)-1),"Main Line")</f>
        <v>26Jul007</v>
      </c>
      <c r="D1035" s="462" t="s">
        <v>63</v>
      </c>
      <c r="E1035" s="462" t="s">
        <v>144</v>
      </c>
      <c r="F1035" s="462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5" s="462" t="s">
        <v>402</v>
      </c>
      <c r="H1035" s="462" t="s">
        <v>1029</v>
      </c>
      <c r="I1035" s="462" t="s">
        <v>869</v>
      </c>
      <c r="J1035" s="462" t="s">
        <v>1029</v>
      </c>
      <c r="K1035" s="462" t="s">
        <v>5843</v>
      </c>
      <c r="L1035" s="430">
        <v>2</v>
      </c>
      <c r="M1035" s="430" t="s">
        <v>6656</v>
      </c>
      <c r="N1035" s="432">
        <v>46209</v>
      </c>
      <c r="O1035" s="430" t="s">
        <v>4531</v>
      </c>
      <c r="P1035" s="430" t="s">
        <v>71</v>
      </c>
      <c r="Q1035" s="430" t="s">
        <v>72</v>
      </c>
      <c r="R1035" s="430" t="str">
        <f>_xlfn.XLOOKUP(PV_DATA[[#This Row],[New Ark SKU]],Table9[New Ark SKU],Table9[Connector],,0)</f>
        <v>EVO2A</v>
      </c>
      <c r="S1035" s="433" t="str">
        <f>_xlfn.XLOOKUP(PV_DATA[[#This Row],[New Ark SKU]],Table9[New Ark SKU],Table9[Cable],,0)</f>
        <v>±1200mm</v>
      </c>
      <c r="T1035" s="433">
        <v>500</v>
      </c>
      <c r="U1035" s="1088">
        <f>864*2</f>
        <v>1728</v>
      </c>
      <c r="V1035" s="434">
        <f>PV_DATA[[#This Row],[QUANTITY]]*PV_DATA[[#This Row],[WATT]]/1000000</f>
        <v>0.86399999999999999</v>
      </c>
      <c r="W1035" s="435">
        <f>PV_DATA[[#This Row],[QUANTITY]]/PV_DATA[[#This Row],[Qty/Pallet]]</f>
        <v>48</v>
      </c>
      <c r="X1035" s="1040">
        <f>PV_DATA[[#This Row],[QUANTITY]]/PV_DATA[[#This Row],[Qty/CT]]</f>
        <v>2</v>
      </c>
      <c r="Y1035" s="430" t="s">
        <v>2467</v>
      </c>
      <c r="Z1035" s="430" t="str">
        <f t="shared" ref="Z1035:Z1042" si="18">IF(AN1035&lt;&gt;"","COMPLETED",IF(AK1035&lt;&gt;"","IN-TRANSIT",""))</f>
        <v>IN-TRANSIT</v>
      </c>
      <c r="AA1035" s="623" t="s">
        <v>6693</v>
      </c>
      <c r="AB1035" s="437">
        <v>46274</v>
      </c>
      <c r="AC1035" s="485">
        <f>IF(PV_DATA[[#This Row],[Pick- Up Date]]&lt;&gt;"",_xlfn.ISOWEEKNUM(PV_DATA[[#This Row],[Pick- Up Date]]),"")</f>
        <v>37</v>
      </c>
      <c r="AD1035" s="430" t="s">
        <v>6694</v>
      </c>
      <c r="AF1035" s="459" t="s">
        <v>1525</v>
      </c>
      <c r="AG1035" s="459" t="s">
        <v>1525</v>
      </c>
      <c r="AH1035" s="430" t="s">
        <v>888</v>
      </c>
      <c r="AI1035" s="437">
        <v>46274</v>
      </c>
      <c r="AJ1035" s="437">
        <f>IFERROR(VLOOKUP(AT1035, Vessel!A:D, 4, FALSE), "")</f>
        <v>46278.78125</v>
      </c>
      <c r="AK1035" s="437">
        <f>IFERROR(IF(VLOOKUP(AT1035,Vessel!A:F,5,FALSE)=0,"",VLOOKUP(AT1035,Vessel!A:F,5,FALSE)),"")</f>
        <v>46278.549780092595</v>
      </c>
      <c r="AL1035" s="437">
        <v>46323</v>
      </c>
      <c r="AM1035" s="949">
        <f>IFERROR(VLOOKUP(AT1035, Vessel!A:H, 8, FALSE), "")</f>
        <v>46323.916666666664</v>
      </c>
      <c r="AN1035" s="949" t="str">
        <f>IFERROR(IF(VLOOKUP(AT1035,Vessel!A:I,9,FALSE)=0,"",VLOOKUP(AT1035,Vessel!A:I,9,FALSE)),"")</f>
        <v/>
      </c>
      <c r="AP1035" s="430" t="s">
        <v>6607</v>
      </c>
      <c r="AQ1035" s="430" t="s">
        <v>80</v>
      </c>
      <c r="AR1035" s="1314" t="s">
        <v>6695</v>
      </c>
      <c r="AS1035" s="430" t="s">
        <v>6696</v>
      </c>
      <c r="AT1035" s="430" t="s">
        <v>6696</v>
      </c>
      <c r="AU10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45.366886574069213</v>
      </c>
      <c r="AW1035" s="437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46323.916666666664</v>
      </c>
      <c r="AX103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437" t="str">
        <f>IF(ISERROR(PV_DATA[[#This Row],[New Ark PO status]]),"",_xlfn.XLOOKUP(PV_DATA[[#This Row],[SPTN-PVHK New Ark PO'#]],New_Ark_Data[Purchase order Number],New_Ark_Data[Estimated time of arrival],"",0))</f>
        <v/>
      </c>
      <c r="AZ103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35" s="437">
        <f>IFERROR(PV_DATA[[#This Row],[ODP ETA Port]]+PV_DATA[[#This Row],[Customs/Leg3 Assumption]],"n/a")</f>
        <v>46323.916666666664</v>
      </c>
      <c r="BB1035" s="433">
        <f>YEAR(PV_DATA[[#This Row],[ETA for New Ark update]])</f>
        <v>2026</v>
      </c>
      <c r="BC1035" s="430">
        <f>MONTH(PV_DATA[[#This Row],[ETA for New Ark update]])</f>
        <v>10</v>
      </c>
      <c r="BD1035" s="430">
        <f>IFERROR(_xlfn.ISOWEEKNUM(PV_DATA[[#This Row],[ETA for New Ark update]]),0)</f>
        <v>44</v>
      </c>
      <c r="BE1035" s="430">
        <f>_xlfn.XLOOKUP(PV_DATA[[#This Row],[New Ark SKU]],Table9[New Ark SKU],Table9[Total PCS per Pallet],,0)</f>
        <v>36</v>
      </c>
      <c r="BF1035" s="430">
        <f>_xlfn.XLOOKUP(PV_DATA[[#This Row],[New Ark SKU]],Table9[New Ark SKU],Table9[Total PCS per 40HQ Container],,0)</f>
        <v>864</v>
      </c>
      <c r="BG1035" s="430" t="str">
        <f>_xlfn.XLOOKUP(PV_DATA[[#This Row],[New Ark SKU]],Table9[New Ark SKU],Table9[Back Glass],,0)</f>
        <v>Black glazing</v>
      </c>
      <c r="BH1035" s="430" t="str">
        <f>_xlfn.XLOOKUP(PV_DATA[[#This Row],[PORT DESTINATION]],Table12[PORT DESTINATION],Table12[Cosco Line],,0)</f>
        <v>AEU</v>
      </c>
    </row>
    <row r="1036" spans="1:60" s="430" customFormat="1" ht="10.5">
      <c r="A1036" s="462" t="s">
        <v>6697</v>
      </c>
      <c r="B1036" s="462" t="s">
        <v>1757</v>
      </c>
      <c r="C1036" s="462" t="str">
        <f>IFERROR(LEFT(PV_DATA[[#This Row],[TCL REFERENCE]],FIND(".",PV_DATA[[#This Row],[TCL REFERENCE]],1)-1),"Main Line")</f>
        <v>26Jul007</v>
      </c>
      <c r="D1036" s="462" t="s">
        <v>63</v>
      </c>
      <c r="E1036" s="462" t="s">
        <v>64</v>
      </c>
      <c r="F1036" s="462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6" s="462" t="s">
        <v>402</v>
      </c>
      <c r="H1036" s="462" t="s">
        <v>67</v>
      </c>
      <c r="I1036" s="462" t="s">
        <v>689</v>
      </c>
      <c r="J1036" s="430" t="s">
        <v>96</v>
      </c>
      <c r="K1036" s="462"/>
      <c r="M1036" s="430" t="s">
        <v>6315</v>
      </c>
      <c r="N1036" s="432">
        <v>46209</v>
      </c>
      <c r="O1036" s="430" t="s">
        <v>4531</v>
      </c>
      <c r="P1036" s="430" t="s">
        <v>71</v>
      </c>
      <c r="Q1036" s="430" t="s">
        <v>72</v>
      </c>
      <c r="R1036" s="430" t="str">
        <f>_xlfn.XLOOKUP(PV_DATA[[#This Row],[New Ark SKU]],Table9[New Ark SKU],Table9[Connector],,0)</f>
        <v>EVO2A</v>
      </c>
      <c r="S1036" s="433" t="str">
        <f>_xlfn.XLOOKUP(PV_DATA[[#This Row],[New Ark SKU]],Table9[New Ark SKU],Table9[Cable],,0)</f>
        <v>±1200mm</v>
      </c>
      <c r="T1036" s="433">
        <v>500</v>
      </c>
      <c r="U1036" s="1088">
        <v>864</v>
      </c>
      <c r="V1036" s="434">
        <f>PV_DATA[[#This Row],[QUANTITY]]*PV_DATA[[#This Row],[WATT]]/1000000</f>
        <v>0.432</v>
      </c>
      <c r="W1036" s="435">
        <f>PV_DATA[[#This Row],[QUANTITY]]/PV_DATA[[#This Row],[Qty/Pallet]]</f>
        <v>24</v>
      </c>
      <c r="X1036" s="1040">
        <f>PV_DATA[[#This Row],[QUANTITY]]/PV_DATA[[#This Row],[Qty/CT]]</f>
        <v>1</v>
      </c>
      <c r="Y1036" s="430" t="s">
        <v>2467</v>
      </c>
      <c r="Z1036" s="430" t="str">
        <f t="shared" si="18"/>
        <v>IN-TRANSIT</v>
      </c>
      <c r="AA1036" s="1077" t="s">
        <v>5853</v>
      </c>
      <c r="AB1036" s="437">
        <v>46274</v>
      </c>
      <c r="AC1036" s="485">
        <f>IF(PV_DATA[[#This Row],[Pick- Up Date]]&lt;&gt;"",_xlfn.ISOWEEKNUM(PV_DATA[[#This Row],[Pick- Up Date]]),"")</f>
        <v>37</v>
      </c>
      <c r="AD1036" s="430" t="s">
        <v>6698</v>
      </c>
      <c r="AF1036" s="459" t="s">
        <v>1525</v>
      </c>
      <c r="AG1036" s="459" t="s">
        <v>1525</v>
      </c>
      <c r="AH1036" s="430" t="s">
        <v>78</v>
      </c>
      <c r="AI1036" s="437">
        <v>46277</v>
      </c>
      <c r="AJ1036" s="437">
        <v>46279</v>
      </c>
      <c r="AK1036" s="437">
        <f>IFERROR(IF(VLOOKUP(AT1036,Vessel!A:F,5,FALSE)=0,"",VLOOKUP(AT1036,Vessel!A:F,5,FALSE)),"")</f>
        <v>46279.80667824074</v>
      </c>
      <c r="AL1036" s="437">
        <v>46321</v>
      </c>
      <c r="AM1036" s="949">
        <f>IFERROR(VLOOKUP(AT1036, Vessel!A:H, 8, FALSE), "")</f>
        <v>46330.25</v>
      </c>
      <c r="AN1036" s="949" t="str">
        <f>IFERROR(IF(VLOOKUP(AT1036,Vessel!A:I,9,FALSE)=0,"",VLOOKUP(AT1036,Vessel!A:I,9,FALSE)),"")</f>
        <v/>
      </c>
      <c r="AP1036" s="430" t="s">
        <v>6511</v>
      </c>
      <c r="AQ1036" s="430" t="s">
        <v>80</v>
      </c>
      <c r="AR1036" s="1314" t="s">
        <v>6699</v>
      </c>
      <c r="AS1036" s="430" t="s">
        <v>6700</v>
      </c>
      <c r="AT1036" s="430" t="s">
        <v>6700</v>
      </c>
      <c r="AU10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50.443321759259561</v>
      </c>
      <c r="AW1036" s="437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03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437" t="str">
        <f>IF(ISERROR(PV_DATA[[#This Row],[New Ark PO status]]),"",_xlfn.XLOOKUP(PV_DATA[[#This Row],[SPTN-PVHK New Ark PO'#]],New_Ark_Data[Purchase order Number],New_Ark_Data[Estimated time of arrival],"",0))</f>
        <v/>
      </c>
      <c r="AZ10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6" s="437">
        <f>IFERROR(PV_DATA[[#This Row],[ODP ETA Port]]+PV_DATA[[#This Row],[Customs/Leg3 Assumption]],"n/a")</f>
        <v>46338.25</v>
      </c>
      <c r="BB1036" s="433">
        <f>YEAR(PV_DATA[[#This Row],[ETA for New Ark update]])</f>
        <v>2026</v>
      </c>
      <c r="BC1036" s="430">
        <f>MONTH(PV_DATA[[#This Row],[ETA for New Ark update]])</f>
        <v>11</v>
      </c>
      <c r="BD1036" s="430">
        <f>IFERROR(_xlfn.ISOWEEKNUM(PV_DATA[[#This Row],[ETA for New Ark update]]),0)</f>
        <v>46</v>
      </c>
      <c r="BE1036" s="430">
        <f>_xlfn.XLOOKUP(PV_DATA[[#This Row],[New Ark SKU]],Table9[New Ark SKU],Table9[Total PCS per Pallet],,0)</f>
        <v>36</v>
      </c>
      <c r="BF1036" s="430">
        <f>_xlfn.XLOOKUP(PV_DATA[[#This Row],[New Ark SKU]],Table9[New Ark SKU],Table9[Total PCS per 40HQ Container],,0)</f>
        <v>864</v>
      </c>
      <c r="BG1036" s="430" t="str">
        <f>_xlfn.XLOOKUP(PV_DATA[[#This Row],[New Ark SKU]],Table9[New Ark SKU],Table9[Back Glass],,0)</f>
        <v>Black glazing</v>
      </c>
      <c r="BH1036" s="610" t="str">
        <f>_xlfn.XLOOKUP(PV_DATA[[#This Row],[PORT DESTINATION]],Table12[PORT DESTINATION],Table12[Cosco Line],,0)</f>
        <v>AEM</v>
      </c>
    </row>
    <row r="1037" spans="1:60" s="430" customFormat="1" ht="10.5">
      <c r="A1037" s="729" t="s">
        <v>6701</v>
      </c>
      <c r="B1037" s="462" t="s">
        <v>61</v>
      </c>
      <c r="C1037" s="462" t="str">
        <f>IFERROR(LEFT(PV_DATA[[#This Row],[TCL REFERENCE]],FIND(".",PV_DATA[[#This Row],[TCL REFERENCE]],1)-1),"Main Line")</f>
        <v>Main Line</v>
      </c>
      <c r="D1037" s="462" t="s">
        <v>63</v>
      </c>
      <c r="E1037" s="462" t="s">
        <v>64</v>
      </c>
      <c r="F1037" s="462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7" s="462" t="s">
        <v>402</v>
      </c>
      <c r="H1037" s="462" t="s">
        <v>67</v>
      </c>
      <c r="I1037" s="462" t="s">
        <v>689</v>
      </c>
      <c r="J1037" s="430" t="s">
        <v>96</v>
      </c>
      <c r="M1037" s="430" t="s">
        <v>6315</v>
      </c>
      <c r="N1037" s="432">
        <v>46258</v>
      </c>
      <c r="O1037" s="430" t="s">
        <v>4531</v>
      </c>
      <c r="P1037" s="430" t="s">
        <v>706</v>
      </c>
      <c r="Q1037" s="430" t="s">
        <v>707</v>
      </c>
      <c r="R1037" s="430" t="str">
        <f>_xlfn.XLOOKUP(PV_DATA[[#This Row],[New Ark SKU]],Table9[New Ark SKU],Table9[Connector],,0)</f>
        <v>EVO2A</v>
      </c>
      <c r="S1037" s="433" t="str">
        <f>_xlfn.XLOOKUP(PV_DATA[[#This Row],[New Ark SKU]],Table9[New Ark SKU],Table9[Cable],,0)</f>
        <v>±1200mm</v>
      </c>
      <c r="T1037" s="433">
        <v>500</v>
      </c>
      <c r="U1037" s="1088" cm="1">
        <f t="array" ref="U1037">24192-fx_qty</f>
        <v>1728</v>
      </c>
      <c r="V1037" s="434">
        <f>PV_DATA[[#This Row],[QUANTITY]]*PV_DATA[[#This Row],[WATT]]/1000000</f>
        <v>0.86399999999999999</v>
      </c>
      <c r="W1037" s="435">
        <f>PV_DATA[[#This Row],[QUANTITY]]/PV_DATA[[#This Row],[Qty/Pallet]]</f>
        <v>48</v>
      </c>
      <c r="X1037" s="1040">
        <f>PV_DATA[[#This Row],[QUANTITY]]/PV_DATA[[#This Row],[Qty/CT]]</f>
        <v>2</v>
      </c>
      <c r="Y1037" s="430" t="s">
        <v>2467</v>
      </c>
      <c r="Z1037" s="430" t="str">
        <f t="shared" si="18"/>
        <v>IN-TRANSIT</v>
      </c>
      <c r="AB1037" s="437">
        <v>46268</v>
      </c>
      <c r="AC1037" s="485">
        <f>IF(PV_DATA[[#This Row],[Pick- Up Date]]&lt;&gt;"",_xlfn.ISOWEEKNUM(PV_DATA[[#This Row],[Pick- Up Date]]),"")</f>
        <v>36</v>
      </c>
      <c r="AD1037" s="430" t="s">
        <v>6702</v>
      </c>
      <c r="AF1037" s="430" t="s">
        <v>77</v>
      </c>
      <c r="AG1037" s="430" t="s">
        <v>61</v>
      </c>
      <c r="AH1037" s="430" t="s">
        <v>78</v>
      </c>
      <c r="AI1037" s="437">
        <v>46276</v>
      </c>
      <c r="AJ1037" s="437">
        <f>IFERROR(VLOOKUP(AT1037, Vessel!A:D, 4, FALSE), "")</f>
        <v>46275.833333333336</v>
      </c>
      <c r="AK1037" s="437">
        <f>IFERROR(IF(VLOOKUP(AT1037,Vessel!A:F,5,FALSE)=0,"",VLOOKUP(AT1037,Vessel!A:F,5,FALSE)),"")</f>
        <v>46275.864525462966</v>
      </c>
      <c r="AL1037" s="437">
        <v>46330</v>
      </c>
      <c r="AM1037" s="949">
        <f>IFERROR(VLOOKUP(AT1037, Vessel!A:H, 8, FALSE), "")</f>
        <v>46330.25</v>
      </c>
      <c r="AN1037" s="949" t="str">
        <f>IFERROR(IF(VLOOKUP(AT1037,Vessel!A:I,9,FALSE)=0,"",VLOOKUP(AT1037,Vessel!A:I,9,FALSE)),"")</f>
        <v/>
      </c>
      <c r="AO1037" s="430" t="s">
        <v>402</v>
      </c>
      <c r="AP1037" s="430" t="s">
        <v>6703</v>
      </c>
      <c r="AQ1037" s="438" t="s">
        <v>80</v>
      </c>
      <c r="AR1037" s="430" t="s">
        <v>6704</v>
      </c>
      <c r="AS1037" s="430" t="s">
        <v>6705</v>
      </c>
      <c r="AT1037" s="430" t="s">
        <v>6705</v>
      </c>
      <c r="AU10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54.385474537033588</v>
      </c>
      <c r="AW1037" s="437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03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37" t="str">
        <f>IF(ISERROR(PV_DATA[[#This Row],[New Ark PO status]]),"",_xlfn.XLOOKUP(PV_DATA[[#This Row],[SPTN-PVHK New Ark PO'#]],New_Ark_Data[Purchase order Number],New_Ark_Data[Estimated time of arrival],"",0))</f>
        <v/>
      </c>
      <c r="AZ103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7" s="437">
        <f>IFERROR(PV_DATA[[#This Row],[ODP ETA Port]]+PV_DATA[[#This Row],[Customs/Leg3 Assumption]],"n/a")</f>
        <v>46338.25</v>
      </c>
      <c r="BB1037" s="433">
        <f>YEAR(PV_DATA[[#This Row],[ETA for New Ark update]])</f>
        <v>2026</v>
      </c>
      <c r="BC1037" s="430">
        <f>MONTH(PV_DATA[[#This Row],[ETA for New Ark update]])</f>
        <v>11</v>
      </c>
      <c r="BD1037" s="430">
        <f>IFERROR(_xlfn.ISOWEEKNUM(PV_DATA[[#This Row],[ETA for New Ark update]]),0)</f>
        <v>46</v>
      </c>
      <c r="BE1037" s="430">
        <f>_xlfn.XLOOKUP(PV_DATA[[#This Row],[New Ark SKU]],Table9[New Ark SKU],Table9[Total PCS per Pallet],,0)</f>
        <v>36</v>
      </c>
      <c r="BF1037" s="430">
        <f>_xlfn.XLOOKUP(PV_DATA[[#This Row],[New Ark SKU]],Table9[New Ark SKU],Table9[Total PCS per 40HQ Container],,0)</f>
        <v>864</v>
      </c>
      <c r="BG1037" s="430" t="str">
        <f>_xlfn.XLOOKUP(PV_DATA[[#This Row],[New Ark SKU]],Table9[New Ark SKU],Table9[Back Glass],,0)</f>
        <v>Black glazing</v>
      </c>
      <c r="BH1037" s="610" t="str">
        <f>_xlfn.XLOOKUP(PV_DATA[[#This Row],[PORT DESTINATION]],Table12[PORT DESTINATION],Table12[Cosco Line],,0)</f>
        <v>AEM</v>
      </c>
    </row>
    <row r="1038" spans="1:60" s="430" customFormat="1" ht="10.5">
      <c r="A1038" s="729" t="s">
        <v>6706</v>
      </c>
      <c r="B1038" s="462" t="s">
        <v>61</v>
      </c>
      <c r="C1038" s="462" t="str">
        <f>IFERROR(LEFT(PV_DATA[[#This Row],[TCL REFERENCE]],FIND(".",PV_DATA[[#This Row],[TCL REFERENCE]],1)-1),"Main Line")</f>
        <v>26Aug005</v>
      </c>
      <c r="D1038" s="462" t="s">
        <v>63</v>
      </c>
      <c r="E1038" s="462" t="s">
        <v>64</v>
      </c>
      <c r="F1038" s="462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8" s="462" t="s">
        <v>402</v>
      </c>
      <c r="H1038" s="462" t="s">
        <v>67</v>
      </c>
      <c r="I1038" s="462" t="s">
        <v>689</v>
      </c>
      <c r="J1038" s="430" t="s">
        <v>96</v>
      </c>
      <c r="M1038" s="430" t="s">
        <v>6315</v>
      </c>
      <c r="N1038" s="432">
        <v>46258</v>
      </c>
      <c r="O1038" s="430" t="s">
        <v>4531</v>
      </c>
      <c r="P1038" s="430" t="s">
        <v>706</v>
      </c>
      <c r="Q1038" s="430" t="s">
        <v>707</v>
      </c>
      <c r="R1038" s="430" t="str">
        <f>_xlfn.XLOOKUP(PV_DATA[[#This Row],[New Ark SKU]],Table9[New Ark SKU],Table9[Connector],,0)</f>
        <v>EVO2A</v>
      </c>
      <c r="S1038" s="433" t="str">
        <f>_xlfn.XLOOKUP(PV_DATA[[#This Row],[New Ark SKU]],Table9[New Ark SKU],Table9[Cable],,0)</f>
        <v>±1200mm</v>
      </c>
      <c r="T1038" s="433">
        <v>500</v>
      </c>
      <c r="U1038" s="1088">
        <v>3456</v>
      </c>
      <c r="V1038" s="434">
        <f>PV_DATA[[#This Row],[QUANTITY]]*PV_DATA[[#This Row],[WATT]]/1000000</f>
        <v>1.728</v>
      </c>
      <c r="W1038" s="435">
        <f>PV_DATA[[#This Row],[QUANTITY]]/PV_DATA[[#This Row],[Qty/Pallet]]</f>
        <v>96</v>
      </c>
      <c r="X1038" s="1040">
        <f>PV_DATA[[#This Row],[QUANTITY]]/PV_DATA[[#This Row],[Qty/CT]]</f>
        <v>4</v>
      </c>
      <c r="Y1038" s="430" t="s">
        <v>2467</v>
      </c>
      <c r="Z1038" s="430" t="str">
        <f t="shared" si="18"/>
        <v>IN-TRANSIT</v>
      </c>
      <c r="AB1038" s="437">
        <v>46268</v>
      </c>
      <c r="AC1038" s="485">
        <f>IF(PV_DATA[[#This Row],[Pick- Up Date]]&lt;&gt;"",_xlfn.ISOWEEKNUM(PV_DATA[[#This Row],[Pick- Up Date]]),"")</f>
        <v>36</v>
      </c>
      <c r="AD1038" s="430" t="s">
        <v>6707</v>
      </c>
      <c r="AF1038" s="430" t="s">
        <v>77</v>
      </c>
      <c r="AG1038" s="430" t="s">
        <v>61</v>
      </c>
      <c r="AH1038" s="430" t="s">
        <v>78</v>
      </c>
      <c r="AI1038" s="437">
        <v>46276</v>
      </c>
      <c r="AJ1038" s="437">
        <f>IFERROR(VLOOKUP(AT1038, Vessel!A:D, 4, FALSE), "")</f>
        <v>46275.833333333336</v>
      </c>
      <c r="AK1038" s="437">
        <f>IFERROR(IF(VLOOKUP(AT1038,Vessel!A:F,5,FALSE)=0,"",VLOOKUP(AT1038,Vessel!A:F,5,FALSE)),"")</f>
        <v>46275.864525462966</v>
      </c>
      <c r="AL1038" s="437">
        <v>46342</v>
      </c>
      <c r="AM1038" s="949">
        <f>IFERROR(VLOOKUP(AT1038, Vessel!A:H, 8, FALSE), "")</f>
        <v>46343.75</v>
      </c>
      <c r="AN1038" s="949" t="str">
        <f>IFERROR(IF(VLOOKUP(AT1038,Vessel!A:I,9,FALSE)=0,"",VLOOKUP(AT1038,Vessel!A:I,9,FALSE)),"")</f>
        <v/>
      </c>
      <c r="AO1038" s="430" t="s">
        <v>402</v>
      </c>
      <c r="AP1038" s="430" t="s">
        <v>6703</v>
      </c>
      <c r="AQ1038" s="438" t="s">
        <v>80</v>
      </c>
      <c r="AR1038" s="430" t="s">
        <v>6708</v>
      </c>
      <c r="AS1038" s="430" t="s">
        <v>6709</v>
      </c>
      <c r="AT1038" s="430" t="s">
        <v>6709</v>
      </c>
      <c r="AU10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67.885474537033588</v>
      </c>
      <c r="AW1038" s="437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46343.75</v>
      </c>
      <c r="AX103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437" t="str">
        <f>IF(ISERROR(PV_DATA[[#This Row],[New Ark PO status]]),"",_xlfn.XLOOKUP(PV_DATA[[#This Row],[SPTN-PVHK New Ark PO'#]],New_Ark_Data[Purchase order Number],New_Ark_Data[Estimated time of arrival],"",0))</f>
        <v/>
      </c>
      <c r="AZ103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8" s="437">
        <f>IFERROR(PV_DATA[[#This Row],[ODP ETA Port]]+PV_DATA[[#This Row],[Customs/Leg3 Assumption]],"n/a")</f>
        <v>46351.75</v>
      </c>
      <c r="BB1038" s="433">
        <f>YEAR(PV_DATA[[#This Row],[ETA for New Ark update]])</f>
        <v>2026</v>
      </c>
      <c r="BC1038" s="430">
        <f>MONTH(PV_DATA[[#This Row],[ETA for New Ark update]])</f>
        <v>11</v>
      </c>
      <c r="BD1038" s="430">
        <f>IFERROR(_xlfn.ISOWEEKNUM(PV_DATA[[#This Row],[ETA for New Ark update]]),0)</f>
        <v>48</v>
      </c>
      <c r="BE1038" s="430">
        <f>_xlfn.XLOOKUP(PV_DATA[[#This Row],[New Ark SKU]],Table9[New Ark SKU],Table9[Total PCS per Pallet],,0)</f>
        <v>36</v>
      </c>
      <c r="BF1038" s="430">
        <f>_xlfn.XLOOKUP(PV_DATA[[#This Row],[New Ark SKU]],Table9[New Ark SKU],Table9[Total PCS per 40HQ Container],,0)</f>
        <v>864</v>
      </c>
      <c r="BG1038" s="430" t="str">
        <f>_xlfn.XLOOKUP(PV_DATA[[#This Row],[New Ark SKU]],Table9[New Ark SKU],Table9[Back Glass],,0)</f>
        <v>Black glazing</v>
      </c>
      <c r="BH1038" s="610" t="str">
        <f>_xlfn.XLOOKUP(PV_DATA[[#This Row],[PORT DESTINATION]],Table12[PORT DESTINATION],Table12[Cosco Line],,0)</f>
        <v>AEM</v>
      </c>
    </row>
    <row r="1039" spans="1:60" s="430" customFormat="1" ht="10.5">
      <c r="A1039" s="729" t="s">
        <v>6710</v>
      </c>
      <c r="B1039" s="945" t="s">
        <v>61</v>
      </c>
      <c r="C1039" s="945" t="str">
        <f>IFERROR(LEFT(PV_DATA[[#This Row],[TCL REFERENCE]],FIND(".",PV_DATA[[#This Row],[TCL REFERENCE]],1)-1),"Main Line")</f>
        <v>26Jun021</v>
      </c>
      <c r="D1039" s="462" t="s">
        <v>63</v>
      </c>
      <c r="E1039" s="462" t="s">
        <v>64</v>
      </c>
      <c r="F1039" s="462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9" s="462" t="s">
        <v>402</v>
      </c>
      <c r="H1039" s="462" t="s">
        <v>67</v>
      </c>
      <c r="I1039" s="462" t="s">
        <v>689</v>
      </c>
      <c r="J1039" s="430" t="s">
        <v>96</v>
      </c>
      <c r="M1039" s="430" t="s">
        <v>6315</v>
      </c>
      <c r="N1039" s="432">
        <v>46202</v>
      </c>
      <c r="O1039" s="623" t="s">
        <v>284</v>
      </c>
      <c r="P1039" s="1315" t="s">
        <v>6159</v>
      </c>
      <c r="Q1039" s="623" t="s">
        <v>1570</v>
      </c>
      <c r="R1039" s="430" t="str">
        <f>_xlfn.XLOOKUP(PV_DATA[[#This Row],[New Ark SKU]],Table9[New Ark SKU],Table9[Connector],,0)</f>
        <v>EVO2A</v>
      </c>
      <c r="S1039" s="433" t="str">
        <f>_xlfn.XLOOKUP(PV_DATA[[#This Row],[New Ark SKU]],Table9[New Ark SKU],Table9[Cable],,0)</f>
        <v>±1400mm</v>
      </c>
      <c r="T1039" s="976">
        <v>650</v>
      </c>
      <c r="U1039" s="1088">
        <f>720*8</f>
        <v>5760</v>
      </c>
      <c r="V1039" s="977">
        <f>PV_DATA[[#This Row],[QUANTITY]]*PV_DATA[[#This Row],[WATT]]/1000000</f>
        <v>3.7440000000000002</v>
      </c>
      <c r="W1039" s="981">
        <f>PV_DATA[[#This Row],[QUANTITY]]/PV_DATA[[#This Row],[Qty/Pallet]]</f>
        <v>160</v>
      </c>
      <c r="X1039" s="1040">
        <f>PV_DATA[[#This Row],[QUANTITY]]/PV_DATA[[#This Row],[Qty/CT]]</f>
        <v>8</v>
      </c>
      <c r="Y1039" s="430" t="s">
        <v>2467</v>
      </c>
      <c r="Z1039" s="430" t="str">
        <f t="shared" si="18"/>
        <v>IN-TRANSIT</v>
      </c>
      <c r="AA1039" s="1313" t="s">
        <v>6711</v>
      </c>
      <c r="AB1039" s="437">
        <v>46268</v>
      </c>
      <c r="AC1039" s="1222">
        <f>IF(PV_DATA[[#This Row],[Pick- Up Date]]&lt;&gt;"",_xlfn.ISOWEEKNUM(PV_DATA[[#This Row],[Pick- Up Date]]),"")</f>
        <v>36</v>
      </c>
      <c r="AD1039" s="623" t="s">
        <v>6712</v>
      </c>
      <c r="AE1039" s="623"/>
      <c r="AF1039" s="623" t="s">
        <v>61</v>
      </c>
      <c r="AG1039" s="623" t="s">
        <v>61</v>
      </c>
      <c r="AH1039" s="430" t="s">
        <v>105</v>
      </c>
      <c r="AI1039" s="588">
        <v>46276</v>
      </c>
      <c r="AJ1039" s="437">
        <f>IFERROR(VLOOKUP(AT1039, Vessel!A:D, 4, FALSE), "")</f>
        <v>46275.833333333336</v>
      </c>
      <c r="AK1039" s="437">
        <f>IFERROR(IF(VLOOKUP(AT1039,Vessel!A:F,5,FALSE)=0,"",VLOOKUP(AT1039,Vessel!A:F,5,FALSE)),"")</f>
        <v>46275.864525462966</v>
      </c>
      <c r="AL1039" s="588">
        <v>46321</v>
      </c>
      <c r="AM1039" s="949">
        <f>IFERROR(VLOOKUP(AT1039, Vessel!A:H, 8, FALSE), "")</f>
        <v>46321.958333333336</v>
      </c>
      <c r="AN1039" s="949" t="str">
        <f>IFERROR(IF(VLOOKUP(AT1039,Vessel!A:I,9,FALSE)=0,"",VLOOKUP(AT1039,Vessel!A:I,9,FALSE)),"")</f>
        <v/>
      </c>
      <c r="AO1039" s="430" t="s">
        <v>402</v>
      </c>
      <c r="AP1039" s="430" t="s">
        <v>6703</v>
      </c>
      <c r="AQ1039" s="950" t="s">
        <v>80</v>
      </c>
      <c r="AR1039" s="430" t="s">
        <v>6713</v>
      </c>
      <c r="AS1039" s="430" t="s">
        <v>6714</v>
      </c>
      <c r="AT1039" s="430" t="s">
        <v>6714</v>
      </c>
      <c r="AU10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46.093807870369346</v>
      </c>
      <c r="AV1039" s="623"/>
      <c r="AW1039" s="978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46321.958333333336</v>
      </c>
      <c r="AX103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978" t="str">
        <f>IF(ISERROR(PV_DATA[[#This Row],[New Ark PO status]]),"",_xlfn.XLOOKUP(PV_DATA[[#This Row],[SPTN-PVHK New Ark PO'#]],New_Ark_Data[Purchase order Number],New_Ark_Data[Estimated time of arrival],"",0))</f>
        <v/>
      </c>
      <c r="AZ1039" s="97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9" s="978">
        <f>IFERROR(PV_DATA[[#This Row],[ODP ETA Port]]+PV_DATA[[#This Row],[Customs/Leg3 Assumption]],"n/a")</f>
        <v>46328.958333333336</v>
      </c>
      <c r="BB1039" s="976">
        <f>YEAR(PV_DATA[[#This Row],[ETA for New Ark update]])</f>
        <v>2026</v>
      </c>
      <c r="BC1039" s="623">
        <f>MONTH(PV_DATA[[#This Row],[ETA for New Ark update]])</f>
        <v>11</v>
      </c>
      <c r="BD1039" s="623">
        <f>IFERROR(_xlfn.ISOWEEKNUM(PV_DATA[[#This Row],[ETA for New Ark update]]),0)</f>
        <v>45</v>
      </c>
      <c r="BE1039" s="623">
        <f>_xlfn.XLOOKUP(PV_DATA[[#This Row],[New Ark SKU]],Table9[New Ark SKU],Table9[Total PCS per Pallet],,0)</f>
        <v>36</v>
      </c>
      <c r="BF1039" s="623">
        <f>_xlfn.XLOOKUP(PV_DATA[[#This Row],[New Ark SKU]],Table9[New Ark SKU],Table9[Total PCS per 40HQ Container],,0)</f>
        <v>720</v>
      </c>
      <c r="BG1039" s="430" t="str">
        <f>_xlfn.XLOOKUP(PV_DATA[[#This Row],[New Ark SKU]],Table9[New Ark SKU],Table9[Back Glass],,0)</f>
        <v>White glazing</v>
      </c>
      <c r="BH1039" s="979" t="str">
        <f>_xlfn.XLOOKUP(PV_DATA[[#This Row],[PORT DESTINATION]],Table12[PORT DESTINATION],Table12[Cosco Line],,0)</f>
        <v>AEU</v>
      </c>
    </row>
    <row r="1040" spans="1:60" s="430" customFormat="1" ht="10.5">
      <c r="A1040" s="462" t="s">
        <v>6715</v>
      </c>
      <c r="B1040" s="462" t="s">
        <v>61</v>
      </c>
      <c r="C1040" s="462" t="str">
        <f>IFERROR(LEFT(PV_DATA[[#This Row],[TCL REFERENCE]],FIND(".",PV_DATA[[#This Row],[TCL REFERENCE]],1)-1),"Main Line")</f>
        <v>26Jun021</v>
      </c>
      <c r="D1040" s="462" t="s">
        <v>63</v>
      </c>
      <c r="E1040" s="462" t="s">
        <v>64</v>
      </c>
      <c r="F1040" s="462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0" s="462" t="s">
        <v>402</v>
      </c>
      <c r="H1040" s="462" t="s">
        <v>67</v>
      </c>
      <c r="I1040" s="462" t="s">
        <v>689</v>
      </c>
      <c r="J1040" s="430" t="s">
        <v>96</v>
      </c>
      <c r="M1040" s="430" t="s">
        <v>6315</v>
      </c>
      <c r="N1040" s="432">
        <v>46202</v>
      </c>
      <c r="O1040" s="430" t="s">
        <v>284</v>
      </c>
      <c r="P1040" s="484" t="s">
        <v>6159</v>
      </c>
      <c r="Q1040" s="430" t="s">
        <v>1570</v>
      </c>
      <c r="R1040" s="430" t="str">
        <f>_xlfn.XLOOKUP(PV_DATA[[#This Row],[New Ark SKU]],Table9[New Ark SKU],Table9[Connector],,0)</f>
        <v>EVO2A</v>
      </c>
      <c r="S1040" s="433" t="str">
        <f>_xlfn.XLOOKUP(PV_DATA[[#This Row],[New Ark SKU]],Table9[New Ark SKU],Table9[Cable],,0)</f>
        <v>±1400mm</v>
      </c>
      <c r="T1040" s="433">
        <v>650</v>
      </c>
      <c r="U1040" s="1088">
        <f>720*8</f>
        <v>5760</v>
      </c>
      <c r="V1040" s="434">
        <f>PV_DATA[[#This Row],[QUANTITY]]*PV_DATA[[#This Row],[WATT]]/1000000</f>
        <v>3.7440000000000002</v>
      </c>
      <c r="W1040" s="435">
        <f>PV_DATA[[#This Row],[QUANTITY]]/PV_DATA[[#This Row],[Qty/Pallet]]</f>
        <v>160</v>
      </c>
      <c r="X1040" s="1040">
        <f>PV_DATA[[#This Row],[QUANTITY]]/PV_DATA[[#This Row],[Qty/CT]]</f>
        <v>8</v>
      </c>
      <c r="Y1040" s="430" t="s">
        <v>2467</v>
      </c>
      <c r="Z1040" s="430" t="str">
        <f t="shared" si="18"/>
        <v>IN-TRANSIT</v>
      </c>
      <c r="AA1040" s="1313" t="s">
        <v>6711</v>
      </c>
      <c r="AB1040" s="437">
        <v>46269</v>
      </c>
      <c r="AC1040" s="485">
        <f>IF(PV_DATA[[#This Row],[Pick- Up Date]]&lt;&gt;"",_xlfn.ISOWEEKNUM(PV_DATA[[#This Row],[Pick- Up Date]]),"")</f>
        <v>36</v>
      </c>
      <c r="AD1040" s="430" t="s">
        <v>6716</v>
      </c>
      <c r="AF1040" s="430" t="s">
        <v>61</v>
      </c>
      <c r="AG1040" s="430" t="s">
        <v>61</v>
      </c>
      <c r="AH1040" s="430" t="s">
        <v>105</v>
      </c>
      <c r="AI1040" s="588">
        <v>46276</v>
      </c>
      <c r="AJ1040" s="437">
        <f>IFERROR(VLOOKUP(AT1040, Vessel!A:D, 4, FALSE), "")</f>
        <v>46275.833333333336</v>
      </c>
      <c r="AK1040" s="437">
        <f>IFERROR(IF(VLOOKUP(AT1040,Vessel!A:F,5,FALSE)=0,"",VLOOKUP(AT1040,Vessel!A:F,5,FALSE)),"")</f>
        <v>46275.864525462966</v>
      </c>
      <c r="AL1040" s="588">
        <v>46321</v>
      </c>
      <c r="AM1040" s="949">
        <f>IFERROR(VLOOKUP(AT1040, Vessel!A:H, 8, FALSE), "")</f>
        <v>46321.958333333336</v>
      </c>
      <c r="AN1040" s="949" t="str">
        <f>IFERROR(IF(VLOOKUP(AT1040,Vessel!A:I,9,FALSE)=0,"",VLOOKUP(AT1040,Vessel!A:I,9,FALSE)),"")</f>
        <v/>
      </c>
      <c r="AO1040" s="430" t="s">
        <v>402</v>
      </c>
      <c r="AP1040" s="430" t="s">
        <v>6703</v>
      </c>
      <c r="AQ1040" s="950" t="s">
        <v>80</v>
      </c>
      <c r="AR1040" s="430" t="s">
        <v>6717</v>
      </c>
      <c r="AS1040" s="430" t="s">
        <v>6718</v>
      </c>
      <c r="AT1040" s="430" t="s">
        <v>6718</v>
      </c>
      <c r="AU10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46.093807870369346</v>
      </c>
      <c r="AW1040" s="437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46321.958333333336</v>
      </c>
      <c r="AX104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37" t="str">
        <f>IF(ISERROR(PV_DATA[[#This Row],[New Ark PO status]]),"",_xlfn.XLOOKUP(PV_DATA[[#This Row],[SPTN-PVHK New Ark PO'#]],New_Ark_Data[Purchase order Number],New_Ark_Data[Estimated time of arrival],"",0))</f>
        <v/>
      </c>
      <c r="AZ104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0" s="437">
        <f>IFERROR(PV_DATA[[#This Row],[ODP ETA Port]]+PV_DATA[[#This Row],[Customs/Leg3 Assumption]],"n/a")</f>
        <v>46328.958333333336</v>
      </c>
      <c r="BB1040" s="433">
        <f>YEAR(PV_DATA[[#This Row],[ETA for New Ark update]])</f>
        <v>2026</v>
      </c>
      <c r="BC1040" s="430">
        <f>MONTH(PV_DATA[[#This Row],[ETA for New Ark update]])</f>
        <v>11</v>
      </c>
      <c r="BD1040" s="430">
        <f>IFERROR(_xlfn.ISOWEEKNUM(PV_DATA[[#This Row],[ETA for New Ark update]]),0)</f>
        <v>45</v>
      </c>
      <c r="BE1040" s="430">
        <f>_xlfn.XLOOKUP(PV_DATA[[#This Row],[New Ark SKU]],Table9[New Ark SKU],Table9[Total PCS per Pallet],,0)</f>
        <v>36</v>
      </c>
      <c r="BF1040" s="430">
        <f>_xlfn.XLOOKUP(PV_DATA[[#This Row],[New Ark SKU]],Table9[New Ark SKU],Table9[Total PCS per 40HQ Container],,0)</f>
        <v>720</v>
      </c>
      <c r="BG1040" s="430" t="str">
        <f>_xlfn.XLOOKUP(PV_DATA[[#This Row],[New Ark SKU]],Table9[New Ark SKU],Table9[Back Glass],,0)</f>
        <v>White glazing</v>
      </c>
      <c r="BH1040" s="430" t="str">
        <f>_xlfn.XLOOKUP(PV_DATA[[#This Row],[PORT DESTINATION]],Table12[PORT DESTINATION],Table12[Cosco Line],,0)</f>
        <v>AEU</v>
      </c>
    </row>
    <row r="1041" spans="1:60" s="430" customFormat="1" ht="10.5">
      <c r="A1041" s="951" t="s">
        <v>6719</v>
      </c>
      <c r="B1041" s="462" t="s">
        <v>61</v>
      </c>
      <c r="C1041" s="462" t="str">
        <f>IFERROR(LEFT(PV_DATA[[#This Row],[TCL REFERENCE]],FIND(".",PV_DATA[[#This Row],[TCL REFERENCE]],1)-1),"Main Line")</f>
        <v>26Aug011</v>
      </c>
      <c r="D1041" s="945" t="s">
        <v>113</v>
      </c>
      <c r="E1041" s="462" t="s">
        <v>144</v>
      </c>
      <c r="F1041" s="462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1" s="462" t="s">
        <v>156</v>
      </c>
      <c r="H1041" s="462" t="s">
        <v>670</v>
      </c>
      <c r="I1041" s="462" t="s">
        <v>1395</v>
      </c>
      <c r="J1041" s="462" t="s">
        <v>670</v>
      </c>
      <c r="K1041" s="430" t="s">
        <v>6720</v>
      </c>
      <c r="L1041" s="430">
        <v>1</v>
      </c>
      <c r="M1041" s="430" t="s">
        <v>840</v>
      </c>
      <c r="N1041" s="432"/>
      <c r="O1041" s="430" t="s">
        <v>284</v>
      </c>
      <c r="P1041" s="430" t="s">
        <v>6721</v>
      </c>
      <c r="Q1041" s="430" t="s">
        <v>1570</v>
      </c>
      <c r="R1041" s="430" t="str">
        <f>_xlfn.XLOOKUP(PV_DATA[[#This Row],[New Ark SKU]],Table9[New Ark SKU],Table9[Connector],,0)</f>
        <v>H4(Com)</v>
      </c>
      <c r="S1041" s="433" t="str">
        <f>_xlfn.XLOOKUP(PV_DATA[[#This Row],[New Ark SKU]],Table9[New Ark SKU],Table9[Cable],,0)</f>
        <v>+400mm/-200mm</v>
      </c>
      <c r="T1041" s="433">
        <v>650</v>
      </c>
      <c r="U1041" s="1088">
        <v>1440</v>
      </c>
      <c r="V1041" s="434">
        <f>PV_DATA[[#This Row],[QUANTITY]]*PV_DATA[[#This Row],[WATT]]/1000000</f>
        <v>0.93600000000000005</v>
      </c>
      <c r="W1041" s="435">
        <f>PV_DATA[[#This Row],[QUANTITY]]/PV_DATA[[#This Row],[Qty/Pallet]]</f>
        <v>40</v>
      </c>
      <c r="X1041" s="1040">
        <f>PV_DATA[[#This Row],[QUANTITY]]/PV_DATA[[#This Row],[Qty/CT]]</f>
        <v>2</v>
      </c>
      <c r="Y1041" s="430" t="s">
        <v>2467</v>
      </c>
      <c r="Z1041" s="430" t="str">
        <f t="shared" si="18"/>
        <v>IN-TRANSIT</v>
      </c>
      <c r="AA1041" s="545">
        <v>46268</v>
      </c>
      <c r="AB1041" s="978">
        <v>46269</v>
      </c>
      <c r="AC1041" s="485">
        <f>IF(PV_DATA[[#This Row],[Pick- Up Date]]&lt;&gt;"",_xlfn.ISOWEEKNUM(PV_DATA[[#This Row],[Pick- Up Date]]),"")</f>
        <v>36</v>
      </c>
      <c r="AD1041" s="430" t="s">
        <v>6722</v>
      </c>
      <c r="AF1041" s="430" t="s">
        <v>77</v>
      </c>
      <c r="AG1041" s="430" t="s">
        <v>77</v>
      </c>
      <c r="AH1041" s="430" t="s">
        <v>105</v>
      </c>
      <c r="AI1041" s="978">
        <v>46272</v>
      </c>
      <c r="AJ1041" s="978">
        <v>46277</v>
      </c>
      <c r="AK1041" s="978">
        <v>46278</v>
      </c>
      <c r="AL1041" s="978">
        <v>46319</v>
      </c>
      <c r="AM1041" s="437"/>
      <c r="AN1041" s="588"/>
      <c r="AO1041" s="430" t="s">
        <v>156</v>
      </c>
      <c r="AP1041" s="430" t="s">
        <v>6723</v>
      </c>
      <c r="AQ1041" s="438" t="s">
        <v>161</v>
      </c>
      <c r="AR1041" s="430" t="s">
        <v>6724</v>
      </c>
      <c r="AS1041" s="430" t="s">
        <v>6725</v>
      </c>
      <c r="AT1041" s="430" t="s">
        <v>6726</v>
      </c>
      <c r="AW1041" s="437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37" t="str">
        <f>IF(ISERROR(PV_DATA[[#This Row],[New Ark PO status]]),"",_xlfn.XLOOKUP(PV_DATA[[#This Row],[SPTN-PVHK New Ark PO'#]],New_Ark_Data[Purchase order Number],New_Ark_Data[Estimated time of arrival],"",0))</f>
        <v/>
      </c>
      <c r="AZ104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1" s="437">
        <f>IFERROR(PV_DATA[[#This Row],[ODP ETA Port]]+PV_DATA[[#This Row],[Customs/Leg3 Assumption]],"n/a")</f>
        <v>46319</v>
      </c>
      <c r="BB1041" s="433">
        <f>YEAR(PV_DATA[[#This Row],[ETA for New Ark update]])</f>
        <v>2026</v>
      </c>
      <c r="BC1041" s="430">
        <f>MONTH(PV_DATA[[#This Row],[ETA for New Ark update]])</f>
        <v>10</v>
      </c>
      <c r="BD1041" s="430">
        <f>IFERROR(_xlfn.ISOWEEKNUM(PV_DATA[[#This Row],[ETA for New Ark update]]),0)</f>
        <v>43</v>
      </c>
      <c r="BE1041" s="430">
        <f>_xlfn.XLOOKUP(PV_DATA[[#This Row],[New Ark SKU]],Table9[New Ark SKU],Table9[Total PCS per Pallet],,0)</f>
        <v>36</v>
      </c>
      <c r="BF1041" s="430">
        <f>_xlfn.XLOOKUP(PV_DATA[[#This Row],[New Ark SKU]],Table9[New Ark SKU],Table9[Total PCS per 40HQ Container],,0)</f>
        <v>720</v>
      </c>
      <c r="BG1041" s="430" t="str">
        <f>_xlfn.XLOOKUP(PV_DATA[[#This Row],[New Ark SKU]],Table9[New Ark SKU],Table9[Back Glass],,0)</f>
        <v>White glazing</v>
      </c>
      <c r="BH1041" s="610" t="str">
        <f>_xlfn.XLOOKUP(PV_DATA[[#This Row],[PORT DESTINATION]],Table12[PORT DESTINATION],Table12[Cosco Line],,0)</f>
        <v>AEU</v>
      </c>
    </row>
    <row r="1042" spans="1:60" s="430" customFormat="1" ht="10.5">
      <c r="A1042" s="951" t="s">
        <v>6727</v>
      </c>
      <c r="B1042" s="462" t="s">
        <v>61</v>
      </c>
      <c r="C1042" s="462" t="str">
        <f>IFERROR(LEFT(PV_DATA[[#This Row],[TCL REFERENCE]],FIND(".",PV_DATA[[#This Row],[TCL REFERENCE]],1)-1),"Main Line")</f>
        <v>26Aug012</v>
      </c>
      <c r="D1042" s="945" t="s">
        <v>113</v>
      </c>
      <c r="E1042" s="462" t="s">
        <v>144</v>
      </c>
      <c r="F1042" s="462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2" s="462" t="s">
        <v>156</v>
      </c>
      <c r="H1042" s="462" t="s">
        <v>670</v>
      </c>
      <c r="I1042" s="462" t="s">
        <v>1395</v>
      </c>
      <c r="J1042" s="462" t="s">
        <v>670</v>
      </c>
      <c r="K1042" s="430" t="s">
        <v>6720</v>
      </c>
      <c r="L1042" s="430">
        <v>2</v>
      </c>
      <c r="M1042" s="430" t="s">
        <v>840</v>
      </c>
      <c r="N1042" s="432"/>
      <c r="O1042" s="430" t="s">
        <v>284</v>
      </c>
      <c r="P1042" s="430" t="s">
        <v>6728</v>
      </c>
      <c r="Q1042" s="430" t="s">
        <v>5346</v>
      </c>
      <c r="R1042" s="430" t="str">
        <f>_xlfn.XLOOKUP(PV_DATA[[#This Row],[New Ark SKU]],Table9[New Ark SKU],Table9[Connector],,0)</f>
        <v>H4(Com)</v>
      </c>
      <c r="S1042" s="433" t="str">
        <f>_xlfn.XLOOKUP(PV_DATA[[#This Row],[New Ark SKU]],Table9[New Ark SKU],Table9[Cable],,0)</f>
        <v>+400mm/-200mm</v>
      </c>
      <c r="T1042" s="433">
        <v>655</v>
      </c>
      <c r="U1042" s="1088">
        <v>2160</v>
      </c>
      <c r="V1042" s="434">
        <f>PV_DATA[[#This Row],[QUANTITY]]*PV_DATA[[#This Row],[WATT]]/1000000</f>
        <v>1.4148000000000001</v>
      </c>
      <c r="W1042" s="435">
        <f>PV_DATA[[#This Row],[QUANTITY]]/PV_DATA[[#This Row],[Qty/Pallet]]</f>
        <v>60</v>
      </c>
      <c r="X1042" s="1040">
        <f>PV_DATA[[#This Row],[QUANTITY]]/PV_DATA[[#This Row],[Qty/CT]]</f>
        <v>3</v>
      </c>
      <c r="Y1042" s="430" t="s">
        <v>2467</v>
      </c>
      <c r="Z1042" s="430" t="str">
        <f t="shared" si="18"/>
        <v>IN-TRANSIT</v>
      </c>
      <c r="AA1042" s="545">
        <v>46277</v>
      </c>
      <c r="AB1042" s="978">
        <v>46269</v>
      </c>
      <c r="AC1042" s="485">
        <f>IF(PV_DATA[[#This Row],[Pick- Up Date]]&lt;&gt;"",_xlfn.ISOWEEKNUM(PV_DATA[[#This Row],[Pick- Up Date]]),"")</f>
        <v>36</v>
      </c>
      <c r="AD1042" s="430" t="s">
        <v>6729</v>
      </c>
      <c r="AF1042" s="430" t="s">
        <v>77</v>
      </c>
      <c r="AG1042" s="430" t="s">
        <v>77</v>
      </c>
      <c r="AH1042" s="430" t="s">
        <v>105</v>
      </c>
      <c r="AI1042" s="978">
        <v>46272</v>
      </c>
      <c r="AJ1042" s="978">
        <v>46277</v>
      </c>
      <c r="AK1042" s="978">
        <v>46278</v>
      </c>
      <c r="AL1042" s="978">
        <v>46319</v>
      </c>
      <c r="AM1042" s="437"/>
      <c r="AN1042" s="588"/>
      <c r="AO1042" s="430" t="s">
        <v>156</v>
      </c>
      <c r="AP1042" s="430" t="s">
        <v>6723</v>
      </c>
      <c r="AQ1042" s="438" t="s">
        <v>161</v>
      </c>
      <c r="AR1042" s="430" t="s">
        <v>6724</v>
      </c>
      <c r="AS1042" s="430" t="s">
        <v>6725</v>
      </c>
      <c r="AT1042" s="430" t="s">
        <v>6726</v>
      </c>
      <c r="AU10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2" s="437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37" t="str">
        <f>IF(ISERROR(PV_DATA[[#This Row],[New Ark PO status]]),"",_xlfn.XLOOKUP(PV_DATA[[#This Row],[SPTN-PVHK New Ark PO'#]],New_Ark_Data[Purchase order Number],New_Ark_Data[Estimated time of arrival],"",0))</f>
        <v/>
      </c>
      <c r="AZ104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2" s="437">
        <f>IFERROR(PV_DATA[[#This Row],[ODP ETA Port]]+PV_DATA[[#This Row],[Customs/Leg3 Assumption]],"n/a")</f>
        <v>46319</v>
      </c>
      <c r="BB1042" s="433" t="s">
        <v>6536</v>
      </c>
      <c r="BC1042" s="433" t="s">
        <v>6536</v>
      </c>
      <c r="BD1042" s="430">
        <f>IFERROR(_xlfn.ISOWEEKNUM(PV_DATA[[#This Row],[ETA for New Ark update]]),0)</f>
        <v>43</v>
      </c>
      <c r="BE1042" s="430">
        <f>_xlfn.XLOOKUP(PV_DATA[[#This Row],[New Ark SKU]],Table9[New Ark SKU],Table9[Total PCS per Pallet],,0)</f>
        <v>36</v>
      </c>
      <c r="BF1042" s="430">
        <f>_xlfn.XLOOKUP(PV_DATA[[#This Row],[New Ark SKU]],Table9[New Ark SKU],Table9[Total PCS per 40HQ Container],,0)</f>
        <v>720</v>
      </c>
      <c r="BG1042" s="430" t="str">
        <f>_xlfn.XLOOKUP(PV_DATA[[#This Row],[New Ark SKU]],Table9[New Ark SKU],Table9[Back Glass],,0)</f>
        <v>White glazing</v>
      </c>
      <c r="BH1042" s="610" t="str">
        <f>_xlfn.XLOOKUP(PV_DATA[[#This Row],[PORT DESTINATION]],Table12[PORT DESTINATION],Table12[Cosco Line],,0)</f>
        <v>AEU</v>
      </c>
    </row>
    <row r="1043" spans="1:60" s="430" customFormat="1" ht="10.5">
      <c r="A1043" s="462" t="s">
        <v>6730</v>
      </c>
      <c r="B1043" s="462" t="s">
        <v>6731</v>
      </c>
      <c r="C1043" s="462" t="str">
        <f>IFERROR(LEFT(PV_DATA[[#This Row],[TCL REFERENCE]],FIND(".",PV_DATA[[#This Row],[TCL REFERENCE]],1)-1),"Main Line")</f>
        <v>26Aug003</v>
      </c>
      <c r="D1043" s="462" t="s">
        <v>63</v>
      </c>
      <c r="E1043" s="462" t="s">
        <v>144</v>
      </c>
      <c r="F1043" s="462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3" s="462" t="s">
        <v>402</v>
      </c>
      <c r="H1043" s="462" t="s">
        <v>2394</v>
      </c>
      <c r="I1043" s="462" t="s">
        <v>1395</v>
      </c>
      <c r="J1043" s="462" t="s">
        <v>2394</v>
      </c>
      <c r="K1043" s="462" t="s">
        <v>6732</v>
      </c>
      <c r="L1043" s="430">
        <v>1</v>
      </c>
      <c r="M1043" s="430" t="s">
        <v>840</v>
      </c>
      <c r="N1043" s="432">
        <v>46237</v>
      </c>
      <c r="O1043" s="430" t="s">
        <v>4531</v>
      </c>
      <c r="P1043" s="430" t="s">
        <v>71</v>
      </c>
      <c r="Q1043" s="430" t="s">
        <v>72</v>
      </c>
      <c r="R1043" s="430" t="str">
        <f>_xlfn.XLOOKUP(PV_DATA[[#This Row],[New Ark SKU]],Table9[New Ark SKU],Table9[Connector],,0)</f>
        <v>EVO2A</v>
      </c>
      <c r="S1043" s="433" t="str">
        <f>_xlfn.XLOOKUP(PV_DATA[[#This Row],[New Ark SKU]],Table9[New Ark SKU],Table9[Cable],,0)</f>
        <v>±1200mm</v>
      </c>
      <c r="T1043" s="433">
        <v>500</v>
      </c>
      <c r="U1043" s="1088">
        <f>864*5</f>
        <v>4320</v>
      </c>
      <c r="V1043" s="434">
        <f>PV_DATA[[#This Row],[QUANTITY]]*PV_DATA[[#This Row],[WATT]]/1000000</f>
        <v>2.16</v>
      </c>
      <c r="W1043" s="435">
        <f>PV_DATA[[#This Row],[QUANTITY]]/PV_DATA[[#This Row],[Qty/Pallet]]</f>
        <v>120</v>
      </c>
      <c r="X1043" s="1040">
        <f>PV_DATA[[#This Row],[QUANTITY]]/PV_DATA[[#This Row],[Qty/CT]]</f>
        <v>5</v>
      </c>
      <c r="Y1043" s="430" t="s">
        <v>2468</v>
      </c>
      <c r="AA1043" s="1077" t="s">
        <v>6733</v>
      </c>
      <c r="AB1043" s="437">
        <v>46276</v>
      </c>
      <c r="AC1043" s="485">
        <f>IF(PV_DATA[[#This Row],[Pick- Up Date]]&lt;&gt;"",_xlfn.ISOWEEKNUM(PV_DATA[[#This Row],[Pick- Up Date]]),"")</f>
        <v>37</v>
      </c>
      <c r="AD1043" s="430" t="s">
        <v>6734</v>
      </c>
      <c r="AF1043" s="459" t="s">
        <v>123</v>
      </c>
      <c r="AG1043" s="459" t="s">
        <v>123</v>
      </c>
      <c r="AH1043" s="430" t="s">
        <v>888</v>
      </c>
      <c r="AI1043" s="437">
        <v>46279</v>
      </c>
      <c r="AJ1043" s="437">
        <v>46279</v>
      </c>
      <c r="AK1043" s="437">
        <f>IFERROR(IF(VLOOKUP(AT1043,Vessel!A:F,5,FALSE)=0,"",VLOOKUP(AT1043,Vessel!A:F,5,FALSE)),"")</f>
        <v>46279.699814814812</v>
      </c>
      <c r="AL1043" s="437">
        <v>46330</v>
      </c>
      <c r="AM1043" s="949">
        <f>IFERROR(VLOOKUP(AT1043, Vessel!A:H, 8, FALSE), "")</f>
        <v>46330.25</v>
      </c>
      <c r="AN1043" s="949" t="str">
        <f>IFERROR(IF(VLOOKUP(AT1043,Vessel!A:I,9,FALSE)=0,"",VLOOKUP(AT1043,Vessel!A:I,9,FALSE)),"")</f>
        <v/>
      </c>
      <c r="AP1043" s="430" t="s">
        <v>6735</v>
      </c>
      <c r="AQ1043" s="430" t="s">
        <v>80</v>
      </c>
      <c r="AR1043" s="430" t="s">
        <v>6736</v>
      </c>
      <c r="AS1043" s="430" t="s">
        <v>6737</v>
      </c>
      <c r="AT1043" s="430" t="s">
        <v>6737</v>
      </c>
      <c r="AU10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50.550185185187729</v>
      </c>
      <c r="AW1043" s="437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04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37" t="str">
        <f>IF(ISERROR(PV_DATA[[#This Row],[New Ark PO status]]),"",_xlfn.XLOOKUP(PV_DATA[[#This Row],[SPTN-PVHK New Ark PO'#]],New_Ark_Data[Purchase order Number],New_Ark_Data[Estimated time of arrival],"",0))</f>
        <v/>
      </c>
      <c r="AZ104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3" s="437">
        <f>IFERROR(PV_DATA[[#This Row],[ODP ETA Port]]+PV_DATA[[#This Row],[Customs/Leg3 Assumption]],"n/a")</f>
        <v>46330.25</v>
      </c>
      <c r="BB1043" s="433">
        <f>YEAR(PV_DATA[[#This Row],[ETA for New Ark update]])</f>
        <v>2026</v>
      </c>
      <c r="BC1043" s="430">
        <f>MONTH(PV_DATA[[#This Row],[ETA for New Ark update]])</f>
        <v>11</v>
      </c>
      <c r="BD1043" s="430">
        <f>IFERROR(_xlfn.ISOWEEKNUM(PV_DATA[[#This Row],[ETA for New Ark update]]),0)</f>
        <v>45</v>
      </c>
      <c r="BE1043" s="430">
        <f>_xlfn.XLOOKUP(PV_DATA[[#This Row],[New Ark SKU]],Table9[New Ark SKU],Table9[Total PCS per Pallet],,0)</f>
        <v>36</v>
      </c>
      <c r="BF1043" s="430">
        <f>_xlfn.XLOOKUP(PV_DATA[[#This Row],[New Ark SKU]],Table9[New Ark SKU],Table9[Total PCS per 40HQ Container],,0)</f>
        <v>864</v>
      </c>
      <c r="BG1043" s="430" t="str">
        <f>_xlfn.XLOOKUP(PV_DATA[[#This Row],[New Ark SKU]],Table9[New Ark SKU],Table9[Back Glass],,0)</f>
        <v>Black glazing</v>
      </c>
      <c r="BH1043" s="610" t="str">
        <f>_xlfn.XLOOKUP(PV_DATA[[#This Row],[PORT DESTINATION]],Table12[PORT DESTINATION],Table12[Cosco Line],,0)</f>
        <v>AEU</v>
      </c>
    </row>
    <row r="1044" spans="1:60" s="430" customFormat="1" ht="10.5">
      <c r="A1044" s="729" t="s">
        <v>6738</v>
      </c>
      <c r="B1044" s="459" t="s">
        <v>111</v>
      </c>
      <c r="C1044" s="462" t="str">
        <f>IFERROR(LEFT(PV_DATA[[#This Row],[TCL REFERENCE]],FIND(".",PV_DATA[[#This Row],[TCL REFERENCE]],1)-1),"Main Line")</f>
        <v>26Aug020</v>
      </c>
      <c r="D1044" s="462" t="s">
        <v>63</v>
      </c>
      <c r="E1044" s="462" t="s">
        <v>64</v>
      </c>
      <c r="F1044" s="462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4" s="462" t="s">
        <v>402</v>
      </c>
      <c r="H1044" s="462" t="s">
        <v>67</v>
      </c>
      <c r="I1044" s="462" t="s">
        <v>689</v>
      </c>
      <c r="J1044" s="430" t="s">
        <v>96</v>
      </c>
      <c r="M1044" s="430" t="s">
        <v>6315</v>
      </c>
      <c r="N1044" s="432">
        <v>46238</v>
      </c>
      <c r="O1044" s="430" t="s">
        <v>132</v>
      </c>
      <c r="P1044" s="430" t="s">
        <v>1062</v>
      </c>
      <c r="Q1044" s="430" t="s">
        <v>1063</v>
      </c>
      <c r="R1044" s="430" t="str">
        <f>_xlfn.XLOOKUP(PV_DATA[[#This Row],[New Ark SKU]],Table9[New Ark SKU],Table9[Connector],,0)</f>
        <v>EVO2A</v>
      </c>
      <c r="S1044" s="433" t="str">
        <f>_xlfn.XLOOKUP(PV_DATA[[#This Row],[New Ark SKU]],Table9[New Ark SKU],Table9[Cable],,0)</f>
        <v>±1200mm</v>
      </c>
      <c r="T1044" s="433">
        <v>470</v>
      </c>
      <c r="U1044" s="1088">
        <v>4320</v>
      </c>
      <c r="V1044" s="434">
        <f>PV_DATA[[#This Row],[QUANTITY]]*PV_DATA[[#This Row],[WATT]]/1000000</f>
        <v>2.0304000000000002</v>
      </c>
      <c r="W1044" s="435">
        <f>PV_DATA[[#This Row],[QUANTITY]]/PV_DATA[[#This Row],[Qty/Pallet]]</f>
        <v>120</v>
      </c>
      <c r="X1044" s="1040">
        <f>PV_DATA[[#This Row],[QUANTITY]]/PV_DATA[[#This Row],[Qty/CT]]</f>
        <v>5</v>
      </c>
      <c r="Y1044" s="430" t="s">
        <v>2470</v>
      </c>
      <c r="AA1044" s="430" t="s">
        <v>5853</v>
      </c>
      <c r="AB1044" s="437">
        <v>46280</v>
      </c>
      <c r="AC1044" s="485">
        <f>IF(PV_DATA[[#This Row],[Pick- Up Date]]&lt;&gt;"",_xlfn.ISOWEEKNUM(PV_DATA[[#This Row],[Pick- Up Date]]),"")</f>
        <v>38</v>
      </c>
      <c r="AD1044" s="462" t="s">
        <v>6739</v>
      </c>
      <c r="AF1044" s="430" t="s">
        <v>122</v>
      </c>
      <c r="AG1044" s="430" t="s">
        <v>123</v>
      </c>
      <c r="AH1044" s="430" t="s">
        <v>105</v>
      </c>
      <c r="AI1044" s="437">
        <v>46279</v>
      </c>
      <c r="AJ1044" s="437">
        <v>46294</v>
      </c>
      <c r="AK1044" s="437">
        <v>46294</v>
      </c>
      <c r="AL1044" s="437">
        <v>46319</v>
      </c>
      <c r="AM1044" s="437"/>
      <c r="AN1044" s="588"/>
      <c r="AP1044" s="430" t="s">
        <v>6740</v>
      </c>
      <c r="AQ1044" s="430" t="s">
        <v>161</v>
      </c>
      <c r="AR1044" s="430" t="s">
        <v>6741</v>
      </c>
      <c r="AS1044" s="430" t="s">
        <v>6742</v>
      </c>
      <c r="AT1044" s="430" t="s">
        <v>6742</v>
      </c>
      <c r="AU10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25</v>
      </c>
      <c r="AW1044" s="437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37" t="str">
        <f>IF(ISERROR(PV_DATA[[#This Row],[New Ark PO status]]),"",_xlfn.XLOOKUP(PV_DATA[[#This Row],[SPTN-PVHK New Ark PO'#]],New_Ark_Data[Purchase order Number],New_Ark_Data[Estimated time of arrival],"",0))</f>
        <v/>
      </c>
      <c r="AZ104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4" s="437">
        <f>IFERROR(PV_DATA[[#This Row],[ODP ETA Port]]+PV_DATA[[#This Row],[Customs/Leg3 Assumption]],"n/a")</f>
        <v>46326</v>
      </c>
      <c r="BB1044" s="433">
        <f>YEAR(PV_DATA[[#This Row],[ETA for New Ark update]])</f>
        <v>2026</v>
      </c>
      <c r="BC1044" s="430">
        <f>MONTH(PV_DATA[[#This Row],[ETA for New Ark update]])</f>
        <v>10</v>
      </c>
      <c r="BD1044" s="430">
        <f>IFERROR(_xlfn.ISOWEEKNUM(PV_DATA[[#This Row],[ETA for New Ark update]]),0)</f>
        <v>44</v>
      </c>
      <c r="BE1044" s="430">
        <f>_xlfn.XLOOKUP(PV_DATA[[#This Row],[New Ark SKU]],Table9[New Ark SKU],Table9[Total PCS per Pallet],,0)</f>
        <v>36</v>
      </c>
      <c r="BF1044" s="430">
        <f>_xlfn.XLOOKUP(PV_DATA[[#This Row],[New Ark SKU]],Table9[New Ark SKU],Table9[Total PCS per 40HQ Container],,0)</f>
        <v>864</v>
      </c>
      <c r="BG1044" s="430" t="str">
        <f>_xlfn.XLOOKUP(PV_DATA[[#This Row],[New Ark SKU]],Table9[New Ark SKU],Table9[Back Glass],,0)</f>
        <v>White glazing</v>
      </c>
      <c r="BH1044" s="430" t="str">
        <f>_xlfn.XLOOKUP(PV_DATA[[#This Row],[PORT DESTINATION]],Table12[PORT DESTINATION],Table12[Cosco Line],,0)</f>
        <v>AEU</v>
      </c>
    </row>
    <row r="1045" spans="1:60" s="430" customFormat="1" ht="10.5">
      <c r="A1045" s="951" t="s">
        <v>6743</v>
      </c>
      <c r="B1045" s="1078" t="s">
        <v>111</v>
      </c>
      <c r="C1045" s="462" t="str">
        <f>IFERROR(LEFT(PV_DATA[[#This Row],[TCL REFERENCE]],FIND(".",PV_DATA[[#This Row],[TCL REFERENCE]],1)-1),"Main Line")</f>
        <v>26Jul009</v>
      </c>
      <c r="D1045" s="945" t="s">
        <v>63</v>
      </c>
      <c r="E1045" s="462" t="s">
        <v>64</v>
      </c>
      <c r="F1045" s="945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5" s="462" t="s">
        <v>402</v>
      </c>
      <c r="H1045" s="462" t="s">
        <v>67</v>
      </c>
      <c r="I1045" s="462" t="s">
        <v>689</v>
      </c>
      <c r="J1045" s="430" t="s">
        <v>96</v>
      </c>
      <c r="L1045" s="623"/>
      <c r="M1045" s="430" t="s">
        <v>68</v>
      </c>
      <c r="N1045" s="1079">
        <v>46251</v>
      </c>
      <c r="O1045" s="623" t="s">
        <v>5379</v>
      </c>
      <c r="P1045" s="623" t="s">
        <v>6678</v>
      </c>
      <c r="Q1045" s="623" t="s">
        <v>6679</v>
      </c>
      <c r="R1045" s="430" t="str">
        <f>_xlfn.XLOOKUP(PV_DATA[[#This Row],[New Ark SKU]],Table9[New Ark SKU],Table9[Connector],,0)</f>
        <v>EVO2A</v>
      </c>
      <c r="S1045" s="433" t="str">
        <f>_xlfn.XLOOKUP(PV_DATA[[#This Row],[New Ark SKU]],Table9[New Ark SKU],Table9[Cable],,0)</f>
        <v>±1200mm</v>
      </c>
      <c r="T1045" s="976">
        <v>475</v>
      </c>
      <c r="U1045" s="1100">
        <f>936*3</f>
        <v>2808</v>
      </c>
      <c r="V1045" s="977">
        <f>PV_DATA[[#This Row],[QUANTITY]]*PV_DATA[[#This Row],[WATT]]/1000000</f>
        <v>1.3338000000000001</v>
      </c>
      <c r="W1045" s="435">
        <f>PV_DATA[[#This Row],[QUANTITY]]/PV_DATA[[#This Row],[Qty/Pallet]]</f>
        <v>78</v>
      </c>
      <c r="X1045" s="1040">
        <f>PV_DATA[[#This Row],[QUANTITY]]/PV_DATA[[#This Row],[Qty/CT]]</f>
        <v>3</v>
      </c>
      <c r="Y1045" s="430" t="s">
        <v>2467</v>
      </c>
      <c r="Z1045" s="430" t="str">
        <f>IF(AN1045&lt;&gt;"","COMPLETED",IF(AK1045&lt;&gt;"","IN-TRANSIT",""))</f>
        <v>IN-TRANSIT</v>
      </c>
      <c r="AA1045" s="1077">
        <v>46260</v>
      </c>
      <c r="AB1045" s="437">
        <v>46280</v>
      </c>
      <c r="AC1045" s="485">
        <f>IF(PV_DATA[[#This Row],[Pick- Up Date]]&lt;&gt;"",_xlfn.ISOWEEKNUM(PV_DATA[[#This Row],[Pick- Up Date]]),"")</f>
        <v>38</v>
      </c>
      <c r="AD1045" s="623" t="s">
        <v>6744</v>
      </c>
      <c r="AE1045" s="623"/>
      <c r="AF1045" s="623" t="s">
        <v>122</v>
      </c>
      <c r="AG1045" s="623" t="s">
        <v>123</v>
      </c>
      <c r="AH1045" s="430" t="s">
        <v>105</v>
      </c>
      <c r="AI1045" s="978">
        <v>46279</v>
      </c>
      <c r="AJ1045" s="437">
        <v>46294</v>
      </c>
      <c r="AK1045" s="437">
        <v>46294</v>
      </c>
      <c r="AL1045" s="978">
        <v>46319</v>
      </c>
      <c r="AM1045" s="1223" t="str">
        <f>IFERROR(VLOOKUP(AT1045, Vessel!A:H, 8, FALSE), "")</f>
        <v/>
      </c>
      <c r="AN1045" s="588" t="str">
        <f>IFERROR(IF(VLOOKUP(AT1045,Vessel!A:I,9,FALSE)=0,"",VLOOKUP(AT1045,Vessel!A:I,9,FALSE)),"")</f>
        <v/>
      </c>
      <c r="AO1045" s="623"/>
      <c r="AP1045" s="430" t="s">
        <v>6740</v>
      </c>
      <c r="AQ1045" s="430" t="s">
        <v>161</v>
      </c>
      <c r="AR1045" s="623" t="s">
        <v>6741</v>
      </c>
      <c r="AS1045" s="623" t="s">
        <v>6742</v>
      </c>
      <c r="AT1045" s="430" t="s">
        <v>6745</v>
      </c>
      <c r="AU10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25</v>
      </c>
      <c r="AV1045" s="623"/>
      <c r="AW1045" s="978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978" t="str">
        <f>IF(ISERROR(PV_DATA[[#This Row],[New Ark PO status]]),"",_xlfn.XLOOKUP(PV_DATA[[#This Row],[SPTN-PVHK New Ark PO'#]],New_Ark_Data[Purchase order Number],New_Ark_Data[Estimated time of arrival],"",0))</f>
        <v/>
      </c>
      <c r="AZ1045" s="97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5" s="978">
        <f>IFERROR(PV_DATA[[#This Row],[ODP ETA Port]]+PV_DATA[[#This Row],[Customs/Leg3 Assumption]],"n/a")</f>
        <v>46326</v>
      </c>
      <c r="BB1045" s="976">
        <f>YEAR(PV_DATA[[#This Row],[ETA for New Ark update]])</f>
        <v>2026</v>
      </c>
      <c r="BC1045" s="623">
        <f>MONTH(PV_DATA[[#This Row],[ETA for New Ark update]])</f>
        <v>10</v>
      </c>
      <c r="BD1045" s="623">
        <f>IFERROR(_xlfn.ISOWEEKNUM(PV_DATA[[#This Row],[ETA for New Ark update]]),0)</f>
        <v>44</v>
      </c>
      <c r="BE1045" s="623">
        <f>_xlfn.XLOOKUP(PV_DATA[[#This Row],[New Ark SKU]],Table9[New Ark SKU],Table9[Total PCS per Pallet],,0)</f>
        <v>36</v>
      </c>
      <c r="BF1045" s="623">
        <f>_xlfn.XLOOKUP(PV_DATA[[#This Row],[New Ark SKU]],Table9[New Ark SKU],Table9[Total PCS per 40HQ Container],,0)</f>
        <v>936</v>
      </c>
      <c r="BG1045" s="623" t="str">
        <f>_xlfn.XLOOKUP(PV_DATA[[#This Row],[New Ark SKU]],Table9[New Ark SKU],Table9[Back Glass],,0)</f>
        <v>Black glazing</v>
      </c>
      <c r="BH1045" s="979" t="str">
        <f>_xlfn.XLOOKUP(PV_DATA[[#This Row],[PORT DESTINATION]],Table12[PORT DESTINATION],Table12[Cosco Line],,0)</f>
        <v>AEU</v>
      </c>
    </row>
    <row r="1046" spans="1:60" s="430" customFormat="1" ht="10.5">
      <c r="A1046" s="729" t="s">
        <v>6746</v>
      </c>
      <c r="B1046" s="459" t="s">
        <v>111</v>
      </c>
      <c r="C1046" s="462" t="str">
        <f>IFERROR(LEFT(PV_DATA[[#This Row],[TCL REFERENCE]],FIND(".",PV_DATA[[#This Row],[TCL REFERENCE]],1)-1),"Main Line")</f>
        <v>26Aug020</v>
      </c>
      <c r="D1046" s="462" t="s">
        <v>63</v>
      </c>
      <c r="E1046" s="462" t="s">
        <v>64</v>
      </c>
      <c r="F1046" s="462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6" s="462" t="s">
        <v>402</v>
      </c>
      <c r="H1046" s="462" t="s">
        <v>67</v>
      </c>
      <c r="I1046" s="462" t="s">
        <v>689</v>
      </c>
      <c r="J1046" s="430" t="s">
        <v>96</v>
      </c>
      <c r="M1046" s="430" t="s">
        <v>6315</v>
      </c>
      <c r="N1046" s="432">
        <v>46238</v>
      </c>
      <c r="O1046" s="430" t="s">
        <v>132</v>
      </c>
      <c r="P1046" s="430" t="s">
        <v>1062</v>
      </c>
      <c r="Q1046" s="430" t="s">
        <v>1063</v>
      </c>
      <c r="R1046" s="430" t="str">
        <f>_xlfn.XLOOKUP(PV_DATA[[#This Row],[New Ark SKU]],Table9[New Ark SKU],Table9[Connector],,0)</f>
        <v>EVO2A</v>
      </c>
      <c r="S1046" s="433" t="str">
        <f>_xlfn.XLOOKUP(PV_DATA[[#This Row],[New Ark SKU]],Table9[New Ark SKU],Table9[Cable],,0)</f>
        <v>±1200mm</v>
      </c>
      <c r="T1046" s="433">
        <v>470</v>
      </c>
      <c r="U1046" s="1088">
        <v>1728</v>
      </c>
      <c r="V1046" s="434">
        <f>PV_DATA[[#This Row],[QUANTITY]]*PV_DATA[[#This Row],[WATT]]/1000000</f>
        <v>0.81215999999999999</v>
      </c>
      <c r="W1046" s="435">
        <f>PV_DATA[[#This Row],[QUANTITY]]/PV_DATA[[#This Row],[Qty/Pallet]]</f>
        <v>48</v>
      </c>
      <c r="X1046" s="1040">
        <f>PV_DATA[[#This Row],[QUANTITY]]/PV_DATA[[#This Row],[Qty/CT]]</f>
        <v>2</v>
      </c>
      <c r="Y1046" s="430" t="s">
        <v>2470</v>
      </c>
      <c r="AA1046" s="430" t="s">
        <v>5853</v>
      </c>
      <c r="AB1046" s="437">
        <v>46280</v>
      </c>
      <c r="AC1046" s="485">
        <f>IF(PV_DATA[[#This Row],[Pick- Up Date]]&lt;&gt;"",_xlfn.ISOWEEKNUM(PV_DATA[[#This Row],[Pick- Up Date]]),"")</f>
        <v>38</v>
      </c>
      <c r="AD1046" s="462" t="s">
        <v>6747</v>
      </c>
      <c r="AF1046" s="430" t="s">
        <v>122</v>
      </c>
      <c r="AG1046" s="430" t="s">
        <v>123</v>
      </c>
      <c r="AH1046" s="430" t="s">
        <v>105</v>
      </c>
      <c r="AI1046" s="978">
        <v>46279</v>
      </c>
      <c r="AJ1046" s="437">
        <v>46294</v>
      </c>
      <c r="AK1046" s="437">
        <v>46294</v>
      </c>
      <c r="AL1046" s="978">
        <v>46319</v>
      </c>
      <c r="AM1046" s="1223" t="str">
        <f>IFERROR(VLOOKUP(AT1046, Vessel!A:H, 8, FALSE), "")</f>
        <v/>
      </c>
      <c r="AN1046" s="588" t="str">
        <f>IFERROR(IF(VLOOKUP(AT1046,Vessel!A:I,9,FALSE)=0,"",VLOOKUP(AT1046,Vessel!A:I,9,FALSE)),"")</f>
        <v/>
      </c>
      <c r="AO1046" s="623"/>
      <c r="AP1046" s="430" t="s">
        <v>6740</v>
      </c>
      <c r="AQ1046" s="430" t="s">
        <v>161</v>
      </c>
      <c r="AR1046" s="430" t="s">
        <v>6741</v>
      </c>
      <c r="AS1046" s="430" t="s">
        <v>6742</v>
      </c>
      <c r="AT1046" s="430" t="s">
        <v>6745</v>
      </c>
      <c r="AU10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25</v>
      </c>
      <c r="AW1046" s="437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437" t="str">
        <f>IF(ISERROR(PV_DATA[[#This Row],[New Ark PO status]]),"",_xlfn.XLOOKUP(PV_DATA[[#This Row],[SPTN-PVHK New Ark PO'#]],New_Ark_Data[Purchase order Number],New_Ark_Data[Estimated time of arrival],"",0))</f>
        <v/>
      </c>
      <c r="AZ104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6" s="437">
        <f>IFERROR(PV_DATA[[#This Row],[ODP ETA Port]]+PV_DATA[[#This Row],[Customs/Leg3 Assumption]],"n/a")</f>
        <v>46326</v>
      </c>
      <c r="BB1046" s="433">
        <f>YEAR(PV_DATA[[#This Row],[ETA for New Ark update]])</f>
        <v>2026</v>
      </c>
      <c r="BC1046" s="430">
        <f>MONTH(PV_DATA[[#This Row],[ETA for New Ark update]])</f>
        <v>10</v>
      </c>
      <c r="BD1046" s="430">
        <f>IFERROR(_xlfn.ISOWEEKNUM(PV_DATA[[#This Row],[ETA for New Ark update]]),0)</f>
        <v>44</v>
      </c>
      <c r="BE1046" s="430">
        <f>_xlfn.XLOOKUP(PV_DATA[[#This Row],[New Ark SKU]],Table9[New Ark SKU],Table9[Total PCS per Pallet],,0)</f>
        <v>36</v>
      </c>
      <c r="BF1046" s="430">
        <f>_xlfn.XLOOKUP(PV_DATA[[#This Row],[New Ark SKU]],Table9[New Ark SKU],Table9[Total PCS per 40HQ Container],,0)</f>
        <v>864</v>
      </c>
      <c r="BG1046" s="430" t="str">
        <f>_xlfn.XLOOKUP(PV_DATA[[#This Row],[New Ark SKU]],Table9[New Ark SKU],Table9[Back Glass],,0)</f>
        <v>White glazing</v>
      </c>
      <c r="BH1046" s="430" t="str">
        <f>_xlfn.XLOOKUP(PV_DATA[[#This Row],[PORT DESTINATION]],Table12[PORT DESTINATION],Table12[Cosco Line],,0)</f>
        <v>AEU</v>
      </c>
    </row>
    <row r="1047" spans="1:60" s="430" customFormat="1" ht="10.5">
      <c r="A1047" s="951" t="s">
        <v>6748</v>
      </c>
      <c r="B1047" s="1078" t="s">
        <v>111</v>
      </c>
      <c r="C1047" s="462" t="str">
        <f>IFERROR(LEFT(PV_DATA[[#This Row],[TCL REFERENCE]],FIND(".",PV_DATA[[#This Row],[TCL REFERENCE]],1)-1),"Main Line")</f>
        <v>26Jun033</v>
      </c>
      <c r="D1047" s="945" t="s">
        <v>63</v>
      </c>
      <c r="E1047" s="462" t="s">
        <v>64</v>
      </c>
      <c r="F1047" s="945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7" s="462" t="s">
        <v>402</v>
      </c>
      <c r="H1047" s="462" t="s">
        <v>67</v>
      </c>
      <c r="I1047" s="462" t="s">
        <v>689</v>
      </c>
      <c r="J1047" s="430" t="s">
        <v>96</v>
      </c>
      <c r="M1047" s="430" t="s">
        <v>68</v>
      </c>
      <c r="N1047" s="1079">
        <v>46209</v>
      </c>
      <c r="O1047" s="623" t="s">
        <v>70</v>
      </c>
      <c r="P1047" s="623" t="s">
        <v>5749</v>
      </c>
      <c r="Q1047" s="623" t="s">
        <v>1484</v>
      </c>
      <c r="R1047" s="430" t="str">
        <f>_xlfn.XLOOKUP(PV_DATA[[#This Row],[New Ark SKU]],Table9[New Ark SKU],Table9[Connector],,0)</f>
        <v>EVO2A</v>
      </c>
      <c r="S1047" s="433" t="str">
        <f>_xlfn.XLOOKUP(PV_DATA[[#This Row],[New Ark SKU]],Table9[New Ark SKU],Table9[Cable],,0)</f>
        <v>±1400mm</v>
      </c>
      <c r="T1047" s="976">
        <v>725</v>
      </c>
      <c r="U1047" s="1100">
        <v>2970</v>
      </c>
      <c r="V1047" s="977">
        <f>PV_DATA[[#This Row],[QUANTITY]]*PV_DATA[[#This Row],[WATT]]/1000000</f>
        <v>2.1532499999999999</v>
      </c>
      <c r="W1047" s="435">
        <f>PV_DATA[[#This Row],[QUANTITY]]/PV_DATA[[#This Row],[Qty/Pallet]]</f>
        <v>90</v>
      </c>
      <c r="X1047" s="1221">
        <f>PV_DATA[[#This Row],[QUANTITY]]/PV_DATA[[#This Row],[Qty/CT]]</f>
        <v>5</v>
      </c>
      <c r="Y1047" s="430" t="s">
        <v>6749</v>
      </c>
      <c r="Z1047" s="430" t="str">
        <f>IF(AN1047&lt;&gt;"","COMPLETED",IF(AK1047&lt;&gt;"","IN-TRANSIT",""))</f>
        <v>IN-TRANSIT</v>
      </c>
      <c r="AA1047" s="430" t="s">
        <v>5750</v>
      </c>
      <c r="AB1047" s="978">
        <v>46280</v>
      </c>
      <c r="AC1047" s="1222">
        <f>IF(PV_DATA[[#This Row],[Pick- Up Date]]&lt;&gt;"",_xlfn.ISOWEEKNUM(PV_DATA[[#This Row],[Pick- Up Date]]),"")</f>
        <v>38</v>
      </c>
      <c r="AD1047" s="623" t="s">
        <v>6750</v>
      </c>
      <c r="AE1047" s="623"/>
      <c r="AF1047" s="623" t="s">
        <v>122</v>
      </c>
      <c r="AG1047" s="623" t="s">
        <v>123</v>
      </c>
      <c r="AH1047" s="430" t="s">
        <v>105</v>
      </c>
      <c r="AI1047" s="978">
        <v>46279</v>
      </c>
      <c r="AJ1047" s="437">
        <v>46285</v>
      </c>
      <c r="AK1047" s="437">
        <v>46286</v>
      </c>
      <c r="AL1047" s="978">
        <v>46319</v>
      </c>
      <c r="AM1047" s="588"/>
      <c r="AN1047" s="588"/>
      <c r="AP1047" s="430" t="s">
        <v>6751</v>
      </c>
      <c r="AQ1047" s="430" t="s">
        <v>161</v>
      </c>
      <c r="AR1047" s="430" t="s">
        <v>6752</v>
      </c>
      <c r="AS1047" s="430" t="s">
        <v>6753</v>
      </c>
      <c r="AT1047" s="430" t="s">
        <v>6753</v>
      </c>
      <c r="AW1047" s="437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37" t="str">
        <f>IF(ISERROR(PV_DATA[[#This Row],[New Ark PO status]]),"",_xlfn.XLOOKUP(PV_DATA[[#This Row],[SPTN-PVHK New Ark PO'#]],New_Ark_Data[Purchase order Number],New_Ark_Data[Estimated time of arrival],"",0))</f>
        <v/>
      </c>
      <c r="AZ104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7" s="437">
        <f>IFERROR(PV_DATA[[#This Row],[ODP ETA Port]]+PV_DATA[[#This Row],[Customs/Leg3 Assumption]],"n/a")</f>
        <v>46326</v>
      </c>
      <c r="BB1047" s="433">
        <f>YEAR(PV_DATA[[#This Row],[ETA for New Ark update]])</f>
        <v>2026</v>
      </c>
      <c r="BC1047" s="430">
        <f>MONTH(PV_DATA[[#This Row],[ETA for New Ark update]])</f>
        <v>10</v>
      </c>
      <c r="BD1047" s="430">
        <f>IFERROR(_xlfn.ISOWEEKNUM(PV_DATA[[#This Row],[ETA for New Ark update]]),0)</f>
        <v>44</v>
      </c>
      <c r="BE1047" s="430">
        <f>_xlfn.XLOOKUP(PV_DATA[[#This Row],[New Ark SKU]],Table9[New Ark SKU],Table9[Total PCS per Pallet],,0)</f>
        <v>33</v>
      </c>
      <c r="BF1047" s="430">
        <f>_xlfn.XLOOKUP(PV_DATA[[#This Row],[New Ark SKU]],Table9[New Ark SKU],Table9[Total PCS per 40HQ Container],,0)</f>
        <v>594</v>
      </c>
      <c r="BG1047" s="430" t="str">
        <f>_xlfn.XLOOKUP(PV_DATA[[#This Row],[New Ark SKU]],Table9[New Ark SKU],Table9[Back Glass],,0)</f>
        <v>Transparent</v>
      </c>
      <c r="BH1047" s="610" t="str">
        <f>_xlfn.XLOOKUP(PV_DATA[[#This Row],[PORT DESTINATION]],Table12[PORT DESTINATION],Table12[Cosco Line],,0)</f>
        <v>AEU</v>
      </c>
    </row>
    <row r="1048" spans="1:60" s="430" customFormat="1" ht="10.5">
      <c r="A1048" s="462" t="s">
        <v>6754</v>
      </c>
      <c r="B1048" s="459" t="s">
        <v>111</v>
      </c>
      <c r="C1048" s="462" t="str">
        <f>IFERROR(LEFT(PV_DATA[[#This Row],[TCL REFERENCE]],FIND(".",PV_DATA[[#This Row],[TCL REFERENCE]],1)-1),"Main Line")</f>
        <v>26Jul009</v>
      </c>
      <c r="D1048" s="462" t="s">
        <v>63</v>
      </c>
      <c r="E1048" s="462" t="s">
        <v>64</v>
      </c>
      <c r="F1048" s="462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8" s="462" t="s">
        <v>402</v>
      </c>
      <c r="H1048" s="462" t="s">
        <v>67</v>
      </c>
      <c r="I1048" s="462" t="s">
        <v>689</v>
      </c>
      <c r="J1048" s="430" t="s">
        <v>96</v>
      </c>
      <c r="M1048" s="430" t="s">
        <v>68</v>
      </c>
      <c r="N1048" s="432">
        <v>46251</v>
      </c>
      <c r="O1048" s="430" t="s">
        <v>5379</v>
      </c>
      <c r="P1048" s="430" t="s">
        <v>6678</v>
      </c>
      <c r="Q1048" s="430" t="s">
        <v>6679</v>
      </c>
      <c r="R1048" s="430" t="str">
        <f>_xlfn.XLOOKUP(PV_DATA[[#This Row],[New Ark SKU]],Table9[New Ark SKU],Table9[Connector],,0)</f>
        <v>EVO2A</v>
      </c>
      <c r="S1048" s="433" t="str">
        <f>_xlfn.XLOOKUP(PV_DATA[[#This Row],[New Ark SKU]],Table9[New Ark SKU],Table9[Cable],,0)</f>
        <v>±1200mm</v>
      </c>
      <c r="T1048" s="433">
        <v>475</v>
      </c>
      <c r="U1048" s="1088">
        <v>936</v>
      </c>
      <c r="V1048" s="434">
        <f>PV_DATA[[#This Row],[QUANTITY]]*PV_DATA[[#This Row],[WATT]]/1000000</f>
        <v>0.4446</v>
      </c>
      <c r="W1048" s="435">
        <f>PV_DATA[[#This Row],[QUANTITY]]/PV_DATA[[#This Row],[Qty/Pallet]]</f>
        <v>26</v>
      </c>
      <c r="X1048" s="1040">
        <f>PV_DATA[[#This Row],[QUANTITY]]/PV_DATA[[#This Row],[Qty/CT]]</f>
        <v>1</v>
      </c>
      <c r="Y1048" s="430" t="s">
        <v>2467</v>
      </c>
      <c r="Z1048" s="430" t="str">
        <f>IF(AN1048&lt;&gt;"","COMPLETED",IF(AK1048&lt;&gt;"","IN-TRANSIT",""))</f>
        <v>IN-TRANSIT</v>
      </c>
      <c r="AA1048" s="545">
        <v>46260</v>
      </c>
      <c r="AB1048" s="437">
        <v>46280</v>
      </c>
      <c r="AC1048" s="485">
        <f>IF(PV_DATA[[#This Row],[Pick- Up Date]]&lt;&gt;"",_xlfn.ISOWEEKNUM(PV_DATA[[#This Row],[Pick- Up Date]]),"")</f>
        <v>38</v>
      </c>
      <c r="AD1048" s="430" t="s">
        <v>6755</v>
      </c>
      <c r="AF1048" s="430" t="s">
        <v>122</v>
      </c>
      <c r="AG1048" s="430" t="s">
        <v>123</v>
      </c>
      <c r="AH1048" s="430" t="s">
        <v>105</v>
      </c>
      <c r="AI1048" s="978">
        <v>46279</v>
      </c>
      <c r="AJ1048" s="437">
        <v>46285</v>
      </c>
      <c r="AK1048" s="437">
        <v>46286</v>
      </c>
      <c r="AL1048" s="978">
        <v>46319</v>
      </c>
      <c r="AM1048" s="437"/>
      <c r="AN1048" s="588" t="str">
        <f>IFERROR(IF(VLOOKUP(AT1048,Vessel!A:I,9,FALSE)=0,"",VLOOKUP(AT1048,Vessel!A:I,9,FALSE)),"")</f>
        <v/>
      </c>
      <c r="AP1048" s="430" t="s">
        <v>6751</v>
      </c>
      <c r="AQ1048" s="430" t="s">
        <v>161</v>
      </c>
      <c r="AR1048" s="430" t="s">
        <v>6752</v>
      </c>
      <c r="AS1048" s="430" t="s">
        <v>6753</v>
      </c>
      <c r="AT1048" s="430" t="s">
        <v>6756</v>
      </c>
      <c r="AU10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48" s="437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437" t="str">
        <f>IF(ISERROR(PV_DATA[[#This Row],[New Ark PO status]]),"",_xlfn.XLOOKUP(PV_DATA[[#This Row],[SPTN-PVHK New Ark PO'#]],New_Ark_Data[Purchase order Number],New_Ark_Data[Estimated time of arrival],"",0))</f>
        <v/>
      </c>
      <c r="AZ104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8" s="437">
        <f>IFERROR(PV_DATA[[#This Row],[ODP ETA Port]]+PV_DATA[[#This Row],[Customs/Leg3 Assumption]],"n/a")</f>
        <v>46326</v>
      </c>
      <c r="BB1048" s="433">
        <f>YEAR(PV_DATA[[#This Row],[ETA for New Ark update]])</f>
        <v>2026</v>
      </c>
      <c r="BC1048" s="430">
        <f>MONTH(PV_DATA[[#This Row],[ETA for New Ark update]])</f>
        <v>10</v>
      </c>
      <c r="BD1048" s="430">
        <f>IFERROR(_xlfn.ISOWEEKNUM(PV_DATA[[#This Row],[ETA for New Ark update]]),0)</f>
        <v>44</v>
      </c>
      <c r="BE1048" s="430">
        <f>_xlfn.XLOOKUP(PV_DATA[[#This Row],[New Ark SKU]],Table9[New Ark SKU],Table9[Total PCS per Pallet],,0)</f>
        <v>36</v>
      </c>
      <c r="BF1048" s="430">
        <f>_xlfn.XLOOKUP(PV_DATA[[#This Row],[New Ark SKU]],Table9[New Ark SKU],Table9[Total PCS per 40HQ Container],,0)</f>
        <v>936</v>
      </c>
      <c r="BG1048" s="430" t="str">
        <f>_xlfn.XLOOKUP(PV_DATA[[#This Row],[New Ark SKU]],Table9[New Ark SKU],Table9[Back Glass],,0)</f>
        <v>Black glazing</v>
      </c>
      <c r="BH1048" s="430" t="str">
        <f>_xlfn.XLOOKUP(PV_DATA[[#This Row],[PORT DESTINATION]],Table12[PORT DESTINATION],Table12[Cosco Line],,0)</f>
        <v>AEU</v>
      </c>
    </row>
    <row r="1049" spans="1:60" s="430" customFormat="1" ht="10.5">
      <c r="A1049" s="729" t="s">
        <v>6757</v>
      </c>
      <c r="B1049" s="459" t="s">
        <v>111</v>
      </c>
      <c r="C1049" s="462" t="str">
        <f>IFERROR(LEFT(PV_DATA[[#This Row],[TCL REFERENCE]],FIND(".",PV_DATA[[#This Row],[TCL REFERENCE]],1)-1),"Main Line")</f>
        <v>26Aug020</v>
      </c>
      <c r="D1049" s="462" t="s">
        <v>63</v>
      </c>
      <c r="E1049" s="462" t="s">
        <v>64</v>
      </c>
      <c r="F1049" s="462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9" s="462" t="s">
        <v>402</v>
      </c>
      <c r="H1049" s="462" t="s">
        <v>67</v>
      </c>
      <c r="I1049" s="462" t="s">
        <v>689</v>
      </c>
      <c r="J1049" s="430" t="s">
        <v>96</v>
      </c>
      <c r="M1049" s="430" t="s">
        <v>6315</v>
      </c>
      <c r="N1049" s="432">
        <v>46238</v>
      </c>
      <c r="O1049" s="430" t="s">
        <v>132</v>
      </c>
      <c r="P1049" s="430" t="s">
        <v>1062</v>
      </c>
      <c r="Q1049" s="430" t="s">
        <v>1063</v>
      </c>
      <c r="R1049" s="430" t="str">
        <f>_xlfn.XLOOKUP(PV_DATA[[#This Row],[New Ark SKU]],Table9[New Ark SKU],Table9[Connector],,0)</f>
        <v>EVO2A</v>
      </c>
      <c r="S1049" s="433" t="str">
        <f>_xlfn.XLOOKUP(PV_DATA[[#This Row],[New Ark SKU]],Table9[New Ark SKU],Table9[Cable],,0)</f>
        <v>±1200mm</v>
      </c>
      <c r="T1049" s="433">
        <v>470</v>
      </c>
      <c r="U1049" s="1088">
        <f>864*4</f>
        <v>3456</v>
      </c>
      <c r="V1049" s="434">
        <f>PV_DATA[[#This Row],[QUANTITY]]*PV_DATA[[#This Row],[WATT]]/1000000</f>
        <v>1.62432</v>
      </c>
      <c r="W1049" s="435">
        <f>PV_DATA[[#This Row],[QUANTITY]]/PV_DATA[[#This Row],[Qty/Pallet]]</f>
        <v>96</v>
      </c>
      <c r="X1049" s="1040">
        <f>PV_DATA[[#This Row],[QUANTITY]]/PV_DATA[[#This Row],[Qty/CT]]</f>
        <v>4</v>
      </c>
      <c r="Y1049" s="430" t="s">
        <v>2468</v>
      </c>
      <c r="AA1049" s="430" t="s">
        <v>5853</v>
      </c>
      <c r="AB1049" s="437">
        <v>46280</v>
      </c>
      <c r="AC1049" s="438"/>
      <c r="AD1049" s="462" t="s">
        <v>6758</v>
      </c>
      <c r="AF1049" s="430" t="s">
        <v>122</v>
      </c>
      <c r="AG1049" s="430" t="s">
        <v>123</v>
      </c>
      <c r="AH1049" s="430" t="s">
        <v>105</v>
      </c>
      <c r="AI1049" s="978">
        <v>46279</v>
      </c>
      <c r="AJ1049" s="437">
        <v>46285</v>
      </c>
      <c r="AK1049" s="437">
        <v>46286</v>
      </c>
      <c r="AL1049" s="978">
        <v>46319</v>
      </c>
      <c r="AM1049" s="437"/>
      <c r="AN1049" s="437"/>
      <c r="AP1049" s="430" t="s">
        <v>6751</v>
      </c>
      <c r="AQ1049" s="430" t="s">
        <v>161</v>
      </c>
      <c r="AR1049" s="623" t="s">
        <v>6752</v>
      </c>
      <c r="AS1049" s="430" t="s">
        <v>6753</v>
      </c>
      <c r="AT1049" s="430" t="s">
        <v>6756</v>
      </c>
      <c r="AU10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49" s="437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37" t="str">
        <f>IF(ISERROR(PV_DATA[[#This Row],[New Ark PO status]]),"",_xlfn.XLOOKUP(PV_DATA[[#This Row],[SPTN-PVHK New Ark PO'#]],New_Ark_Data[Purchase order Number],New_Ark_Data[Estimated time of arrival],"",0))</f>
        <v/>
      </c>
      <c r="AZ104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9" s="437">
        <f>IFERROR(PV_DATA[[#This Row],[ODP ETA Port]]+PV_DATA[[#This Row],[Customs/Leg3 Assumption]],"n/a")</f>
        <v>46326</v>
      </c>
      <c r="BB1049" s="433">
        <f>YEAR(PV_DATA[[#This Row],[ETA for New Ark update]])</f>
        <v>2026</v>
      </c>
      <c r="BC1049" s="430">
        <f>MONTH(PV_DATA[[#This Row],[ETA for New Ark update]])</f>
        <v>10</v>
      </c>
      <c r="BD1049" s="430">
        <f>IFERROR(_xlfn.ISOWEEKNUM(PV_DATA[[#This Row],[ETA for New Ark update]]),0)</f>
        <v>44</v>
      </c>
      <c r="BE1049" s="430">
        <f>_xlfn.XLOOKUP(PV_DATA[[#This Row],[New Ark SKU]],Table9[New Ark SKU],Table9[Total PCS per Pallet],,0)</f>
        <v>36</v>
      </c>
      <c r="BF1049" s="430">
        <f>_xlfn.XLOOKUP(PV_DATA[[#This Row],[New Ark SKU]],Table9[New Ark SKU],Table9[Total PCS per 40HQ Container],,0)</f>
        <v>864</v>
      </c>
      <c r="BG1049" s="430" t="str">
        <f>_xlfn.XLOOKUP(PV_DATA[[#This Row],[New Ark SKU]],Table9[New Ark SKU],Table9[Back Glass],,0)</f>
        <v>White glazing</v>
      </c>
      <c r="BH1049" s="430" t="str">
        <f>_xlfn.XLOOKUP(PV_DATA[[#This Row],[PORT DESTINATION]],Table12[PORT DESTINATION],Table12[Cosco Line],,0)</f>
        <v>AEU</v>
      </c>
    </row>
    <row r="1050" spans="1:60" s="430" customFormat="1" ht="10.5">
      <c r="A1050" s="729" t="s">
        <v>6759</v>
      </c>
      <c r="B1050" s="462" t="s">
        <v>111</v>
      </c>
      <c r="C1050" s="462" t="str">
        <f>IFERROR(LEFT(PV_DATA[[#This Row],[TCL REFERENCE]],FIND(".",PV_DATA[[#This Row],[TCL REFERENCE]],1)-1),"Main Line")</f>
        <v>26Aug002</v>
      </c>
      <c r="D1050" s="462" t="s">
        <v>63</v>
      </c>
      <c r="E1050" s="462" t="s">
        <v>64</v>
      </c>
      <c r="F1050" s="462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0" s="462" t="s">
        <v>402</v>
      </c>
      <c r="H1050" s="462" t="s">
        <v>67</v>
      </c>
      <c r="I1050" s="462" t="s">
        <v>689</v>
      </c>
      <c r="J1050" s="430" t="s">
        <v>96</v>
      </c>
      <c r="M1050" s="430" t="s">
        <v>6536</v>
      </c>
      <c r="N1050" s="432">
        <v>46215</v>
      </c>
      <c r="O1050" s="430" t="s">
        <v>550</v>
      </c>
      <c r="P1050" s="430" t="s">
        <v>2134</v>
      </c>
      <c r="Q1050" s="430" t="s">
        <v>2135</v>
      </c>
      <c r="R1050" s="430" t="str">
        <f>_xlfn.XLOOKUP(PV_DATA[[#This Row],[New Ark SKU]],Table9[New Ark SKU],Table9[Connector],,0)</f>
        <v>EVO2A</v>
      </c>
      <c r="S1050" s="433" t="str">
        <f>_xlfn.XLOOKUP(PV_DATA[[#This Row],[New Ark SKU]],Table9[New Ark SKU],Table9[Cable],,0)</f>
        <v>±1350mm</v>
      </c>
      <c r="T1050" s="433">
        <v>515</v>
      </c>
      <c r="U1050" s="1088">
        <v>1584</v>
      </c>
      <c r="V1050" s="434">
        <f>PV_DATA[[#This Row],[QUANTITY]]*PV_DATA[[#This Row],[WATT]]/1000000</f>
        <v>0.81576000000000004</v>
      </c>
      <c r="W1050" s="435">
        <f>PV_DATA[[#This Row],[QUANTITY]]/PV_DATA[[#This Row],[Qty/Pallet]]</f>
        <v>44</v>
      </c>
      <c r="X1050" s="1040">
        <f>PV_DATA[[#This Row],[QUANTITY]]/PV_DATA[[#This Row],[Qty/CT]]</f>
        <v>2</v>
      </c>
      <c r="Y1050" s="430" t="s">
        <v>2468</v>
      </c>
      <c r="Z1050" s="430" t="str">
        <f t="shared" ref="Z1050:Z1059" si="19">IF(AN1050&lt;&gt;"","COMPLETED",IF(AK1050&lt;&gt;"","IN-TRANSIT",""))</f>
        <v>IN-TRANSIT</v>
      </c>
      <c r="AA1050" s="623" t="s">
        <v>5853</v>
      </c>
      <c r="AB1050" s="437">
        <v>46274</v>
      </c>
      <c r="AC1050" s="485">
        <f>IF(PV_DATA[[#This Row],[Pick- Up Date]]&lt;&gt;"",_xlfn.ISOWEEKNUM(PV_DATA[[#This Row],[Pick- Up Date]]),"")</f>
        <v>37</v>
      </c>
      <c r="AD1050" s="430" t="s">
        <v>6760</v>
      </c>
      <c r="AF1050" s="430" t="s">
        <v>122</v>
      </c>
      <c r="AG1050" s="430" t="s">
        <v>123</v>
      </c>
      <c r="AH1050" s="430" t="s">
        <v>105</v>
      </c>
      <c r="AI1050" s="978">
        <v>46279</v>
      </c>
      <c r="AJ1050" s="978">
        <f>IFERROR(VLOOKUP(AT1050, Vessel!A:D, 4, FALSE), "")</f>
        <v>46286.4375</v>
      </c>
      <c r="AK1050" s="437">
        <f>IFERROR(IF(VLOOKUP(AT1050,Vessel!A:F,5,FALSE)=0,"",VLOOKUP(AT1050,Vessel!A:F,5,FALSE)),"")</f>
        <v>46286.452141203707</v>
      </c>
      <c r="AL1050" s="978">
        <v>46319</v>
      </c>
      <c r="AM1050" s="949">
        <f>IFERROR(VLOOKUP(AT1050, Vessel!A:H, 8, FALSE), "")</f>
        <v>46326.875</v>
      </c>
      <c r="AN1050" s="949" t="str">
        <f>IFERROR(IF(VLOOKUP(AT1050,Vessel!A:I,9,FALSE)=0,"",VLOOKUP(AT1050,Vessel!A:I,9,FALSE)),"")</f>
        <v/>
      </c>
      <c r="AP1050" s="430" t="s">
        <v>6761</v>
      </c>
      <c r="AQ1050" s="430" t="s">
        <v>80</v>
      </c>
      <c r="AR1050" s="430" t="s">
        <v>6762</v>
      </c>
      <c r="AS1050" s="430" t="s">
        <v>6763</v>
      </c>
      <c r="AT1050" s="430" t="s">
        <v>6763</v>
      </c>
      <c r="AU10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40.42285879629344</v>
      </c>
      <c r="AW1050" s="437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46326.875</v>
      </c>
      <c r="AX105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437" t="str">
        <f>IF(ISERROR(PV_DATA[[#This Row],[New Ark PO status]]),"",_xlfn.XLOOKUP(PV_DATA[[#This Row],[SPTN-PVHK New Ark PO'#]],New_Ark_Data[Purchase order Number],New_Ark_Data[Estimated time of arrival],"",0))</f>
        <v/>
      </c>
      <c r="AZ105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0" s="437">
        <f>IFERROR(PV_DATA[[#This Row],[ODP ETA Port]]+PV_DATA[[#This Row],[Customs/Leg3 Assumption]],"n/a")</f>
        <v>46333.875</v>
      </c>
      <c r="BB1050" s="433" t="s">
        <v>6536</v>
      </c>
      <c r="BC1050" s="433" t="s">
        <v>6536</v>
      </c>
      <c r="BD1050" s="430">
        <f>IFERROR(_xlfn.ISOWEEKNUM(PV_DATA[[#This Row],[ETA for New Ark update]]),0)</f>
        <v>45</v>
      </c>
      <c r="BE1050" s="430">
        <f>_xlfn.XLOOKUP(PV_DATA[[#This Row],[New Ark SKU]],Table9[New Ark SKU],Table9[Total PCS per Pallet],,0)</f>
        <v>36</v>
      </c>
      <c r="BF1050" s="430">
        <f>_xlfn.XLOOKUP(PV_DATA[[#This Row],[New Ark SKU]],Table9[New Ark SKU],Table9[Total PCS per 40HQ Container],,0)</f>
        <v>792</v>
      </c>
      <c r="BG1050" s="430" t="str">
        <f>_xlfn.XLOOKUP(PV_DATA[[#This Row],[New Ark SKU]],Table9[New Ark SKU],Table9[Back Glass],,0)</f>
        <v>Black glazing</v>
      </c>
      <c r="BH1050" s="610" t="str">
        <f>_xlfn.XLOOKUP(PV_DATA[[#This Row],[PORT DESTINATION]],Table12[PORT DESTINATION],Table12[Cosco Line],,0)</f>
        <v>AEU</v>
      </c>
    </row>
    <row r="1051" spans="1:60" s="430" customFormat="1" ht="10.5">
      <c r="A1051" s="951" t="s">
        <v>6764</v>
      </c>
      <c r="B1051" s="945" t="s">
        <v>111</v>
      </c>
      <c r="C1051" s="462" t="str">
        <f>IFERROR(LEFT(PV_DATA[[#This Row],[TCL REFERENCE]],FIND(".",PV_DATA[[#This Row],[TCL REFERENCE]],1)-1),"Main Line")</f>
        <v>26Jun033</v>
      </c>
      <c r="D1051" s="945" t="s">
        <v>63</v>
      </c>
      <c r="E1051" s="462" t="s">
        <v>64</v>
      </c>
      <c r="F1051" s="945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1" s="462" t="s">
        <v>402</v>
      </c>
      <c r="H1051" s="462" t="s">
        <v>67</v>
      </c>
      <c r="I1051" s="462" t="s">
        <v>689</v>
      </c>
      <c r="J1051" s="430" t="s">
        <v>96</v>
      </c>
      <c r="L1051" s="623"/>
      <c r="M1051" s="430" t="s">
        <v>68</v>
      </c>
      <c r="N1051" s="1079">
        <v>46209</v>
      </c>
      <c r="O1051" s="623" t="s">
        <v>70</v>
      </c>
      <c r="P1051" s="623" t="s">
        <v>5749</v>
      </c>
      <c r="Q1051" s="623" t="s">
        <v>1484</v>
      </c>
      <c r="R1051" s="430" t="str">
        <f>_xlfn.XLOOKUP(PV_DATA[[#This Row],[New Ark SKU]],Table9[New Ark SKU],Table9[Connector],,0)</f>
        <v>EVO2A</v>
      </c>
      <c r="S1051" s="433" t="str">
        <f>_xlfn.XLOOKUP(PV_DATA[[#This Row],[New Ark SKU]],Table9[New Ark SKU],Table9[Cable],,0)</f>
        <v>±1400mm</v>
      </c>
      <c r="T1051" s="976">
        <v>725</v>
      </c>
      <c r="U1051" s="1100">
        <v>1782</v>
      </c>
      <c r="V1051" s="977">
        <f>PV_DATA[[#This Row],[QUANTITY]]*PV_DATA[[#This Row],[WATT]]/1000000</f>
        <v>1.2919499999999999</v>
      </c>
      <c r="W1051" s="435">
        <f>PV_DATA[[#This Row],[QUANTITY]]/PV_DATA[[#This Row],[Qty/Pallet]]</f>
        <v>54</v>
      </c>
      <c r="X1051" s="1221">
        <f>PV_DATA[[#This Row],[QUANTITY]]/PV_DATA[[#This Row],[Qty/CT]]</f>
        <v>3</v>
      </c>
      <c r="Y1051" s="430" t="s">
        <v>6749</v>
      </c>
      <c r="Z1051" s="430" t="str">
        <f t="shared" si="19"/>
        <v>IN-TRANSIT</v>
      </c>
      <c r="AA1051" s="430" t="s">
        <v>5750</v>
      </c>
      <c r="AB1051" s="978">
        <v>46274</v>
      </c>
      <c r="AC1051" s="1222">
        <f>IF(PV_DATA[[#This Row],[Pick- Up Date]]&lt;&gt;"",_xlfn.ISOWEEKNUM(PV_DATA[[#This Row],[Pick- Up Date]]),"")</f>
        <v>37</v>
      </c>
      <c r="AD1051" s="623" t="s">
        <v>6765</v>
      </c>
      <c r="AE1051" s="623"/>
      <c r="AF1051" s="623" t="s">
        <v>122</v>
      </c>
      <c r="AG1051" s="623" t="s">
        <v>123</v>
      </c>
      <c r="AH1051" s="430" t="s">
        <v>105</v>
      </c>
      <c r="AI1051" s="978">
        <v>46279</v>
      </c>
      <c r="AJ1051" s="978">
        <f>IFERROR(VLOOKUP(AT1051, Vessel!A:D, 4, FALSE), "")</f>
        <v>46286.4375</v>
      </c>
      <c r="AK1051" s="437">
        <f>IFERROR(IF(VLOOKUP(AT1051,Vessel!A:F,5,FALSE)=0,"",VLOOKUP(AT1051,Vessel!A:F,5,FALSE)),"")</f>
        <v>46286.452141203707</v>
      </c>
      <c r="AL1051" s="978">
        <v>46319</v>
      </c>
      <c r="AM1051" s="949">
        <f>IFERROR(VLOOKUP(AT1051, Vessel!A:H, 8, FALSE), "")</f>
        <v>46326.875</v>
      </c>
      <c r="AN1051" s="949" t="str">
        <f>IFERROR(IF(VLOOKUP(AT1051,Vessel!A:I,9,FALSE)=0,"",VLOOKUP(AT1051,Vessel!A:I,9,FALSE)),"")</f>
        <v/>
      </c>
      <c r="AO1051" s="623"/>
      <c r="AP1051" s="430" t="s">
        <v>6761</v>
      </c>
      <c r="AQ1051" s="430" t="s">
        <v>80</v>
      </c>
      <c r="AR1051" s="623" t="s">
        <v>6762</v>
      </c>
      <c r="AS1051" s="430" t="s">
        <v>6763</v>
      </c>
      <c r="AT1051" s="430" t="s">
        <v>6763</v>
      </c>
      <c r="AU10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40.42285879629344</v>
      </c>
      <c r="AV1051" s="623"/>
      <c r="AW1051" s="978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46326.875</v>
      </c>
      <c r="AX105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978" t="str">
        <f>IF(ISERROR(PV_DATA[[#This Row],[New Ark PO status]]),"",_xlfn.XLOOKUP(PV_DATA[[#This Row],[SPTN-PVHK New Ark PO'#]],New_Ark_Data[Purchase order Number],New_Ark_Data[Estimated time of arrival],"",0))</f>
        <v/>
      </c>
      <c r="AZ1051" s="97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1" s="978">
        <f>IFERROR(PV_DATA[[#This Row],[ODP ETA Port]]+PV_DATA[[#This Row],[Customs/Leg3 Assumption]],"n/a")</f>
        <v>46333.875</v>
      </c>
      <c r="BB1051" s="976">
        <f>YEAR(PV_DATA[[#This Row],[ETA for New Ark update]])</f>
        <v>2026</v>
      </c>
      <c r="BC1051" s="623">
        <f>MONTH(PV_DATA[[#This Row],[ETA for New Ark update]])</f>
        <v>11</v>
      </c>
      <c r="BD1051" s="623">
        <f>IFERROR(_xlfn.ISOWEEKNUM(PV_DATA[[#This Row],[ETA for New Ark update]]),0)</f>
        <v>45</v>
      </c>
      <c r="BE1051" s="623">
        <f>_xlfn.XLOOKUP(PV_DATA[[#This Row],[New Ark SKU]],Table9[New Ark SKU],Table9[Total PCS per Pallet],,0)</f>
        <v>33</v>
      </c>
      <c r="BF1051" s="623">
        <f>_xlfn.XLOOKUP(PV_DATA[[#This Row],[New Ark SKU]],Table9[New Ark SKU],Table9[Total PCS per 40HQ Container],,0)</f>
        <v>594</v>
      </c>
      <c r="BG1051" s="623" t="str">
        <f>_xlfn.XLOOKUP(PV_DATA[[#This Row],[New Ark SKU]],Table9[New Ark SKU],Table9[Back Glass],,0)</f>
        <v>Transparent</v>
      </c>
      <c r="BH1051" s="979" t="str">
        <f>_xlfn.XLOOKUP(PV_DATA[[#This Row],[PORT DESTINATION]],Table12[PORT DESTINATION],Table12[Cosco Line],,0)</f>
        <v>AEU</v>
      </c>
    </row>
    <row r="1052" spans="1:60" s="430" customFormat="1" ht="10.5">
      <c r="A1052" s="462" t="s">
        <v>6766</v>
      </c>
      <c r="B1052" s="462" t="s">
        <v>111</v>
      </c>
      <c r="C1052" s="462" t="str">
        <f>IFERROR(LEFT(PV_DATA[[#This Row],[TCL REFERENCE]],FIND(".",PV_DATA[[#This Row],[TCL REFERENCE]],1)-1),"Main Line")</f>
        <v>26Jul009</v>
      </c>
      <c r="D1052" s="462" t="s">
        <v>63</v>
      </c>
      <c r="E1052" s="462" t="s">
        <v>64</v>
      </c>
      <c r="F1052" s="462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2" s="462" t="s">
        <v>402</v>
      </c>
      <c r="H1052" s="462" t="s">
        <v>67</v>
      </c>
      <c r="I1052" s="462" t="s">
        <v>689</v>
      </c>
      <c r="J1052" s="430" t="s">
        <v>96</v>
      </c>
      <c r="M1052" s="430" t="s">
        <v>68</v>
      </c>
      <c r="N1052" s="432">
        <v>46251</v>
      </c>
      <c r="O1052" s="430" t="s">
        <v>5379</v>
      </c>
      <c r="P1052" s="430" t="s">
        <v>6678</v>
      </c>
      <c r="Q1052" s="430" t="s">
        <v>6679</v>
      </c>
      <c r="R1052" s="430" t="str">
        <f>_xlfn.XLOOKUP(PV_DATA[[#This Row],[New Ark SKU]],Table9[New Ark SKU],Table9[Connector],,0)</f>
        <v>EVO2A</v>
      </c>
      <c r="S1052" s="433" t="str">
        <f>_xlfn.XLOOKUP(PV_DATA[[#This Row],[New Ark SKU]],Table9[New Ark SKU],Table9[Cable],,0)</f>
        <v>±1200mm</v>
      </c>
      <c r="T1052" s="433">
        <v>475</v>
      </c>
      <c r="U1052" s="1088">
        <v>1872</v>
      </c>
      <c r="V1052" s="434">
        <f>PV_DATA[[#This Row],[QUANTITY]]*PV_DATA[[#This Row],[WATT]]/1000000</f>
        <v>0.88919999999999999</v>
      </c>
      <c r="W1052" s="435">
        <f>PV_DATA[[#This Row],[QUANTITY]]/PV_DATA[[#This Row],[Qty/Pallet]]</f>
        <v>52</v>
      </c>
      <c r="X1052" s="1040">
        <f>PV_DATA[[#This Row],[QUANTITY]]/PV_DATA[[#This Row],[Qty/CT]]</f>
        <v>2</v>
      </c>
      <c r="Y1052" s="430" t="s">
        <v>2467</v>
      </c>
      <c r="Z1052" s="430" t="str">
        <f t="shared" si="19"/>
        <v>IN-TRANSIT</v>
      </c>
      <c r="AA1052" s="545">
        <v>46260</v>
      </c>
      <c r="AB1052" s="437">
        <v>46271</v>
      </c>
      <c r="AC1052" s="485">
        <f>IF(PV_DATA[[#This Row],[Pick- Up Date]]&lt;&gt;"",_xlfn.ISOWEEKNUM(PV_DATA[[#This Row],[Pick- Up Date]]),"")</f>
        <v>36</v>
      </c>
      <c r="AD1052" s="430" t="s">
        <v>6767</v>
      </c>
      <c r="AF1052" s="430" t="s">
        <v>122</v>
      </c>
      <c r="AG1052" s="430" t="s">
        <v>123</v>
      </c>
      <c r="AH1052" s="430" t="s">
        <v>105</v>
      </c>
      <c r="AI1052" s="437">
        <v>46277</v>
      </c>
      <c r="AJ1052" s="978">
        <f>IFERROR(VLOOKUP(AT1052, Vessel!A:D, 4, FALSE), "")</f>
        <v>46282.395833333336</v>
      </c>
      <c r="AK1052" s="437">
        <f>IFERROR(IF(VLOOKUP(AT1052,Vessel!A:F,5,FALSE)=0,"",VLOOKUP(AT1052,Vessel!A:F,5,FALSE)),"")</f>
        <v>46282.285486111112</v>
      </c>
      <c r="AL1052" s="437">
        <v>46326</v>
      </c>
      <c r="AM1052" s="949">
        <f>IFERROR(VLOOKUP(AT1052, Vessel!A:H, 8, FALSE), "")</f>
        <v>46321.791666666664</v>
      </c>
      <c r="AN1052" s="949" t="str">
        <f>IFERROR(IF(VLOOKUP(AT1052,Vessel!A:I,9,FALSE)=0,"",VLOOKUP(AT1052,Vessel!A:I,9,FALSE)),"")</f>
        <v/>
      </c>
      <c r="AP1052" s="430" t="s">
        <v>6768</v>
      </c>
      <c r="AQ1052" s="430" t="s">
        <v>80</v>
      </c>
      <c r="AR1052" s="430" t="s">
        <v>6769</v>
      </c>
      <c r="AS1052" s="430" t="s">
        <v>6770</v>
      </c>
      <c r="AT1052" s="430" t="s">
        <v>6770</v>
      </c>
      <c r="AU10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39.506180555552419</v>
      </c>
      <c r="AW1052" s="437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46321.791666666664</v>
      </c>
      <c r="AX105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37" t="str">
        <f>IF(ISERROR(PV_DATA[[#This Row],[New Ark PO status]]),"",_xlfn.XLOOKUP(PV_DATA[[#This Row],[SPTN-PVHK New Ark PO'#]],New_Ark_Data[Purchase order Number],New_Ark_Data[Estimated time of arrival],"",0))</f>
        <v/>
      </c>
      <c r="AZ105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2" s="437">
        <f>IFERROR(PV_DATA[[#This Row],[ODP ETA Port]]+PV_DATA[[#This Row],[Customs/Leg3 Assumption]],"n/a")</f>
        <v>46328.791666666664</v>
      </c>
      <c r="BB1052" s="433">
        <f>YEAR(PV_DATA[[#This Row],[ETA for New Ark update]])</f>
        <v>2026</v>
      </c>
      <c r="BC1052" s="430">
        <f>MONTH(PV_DATA[[#This Row],[ETA for New Ark update]])</f>
        <v>11</v>
      </c>
      <c r="BD1052" s="430">
        <f>IFERROR(_xlfn.ISOWEEKNUM(PV_DATA[[#This Row],[ETA for New Ark update]]),0)</f>
        <v>45</v>
      </c>
      <c r="BE1052" s="430">
        <f>_xlfn.XLOOKUP(PV_DATA[[#This Row],[New Ark SKU]],Table9[New Ark SKU],Table9[Total PCS per Pallet],,0)</f>
        <v>36</v>
      </c>
      <c r="BF1052" s="430">
        <f>_xlfn.XLOOKUP(PV_DATA[[#This Row],[New Ark SKU]],Table9[New Ark SKU],Table9[Total PCS per 40HQ Container],,0)</f>
        <v>936</v>
      </c>
      <c r="BG1052" s="430" t="str">
        <f>_xlfn.XLOOKUP(PV_DATA[[#This Row],[New Ark SKU]],Table9[New Ark SKU],Table9[Back Glass],,0)</f>
        <v>Black glazing</v>
      </c>
      <c r="BH1052" s="430" t="str">
        <f>_xlfn.XLOOKUP(PV_DATA[[#This Row],[PORT DESTINATION]],Table12[PORT DESTINATION],Table12[Cosco Line],,0)</f>
        <v>AEU</v>
      </c>
    </row>
    <row r="1053" spans="1:60" s="430" customFormat="1" ht="10.5">
      <c r="A1053" s="462" t="s">
        <v>6771</v>
      </c>
      <c r="B1053" s="462" t="s">
        <v>111</v>
      </c>
      <c r="C1053" s="462" t="str">
        <f>IFERROR(LEFT(PV_DATA[[#This Row],[TCL REFERENCE]],FIND(".",PV_DATA[[#This Row],[TCL REFERENCE]],1)-1),"Main Line")</f>
        <v>26Jul020</v>
      </c>
      <c r="D1053" s="462" t="s">
        <v>63</v>
      </c>
      <c r="E1053" s="462" t="s">
        <v>64</v>
      </c>
      <c r="F1053" s="462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3" s="462" t="s">
        <v>402</v>
      </c>
      <c r="H1053" s="462" t="s">
        <v>67</v>
      </c>
      <c r="I1053" s="462" t="s">
        <v>689</v>
      </c>
      <c r="J1053" s="430" t="s">
        <v>96</v>
      </c>
      <c r="M1053" s="430" t="s">
        <v>68</v>
      </c>
      <c r="N1053" s="432">
        <v>46251</v>
      </c>
      <c r="O1053" s="430" t="s">
        <v>5379</v>
      </c>
      <c r="P1053" s="430" t="s">
        <v>6772</v>
      </c>
      <c r="Q1053" s="430" t="s">
        <v>6773</v>
      </c>
      <c r="R1053" s="430" t="str">
        <f>_xlfn.XLOOKUP(PV_DATA[[#This Row],[New Ark SKU]],Table9[New Ark SKU],Table9[Connector],,0)</f>
        <v>EVO2A</v>
      </c>
      <c r="S1053" s="433" t="str">
        <f>_xlfn.XLOOKUP(PV_DATA[[#This Row],[New Ark SKU]],Table9[New Ark SKU],Table9[Cable],,0)</f>
        <v>±1200mm</v>
      </c>
      <c r="T1053" s="433">
        <v>480</v>
      </c>
      <c r="U1053" s="1088">
        <f>936*6</f>
        <v>5616</v>
      </c>
      <c r="V1053" s="434">
        <f>PV_DATA[[#This Row],[QUANTITY]]*PV_DATA[[#This Row],[WATT]]/1000000</f>
        <v>2.6956799999999999</v>
      </c>
      <c r="W1053" s="435">
        <f>PV_DATA[[#This Row],[QUANTITY]]/PV_DATA[[#This Row],[Qty/Pallet]]</f>
        <v>156</v>
      </c>
      <c r="X1053" s="1040">
        <f>PV_DATA[[#This Row],[QUANTITY]]/PV_DATA[[#This Row],[Qty/CT]]</f>
        <v>6</v>
      </c>
      <c r="Y1053" s="430" t="s">
        <v>2467</v>
      </c>
      <c r="Z1053" s="430" t="str">
        <f t="shared" si="19"/>
        <v>IN-TRANSIT</v>
      </c>
      <c r="AA1053" s="545">
        <v>46260</v>
      </c>
      <c r="AB1053" s="437">
        <v>46271</v>
      </c>
      <c r="AC1053" s="485">
        <f>IF(PV_DATA[[#This Row],[Pick- Up Date]]&lt;&gt;"",_xlfn.ISOWEEKNUM(PV_DATA[[#This Row],[Pick- Up Date]]),"")</f>
        <v>36</v>
      </c>
      <c r="AD1053" s="430" t="s">
        <v>6774</v>
      </c>
      <c r="AF1053" s="430" t="s">
        <v>122</v>
      </c>
      <c r="AG1053" s="430" t="s">
        <v>123</v>
      </c>
      <c r="AH1053" s="430" t="s">
        <v>105</v>
      </c>
      <c r="AI1053" s="437">
        <v>46277</v>
      </c>
      <c r="AJ1053" s="437">
        <f>IFERROR(VLOOKUP(AT1053, Vessel!A:D, 4, FALSE), "")</f>
        <v>46282.395833333336</v>
      </c>
      <c r="AK1053" s="437">
        <f>IFERROR(IF(VLOOKUP(AT1053,Vessel!A:F,5,FALSE)=0,"",VLOOKUP(AT1053,Vessel!A:F,5,FALSE)),"")</f>
        <v>46282.285486111112</v>
      </c>
      <c r="AL1053" s="437">
        <v>46326</v>
      </c>
      <c r="AM1053" s="949">
        <f>IFERROR(VLOOKUP(AT1053, Vessel!A:H, 8, FALSE), "")</f>
        <v>46321.791666666664</v>
      </c>
      <c r="AN1053" s="949" t="str">
        <f>IFERROR(IF(VLOOKUP(AT1053,Vessel!A:I,9,FALSE)=0,"",VLOOKUP(AT1053,Vessel!A:I,9,FALSE)),"")</f>
        <v/>
      </c>
      <c r="AP1053" s="430" t="s">
        <v>6768</v>
      </c>
      <c r="AQ1053" s="430" t="s">
        <v>80</v>
      </c>
      <c r="AR1053" s="430" t="s">
        <v>6769</v>
      </c>
      <c r="AS1053" s="430" t="s">
        <v>6770</v>
      </c>
      <c r="AT1053" s="430" t="s">
        <v>6770</v>
      </c>
      <c r="AU10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39.506180555552419</v>
      </c>
      <c r="AW1053" s="437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46321.791666666664</v>
      </c>
      <c r="AX105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37" t="str">
        <f>IF(ISERROR(PV_DATA[[#This Row],[New Ark PO status]]),"",_xlfn.XLOOKUP(PV_DATA[[#This Row],[SPTN-PVHK New Ark PO'#]],New_Ark_Data[Purchase order Number],New_Ark_Data[Estimated time of arrival],"",0))</f>
        <v/>
      </c>
      <c r="AZ105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3" s="437">
        <f>IFERROR(PV_DATA[[#This Row],[ODP ETA Port]]+PV_DATA[[#This Row],[Customs/Leg3 Assumption]],"n/a")</f>
        <v>46328.791666666664</v>
      </c>
      <c r="BB1053" s="433">
        <f>YEAR(PV_DATA[[#This Row],[ETA for New Ark update]])</f>
        <v>2026</v>
      </c>
      <c r="BC1053" s="430">
        <f>MONTH(PV_DATA[[#This Row],[ETA for New Ark update]])</f>
        <v>11</v>
      </c>
      <c r="BD1053" s="430">
        <f>IFERROR(_xlfn.ISOWEEKNUM(PV_DATA[[#This Row],[ETA for New Ark update]]),0)</f>
        <v>45</v>
      </c>
      <c r="BE1053" s="430">
        <f>_xlfn.XLOOKUP(PV_DATA[[#This Row],[New Ark SKU]],Table9[New Ark SKU],Table9[Total PCS per Pallet],,0)</f>
        <v>36</v>
      </c>
      <c r="BF1053" s="430">
        <f>_xlfn.XLOOKUP(PV_DATA[[#This Row],[New Ark SKU]],Table9[New Ark SKU],Table9[Total PCS per 40HQ Container],,0)</f>
        <v>936</v>
      </c>
      <c r="BG1053" s="430" t="str">
        <f>_xlfn.XLOOKUP(PV_DATA[[#This Row],[New Ark SKU]],Table9[New Ark SKU],Table9[Back Glass],,0)</f>
        <v>Black glazing</v>
      </c>
      <c r="BH1053" s="430" t="str">
        <f>_xlfn.XLOOKUP(PV_DATA[[#This Row],[PORT DESTINATION]],Table12[PORT DESTINATION],Table12[Cosco Line],,0)</f>
        <v>AEU</v>
      </c>
    </row>
    <row r="1054" spans="1:60" s="430" customFormat="1" ht="13.5" customHeight="1">
      <c r="A1054" s="729" t="s">
        <v>6775</v>
      </c>
      <c r="B1054" s="459" t="s">
        <v>111</v>
      </c>
      <c r="C1054" s="462" t="str">
        <f>IFERROR(LEFT(PV_DATA[[#This Row],[TCL REFERENCE]],FIND(".",PV_DATA[[#This Row],[TCL REFERENCE]],1)-1),"Main Line")</f>
        <v>26Aug009</v>
      </c>
      <c r="D1054" s="945" t="s">
        <v>113</v>
      </c>
      <c r="E1054" s="462" t="s">
        <v>144</v>
      </c>
      <c r="F1054" s="462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4" s="462" t="s">
        <v>402</v>
      </c>
      <c r="H1054" s="462" t="s">
        <v>670</v>
      </c>
      <c r="I1054" s="462" t="s">
        <v>6234</v>
      </c>
      <c r="J1054" s="462" t="s">
        <v>670</v>
      </c>
      <c r="K1054" s="430" t="s">
        <v>5892</v>
      </c>
      <c r="L1054" s="430">
        <v>8</v>
      </c>
      <c r="M1054" s="430" t="s">
        <v>4967</v>
      </c>
      <c r="N1054" s="432"/>
      <c r="O1054" s="430" t="s">
        <v>4531</v>
      </c>
      <c r="P1054" s="430" t="s">
        <v>6483</v>
      </c>
      <c r="Q1054" s="430" t="s">
        <v>103</v>
      </c>
      <c r="R1054" s="430" t="str">
        <f>_xlfn.XLOOKUP(PV_DATA[[#This Row],[New Ark SKU]],Table9[New Ark SKU],Table9[Connector],,0)</f>
        <v>H4(Com)</v>
      </c>
      <c r="S1054" s="433" t="str">
        <f>_xlfn.XLOOKUP(PV_DATA[[#This Row],[New Ark SKU]],Table9[New Ark SKU],Table9[Cable],,0)</f>
        <v>+400mm/-200mm</v>
      </c>
      <c r="T1054" s="433">
        <v>620</v>
      </c>
      <c r="U1054" s="1088">
        <v>7920</v>
      </c>
      <c r="V1054" s="434">
        <f>PV_DATA[[#This Row],[QUANTITY]]*PV_DATA[[#This Row],[WATT]]/1000000</f>
        <v>4.9104000000000001</v>
      </c>
      <c r="W1054" s="981">
        <f>PV_DATA[[#This Row],[QUANTITY]]/36</f>
        <v>220</v>
      </c>
      <c r="X1054" s="1040">
        <f>PV_DATA[[#This Row],[QUANTITY]]/PV_DATA[[#This Row],[Qty/CT]]</f>
        <v>11</v>
      </c>
      <c r="Y1054" s="430" t="s">
        <v>2468</v>
      </c>
      <c r="Z1054" s="430" t="str">
        <f t="shared" si="19"/>
        <v>IN-TRANSIT</v>
      </c>
      <c r="AA1054" s="430" t="s">
        <v>5853</v>
      </c>
      <c r="AB1054" s="437">
        <v>46277</v>
      </c>
      <c r="AC1054" s="485">
        <f>IF(PV_DATA[[#This Row],[Pick- Up Date]]&lt;&gt;"",_xlfn.ISOWEEKNUM(PV_DATA[[#This Row],[Pick- Up Date]]),"")</f>
        <v>37</v>
      </c>
      <c r="AD1054" s="430" t="s">
        <v>6776</v>
      </c>
      <c r="AF1054" s="430" t="s">
        <v>122</v>
      </c>
      <c r="AG1054" s="430" t="s">
        <v>122</v>
      </c>
      <c r="AH1054" s="430" t="s">
        <v>105</v>
      </c>
      <c r="AI1054" s="437">
        <v>46285</v>
      </c>
      <c r="AJ1054" s="437">
        <f>IFERROR(VLOOKUP(AT1054, Vessel!A:D, 4, FALSE), "")</f>
        <v>46281.625</v>
      </c>
      <c r="AK1054" s="437">
        <f>IFERROR(IF(VLOOKUP(AT1054,Vessel!A:F,5,FALSE)=0,"",VLOOKUP(AT1054,Vessel!A:F,5,FALSE)),"")</f>
        <v>46281.637303240743</v>
      </c>
      <c r="AL1054" s="437">
        <v>46321</v>
      </c>
      <c r="AM1054" s="949">
        <f>IFERROR(VLOOKUP(AT1054, Vessel!A:H, 8, FALSE), "")</f>
        <v>46321.958333333336</v>
      </c>
      <c r="AN1054" s="949" t="str">
        <f>IFERROR(IF(VLOOKUP(AT1054,Vessel!A:I,9,FALSE)=0,"",VLOOKUP(AT1054,Vessel!A:I,9,FALSE)),"")</f>
        <v/>
      </c>
      <c r="AP1054" s="430" t="s">
        <v>6703</v>
      </c>
      <c r="AQ1054" s="438" t="s">
        <v>80</v>
      </c>
      <c r="AR1054" s="430" t="s">
        <v>6777</v>
      </c>
      <c r="AS1054" s="430" t="s">
        <v>6778</v>
      </c>
      <c r="AT1054" s="430" t="s">
        <v>6778</v>
      </c>
      <c r="AW1054" s="437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46321.958333333336</v>
      </c>
      <c r="AX105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437" t="str">
        <f>IF(ISERROR(PV_DATA[[#This Row],[New Ark PO status]]),"",_xlfn.XLOOKUP(PV_DATA[[#This Row],[SPTN-PVHK New Ark PO'#]],New_Ark_Data[Purchase order Number],New_Ark_Data[Estimated time of arrival],"",0))</f>
        <v/>
      </c>
      <c r="AZ105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4" s="437">
        <f>IFERROR(PV_DATA[[#This Row],[ODP ETA Port]]+PV_DATA[[#This Row],[Customs/Leg3 Assumption]],"n/a")</f>
        <v>46321.958333333336</v>
      </c>
      <c r="BB1054" s="433">
        <f>YEAR(PV_DATA[[#This Row],[ETA for New Ark update]])</f>
        <v>2026</v>
      </c>
      <c r="BC1054" s="430">
        <f>MONTH(PV_DATA[[#This Row],[ETA for New Ark update]])</f>
        <v>10</v>
      </c>
      <c r="BD1054" s="430">
        <f>IFERROR(_xlfn.ISOWEEKNUM(PV_DATA[[#This Row],[ETA for New Ark update]]),0)</f>
        <v>44</v>
      </c>
      <c r="BE1054" s="430">
        <f>_xlfn.XLOOKUP(PV_DATA[[#This Row],[New Ark SKU]],Table9[New Ark SKU],Table9[Total PCS per Pallet],,0)</f>
        <v>36</v>
      </c>
      <c r="BF1054" s="430">
        <f>_xlfn.XLOOKUP(PV_DATA[[#This Row],[New Ark SKU]],Table9[New Ark SKU],Table9[Total PCS per 40HQ Container],,0)</f>
        <v>720</v>
      </c>
      <c r="BG1054" s="430" t="str">
        <f>_xlfn.XLOOKUP(PV_DATA[[#This Row],[New Ark SKU]],Table9[New Ark SKU],Table9[Back Glass],,0)</f>
        <v>Redirection Film</v>
      </c>
      <c r="BH1054" s="610" t="str">
        <f>_xlfn.XLOOKUP(PV_DATA[[#This Row],[PORT DESTINATION]],Table12[PORT DESTINATION],Table12[Cosco Line],,0)</f>
        <v>AEU</v>
      </c>
    </row>
    <row r="1055" spans="1:60" s="430" customFormat="1" ht="13.5" customHeight="1">
      <c r="A1055" s="729" t="s">
        <v>6779</v>
      </c>
      <c r="B1055" s="459" t="s">
        <v>111</v>
      </c>
      <c r="C1055" s="462" t="str">
        <f>IFERROR(LEFT(PV_DATA[[#This Row],[TCL REFERENCE]],FIND(".",PV_DATA[[#This Row],[TCL REFERENCE]],1)-1),"Main Line")</f>
        <v>26Aug009</v>
      </c>
      <c r="D1055" s="945" t="s">
        <v>113</v>
      </c>
      <c r="E1055" s="462" t="s">
        <v>144</v>
      </c>
      <c r="F1055" s="462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5" s="462" t="s">
        <v>402</v>
      </c>
      <c r="H1055" s="462" t="s">
        <v>670</v>
      </c>
      <c r="I1055" s="462" t="s">
        <v>6234</v>
      </c>
      <c r="J1055" s="462" t="s">
        <v>670</v>
      </c>
      <c r="K1055" s="430" t="s">
        <v>5892</v>
      </c>
      <c r="L1055" s="430">
        <v>7</v>
      </c>
      <c r="M1055" s="430" t="s">
        <v>4967</v>
      </c>
      <c r="N1055" s="432"/>
      <c r="O1055" s="430" t="s">
        <v>4531</v>
      </c>
      <c r="P1055" s="430" t="s">
        <v>6483</v>
      </c>
      <c r="Q1055" s="430" t="s">
        <v>103</v>
      </c>
      <c r="R1055" s="430" t="str">
        <f>_xlfn.XLOOKUP(PV_DATA[[#This Row],[New Ark SKU]],Table9[New Ark SKU],Table9[Connector],,0)</f>
        <v>H4(Com)</v>
      </c>
      <c r="S1055" s="433" t="str">
        <f>_xlfn.XLOOKUP(PV_DATA[[#This Row],[New Ark SKU]],Table9[New Ark SKU],Table9[Cable],,0)</f>
        <v>+400mm/-200mm</v>
      </c>
      <c r="T1055" s="433">
        <v>620</v>
      </c>
      <c r="U1055" s="1088">
        <v>2880</v>
      </c>
      <c r="V1055" s="434">
        <f>PV_DATA[[#This Row],[QUANTITY]]*PV_DATA[[#This Row],[WATT]]/1000000</f>
        <v>1.7856000000000001</v>
      </c>
      <c r="W1055" s="981">
        <f>PV_DATA[[#This Row],[QUANTITY]]/36</f>
        <v>80</v>
      </c>
      <c r="X1055" s="1040">
        <f>PV_DATA[[#This Row],[QUANTITY]]/PV_DATA[[#This Row],[Qty/CT]]</f>
        <v>4</v>
      </c>
      <c r="Y1055" s="430" t="s">
        <v>2468</v>
      </c>
      <c r="Z1055" s="430" t="str">
        <f t="shared" si="19"/>
        <v>IN-TRANSIT</v>
      </c>
      <c r="AA1055" s="430" t="s">
        <v>5853</v>
      </c>
      <c r="AB1055" s="437">
        <v>46281</v>
      </c>
      <c r="AC1055" s="485">
        <f>IF(PV_DATA[[#This Row],[Pick- Up Date]]&lt;&gt;"",_xlfn.ISOWEEKNUM(PV_DATA[[#This Row],[Pick- Up Date]]),"")</f>
        <v>38</v>
      </c>
      <c r="AD1055" s="430" t="s">
        <v>6780</v>
      </c>
      <c r="AF1055" s="430" t="s">
        <v>122</v>
      </c>
      <c r="AG1055" s="430" t="s">
        <v>122</v>
      </c>
      <c r="AH1055" s="430" t="s">
        <v>105</v>
      </c>
      <c r="AI1055" s="437">
        <v>46284</v>
      </c>
      <c r="AJ1055" s="437">
        <v>46285</v>
      </c>
      <c r="AK1055" s="437">
        <v>46285</v>
      </c>
      <c r="AL1055" s="437">
        <v>46316</v>
      </c>
      <c r="AM1055" s="437">
        <v>46323</v>
      </c>
      <c r="AN1055" s="588"/>
      <c r="AP1055" s="430" t="s">
        <v>6761</v>
      </c>
      <c r="AQ1055" s="430" t="s">
        <v>161</v>
      </c>
      <c r="AR1055" s="430" t="s">
        <v>6781</v>
      </c>
      <c r="AS1055" s="430" t="s">
        <v>6782</v>
      </c>
      <c r="AT1055" s="430" t="s">
        <v>6782</v>
      </c>
      <c r="AU10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55" s="437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5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437" t="str">
        <f>IF(ISERROR(PV_DATA[[#This Row],[New Ark PO status]]),"",_xlfn.XLOOKUP(PV_DATA[[#This Row],[SPTN-PVHK New Ark PO'#]],New_Ark_Data[Purchase order Number],New_Ark_Data[Estimated time of arrival],"",0))</f>
        <v/>
      </c>
      <c r="AZ105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5" s="437">
        <f>IFERROR(PV_DATA[[#This Row],[ODP ETA Port]]+PV_DATA[[#This Row],[Customs/Leg3 Assumption]],"n/a")</f>
        <v>46323</v>
      </c>
      <c r="BB1055" s="433">
        <f>YEAR(PV_DATA[[#This Row],[ETA for New Ark update]])</f>
        <v>2026</v>
      </c>
      <c r="BC1055" s="430">
        <f>MONTH(PV_DATA[[#This Row],[ETA for New Ark update]])</f>
        <v>10</v>
      </c>
      <c r="BD1055" s="430">
        <f>IFERROR(_xlfn.ISOWEEKNUM(PV_DATA[[#This Row],[ETA for New Ark update]]),0)</f>
        <v>44</v>
      </c>
      <c r="BE1055" s="430">
        <f>_xlfn.XLOOKUP(PV_DATA[[#This Row],[New Ark SKU]],Table9[New Ark SKU],Table9[Total PCS per Pallet],,0)</f>
        <v>36</v>
      </c>
      <c r="BF1055" s="430">
        <f>_xlfn.XLOOKUP(PV_DATA[[#This Row],[New Ark SKU]],Table9[New Ark SKU],Table9[Total PCS per 40HQ Container],,0)</f>
        <v>720</v>
      </c>
      <c r="BG1055" s="430" t="str">
        <f>_xlfn.XLOOKUP(PV_DATA[[#This Row],[New Ark SKU]],Table9[New Ark SKU],Table9[Back Glass],,0)</f>
        <v>Redirection Film</v>
      </c>
      <c r="BH1055" s="610" t="str">
        <f>_xlfn.XLOOKUP(PV_DATA[[#This Row],[PORT DESTINATION]],Table12[PORT DESTINATION],Table12[Cosco Line],,0)</f>
        <v>AEU</v>
      </c>
    </row>
    <row r="1056" spans="1:60" s="430" customFormat="1" ht="10.5">
      <c r="A1056" s="951" t="s">
        <v>6783</v>
      </c>
      <c r="B1056" s="1078" t="s">
        <v>111</v>
      </c>
      <c r="C1056" s="462" t="str">
        <f>IFERROR(LEFT(PV_DATA[[#This Row],[TCL REFERENCE]],FIND(".",PV_DATA[[#This Row],[TCL REFERENCE]],1)-1),"Main Line")</f>
        <v>26Aug025</v>
      </c>
      <c r="D1056" s="945" t="s">
        <v>113</v>
      </c>
      <c r="E1056" s="462" t="s">
        <v>144</v>
      </c>
      <c r="F1056" s="945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6" s="462" t="s">
        <v>402</v>
      </c>
      <c r="H1056" s="462" t="s">
        <v>670</v>
      </c>
      <c r="I1056" s="462" t="s">
        <v>1395</v>
      </c>
      <c r="J1056" s="462" t="s">
        <v>670</v>
      </c>
      <c r="K1056" s="430" t="s">
        <v>6266</v>
      </c>
      <c r="L1056" s="623">
        <v>19</v>
      </c>
      <c r="M1056" s="430" t="s">
        <v>4967</v>
      </c>
      <c r="N1056" s="1079"/>
      <c r="O1056" s="623" t="s">
        <v>4531</v>
      </c>
      <c r="P1056" s="623" t="s">
        <v>6461</v>
      </c>
      <c r="Q1056" s="623" t="s">
        <v>4598</v>
      </c>
      <c r="R1056" s="430" t="str">
        <f>_xlfn.XLOOKUP(PV_DATA[[#This Row],[New Ark SKU]],Table9[New Ark SKU],Table9[Connector],,0)</f>
        <v>H4(Com)</v>
      </c>
      <c r="S1056" s="433" t="str">
        <f>_xlfn.XLOOKUP(PV_DATA[[#This Row],[New Ark SKU]],Table9[New Ark SKU],Table9[Cable],,0)</f>
        <v>+400mm/-200mm</v>
      </c>
      <c r="T1056" s="976">
        <v>630</v>
      </c>
      <c r="U1056" s="1100">
        <v>4320</v>
      </c>
      <c r="V1056" s="977">
        <f>PV_DATA[[#This Row],[QUANTITY]]*PV_DATA[[#This Row],[WATT]]/1000000</f>
        <v>2.7216</v>
      </c>
      <c r="W1056" s="435">
        <f>PV_DATA[[#This Row],[QUANTITY]]/36</f>
        <v>120</v>
      </c>
      <c r="X1056" s="1221">
        <f>PV_DATA[[#This Row],[QUANTITY]]/PV_DATA[[#This Row],[Qty/CT]]</f>
        <v>6</v>
      </c>
      <c r="Y1056" s="430" t="s">
        <v>2469</v>
      </c>
      <c r="Z1056" s="430" t="str">
        <f t="shared" si="19"/>
        <v>IN-TRANSIT</v>
      </c>
      <c r="AA1056" s="430" t="s">
        <v>5853</v>
      </c>
      <c r="AB1056" s="978">
        <v>46281</v>
      </c>
      <c r="AC1056" s="1222">
        <f>IF(PV_DATA[[#This Row],[Pick- Up Date]]&lt;&gt;"",_xlfn.ISOWEEKNUM(PV_DATA[[#This Row],[Pick- Up Date]]),"")</f>
        <v>38</v>
      </c>
      <c r="AD1056" s="623" t="s">
        <v>6784</v>
      </c>
      <c r="AE1056" s="623"/>
      <c r="AF1056" s="623" t="s">
        <v>122</v>
      </c>
      <c r="AG1056" s="623" t="s">
        <v>122</v>
      </c>
      <c r="AH1056" s="430" t="s">
        <v>105</v>
      </c>
      <c r="AI1056" s="437">
        <v>46284</v>
      </c>
      <c r="AJ1056" s="437">
        <v>46285</v>
      </c>
      <c r="AK1056" s="437">
        <v>46285</v>
      </c>
      <c r="AL1056" s="978">
        <v>46316</v>
      </c>
      <c r="AM1056" s="437">
        <v>46323</v>
      </c>
      <c r="AN1056" s="588"/>
      <c r="AO1056" s="623"/>
      <c r="AP1056" s="623" t="s">
        <v>6761</v>
      </c>
      <c r="AQ1056" s="430" t="s">
        <v>161</v>
      </c>
      <c r="AR1056" s="430" t="s">
        <v>6781</v>
      </c>
      <c r="AS1056" s="430" t="s">
        <v>6782</v>
      </c>
      <c r="AT1056" s="430" t="s">
        <v>6782</v>
      </c>
      <c r="AU10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1056" s="623"/>
      <c r="AW1056" s="978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5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978" t="str">
        <f>IF(ISERROR(PV_DATA[[#This Row],[New Ark PO status]]),"",_xlfn.XLOOKUP(PV_DATA[[#This Row],[SPTN-PVHK New Ark PO'#]],New_Ark_Data[Purchase order Number],New_Ark_Data[Estimated time of arrival],"",0))</f>
        <v/>
      </c>
      <c r="AZ1056" s="97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6" s="978">
        <f>IFERROR(PV_DATA[[#This Row],[ODP ETA Port]]+PV_DATA[[#This Row],[Customs/Leg3 Assumption]],"n/a")</f>
        <v>46323</v>
      </c>
      <c r="BB1056" s="976">
        <f>YEAR(PV_DATA[[#This Row],[ETA for New Ark update]])</f>
        <v>2026</v>
      </c>
      <c r="BC1056" s="623">
        <f>MONTH(PV_DATA[[#This Row],[ETA for New Ark update]])</f>
        <v>10</v>
      </c>
      <c r="BD1056" s="623">
        <f>IFERROR(_xlfn.ISOWEEKNUM(PV_DATA[[#This Row],[ETA for New Ark update]]),0)</f>
        <v>44</v>
      </c>
      <c r="BE1056" s="623">
        <f>_xlfn.XLOOKUP(PV_DATA[[#This Row],[New Ark SKU]],Table9[New Ark SKU],Table9[Total PCS per Pallet],,0)</f>
        <v>36</v>
      </c>
      <c r="BF1056" s="623">
        <f>_xlfn.XLOOKUP(PV_DATA[[#This Row],[New Ark SKU]],Table9[New Ark SKU],Table9[Total PCS per 40HQ Container],,0)</f>
        <v>720</v>
      </c>
      <c r="BG1056" s="623" t="str">
        <f>_xlfn.XLOOKUP(PV_DATA[[#This Row],[New Ark SKU]],Table9[New Ark SKU],Table9[Back Glass],,0)</f>
        <v>Redirection Film</v>
      </c>
      <c r="BH1056" s="979" t="str">
        <f>_xlfn.XLOOKUP(PV_DATA[[#This Row],[PORT DESTINATION]],Table12[PORT DESTINATION],Table12[Cosco Line],,0)</f>
        <v>AEU</v>
      </c>
    </row>
    <row r="1057" spans="1:60" s="430" customFormat="1" ht="10.5">
      <c r="A1057" s="462" t="s">
        <v>6785</v>
      </c>
      <c r="B1057" s="459" t="s">
        <v>6661</v>
      </c>
      <c r="C1057" s="462" t="str">
        <f>IFERROR(LEFT(PV_DATA[[#This Row],[TCL REFERENCE]],FIND(".",PV_DATA[[#This Row],[TCL REFERENCE]],1)-1),"Main Line")</f>
        <v>26Aug006</v>
      </c>
      <c r="D1057" s="462" t="s">
        <v>63</v>
      </c>
      <c r="E1057" s="462" t="s">
        <v>64</v>
      </c>
      <c r="F1057" s="462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7" s="462" t="s">
        <v>402</v>
      </c>
      <c r="H1057" s="462" t="s">
        <v>67</v>
      </c>
      <c r="I1057" s="462" t="s">
        <v>882</v>
      </c>
      <c r="J1057" s="430" t="s">
        <v>96</v>
      </c>
      <c r="M1057" s="430" t="s">
        <v>6315</v>
      </c>
      <c r="N1057" s="432">
        <v>46258</v>
      </c>
      <c r="O1057" s="430" t="s">
        <v>4531</v>
      </c>
      <c r="P1057" s="430" t="s">
        <v>691</v>
      </c>
      <c r="Q1057" s="430" t="s">
        <v>692</v>
      </c>
      <c r="R1057" s="430" t="str">
        <f>_xlfn.XLOOKUP(PV_DATA[[#This Row],[New Ark SKU]],Table9[New Ark SKU],Table9[Connector],,0)</f>
        <v>EVO2A</v>
      </c>
      <c r="S1057" s="433" t="str">
        <f>_xlfn.XLOOKUP(PV_DATA[[#This Row],[New Ark SKU]],Table9[New Ark SKU],Table9[Cable],,0)</f>
        <v>±1200mm</v>
      </c>
      <c r="T1057" s="433">
        <v>505</v>
      </c>
      <c r="U1057" s="1088">
        <f>2592+1728</f>
        <v>4320</v>
      </c>
      <c r="V1057" s="434">
        <f>PV_DATA[[#This Row],[QUANTITY]]*PV_DATA[[#This Row],[WATT]]/1000000</f>
        <v>2.1816</v>
      </c>
      <c r="W1057" s="435">
        <f>PV_DATA[[#This Row],[QUANTITY]]/PV_DATA[[#This Row],[Qty/Pallet]]</f>
        <v>120</v>
      </c>
      <c r="X1057" s="1040">
        <f>PV_DATA[[#This Row],[QUANTITY]]/PV_DATA[[#This Row],[Qty/CT]]</f>
        <v>5</v>
      </c>
      <c r="Y1057" s="430" t="s">
        <v>2466</v>
      </c>
      <c r="Z1057" s="430" t="str">
        <f t="shared" si="19"/>
        <v>IN-TRANSIT</v>
      </c>
      <c r="AA1057" s="545">
        <v>46276</v>
      </c>
      <c r="AB1057" s="437">
        <v>46276</v>
      </c>
      <c r="AC1057" s="485">
        <f>IF(PV_DATA[[#This Row],[Pick- Up Date]]&lt;&gt;"",_xlfn.ISOWEEKNUM(PV_DATA[[#This Row],[Pick- Up Date]]),"")</f>
        <v>37</v>
      </c>
      <c r="AD1057" s="430" t="s">
        <v>6786</v>
      </c>
      <c r="AF1057" s="430" t="s">
        <v>123</v>
      </c>
      <c r="AG1057" s="430" t="s">
        <v>123</v>
      </c>
      <c r="AH1057" s="430" t="s">
        <v>78</v>
      </c>
      <c r="AI1057" s="437">
        <v>46282</v>
      </c>
      <c r="AJ1057" s="437">
        <f>IFERROR(VLOOKUP(AT1057, Vessel!A:D, 4, FALSE), "")</f>
        <v>46279.6875</v>
      </c>
      <c r="AK1057" s="437">
        <f>IFERROR(IF(VLOOKUP(AT1057,Vessel!A:F,5,FALSE)=0,"",VLOOKUP(AT1057,Vessel!A:F,5,FALSE)),"")</f>
        <v>46279.699814814812</v>
      </c>
      <c r="AL1057" s="437">
        <v>46323</v>
      </c>
      <c r="AM1057" s="949">
        <f>IFERROR(VLOOKUP(AT1057, Vessel!A:H, 8, FALSE), "")</f>
        <v>46323.25</v>
      </c>
      <c r="AN1057" s="949" t="str">
        <f>IFERROR(IF(VLOOKUP(AT1057,Vessel!A:I,9,FALSE)=0,"",VLOOKUP(AT1057,Vessel!A:I,9,FALSE)),"")</f>
        <v/>
      </c>
      <c r="AP1057" s="430" t="s">
        <v>6787</v>
      </c>
      <c r="AQ1057" s="438" t="s">
        <v>80</v>
      </c>
      <c r="AR1057" s="430" t="s">
        <v>6788</v>
      </c>
      <c r="AS1057" s="430" t="s">
        <v>6789</v>
      </c>
      <c r="AT1057" s="430" t="s">
        <v>6789</v>
      </c>
      <c r="AU10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43.550185185187729</v>
      </c>
      <c r="AW1057" s="437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5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37" t="str">
        <f>IF(ISERROR(PV_DATA[[#This Row],[New Ark PO status]]),"",_xlfn.XLOOKUP(PV_DATA[[#This Row],[SPTN-PVHK New Ark PO'#]],New_Ark_Data[Purchase order Number],New_Ark_Data[Estimated time of arrival],"",0))</f>
        <v/>
      </c>
      <c r="AZ105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7" s="437">
        <f>IFERROR(PV_DATA[[#This Row],[ODP ETA Port]]+PV_DATA[[#This Row],[Customs/Leg3 Assumption]],"n/a")</f>
        <v>46331.25</v>
      </c>
      <c r="BB1057" s="433">
        <f>YEAR(PV_DATA[[#This Row],[ETA for New Ark update]])</f>
        <v>2026</v>
      </c>
      <c r="BC1057" s="430">
        <f>MONTH(PV_DATA[[#This Row],[ETA for New Ark update]])</f>
        <v>11</v>
      </c>
      <c r="BD1057" s="430">
        <f>IFERROR(_xlfn.ISOWEEKNUM(PV_DATA[[#This Row],[ETA for New Ark update]]),0)</f>
        <v>45</v>
      </c>
      <c r="BE1057" s="430">
        <f>_xlfn.XLOOKUP(PV_DATA[[#This Row],[New Ark SKU]],Table9[New Ark SKU],Table9[Total PCS per Pallet],,0)</f>
        <v>36</v>
      </c>
      <c r="BF1057" s="430">
        <f>_xlfn.XLOOKUP(PV_DATA[[#This Row],[New Ark SKU]],Table9[New Ark SKU],Table9[Total PCS per 40HQ Container],,0)</f>
        <v>864</v>
      </c>
      <c r="BG1057" s="430" t="str">
        <f>_xlfn.XLOOKUP(PV_DATA[[#This Row],[New Ark SKU]],Table9[New Ark SKU],Table9[Back Glass],,0)</f>
        <v>Black glazing</v>
      </c>
      <c r="BH1057" s="430" t="str">
        <f>_xlfn.XLOOKUP(PV_DATA[[#This Row],[PORT DESTINATION]],Table12[PORT DESTINATION],Table12[Cosco Line],,0)</f>
        <v>AEM</v>
      </c>
    </row>
    <row r="1058" spans="1:60" s="430" customFormat="1" ht="10.5">
      <c r="A1058" s="951" t="s">
        <v>6790</v>
      </c>
      <c r="B1058" s="1078" t="s">
        <v>111</v>
      </c>
      <c r="C1058" s="462" t="str">
        <f>IFERROR(LEFT(PV_DATA[[#This Row],[TCL REFERENCE]],FIND(".",PV_DATA[[#This Row],[TCL REFERENCE]],1)-1),"Main Line")</f>
        <v>26Aug010</v>
      </c>
      <c r="D1058" s="945" t="s">
        <v>113</v>
      </c>
      <c r="E1058" s="462" t="s">
        <v>144</v>
      </c>
      <c r="F1058" s="945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8" s="462" t="s">
        <v>402</v>
      </c>
      <c r="H1058" s="462" t="s">
        <v>6653</v>
      </c>
      <c r="I1058" s="462" t="s">
        <v>6654</v>
      </c>
      <c r="J1058" s="462" t="s">
        <v>6653</v>
      </c>
      <c r="K1058" s="623" t="s">
        <v>6655</v>
      </c>
      <c r="L1058" s="623">
        <v>2</v>
      </c>
      <c r="M1058" s="462" t="s">
        <v>6656</v>
      </c>
      <c r="N1058" s="1079"/>
      <c r="O1058" s="623" t="s">
        <v>4531</v>
      </c>
      <c r="P1058" s="623" t="s">
        <v>6235</v>
      </c>
      <c r="Q1058" s="623" t="s">
        <v>330</v>
      </c>
      <c r="R1058" s="430" t="str">
        <f>_xlfn.XLOOKUP(PV_DATA[[#This Row],[New Ark SKU]],Table9[New Ark SKU],Table9[Connector],,0)</f>
        <v>H4(Com)</v>
      </c>
      <c r="S1058" s="433" t="str">
        <f>_xlfn.XLOOKUP(PV_DATA[[#This Row],[New Ark SKU]],Table9[New Ark SKU],Table9[Cable],,0)</f>
        <v>+400mm/-200mm</v>
      </c>
      <c r="T1058" s="976">
        <v>625</v>
      </c>
      <c r="U1058" s="1088">
        <f>720*14</f>
        <v>10080</v>
      </c>
      <c r="V1058" s="977">
        <f>PV_DATA[[#This Row],[QUANTITY]]*PV_DATA[[#This Row],[WATT]]/1000000</f>
        <v>6.3</v>
      </c>
      <c r="W1058" s="435">
        <f>PV_DATA[[#This Row],[QUANTITY]]/36</f>
        <v>280</v>
      </c>
      <c r="X1058" s="1221">
        <f>PV_DATA[[#This Row],[QUANTITY]]/PV_DATA[[#This Row],[Qty/CT]]</f>
        <v>14</v>
      </c>
      <c r="Y1058" s="430" t="s">
        <v>6791</v>
      </c>
      <c r="Z1058" s="430" t="str">
        <f t="shared" si="19"/>
        <v>IN-TRANSIT</v>
      </c>
      <c r="AA1058" s="623"/>
      <c r="AB1058" s="978">
        <v>46280</v>
      </c>
      <c r="AC1058" s="1222">
        <f>IF(PV_DATA[[#This Row],[Pick- Up Date]]&lt;&gt;"",_xlfn.ISOWEEKNUM(PV_DATA[[#This Row],[Pick- Up Date]]),"")</f>
        <v>38</v>
      </c>
      <c r="AD1058" s="623" t="s">
        <v>6792</v>
      </c>
      <c r="AE1058" s="623"/>
      <c r="AF1058" s="623" t="s">
        <v>122</v>
      </c>
      <c r="AG1058" s="623" t="s">
        <v>122</v>
      </c>
      <c r="AH1058" s="430" t="s">
        <v>6510</v>
      </c>
      <c r="AI1058" s="978">
        <v>46280</v>
      </c>
      <c r="AJ1058" s="978">
        <v>46290</v>
      </c>
      <c r="AK1058" s="978">
        <v>46290</v>
      </c>
      <c r="AL1058" s="978">
        <v>46332</v>
      </c>
      <c r="AM1058" s="978"/>
      <c r="AN1058" s="588"/>
      <c r="AO1058" s="623"/>
      <c r="AP1058" s="623" t="s">
        <v>6793</v>
      </c>
      <c r="AQ1058" s="1070" t="s">
        <v>161</v>
      </c>
      <c r="AR1058" s="623" t="s">
        <v>6794</v>
      </c>
      <c r="AS1058" s="623" t="s">
        <v>6795</v>
      </c>
      <c r="AT1058" s="623" t="s">
        <v>6795</v>
      </c>
      <c r="AU10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058" s="623"/>
      <c r="AW1058" s="978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978" t="str">
        <f>IF(ISERROR(PV_DATA[[#This Row],[New Ark PO status]]),"",_xlfn.XLOOKUP(PV_DATA[[#This Row],[SPTN-PVHK New Ark PO'#]],New_Ark_Data[Purchase order Number],New_Ark_Data[Estimated time of arrival],"",0))</f>
        <v/>
      </c>
      <c r="AZ1058" s="97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8" s="978">
        <f>IFERROR(PV_DATA[[#This Row],[ODP ETA Port]]+PV_DATA[[#This Row],[Customs/Leg3 Assumption]],"n/a")</f>
        <v>46332</v>
      </c>
      <c r="BB1058" s="433" t="s">
        <v>6315</v>
      </c>
      <c r="BC1058" s="433" t="s">
        <v>6315</v>
      </c>
      <c r="BD1058" s="623">
        <f>IFERROR(_xlfn.ISOWEEKNUM(PV_DATA[[#This Row],[ETA for New Ark update]]),0)</f>
        <v>45</v>
      </c>
      <c r="BE1058" s="623">
        <f>_xlfn.XLOOKUP(PV_DATA[[#This Row],[New Ark SKU]],Table9[New Ark SKU],Table9[Total PCS per Pallet],,0)</f>
        <v>36</v>
      </c>
      <c r="BF1058" s="623">
        <f>_xlfn.XLOOKUP(PV_DATA[[#This Row],[New Ark SKU]],Table9[New Ark SKU],Table9[Total PCS per 40HQ Container],,0)</f>
        <v>720</v>
      </c>
      <c r="BG1058" s="623" t="str">
        <f>_xlfn.XLOOKUP(PV_DATA[[#This Row],[New Ark SKU]],Table9[New Ark SKU],Table9[Back Glass],,0)</f>
        <v>Redirection Film</v>
      </c>
      <c r="BH1058" s="979" t="str">
        <f>_xlfn.XLOOKUP(PV_DATA[[#This Row],[PORT DESTINATION]],Table12[PORT DESTINATION],Table12[Cosco Line],,0)</f>
        <v>n/a</v>
      </c>
    </row>
    <row r="1059" spans="1:60" s="430" customFormat="1" ht="10.5">
      <c r="A1059" s="462" t="s">
        <v>6796</v>
      </c>
      <c r="B1059" s="459" t="s">
        <v>5774</v>
      </c>
      <c r="C1059" s="462" t="str">
        <f>IFERROR(LEFT(PV_DATA[[#This Row],[TCL REFERENCE]],FIND(".",PV_DATA[[#This Row],[TCL REFERENCE]],1)-1),"Main Line")</f>
        <v>26Jul006</v>
      </c>
      <c r="D1059" s="462" t="s">
        <v>63</v>
      </c>
      <c r="E1059" s="462" t="s">
        <v>64</v>
      </c>
      <c r="F1059" s="462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9" s="462" t="s">
        <v>402</v>
      </c>
      <c r="H1059" s="462" t="s">
        <v>67</v>
      </c>
      <c r="I1059" s="462" t="s">
        <v>689</v>
      </c>
      <c r="J1059" s="430" t="s">
        <v>96</v>
      </c>
      <c r="M1059" s="430" t="s">
        <v>6315</v>
      </c>
      <c r="N1059" s="432">
        <v>46223</v>
      </c>
      <c r="O1059" s="430" t="s">
        <v>4531</v>
      </c>
      <c r="P1059" s="430" t="s">
        <v>965</v>
      </c>
      <c r="Q1059" s="430" t="s">
        <v>966</v>
      </c>
      <c r="R1059" s="430" t="str">
        <f>_xlfn.XLOOKUP(PV_DATA[[#This Row],[New Ark SKU]],Table9[New Ark SKU],Table9[Connector],,0)</f>
        <v>EVO2A</v>
      </c>
      <c r="S1059" s="433" t="str">
        <f>_xlfn.XLOOKUP(PV_DATA[[#This Row],[New Ark SKU]],Table9[New Ark SKU],Table9[Cable],,0)</f>
        <v>±1200mm</v>
      </c>
      <c r="T1059" s="433">
        <v>455</v>
      </c>
      <c r="U1059" s="1088">
        <f>936*4</f>
        <v>3744</v>
      </c>
      <c r="V1059" s="434">
        <f>PV_DATA[[#This Row],[QUANTITY]]*PV_DATA[[#This Row],[WATT]]/1000000</f>
        <v>1.7035199999999999</v>
      </c>
      <c r="W1059" s="435">
        <f>PV_DATA[[#This Row],[QUANTITY]]/PV_DATA[[#This Row],[Qty/Pallet]]</f>
        <v>104</v>
      </c>
      <c r="X1059" s="1040">
        <f>PV_DATA[[#This Row],[QUANTITY]]/PV_DATA[[#This Row],[Qty/CT]]</f>
        <v>4</v>
      </c>
      <c r="Y1059" s="430" t="s">
        <v>6749</v>
      </c>
      <c r="Z1059" s="430" t="str">
        <f t="shared" si="19"/>
        <v>IN-TRANSIT</v>
      </c>
      <c r="AA1059" s="430" t="s">
        <v>6112</v>
      </c>
      <c r="AB1059" s="437">
        <v>46281</v>
      </c>
      <c r="AC1059" s="485">
        <f>IF(PV_DATA[[#This Row],[Pick- Up Date]]&lt;&gt;"",_xlfn.ISOWEEKNUM(PV_DATA[[#This Row],[Pick- Up Date]]),"")</f>
        <v>38</v>
      </c>
      <c r="AD1059" s="430" t="s">
        <v>6797</v>
      </c>
      <c r="AF1059" s="459" t="s">
        <v>1525</v>
      </c>
      <c r="AG1059" s="459" t="s">
        <v>5994</v>
      </c>
      <c r="AH1059" s="430" t="s">
        <v>105</v>
      </c>
      <c r="AI1059" s="437">
        <v>46287</v>
      </c>
      <c r="AJ1059" s="437">
        <v>46285</v>
      </c>
      <c r="AK1059" s="437">
        <f>IFERROR(IF(VLOOKUP(AT1059,Vessel!A:F,5,FALSE)=0,"",VLOOKUP(AT1059,Vessel!A:F,5,FALSE)),"")</f>
        <v>46285.607071759259</v>
      </c>
      <c r="AL1059" s="437">
        <v>46319</v>
      </c>
      <c r="AM1059" s="949">
        <f>IFERROR(VLOOKUP(AT1059, Vessel!A:H, 8, FALSE), "")</f>
        <v>46321.958333333336</v>
      </c>
      <c r="AN1059" s="949" t="str">
        <f>IFERROR(IF(VLOOKUP(AT1059,Vessel!A:I,9,FALSE)=0,"",VLOOKUP(AT1059,Vessel!A:I,9,FALSE)),"")</f>
        <v/>
      </c>
      <c r="AP1059" s="430" t="s">
        <v>6703</v>
      </c>
      <c r="AQ1059" s="430" t="s">
        <v>80</v>
      </c>
      <c r="AR1059" s="430" t="s">
        <v>6798</v>
      </c>
      <c r="AS1059" s="430" t="s">
        <v>6799</v>
      </c>
      <c r="AT1059" s="430" t="s">
        <v>6799</v>
      </c>
      <c r="AU10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36.351261574076489</v>
      </c>
      <c r="AW1059" s="437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46321.958333333336</v>
      </c>
      <c r="AX105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37" t="str">
        <f>IF(ISERROR(PV_DATA[[#This Row],[New Ark PO status]]),"",_xlfn.XLOOKUP(PV_DATA[[#This Row],[SPTN-PVHK New Ark PO'#]],New_Ark_Data[Purchase order Number],New_Ark_Data[Estimated time of arrival],"",0))</f>
        <v/>
      </c>
      <c r="AZ105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9" s="437">
        <f>IFERROR(PV_DATA[[#This Row],[ODP ETA Port]]+PV_DATA[[#This Row],[Customs/Leg3 Assumption]],"n/a")</f>
        <v>46328.958333333336</v>
      </c>
      <c r="BB1059" s="433">
        <f>YEAR(PV_DATA[[#This Row],[ETA for New Ark update]])</f>
        <v>2026</v>
      </c>
      <c r="BC1059" s="430">
        <f>MONTH(PV_DATA[[#This Row],[ETA for New Ark update]])</f>
        <v>11</v>
      </c>
      <c r="BD1059" s="430">
        <f>IFERROR(_xlfn.ISOWEEKNUM(PV_DATA[[#This Row],[ETA for New Ark update]]),0)</f>
        <v>45</v>
      </c>
      <c r="BE1059" s="430">
        <f>_xlfn.XLOOKUP(PV_DATA[[#This Row],[New Ark SKU]],Table9[New Ark SKU],Table9[Total PCS per Pallet],,0)</f>
        <v>36</v>
      </c>
      <c r="BF1059" s="430">
        <f>_xlfn.XLOOKUP(PV_DATA[[#This Row],[New Ark SKU]],Table9[New Ark SKU],Table9[Total PCS per 40HQ Container],,0)</f>
        <v>936</v>
      </c>
      <c r="BG1059" s="430" t="str">
        <f>_xlfn.XLOOKUP(PV_DATA[[#This Row],[New Ark SKU]],Table9[New Ark SKU],Table9[Back Glass],,0)</f>
        <v>Black glazing</v>
      </c>
      <c r="BH1059" s="430" t="str">
        <f>_xlfn.XLOOKUP(PV_DATA[[#This Row],[PORT DESTINATION]],Table12[PORT DESTINATION],Table12[Cosco Line],,0)</f>
        <v>AEU</v>
      </c>
    </row>
    <row r="1060" spans="1:60" s="430" customFormat="1" ht="10.5">
      <c r="A1060" s="729" t="s">
        <v>6800</v>
      </c>
      <c r="B1060" s="462" t="s">
        <v>111</v>
      </c>
      <c r="C1060" s="462" t="str">
        <f>IFERROR(LEFT(PV_DATA[[#This Row],[TCL REFERENCE]],FIND(".",PV_DATA[[#This Row],[TCL REFERENCE]],1)-1),"Main Line")</f>
        <v>26Aug020</v>
      </c>
      <c r="D1060" s="462" t="s">
        <v>63</v>
      </c>
      <c r="E1060" s="462" t="s">
        <v>64</v>
      </c>
      <c r="F1060" s="462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0" s="462" t="s">
        <v>402</v>
      </c>
      <c r="H1060" s="462" t="s">
        <v>67</v>
      </c>
      <c r="I1060" s="462" t="s">
        <v>689</v>
      </c>
      <c r="J1060" s="430" t="s">
        <v>96</v>
      </c>
      <c r="M1060" s="430" t="s">
        <v>6536</v>
      </c>
      <c r="N1060" s="432">
        <v>46238</v>
      </c>
      <c r="O1060" s="430" t="s">
        <v>132</v>
      </c>
      <c r="P1060" s="430" t="s">
        <v>1062</v>
      </c>
      <c r="Q1060" s="430" t="s">
        <v>1063</v>
      </c>
      <c r="R1060" s="430" t="str">
        <f>_xlfn.XLOOKUP(PV_DATA[[#This Row],[New Ark SKU]],Table9[New Ark SKU],Table9[Connector],,0)</f>
        <v>EVO2A</v>
      </c>
      <c r="S1060" s="433" t="str">
        <f>_xlfn.XLOOKUP(PV_DATA[[#This Row],[New Ark SKU]],Table9[New Ark SKU],Table9[Cable],,0)</f>
        <v>±1200mm</v>
      </c>
      <c r="T1060" s="433">
        <v>470</v>
      </c>
      <c r="U1060" s="1088">
        <v>2592</v>
      </c>
      <c r="V1060" s="434">
        <f>PV_DATA[[#This Row],[QUANTITY]]*PV_DATA[[#This Row],[WATT]]/1000000</f>
        <v>1.21824</v>
      </c>
      <c r="W1060" s="435">
        <f>PV_DATA[[#This Row],[QUANTITY]]/PV_DATA[[#This Row],[Qty/Pallet]]</f>
        <v>72</v>
      </c>
      <c r="X1060" s="1040">
        <f>PV_DATA[[#This Row],[QUANTITY]]/PV_DATA[[#This Row],[Qty/CT]]</f>
        <v>3</v>
      </c>
      <c r="Y1060" s="430" t="s">
        <v>2469</v>
      </c>
      <c r="AA1060" s="430" t="s">
        <v>5853</v>
      </c>
      <c r="AB1060" s="437">
        <v>46287</v>
      </c>
      <c r="AC1060" s="438"/>
      <c r="AD1060" s="462" t="s">
        <v>6801</v>
      </c>
      <c r="AF1060" s="459" t="s">
        <v>1525</v>
      </c>
      <c r="AG1060" s="459" t="s">
        <v>5994</v>
      </c>
      <c r="AH1060" s="430" t="s">
        <v>105</v>
      </c>
      <c r="AI1060" s="437">
        <v>46284</v>
      </c>
      <c r="AJ1060" s="437">
        <v>46291</v>
      </c>
      <c r="AK1060" s="437">
        <f>IFERROR(IF(VLOOKUP(AT1060,Vessel!A:F,5,FALSE)=0,"",VLOOKUP(AT1060,Vessel!A:F,5,FALSE)),"")</f>
        <v>46291.062094907407</v>
      </c>
      <c r="AL1060" s="437">
        <v>46318</v>
      </c>
      <c r="AM1060" s="949">
        <f>IFERROR(VLOOKUP(AT1060, Vessel!A:H, 8, FALSE), "")</f>
        <v>46326.875</v>
      </c>
      <c r="AN1060" s="949" t="str">
        <f>IFERROR(IF(VLOOKUP(AT1060,Vessel!A:I,9,FALSE)=0,"",VLOOKUP(AT1060,Vessel!A:I,9,FALSE)),"")</f>
        <v/>
      </c>
      <c r="AP1060" s="430" t="s">
        <v>6802</v>
      </c>
      <c r="AQ1060" s="430" t="s">
        <v>80</v>
      </c>
      <c r="AR1060" s="430" t="s">
        <v>6803</v>
      </c>
      <c r="AS1060" s="430" t="s">
        <v>6804</v>
      </c>
      <c r="AT1060" s="430" t="s">
        <v>6804</v>
      </c>
      <c r="AU10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35.8129050925927</v>
      </c>
      <c r="AW1060" s="437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46326.875</v>
      </c>
      <c r="AX106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37" t="str">
        <f>IF(ISERROR(PV_DATA[[#This Row],[New Ark PO status]]),"",_xlfn.XLOOKUP(PV_DATA[[#This Row],[SPTN-PVHK New Ark PO'#]],New_Ark_Data[Purchase order Number],New_Ark_Data[Estimated time of arrival],"",0))</f>
        <v/>
      </c>
      <c r="AZ106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0" s="437">
        <f>IFERROR(PV_DATA[[#This Row],[ODP ETA Port]]+PV_DATA[[#This Row],[Customs/Leg3 Assumption]],"n/a")</f>
        <v>46333.875</v>
      </c>
      <c r="BB1060" s="433">
        <f>YEAR(PV_DATA[[#This Row],[ETA for New Ark update]])</f>
        <v>2026</v>
      </c>
      <c r="BC1060" s="430">
        <f>MONTH(PV_DATA[[#This Row],[ETA for New Ark update]])</f>
        <v>11</v>
      </c>
      <c r="BD1060" s="430">
        <f>IFERROR(_xlfn.ISOWEEKNUM(PV_DATA[[#This Row],[ETA for New Ark update]]),0)</f>
        <v>45</v>
      </c>
      <c r="BE1060" s="430">
        <f>_xlfn.XLOOKUP(PV_DATA[[#This Row],[New Ark SKU]],Table9[New Ark SKU],Table9[Total PCS per Pallet],,0)</f>
        <v>36</v>
      </c>
      <c r="BF1060" s="430">
        <f>_xlfn.XLOOKUP(PV_DATA[[#This Row],[New Ark SKU]],Table9[New Ark SKU],Table9[Total PCS per 40HQ Container],,0)</f>
        <v>864</v>
      </c>
      <c r="BG1060" s="430" t="str">
        <f>_xlfn.XLOOKUP(PV_DATA[[#This Row],[New Ark SKU]],Table9[New Ark SKU],Table9[Back Glass],,0)</f>
        <v>White glazing</v>
      </c>
      <c r="BH1060" s="430" t="str">
        <f>_xlfn.XLOOKUP(PV_DATA[[#This Row],[PORT DESTINATION]],Table12[PORT DESTINATION],Table12[Cosco Line],,0)</f>
        <v>AEU</v>
      </c>
    </row>
    <row r="1061" spans="1:60" s="430" customFormat="1" ht="10.5">
      <c r="A1061" s="729" t="s">
        <v>6805</v>
      </c>
      <c r="B1061" s="459" t="s">
        <v>111</v>
      </c>
      <c r="C1061" s="462" t="str">
        <f>IFERROR(LEFT(PV_DATA[[#This Row],[TCL REFERENCE]],FIND(".",PV_DATA[[#This Row],[TCL REFERENCE]],1)-1),"Main Line")</f>
        <v>26Aug020</v>
      </c>
      <c r="D1061" s="462" t="s">
        <v>63</v>
      </c>
      <c r="E1061" s="462" t="s">
        <v>64</v>
      </c>
      <c r="F1061" s="462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1" s="462" t="s">
        <v>402</v>
      </c>
      <c r="H1061" s="462" t="s">
        <v>67</v>
      </c>
      <c r="I1061" s="462" t="s">
        <v>689</v>
      </c>
      <c r="J1061" s="430" t="s">
        <v>96</v>
      </c>
      <c r="M1061" s="430" t="s">
        <v>6536</v>
      </c>
      <c r="N1061" s="432">
        <v>46238</v>
      </c>
      <c r="O1061" s="430" t="s">
        <v>132</v>
      </c>
      <c r="P1061" s="430" t="s">
        <v>1062</v>
      </c>
      <c r="Q1061" s="430" t="s">
        <v>1063</v>
      </c>
      <c r="R1061" s="430" t="str">
        <f>_xlfn.XLOOKUP(PV_DATA[[#This Row],[New Ark SKU]],Table9[New Ark SKU],Table9[Connector],,0)</f>
        <v>EVO2A</v>
      </c>
      <c r="S1061" s="433" t="str">
        <f>_xlfn.XLOOKUP(PV_DATA[[#This Row],[New Ark SKU]],Table9[New Ark SKU],Table9[Cable],,0)</f>
        <v>±1200mm</v>
      </c>
      <c r="T1061" s="433">
        <v>470</v>
      </c>
      <c r="U1061" s="1088">
        <v>864</v>
      </c>
      <c r="V1061" s="434">
        <f>PV_DATA[[#This Row],[QUANTITY]]*PV_DATA[[#This Row],[WATT]]/1000000</f>
        <v>0.40608</v>
      </c>
      <c r="W1061" s="435">
        <f>PV_DATA[[#This Row],[QUANTITY]]/PV_DATA[[#This Row],[Qty/Pallet]]</f>
        <v>24</v>
      </c>
      <c r="X1061" s="1040">
        <f>PV_DATA[[#This Row],[QUANTITY]]/PV_DATA[[#This Row],[Qty/CT]]</f>
        <v>1</v>
      </c>
      <c r="Y1061" s="430" t="s">
        <v>2469</v>
      </c>
      <c r="AA1061" s="430" t="s">
        <v>5853</v>
      </c>
      <c r="AB1061" s="437">
        <v>46281</v>
      </c>
      <c r="AC1061" s="438"/>
      <c r="AD1061" s="462" t="s">
        <v>6806</v>
      </c>
      <c r="AF1061" s="459" t="s">
        <v>1525</v>
      </c>
      <c r="AG1061" s="459" t="s">
        <v>5994</v>
      </c>
      <c r="AH1061" s="430" t="s">
        <v>105</v>
      </c>
      <c r="AI1061" s="437">
        <v>46287</v>
      </c>
      <c r="AJ1061" s="437">
        <f>IFERROR(VLOOKUP(AT1061, Vessel!A:D, 4, FALSE), "")</f>
        <v>46285.583333333336</v>
      </c>
      <c r="AK1061" s="437">
        <f>IFERROR(IF(VLOOKUP(AT1061,Vessel!A:F,5,FALSE)=0,"",VLOOKUP(AT1061,Vessel!A:F,5,FALSE)),"")</f>
        <v>46285.607071759259</v>
      </c>
      <c r="AL1061" s="437">
        <v>46319</v>
      </c>
      <c r="AM1061" s="949">
        <f>IFERROR(VLOOKUP(AT1061, Vessel!A:H, 8, FALSE), "")</f>
        <v>46321.958333333336</v>
      </c>
      <c r="AN1061" s="949" t="str">
        <f>IFERROR(IF(VLOOKUP(AT1061,Vessel!A:I,9,FALSE)=0,"",VLOOKUP(AT1061,Vessel!A:I,9,FALSE)),"")</f>
        <v/>
      </c>
      <c r="AP1061" s="430" t="s">
        <v>6703</v>
      </c>
      <c r="AQ1061" s="430" t="s">
        <v>80</v>
      </c>
      <c r="AR1061" s="430" t="s">
        <v>6807</v>
      </c>
      <c r="AS1061" s="430" t="s">
        <v>6808</v>
      </c>
      <c r="AT1061" s="430" t="s">
        <v>6808</v>
      </c>
      <c r="AU10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36.351261574076489</v>
      </c>
      <c r="AW1061" s="437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46321.958333333336</v>
      </c>
      <c r="AX106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37" t="str">
        <f>IF(ISERROR(PV_DATA[[#This Row],[New Ark PO status]]),"",_xlfn.XLOOKUP(PV_DATA[[#This Row],[SPTN-PVHK New Ark PO'#]],New_Ark_Data[Purchase order Number],New_Ark_Data[Estimated time of arrival],"",0))</f>
        <v/>
      </c>
      <c r="AZ106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1" s="437">
        <f>IFERROR(PV_DATA[[#This Row],[ODP ETA Port]]+PV_DATA[[#This Row],[Customs/Leg3 Assumption]],"n/a")</f>
        <v>46328.958333333336</v>
      </c>
      <c r="BB1061" s="433">
        <f>YEAR(PV_DATA[[#This Row],[ETA for New Ark update]])</f>
        <v>2026</v>
      </c>
      <c r="BC1061" s="430">
        <f>MONTH(PV_DATA[[#This Row],[ETA for New Ark update]])</f>
        <v>11</v>
      </c>
      <c r="BD1061" s="430">
        <f>IFERROR(_xlfn.ISOWEEKNUM(PV_DATA[[#This Row],[ETA for New Ark update]]),0)</f>
        <v>45</v>
      </c>
      <c r="BE1061" s="430">
        <f>_xlfn.XLOOKUP(PV_DATA[[#This Row],[New Ark SKU]],Table9[New Ark SKU],Table9[Total PCS per Pallet],,0)</f>
        <v>36</v>
      </c>
      <c r="BF1061" s="430">
        <f>_xlfn.XLOOKUP(PV_DATA[[#This Row],[New Ark SKU]],Table9[New Ark SKU],Table9[Total PCS per 40HQ Container],,0)</f>
        <v>864</v>
      </c>
      <c r="BG1061" s="430" t="str">
        <f>_xlfn.XLOOKUP(PV_DATA[[#This Row],[New Ark SKU]],Table9[New Ark SKU],Table9[Back Glass],,0)</f>
        <v>White glazing</v>
      </c>
      <c r="BH1061" s="430" t="str">
        <f>_xlfn.XLOOKUP(PV_DATA[[#This Row],[PORT DESTINATION]],Table12[PORT DESTINATION],Table12[Cosco Line],,0)</f>
        <v>AEU</v>
      </c>
    </row>
    <row r="1062" spans="1:60" s="430" customFormat="1" ht="10.5">
      <c r="A1062" s="462" t="s">
        <v>6809</v>
      </c>
      <c r="B1062" s="462" t="s">
        <v>61</v>
      </c>
      <c r="C1062" s="462" t="str">
        <f>IFERROR(LEFT(PV_DATA[[#This Row],[TCL REFERENCE]],FIND(".",PV_DATA[[#This Row],[TCL REFERENCE]],1)-1),"Main Line")</f>
        <v>26Aug005</v>
      </c>
      <c r="D1062" s="462" t="s">
        <v>63</v>
      </c>
      <c r="E1062" s="462" t="s">
        <v>64</v>
      </c>
      <c r="F1062" s="462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62" s="462" t="s">
        <v>402</v>
      </c>
      <c r="H1062" s="462" t="s">
        <v>67</v>
      </c>
      <c r="I1062" s="462" t="s">
        <v>689</v>
      </c>
      <c r="J1062" s="430" t="s">
        <v>96</v>
      </c>
      <c r="M1062" s="430" t="s">
        <v>6315</v>
      </c>
      <c r="N1062" s="432">
        <v>46258</v>
      </c>
      <c r="O1062" s="430" t="s">
        <v>4531</v>
      </c>
      <c r="P1062" s="430" t="s">
        <v>706</v>
      </c>
      <c r="Q1062" s="430" t="s">
        <v>707</v>
      </c>
      <c r="R1062" s="430" t="str">
        <f>_xlfn.XLOOKUP(PV_DATA[[#This Row],[New Ark SKU]],Table9[New Ark SKU],Table9[Connector],,0)</f>
        <v>EVO2A</v>
      </c>
      <c r="S1062" s="433" t="str">
        <f>_xlfn.XLOOKUP(PV_DATA[[#This Row],[New Ark SKU]],Table9[New Ark SKU],Table9[Cable],,0)</f>
        <v>±1200mm</v>
      </c>
      <c r="T1062" s="433">
        <v>500</v>
      </c>
      <c r="U1062" s="1088">
        <v>3456</v>
      </c>
      <c r="V1062" s="434">
        <f>PV_DATA[[#This Row],[QUANTITY]]*PV_DATA[[#This Row],[WATT]]/1000000</f>
        <v>1.728</v>
      </c>
      <c r="W1062" s="435">
        <f>PV_DATA[[#This Row],[QUANTITY]]/PV_DATA[[#This Row],[Qty/Pallet]]</f>
        <v>96</v>
      </c>
      <c r="X1062" s="1040">
        <f>PV_DATA[[#This Row],[QUANTITY]]/PV_DATA[[#This Row],[Qty/CT]]</f>
        <v>4</v>
      </c>
      <c r="Y1062" s="430" t="s">
        <v>2466</v>
      </c>
      <c r="Z1062" s="430" t="str">
        <f>IF(AN1062&lt;&gt;"","COMPLETED",IF(AK1062&lt;&gt;"","IN-TRANSIT",""))</f>
        <v>IN-TRANSIT</v>
      </c>
      <c r="AA1062" s="430" t="s">
        <v>6810</v>
      </c>
      <c r="AB1062" s="971">
        <v>46274</v>
      </c>
      <c r="AC1062" s="485">
        <f>IF(PV_DATA[[#This Row],[Pick- Up Date]]&lt;&gt;"",_xlfn.ISOWEEKNUM(PV_DATA[[#This Row],[Pick- Up Date]]),"")</f>
        <v>37</v>
      </c>
      <c r="AD1062" s="430" t="s">
        <v>6811</v>
      </c>
      <c r="AF1062" s="430" t="s">
        <v>77</v>
      </c>
      <c r="AG1062" s="430" t="s">
        <v>61</v>
      </c>
      <c r="AH1062" s="430" t="s">
        <v>78</v>
      </c>
      <c r="AI1062" s="978">
        <v>46279</v>
      </c>
      <c r="AJ1062" s="437">
        <f>IFERROR(VLOOKUP(AT1062, Vessel!A:D, 4, FALSE), "")</f>
        <v>46279.979166666664</v>
      </c>
      <c r="AK1062" s="437">
        <f>IFERROR(IF(VLOOKUP(AT1062,Vessel!A:F,5,FALSE)=0,"",VLOOKUP(AT1062,Vessel!A:F,5,FALSE)),"")</f>
        <v>46279.989803240744</v>
      </c>
      <c r="AL1062" s="978">
        <v>46349</v>
      </c>
      <c r="AM1062" s="949">
        <f>IFERROR(VLOOKUP(AT1062, Vessel!A:H, 8, FALSE), "")</f>
        <v>46349.791666666664</v>
      </c>
      <c r="AN1062" s="949" t="str">
        <f>IFERROR(IF(VLOOKUP(AT1062,Vessel!A:I,9,FALSE)=0,"",VLOOKUP(AT1062,Vessel!A:I,9,FALSE)),"")</f>
        <v/>
      </c>
      <c r="AP1062" s="430" t="s">
        <v>6812</v>
      </c>
      <c r="AQ1062" s="1137" t="s">
        <v>80</v>
      </c>
      <c r="AR1062" s="430" t="s">
        <v>6813</v>
      </c>
      <c r="AS1062" s="1316" t="s">
        <v>6814</v>
      </c>
      <c r="AT1062" s="430" t="s">
        <v>6814</v>
      </c>
      <c r="AU10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69.801863425920601</v>
      </c>
      <c r="AW1062" s="437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06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37" t="str">
        <f>IF(ISERROR(PV_DATA[[#This Row],[New Ark PO status]]),"",_xlfn.XLOOKUP(PV_DATA[[#This Row],[SPTN-PVHK New Ark PO'#]],New_Ark_Data[Purchase order Number],New_Ark_Data[Estimated time of arrival],"",0))</f>
        <v/>
      </c>
      <c r="AZ106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62" s="437">
        <f>IFERROR(PV_DATA[[#This Row],[ODP ETA Port]]+PV_DATA[[#This Row],[Customs/Leg3 Assumption]],"n/a")</f>
        <v>46357.791666666664</v>
      </c>
      <c r="BB1062" s="433">
        <f>YEAR(PV_DATA[[#This Row],[ETA for New Ark update]])</f>
        <v>2026</v>
      </c>
      <c r="BC1062" s="430">
        <f>MONTH(PV_DATA[[#This Row],[ETA for New Ark update]])</f>
        <v>12</v>
      </c>
      <c r="BD1062" s="430">
        <f>IFERROR(_xlfn.ISOWEEKNUM(PV_DATA[[#This Row],[ETA for New Ark update]]),0)</f>
        <v>49</v>
      </c>
      <c r="BE1062" s="430">
        <f>_xlfn.XLOOKUP(PV_DATA[[#This Row],[New Ark SKU]],Table9[New Ark SKU],Table9[Total PCS per Pallet],,0)</f>
        <v>36</v>
      </c>
      <c r="BF1062" s="430">
        <f>_xlfn.XLOOKUP(PV_DATA[[#This Row],[New Ark SKU]],Table9[New Ark SKU],Table9[Total PCS per 40HQ Container],,0)</f>
        <v>864</v>
      </c>
      <c r="BG1062" s="430" t="str">
        <f>_xlfn.XLOOKUP(PV_DATA[[#This Row],[New Ark SKU]],Table9[New Ark SKU],Table9[Back Glass],,0)</f>
        <v>Black glazing</v>
      </c>
      <c r="BH1062" s="430" t="str">
        <f>_xlfn.XLOOKUP(PV_DATA[[#This Row],[PORT DESTINATION]],Table12[PORT DESTINATION],Table12[Cosco Line],,0)</f>
        <v>AEM</v>
      </c>
    </row>
    <row r="1063" spans="1:60" s="430" customFormat="1" ht="10.5">
      <c r="A1063" s="462" t="s">
        <v>6815</v>
      </c>
      <c r="B1063" s="462" t="s">
        <v>61</v>
      </c>
      <c r="C1063" s="462" t="str">
        <f>IFERROR(LEFT(PV_DATA[[#This Row],[TCL REFERENCE]],FIND(".",PV_DATA[[#This Row],[TCL REFERENCE]],1)-1),"Main Line")</f>
        <v>26Aug005</v>
      </c>
      <c r="D1063" s="462" t="s">
        <v>63</v>
      </c>
      <c r="E1063" s="462" t="s">
        <v>64</v>
      </c>
      <c r="F1063" s="462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63" s="462" t="s">
        <v>402</v>
      </c>
      <c r="H1063" s="462" t="s">
        <v>67</v>
      </c>
      <c r="I1063" s="462" t="s">
        <v>689</v>
      </c>
      <c r="J1063" s="430" t="s">
        <v>96</v>
      </c>
      <c r="M1063" s="430" t="s">
        <v>6536</v>
      </c>
      <c r="N1063" s="432">
        <v>46258</v>
      </c>
      <c r="O1063" s="430" t="s">
        <v>4531</v>
      </c>
      <c r="P1063" s="430" t="s">
        <v>706</v>
      </c>
      <c r="Q1063" s="430" t="s">
        <v>707</v>
      </c>
      <c r="R1063" s="430" t="str">
        <f>_xlfn.XLOOKUP(PV_DATA[[#This Row],[New Ark SKU]],Table9[New Ark SKU],Table9[Connector],,0)</f>
        <v>EVO2A</v>
      </c>
      <c r="S1063" s="433" t="str">
        <f>_xlfn.XLOOKUP(PV_DATA[[#This Row],[New Ark SKU]],Table9[New Ark SKU],Table9[Cable],,0)</f>
        <v>±1200mm</v>
      </c>
      <c r="T1063" s="433">
        <v>500</v>
      </c>
      <c r="U1063" s="1088">
        <f>864*2</f>
        <v>1728</v>
      </c>
      <c r="V1063" s="434">
        <f>PV_DATA[[#This Row],[QUANTITY]]*PV_DATA[[#This Row],[WATT]]/1000000</f>
        <v>0.86399999999999999</v>
      </c>
      <c r="W1063" s="435">
        <f>PV_DATA[[#This Row],[QUANTITY]]/PV_DATA[[#This Row],[Qty/Pallet]]</f>
        <v>48</v>
      </c>
      <c r="X1063" s="1040">
        <f>PV_DATA[[#This Row],[QUANTITY]]/PV_DATA[[#This Row],[Qty/CT]]</f>
        <v>2</v>
      </c>
      <c r="Y1063" s="430" t="s">
        <v>2466</v>
      </c>
      <c r="Z1063" s="430" t="str">
        <f>IF(AN1063&lt;&gt;"","COMPLETED",IF(AK1063&lt;&gt;"","IN-TRANSIT",""))</f>
        <v>IN-TRANSIT</v>
      </c>
      <c r="AA1063" s="430" t="s">
        <v>6810</v>
      </c>
      <c r="AB1063" s="971">
        <v>46274</v>
      </c>
      <c r="AC1063" s="485">
        <f>IF(PV_DATA[[#This Row],[Pick- Up Date]]&lt;&gt;"",_xlfn.ISOWEEKNUM(PV_DATA[[#This Row],[Pick- Up Date]]),"")</f>
        <v>37</v>
      </c>
      <c r="AD1063" s="430" t="s">
        <v>6816</v>
      </c>
      <c r="AF1063" s="430" t="s">
        <v>77</v>
      </c>
      <c r="AG1063" s="430" t="s">
        <v>61</v>
      </c>
      <c r="AH1063" s="430" t="s">
        <v>78</v>
      </c>
      <c r="AI1063" s="978">
        <v>46279</v>
      </c>
      <c r="AJ1063" s="437">
        <f>IFERROR(VLOOKUP(AT1063, Vessel!A:D, 4, FALSE), "")</f>
        <v>46279.979166666664</v>
      </c>
      <c r="AK1063" s="437">
        <f>IFERROR(IF(VLOOKUP(AT1063,Vessel!A:F,5,FALSE)=0,"",VLOOKUP(AT1063,Vessel!A:F,5,FALSE)),"")</f>
        <v>46279.989803240744</v>
      </c>
      <c r="AL1063" s="978">
        <v>46337</v>
      </c>
      <c r="AM1063" s="949">
        <f>IFERROR(VLOOKUP(AT1063, Vessel!A:H, 8, FALSE), "")</f>
        <v>46337.25</v>
      </c>
      <c r="AN1063" s="949" t="str">
        <f>IFERROR(IF(VLOOKUP(AT1063,Vessel!A:I,9,FALSE)=0,"",VLOOKUP(AT1063,Vessel!A:I,9,FALSE)),"")</f>
        <v/>
      </c>
      <c r="AP1063" s="430" t="s">
        <v>6812</v>
      </c>
      <c r="AQ1063" s="438" t="s">
        <v>80</v>
      </c>
      <c r="AR1063" s="430" t="s">
        <v>6817</v>
      </c>
      <c r="AS1063" s="430" t="s">
        <v>6818</v>
      </c>
      <c r="AT1063" s="430" t="s">
        <v>6818</v>
      </c>
      <c r="AU10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57.26019675925636</v>
      </c>
      <c r="AW1063" s="437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06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437" t="str">
        <f>IF(ISERROR(PV_DATA[[#This Row],[New Ark PO status]]),"",_xlfn.XLOOKUP(PV_DATA[[#This Row],[SPTN-PVHK New Ark PO'#]],New_Ark_Data[Purchase order Number],New_Ark_Data[Estimated time of arrival],"",0))</f>
        <v/>
      </c>
      <c r="AZ106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63" s="437">
        <f>IFERROR(PV_DATA[[#This Row],[ODP ETA Port]]+PV_DATA[[#This Row],[Customs/Leg3 Assumption]],"n/a")</f>
        <v>46345.25</v>
      </c>
      <c r="BB1063" s="433">
        <f>YEAR(PV_DATA[[#This Row],[ETA for New Ark update]])</f>
        <v>2026</v>
      </c>
      <c r="BC1063" s="430">
        <f>MONTH(PV_DATA[[#This Row],[ETA for New Ark update]])</f>
        <v>11</v>
      </c>
      <c r="BD1063" s="430">
        <f>IFERROR(_xlfn.ISOWEEKNUM(PV_DATA[[#This Row],[ETA for New Ark update]]),0)</f>
        <v>47</v>
      </c>
      <c r="BE1063" s="430">
        <f>_xlfn.XLOOKUP(PV_DATA[[#This Row],[New Ark SKU]],Table9[New Ark SKU],Table9[Total PCS per Pallet],,0)</f>
        <v>36</v>
      </c>
      <c r="BF1063" s="430">
        <f>_xlfn.XLOOKUP(PV_DATA[[#This Row],[New Ark SKU]],Table9[New Ark SKU],Table9[Total PCS per 40HQ Container],,0)</f>
        <v>864</v>
      </c>
      <c r="BG1063" s="430" t="str">
        <f>_xlfn.XLOOKUP(PV_DATA[[#This Row],[New Ark SKU]],Table9[New Ark SKU],Table9[Back Glass],,0)</f>
        <v>Black glazing</v>
      </c>
      <c r="BH1063" s="430" t="str">
        <f>_xlfn.XLOOKUP(PV_DATA[[#This Row],[PORT DESTINATION]],Table12[PORT DESTINATION],Table12[Cosco Line],,0)</f>
        <v>AEM</v>
      </c>
    </row>
    <row r="1064" spans="1:60" s="430" customFormat="1" ht="10.5">
      <c r="A1064" s="951" t="s">
        <v>6819</v>
      </c>
      <c r="B1064" s="462" t="s">
        <v>61</v>
      </c>
      <c r="C1064" s="462" t="str">
        <f>IFERROR(LEFT(PV_DATA[[#This Row],[TCL REFERENCE]],FIND(".",PV_DATA[[#This Row],[TCL REFERENCE]],1)-1),"Main Line")</f>
        <v>26Aug011</v>
      </c>
      <c r="D1064" s="945" t="s">
        <v>113</v>
      </c>
      <c r="E1064" s="462" t="s">
        <v>144</v>
      </c>
      <c r="F1064" s="462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4" s="462" t="s">
        <v>156</v>
      </c>
      <c r="H1064" s="462" t="s">
        <v>670</v>
      </c>
      <c r="I1064" s="462" t="s">
        <v>1395</v>
      </c>
      <c r="J1064" s="462" t="s">
        <v>670</v>
      </c>
      <c r="K1064" s="430" t="s">
        <v>6720</v>
      </c>
      <c r="L1064" s="430">
        <v>7</v>
      </c>
      <c r="M1064" s="430" t="s">
        <v>840</v>
      </c>
      <c r="N1064" s="432"/>
      <c r="O1064" s="430" t="s">
        <v>284</v>
      </c>
      <c r="P1064" s="430" t="s">
        <v>6721</v>
      </c>
      <c r="Q1064" s="430" t="s">
        <v>1570</v>
      </c>
      <c r="R1064" s="430" t="str">
        <f>_xlfn.XLOOKUP(PV_DATA[[#This Row],[New Ark SKU]],Table9[New Ark SKU],Table9[Connector],,0)</f>
        <v>H4(Com)</v>
      </c>
      <c r="S1064" s="433" t="str">
        <f>_xlfn.XLOOKUP(PV_DATA[[#This Row],[New Ark SKU]],Table9[New Ark SKU],Table9[Cable],,0)</f>
        <v>+400mm/-200mm</v>
      </c>
      <c r="T1064" s="433">
        <v>650</v>
      </c>
      <c r="U1064" s="1088">
        <f>720*9</f>
        <v>6480</v>
      </c>
      <c r="V1064" s="434">
        <f>PV_DATA[[#This Row],[QUANTITY]]*PV_DATA[[#This Row],[WATT]]/1000000</f>
        <v>4.2119999999999997</v>
      </c>
      <c r="W1064" s="435">
        <f>PV_DATA[[#This Row],[QUANTITY]]/PV_DATA[[#This Row],[Qty/Pallet]]</f>
        <v>180</v>
      </c>
      <c r="X1064" s="1040">
        <f>PV_DATA[[#This Row],[QUANTITY]]/PV_DATA[[#This Row],[Qty/CT]]</f>
        <v>9</v>
      </c>
      <c r="Y1064" s="430" t="s">
        <v>2467</v>
      </c>
      <c r="Z1064" s="430" t="str">
        <f>IF(AN1064&lt;&gt;"","COMPLETED",IF(AK1064&lt;&gt;"","IN-TRANSIT",""))</f>
        <v>IN-TRANSIT</v>
      </c>
      <c r="AA1064" s="545">
        <v>46268</v>
      </c>
      <c r="AB1064" s="978">
        <v>46273</v>
      </c>
      <c r="AC1064" s="485">
        <f>IF(PV_DATA[[#This Row],[Pick- Up Date]]&lt;&gt;"",_xlfn.ISOWEEKNUM(PV_DATA[[#This Row],[Pick- Up Date]]),"")</f>
        <v>37</v>
      </c>
      <c r="AD1064" s="430" t="s">
        <v>6820</v>
      </c>
      <c r="AF1064" s="430" t="s">
        <v>77</v>
      </c>
      <c r="AG1064" s="430" t="s">
        <v>77</v>
      </c>
      <c r="AH1064" s="430" t="s">
        <v>105</v>
      </c>
      <c r="AI1064" s="978">
        <v>46279</v>
      </c>
      <c r="AJ1064" s="978">
        <v>46286</v>
      </c>
      <c r="AK1064" s="978">
        <v>46287</v>
      </c>
      <c r="AL1064" s="978">
        <v>46327</v>
      </c>
      <c r="AM1064" s="437"/>
      <c r="AN1064" s="588"/>
      <c r="AO1064" s="430" t="s">
        <v>156</v>
      </c>
      <c r="AP1064" s="430" t="s">
        <v>6821</v>
      </c>
      <c r="AQ1064" s="438" t="s">
        <v>161</v>
      </c>
      <c r="AR1064" s="430" t="s">
        <v>6822</v>
      </c>
      <c r="AS1064" s="430" t="s">
        <v>6823</v>
      </c>
      <c r="AT1064" s="430" t="s">
        <v>6824</v>
      </c>
      <c r="AU10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64" s="437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06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37" t="str">
        <f>IF(ISERROR(PV_DATA[[#This Row],[New Ark PO status]]),"",_xlfn.XLOOKUP(PV_DATA[[#This Row],[SPTN-PVHK New Ark PO'#]],New_Ark_Data[Purchase order Number],New_Ark_Data[Estimated time of arrival],"",0))</f>
        <v/>
      </c>
      <c r="AZ106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4" s="437">
        <f>IFERROR(PV_DATA[[#This Row],[ODP ETA Port]]+PV_DATA[[#This Row],[Customs/Leg3 Assumption]],"n/a")</f>
        <v>46327</v>
      </c>
      <c r="BB1064" s="433" t="s">
        <v>6536</v>
      </c>
      <c r="BC1064" s="433" t="s">
        <v>6536</v>
      </c>
      <c r="BD1064" s="430">
        <f>IFERROR(_xlfn.ISOWEEKNUM(PV_DATA[[#This Row],[ETA for New Ark update]]),0)</f>
        <v>44</v>
      </c>
      <c r="BE1064" s="430">
        <f>_xlfn.XLOOKUP(PV_DATA[[#This Row],[New Ark SKU]],Table9[New Ark SKU],Table9[Total PCS per Pallet],,0)</f>
        <v>36</v>
      </c>
      <c r="BF1064" s="430">
        <f>_xlfn.XLOOKUP(PV_DATA[[#This Row],[New Ark SKU]],Table9[New Ark SKU],Table9[Total PCS per 40HQ Container],,0)</f>
        <v>720</v>
      </c>
      <c r="BG1064" s="430" t="str">
        <f>_xlfn.XLOOKUP(PV_DATA[[#This Row],[New Ark SKU]],Table9[New Ark SKU],Table9[Back Glass],,0)</f>
        <v>White glazing</v>
      </c>
      <c r="BH1064" s="610" t="str">
        <f>_xlfn.XLOOKUP(PV_DATA[[#This Row],[PORT DESTINATION]],Table12[PORT DESTINATION],Table12[Cosco Line],,0)</f>
        <v>AEU</v>
      </c>
    </row>
    <row r="1065" spans="1:60" s="430" customFormat="1" ht="10.5">
      <c r="A1065" s="951" t="s">
        <v>6825</v>
      </c>
      <c r="B1065" s="462" t="s">
        <v>61</v>
      </c>
      <c r="C1065" s="462" t="str">
        <f>IFERROR(LEFT(PV_DATA[[#This Row],[TCL REFERENCE]],FIND(".",PV_DATA[[#This Row],[TCL REFERENCE]],1)-1),"Main Line")</f>
        <v>Main Line</v>
      </c>
      <c r="D1065" s="945" t="s">
        <v>113</v>
      </c>
      <c r="E1065" s="462" t="s">
        <v>144</v>
      </c>
      <c r="F1065" s="462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5" s="462" t="s">
        <v>156</v>
      </c>
      <c r="H1065" s="462" t="s">
        <v>670</v>
      </c>
      <c r="I1065" s="462" t="s">
        <v>1395</v>
      </c>
      <c r="J1065" s="462" t="s">
        <v>670</v>
      </c>
      <c r="K1065" s="430" t="s">
        <v>6720</v>
      </c>
      <c r="L1065" s="430">
        <v>5</v>
      </c>
      <c r="M1065" s="462" t="s">
        <v>6656</v>
      </c>
      <c r="N1065" s="432"/>
      <c r="O1065" s="430" t="s">
        <v>284</v>
      </c>
      <c r="P1065" s="430" t="s">
        <v>6728</v>
      </c>
      <c r="Q1065" s="430" t="s">
        <v>5346</v>
      </c>
      <c r="R1065" s="430" t="str">
        <f>_xlfn.XLOOKUP(PV_DATA[[#This Row],[New Ark SKU]],Table9[New Ark SKU],Table9[Connector],,0)</f>
        <v>H4(Com)</v>
      </c>
      <c r="S1065" s="433" t="str">
        <f>_xlfn.XLOOKUP(PV_DATA[[#This Row],[New Ark SKU]],Table9[New Ark SKU],Table9[Cable],,0)</f>
        <v>+400mm/-200mm</v>
      </c>
      <c r="T1065" s="433">
        <v>655</v>
      </c>
      <c r="U1065" s="1088" cm="1">
        <f t="array" ref="U1065">10080-fx_qty</f>
        <v>7200</v>
      </c>
      <c r="V1065" s="434">
        <f>PV_DATA[[#This Row],[QUANTITY]]*PV_DATA[[#This Row],[WATT]]/1000000</f>
        <v>4.7160000000000002</v>
      </c>
      <c r="W1065" s="435">
        <f>PV_DATA[[#This Row],[QUANTITY]]/PV_DATA[[#This Row],[Qty/Pallet]]</f>
        <v>200</v>
      </c>
      <c r="X1065" s="1040">
        <f>PV_DATA[[#This Row],[QUANTITY]]/PV_DATA[[#This Row],[Qty/CT]]</f>
        <v>10</v>
      </c>
      <c r="Y1065" s="430" t="s">
        <v>2470</v>
      </c>
      <c r="AB1065" s="978">
        <v>46273</v>
      </c>
      <c r="AC1065" s="485">
        <f>IF(PV_DATA[[#This Row],[Pick- Up Date]]&lt;&gt;"",_xlfn.ISOWEEKNUM(PV_DATA[[#This Row],[Pick- Up Date]]),"")</f>
        <v>37</v>
      </c>
      <c r="AD1065" s="430" t="s">
        <v>6826</v>
      </c>
      <c r="AF1065" s="430" t="s">
        <v>77</v>
      </c>
      <c r="AG1065" s="430" t="s">
        <v>77</v>
      </c>
      <c r="AH1065" s="430" t="s">
        <v>105</v>
      </c>
      <c r="AI1065" s="978">
        <v>46279</v>
      </c>
      <c r="AJ1065" s="978">
        <v>46286</v>
      </c>
      <c r="AK1065" s="978">
        <v>46287</v>
      </c>
      <c r="AL1065" s="978">
        <v>46327</v>
      </c>
      <c r="AM1065" s="437"/>
      <c r="AN1065" s="588"/>
      <c r="AO1065" s="430" t="s">
        <v>156</v>
      </c>
      <c r="AP1065" s="430" t="s">
        <v>6821</v>
      </c>
      <c r="AQ1065" s="438" t="s">
        <v>161</v>
      </c>
      <c r="AR1065" s="430" t="s">
        <v>6822</v>
      </c>
      <c r="AS1065" s="430" t="s">
        <v>6824</v>
      </c>
      <c r="AT1065" s="430" t="s">
        <v>6824</v>
      </c>
      <c r="AU10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65" s="437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06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37" t="str">
        <f>IF(ISERROR(PV_DATA[[#This Row],[New Ark PO status]]),"",_xlfn.XLOOKUP(PV_DATA[[#This Row],[SPTN-PVHK New Ark PO'#]],New_Ark_Data[Purchase order Number],New_Ark_Data[Estimated time of arrival],"",0))</f>
        <v/>
      </c>
      <c r="AZ106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5" s="437">
        <f>IFERROR(PV_DATA[[#This Row],[ODP ETA Port]]+PV_DATA[[#This Row],[Customs/Leg3 Assumption]],"n/a")</f>
        <v>46327</v>
      </c>
      <c r="BB1065" s="433" t="s">
        <v>6315</v>
      </c>
      <c r="BC1065" s="433" t="s">
        <v>6315</v>
      </c>
      <c r="BD1065" s="430">
        <f>IFERROR(_xlfn.ISOWEEKNUM(PV_DATA[[#This Row],[ETA for New Ark update]]),0)</f>
        <v>44</v>
      </c>
      <c r="BE1065" s="430">
        <f>_xlfn.XLOOKUP(PV_DATA[[#This Row],[New Ark SKU]],Table9[New Ark SKU],Table9[Total PCS per Pallet],,0)</f>
        <v>36</v>
      </c>
      <c r="BF1065" s="430">
        <f>_xlfn.XLOOKUP(PV_DATA[[#This Row],[New Ark SKU]],Table9[New Ark SKU],Table9[Total PCS per 40HQ Container],,0)</f>
        <v>720</v>
      </c>
      <c r="BG1065" s="430" t="str">
        <f>_xlfn.XLOOKUP(PV_DATA[[#This Row],[New Ark SKU]],Table9[New Ark SKU],Table9[Back Glass],,0)</f>
        <v>White glazing</v>
      </c>
      <c r="BH1065" s="610" t="str">
        <f>_xlfn.XLOOKUP(PV_DATA[[#This Row],[PORT DESTINATION]],Table12[PORT DESTINATION],Table12[Cosco Line],,0)</f>
        <v>AEU</v>
      </c>
    </row>
    <row r="1066" spans="1:60" s="430" customFormat="1" ht="10.5">
      <c r="A1066" s="729" t="s">
        <v>6827</v>
      </c>
      <c r="B1066" s="945" t="s">
        <v>1757</v>
      </c>
      <c r="C1066" s="462" t="str">
        <f>IFERROR(LEFT(PV_DATA[[#This Row],[TCL REFERENCE]],FIND(".",PV_DATA[[#This Row],[TCL REFERENCE]],1)-1),"Main Line")</f>
        <v>26Jul007</v>
      </c>
      <c r="D1066" s="462" t="s">
        <v>63</v>
      </c>
      <c r="E1066" s="462" t="s">
        <v>144</v>
      </c>
      <c r="F1066" s="462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6" s="462" t="s">
        <v>402</v>
      </c>
      <c r="H1066" s="462" t="s">
        <v>881</v>
      </c>
      <c r="I1066" s="462" t="s">
        <v>1395</v>
      </c>
      <c r="J1066" s="462" t="s">
        <v>881</v>
      </c>
      <c r="K1066" s="462" t="s">
        <v>6828</v>
      </c>
      <c r="L1066" s="430">
        <v>2</v>
      </c>
      <c r="M1066" s="430" t="s">
        <v>840</v>
      </c>
      <c r="N1066" s="432">
        <v>46209</v>
      </c>
      <c r="O1066" s="623" t="s">
        <v>4531</v>
      </c>
      <c r="P1066" s="623" t="s">
        <v>71</v>
      </c>
      <c r="Q1066" s="623" t="s">
        <v>72</v>
      </c>
      <c r="R1066" s="430" t="str">
        <f>_xlfn.XLOOKUP(PV_DATA[[#This Row],[New Ark SKU]],Table9[New Ark SKU],Table9[Connector],,0)</f>
        <v>EVO2A</v>
      </c>
      <c r="S1066" s="433" t="str">
        <f>_xlfn.XLOOKUP(PV_DATA[[#This Row],[New Ark SKU]],Table9[New Ark SKU],Table9[Cable],,0)</f>
        <v>±1200mm</v>
      </c>
      <c r="T1066" s="976">
        <v>500</v>
      </c>
      <c r="U1066" s="1100">
        <f>864*5</f>
        <v>4320</v>
      </c>
      <c r="V1066" s="977">
        <f>PV_DATA[[#This Row],[QUANTITY]]*PV_DATA[[#This Row],[WATT]]/1000000</f>
        <v>2.16</v>
      </c>
      <c r="W1066" s="981">
        <f>PV_DATA[[#This Row],[QUANTITY]]/PV_DATA[[#This Row],[Qty/Pallet]]</f>
        <v>120</v>
      </c>
      <c r="X1066" s="1040">
        <f>PV_DATA[[#This Row],[QUANTITY]]/PV_DATA[[#This Row],[Qty/CT]]</f>
        <v>5</v>
      </c>
      <c r="Y1066" s="430" t="s">
        <v>2469</v>
      </c>
      <c r="Z1066" s="430" t="str">
        <f t="shared" ref="Z1066:Z1097" si="20">IF(AN1066&lt;&gt;"","COMPLETED",IF(AK1066&lt;&gt;"","IN-TRANSIT",""))</f>
        <v>IN-TRANSIT</v>
      </c>
      <c r="AA1066" s="1077" t="s">
        <v>6733</v>
      </c>
      <c r="AB1066" s="978">
        <v>46284</v>
      </c>
      <c r="AC1066" s="1222">
        <f>IF(PV_DATA[[#This Row],[Pick- Up Date]]&lt;&gt;"",_xlfn.ISOWEEKNUM(PV_DATA[[#This Row],[Pick- Up Date]]),"")</f>
        <v>38</v>
      </c>
      <c r="AD1066" s="623" t="s">
        <v>6829</v>
      </c>
      <c r="AE1066" s="623"/>
      <c r="AF1066" s="459" t="s">
        <v>123</v>
      </c>
      <c r="AG1066" s="459" t="s">
        <v>123</v>
      </c>
      <c r="AH1066" s="430" t="s">
        <v>888</v>
      </c>
      <c r="AI1066" s="978">
        <v>46295</v>
      </c>
      <c r="AJ1066" s="437">
        <f>IFERROR(VLOOKUP(AT1066, Vessel!A:D, 4, FALSE), "")</f>
        <v>46295.229166666664</v>
      </c>
      <c r="AK1066" s="437">
        <f>IFERROR(IF(VLOOKUP(AT1066,Vessel!A:F,5,FALSE)=0,"",VLOOKUP(AT1066,Vessel!A:F,5,FALSE)),"")</f>
        <v>46295.255243055559</v>
      </c>
      <c r="AL1066" s="978">
        <v>46338</v>
      </c>
      <c r="AM1066" s="949">
        <f>IFERROR(VLOOKUP(AT1066, Vessel!A:H, 8, FALSE), "")</f>
        <v>46339.708333333336</v>
      </c>
      <c r="AN1066" s="949" t="str">
        <f>IFERROR(IF(VLOOKUP(AT1066,Vessel!A:I,9,FALSE)=0,"",VLOOKUP(AT1066,Vessel!A:I,9,FALSE)),"")</f>
        <v/>
      </c>
      <c r="AO1066" s="623"/>
      <c r="AP1066" s="623" t="s">
        <v>6830</v>
      </c>
      <c r="AQ1066" s="623" t="s">
        <v>80</v>
      </c>
      <c r="AR1066" s="623" t="s">
        <v>6831</v>
      </c>
      <c r="AS1066" s="623" t="s">
        <v>6832</v>
      </c>
      <c r="AT1066" s="430" t="s">
        <v>6832</v>
      </c>
      <c r="AU10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44.453090277776937</v>
      </c>
      <c r="AV1066" s="623"/>
      <c r="AW1066" s="978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46339.708333333336</v>
      </c>
      <c r="AX106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978" t="str">
        <f>IF(ISERROR(PV_DATA[[#This Row],[New Ark PO status]]),"",_xlfn.XLOOKUP(PV_DATA[[#This Row],[SPTN-PVHK New Ark PO'#]],New_Ark_Data[Purchase order Number],New_Ark_Data[Estimated time of arrival],"",0))</f>
        <v/>
      </c>
      <c r="AZ1066" s="97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6" s="978">
        <f>IFERROR(PV_DATA[[#This Row],[ODP ETA Port]]+PV_DATA[[#This Row],[Customs/Leg3 Assumption]],"n/a")</f>
        <v>46339.708333333336</v>
      </c>
      <c r="BB1066" s="433">
        <f>YEAR(PV_DATA[[#This Row],[ETA for New Ark update]])</f>
        <v>2026</v>
      </c>
      <c r="BC1066" s="430">
        <f>MONTH(PV_DATA[[#This Row],[ETA for New Ark update]])</f>
        <v>11</v>
      </c>
      <c r="BD1066" s="623">
        <f>IFERROR(_xlfn.ISOWEEKNUM(PV_DATA[[#This Row],[ETA for New Ark update]]),0)</f>
        <v>46</v>
      </c>
      <c r="BE1066" s="623">
        <f>_xlfn.XLOOKUP(PV_DATA[[#This Row],[New Ark SKU]],Table9[New Ark SKU],Table9[Total PCS per Pallet],,0)</f>
        <v>36</v>
      </c>
      <c r="BF1066" s="623">
        <f>_xlfn.XLOOKUP(PV_DATA[[#This Row],[New Ark SKU]],Table9[New Ark SKU],Table9[Total PCS per 40HQ Container],,0)</f>
        <v>864</v>
      </c>
      <c r="BG1066" s="430" t="str">
        <f>_xlfn.XLOOKUP(PV_DATA[[#This Row],[New Ark SKU]],Table9[New Ark SKU],Table9[Back Glass],,0)</f>
        <v>Black glazing</v>
      </c>
      <c r="BH1066" s="979" t="str">
        <f>_xlfn.XLOOKUP(PV_DATA[[#This Row],[PORT DESTINATION]],Table12[PORT DESTINATION],Table12[Cosco Line],,0)</f>
        <v>AEU</v>
      </c>
    </row>
    <row r="1067" spans="1:60" s="430" customFormat="1" ht="10.5">
      <c r="A1067" s="951" t="s">
        <v>6833</v>
      </c>
      <c r="B1067" s="1078" t="s">
        <v>111</v>
      </c>
      <c r="C1067" s="462" t="str">
        <f>IFERROR(LEFT(PV_DATA[[#This Row],[TCL REFERENCE]],FIND(".",PV_DATA[[#This Row],[TCL REFERENCE]],1)-1),"Main Line")</f>
        <v>26Aug010</v>
      </c>
      <c r="D1067" s="945" t="s">
        <v>113</v>
      </c>
      <c r="E1067" s="462" t="s">
        <v>64</v>
      </c>
      <c r="F1067" s="462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7" s="462" t="s">
        <v>402</v>
      </c>
      <c r="H1067" s="462" t="s">
        <v>67</v>
      </c>
      <c r="I1067" s="462" t="s">
        <v>689</v>
      </c>
      <c r="J1067" s="430" t="s">
        <v>96</v>
      </c>
      <c r="K1067" s="623"/>
      <c r="L1067" s="623"/>
      <c r="M1067" s="430" t="s">
        <v>68</v>
      </c>
      <c r="N1067" s="1079"/>
      <c r="O1067" s="623" t="s">
        <v>4531</v>
      </c>
      <c r="P1067" s="623" t="s">
        <v>6235</v>
      </c>
      <c r="Q1067" s="623" t="s">
        <v>330</v>
      </c>
      <c r="R1067" s="430" t="str">
        <f>_xlfn.XLOOKUP(PV_DATA[[#This Row],[New Ark SKU]],Table9[New Ark SKU],Table9[Connector],,0)</f>
        <v>H4(Com)</v>
      </c>
      <c r="S1067" s="433" t="str">
        <f>_xlfn.XLOOKUP(PV_DATA[[#This Row],[New Ark SKU]],Table9[New Ark SKU],Table9[Cable],,0)</f>
        <v>+400mm/-200mm</v>
      </c>
      <c r="T1067" s="976">
        <v>625</v>
      </c>
      <c r="U1067" s="1088">
        <v>3600</v>
      </c>
      <c r="V1067" s="977">
        <f>PV_DATA[[#This Row],[QUANTITY]]*PV_DATA[[#This Row],[WATT]]/1000000</f>
        <v>2.25</v>
      </c>
      <c r="W1067" s="435">
        <f>PV_DATA[[#This Row],[QUANTITY]]/36</f>
        <v>100</v>
      </c>
      <c r="X1067" s="1221">
        <f>PV_DATA[[#This Row],[QUANTITY]]/PV_DATA[[#This Row],[Qty/CT]]</f>
        <v>5</v>
      </c>
      <c r="Y1067" s="430" t="s">
        <v>2469</v>
      </c>
      <c r="Z1067" s="430" t="str">
        <f t="shared" si="20"/>
        <v>IN-TRANSIT</v>
      </c>
      <c r="AA1067" s="623" t="s">
        <v>5853</v>
      </c>
      <c r="AB1067" s="978">
        <v>46279</v>
      </c>
      <c r="AC1067" s="1222">
        <f>IF(PV_DATA[[#This Row],[Pick- Up Date]]&lt;&gt;"",_xlfn.ISOWEEKNUM(PV_DATA[[#This Row],[Pick- Up Date]]),"")</f>
        <v>38</v>
      </c>
      <c r="AD1067" s="623" t="s">
        <v>6834</v>
      </c>
      <c r="AE1067" s="623"/>
      <c r="AF1067" s="623" t="s">
        <v>122</v>
      </c>
      <c r="AG1067" s="623" t="s">
        <v>122</v>
      </c>
      <c r="AH1067" s="430" t="s">
        <v>105</v>
      </c>
      <c r="AI1067" s="978">
        <v>46287</v>
      </c>
      <c r="AJ1067" s="978">
        <f>IFERROR(VLOOKUP(AT1067, Vessel!A:D, 4, FALSE), "")</f>
        <v>46294.166666666664</v>
      </c>
      <c r="AK1067" s="437">
        <v>46294</v>
      </c>
      <c r="AL1067" s="978">
        <v>46323</v>
      </c>
      <c r="AM1067" s="978">
        <f>IFERROR(VLOOKUP(AT1067, Vessel!A:H, 8, FALSE), "")</f>
        <v>46332.875</v>
      </c>
      <c r="AN1067" s="978" t="str">
        <f>IFERROR(IF(VLOOKUP(AT1067,Vessel!A:I,9,FALSE)=0,"",VLOOKUP(AT1067,Vessel!A:I,9,FALSE)),"")</f>
        <v/>
      </c>
      <c r="AO1067" s="623"/>
      <c r="AP1067" s="623" t="s">
        <v>6835</v>
      </c>
      <c r="AQ1067" s="1070" t="s">
        <v>80</v>
      </c>
      <c r="AR1067" s="623" t="s">
        <v>6836</v>
      </c>
      <c r="AS1067" s="623" t="s">
        <v>6837</v>
      </c>
      <c r="AT1067" s="430" t="s">
        <v>6837</v>
      </c>
      <c r="AU10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38.875</v>
      </c>
      <c r="AV1067" s="623"/>
      <c r="AW1067" s="978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46332.875</v>
      </c>
      <c r="AX106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978" t="str">
        <f>IF(ISERROR(PV_DATA[[#This Row],[New Ark PO status]]),"",_xlfn.XLOOKUP(PV_DATA[[#This Row],[SPTN-PVHK New Ark PO'#]],New_Ark_Data[Purchase order Number],New_Ark_Data[Estimated time of arrival],"",0))</f>
        <v/>
      </c>
      <c r="AZ1067" s="97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7" s="978">
        <f>IFERROR(PV_DATA[[#This Row],[ODP ETA Port]]+PV_DATA[[#This Row],[Customs/Leg3 Assumption]],"n/a")</f>
        <v>46339.875</v>
      </c>
      <c r="BB1067" s="433" t="s">
        <v>6536</v>
      </c>
      <c r="BC1067" s="433" t="s">
        <v>6536</v>
      </c>
      <c r="BD1067" s="623">
        <f>IFERROR(_xlfn.ISOWEEKNUM(PV_DATA[[#This Row],[ETA for New Ark update]]),0)</f>
        <v>46</v>
      </c>
      <c r="BE1067" s="623">
        <f>_xlfn.XLOOKUP(PV_DATA[[#This Row],[New Ark SKU]],Table9[New Ark SKU],Table9[Total PCS per Pallet],,0)</f>
        <v>36</v>
      </c>
      <c r="BF1067" s="623">
        <f>_xlfn.XLOOKUP(PV_DATA[[#This Row],[New Ark SKU]],Table9[New Ark SKU],Table9[Total PCS per 40HQ Container],,0)</f>
        <v>720</v>
      </c>
      <c r="BG1067" s="623" t="str">
        <f>_xlfn.XLOOKUP(PV_DATA[[#This Row],[New Ark SKU]],Table9[New Ark SKU],Table9[Back Glass],,0)</f>
        <v>Redirection Film</v>
      </c>
      <c r="BH1067" s="979" t="str">
        <f>_xlfn.XLOOKUP(PV_DATA[[#This Row],[PORT DESTINATION]],Table12[PORT DESTINATION],Table12[Cosco Line],,0)</f>
        <v>AEU</v>
      </c>
    </row>
    <row r="1068" spans="1:60" s="430" customFormat="1" ht="13.5" customHeight="1">
      <c r="A1068" s="729" t="s">
        <v>6838</v>
      </c>
      <c r="B1068" s="459" t="s">
        <v>1757</v>
      </c>
      <c r="C1068" s="462" t="str">
        <f>IFERROR(LEFT(PV_DATA[[#This Row],[TCL REFERENCE]],FIND(".",PV_DATA[[#This Row],[TCL REFERENCE]],1)-1),"Main Line")</f>
        <v>26Aug013</v>
      </c>
      <c r="D1068" s="945" t="s">
        <v>113</v>
      </c>
      <c r="E1068" s="462" t="s">
        <v>144</v>
      </c>
      <c r="F1068" s="462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8" s="462" t="s">
        <v>402</v>
      </c>
      <c r="H1068" s="462" t="s">
        <v>670</v>
      </c>
      <c r="I1068" s="462" t="s">
        <v>1395</v>
      </c>
      <c r="J1068" s="462" t="s">
        <v>670</v>
      </c>
      <c r="K1068" s="430" t="s">
        <v>6839</v>
      </c>
      <c r="L1068" s="430">
        <v>1</v>
      </c>
      <c r="M1068" s="430" t="s">
        <v>840</v>
      </c>
      <c r="N1068" s="432"/>
      <c r="O1068" s="430" t="s">
        <v>284</v>
      </c>
      <c r="P1068" s="430" t="s">
        <v>6840</v>
      </c>
      <c r="Q1068" s="430" t="s">
        <v>6841</v>
      </c>
      <c r="R1068" s="430" t="str">
        <f>_xlfn.XLOOKUP(PV_DATA[[#This Row],[New Ark SKU]],Table9[New Ark SKU],Table9[Connector],,0)</f>
        <v>EVO2A</v>
      </c>
      <c r="S1068" s="433" t="str">
        <f>_xlfn.XLOOKUP(PV_DATA[[#This Row],[New Ark SKU]],Table9[New Ark SKU],Table9[Cable],,0)</f>
        <v>±1200mm</v>
      </c>
      <c r="T1068" s="433">
        <v>490</v>
      </c>
      <c r="U1068" s="1088">
        <v>8424</v>
      </c>
      <c r="V1068" s="434">
        <f>PV_DATA[[#This Row],[QUANTITY]]*PV_DATA[[#This Row],[WATT]]/1000000</f>
        <v>4.1277600000000003</v>
      </c>
      <c r="W1068" s="981">
        <f>PV_DATA[[#This Row],[QUANTITY]]/36</f>
        <v>234</v>
      </c>
      <c r="X1068" s="1040">
        <f>PV_DATA[[#This Row],[QUANTITY]]/PV_DATA[[#This Row],[Qty/CT]]</f>
        <v>9</v>
      </c>
      <c r="Y1068" s="430" t="s">
        <v>2469</v>
      </c>
      <c r="Z1068" s="430" t="str">
        <f t="shared" si="20"/>
        <v>IN-TRANSIT</v>
      </c>
      <c r="AA1068" s="430" t="s">
        <v>6842</v>
      </c>
      <c r="AB1068" s="437">
        <v>46279</v>
      </c>
      <c r="AC1068" s="485">
        <f>IF(PV_DATA[[#This Row],[Pick- Up Date]]&lt;&gt;"",_xlfn.ISOWEEKNUM(PV_DATA[[#This Row],[Pick- Up Date]]),"")</f>
        <v>38</v>
      </c>
      <c r="AD1068" s="430" t="s">
        <v>6843</v>
      </c>
      <c r="AF1068" s="430" t="s">
        <v>122</v>
      </c>
      <c r="AG1068" s="430" t="s">
        <v>122</v>
      </c>
      <c r="AH1068" s="430" t="s">
        <v>105</v>
      </c>
      <c r="AI1068" s="437">
        <v>46288</v>
      </c>
      <c r="AJ1068" s="437">
        <f>IFERROR(VLOOKUP(AT1068, Vessel!A:D, 4, FALSE), "")</f>
        <v>46287.5</v>
      </c>
      <c r="AK1068" s="437">
        <f>IFERROR(IF(VLOOKUP(AT1068,Vessel!A:F,5,FALSE)=0,"",VLOOKUP(AT1068,Vessel!A:F,5,FALSE)),"")</f>
        <v>46287.427245370367</v>
      </c>
      <c r="AL1068" s="437">
        <v>46324</v>
      </c>
      <c r="AM1068" s="949">
        <f>IFERROR(VLOOKUP(AT1068, Vessel!A:H, 8, FALSE), "")</f>
        <v>46324.854166666664</v>
      </c>
      <c r="AN1068" s="949" t="str">
        <f>IFERROR(IF(VLOOKUP(AT1068,Vessel!A:I,9,FALSE)=0,"",VLOOKUP(AT1068,Vessel!A:I,9,FALSE)),"")</f>
        <v/>
      </c>
      <c r="AP1068" s="430" t="s">
        <v>6812</v>
      </c>
      <c r="AQ1068" s="438" t="s">
        <v>80</v>
      </c>
      <c r="AR1068" s="430" t="s">
        <v>6844</v>
      </c>
      <c r="AS1068" s="430" t="s">
        <v>6845</v>
      </c>
      <c r="AT1068" s="430" t="s">
        <v>6845</v>
      </c>
      <c r="AU10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37.426921296297223</v>
      </c>
      <c r="AW1068" s="437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46324.854166666664</v>
      </c>
      <c r="AX106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37" t="str">
        <f>IF(ISERROR(PV_DATA[[#This Row],[New Ark PO status]]),"",_xlfn.XLOOKUP(PV_DATA[[#This Row],[SPTN-PVHK New Ark PO'#]],New_Ark_Data[Purchase order Number],New_Ark_Data[Estimated time of arrival],"",0))</f>
        <v/>
      </c>
      <c r="AZ106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8" s="437">
        <f>IFERROR(PV_DATA[[#This Row],[ODP ETA Port]]+PV_DATA[[#This Row],[Customs/Leg3 Assumption]],"n/a")</f>
        <v>46324.854166666664</v>
      </c>
      <c r="BB1068" s="433">
        <f>YEAR(PV_DATA[[#This Row],[ETA for New Ark update]])</f>
        <v>2026</v>
      </c>
      <c r="BC1068" s="430">
        <f>MONTH(PV_DATA[[#This Row],[ETA for New Ark update]])</f>
        <v>10</v>
      </c>
      <c r="BD1068" s="430">
        <f>IFERROR(_xlfn.ISOWEEKNUM(PV_DATA[[#This Row],[ETA for New Ark update]]),0)</f>
        <v>44</v>
      </c>
      <c r="BE1068" s="430">
        <f>_xlfn.XLOOKUP(PV_DATA[[#This Row],[New Ark SKU]],Table9[New Ark SKU],Table9[Total PCS per Pallet],,0)</f>
        <v>36</v>
      </c>
      <c r="BF1068" s="430">
        <f>_xlfn.XLOOKUP(PV_DATA[[#This Row],[New Ark SKU]],Table9[New Ark SKU],Table9[Total PCS per 40HQ Container],,0)</f>
        <v>936</v>
      </c>
      <c r="BG1068" s="430" t="str">
        <f>_xlfn.XLOOKUP(PV_DATA[[#This Row],[New Ark SKU]],Table9[New Ark SKU],Table9[Back Glass],,0)</f>
        <v>Black glazing</v>
      </c>
      <c r="BH1068" s="610" t="str">
        <f>_xlfn.XLOOKUP(PV_DATA[[#This Row],[PORT DESTINATION]],Table12[PORT DESTINATION],Table12[Cosco Line],,0)</f>
        <v>AEU</v>
      </c>
    </row>
    <row r="1069" spans="1:60" s="430" customFormat="1" ht="10.5">
      <c r="A1069" s="462" t="s">
        <v>6846</v>
      </c>
      <c r="B1069" s="459" t="s">
        <v>1757</v>
      </c>
      <c r="C1069" s="462" t="str">
        <f>IFERROR(LEFT(PV_DATA[[#This Row],[TCL REFERENCE]],FIND(".",PV_DATA[[#This Row],[TCL REFERENCE]],1)-1),"Main Line")</f>
        <v>26Aug014</v>
      </c>
      <c r="D1069" s="462" t="s">
        <v>113</v>
      </c>
      <c r="E1069" s="462" t="s">
        <v>144</v>
      </c>
      <c r="F1069" s="462" t="str" cm="1">
        <f t="array" ref="F10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9" s="462" t="s">
        <v>402</v>
      </c>
      <c r="H1069" s="462" t="s">
        <v>670</v>
      </c>
      <c r="I1069" s="462" t="s">
        <v>1395</v>
      </c>
      <c r="J1069" s="462" t="s">
        <v>670</v>
      </c>
      <c r="K1069" s="430" t="s">
        <v>6839</v>
      </c>
      <c r="L1069" s="430">
        <v>5</v>
      </c>
      <c r="M1069" s="430" t="s">
        <v>840</v>
      </c>
      <c r="N1069" s="432"/>
      <c r="O1069" s="430" t="s">
        <v>284</v>
      </c>
      <c r="P1069" s="430" t="s">
        <v>6847</v>
      </c>
      <c r="Q1069" s="430" t="s">
        <v>6848</v>
      </c>
      <c r="R1069" s="430" t="str">
        <f>_xlfn.XLOOKUP(PV_DATA[[#This Row],[New Ark SKU]],Table9[New Ark SKU],Table9[Connector],,0)</f>
        <v>EVO2A</v>
      </c>
      <c r="S1069" s="433" t="str">
        <f>_xlfn.XLOOKUP(PV_DATA[[#This Row],[New Ark SKU]],Table9[New Ark SKU],Table9[Cable],,0)</f>
        <v>±1200mm</v>
      </c>
      <c r="T1069" s="433">
        <v>485</v>
      </c>
      <c r="U1069" s="1088">
        <v>1872</v>
      </c>
      <c r="V1069" s="434">
        <f>PV_DATA[[#This Row],[QUANTITY]]*PV_DATA[[#This Row],[WATT]]/1000000</f>
        <v>0.90791999999999995</v>
      </c>
      <c r="W1069" s="435">
        <f>PV_DATA[[#This Row],[QUANTITY]]/36</f>
        <v>52</v>
      </c>
      <c r="X1069" s="1040">
        <f>PV_DATA[[#This Row],[QUANTITY]]/PV_DATA[[#This Row],[Qty/CT]]</f>
        <v>2</v>
      </c>
      <c r="Y1069" s="430" t="s">
        <v>2469</v>
      </c>
      <c r="Z1069" s="430" t="str">
        <f t="shared" si="20"/>
        <v>IN-TRANSIT</v>
      </c>
      <c r="AA1069" s="430" t="s">
        <v>6842</v>
      </c>
      <c r="AB1069" s="437">
        <v>46279</v>
      </c>
      <c r="AC1069" s="485">
        <f>IF(PV_DATA[[#This Row],[Pick- Up Date]]&lt;&gt;"",_xlfn.ISOWEEKNUM(PV_DATA[[#This Row],[Pick- Up Date]]),"")</f>
        <v>38</v>
      </c>
      <c r="AD1069" s="430" t="s">
        <v>6849</v>
      </c>
      <c r="AF1069" s="430" t="s">
        <v>122</v>
      </c>
      <c r="AG1069" s="430" t="s">
        <v>122</v>
      </c>
      <c r="AH1069" s="430" t="s">
        <v>105</v>
      </c>
      <c r="AI1069" s="437">
        <v>46288</v>
      </c>
      <c r="AJ1069" s="437">
        <f>IFERROR(VLOOKUP(AT1069, Vessel!A:D, 4, FALSE), "")</f>
        <v>46287.5</v>
      </c>
      <c r="AK1069" s="437">
        <f>IFERROR(IF(VLOOKUP(AT1069,Vessel!A:F,5,FALSE)=0,"",VLOOKUP(AT1069,Vessel!A:F,5,FALSE)),"")</f>
        <v>46287.427245370367</v>
      </c>
      <c r="AL1069" s="437">
        <v>46324</v>
      </c>
      <c r="AM1069" s="949">
        <f>IFERROR(VLOOKUP(AT1069, Vessel!A:H, 8, FALSE), "")</f>
        <v>46324.854166666664</v>
      </c>
      <c r="AN1069" s="949" t="str">
        <f>IFERROR(IF(VLOOKUP(AT1069,Vessel!A:I,9,FALSE)=0,"",VLOOKUP(AT1069,Vessel!A:I,9,FALSE)),"")</f>
        <v/>
      </c>
      <c r="AP1069" s="430" t="s">
        <v>6812</v>
      </c>
      <c r="AQ1069" s="438" t="s">
        <v>80</v>
      </c>
      <c r="AR1069" s="430" t="s">
        <v>6844</v>
      </c>
      <c r="AS1069" s="430" t="s">
        <v>6845</v>
      </c>
      <c r="AT1069" s="430" t="s">
        <v>6845</v>
      </c>
      <c r="AU10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37.426921296297223</v>
      </c>
      <c r="AW1069" s="437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46324.854166666664</v>
      </c>
      <c r="AX106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37" t="str">
        <f>IF(ISERROR(PV_DATA[[#This Row],[New Ark PO status]]),"",_xlfn.XLOOKUP(PV_DATA[[#This Row],[SPTN-PVHK New Ark PO'#]],New_Ark_Data[Purchase order Number],New_Ark_Data[Estimated time of arrival],"",0))</f>
        <v/>
      </c>
      <c r="AZ106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9" s="437">
        <f>IFERROR(PV_DATA[[#This Row],[ODP ETA Port]]+PV_DATA[[#This Row],[Customs/Leg3 Assumption]],"n/a")</f>
        <v>46324.854166666664</v>
      </c>
      <c r="BB1069" s="433">
        <f>YEAR(PV_DATA[[#This Row],[ETA for New Ark update]])</f>
        <v>2026</v>
      </c>
      <c r="BC1069" s="430">
        <f>MONTH(PV_DATA[[#This Row],[ETA for New Ark update]])</f>
        <v>10</v>
      </c>
      <c r="BD1069" s="430">
        <f>IFERROR(_xlfn.ISOWEEKNUM(PV_DATA[[#This Row],[ETA for New Ark update]]),0)</f>
        <v>44</v>
      </c>
      <c r="BE1069" s="430">
        <f>_xlfn.XLOOKUP(PV_DATA[[#This Row],[New Ark SKU]],Table9[New Ark SKU],Table9[Total PCS per Pallet],,0)</f>
        <v>36</v>
      </c>
      <c r="BF1069" s="430">
        <f>_xlfn.XLOOKUP(PV_DATA[[#This Row],[New Ark SKU]],Table9[New Ark SKU],Table9[Total PCS per 40HQ Container],,0)</f>
        <v>936</v>
      </c>
      <c r="BG1069" s="430" t="str">
        <f>_xlfn.XLOOKUP(PV_DATA[[#This Row],[New Ark SKU]],Table9[New Ark SKU],Table9[Back Glass],,0)</f>
        <v>Black glazing</v>
      </c>
      <c r="BH1069" s="430" t="str">
        <f>_xlfn.XLOOKUP(PV_DATA[[#This Row],[PORT DESTINATION]],Table12[PORT DESTINATION],Table12[Cosco Line],,0)</f>
        <v>AEU</v>
      </c>
    </row>
    <row r="1070" spans="1:60" s="430" customFormat="1" ht="10.5">
      <c r="A1070" s="729" t="s">
        <v>6850</v>
      </c>
      <c r="B1070" s="462" t="s">
        <v>1757</v>
      </c>
      <c r="C1070" s="462" t="str">
        <f>IFERROR(LEFT(PV_DATA[[#This Row],[TCL REFERENCE]],FIND(".",PV_DATA[[#This Row],[TCL REFERENCE]],1)-1),"Main Line")</f>
        <v>26Aug014</v>
      </c>
      <c r="D1070" s="462" t="s">
        <v>113</v>
      </c>
      <c r="E1070" s="462" t="s">
        <v>144</v>
      </c>
      <c r="F1070" s="462" t="str" cm="1">
        <f t="array" ref="F10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0" s="462" t="s">
        <v>402</v>
      </c>
      <c r="H1070" s="462" t="s">
        <v>670</v>
      </c>
      <c r="I1070" s="462" t="s">
        <v>1395</v>
      </c>
      <c r="J1070" s="462" t="s">
        <v>670</v>
      </c>
      <c r="K1070" s="430" t="s">
        <v>6839</v>
      </c>
      <c r="L1070" s="430">
        <v>4</v>
      </c>
      <c r="M1070" s="430" t="s">
        <v>840</v>
      </c>
      <c r="N1070" s="432"/>
      <c r="O1070" s="430" t="s">
        <v>284</v>
      </c>
      <c r="P1070" s="430" t="s">
        <v>6847</v>
      </c>
      <c r="Q1070" s="430" t="s">
        <v>6848</v>
      </c>
      <c r="R1070" s="430" t="str">
        <f>_xlfn.XLOOKUP(PV_DATA[[#This Row],[New Ark SKU]],Table9[New Ark SKU],Table9[Connector],,0)</f>
        <v>EVO2A</v>
      </c>
      <c r="S1070" s="433" t="str">
        <f>_xlfn.XLOOKUP(PV_DATA[[#This Row],[New Ark SKU]],Table9[New Ark SKU],Table9[Cable],,0)</f>
        <v>±1200mm</v>
      </c>
      <c r="T1070" s="433">
        <v>485</v>
      </c>
      <c r="U1070" s="1088">
        <f>936*8</f>
        <v>7488</v>
      </c>
      <c r="V1070" s="434">
        <f>PV_DATA[[#This Row],[QUANTITY]]*PV_DATA[[#This Row],[WATT]]/1000000</f>
        <v>3.6316799999999998</v>
      </c>
      <c r="W1070" s="435">
        <f>PV_DATA[[#This Row],[QUANTITY]]/36</f>
        <v>208</v>
      </c>
      <c r="X1070" s="1040">
        <f>PV_DATA[[#This Row],[QUANTITY]]/PV_DATA[[#This Row],[Qty/CT]]</f>
        <v>8</v>
      </c>
      <c r="Y1070" s="430" t="s">
        <v>2468</v>
      </c>
      <c r="Z1070" s="430" t="str">
        <f t="shared" si="20"/>
        <v>IN-TRANSIT</v>
      </c>
      <c r="AA1070" s="430" t="s">
        <v>6851</v>
      </c>
      <c r="AB1070" s="437">
        <v>46283</v>
      </c>
      <c r="AC1070" s="485">
        <f>IF(PV_DATA[[#This Row],[Pick- Up Date]]&lt;&gt;"",_xlfn.ISOWEEKNUM(PV_DATA[[#This Row],[Pick- Up Date]]),"")</f>
        <v>38</v>
      </c>
      <c r="AD1070" s="430" t="s">
        <v>6852</v>
      </c>
      <c r="AF1070" s="430" t="s">
        <v>122</v>
      </c>
      <c r="AG1070" s="430" t="s">
        <v>122</v>
      </c>
      <c r="AH1070" s="430" t="s">
        <v>105</v>
      </c>
      <c r="AI1070" s="437">
        <v>46290</v>
      </c>
      <c r="AJ1070" s="437">
        <f>IFERROR(VLOOKUP(AT1070, Vessel!A:D, 4, FALSE), "")</f>
        <v>46294.166666666664</v>
      </c>
      <c r="AK1070" s="437">
        <v>46294</v>
      </c>
      <c r="AL1070" s="437">
        <v>46333</v>
      </c>
      <c r="AM1070" s="949">
        <f>IFERROR(VLOOKUP(AT1070, Vessel!A:H, 8, FALSE), "")</f>
        <v>46332.875</v>
      </c>
      <c r="AN1070" s="949" t="str">
        <f>IFERROR(IF(VLOOKUP(AT1070,Vessel!A:I,9,FALSE)=0,"",VLOOKUP(AT1070,Vessel!A:I,9,FALSE)),"")</f>
        <v/>
      </c>
      <c r="AP1070" s="430" t="s">
        <v>6853</v>
      </c>
      <c r="AQ1070" s="438" t="s">
        <v>80</v>
      </c>
      <c r="AR1070" s="430" t="s">
        <v>6854</v>
      </c>
      <c r="AS1070" s="430" t="s">
        <v>6855</v>
      </c>
      <c r="AT1070" s="430" t="s">
        <v>6855</v>
      </c>
      <c r="AU10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38.875</v>
      </c>
      <c r="AW1070" s="437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46332.875</v>
      </c>
      <c r="AX107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37" t="str">
        <f>IF(ISERROR(PV_DATA[[#This Row],[New Ark PO status]]),"",_xlfn.XLOOKUP(PV_DATA[[#This Row],[SPTN-PVHK New Ark PO'#]],New_Ark_Data[Purchase order Number],New_Ark_Data[Estimated time of arrival],"",0))</f>
        <v/>
      </c>
      <c r="AZ107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0" s="437">
        <f>IFERROR(PV_DATA[[#This Row],[ODP ETA Port]]+PV_DATA[[#This Row],[Customs/Leg3 Assumption]],"n/a")</f>
        <v>46332.875</v>
      </c>
      <c r="BB1070" s="433">
        <f>YEAR(PV_DATA[[#This Row],[ETA for New Ark update]])</f>
        <v>2026</v>
      </c>
      <c r="BC1070" s="430">
        <f>MONTH(PV_DATA[[#This Row],[ETA for New Ark update]])</f>
        <v>11</v>
      </c>
      <c r="BD1070" s="430">
        <f>IFERROR(_xlfn.ISOWEEKNUM(PV_DATA[[#This Row],[ETA for New Ark update]]),0)</f>
        <v>45</v>
      </c>
      <c r="BE1070" s="430">
        <f>_xlfn.XLOOKUP(PV_DATA[[#This Row],[New Ark SKU]],Table9[New Ark SKU],Table9[Total PCS per Pallet],,0)</f>
        <v>36</v>
      </c>
      <c r="BF1070" s="430">
        <f>_xlfn.XLOOKUP(PV_DATA[[#This Row],[New Ark SKU]],Table9[New Ark SKU],Table9[Total PCS per 40HQ Container],,0)</f>
        <v>936</v>
      </c>
      <c r="BG1070" s="430" t="str">
        <f>_xlfn.XLOOKUP(PV_DATA[[#This Row],[New Ark SKU]],Table9[New Ark SKU],Table9[Back Glass],,0)</f>
        <v>Black glazing</v>
      </c>
      <c r="BH1070" s="610" t="str">
        <f>_xlfn.XLOOKUP(PV_DATA[[#This Row],[PORT DESTINATION]],Table12[PORT DESTINATION],Table12[Cosco Line],,0)</f>
        <v>AEU</v>
      </c>
    </row>
    <row r="1071" spans="1:60" s="430" customFormat="1" ht="13.5" customHeight="1">
      <c r="A1071" s="729" t="s">
        <v>6856</v>
      </c>
      <c r="B1071" s="462" t="s">
        <v>111</v>
      </c>
      <c r="C1071" s="462" t="str">
        <f>IFERROR(LEFT(PV_DATA[[#This Row],[TCL REFERENCE]],FIND(".",PV_DATA[[#This Row],[TCL REFERENCE]],1)-1),"Main Line")</f>
        <v>26Aug016</v>
      </c>
      <c r="D1071" s="462" t="s">
        <v>63</v>
      </c>
      <c r="E1071" s="462" t="s">
        <v>64</v>
      </c>
      <c r="F1071" s="462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71" s="462" t="s">
        <v>402</v>
      </c>
      <c r="H1071" s="462" t="s">
        <v>311</v>
      </c>
      <c r="I1071" s="462" t="s">
        <v>689</v>
      </c>
      <c r="J1071" s="430" t="s">
        <v>96</v>
      </c>
      <c r="M1071" s="430" t="s">
        <v>68</v>
      </c>
      <c r="N1071" s="432">
        <v>46282</v>
      </c>
      <c r="O1071" s="430" t="s">
        <v>550</v>
      </c>
      <c r="P1071" s="430" t="s">
        <v>2134</v>
      </c>
      <c r="Q1071" s="430" t="s">
        <v>2135</v>
      </c>
      <c r="R1071" s="430" t="str">
        <f>_xlfn.XLOOKUP(PV_DATA[[#This Row],[New Ark SKU]],Table9[New Ark SKU],Table9[Connector],,0)</f>
        <v>EVO2A</v>
      </c>
      <c r="S1071" s="433" t="str">
        <f>_xlfn.XLOOKUP(PV_DATA[[#This Row],[New Ark SKU]],Table9[New Ark SKU],Table9[Cable],,0)</f>
        <v>±1350mm</v>
      </c>
      <c r="T1071" s="433">
        <v>515</v>
      </c>
      <c r="U1071" s="1088">
        <f>792*4</f>
        <v>3168</v>
      </c>
      <c r="V1071" s="434">
        <f>PV_DATA[[#This Row],[QUANTITY]]*PV_DATA[[#This Row],[WATT]]/1000000</f>
        <v>1.6315200000000001</v>
      </c>
      <c r="W1071" s="435">
        <f>PV_DATA[[#This Row],[QUANTITY]]/PV_DATA[[#This Row],[Qty/Pallet]]</f>
        <v>88</v>
      </c>
      <c r="X1071" s="1040">
        <f>PV_DATA[[#This Row],[QUANTITY]]/PV_DATA[[#This Row],[Qty/CT]]</f>
        <v>4</v>
      </c>
      <c r="Y1071" s="430" t="s">
        <v>2469</v>
      </c>
      <c r="Z1071" s="430" t="str">
        <f t="shared" si="20"/>
        <v>IN-TRANSIT</v>
      </c>
      <c r="AA1071" s="545">
        <v>46283</v>
      </c>
      <c r="AB1071" s="437">
        <v>46283</v>
      </c>
      <c r="AC1071" s="485">
        <f>IF(PV_DATA[[#This Row],[Pick- Up Date]]&lt;&gt;"",_xlfn.ISOWEEKNUM(PV_DATA[[#This Row],[Pick- Up Date]]),"")</f>
        <v>38</v>
      </c>
      <c r="AD1071" s="430" t="s">
        <v>6857</v>
      </c>
      <c r="AF1071" s="430" t="s">
        <v>122</v>
      </c>
      <c r="AG1071" s="430" t="s">
        <v>122</v>
      </c>
      <c r="AH1071" s="430" t="s">
        <v>314</v>
      </c>
      <c r="AI1071" s="437">
        <v>46292</v>
      </c>
      <c r="AJ1071" s="437">
        <f>IFERROR(VLOOKUP(AT1071, Vessel!A:D, 4, FALSE), "")</f>
        <v>46292.791666666664</v>
      </c>
      <c r="AK1071" s="437">
        <f>IFERROR(IF(VLOOKUP(AT1071,Vessel!A:F,5,FALSE)=0,"",VLOOKUP(AT1071,Vessel!A:F,5,FALSE)),"")</f>
        <v>46292.810983796298</v>
      </c>
      <c r="AL1071" s="437">
        <v>46337</v>
      </c>
      <c r="AM1071" s="949">
        <f>IFERROR(VLOOKUP(AT1071, Vessel!A:H, 8, FALSE), "")</f>
        <v>46341</v>
      </c>
      <c r="AN1071" s="949" t="str">
        <f>IFERROR(IF(VLOOKUP(AT1071,Vessel!A:I,9,FALSE)=0,"",VLOOKUP(AT1071,Vessel!A:I,9,FALSE)),"")</f>
        <v/>
      </c>
      <c r="AP1071" s="430" t="s">
        <v>6858</v>
      </c>
      <c r="AQ1071" s="438" t="s">
        <v>80</v>
      </c>
      <c r="AR1071" s="430" t="s">
        <v>6859</v>
      </c>
      <c r="AS1071" s="430" t="s">
        <v>6860</v>
      </c>
      <c r="AT1071" s="430" t="s">
        <v>6860</v>
      </c>
      <c r="AU10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48.189016203701613</v>
      </c>
      <c r="AW1071" s="437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7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37" t="str">
        <f>IF(ISERROR(PV_DATA[[#This Row],[New Ark PO status]]),"",_xlfn.XLOOKUP(PV_DATA[[#This Row],[SPTN-PVHK New Ark PO'#]],New_Ark_Data[Purchase order Number],New_Ark_Data[Estimated time of arrival],"",0))</f>
        <v/>
      </c>
      <c r="AZ107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71" s="437">
        <f>IFERROR(PV_DATA[[#This Row],[ODP ETA Port]]+PV_DATA[[#This Row],[Customs/Leg3 Assumption]],"n/a")</f>
        <v>46351</v>
      </c>
      <c r="BB1071" s="433" t="s">
        <v>6536</v>
      </c>
      <c r="BC1071" s="433" t="s">
        <v>6536</v>
      </c>
      <c r="BD1071" s="430">
        <f>IFERROR(_xlfn.ISOWEEKNUM(PV_DATA[[#This Row],[ETA for New Ark update]]),0)</f>
        <v>48</v>
      </c>
      <c r="BE1071" s="430">
        <f>_xlfn.XLOOKUP(PV_DATA[[#This Row],[New Ark SKU]],Table9[New Ark SKU],Table9[Total PCS per Pallet],,0)</f>
        <v>36</v>
      </c>
      <c r="BF1071" s="430">
        <f>_xlfn.XLOOKUP(PV_DATA[[#This Row],[New Ark SKU]],Table9[New Ark SKU],Table9[Total PCS per 40HQ Container],,0)</f>
        <v>792</v>
      </c>
      <c r="BG1071" s="430" t="str">
        <f>_xlfn.XLOOKUP(PV_DATA[[#This Row],[New Ark SKU]],Table9[New Ark SKU],Table9[Back Glass],,0)</f>
        <v>Black glazing</v>
      </c>
      <c r="BH1071" s="610" t="str">
        <f>_xlfn.XLOOKUP(PV_DATA[[#This Row],[PORT DESTINATION]],Table12[PORT DESTINATION],Table12[Cosco Line],,0)</f>
        <v>AEM</v>
      </c>
    </row>
    <row r="1072" spans="1:60" s="430" customFormat="1" ht="10.5">
      <c r="A1072" s="729" t="s">
        <v>6861</v>
      </c>
      <c r="B1072" s="459" t="s">
        <v>6661</v>
      </c>
      <c r="C1072" s="462" t="str">
        <f>IFERROR(LEFT(PV_DATA[[#This Row],[TCL REFERENCE]],FIND(".",PV_DATA[[#This Row],[TCL REFERENCE]],1)-1),"Main Line")</f>
        <v>26Aug005</v>
      </c>
      <c r="D1072" s="462" t="s">
        <v>63</v>
      </c>
      <c r="E1072" s="462" t="s">
        <v>64</v>
      </c>
      <c r="F1072" s="462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2" s="462" t="s">
        <v>402</v>
      </c>
      <c r="H1072" s="462" t="s">
        <v>67</v>
      </c>
      <c r="I1072" s="462" t="s">
        <v>689</v>
      </c>
      <c r="J1072" s="430" t="s">
        <v>96</v>
      </c>
      <c r="M1072" s="430" t="s">
        <v>6315</v>
      </c>
      <c r="N1072" s="432">
        <v>46258</v>
      </c>
      <c r="O1072" s="430" t="s">
        <v>4531</v>
      </c>
      <c r="P1072" s="430" t="s">
        <v>706</v>
      </c>
      <c r="Q1072" s="430" t="s">
        <v>707</v>
      </c>
      <c r="R1072" s="430" t="str">
        <f>_xlfn.XLOOKUP(PV_DATA[[#This Row],[New Ark SKU]],Table9[New Ark SKU],Table9[Connector],,0)</f>
        <v>EVO2A</v>
      </c>
      <c r="S1072" s="433" t="str">
        <f>_xlfn.XLOOKUP(PV_DATA[[#This Row],[New Ark SKU]],Table9[New Ark SKU],Table9[Cable],,0)</f>
        <v>±1200mm</v>
      </c>
      <c r="T1072" s="433">
        <v>500</v>
      </c>
      <c r="U1072" s="1088">
        <v>3456</v>
      </c>
      <c r="V1072" s="434">
        <f>PV_DATA[[#This Row],[QUANTITY]]*PV_DATA[[#This Row],[WATT]]/1000000</f>
        <v>1.728</v>
      </c>
      <c r="W1072" s="435">
        <f>PV_DATA[[#This Row],[QUANTITY]]/PV_DATA[[#This Row],[Qty/Pallet]]</f>
        <v>96</v>
      </c>
      <c r="X1072" s="1040">
        <f>PV_DATA[[#This Row],[QUANTITY]]/PV_DATA[[#This Row],[Qty/CT]]</f>
        <v>4</v>
      </c>
      <c r="Y1072" s="430" t="s">
        <v>2468</v>
      </c>
      <c r="Z1072" s="430" t="str">
        <f t="shared" si="20"/>
        <v>IN-TRANSIT</v>
      </c>
      <c r="AA1072" s="545">
        <v>46280</v>
      </c>
      <c r="AB1072" s="437">
        <v>46279</v>
      </c>
      <c r="AC1072" s="485">
        <f>IF(PV_DATA[[#This Row],[Pick- Up Date]]&lt;&gt;"",_xlfn.ISOWEEKNUM(PV_DATA[[#This Row],[Pick- Up Date]]),"")</f>
        <v>38</v>
      </c>
      <c r="AD1072" s="430" t="s">
        <v>6862</v>
      </c>
      <c r="AF1072" s="430" t="s">
        <v>122</v>
      </c>
      <c r="AG1072" s="430" t="s">
        <v>123</v>
      </c>
      <c r="AH1072" s="430" t="s">
        <v>78</v>
      </c>
      <c r="AI1072" s="437">
        <v>46288</v>
      </c>
      <c r="AJ1072" s="437">
        <f>IFERROR(VLOOKUP(AT1072, Vessel!A:D, 4, FALSE), "")</f>
        <v>46289.583333333336</v>
      </c>
      <c r="AK1072" s="437">
        <v>46289.583333333336</v>
      </c>
      <c r="AL1072" s="437">
        <v>46330</v>
      </c>
      <c r="AM1072" s="949">
        <f>IFERROR(VLOOKUP(AT1072, Vessel!A:H, 8, FALSE), "")</f>
        <v>46330.25</v>
      </c>
      <c r="AN1072" s="949" t="str">
        <f>IFERROR(IF(VLOOKUP(AT1072,Vessel!A:I,9,FALSE)=0,"",VLOOKUP(AT1072,Vessel!A:I,9,FALSE)),"")</f>
        <v/>
      </c>
      <c r="AP1072" s="430" t="s">
        <v>6863</v>
      </c>
      <c r="AQ1072" s="438" t="s">
        <v>80</v>
      </c>
      <c r="AR1072" s="430" t="s">
        <v>6864</v>
      </c>
      <c r="AS1072" s="430" t="s">
        <v>6865</v>
      </c>
      <c r="AT1072" s="430" t="s">
        <v>6865</v>
      </c>
      <c r="AU10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40.666666666664241</v>
      </c>
      <c r="AW1072" s="437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07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37" t="str">
        <f>IF(ISERROR(PV_DATA[[#This Row],[New Ark PO status]]),"",_xlfn.XLOOKUP(PV_DATA[[#This Row],[SPTN-PVHK New Ark PO'#]],New_Ark_Data[Purchase order Number],New_Ark_Data[Estimated time of arrival],"",0))</f>
        <v/>
      </c>
      <c r="AZ107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2" s="437">
        <f>IFERROR(PV_DATA[[#This Row],[ODP ETA Port]]+PV_DATA[[#This Row],[Customs/Leg3 Assumption]],"n/a")</f>
        <v>46338.25</v>
      </c>
      <c r="BB1072" s="433">
        <f>YEAR(PV_DATA[[#This Row],[ETA for New Ark update]])</f>
        <v>2026</v>
      </c>
      <c r="BC1072" s="430">
        <f>MONTH(PV_DATA[[#This Row],[ETA for New Ark update]])</f>
        <v>11</v>
      </c>
      <c r="BD1072" s="430">
        <f>IFERROR(_xlfn.ISOWEEKNUM(PV_DATA[[#This Row],[ETA for New Ark update]]),0)</f>
        <v>46</v>
      </c>
      <c r="BE1072" s="430">
        <f>_xlfn.XLOOKUP(PV_DATA[[#This Row],[New Ark SKU]],Table9[New Ark SKU],Table9[Total PCS per Pallet],,0)</f>
        <v>36</v>
      </c>
      <c r="BF1072" s="430">
        <f>_xlfn.XLOOKUP(PV_DATA[[#This Row],[New Ark SKU]],Table9[New Ark SKU],Table9[Total PCS per 40HQ Container],,0)</f>
        <v>864</v>
      </c>
      <c r="BG1072" s="430" t="str">
        <f>_xlfn.XLOOKUP(PV_DATA[[#This Row],[New Ark SKU]],Table9[New Ark SKU],Table9[Back Glass],,0)</f>
        <v>Black glazing</v>
      </c>
      <c r="BH1072" s="610" t="str">
        <f>_xlfn.XLOOKUP(PV_DATA[[#This Row],[PORT DESTINATION]],Table12[PORT DESTINATION],Table12[Cosco Line],,0)</f>
        <v>AEM</v>
      </c>
    </row>
    <row r="1073" spans="1:60" s="430" customFormat="1" ht="13.5" customHeight="1">
      <c r="A1073" s="729" t="s">
        <v>6866</v>
      </c>
      <c r="B1073" s="459" t="s">
        <v>111</v>
      </c>
      <c r="C1073" s="462" t="str">
        <f>IFERROR(LEFT(PV_DATA[[#This Row],[TCL REFERENCE]],FIND(".",PV_DATA[[#This Row],[TCL REFERENCE]],1)-1),"Main Line")</f>
        <v>26Aug015</v>
      </c>
      <c r="D1073" s="462" t="s">
        <v>63</v>
      </c>
      <c r="E1073" s="462" t="s">
        <v>64</v>
      </c>
      <c r="F1073" s="462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3" s="462" t="s">
        <v>402</v>
      </c>
      <c r="H1073" s="462" t="s">
        <v>67</v>
      </c>
      <c r="I1073" s="462" t="s">
        <v>689</v>
      </c>
      <c r="J1073" s="430" t="s">
        <v>96</v>
      </c>
      <c r="M1073" s="430" t="s">
        <v>68</v>
      </c>
      <c r="N1073" s="432">
        <v>46285</v>
      </c>
      <c r="O1073" s="430" t="s">
        <v>550</v>
      </c>
      <c r="P1073" s="430" t="s">
        <v>551</v>
      </c>
      <c r="Q1073" s="430" t="s">
        <v>2151</v>
      </c>
      <c r="R1073" s="430" t="str">
        <f>_xlfn.XLOOKUP(PV_DATA[[#This Row],[New Ark SKU]],Table9[New Ark SKU],Table9[Connector],,0)</f>
        <v>EVO2A</v>
      </c>
      <c r="S1073" s="433" t="str">
        <f>_xlfn.XLOOKUP(PV_DATA[[#This Row],[New Ark SKU]],Table9[New Ark SKU],Table9[Cable],,0)</f>
        <v>±1350mm</v>
      </c>
      <c r="T1073" s="433">
        <v>510</v>
      </c>
      <c r="U1073" s="1088">
        <v>3168</v>
      </c>
      <c r="V1073" s="434">
        <f>PV_DATA[[#This Row],[QUANTITY]]*PV_DATA[[#This Row],[WATT]]/1000000</f>
        <v>1.61568</v>
      </c>
      <c r="W1073" s="435">
        <f>PV_DATA[[#This Row],[QUANTITY]]/PV_DATA[[#This Row],[Qty/Pallet]]</f>
        <v>88</v>
      </c>
      <c r="X1073" s="1040">
        <f>PV_DATA[[#This Row],[QUANTITY]]/PV_DATA[[#This Row],[Qty/CT]]</f>
        <v>4</v>
      </c>
      <c r="Y1073" s="430" t="s">
        <v>2470</v>
      </c>
      <c r="Z1073" s="430" t="str">
        <f t="shared" si="20"/>
        <v>IN-TRANSIT</v>
      </c>
      <c r="AA1073" s="545">
        <v>46282</v>
      </c>
      <c r="AB1073" s="437">
        <v>46282</v>
      </c>
      <c r="AC1073" s="485">
        <f>IF(PV_DATA[[#This Row],[Pick- Up Date]]&lt;&gt;"",_xlfn.ISOWEEKNUM(PV_DATA[[#This Row],[Pick- Up Date]]),"")</f>
        <v>38</v>
      </c>
      <c r="AD1073" s="430" t="s">
        <v>6867</v>
      </c>
      <c r="AF1073" s="430" t="s">
        <v>122</v>
      </c>
      <c r="AG1073" s="430" t="s">
        <v>122</v>
      </c>
      <c r="AH1073" s="430" t="s">
        <v>78</v>
      </c>
      <c r="AI1073" s="437">
        <v>46292</v>
      </c>
      <c r="AJ1073" s="437">
        <f>IFERROR(VLOOKUP(AT1073, Vessel!A:D, 4, FALSE), "")</f>
        <v>46292.791666666664</v>
      </c>
      <c r="AK1073" s="437">
        <f>IFERROR(IF(VLOOKUP(AT1073,Vessel!A:F,5,FALSE)=0,"",VLOOKUP(AT1073,Vessel!A:F,5,FALSE)),"")</f>
        <v>46292.810983796298</v>
      </c>
      <c r="AL1073" s="437">
        <v>46342</v>
      </c>
      <c r="AM1073" s="949">
        <f>IFERROR(VLOOKUP(AT1073, Vessel!A:H, 8, FALSE), "")</f>
        <v>46343.75</v>
      </c>
      <c r="AN1073" s="949" t="str">
        <f>IFERROR(IF(VLOOKUP(AT1073,Vessel!A:I,9,FALSE)=0,"",VLOOKUP(AT1073,Vessel!A:I,9,FALSE)),"")</f>
        <v/>
      </c>
      <c r="AP1073" s="430" t="s">
        <v>6858</v>
      </c>
      <c r="AQ1073" s="438" t="s">
        <v>80</v>
      </c>
      <c r="AR1073" s="430" t="s">
        <v>6868</v>
      </c>
      <c r="AS1073" s="430" t="s">
        <v>6869</v>
      </c>
      <c r="AT1073" s="430" t="s">
        <v>6869</v>
      </c>
      <c r="AU10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50.939016203701613</v>
      </c>
      <c r="AW1073" s="437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46343.75</v>
      </c>
      <c r="AX107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37" t="str">
        <f>IF(ISERROR(PV_DATA[[#This Row],[New Ark PO status]]),"",_xlfn.XLOOKUP(PV_DATA[[#This Row],[SPTN-PVHK New Ark PO'#]],New_Ark_Data[Purchase order Number],New_Ark_Data[Estimated time of arrival],"",0))</f>
        <v/>
      </c>
      <c r="AZ107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3" s="437">
        <f>IFERROR(PV_DATA[[#This Row],[ODP ETA Port]]+PV_DATA[[#This Row],[Customs/Leg3 Assumption]],"n/a")</f>
        <v>46351.75</v>
      </c>
      <c r="BB1073" s="433" t="s">
        <v>6536</v>
      </c>
      <c r="BC1073" s="433" t="s">
        <v>6536</v>
      </c>
      <c r="BD1073" s="430">
        <f>IFERROR(_xlfn.ISOWEEKNUM(PV_DATA[[#This Row],[ETA for New Ark update]]),0)</f>
        <v>48</v>
      </c>
      <c r="BE1073" s="430">
        <f>_xlfn.XLOOKUP(PV_DATA[[#This Row],[New Ark SKU]],Table9[New Ark SKU],Table9[Total PCS per Pallet],,0)</f>
        <v>36</v>
      </c>
      <c r="BF1073" s="430">
        <f>_xlfn.XLOOKUP(PV_DATA[[#This Row],[New Ark SKU]],Table9[New Ark SKU],Table9[Total PCS per 40HQ Container],,0)</f>
        <v>792</v>
      </c>
      <c r="BG1073" s="430" t="str">
        <f>_xlfn.XLOOKUP(PV_DATA[[#This Row],[New Ark SKU]],Table9[New Ark SKU],Table9[Back Glass],,0)</f>
        <v>Black glazing</v>
      </c>
      <c r="BH1073" s="610" t="str">
        <f>_xlfn.XLOOKUP(PV_DATA[[#This Row],[PORT DESTINATION]],Table12[PORT DESTINATION],Table12[Cosco Line],,0)</f>
        <v>AEM</v>
      </c>
    </row>
    <row r="1074" spans="1:60" s="430" customFormat="1" ht="10.5">
      <c r="A1074" s="951" t="s">
        <v>6870</v>
      </c>
      <c r="B1074" s="1078" t="s">
        <v>111</v>
      </c>
      <c r="C1074" s="462" t="str">
        <f>IFERROR(LEFT(PV_DATA[[#This Row],[TCL REFERENCE]],FIND(".",PV_DATA[[#This Row],[TCL REFERENCE]],1)-1),"Main Line")</f>
        <v>26Aug010</v>
      </c>
      <c r="D1074" s="945" t="s">
        <v>113</v>
      </c>
      <c r="E1074" s="462" t="s">
        <v>64</v>
      </c>
      <c r="F1074" s="945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74" s="462" t="s">
        <v>402</v>
      </c>
      <c r="H1074" s="462" t="s">
        <v>115</v>
      </c>
      <c r="I1074" s="462" t="s">
        <v>6871</v>
      </c>
      <c r="J1074" s="430" t="s">
        <v>96</v>
      </c>
      <c r="K1074" s="623"/>
      <c r="L1074" s="623"/>
      <c r="M1074" s="430" t="s">
        <v>68</v>
      </c>
      <c r="N1074" s="1079"/>
      <c r="O1074" s="623" t="s">
        <v>4531</v>
      </c>
      <c r="P1074" s="623" t="s">
        <v>6235</v>
      </c>
      <c r="Q1074" s="623" t="s">
        <v>330</v>
      </c>
      <c r="R1074" s="430" t="str">
        <f>_xlfn.XLOOKUP(PV_DATA[[#This Row],[New Ark SKU]],Table9[New Ark SKU],Table9[Connector],,0)</f>
        <v>H4(Com)</v>
      </c>
      <c r="S1074" s="433" t="str">
        <f>_xlfn.XLOOKUP(PV_DATA[[#This Row],[New Ark SKU]],Table9[New Ark SKU],Table9[Cable],,0)</f>
        <v>+400mm/-200mm</v>
      </c>
      <c r="T1074" s="976">
        <v>625</v>
      </c>
      <c r="U1074" s="1088">
        <f>720*1</f>
        <v>720</v>
      </c>
      <c r="V1074" s="977">
        <f>PV_DATA[[#This Row],[QUANTITY]]*PV_DATA[[#This Row],[WATT]]/1000000</f>
        <v>0.45</v>
      </c>
      <c r="W1074" s="435">
        <f>PV_DATA[[#This Row],[QUANTITY]]/36</f>
        <v>20</v>
      </c>
      <c r="X1074" s="1221">
        <f>PV_DATA[[#This Row],[QUANTITY]]/PV_DATA[[#This Row],[Qty/CT]]</f>
        <v>1</v>
      </c>
      <c r="Y1074" s="430" t="s">
        <v>6872</v>
      </c>
      <c r="Z1074" s="430" t="str">
        <f t="shared" si="20"/>
        <v>IN-TRANSIT</v>
      </c>
      <c r="AA1074" s="623" t="s">
        <v>6873</v>
      </c>
      <c r="AB1074" s="978">
        <v>46282</v>
      </c>
      <c r="AC1074" s="1222">
        <f>IF(PV_DATA[[#This Row],[Pick- Up Date]]&lt;&gt;"",_xlfn.ISOWEEKNUM(PV_DATA[[#This Row],[Pick- Up Date]]),"")</f>
        <v>38</v>
      </c>
      <c r="AD1074" s="623" t="s">
        <v>6874</v>
      </c>
      <c r="AE1074" s="623"/>
      <c r="AF1074" s="623" t="s">
        <v>122</v>
      </c>
      <c r="AG1074" s="623" t="s">
        <v>122</v>
      </c>
      <c r="AH1074" s="430" t="s">
        <v>124</v>
      </c>
      <c r="AI1074" s="978">
        <v>46292</v>
      </c>
      <c r="AJ1074" s="437">
        <f>IFERROR(VLOOKUP(AT1074, Vessel!A:D, 4, FALSE), "")</f>
        <v>46292.791666666664</v>
      </c>
      <c r="AK1074" s="437">
        <f>IFERROR(IF(VLOOKUP(AT1074,Vessel!A:F,5,FALSE)=0,"",VLOOKUP(AT1074,Vessel!A:F,5,FALSE)),"")</f>
        <v>46292.810983796298</v>
      </c>
      <c r="AL1074" s="978">
        <v>46345</v>
      </c>
      <c r="AM1074" s="949">
        <f>IFERROR(VLOOKUP(AT1074, Vessel!A:H, 8, FALSE), "")</f>
        <v>46346.541666666664</v>
      </c>
      <c r="AN1074" s="949" t="str">
        <f>IFERROR(IF(VLOOKUP(AT1074,Vessel!A:I,9,FALSE)=0,"",VLOOKUP(AT1074,Vessel!A:I,9,FALSE)),"")</f>
        <v/>
      </c>
      <c r="AO1074" s="623"/>
      <c r="AP1074" s="623" t="s">
        <v>6858</v>
      </c>
      <c r="AQ1074" s="1070" t="s">
        <v>80</v>
      </c>
      <c r="AR1074" s="623" t="s">
        <v>6875</v>
      </c>
      <c r="AS1074" s="623" t="s">
        <v>6876</v>
      </c>
      <c r="AT1074" s="430" t="s">
        <v>6876</v>
      </c>
      <c r="AU10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53.730682870365854</v>
      </c>
      <c r="AV1074" s="623"/>
      <c r="AW1074" s="978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46346.541666666664</v>
      </c>
      <c r="AX107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978" t="str">
        <f>IF(ISERROR(PV_DATA[[#This Row],[New Ark PO status]]),"",_xlfn.XLOOKUP(PV_DATA[[#This Row],[SPTN-PVHK New Ark PO'#]],New_Ark_Data[Purchase order Number],New_Ark_Data[Estimated time of arrival],"",0))</f>
        <v/>
      </c>
      <c r="AZ1074" s="976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74" s="978">
        <f>IFERROR(PV_DATA[[#This Row],[ODP ETA Port]]+PV_DATA[[#This Row],[Customs/Leg3 Assumption]],"n/a")</f>
        <v>46355.541666666664</v>
      </c>
      <c r="BB1074" s="433" t="s">
        <v>6536</v>
      </c>
      <c r="BC1074" s="433" t="s">
        <v>6536</v>
      </c>
      <c r="BD1074" s="623">
        <f>IFERROR(_xlfn.ISOWEEKNUM(PV_DATA[[#This Row],[ETA for New Ark update]]),0)</f>
        <v>48</v>
      </c>
      <c r="BE1074" s="623">
        <f>_xlfn.XLOOKUP(PV_DATA[[#This Row],[New Ark SKU]],Table9[New Ark SKU],Table9[Total PCS per Pallet],,0)</f>
        <v>36</v>
      </c>
      <c r="BF1074" s="623">
        <f>_xlfn.XLOOKUP(PV_DATA[[#This Row],[New Ark SKU]],Table9[New Ark SKU],Table9[Total PCS per 40HQ Container],,0)</f>
        <v>720</v>
      </c>
      <c r="BG1074" s="623" t="str">
        <f>_xlfn.XLOOKUP(PV_DATA[[#This Row],[New Ark SKU]],Table9[New Ark SKU],Table9[Back Glass],,0)</f>
        <v>Redirection Film</v>
      </c>
      <c r="BH1074" s="979" t="str">
        <f>_xlfn.XLOOKUP(PV_DATA[[#This Row],[PORT DESTINATION]],Table12[PORT DESTINATION],Table12[Cosco Line],,0)</f>
        <v>AEM</v>
      </c>
    </row>
    <row r="1075" spans="1:60" s="430" customFormat="1" ht="13.5" customHeight="1">
      <c r="A1075" s="729" t="s">
        <v>6877</v>
      </c>
      <c r="B1075" s="462" t="s">
        <v>111</v>
      </c>
      <c r="C1075" s="462" t="str">
        <f>IFERROR(LEFT(PV_DATA[[#This Row],[TCL REFERENCE]],FIND(".",PV_DATA[[#This Row],[TCL REFERENCE]],1)-1),"Main Line")</f>
        <v>26Aug016</v>
      </c>
      <c r="D1075" s="462" t="s">
        <v>63</v>
      </c>
      <c r="E1075" s="462" t="s">
        <v>64</v>
      </c>
      <c r="F1075" s="462" t="str" cm="1">
        <f t="array" ref="F10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75" s="462" t="s">
        <v>402</v>
      </c>
      <c r="H1075" s="462" t="s">
        <v>115</v>
      </c>
      <c r="I1075" s="462" t="s">
        <v>689</v>
      </c>
      <c r="J1075" s="430" t="s">
        <v>96</v>
      </c>
      <c r="M1075" s="430" t="s">
        <v>68</v>
      </c>
      <c r="N1075" s="432">
        <v>46282</v>
      </c>
      <c r="O1075" s="430" t="s">
        <v>550</v>
      </c>
      <c r="P1075" s="430" t="s">
        <v>2134</v>
      </c>
      <c r="Q1075" s="430" t="s">
        <v>2135</v>
      </c>
      <c r="R1075" s="430" t="str">
        <f>_xlfn.XLOOKUP(PV_DATA[[#This Row],[New Ark SKU]],Table9[New Ark SKU],Table9[Connector],,0)</f>
        <v>EVO2A</v>
      </c>
      <c r="S1075" s="433" t="str">
        <f>_xlfn.XLOOKUP(PV_DATA[[#This Row],[New Ark SKU]],Table9[New Ark SKU],Table9[Cable],,0)</f>
        <v>±1350mm</v>
      </c>
      <c r="T1075" s="433">
        <v>515</v>
      </c>
      <c r="U1075" s="1088">
        <v>792</v>
      </c>
      <c r="V1075" s="434">
        <f>PV_DATA[[#This Row],[QUANTITY]]*PV_DATA[[#This Row],[WATT]]/1000000</f>
        <v>0.40788000000000002</v>
      </c>
      <c r="W1075" s="435">
        <f>PV_DATA[[#This Row],[QUANTITY]]/PV_DATA[[#This Row],[Qty/Pallet]]</f>
        <v>22</v>
      </c>
      <c r="X1075" s="1040">
        <f>PV_DATA[[#This Row],[QUANTITY]]/PV_DATA[[#This Row],[Qty/CT]]</f>
        <v>1</v>
      </c>
      <c r="Y1075" s="430" t="s">
        <v>2472</v>
      </c>
      <c r="Z1075" s="430" t="str">
        <f t="shared" si="20"/>
        <v>IN-TRANSIT</v>
      </c>
      <c r="AA1075" s="545">
        <v>46283</v>
      </c>
      <c r="AB1075" s="437">
        <v>46282</v>
      </c>
      <c r="AC1075" s="485">
        <f>IF(PV_DATA[[#This Row],[Pick- Up Date]]&lt;&gt;"",_xlfn.ISOWEEKNUM(PV_DATA[[#This Row],[Pick- Up Date]]),"")</f>
        <v>38</v>
      </c>
      <c r="AD1075" s="430" t="s">
        <v>6878</v>
      </c>
      <c r="AF1075" s="430" t="s">
        <v>122</v>
      </c>
      <c r="AG1075" s="430" t="s">
        <v>122</v>
      </c>
      <c r="AH1075" s="430" t="s">
        <v>124</v>
      </c>
      <c r="AI1075" s="437">
        <v>46292</v>
      </c>
      <c r="AJ1075" s="437">
        <f>IFERROR(VLOOKUP(AT1075, Vessel!A:D, 4, FALSE), "")</f>
        <v>46292.791666666664</v>
      </c>
      <c r="AK1075" s="437">
        <f>IFERROR(IF(VLOOKUP(AT1075,Vessel!A:F,5,FALSE)=0,"",VLOOKUP(AT1075,Vessel!A:F,5,FALSE)),"")</f>
        <v>46292.810983796298</v>
      </c>
      <c r="AL1075" s="437">
        <v>46345</v>
      </c>
      <c r="AM1075" s="949">
        <f>IFERROR(VLOOKUP(AT1075, Vessel!A:H, 8, FALSE), "")</f>
        <v>46346.541666666664</v>
      </c>
      <c r="AN1075" s="949" t="str">
        <f>IFERROR(IF(VLOOKUP(AT1075,Vessel!A:I,9,FALSE)=0,"",VLOOKUP(AT1075,Vessel!A:I,9,FALSE)),"")</f>
        <v/>
      </c>
      <c r="AP1075" s="430" t="s">
        <v>6858</v>
      </c>
      <c r="AQ1075" s="438" t="s">
        <v>80</v>
      </c>
      <c r="AR1075" s="430" t="s">
        <v>6875</v>
      </c>
      <c r="AS1075" s="430" t="s">
        <v>6876</v>
      </c>
      <c r="AT1075" s="430" t="s">
        <v>6876</v>
      </c>
      <c r="AU10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53.730682870365854</v>
      </c>
      <c r="AW1075" s="437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46346.541666666664</v>
      </c>
      <c r="AX107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37" t="str">
        <f>IF(ISERROR(PV_DATA[[#This Row],[New Ark PO status]]),"",_xlfn.XLOOKUP(PV_DATA[[#This Row],[SPTN-PVHK New Ark PO'#]],New_Ark_Data[Purchase order Number],New_Ark_Data[Estimated time of arrival],"",0))</f>
        <v/>
      </c>
      <c r="AZ1075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75" s="437">
        <f>IFERROR(PV_DATA[[#This Row],[ODP ETA Port]]+PV_DATA[[#This Row],[Customs/Leg3 Assumption]],"n/a")</f>
        <v>46355.541666666664</v>
      </c>
      <c r="BB1075" s="433" t="s">
        <v>6536</v>
      </c>
      <c r="BC1075" s="433" t="s">
        <v>6536</v>
      </c>
      <c r="BD1075" s="430">
        <f>IFERROR(_xlfn.ISOWEEKNUM(PV_DATA[[#This Row],[ETA for New Ark update]]),0)</f>
        <v>48</v>
      </c>
      <c r="BE1075" s="430">
        <f>_xlfn.XLOOKUP(PV_DATA[[#This Row],[New Ark SKU]],Table9[New Ark SKU],Table9[Total PCS per Pallet],,0)</f>
        <v>36</v>
      </c>
      <c r="BF1075" s="430">
        <f>_xlfn.XLOOKUP(PV_DATA[[#This Row],[New Ark SKU]],Table9[New Ark SKU],Table9[Total PCS per 40HQ Container],,0)</f>
        <v>792</v>
      </c>
      <c r="BG1075" s="430" t="str">
        <f>_xlfn.XLOOKUP(PV_DATA[[#This Row],[New Ark SKU]],Table9[New Ark SKU],Table9[Back Glass],,0)</f>
        <v>Black glazing</v>
      </c>
      <c r="BH1075" s="610" t="str">
        <f>_xlfn.XLOOKUP(PV_DATA[[#This Row],[PORT DESTINATION]],Table12[PORT DESTINATION],Table12[Cosco Line],,0)</f>
        <v>AEM</v>
      </c>
    </row>
    <row r="1076" spans="1:60" s="430" customFormat="1" ht="10.5">
      <c r="A1076" s="951" t="s">
        <v>6879</v>
      </c>
      <c r="B1076" s="945" t="s">
        <v>111</v>
      </c>
      <c r="C1076" s="462" t="str">
        <f>IFERROR(LEFT(PV_DATA[[#This Row],[TCL REFERENCE]],FIND(".",PV_DATA[[#This Row],[TCL REFERENCE]],1)-1),"Main Line")</f>
        <v>26Aug010</v>
      </c>
      <c r="D1076" s="945" t="s">
        <v>113</v>
      </c>
      <c r="E1076" s="462" t="s">
        <v>144</v>
      </c>
      <c r="F1076" s="945" t="str" cm="1">
        <f t="array" ref="F10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6" s="462" t="s">
        <v>402</v>
      </c>
      <c r="H1076" s="462" t="s">
        <v>6653</v>
      </c>
      <c r="I1076" s="462" t="s">
        <v>6654</v>
      </c>
      <c r="J1076" s="462" t="s">
        <v>6653</v>
      </c>
      <c r="K1076" s="623" t="s">
        <v>6655</v>
      </c>
      <c r="L1076" s="623">
        <v>3</v>
      </c>
      <c r="M1076" s="462" t="s">
        <v>6656</v>
      </c>
      <c r="N1076" s="1079"/>
      <c r="O1076" s="623" t="s">
        <v>4531</v>
      </c>
      <c r="P1076" s="623" t="s">
        <v>6235</v>
      </c>
      <c r="Q1076" s="623" t="s">
        <v>330</v>
      </c>
      <c r="R1076" s="430" t="str">
        <f>_xlfn.XLOOKUP(PV_DATA[[#This Row],[New Ark SKU]],Table9[New Ark SKU],Table9[Connector],,0)</f>
        <v>H4(Com)</v>
      </c>
      <c r="S1076" s="433" t="str">
        <f>_xlfn.XLOOKUP(PV_DATA[[#This Row],[New Ark SKU]],Table9[New Ark SKU],Table9[Cable],,0)</f>
        <v>+400mm/-200mm</v>
      </c>
      <c r="T1076" s="976">
        <v>625</v>
      </c>
      <c r="U1076" s="1088">
        <v>7920</v>
      </c>
      <c r="V1076" s="977">
        <f>PV_DATA[[#This Row],[QUANTITY]]*PV_DATA[[#This Row],[WATT]]/1000000</f>
        <v>4.95</v>
      </c>
      <c r="W1076" s="435">
        <f>PV_DATA[[#This Row],[QUANTITY]]/36</f>
        <v>220</v>
      </c>
      <c r="X1076" s="1221">
        <f>PV_DATA[[#This Row],[QUANTITY]]/PV_DATA[[#This Row],[Qty/CT]]</f>
        <v>11</v>
      </c>
      <c r="Y1076" s="430" t="s">
        <v>6880</v>
      </c>
      <c r="Z1076" s="430" t="str">
        <f t="shared" si="20"/>
        <v/>
      </c>
      <c r="AA1076" s="623"/>
      <c r="AB1076" s="978">
        <v>46301</v>
      </c>
      <c r="AC1076" s="1222">
        <f>IF(PV_DATA[[#This Row],[Pick- Up Date]]&lt;&gt;"",_xlfn.ISOWEEKNUM(PV_DATA[[#This Row],[Pick- Up Date]]),"")</f>
        <v>41</v>
      </c>
      <c r="AD1076" s="623" t="s">
        <v>6881</v>
      </c>
      <c r="AE1076" s="623"/>
      <c r="AF1076" s="623" t="s">
        <v>122</v>
      </c>
      <c r="AG1076" s="623" t="s">
        <v>122</v>
      </c>
      <c r="AH1076" s="430" t="s">
        <v>6510</v>
      </c>
      <c r="AI1076" s="978">
        <v>46289</v>
      </c>
      <c r="AJ1076" s="437">
        <v>46306</v>
      </c>
      <c r="AK1076" s="437" t="str">
        <f>IFERROR(IF(VLOOKUP(AT1076,Vessel!A:F,5,FALSE)=0,"",VLOOKUP(AT1076,Vessel!A:F,5,FALSE)),"")</f>
        <v/>
      </c>
      <c r="AL1076" s="978">
        <v>46330</v>
      </c>
      <c r="AM1076" s="978"/>
      <c r="AN1076" s="588" t="str">
        <f>IFERROR(IF(VLOOKUP(AT1076,Vessel!A:I,9,FALSE)=0,"",VLOOKUP(AT1076,Vessel!A:I,9,FALSE)),"")</f>
        <v/>
      </c>
      <c r="AO1076" s="623"/>
      <c r="AP1076" s="623" t="s">
        <v>6882</v>
      </c>
      <c r="AQ1076" s="1070" t="s">
        <v>161</v>
      </c>
      <c r="AR1076" s="623" t="s">
        <v>6883</v>
      </c>
      <c r="AS1076" s="623">
        <v>276628939</v>
      </c>
      <c r="AT1076" s="430">
        <v>276628939</v>
      </c>
      <c r="AU10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24</v>
      </c>
      <c r="AV1076" s="623"/>
      <c r="AW1076" s="978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7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978" t="str">
        <f>IF(ISERROR(PV_DATA[[#This Row],[New Ark PO status]]),"",_xlfn.XLOOKUP(PV_DATA[[#This Row],[SPTN-PVHK New Ark PO'#]],New_Ark_Data[Purchase order Number],New_Ark_Data[Estimated time of arrival],"",0))</f>
        <v/>
      </c>
      <c r="AZ1076" s="97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6" s="978">
        <f>IFERROR(PV_DATA[[#This Row],[ODP ETA Port]]+PV_DATA[[#This Row],[Customs/Leg3 Assumption]],"n/a")</f>
        <v>46330</v>
      </c>
      <c r="BB1076" s="433" t="s">
        <v>6315</v>
      </c>
      <c r="BC1076" s="433" t="s">
        <v>6315</v>
      </c>
      <c r="BD1076" s="623">
        <f>IFERROR(_xlfn.ISOWEEKNUM(PV_DATA[[#This Row],[ETA for New Ark update]]),0)</f>
        <v>45</v>
      </c>
      <c r="BE1076" s="623">
        <f>_xlfn.XLOOKUP(PV_DATA[[#This Row],[New Ark SKU]],Table9[New Ark SKU],Table9[Total PCS per Pallet],,0)</f>
        <v>36</v>
      </c>
      <c r="BF1076" s="623">
        <f>_xlfn.XLOOKUP(PV_DATA[[#This Row],[New Ark SKU]],Table9[New Ark SKU],Table9[Total PCS per 40HQ Container],,0)</f>
        <v>720</v>
      </c>
      <c r="BG1076" s="623" t="str">
        <f>_xlfn.XLOOKUP(PV_DATA[[#This Row],[New Ark SKU]],Table9[New Ark SKU],Table9[Back Glass],,0)</f>
        <v>Redirection Film</v>
      </c>
      <c r="BH1076" s="979" t="str">
        <f>_xlfn.XLOOKUP(PV_DATA[[#This Row],[PORT DESTINATION]],Table12[PORT DESTINATION],Table12[Cosco Line],,0)</f>
        <v>n/a</v>
      </c>
    </row>
    <row r="1077" spans="1:60" s="430" customFormat="1" ht="10.5">
      <c r="A1077" s="951" t="s">
        <v>6884</v>
      </c>
      <c r="B1077" s="945" t="s">
        <v>111</v>
      </c>
      <c r="C1077" s="462" t="str">
        <f>IFERROR(LEFT(PV_DATA[[#This Row],[TCL REFERENCE]],FIND(".",PV_DATA[[#This Row],[TCL REFERENCE]],1)-1),"Main Line")</f>
        <v>26Aug010</v>
      </c>
      <c r="D1077" s="945" t="s">
        <v>113</v>
      </c>
      <c r="E1077" s="462" t="s">
        <v>144</v>
      </c>
      <c r="F1077" s="945" t="str" cm="1">
        <f t="array" ref="F10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7" s="462" t="s">
        <v>402</v>
      </c>
      <c r="H1077" s="462" t="s">
        <v>6653</v>
      </c>
      <c r="I1077" s="462" t="s">
        <v>6871</v>
      </c>
      <c r="J1077" s="462" t="s">
        <v>6653</v>
      </c>
      <c r="K1077" s="623" t="s">
        <v>6655</v>
      </c>
      <c r="L1077" s="623">
        <v>4</v>
      </c>
      <c r="M1077" s="462" t="s">
        <v>6656</v>
      </c>
      <c r="N1077" s="1079"/>
      <c r="O1077" s="623" t="s">
        <v>4531</v>
      </c>
      <c r="P1077" s="623" t="s">
        <v>6235</v>
      </c>
      <c r="Q1077" s="623" t="s">
        <v>330</v>
      </c>
      <c r="R1077" s="430" t="str">
        <f>_xlfn.XLOOKUP(PV_DATA[[#This Row],[New Ark SKU]],Table9[New Ark SKU],Table9[Connector],,0)</f>
        <v>H4(Com)</v>
      </c>
      <c r="S1077" s="433" t="str">
        <f>_xlfn.XLOOKUP(PV_DATA[[#This Row],[New Ark SKU]],Table9[New Ark SKU],Table9[Cable],,0)</f>
        <v>+400mm/-200mm</v>
      </c>
      <c r="T1077" s="976">
        <v>625</v>
      </c>
      <c r="U1077" s="1088">
        <v>7920</v>
      </c>
      <c r="V1077" s="977">
        <f>PV_DATA[[#This Row],[QUANTITY]]*PV_DATA[[#This Row],[WATT]]/1000000</f>
        <v>4.95</v>
      </c>
      <c r="W1077" s="435">
        <f>PV_DATA[[#This Row],[QUANTITY]]/36</f>
        <v>220</v>
      </c>
      <c r="X1077" s="1221">
        <f>PV_DATA[[#This Row],[QUANTITY]]/PV_DATA[[#This Row],[Qty/CT]]</f>
        <v>11</v>
      </c>
      <c r="Y1077" s="430" t="s">
        <v>6872</v>
      </c>
      <c r="Z1077" s="430" t="str">
        <f t="shared" si="20"/>
        <v/>
      </c>
      <c r="AA1077" s="623"/>
      <c r="AB1077" s="978">
        <v>46303</v>
      </c>
      <c r="AC1077" s="1222">
        <f>IF(PV_DATA[[#This Row],[Pick- Up Date]]&lt;&gt;"",_xlfn.ISOWEEKNUM(PV_DATA[[#This Row],[Pick- Up Date]]),"")</f>
        <v>41</v>
      </c>
      <c r="AD1077" s="623" t="s">
        <v>6885</v>
      </c>
      <c r="AE1077" s="623"/>
      <c r="AF1077" s="623" t="s">
        <v>122</v>
      </c>
      <c r="AG1077" s="623" t="s">
        <v>122</v>
      </c>
      <c r="AH1077" s="430" t="s">
        <v>6510</v>
      </c>
      <c r="AI1077" s="978">
        <v>46289</v>
      </c>
      <c r="AJ1077" s="437">
        <v>46306</v>
      </c>
      <c r="AK1077" s="437" t="str">
        <f>IFERROR(IF(VLOOKUP(AT1077,Vessel!A:F,5,FALSE)=0,"",VLOOKUP(AT1077,Vessel!A:F,5,FALSE)),"")</f>
        <v/>
      </c>
      <c r="AL1077" s="978">
        <v>46330</v>
      </c>
      <c r="AM1077" s="978"/>
      <c r="AN1077" s="588" t="str">
        <f>IFERROR(IF(VLOOKUP(AT1077,Vessel!A:I,9,FALSE)=0,"",VLOOKUP(AT1077,Vessel!A:I,9,FALSE)),"")</f>
        <v/>
      </c>
      <c r="AO1077" s="623"/>
      <c r="AP1077" s="623" t="s">
        <v>6882</v>
      </c>
      <c r="AQ1077" s="1070" t="s">
        <v>161</v>
      </c>
      <c r="AR1077" s="623" t="s">
        <v>6886</v>
      </c>
      <c r="AS1077" s="623">
        <v>276629180</v>
      </c>
      <c r="AT1077" s="430">
        <v>276629180</v>
      </c>
      <c r="AU10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24</v>
      </c>
      <c r="AV1077" s="623"/>
      <c r="AW1077" s="978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7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978" t="str">
        <f>IF(ISERROR(PV_DATA[[#This Row],[New Ark PO status]]),"",_xlfn.XLOOKUP(PV_DATA[[#This Row],[SPTN-PVHK New Ark PO'#]],New_Ark_Data[Purchase order Number],New_Ark_Data[Estimated time of arrival],"",0))</f>
        <v/>
      </c>
      <c r="AZ1077" s="97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7" s="978">
        <f>IFERROR(PV_DATA[[#This Row],[ODP ETA Port]]+PV_DATA[[#This Row],[Customs/Leg3 Assumption]],"n/a")</f>
        <v>46330</v>
      </c>
      <c r="BB1077" s="433" t="s">
        <v>6536</v>
      </c>
      <c r="BC1077" s="433" t="s">
        <v>6536</v>
      </c>
      <c r="BD1077" s="623">
        <f>IFERROR(_xlfn.ISOWEEKNUM(PV_DATA[[#This Row],[ETA for New Ark update]]),0)</f>
        <v>45</v>
      </c>
      <c r="BE1077" s="623">
        <f>_xlfn.XLOOKUP(PV_DATA[[#This Row],[New Ark SKU]],Table9[New Ark SKU],Table9[Total PCS per Pallet],,0)</f>
        <v>36</v>
      </c>
      <c r="BF1077" s="623">
        <f>_xlfn.XLOOKUP(PV_DATA[[#This Row],[New Ark SKU]],Table9[New Ark SKU],Table9[Total PCS per 40HQ Container],,0)</f>
        <v>720</v>
      </c>
      <c r="BG1077" s="623" t="str">
        <f>_xlfn.XLOOKUP(PV_DATA[[#This Row],[New Ark SKU]],Table9[New Ark SKU],Table9[Back Glass],,0)</f>
        <v>Redirection Film</v>
      </c>
      <c r="BH1077" s="979" t="str">
        <f>_xlfn.XLOOKUP(PV_DATA[[#This Row],[PORT DESTINATION]],Table12[PORT DESTINATION],Table12[Cosco Line],,0)</f>
        <v>n/a</v>
      </c>
    </row>
    <row r="1078" spans="1:60" s="430" customFormat="1" ht="13.5" customHeight="1">
      <c r="A1078" s="729" t="s">
        <v>6887</v>
      </c>
      <c r="B1078" s="462" t="s">
        <v>111</v>
      </c>
      <c r="C1078" s="462" t="str">
        <f>IFERROR(LEFT(PV_DATA[[#This Row],[TCL REFERENCE]],FIND(".",PV_DATA[[#This Row],[TCL REFERENCE]],1)-1),"Main Line")</f>
        <v>26Aug016</v>
      </c>
      <c r="D1078" s="462" t="s">
        <v>63</v>
      </c>
      <c r="E1078" s="462" t="s">
        <v>64</v>
      </c>
      <c r="F1078" s="462" t="str" cm="1">
        <f t="array" ref="F10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8" s="462" t="s">
        <v>402</v>
      </c>
      <c r="H1078" s="462" t="s">
        <v>67</v>
      </c>
      <c r="I1078" s="462" t="s">
        <v>689</v>
      </c>
      <c r="J1078" s="430" t="s">
        <v>96</v>
      </c>
      <c r="M1078" s="430" t="s">
        <v>68</v>
      </c>
      <c r="N1078" s="432">
        <v>46282</v>
      </c>
      <c r="O1078" s="430" t="s">
        <v>550</v>
      </c>
      <c r="P1078" s="430" t="s">
        <v>2134</v>
      </c>
      <c r="Q1078" s="430" t="s">
        <v>2135</v>
      </c>
      <c r="R1078" s="430" t="str">
        <f>_xlfn.XLOOKUP(PV_DATA[[#This Row],[New Ark SKU]],Table9[New Ark SKU],Table9[Connector],,0)</f>
        <v>EVO2A</v>
      </c>
      <c r="S1078" s="433" t="str">
        <f>_xlfn.XLOOKUP(PV_DATA[[#This Row],[New Ark SKU]],Table9[New Ark SKU],Table9[Cable],,0)</f>
        <v>±1350mm</v>
      </c>
      <c r="T1078" s="433">
        <v>515</v>
      </c>
      <c r="U1078" s="1088">
        <f>792*5</f>
        <v>3960</v>
      </c>
      <c r="V1078" s="434">
        <f>PV_DATA[[#This Row],[QUANTITY]]*PV_DATA[[#This Row],[WATT]]/1000000</f>
        <v>2.0394000000000001</v>
      </c>
      <c r="W1078" s="435">
        <f>PV_DATA[[#This Row],[QUANTITY]]/PV_DATA[[#This Row],[Qty/Pallet]]</f>
        <v>110</v>
      </c>
      <c r="X1078" s="1040">
        <f>PV_DATA[[#This Row],[QUANTITY]]/PV_DATA[[#This Row],[Qty/CT]]</f>
        <v>5</v>
      </c>
      <c r="Y1078" s="430" t="s">
        <v>2469</v>
      </c>
      <c r="Z1078" s="430" t="str">
        <f t="shared" si="20"/>
        <v>IN-TRANSIT</v>
      </c>
      <c r="AA1078" s="545">
        <v>46288</v>
      </c>
      <c r="AB1078" s="437">
        <v>46287</v>
      </c>
      <c r="AC1078" s="485">
        <f>IF(PV_DATA[[#This Row],[Pick- Up Date]]&lt;&gt;"",_xlfn.ISOWEEKNUM(PV_DATA[[#This Row],[Pick- Up Date]]),"")</f>
        <v>39</v>
      </c>
      <c r="AD1078" s="430" t="s">
        <v>6888</v>
      </c>
      <c r="AF1078" s="430" t="s">
        <v>5994</v>
      </c>
      <c r="AG1078" s="430" t="s">
        <v>5994</v>
      </c>
      <c r="AH1078" s="430" t="s">
        <v>105</v>
      </c>
      <c r="AI1078" s="437">
        <v>46292</v>
      </c>
      <c r="AJ1078" s="437">
        <f>IFERROR(VLOOKUP(AT1078, Vessel!A:D, 4, FALSE), "")</f>
        <v>46292.583333333336</v>
      </c>
      <c r="AK1078" s="437">
        <f>IFERROR(IF(VLOOKUP(AT1078,Vessel!A:F,5,FALSE)=0,"",VLOOKUP(AT1078,Vessel!A:F,5,FALSE)),"")</f>
        <v>46291.864884259259</v>
      </c>
      <c r="AL1078" s="437">
        <v>46324</v>
      </c>
      <c r="AM1078" s="949">
        <f>IFERROR(VLOOKUP(AT1078, Vessel!A:H, 8, FALSE), "")</f>
        <v>46324.854166666664</v>
      </c>
      <c r="AN1078" s="949" t="str">
        <f>IFERROR(IF(VLOOKUP(AT1078,Vessel!A:I,9,FALSE)=0,"",VLOOKUP(AT1078,Vessel!A:I,9,FALSE)),"")</f>
        <v/>
      </c>
      <c r="AP1078" s="430" t="s">
        <v>6812</v>
      </c>
      <c r="AQ1078" s="430" t="s">
        <v>80</v>
      </c>
      <c r="AR1078" s="430" t="s">
        <v>6889</v>
      </c>
      <c r="AS1078" s="430" t="s">
        <v>6890</v>
      </c>
      <c r="AT1078" s="430" t="s">
        <v>6890</v>
      </c>
      <c r="AU10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32.989282407404971</v>
      </c>
      <c r="AW1078" s="437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46324.854166666664</v>
      </c>
      <c r="AX107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37" t="str">
        <f>IF(ISERROR(PV_DATA[[#This Row],[New Ark PO status]]),"",_xlfn.XLOOKUP(PV_DATA[[#This Row],[SPTN-PVHK New Ark PO'#]],New_Ark_Data[Purchase order Number],New_Ark_Data[Estimated time of arrival],"",0))</f>
        <v/>
      </c>
      <c r="AZ107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8" s="437">
        <f>IFERROR(PV_DATA[[#This Row],[ODP ETA Port]]+PV_DATA[[#This Row],[Customs/Leg3 Assumption]],"n/a")</f>
        <v>46331.854166666664</v>
      </c>
      <c r="BB1078" s="433" t="s">
        <v>6536</v>
      </c>
      <c r="BC1078" s="433" t="s">
        <v>6536</v>
      </c>
      <c r="BD1078" s="430">
        <f>IFERROR(_xlfn.ISOWEEKNUM(PV_DATA[[#This Row],[ETA for New Ark update]]),0)</f>
        <v>45</v>
      </c>
      <c r="BE1078" s="430">
        <f>_xlfn.XLOOKUP(PV_DATA[[#This Row],[New Ark SKU]],Table9[New Ark SKU],Table9[Total PCS per Pallet],,0)</f>
        <v>36</v>
      </c>
      <c r="BF1078" s="430">
        <f>_xlfn.XLOOKUP(PV_DATA[[#This Row],[New Ark SKU]],Table9[New Ark SKU],Table9[Total PCS per 40HQ Container],,0)</f>
        <v>792</v>
      </c>
      <c r="BG1078" s="430" t="str">
        <f>_xlfn.XLOOKUP(PV_DATA[[#This Row],[New Ark SKU]],Table9[New Ark SKU],Table9[Back Glass],,0)</f>
        <v>Black glazing</v>
      </c>
      <c r="BH1078" s="610" t="str">
        <f>_xlfn.XLOOKUP(PV_DATA[[#This Row],[PORT DESTINATION]],Table12[PORT DESTINATION],Table12[Cosco Line],,0)</f>
        <v>AEU</v>
      </c>
    </row>
    <row r="1079" spans="1:60" s="430" customFormat="1" ht="13.5" customHeight="1">
      <c r="A1079" s="729" t="s">
        <v>6891</v>
      </c>
      <c r="B1079" s="462" t="s">
        <v>111</v>
      </c>
      <c r="C1079" s="462" t="str">
        <f>IFERROR(LEFT(PV_DATA[[#This Row],[TCL REFERENCE]],FIND(".",PV_DATA[[#This Row],[TCL REFERENCE]],1)-1),"Main Line")</f>
        <v>26Aug015</v>
      </c>
      <c r="D1079" s="462" t="s">
        <v>63</v>
      </c>
      <c r="E1079" s="462" t="s">
        <v>64</v>
      </c>
      <c r="F1079" s="462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9" s="462" t="s">
        <v>402</v>
      </c>
      <c r="H1079" s="462" t="s">
        <v>67</v>
      </c>
      <c r="I1079" s="462" t="s">
        <v>689</v>
      </c>
      <c r="J1079" s="430" t="s">
        <v>96</v>
      </c>
      <c r="M1079" s="430" t="s">
        <v>68</v>
      </c>
      <c r="N1079" s="432">
        <v>46285</v>
      </c>
      <c r="O1079" s="430" t="s">
        <v>550</v>
      </c>
      <c r="P1079" s="430" t="s">
        <v>551</v>
      </c>
      <c r="Q1079" s="430" t="s">
        <v>2151</v>
      </c>
      <c r="R1079" s="430" t="str">
        <f>_xlfn.XLOOKUP(PV_DATA[[#This Row],[New Ark SKU]],Table9[New Ark SKU],Table9[Connector],,0)</f>
        <v>EVO2A</v>
      </c>
      <c r="S1079" s="433" t="str">
        <f>_xlfn.XLOOKUP(PV_DATA[[#This Row],[New Ark SKU]],Table9[New Ark SKU],Table9[Cable],,0)</f>
        <v>±1350mm</v>
      </c>
      <c r="T1079" s="433">
        <v>510</v>
      </c>
      <c r="U1079" s="1088">
        <f>792*3</f>
        <v>2376</v>
      </c>
      <c r="V1079" s="434">
        <f>PV_DATA[[#This Row],[QUANTITY]]*PV_DATA[[#This Row],[WATT]]/1000000</f>
        <v>1.2117599999999999</v>
      </c>
      <c r="W1079" s="435">
        <f>PV_DATA[[#This Row],[QUANTITY]]/PV_DATA[[#This Row],[Qty/Pallet]]</f>
        <v>66</v>
      </c>
      <c r="X1079" s="1040">
        <f>PV_DATA[[#This Row],[QUANTITY]]/PV_DATA[[#This Row],[Qty/CT]]</f>
        <v>3</v>
      </c>
      <c r="Y1079" s="430" t="s">
        <v>2470</v>
      </c>
      <c r="Z1079" s="430" t="str">
        <f t="shared" si="20"/>
        <v>IN-TRANSIT</v>
      </c>
      <c r="AA1079" s="545">
        <v>46288</v>
      </c>
      <c r="AB1079" s="437">
        <v>46294</v>
      </c>
      <c r="AC1079" s="485">
        <f>IF(PV_DATA[[#This Row],[Pick- Up Date]]&lt;&gt;"",_xlfn.ISOWEEKNUM(PV_DATA[[#This Row],[Pick- Up Date]]),"")</f>
        <v>40</v>
      </c>
      <c r="AD1079" s="430" t="s">
        <v>6892</v>
      </c>
      <c r="AF1079" s="430" t="s">
        <v>5994</v>
      </c>
      <c r="AG1079" s="430" t="s">
        <v>5994</v>
      </c>
      <c r="AH1079" s="430" t="s">
        <v>105</v>
      </c>
      <c r="AI1079" s="543">
        <v>46290</v>
      </c>
      <c r="AJ1079" s="437">
        <f>IFERROR(VLOOKUP(AT1079, Vessel!A:D, 4, FALSE), "")</f>
        <v>46298.375</v>
      </c>
      <c r="AK1079" s="437">
        <v>46300</v>
      </c>
      <c r="AL1079" s="437">
        <v>46326</v>
      </c>
      <c r="AM1079" s="949">
        <f>IFERROR(VLOOKUP(AT1079, Vessel!A:H, 8, FALSE), "")</f>
        <v>46332.875</v>
      </c>
      <c r="AN1079" s="949" t="str">
        <f>IFERROR(IF(VLOOKUP(AT1079,Vessel!A:I,9,FALSE)=0,"",VLOOKUP(AT1079,Vessel!A:I,9,FALSE)),"")</f>
        <v/>
      </c>
      <c r="AP1079" s="430" t="s">
        <v>6893</v>
      </c>
      <c r="AQ1079" s="430" t="s">
        <v>80</v>
      </c>
      <c r="AR1079" s="430" t="s">
        <v>6894</v>
      </c>
      <c r="AS1079" s="430" t="s">
        <v>6895</v>
      </c>
      <c r="AT1079" s="430" t="s">
        <v>6895</v>
      </c>
      <c r="AU10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32.875</v>
      </c>
      <c r="AW1079" s="437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46332.875</v>
      </c>
      <c r="AX107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437" t="str">
        <f>IF(ISERROR(PV_DATA[[#This Row],[New Ark PO status]]),"",_xlfn.XLOOKUP(PV_DATA[[#This Row],[SPTN-PVHK New Ark PO'#]],New_Ark_Data[Purchase order Number],New_Ark_Data[Estimated time of arrival],"",0))</f>
        <v/>
      </c>
      <c r="AZ107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9" s="437">
        <f>IFERROR(PV_DATA[[#This Row],[ODP ETA Port]]+PV_DATA[[#This Row],[Customs/Leg3 Assumption]],"n/a")</f>
        <v>46339.875</v>
      </c>
      <c r="BB1079" s="433" t="s">
        <v>6536</v>
      </c>
      <c r="BC1079" s="433" t="s">
        <v>6536</v>
      </c>
      <c r="BD1079" s="430">
        <f>IFERROR(_xlfn.ISOWEEKNUM(PV_DATA[[#This Row],[ETA for New Ark update]]),0)</f>
        <v>46</v>
      </c>
      <c r="BE1079" s="430">
        <f>_xlfn.XLOOKUP(PV_DATA[[#This Row],[New Ark SKU]],Table9[New Ark SKU],Table9[Total PCS per Pallet],,0)</f>
        <v>36</v>
      </c>
      <c r="BF1079" s="430">
        <f>_xlfn.XLOOKUP(PV_DATA[[#This Row],[New Ark SKU]],Table9[New Ark SKU],Table9[Total PCS per 40HQ Container],,0)</f>
        <v>792</v>
      </c>
      <c r="BG1079" s="430" t="str">
        <f>_xlfn.XLOOKUP(PV_DATA[[#This Row],[New Ark SKU]],Table9[New Ark SKU],Table9[Back Glass],,0)</f>
        <v>Black glazing</v>
      </c>
      <c r="BH1079" s="610" t="str">
        <f>_xlfn.XLOOKUP(PV_DATA[[#This Row],[PORT DESTINATION]],Table12[PORT DESTINATION],Table12[Cosco Line],,0)</f>
        <v>AEU</v>
      </c>
    </row>
    <row r="1080" spans="1:60" s="430" customFormat="1" ht="13.5" customHeight="1">
      <c r="A1080" s="729" t="s">
        <v>6896</v>
      </c>
      <c r="B1080" s="462" t="s">
        <v>111</v>
      </c>
      <c r="C1080" s="462" t="str">
        <f>IFERROR(LEFT(PV_DATA[[#This Row],[TCL REFERENCE]],FIND(".",PV_DATA[[#This Row],[TCL REFERENCE]],1)-1),"Main Line")</f>
        <v>26Aug016</v>
      </c>
      <c r="D1080" s="462" t="s">
        <v>63</v>
      </c>
      <c r="E1080" s="462" t="s">
        <v>64</v>
      </c>
      <c r="F1080" s="462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80" s="462" t="s">
        <v>402</v>
      </c>
      <c r="H1080" s="462" t="s">
        <v>311</v>
      </c>
      <c r="I1080" s="462" t="s">
        <v>689</v>
      </c>
      <c r="J1080" s="430" t="s">
        <v>96</v>
      </c>
      <c r="M1080" s="430" t="s">
        <v>68</v>
      </c>
      <c r="N1080" s="432">
        <v>46282</v>
      </c>
      <c r="O1080" s="430" t="s">
        <v>550</v>
      </c>
      <c r="P1080" s="430" t="s">
        <v>2134</v>
      </c>
      <c r="Q1080" s="430" t="s">
        <v>2135</v>
      </c>
      <c r="R1080" s="430" t="str">
        <f>_xlfn.XLOOKUP(PV_DATA[[#This Row],[New Ark SKU]],Table9[New Ark SKU],Table9[Connector],,0)</f>
        <v>EVO2A</v>
      </c>
      <c r="S1080" s="433" t="str">
        <f>_xlfn.XLOOKUP(PV_DATA[[#This Row],[New Ark SKU]],Table9[New Ark SKU],Table9[Cable],,0)</f>
        <v>±1350mm</v>
      </c>
      <c r="T1080" s="433">
        <v>515</v>
      </c>
      <c r="U1080" s="1088">
        <v>1584</v>
      </c>
      <c r="V1080" s="434">
        <f>PV_DATA[[#This Row],[QUANTITY]]*PV_DATA[[#This Row],[WATT]]/1000000</f>
        <v>0.81576000000000004</v>
      </c>
      <c r="W1080" s="435">
        <f>PV_DATA[[#This Row],[QUANTITY]]/PV_DATA[[#This Row],[Qty/Pallet]]</f>
        <v>44</v>
      </c>
      <c r="X1080" s="1040">
        <f>PV_DATA[[#This Row],[QUANTITY]]/PV_DATA[[#This Row],[Qty/CT]]</f>
        <v>2</v>
      </c>
      <c r="Y1080" s="430" t="s">
        <v>2471</v>
      </c>
      <c r="Z1080" s="430" t="str">
        <f t="shared" si="20"/>
        <v>IN-TRANSIT</v>
      </c>
      <c r="AA1080" s="545">
        <v>46288</v>
      </c>
      <c r="AB1080" s="437">
        <v>46292</v>
      </c>
      <c r="AC1080" s="485">
        <f>IF(PV_DATA[[#This Row],[Pick- Up Date]]&lt;&gt;"",_xlfn.ISOWEEKNUM(PV_DATA[[#This Row],[Pick- Up Date]]),"")</f>
        <v>39</v>
      </c>
      <c r="AD1080" s="430" t="s">
        <v>6897</v>
      </c>
      <c r="AF1080" s="430" t="s">
        <v>5994</v>
      </c>
      <c r="AG1080" s="430" t="s">
        <v>5994</v>
      </c>
      <c r="AH1080" s="430" t="s">
        <v>314</v>
      </c>
      <c r="AI1080" s="543">
        <v>46291</v>
      </c>
      <c r="AJ1080" s="437">
        <f>IFERROR(VLOOKUP(AT1080, Vessel!A:D, 4, FALSE), "")</f>
        <v>46297</v>
      </c>
      <c r="AK1080" s="437">
        <v>46297</v>
      </c>
      <c r="AL1080" s="437">
        <v>46337</v>
      </c>
      <c r="AM1080" s="949">
        <f>IFERROR(VLOOKUP(AT1080, Vessel!A:H, 8, FALSE), "")</f>
        <v>46341</v>
      </c>
      <c r="AN1080" s="949" t="str">
        <f>IFERROR(IF(VLOOKUP(AT1080,Vessel!A:I,9,FALSE)=0,"",VLOOKUP(AT1080,Vessel!A:I,9,FALSE)),"")</f>
        <v/>
      </c>
      <c r="AP1080" s="430" t="s">
        <v>6858</v>
      </c>
      <c r="AQ1080" s="430" t="s">
        <v>80</v>
      </c>
      <c r="AR1080" s="430" t="s">
        <v>6898</v>
      </c>
      <c r="AS1080" s="430" t="s">
        <v>6899</v>
      </c>
      <c r="AT1080" s="430" t="s">
        <v>6899</v>
      </c>
      <c r="AU10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080" s="437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8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37" t="str">
        <f>IF(ISERROR(PV_DATA[[#This Row],[New Ark PO status]]),"",_xlfn.XLOOKUP(PV_DATA[[#This Row],[SPTN-PVHK New Ark PO'#]],New_Ark_Data[Purchase order Number],New_Ark_Data[Estimated time of arrival],"",0))</f>
        <v/>
      </c>
      <c r="AZ1080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80" s="437">
        <f>IFERROR(PV_DATA[[#This Row],[ODP ETA Port]]+PV_DATA[[#This Row],[Customs/Leg3 Assumption]],"n/a")</f>
        <v>46351</v>
      </c>
      <c r="BB1080" s="433" t="s">
        <v>6536</v>
      </c>
      <c r="BC1080" s="433" t="s">
        <v>6536</v>
      </c>
      <c r="BD1080" s="430">
        <f>IFERROR(_xlfn.ISOWEEKNUM(PV_DATA[[#This Row],[ETA for New Ark update]]),0)</f>
        <v>48</v>
      </c>
      <c r="BE1080" s="430">
        <f>_xlfn.XLOOKUP(PV_DATA[[#This Row],[New Ark SKU]],Table9[New Ark SKU],Table9[Total PCS per Pallet],,0)</f>
        <v>36</v>
      </c>
      <c r="BF1080" s="430">
        <f>_xlfn.XLOOKUP(PV_DATA[[#This Row],[New Ark SKU]],Table9[New Ark SKU],Table9[Total PCS per 40HQ Container],,0)</f>
        <v>792</v>
      </c>
      <c r="BG1080" s="430" t="str">
        <f>_xlfn.XLOOKUP(PV_DATA[[#This Row],[New Ark SKU]],Table9[New Ark SKU],Table9[Back Glass],,0)</f>
        <v>Black glazing</v>
      </c>
      <c r="BH1080" s="610" t="str">
        <f>_xlfn.XLOOKUP(PV_DATA[[#This Row],[PORT DESTINATION]],Table12[PORT DESTINATION],Table12[Cosco Line],,0)</f>
        <v>AEM</v>
      </c>
    </row>
    <row r="1081" spans="1:60" s="430" customFormat="1" ht="10.5">
      <c r="A1081" s="462" t="s">
        <v>6900</v>
      </c>
      <c r="B1081" s="459" t="s">
        <v>61</v>
      </c>
      <c r="C1081" s="462" t="str">
        <f>IFERROR(LEFT(PV_DATA[[#This Row],[TCL REFERENCE]],FIND(".",PV_DATA[[#This Row],[TCL REFERENCE]],1)-1),"Main Line")</f>
        <v>26Jun021</v>
      </c>
      <c r="D1081" s="462" t="s">
        <v>63</v>
      </c>
      <c r="E1081" s="462" t="s">
        <v>64</v>
      </c>
      <c r="F1081" s="462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1" s="462" t="s">
        <v>402</v>
      </c>
      <c r="H1081" s="462" t="s">
        <v>67</v>
      </c>
      <c r="I1081" s="462" t="s">
        <v>689</v>
      </c>
      <c r="J1081" s="430" t="s">
        <v>96</v>
      </c>
      <c r="M1081" s="430" t="s">
        <v>6315</v>
      </c>
      <c r="N1081" s="432">
        <v>46202</v>
      </c>
      <c r="O1081" s="430" t="s">
        <v>284</v>
      </c>
      <c r="P1081" s="484" t="s">
        <v>6159</v>
      </c>
      <c r="Q1081" s="430" t="s">
        <v>1570</v>
      </c>
      <c r="R1081" s="430" t="str">
        <f>_xlfn.XLOOKUP(PV_DATA[[#This Row],[New Ark SKU]],Table9[New Ark SKU],Table9[Connector],,0)</f>
        <v>EVO2A</v>
      </c>
      <c r="S1081" s="433" t="str">
        <f>_xlfn.XLOOKUP(PV_DATA[[#This Row],[New Ark SKU]],Table9[New Ark SKU],Table9[Cable],,0)</f>
        <v>±1400mm</v>
      </c>
      <c r="T1081" s="433">
        <v>650</v>
      </c>
      <c r="U1081" s="1088">
        <f>720*8</f>
        <v>5760</v>
      </c>
      <c r="V1081" s="434">
        <f>PV_DATA[[#This Row],[QUANTITY]]*PV_DATA[[#This Row],[WATT]]/1000000</f>
        <v>3.7440000000000002</v>
      </c>
      <c r="W1081" s="435">
        <f>PV_DATA[[#This Row],[QUANTITY]]/PV_DATA[[#This Row],[Qty/Pallet]]</f>
        <v>160</v>
      </c>
      <c r="X1081" s="1040">
        <f>PV_DATA[[#This Row],[QUANTITY]]/PV_DATA[[#This Row],[Qty/CT]]</f>
        <v>8</v>
      </c>
      <c r="Y1081" s="430" t="s">
        <v>2467</v>
      </c>
      <c r="Z1081" s="430" t="str">
        <f t="shared" si="20"/>
        <v>IN-TRANSIT</v>
      </c>
      <c r="AA1081" s="1313" t="s">
        <v>6422</v>
      </c>
      <c r="AB1081" s="437">
        <v>46279</v>
      </c>
      <c r="AC1081" s="485">
        <f>IF(PV_DATA[[#This Row],[Pick- Up Date]]&lt;&gt;"",_xlfn.ISOWEEKNUM(PV_DATA[[#This Row],[Pick- Up Date]]),"")</f>
        <v>38</v>
      </c>
      <c r="AD1081" s="430" t="s">
        <v>6901</v>
      </c>
      <c r="AF1081" s="430" t="s">
        <v>61</v>
      </c>
      <c r="AG1081" s="430" t="s">
        <v>61</v>
      </c>
      <c r="AH1081" s="430" t="s">
        <v>105</v>
      </c>
      <c r="AI1081" s="437">
        <v>46284</v>
      </c>
      <c r="AJ1081" s="437">
        <f>IFERROR(VLOOKUP(AT1081, Vessel!A:D, 4, FALSE), "")</f>
        <v>46284.958333333336</v>
      </c>
      <c r="AK1081" s="437">
        <f>IFERROR(IF(VLOOKUP(AT1081,Vessel!A:F,5,FALSE)=0,"",VLOOKUP(AT1081,Vessel!A:F,5,FALSE)),"")</f>
        <v>46284.979166666664</v>
      </c>
      <c r="AL1081" s="437">
        <v>46329</v>
      </c>
      <c r="AM1081" s="949">
        <f>IFERROR(VLOOKUP(AT1081, Vessel!A:H, 8, FALSE), "")</f>
        <v>46329.333333333336</v>
      </c>
      <c r="AN1081" s="949" t="str">
        <f>IFERROR(IF(VLOOKUP(AT1081,Vessel!A:I,9,FALSE)=0,"",VLOOKUP(AT1081,Vessel!A:I,9,FALSE)),"")</f>
        <v/>
      </c>
      <c r="AO1081" s="430" t="s">
        <v>402</v>
      </c>
      <c r="AP1081" s="430" t="s">
        <v>6902</v>
      </c>
      <c r="AQ1081" s="950" t="s">
        <v>80</v>
      </c>
      <c r="AR1081" s="430" t="s">
        <v>6903</v>
      </c>
      <c r="AS1081" s="430" t="s">
        <v>6904</v>
      </c>
      <c r="AT1081" s="430" t="s">
        <v>6904</v>
      </c>
      <c r="AU10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44.354166666671517</v>
      </c>
      <c r="AW1081" s="437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46329.333333333336</v>
      </c>
      <c r="AX108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37" t="str">
        <f>IF(ISERROR(PV_DATA[[#This Row],[New Ark PO status]]),"",_xlfn.XLOOKUP(PV_DATA[[#This Row],[SPTN-PVHK New Ark PO'#]],New_Ark_Data[Purchase order Number],New_Ark_Data[Estimated time of arrival],"",0))</f>
        <v/>
      </c>
      <c r="AZ108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1" s="437">
        <f>IFERROR(PV_DATA[[#This Row],[ODP ETA Port]]+PV_DATA[[#This Row],[Customs/Leg3 Assumption]],"n/a")</f>
        <v>46336.333333333336</v>
      </c>
      <c r="BB1081" s="433">
        <f>YEAR(PV_DATA[[#This Row],[ETA for New Ark update]])</f>
        <v>2026</v>
      </c>
      <c r="BC1081" s="430">
        <f>MONTH(PV_DATA[[#This Row],[ETA for New Ark update]])</f>
        <v>11</v>
      </c>
      <c r="BD1081" s="430">
        <f>IFERROR(_xlfn.ISOWEEKNUM(PV_DATA[[#This Row],[ETA for New Ark update]]),0)</f>
        <v>46</v>
      </c>
      <c r="BE1081" s="430">
        <f>_xlfn.XLOOKUP(PV_DATA[[#This Row],[New Ark SKU]],Table9[New Ark SKU],Table9[Total PCS per Pallet],,0)</f>
        <v>36</v>
      </c>
      <c r="BF1081" s="430">
        <f>_xlfn.XLOOKUP(PV_DATA[[#This Row],[New Ark SKU]],Table9[New Ark SKU],Table9[Total PCS per 40HQ Container],,0)</f>
        <v>720</v>
      </c>
      <c r="BG1081" s="430" t="str">
        <f>_xlfn.XLOOKUP(PV_DATA[[#This Row],[New Ark SKU]],Table9[New Ark SKU],Table9[Back Glass],,0)</f>
        <v>White glazing</v>
      </c>
      <c r="BH1081" s="430" t="str">
        <f>_xlfn.XLOOKUP(PV_DATA[[#This Row],[PORT DESTINATION]],Table12[PORT DESTINATION],Table12[Cosco Line],,0)</f>
        <v>AEU</v>
      </c>
    </row>
    <row r="1082" spans="1:60" s="430" customFormat="1" ht="10.5">
      <c r="A1082" s="729" t="s">
        <v>6905</v>
      </c>
      <c r="B1082" s="459" t="s">
        <v>61</v>
      </c>
      <c r="C1082" s="462" t="str">
        <f>IFERROR(LEFT(PV_DATA[[#This Row],[TCL REFERENCE]],FIND(".",PV_DATA[[#This Row],[TCL REFERENCE]],1)-1),"Main Line")</f>
        <v>26Aug006</v>
      </c>
      <c r="D1082" s="462" t="s">
        <v>63</v>
      </c>
      <c r="E1082" s="462" t="s">
        <v>64</v>
      </c>
      <c r="F1082" s="462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2" s="462" t="s">
        <v>402</v>
      </c>
      <c r="H1082" s="462" t="s">
        <v>67</v>
      </c>
      <c r="I1082" s="462" t="s">
        <v>689</v>
      </c>
      <c r="J1082" s="430" t="s">
        <v>96</v>
      </c>
      <c r="M1082" s="430" t="s">
        <v>6536</v>
      </c>
      <c r="N1082" s="432">
        <v>46258</v>
      </c>
      <c r="O1082" s="430" t="s">
        <v>4531</v>
      </c>
      <c r="P1082" s="430" t="s">
        <v>691</v>
      </c>
      <c r="Q1082" s="430" t="s">
        <v>692</v>
      </c>
      <c r="R1082" s="430" t="str">
        <f>_xlfn.XLOOKUP(PV_DATA[[#This Row],[New Ark SKU]],Table9[New Ark SKU],Table9[Connector],,0)</f>
        <v>EVO2A</v>
      </c>
      <c r="S1082" s="433" t="str">
        <f>_xlfn.XLOOKUP(PV_DATA[[#This Row],[New Ark SKU]],Table9[New Ark SKU],Table9[Cable],,0)</f>
        <v>±1200mm</v>
      </c>
      <c r="T1082" s="433">
        <v>505</v>
      </c>
      <c r="U1082" s="1088">
        <v>1728</v>
      </c>
      <c r="V1082" s="434">
        <f>PV_DATA[[#This Row],[QUANTITY]]*PV_DATA[[#This Row],[WATT]]/1000000</f>
        <v>0.87263999999999997</v>
      </c>
      <c r="W1082" s="435">
        <f>PV_DATA[[#This Row],[QUANTITY]]/PV_DATA[[#This Row],[Qty/Pallet]]</f>
        <v>48</v>
      </c>
      <c r="X1082" s="1040">
        <f>PV_DATA[[#This Row],[QUANTITY]]/PV_DATA[[#This Row],[Qty/CT]]</f>
        <v>2</v>
      </c>
      <c r="Y1082" s="430" t="s">
        <v>2468</v>
      </c>
      <c r="Z1082" s="430" t="str">
        <f t="shared" si="20"/>
        <v>IN-TRANSIT</v>
      </c>
      <c r="AA1082" s="430" t="s">
        <v>6631</v>
      </c>
      <c r="AB1082" s="978">
        <v>46279</v>
      </c>
      <c r="AC1082" s="485">
        <f>IF(PV_DATA[[#This Row],[Pick- Up Date]]&lt;&gt;"",_xlfn.ISOWEEKNUM(PV_DATA[[#This Row],[Pick- Up Date]]),"")</f>
        <v>38</v>
      </c>
      <c r="AD1082" s="430" t="s">
        <v>6906</v>
      </c>
      <c r="AF1082" s="430" t="s">
        <v>77</v>
      </c>
      <c r="AG1082" s="430" t="s">
        <v>61</v>
      </c>
      <c r="AH1082" s="430" t="s">
        <v>78</v>
      </c>
      <c r="AI1082" s="978">
        <v>46284</v>
      </c>
      <c r="AJ1082" s="437">
        <f>IFERROR(VLOOKUP(AT1082, Vessel!A:D, 4, FALSE), "")</f>
        <v>46284.958333333336</v>
      </c>
      <c r="AK1082" s="437">
        <f>IFERROR(IF(VLOOKUP(AT1082,Vessel!A:F,5,FALSE)=0,"",VLOOKUP(AT1082,Vessel!A:F,5,FALSE)),"")</f>
        <v>46284.979166666664</v>
      </c>
      <c r="AL1082" s="978">
        <v>46344</v>
      </c>
      <c r="AM1082" s="949">
        <f>IFERROR(VLOOKUP(AT1082, Vessel!A:H, 8, FALSE), "")</f>
        <v>46344.25</v>
      </c>
      <c r="AN1082" s="949" t="str">
        <f>IFERROR(IF(VLOOKUP(AT1082,Vessel!A:I,9,FALSE)=0,"",VLOOKUP(AT1082,Vessel!A:I,9,FALSE)),"")</f>
        <v/>
      </c>
      <c r="AO1082" s="430" t="s">
        <v>402</v>
      </c>
      <c r="AP1082" s="430" t="s">
        <v>6902</v>
      </c>
      <c r="AQ1082" s="438" t="s">
        <v>80</v>
      </c>
      <c r="AR1082" s="430" t="s">
        <v>6907</v>
      </c>
      <c r="AS1082" s="430" t="s">
        <v>6908</v>
      </c>
      <c r="AT1082" s="430" t="s">
        <v>6908</v>
      </c>
      <c r="AU10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59.270833333335759</v>
      </c>
      <c r="AW1082" s="437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08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37" t="str">
        <f>IF(ISERROR(PV_DATA[[#This Row],[New Ark PO status]]),"",_xlfn.XLOOKUP(PV_DATA[[#This Row],[SPTN-PVHK New Ark PO'#]],New_Ark_Data[Purchase order Number],New_Ark_Data[Estimated time of arrival],"",0))</f>
        <v/>
      </c>
      <c r="AZ108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2" s="437">
        <f>IFERROR(PV_DATA[[#This Row],[ODP ETA Port]]+PV_DATA[[#This Row],[Customs/Leg3 Assumption]],"n/a")</f>
        <v>46352.25</v>
      </c>
      <c r="BB1082" s="433">
        <f>YEAR(PV_DATA[[#This Row],[ETA for New Ark update]])</f>
        <v>2026</v>
      </c>
      <c r="BC1082" s="430">
        <f>MONTH(PV_DATA[[#This Row],[ETA for New Ark update]])</f>
        <v>11</v>
      </c>
      <c r="BD1082" s="430">
        <f>IFERROR(_xlfn.ISOWEEKNUM(PV_DATA[[#This Row],[ETA for New Ark update]]),0)</f>
        <v>48</v>
      </c>
      <c r="BE1082" s="430">
        <f>_xlfn.XLOOKUP(PV_DATA[[#This Row],[New Ark SKU]],Table9[New Ark SKU],Table9[Total PCS per Pallet],,0)</f>
        <v>36</v>
      </c>
      <c r="BF1082" s="430">
        <f>_xlfn.XLOOKUP(PV_DATA[[#This Row],[New Ark SKU]],Table9[New Ark SKU],Table9[Total PCS per 40HQ Container],,0)</f>
        <v>864</v>
      </c>
      <c r="BG1082" s="430" t="str">
        <f>_xlfn.XLOOKUP(PV_DATA[[#This Row],[New Ark SKU]],Table9[New Ark SKU],Table9[Back Glass],,0)</f>
        <v>Black glazing</v>
      </c>
      <c r="BH1082" s="610" t="str">
        <f>_xlfn.XLOOKUP(PV_DATA[[#This Row],[PORT DESTINATION]],Table12[PORT DESTINATION],Table12[Cosco Line],,0)</f>
        <v>AEM</v>
      </c>
    </row>
    <row r="1083" spans="1:60" s="430" customFormat="1" ht="10.5">
      <c r="A1083" s="951" t="s">
        <v>6909</v>
      </c>
      <c r="B1083" s="459" t="s">
        <v>61</v>
      </c>
      <c r="C1083" s="462" t="str">
        <f>IFERROR(LEFT(PV_DATA[[#This Row],[TCL REFERENCE]],FIND(".",PV_DATA[[#This Row],[TCL REFERENCE]],1)-1),"Main Line")</f>
        <v>26Aug011</v>
      </c>
      <c r="D1083" s="945" t="s">
        <v>113</v>
      </c>
      <c r="E1083" s="462" t="s">
        <v>144</v>
      </c>
      <c r="F1083" s="462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3" s="462" t="s">
        <v>156</v>
      </c>
      <c r="H1083" s="462" t="s">
        <v>670</v>
      </c>
      <c r="I1083" s="462" t="s">
        <v>1395</v>
      </c>
      <c r="J1083" s="462" t="s">
        <v>670</v>
      </c>
      <c r="K1083" s="430" t="s">
        <v>6720</v>
      </c>
      <c r="L1083" s="430">
        <v>6</v>
      </c>
      <c r="M1083" s="462" t="s">
        <v>6656</v>
      </c>
      <c r="N1083" s="432"/>
      <c r="O1083" s="430" t="s">
        <v>284</v>
      </c>
      <c r="P1083" s="430" t="s">
        <v>6721</v>
      </c>
      <c r="Q1083" s="430" t="s">
        <v>1570</v>
      </c>
      <c r="R1083" s="430" t="str">
        <f>_xlfn.XLOOKUP(PV_DATA[[#This Row],[New Ark SKU]],Table9[New Ark SKU],Table9[Connector],,0)</f>
        <v>H4(Com)</v>
      </c>
      <c r="S1083" s="433" t="str">
        <f>_xlfn.XLOOKUP(PV_DATA[[#This Row],[New Ark SKU]],Table9[New Ark SKU],Table9[Cable],,0)</f>
        <v>+400mm/-200mm</v>
      </c>
      <c r="T1083" s="433">
        <v>650</v>
      </c>
      <c r="U1083" s="1088">
        <v>10800</v>
      </c>
      <c r="V1083" s="434">
        <f>PV_DATA[[#This Row],[QUANTITY]]*PV_DATA[[#This Row],[WATT]]/1000000</f>
        <v>7.02</v>
      </c>
      <c r="W1083" s="435">
        <f>PV_DATA[[#This Row],[QUANTITY]]/PV_DATA[[#This Row],[Qty/Pallet]]</f>
        <v>300</v>
      </c>
      <c r="X1083" s="1040">
        <f>PV_DATA[[#This Row],[QUANTITY]]/PV_DATA[[#This Row],[Qty/CT]]</f>
        <v>15</v>
      </c>
      <c r="Y1083" s="430" t="s">
        <v>2468</v>
      </c>
      <c r="Z1083" s="430" t="str">
        <f t="shared" si="20"/>
        <v>IN-TRANSIT</v>
      </c>
      <c r="AA1083" s="545">
        <v>46272</v>
      </c>
      <c r="AB1083" s="978">
        <v>46278</v>
      </c>
      <c r="AC1083" s="485">
        <f>IF(PV_DATA[[#This Row],[Pick- Up Date]]&lt;&gt;"",_xlfn.ISOWEEKNUM(PV_DATA[[#This Row],[Pick- Up Date]]),"")</f>
        <v>37</v>
      </c>
      <c r="AD1083" s="430" t="s">
        <v>6910</v>
      </c>
      <c r="AF1083" s="430" t="s">
        <v>77</v>
      </c>
      <c r="AG1083" s="430" t="s">
        <v>77</v>
      </c>
      <c r="AH1083" s="430" t="s">
        <v>105</v>
      </c>
      <c r="AI1083" s="978">
        <v>46287</v>
      </c>
      <c r="AJ1083" s="978">
        <v>46295</v>
      </c>
      <c r="AK1083" s="978">
        <v>46293</v>
      </c>
      <c r="AL1083" s="978">
        <v>46333</v>
      </c>
      <c r="AM1083" s="437"/>
      <c r="AN1083" s="588"/>
      <c r="AO1083" s="430" t="s">
        <v>156</v>
      </c>
      <c r="AP1083" s="430" t="s">
        <v>6911</v>
      </c>
      <c r="AQ1083" s="438" t="s">
        <v>161</v>
      </c>
      <c r="AR1083" s="430" t="s">
        <v>6912</v>
      </c>
      <c r="AS1083" s="430" t="s">
        <v>6913</v>
      </c>
      <c r="AT1083" s="430" t="s">
        <v>6914</v>
      </c>
      <c r="AU10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83" s="437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8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37" t="str">
        <f>IF(ISERROR(PV_DATA[[#This Row],[New Ark PO status]]),"",_xlfn.XLOOKUP(PV_DATA[[#This Row],[SPTN-PVHK New Ark PO'#]],New_Ark_Data[Purchase order Number],New_Ark_Data[Estimated time of arrival],"",0))</f>
        <v/>
      </c>
      <c r="AZ108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3" s="437">
        <f>IFERROR(PV_DATA[[#This Row],[ODP ETA Port]]+PV_DATA[[#This Row],[Customs/Leg3 Assumption]],"n/a")</f>
        <v>46333</v>
      </c>
      <c r="BB1083" s="433" t="s">
        <v>6536</v>
      </c>
      <c r="BC1083" s="433" t="s">
        <v>6536</v>
      </c>
      <c r="BD1083" s="430">
        <f>IFERROR(_xlfn.ISOWEEKNUM(PV_DATA[[#This Row],[ETA for New Ark update]]),0)</f>
        <v>45</v>
      </c>
      <c r="BE1083" s="430">
        <f>_xlfn.XLOOKUP(PV_DATA[[#This Row],[New Ark SKU]],Table9[New Ark SKU],Table9[Total PCS per Pallet],,0)</f>
        <v>36</v>
      </c>
      <c r="BF1083" s="430">
        <f>_xlfn.XLOOKUP(PV_DATA[[#This Row],[New Ark SKU]],Table9[New Ark SKU],Table9[Total PCS per 40HQ Container],,0)</f>
        <v>720</v>
      </c>
      <c r="BG1083" s="430" t="str">
        <f>_xlfn.XLOOKUP(PV_DATA[[#This Row],[New Ark SKU]],Table9[New Ark SKU],Table9[Back Glass],,0)</f>
        <v>White glazing</v>
      </c>
      <c r="BH1083" s="610" t="str">
        <f>_xlfn.XLOOKUP(PV_DATA[[#This Row],[PORT DESTINATION]],Table12[PORT DESTINATION],Table12[Cosco Line],,0)</f>
        <v>AEU</v>
      </c>
    </row>
    <row r="1084" spans="1:60" s="430" customFormat="1" ht="10.5">
      <c r="A1084" s="951" t="s">
        <v>6915</v>
      </c>
      <c r="B1084" s="459" t="s">
        <v>61</v>
      </c>
      <c r="C1084" s="462" t="str">
        <f>IFERROR(LEFT(PV_DATA[[#This Row],[TCL REFERENCE]],FIND(".",PV_DATA[[#This Row],[TCL REFERENCE]],1)-1),"Main Line")</f>
        <v>26Aug011</v>
      </c>
      <c r="D1084" s="945" t="s">
        <v>113</v>
      </c>
      <c r="E1084" s="462" t="s">
        <v>144</v>
      </c>
      <c r="F1084" s="462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4" s="462" t="s">
        <v>156</v>
      </c>
      <c r="H1084" s="462" t="s">
        <v>670</v>
      </c>
      <c r="I1084" s="462" t="s">
        <v>1395</v>
      </c>
      <c r="J1084" s="462" t="s">
        <v>670</v>
      </c>
      <c r="K1084" s="430" t="s">
        <v>6720</v>
      </c>
      <c r="L1084" s="430">
        <v>9</v>
      </c>
      <c r="M1084" s="462" t="s">
        <v>6656</v>
      </c>
      <c r="N1084" s="432"/>
      <c r="O1084" s="430" t="s">
        <v>284</v>
      </c>
      <c r="P1084" s="430" t="s">
        <v>6721</v>
      </c>
      <c r="Q1084" s="430" t="s">
        <v>1570</v>
      </c>
      <c r="R1084" s="430" t="str">
        <f>_xlfn.XLOOKUP(PV_DATA[[#This Row],[New Ark SKU]],Table9[New Ark SKU],Table9[Connector],,0)</f>
        <v>H4(Com)</v>
      </c>
      <c r="S1084" s="433" t="str">
        <f>_xlfn.XLOOKUP(PV_DATA[[#This Row],[New Ark SKU]],Table9[New Ark SKU],Table9[Cable],,0)</f>
        <v>+400mm/-200mm</v>
      </c>
      <c r="T1084" s="433">
        <v>650</v>
      </c>
      <c r="U1084" s="1088">
        <v>5040</v>
      </c>
      <c r="V1084" s="434">
        <f>PV_DATA[[#This Row],[QUANTITY]]*PV_DATA[[#This Row],[WATT]]/1000000</f>
        <v>3.2759999999999998</v>
      </c>
      <c r="W1084" s="435">
        <f>PV_DATA[[#This Row],[QUANTITY]]/PV_DATA[[#This Row],[Qty/Pallet]]</f>
        <v>140</v>
      </c>
      <c r="X1084" s="1040">
        <f>PV_DATA[[#This Row],[QUANTITY]]/PV_DATA[[#This Row],[Qty/CT]]</f>
        <v>7</v>
      </c>
      <c r="Y1084" s="430" t="s">
        <v>2469</v>
      </c>
      <c r="Z1084" s="430" t="str">
        <f t="shared" si="20"/>
        <v>IN-TRANSIT</v>
      </c>
      <c r="AA1084" s="545">
        <v>46275</v>
      </c>
      <c r="AB1084" s="978">
        <v>46278</v>
      </c>
      <c r="AC1084" s="485">
        <f>IF(PV_DATA[[#This Row],[Pick- Up Date]]&lt;&gt;"",_xlfn.ISOWEEKNUM(PV_DATA[[#This Row],[Pick- Up Date]]),"")</f>
        <v>37</v>
      </c>
      <c r="AD1084" s="430" t="s">
        <v>6916</v>
      </c>
      <c r="AF1084" s="430" t="s">
        <v>77</v>
      </c>
      <c r="AG1084" s="430" t="s">
        <v>77</v>
      </c>
      <c r="AH1084" s="430" t="s">
        <v>105</v>
      </c>
      <c r="AI1084" s="978">
        <v>46287</v>
      </c>
      <c r="AJ1084" s="978">
        <v>46295</v>
      </c>
      <c r="AK1084" s="978">
        <v>46293</v>
      </c>
      <c r="AL1084" s="978">
        <v>46333</v>
      </c>
      <c r="AM1084" s="437"/>
      <c r="AN1084" s="588"/>
      <c r="AO1084" s="430" t="s">
        <v>156</v>
      </c>
      <c r="AP1084" s="430" t="s">
        <v>6911</v>
      </c>
      <c r="AQ1084" s="438" t="s">
        <v>161</v>
      </c>
      <c r="AR1084" s="430" t="s">
        <v>6912</v>
      </c>
      <c r="AS1084" s="430" t="s">
        <v>6913</v>
      </c>
      <c r="AT1084" s="430" t="s">
        <v>6917</v>
      </c>
      <c r="AW1084" s="437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8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37" t="str">
        <f>IF(ISERROR(PV_DATA[[#This Row],[New Ark PO status]]),"",_xlfn.XLOOKUP(PV_DATA[[#This Row],[SPTN-PVHK New Ark PO'#]],New_Ark_Data[Purchase order Number],New_Ark_Data[Estimated time of arrival],"",0))</f>
        <v/>
      </c>
      <c r="AZ108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4" s="437">
        <f>IFERROR(PV_DATA[[#This Row],[ODP ETA Port]]+PV_DATA[[#This Row],[Customs/Leg3 Assumption]],"n/a")</f>
        <v>46333</v>
      </c>
      <c r="BB1084" s="433">
        <f>YEAR(PV_DATA[[#This Row],[ETA for New Ark update]])</f>
        <v>2026</v>
      </c>
      <c r="BC1084" s="430">
        <f>MONTH(PV_DATA[[#This Row],[ETA for New Ark update]])</f>
        <v>11</v>
      </c>
      <c r="BD1084" s="430">
        <f>IFERROR(_xlfn.ISOWEEKNUM(PV_DATA[[#This Row],[ETA for New Ark update]]),0)</f>
        <v>45</v>
      </c>
      <c r="BE1084" s="430">
        <f>_xlfn.XLOOKUP(PV_DATA[[#This Row],[New Ark SKU]],Table9[New Ark SKU],Table9[Total PCS per Pallet],,0)</f>
        <v>36</v>
      </c>
      <c r="BF1084" s="430">
        <f>_xlfn.XLOOKUP(PV_DATA[[#This Row],[New Ark SKU]],Table9[New Ark SKU],Table9[Total PCS per 40HQ Container],,0)</f>
        <v>720</v>
      </c>
      <c r="BG1084" s="430" t="str">
        <f>_xlfn.XLOOKUP(PV_DATA[[#This Row],[New Ark SKU]],Table9[New Ark SKU],Table9[Back Glass],,0)</f>
        <v>White glazing</v>
      </c>
      <c r="BH1084" s="610" t="str">
        <f>_xlfn.XLOOKUP(PV_DATA[[#This Row],[PORT DESTINATION]],Table12[PORT DESTINATION],Table12[Cosco Line],,0)</f>
        <v>AEU</v>
      </c>
    </row>
    <row r="1085" spans="1:60" s="430" customFormat="1" ht="10.5">
      <c r="A1085" s="951" t="s">
        <v>6918</v>
      </c>
      <c r="B1085" s="459" t="s">
        <v>61</v>
      </c>
      <c r="C1085" s="462" t="str">
        <f>IFERROR(LEFT(PV_DATA[[#This Row],[TCL REFERENCE]],FIND(".",PV_DATA[[#This Row],[TCL REFERENCE]],1)-1),"Main Line")</f>
        <v>26Aug011</v>
      </c>
      <c r="D1085" s="945" t="s">
        <v>113</v>
      </c>
      <c r="E1085" s="462" t="s">
        <v>144</v>
      </c>
      <c r="F1085" s="462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5" s="462" t="s">
        <v>156</v>
      </c>
      <c r="H1085" s="462" t="s">
        <v>670</v>
      </c>
      <c r="I1085" s="462" t="s">
        <v>1395</v>
      </c>
      <c r="J1085" s="462" t="s">
        <v>670</v>
      </c>
      <c r="K1085" s="430" t="s">
        <v>6720</v>
      </c>
      <c r="L1085" s="430">
        <v>3</v>
      </c>
      <c r="M1085" s="462" t="s">
        <v>6656</v>
      </c>
      <c r="N1085" s="432"/>
      <c r="O1085" s="430" t="s">
        <v>284</v>
      </c>
      <c r="P1085" s="430" t="s">
        <v>6721</v>
      </c>
      <c r="Q1085" s="430" t="s">
        <v>1570</v>
      </c>
      <c r="R1085" s="430" t="str">
        <f>_xlfn.XLOOKUP(PV_DATA[[#This Row],[New Ark SKU]],Table9[New Ark SKU],Table9[Connector],,0)</f>
        <v>H4(Com)</v>
      </c>
      <c r="S1085" s="433" t="str">
        <f>_xlfn.XLOOKUP(PV_DATA[[#This Row],[New Ark SKU]],Table9[New Ark SKU],Table9[Cable],,0)</f>
        <v>+400mm/-200mm</v>
      </c>
      <c r="T1085" s="433">
        <v>650</v>
      </c>
      <c r="U1085" s="1088">
        <v>5760</v>
      </c>
      <c r="V1085" s="434">
        <f>PV_DATA[[#This Row],[QUANTITY]]*PV_DATA[[#This Row],[WATT]]/1000000</f>
        <v>3.7440000000000002</v>
      </c>
      <c r="W1085" s="435">
        <f>PV_DATA[[#This Row],[QUANTITY]]/PV_DATA[[#This Row],[Qty/Pallet]]</f>
        <v>160</v>
      </c>
      <c r="X1085" s="1040">
        <f>PV_DATA[[#This Row],[QUANTITY]]/PV_DATA[[#This Row],[Qty/CT]]</f>
        <v>8</v>
      </c>
      <c r="Y1085" s="430" t="s">
        <v>2469</v>
      </c>
      <c r="Z1085" s="430" t="str">
        <f t="shared" si="20"/>
        <v>IN-TRANSIT</v>
      </c>
      <c r="AA1085" s="545">
        <v>46275</v>
      </c>
      <c r="AB1085" s="978">
        <v>46279</v>
      </c>
      <c r="AC1085" s="485">
        <f>IF(PV_DATA[[#This Row],[Pick- Up Date]]&lt;&gt;"",_xlfn.ISOWEEKNUM(PV_DATA[[#This Row],[Pick- Up Date]]),"")</f>
        <v>38</v>
      </c>
      <c r="AD1085" s="430" t="s">
        <v>6919</v>
      </c>
      <c r="AF1085" s="430" t="s">
        <v>77</v>
      </c>
      <c r="AG1085" s="430" t="s">
        <v>77</v>
      </c>
      <c r="AH1085" s="430" t="s">
        <v>105</v>
      </c>
      <c r="AI1085" s="978">
        <v>46287</v>
      </c>
      <c r="AJ1085" s="978">
        <v>46295</v>
      </c>
      <c r="AK1085" s="978">
        <v>46293</v>
      </c>
      <c r="AL1085" s="978">
        <v>46333</v>
      </c>
      <c r="AM1085" s="437"/>
      <c r="AN1085" s="588"/>
      <c r="AO1085" s="430" t="s">
        <v>156</v>
      </c>
      <c r="AP1085" s="430" t="s">
        <v>6911</v>
      </c>
      <c r="AQ1085" s="438" t="s">
        <v>161</v>
      </c>
      <c r="AR1085" s="430" t="s">
        <v>6912</v>
      </c>
      <c r="AS1085" s="430" t="s">
        <v>6913</v>
      </c>
      <c r="AT1085" s="430" t="s">
        <v>6917</v>
      </c>
      <c r="AU10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85" s="437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8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37" t="str">
        <f>IF(ISERROR(PV_DATA[[#This Row],[New Ark PO status]]),"",_xlfn.XLOOKUP(PV_DATA[[#This Row],[SPTN-PVHK New Ark PO'#]],New_Ark_Data[Purchase order Number],New_Ark_Data[Estimated time of arrival],"",0))</f>
        <v/>
      </c>
      <c r="AZ108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5" s="437">
        <f>IFERROR(PV_DATA[[#This Row],[ODP ETA Port]]+PV_DATA[[#This Row],[Customs/Leg3 Assumption]],"n/a")</f>
        <v>46333</v>
      </c>
      <c r="BB1085" s="433" t="s">
        <v>6536</v>
      </c>
      <c r="BC1085" s="433" t="s">
        <v>6536</v>
      </c>
      <c r="BD1085" s="430">
        <f>IFERROR(_xlfn.ISOWEEKNUM(PV_DATA[[#This Row],[ETA for New Ark update]]),0)</f>
        <v>45</v>
      </c>
      <c r="BE1085" s="430">
        <f>_xlfn.XLOOKUP(PV_DATA[[#This Row],[New Ark SKU]],Table9[New Ark SKU],Table9[Total PCS per Pallet],,0)</f>
        <v>36</v>
      </c>
      <c r="BF1085" s="430">
        <f>_xlfn.XLOOKUP(PV_DATA[[#This Row],[New Ark SKU]],Table9[New Ark SKU],Table9[Total PCS per 40HQ Container],,0)</f>
        <v>720</v>
      </c>
      <c r="BG1085" s="430" t="str">
        <f>_xlfn.XLOOKUP(PV_DATA[[#This Row],[New Ark SKU]],Table9[New Ark SKU],Table9[Back Glass],,0)</f>
        <v>White glazing</v>
      </c>
      <c r="BH1085" s="610" t="str">
        <f>_xlfn.XLOOKUP(PV_DATA[[#This Row],[PORT DESTINATION]],Table12[PORT DESTINATION],Table12[Cosco Line],,0)</f>
        <v>AEU</v>
      </c>
    </row>
    <row r="1086" spans="1:60" s="430" customFormat="1" ht="10.5">
      <c r="A1086" s="951" t="s">
        <v>6920</v>
      </c>
      <c r="B1086" s="462" t="s">
        <v>61</v>
      </c>
      <c r="C1086" s="462" t="str">
        <f>IFERROR(LEFT(PV_DATA[[#This Row],[TCL REFERENCE]],FIND(".",PV_DATA[[#This Row],[TCL REFERENCE]],1)-1),"Main Line")</f>
        <v>26Aug011</v>
      </c>
      <c r="D1086" s="945" t="s">
        <v>113</v>
      </c>
      <c r="E1086" s="462" t="s">
        <v>144</v>
      </c>
      <c r="F1086" s="462" t="str" cm="1">
        <f t="array" ref="F10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6" s="462" t="s">
        <v>156</v>
      </c>
      <c r="H1086" s="462" t="s">
        <v>670</v>
      </c>
      <c r="I1086" s="462" t="s">
        <v>1395</v>
      </c>
      <c r="J1086" s="462" t="s">
        <v>670</v>
      </c>
      <c r="K1086" s="430" t="s">
        <v>6720</v>
      </c>
      <c r="L1086" s="430">
        <v>8</v>
      </c>
      <c r="M1086" s="462" t="s">
        <v>6656</v>
      </c>
      <c r="N1086" s="432"/>
      <c r="O1086" s="430" t="s">
        <v>284</v>
      </c>
      <c r="P1086" s="430" t="s">
        <v>6721</v>
      </c>
      <c r="Q1086" s="430" t="s">
        <v>1570</v>
      </c>
      <c r="R1086" s="430" t="str">
        <f>_xlfn.XLOOKUP(PV_DATA[[#This Row],[New Ark SKU]],Table9[New Ark SKU],Table9[Connector],,0)</f>
        <v>H4(Com)</v>
      </c>
      <c r="S1086" s="433" t="str">
        <f>_xlfn.XLOOKUP(PV_DATA[[#This Row],[New Ark SKU]],Table9[New Ark SKU],Table9[Cable],,0)</f>
        <v>+400mm/-200mm</v>
      </c>
      <c r="T1086" s="433">
        <v>650</v>
      </c>
      <c r="U1086" s="1088">
        <v>6480</v>
      </c>
      <c r="V1086" s="434">
        <f>PV_DATA[[#This Row],[QUANTITY]]*PV_DATA[[#This Row],[WATT]]/1000000</f>
        <v>4.2119999999999997</v>
      </c>
      <c r="W1086" s="435">
        <f>PV_DATA[[#This Row],[QUANTITY]]/PV_DATA[[#This Row],[Qty/Pallet]]</f>
        <v>180</v>
      </c>
      <c r="X1086" s="1040">
        <f>PV_DATA[[#This Row],[QUANTITY]]/PV_DATA[[#This Row],[Qty/CT]]</f>
        <v>9</v>
      </c>
      <c r="Y1086" s="430" t="s">
        <v>2469</v>
      </c>
      <c r="Z1086" s="430" t="str">
        <f t="shared" si="20"/>
        <v>IN-TRANSIT</v>
      </c>
      <c r="AA1086" s="545">
        <v>46277</v>
      </c>
      <c r="AB1086" s="978">
        <v>46284</v>
      </c>
      <c r="AC1086" s="485">
        <f>IF(PV_DATA[[#This Row],[Pick- Up Date]]&lt;&gt;"",_xlfn.ISOWEEKNUM(PV_DATA[[#This Row],[Pick- Up Date]]),"")</f>
        <v>38</v>
      </c>
      <c r="AD1086" s="430" t="s">
        <v>6921</v>
      </c>
      <c r="AF1086" s="430" t="s">
        <v>77</v>
      </c>
      <c r="AG1086" s="430" t="s">
        <v>77</v>
      </c>
      <c r="AH1086" s="430" t="s">
        <v>105</v>
      </c>
      <c r="AI1086" s="978">
        <v>46286</v>
      </c>
      <c r="AJ1086" s="978">
        <v>46297</v>
      </c>
      <c r="AK1086" s="437">
        <v>46297</v>
      </c>
      <c r="AL1086" s="978">
        <v>46340</v>
      </c>
      <c r="AM1086" s="437">
        <v>46330</v>
      </c>
      <c r="AN1086" s="588"/>
      <c r="AO1086" s="430" t="s">
        <v>156</v>
      </c>
      <c r="AP1086" s="430" t="s">
        <v>6922</v>
      </c>
      <c r="AQ1086" s="438" t="s">
        <v>161</v>
      </c>
      <c r="AR1086" s="430" t="s">
        <v>6923</v>
      </c>
      <c r="AS1086" s="430" t="s">
        <v>6924</v>
      </c>
      <c r="AT1086" s="430" t="s">
        <v>6925</v>
      </c>
      <c r="AU10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86" s="437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8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37" t="str">
        <f>IF(ISERROR(PV_DATA[[#This Row],[New Ark PO status]]),"",_xlfn.XLOOKUP(PV_DATA[[#This Row],[SPTN-PVHK New Ark PO'#]],New_Ark_Data[Purchase order Number],New_Ark_Data[Estimated time of arrival],"",0))</f>
        <v/>
      </c>
      <c r="AZ108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6" s="437">
        <f>IFERROR(PV_DATA[[#This Row],[ODP ETA Port]]+PV_DATA[[#This Row],[Customs/Leg3 Assumption]],"n/a")</f>
        <v>46330</v>
      </c>
      <c r="BB1086" s="433" t="s">
        <v>6536</v>
      </c>
      <c r="BC1086" s="433" t="s">
        <v>6536</v>
      </c>
      <c r="BD1086" s="430">
        <f>IFERROR(_xlfn.ISOWEEKNUM(PV_DATA[[#This Row],[ETA for New Ark update]]),0)</f>
        <v>45</v>
      </c>
      <c r="BE1086" s="430">
        <f>_xlfn.XLOOKUP(PV_DATA[[#This Row],[New Ark SKU]],Table9[New Ark SKU],Table9[Total PCS per Pallet],,0)</f>
        <v>36</v>
      </c>
      <c r="BF1086" s="430">
        <f>_xlfn.XLOOKUP(PV_DATA[[#This Row],[New Ark SKU]],Table9[New Ark SKU],Table9[Total PCS per 40HQ Container],,0)</f>
        <v>720</v>
      </c>
      <c r="BG1086" s="430" t="str">
        <f>_xlfn.XLOOKUP(PV_DATA[[#This Row],[New Ark SKU]],Table9[New Ark SKU],Table9[Back Glass],,0)</f>
        <v>White glazing</v>
      </c>
      <c r="BH1086" s="610" t="str">
        <f>_xlfn.XLOOKUP(PV_DATA[[#This Row],[PORT DESTINATION]],Table12[PORT DESTINATION],Table12[Cosco Line],,0)</f>
        <v>AEU</v>
      </c>
    </row>
    <row r="1087" spans="1:60" s="430" customFormat="1" ht="10.5">
      <c r="A1087" s="951" t="s">
        <v>6926</v>
      </c>
      <c r="B1087" s="462" t="s">
        <v>61</v>
      </c>
      <c r="C1087" s="462" t="str">
        <f>IFERROR(LEFT(PV_DATA[[#This Row],[TCL REFERENCE]],FIND(".",PV_DATA[[#This Row],[TCL REFERENCE]],1)-1),"Main Line")</f>
        <v>26Aug012</v>
      </c>
      <c r="D1087" s="945" t="s">
        <v>113</v>
      </c>
      <c r="E1087" s="462" t="s">
        <v>144</v>
      </c>
      <c r="F1087" s="462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7" s="462" t="s">
        <v>156</v>
      </c>
      <c r="H1087" s="462" t="s">
        <v>670</v>
      </c>
      <c r="I1087" s="462" t="s">
        <v>1395</v>
      </c>
      <c r="J1087" s="462" t="s">
        <v>670</v>
      </c>
      <c r="K1087" s="430" t="s">
        <v>6720</v>
      </c>
      <c r="L1087" s="430">
        <v>4</v>
      </c>
      <c r="M1087" s="462" t="s">
        <v>6656</v>
      </c>
      <c r="N1087" s="432"/>
      <c r="O1087" s="430" t="s">
        <v>284</v>
      </c>
      <c r="P1087" s="430" t="s">
        <v>6728</v>
      </c>
      <c r="Q1087" s="430" t="s">
        <v>5346</v>
      </c>
      <c r="R1087" s="430" t="str">
        <f>_xlfn.XLOOKUP(PV_DATA[[#This Row],[New Ark SKU]],Table9[New Ark SKU],Table9[Connector],,0)</f>
        <v>H4(Com)</v>
      </c>
      <c r="S1087" s="433" t="str">
        <f>_xlfn.XLOOKUP(PV_DATA[[#This Row],[New Ark SKU]],Table9[New Ark SKU],Table9[Cable],,0)</f>
        <v>+400mm/-200mm</v>
      </c>
      <c r="T1087" s="433">
        <v>655</v>
      </c>
      <c r="U1087" s="1088">
        <v>720</v>
      </c>
      <c r="V1087" s="434">
        <f>PV_DATA[[#This Row],[QUANTITY]]*PV_DATA[[#This Row],[WATT]]/1000000</f>
        <v>0.47160000000000002</v>
      </c>
      <c r="W1087" s="435">
        <f>PV_DATA[[#This Row],[QUANTITY]]/PV_DATA[[#This Row],[Qty/Pallet]]</f>
        <v>20</v>
      </c>
      <c r="X1087" s="1040">
        <f>PV_DATA[[#This Row],[QUANTITY]]/PV_DATA[[#This Row],[Qty/CT]]</f>
        <v>1</v>
      </c>
      <c r="Y1087" s="430" t="s">
        <v>2470</v>
      </c>
      <c r="Z1087" s="430" t="str">
        <f t="shared" si="20"/>
        <v>IN-TRANSIT</v>
      </c>
      <c r="AB1087" s="978">
        <v>46284</v>
      </c>
      <c r="AC1087" s="485">
        <f>IF(PV_DATA[[#This Row],[Pick- Up Date]]&lt;&gt;"",_xlfn.ISOWEEKNUM(PV_DATA[[#This Row],[Pick- Up Date]]),"")</f>
        <v>38</v>
      </c>
      <c r="AD1087" s="430" t="s">
        <v>6927</v>
      </c>
      <c r="AF1087" s="430" t="s">
        <v>77</v>
      </c>
      <c r="AG1087" s="430" t="s">
        <v>77</v>
      </c>
      <c r="AH1087" s="430" t="s">
        <v>105</v>
      </c>
      <c r="AI1087" s="978">
        <v>46286</v>
      </c>
      <c r="AJ1087" s="978">
        <v>46297</v>
      </c>
      <c r="AK1087" s="437">
        <v>46297</v>
      </c>
      <c r="AL1087" s="978">
        <v>46340</v>
      </c>
      <c r="AM1087" s="437">
        <v>46330</v>
      </c>
      <c r="AN1087" s="588"/>
      <c r="AO1087" s="430" t="s">
        <v>156</v>
      </c>
      <c r="AP1087" s="430" t="s">
        <v>6922</v>
      </c>
      <c r="AQ1087" s="438" t="s">
        <v>161</v>
      </c>
      <c r="AR1087" s="430" t="s">
        <v>6923</v>
      </c>
      <c r="AS1087" s="430" t="s">
        <v>6924</v>
      </c>
      <c r="AT1087" s="430" t="s">
        <v>6925</v>
      </c>
      <c r="AW1087" s="437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8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37" t="str">
        <f>IF(ISERROR(PV_DATA[[#This Row],[New Ark PO status]]),"",_xlfn.XLOOKUP(PV_DATA[[#This Row],[SPTN-PVHK New Ark PO'#]],New_Ark_Data[Purchase order Number],New_Ark_Data[Estimated time of arrival],"",0))</f>
        <v/>
      </c>
      <c r="AZ108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7" s="437">
        <f>IFERROR(PV_DATA[[#This Row],[ODP ETA Port]]+PV_DATA[[#This Row],[Customs/Leg3 Assumption]],"n/a")</f>
        <v>46330</v>
      </c>
      <c r="BB1087" s="433">
        <f>YEAR(PV_DATA[[#This Row],[ETA for New Ark update]])</f>
        <v>2026</v>
      </c>
      <c r="BC1087" s="430">
        <f>MONTH(PV_DATA[[#This Row],[ETA for New Ark update]])</f>
        <v>11</v>
      </c>
      <c r="BD1087" s="430">
        <f>IFERROR(_xlfn.ISOWEEKNUM(PV_DATA[[#This Row],[ETA for New Ark update]]),0)</f>
        <v>45</v>
      </c>
      <c r="BE1087" s="430">
        <f>_xlfn.XLOOKUP(PV_DATA[[#This Row],[New Ark SKU]],Table9[New Ark SKU],Table9[Total PCS per Pallet],,0)</f>
        <v>36</v>
      </c>
      <c r="BF1087" s="430">
        <f>_xlfn.XLOOKUP(PV_DATA[[#This Row],[New Ark SKU]],Table9[New Ark SKU],Table9[Total PCS per 40HQ Container],,0)</f>
        <v>720</v>
      </c>
      <c r="BG1087" s="430" t="str">
        <f>_xlfn.XLOOKUP(PV_DATA[[#This Row],[New Ark SKU]],Table9[New Ark SKU],Table9[Back Glass],,0)</f>
        <v>White glazing</v>
      </c>
      <c r="BH1087" s="610" t="str">
        <f>_xlfn.XLOOKUP(PV_DATA[[#This Row],[PORT DESTINATION]],Table12[PORT DESTINATION],Table12[Cosco Line],,0)</f>
        <v>AEU</v>
      </c>
    </row>
    <row r="1088" spans="1:60" s="430" customFormat="1" ht="13.5" customHeight="1">
      <c r="A1088" s="729" t="s">
        <v>6928</v>
      </c>
      <c r="B1088" s="462" t="s">
        <v>111</v>
      </c>
      <c r="C1088" s="462" t="str">
        <f>IFERROR(LEFT(PV_DATA[[#This Row],[TCL REFERENCE]],FIND(".",PV_DATA[[#This Row],[TCL REFERENCE]],1)-1),"Main Line")</f>
        <v>26Aug025</v>
      </c>
      <c r="D1088" s="945" t="s">
        <v>113</v>
      </c>
      <c r="E1088" s="462" t="s">
        <v>144</v>
      </c>
      <c r="F1088" s="462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8" s="462" t="s">
        <v>402</v>
      </c>
      <c r="H1088" s="462" t="s">
        <v>670</v>
      </c>
      <c r="I1088" s="462" t="s">
        <v>1395</v>
      </c>
      <c r="J1088" s="462" t="s">
        <v>670</v>
      </c>
      <c r="K1088" s="430" t="s">
        <v>6266</v>
      </c>
      <c r="L1088" s="430">
        <v>20</v>
      </c>
      <c r="M1088" s="430" t="s">
        <v>4967</v>
      </c>
      <c r="N1088" s="432"/>
      <c r="O1088" s="430" t="s">
        <v>4531</v>
      </c>
      <c r="P1088" s="430" t="s">
        <v>6461</v>
      </c>
      <c r="Q1088" s="430" t="s">
        <v>4598</v>
      </c>
      <c r="R1088" s="430" t="str">
        <f>_xlfn.XLOOKUP(PV_DATA[[#This Row],[New Ark SKU]],Table9[New Ark SKU],Table9[Connector],,0)</f>
        <v>H4(Com)</v>
      </c>
      <c r="S1088" s="433" t="str">
        <f>_xlfn.XLOOKUP(PV_DATA[[#This Row],[New Ark SKU]],Table9[New Ark SKU],Table9[Cable],,0)</f>
        <v>+400mm/-200mm</v>
      </c>
      <c r="T1088" s="433">
        <v>630</v>
      </c>
      <c r="U1088" s="1100">
        <v>7920</v>
      </c>
      <c r="V1088" s="434">
        <f>PV_DATA[[#This Row],[QUANTITY]]*PV_DATA[[#This Row],[WATT]]/1000000</f>
        <v>4.9896000000000003</v>
      </c>
      <c r="W1088" s="981">
        <f>PV_DATA[[#This Row],[QUANTITY]]/36</f>
        <v>220</v>
      </c>
      <c r="X1088" s="1221">
        <f>PV_DATA[[#This Row],[QUANTITY]]/PV_DATA[[#This Row],[Qty/CT]]</f>
        <v>11</v>
      </c>
      <c r="Y1088" s="430" t="s">
        <v>2470</v>
      </c>
      <c r="Z1088" s="430" t="str">
        <f t="shared" si="20"/>
        <v>IN-TRANSIT</v>
      </c>
      <c r="AA1088" s="430" t="s">
        <v>5853</v>
      </c>
      <c r="AB1088" s="437">
        <v>46284</v>
      </c>
      <c r="AC1088" s="485">
        <f>IF(PV_DATA[[#This Row],[Pick- Up Date]]&lt;&gt;"",_xlfn.ISOWEEKNUM(PV_DATA[[#This Row],[Pick- Up Date]]),"")</f>
        <v>38</v>
      </c>
      <c r="AD1088" s="430" t="s">
        <v>6929</v>
      </c>
      <c r="AF1088" s="430" t="s">
        <v>122</v>
      </c>
      <c r="AG1088" s="430" t="s">
        <v>122</v>
      </c>
      <c r="AH1088" s="430" t="s">
        <v>105</v>
      </c>
      <c r="AI1088" s="437">
        <v>46288</v>
      </c>
      <c r="AJ1088" s="437">
        <v>46293</v>
      </c>
      <c r="AK1088" s="437">
        <v>46293</v>
      </c>
      <c r="AL1088" s="437">
        <v>46326</v>
      </c>
      <c r="AM1088" s="437"/>
      <c r="AN1088" s="588" t="str">
        <f>IFERROR(IF(VLOOKUP(AT1088,Vessel!A:I,9,FALSE)=0,"",VLOOKUP(AT1088,Vessel!A:I,9,FALSE)),"")</f>
        <v/>
      </c>
      <c r="AQ1088" s="438" t="s">
        <v>161</v>
      </c>
      <c r="AR1088" s="430" t="s">
        <v>6930</v>
      </c>
      <c r="AS1088" s="430" t="s">
        <v>6931</v>
      </c>
      <c r="AT1088" s="430" t="s">
        <v>6932</v>
      </c>
      <c r="AU10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88" s="437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8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37" t="str">
        <f>IF(ISERROR(PV_DATA[[#This Row],[New Ark PO status]]),"",_xlfn.XLOOKUP(PV_DATA[[#This Row],[SPTN-PVHK New Ark PO'#]],New_Ark_Data[Purchase order Number],New_Ark_Data[Estimated time of arrival],"",0))</f>
        <v/>
      </c>
      <c r="AZ108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8" s="437">
        <f>IFERROR(PV_DATA[[#This Row],[ODP ETA Port]]+PV_DATA[[#This Row],[Customs/Leg3 Assumption]],"n/a")</f>
        <v>46326</v>
      </c>
      <c r="BB1088" s="433">
        <f>YEAR(PV_DATA[[#This Row],[ETA for New Ark update]])</f>
        <v>2026</v>
      </c>
      <c r="BC1088" s="430">
        <f>MONTH(PV_DATA[[#This Row],[ETA for New Ark update]])</f>
        <v>10</v>
      </c>
      <c r="BD1088" s="430">
        <f>IFERROR(_xlfn.ISOWEEKNUM(PV_DATA[[#This Row],[ETA for New Ark update]]),0)</f>
        <v>44</v>
      </c>
      <c r="BE1088" s="430">
        <f>_xlfn.XLOOKUP(PV_DATA[[#This Row],[New Ark SKU]],Table9[New Ark SKU],Table9[Total PCS per Pallet],,0)</f>
        <v>36</v>
      </c>
      <c r="BF1088" s="430">
        <f>_xlfn.XLOOKUP(PV_DATA[[#This Row],[New Ark SKU]],Table9[New Ark SKU],Table9[Total PCS per 40HQ Container],,0)</f>
        <v>720</v>
      </c>
      <c r="BG1088" s="430" t="str">
        <f>_xlfn.XLOOKUP(PV_DATA[[#This Row],[New Ark SKU]],Table9[New Ark SKU],Table9[Back Glass],,0)</f>
        <v>Redirection Film</v>
      </c>
      <c r="BH1088" s="610" t="str">
        <f>_xlfn.XLOOKUP(PV_DATA[[#This Row],[PORT DESTINATION]],Table12[PORT DESTINATION],Table12[Cosco Line],,0)</f>
        <v>AEU</v>
      </c>
    </row>
    <row r="1089" spans="1:60" s="430" customFormat="1" ht="13.5" customHeight="1">
      <c r="A1089" s="729" t="s">
        <v>6933</v>
      </c>
      <c r="B1089" s="462" t="s">
        <v>111</v>
      </c>
      <c r="C1089" s="462" t="str">
        <f>IFERROR(LEFT(PV_DATA[[#This Row],[TCL REFERENCE]],FIND(".",PV_DATA[[#This Row],[TCL REFERENCE]],1)-1),"Main Line")</f>
        <v>26Aug015</v>
      </c>
      <c r="D1089" s="462" t="s">
        <v>63</v>
      </c>
      <c r="E1089" s="462" t="s">
        <v>64</v>
      </c>
      <c r="F1089" s="462" t="str" cm="1">
        <f t="array" ref="F10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9" s="462" t="s">
        <v>402</v>
      </c>
      <c r="H1089" s="462" t="s">
        <v>67</v>
      </c>
      <c r="I1089" s="462" t="s">
        <v>689</v>
      </c>
      <c r="J1089" s="430" t="s">
        <v>96</v>
      </c>
      <c r="M1089" s="430" t="s">
        <v>68</v>
      </c>
      <c r="N1089" s="432">
        <v>46285</v>
      </c>
      <c r="O1089" s="430" t="s">
        <v>550</v>
      </c>
      <c r="P1089" s="430" t="s">
        <v>551</v>
      </c>
      <c r="Q1089" s="430" t="s">
        <v>2151</v>
      </c>
      <c r="R1089" s="430" t="str">
        <f>_xlfn.XLOOKUP(PV_DATA[[#This Row],[New Ark SKU]],Table9[New Ark SKU],Table9[Connector],,0)</f>
        <v>EVO2A</v>
      </c>
      <c r="S1089" s="433" t="str">
        <f>_xlfn.XLOOKUP(PV_DATA[[#This Row],[New Ark SKU]],Table9[New Ark SKU],Table9[Cable],,0)</f>
        <v>±1350mm</v>
      </c>
      <c r="T1089" s="433">
        <v>510</v>
      </c>
      <c r="U1089" s="1088">
        <v>792</v>
      </c>
      <c r="V1089" s="434">
        <f>PV_DATA[[#This Row],[QUANTITY]]*PV_DATA[[#This Row],[WATT]]/1000000</f>
        <v>0.40392</v>
      </c>
      <c r="W1089" s="435">
        <f>PV_DATA[[#This Row],[QUANTITY]]/PV_DATA[[#This Row],[Qty/Pallet]]</f>
        <v>22</v>
      </c>
      <c r="X1089" s="1040">
        <f>PV_DATA[[#This Row],[QUANTITY]]/PV_DATA[[#This Row],[Qty/CT]]</f>
        <v>1</v>
      </c>
      <c r="Y1089" s="430" t="s">
        <v>2471</v>
      </c>
      <c r="Z1089" s="430" t="str">
        <f t="shared" si="20"/>
        <v>IN-TRANSIT</v>
      </c>
      <c r="AA1089" s="545">
        <v>46282</v>
      </c>
      <c r="AB1089" s="437">
        <v>46285</v>
      </c>
      <c r="AC1089" s="485">
        <f>IF(PV_DATA[[#This Row],[Pick- Up Date]]&lt;&gt;"",_xlfn.ISOWEEKNUM(PV_DATA[[#This Row],[Pick- Up Date]]),"")</f>
        <v>38</v>
      </c>
      <c r="AD1089" s="430" t="s">
        <v>6934</v>
      </c>
      <c r="AF1089" s="430" t="s">
        <v>122</v>
      </c>
      <c r="AG1089" s="430" t="s">
        <v>122</v>
      </c>
      <c r="AH1089" s="430" t="s">
        <v>105</v>
      </c>
      <c r="AI1089" s="437">
        <v>46288</v>
      </c>
      <c r="AJ1089" s="437">
        <v>46293</v>
      </c>
      <c r="AK1089" s="437">
        <v>46293</v>
      </c>
      <c r="AL1089" s="437">
        <v>46326</v>
      </c>
      <c r="AM1089" s="437"/>
      <c r="AN1089" s="588" t="str">
        <f>IFERROR(IF(VLOOKUP(AT1089,Vessel!A:I,9,FALSE)=0,"",VLOOKUP(AT1089,Vessel!A:I,9,FALSE)),"")</f>
        <v/>
      </c>
      <c r="AQ1089" s="438" t="s">
        <v>161</v>
      </c>
      <c r="AR1089" s="430" t="s">
        <v>6935</v>
      </c>
      <c r="AS1089" s="430" t="s">
        <v>6936</v>
      </c>
      <c r="AT1089" s="430" t="s">
        <v>6932</v>
      </c>
      <c r="AU10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89" s="437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8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37" t="str">
        <f>IF(ISERROR(PV_DATA[[#This Row],[New Ark PO status]]),"",_xlfn.XLOOKUP(PV_DATA[[#This Row],[SPTN-PVHK New Ark PO'#]],New_Ark_Data[Purchase order Number],New_Ark_Data[Estimated time of arrival],"",0))</f>
        <v/>
      </c>
      <c r="AZ108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9" s="437">
        <f>IFERROR(PV_DATA[[#This Row],[ODP ETA Port]]+PV_DATA[[#This Row],[Customs/Leg3 Assumption]],"n/a")</f>
        <v>46333</v>
      </c>
      <c r="BB1089" s="433" t="s">
        <v>6536</v>
      </c>
      <c r="BC1089" s="433" t="s">
        <v>6536</v>
      </c>
      <c r="BD1089" s="430">
        <f>IFERROR(_xlfn.ISOWEEKNUM(PV_DATA[[#This Row],[ETA for New Ark update]]),0)</f>
        <v>45</v>
      </c>
      <c r="BE1089" s="430">
        <f>_xlfn.XLOOKUP(PV_DATA[[#This Row],[New Ark SKU]],Table9[New Ark SKU],Table9[Total PCS per Pallet],,0)</f>
        <v>36</v>
      </c>
      <c r="BF1089" s="430">
        <f>_xlfn.XLOOKUP(PV_DATA[[#This Row],[New Ark SKU]],Table9[New Ark SKU],Table9[Total PCS per 40HQ Container],,0)</f>
        <v>792</v>
      </c>
      <c r="BG1089" s="430" t="str">
        <f>_xlfn.XLOOKUP(PV_DATA[[#This Row],[New Ark SKU]],Table9[New Ark SKU],Table9[Back Glass],,0)</f>
        <v>Black glazing</v>
      </c>
      <c r="BH1089" s="610" t="str">
        <f>_xlfn.XLOOKUP(PV_DATA[[#This Row],[PORT DESTINATION]],Table12[PORT DESTINATION],Table12[Cosco Line],,0)</f>
        <v>AEU</v>
      </c>
    </row>
    <row r="1090" spans="1:60" s="430" customFormat="1" ht="13.5" customHeight="1">
      <c r="A1090" s="462" t="s">
        <v>6937</v>
      </c>
      <c r="B1090" s="462" t="s">
        <v>1757</v>
      </c>
      <c r="C1090" s="459" t="str">
        <f>IFERROR(LEFT(PV_DATA[[#This Row],[TCL REFERENCE]],FIND(".",PV_DATA[[#This Row],[TCL REFERENCE]],1)-1),"Main Line")</f>
        <v>26Aug013</v>
      </c>
      <c r="D1090" s="945" t="s">
        <v>113</v>
      </c>
      <c r="E1090" s="462" t="s">
        <v>144</v>
      </c>
      <c r="F1090" s="462" t="str" cm="1">
        <f t="array" ref="F10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0" s="462" t="s">
        <v>402</v>
      </c>
      <c r="H1090" s="462" t="s">
        <v>670</v>
      </c>
      <c r="I1090" s="462" t="s">
        <v>1395</v>
      </c>
      <c r="J1090" s="462" t="s">
        <v>670</v>
      </c>
      <c r="K1090" s="430" t="s">
        <v>6839</v>
      </c>
      <c r="L1090" s="430">
        <v>2</v>
      </c>
      <c r="M1090" s="430" t="s">
        <v>840</v>
      </c>
      <c r="N1090" s="432"/>
      <c r="O1090" s="430" t="s">
        <v>284</v>
      </c>
      <c r="P1090" s="430" t="s">
        <v>6840</v>
      </c>
      <c r="Q1090" s="430" t="s">
        <v>6841</v>
      </c>
      <c r="R1090" s="430" t="str">
        <f>_xlfn.XLOOKUP(PV_DATA[[#This Row],[New Ark SKU]],Table9[New Ark SKU],Table9[Connector],,0)</f>
        <v>EVO2A</v>
      </c>
      <c r="S1090" s="433" t="str">
        <f>_xlfn.XLOOKUP(PV_DATA[[#This Row],[New Ark SKU]],Table9[New Ark SKU],Table9[Cable],,0)</f>
        <v>±1200mm</v>
      </c>
      <c r="T1090" s="433">
        <v>490</v>
      </c>
      <c r="U1090" s="1088">
        <f>936*4</f>
        <v>3744</v>
      </c>
      <c r="V1090" s="434">
        <f>PV_DATA[[#This Row],[QUANTITY]]*PV_DATA[[#This Row],[WATT]]/1000000</f>
        <v>1.83456</v>
      </c>
      <c r="W1090" s="981">
        <f>PV_DATA[[#This Row],[QUANTITY]]/36</f>
        <v>104</v>
      </c>
      <c r="X1090" s="1040">
        <f>PV_DATA[[#This Row],[QUANTITY]]/PV_DATA[[#This Row],[Qty/CT]]</f>
        <v>4</v>
      </c>
      <c r="Y1090" s="430" t="s">
        <v>2468</v>
      </c>
      <c r="Z1090" s="430" t="str">
        <f t="shared" si="20"/>
        <v>IN-TRANSIT</v>
      </c>
      <c r="AA1090" s="430" t="s">
        <v>6938</v>
      </c>
      <c r="AB1090" s="437">
        <v>46285</v>
      </c>
      <c r="AC1090" s="485">
        <f>IF(PV_DATA[[#This Row],[Pick- Up Date]]&lt;&gt;"",_xlfn.ISOWEEKNUM(PV_DATA[[#This Row],[Pick- Up Date]]),"")</f>
        <v>38</v>
      </c>
      <c r="AD1090" s="430" t="s">
        <v>6939</v>
      </c>
      <c r="AF1090" s="459" t="s">
        <v>5855</v>
      </c>
      <c r="AG1090" s="430" t="s">
        <v>122</v>
      </c>
      <c r="AH1090" s="430" t="s">
        <v>105</v>
      </c>
      <c r="AI1090" s="437">
        <v>46294</v>
      </c>
      <c r="AJ1090" s="437">
        <v>46292</v>
      </c>
      <c r="AK1090" s="437">
        <f>IFERROR(IF(VLOOKUP(AT1090,Vessel!A:F,5,FALSE)=0,"",VLOOKUP(AT1090,Vessel!A:F,5,FALSE)),"")</f>
        <v>46292.541562500002</v>
      </c>
      <c r="AL1090" s="437">
        <v>46329</v>
      </c>
      <c r="AM1090" s="949">
        <f>IFERROR(VLOOKUP(AT1090, Vessel!A:H, 8, FALSE), "")</f>
        <v>46329.333333333336</v>
      </c>
      <c r="AN1090" s="949" t="str">
        <f>IFERROR(IF(VLOOKUP(AT1090,Vessel!A:I,9,FALSE)=0,"",VLOOKUP(AT1090,Vessel!A:I,9,FALSE)),"")</f>
        <v/>
      </c>
      <c r="AP1090" s="430" t="s">
        <v>6940</v>
      </c>
      <c r="AQ1090" s="438" t="s">
        <v>80</v>
      </c>
      <c r="AR1090" s="430" t="s">
        <v>6941</v>
      </c>
      <c r="AS1090" s="430" t="s">
        <v>6942</v>
      </c>
      <c r="AT1090" s="430" t="s">
        <v>6942</v>
      </c>
      <c r="AU10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36.79177083333343</v>
      </c>
      <c r="AW1090" s="437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46329.333333333336</v>
      </c>
      <c r="AX109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37" t="str">
        <f>IF(ISERROR(PV_DATA[[#This Row],[New Ark PO status]]),"",_xlfn.XLOOKUP(PV_DATA[[#This Row],[SPTN-PVHK New Ark PO'#]],New_Ark_Data[Purchase order Number],New_Ark_Data[Estimated time of arrival],"",0))</f>
        <v/>
      </c>
      <c r="AZ10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0" s="437">
        <f>IFERROR(PV_DATA[[#This Row],[ODP ETA Port]]+PV_DATA[[#This Row],[Customs/Leg3 Assumption]],"n/a")</f>
        <v>46329.333333333336</v>
      </c>
      <c r="BB1090" s="433">
        <f>YEAR(PV_DATA[[#This Row],[ETA for New Ark update]])</f>
        <v>2026</v>
      </c>
      <c r="BC1090" s="430">
        <f>MONTH(PV_DATA[[#This Row],[ETA for New Ark update]])</f>
        <v>11</v>
      </c>
      <c r="BD1090" s="430">
        <f>IFERROR(_xlfn.ISOWEEKNUM(PV_DATA[[#This Row],[ETA for New Ark update]]),0)</f>
        <v>45</v>
      </c>
      <c r="BE1090" s="430">
        <f>_xlfn.XLOOKUP(PV_DATA[[#This Row],[New Ark SKU]],Table9[New Ark SKU],Table9[Total PCS per Pallet],,0)</f>
        <v>36</v>
      </c>
      <c r="BF1090" s="430">
        <f>_xlfn.XLOOKUP(PV_DATA[[#This Row],[New Ark SKU]],Table9[New Ark SKU],Table9[Total PCS per 40HQ Container],,0)</f>
        <v>936</v>
      </c>
      <c r="BG1090" s="430" t="str">
        <f>_xlfn.XLOOKUP(PV_DATA[[#This Row],[New Ark SKU]],Table9[New Ark SKU],Table9[Back Glass],,0)</f>
        <v>Black glazing</v>
      </c>
      <c r="BH1090" s="610" t="str">
        <f>_xlfn.XLOOKUP(PV_DATA[[#This Row],[PORT DESTINATION]],Table12[PORT DESTINATION],Table12[Cosco Line],,0)</f>
        <v>AEU</v>
      </c>
    </row>
    <row r="1091" spans="1:60" s="430" customFormat="1" ht="10.5">
      <c r="A1091" s="462" t="s">
        <v>6943</v>
      </c>
      <c r="B1091" s="462" t="s">
        <v>1757</v>
      </c>
      <c r="C1091" s="459" t="str">
        <f>IFERROR(LEFT(PV_DATA[[#This Row],[TCL REFERENCE]],FIND(".",PV_DATA[[#This Row],[TCL REFERENCE]],1)-1),"Main Line")</f>
        <v>26Aug014</v>
      </c>
      <c r="D1091" s="462" t="s">
        <v>113</v>
      </c>
      <c r="E1091" s="462" t="s">
        <v>144</v>
      </c>
      <c r="F1091" s="462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1" s="462" t="s">
        <v>402</v>
      </c>
      <c r="H1091" s="462" t="s">
        <v>670</v>
      </c>
      <c r="I1091" s="462" t="s">
        <v>1395</v>
      </c>
      <c r="J1091" s="462" t="s">
        <v>670</v>
      </c>
      <c r="K1091" s="430" t="s">
        <v>6944</v>
      </c>
      <c r="L1091" s="430">
        <v>6</v>
      </c>
      <c r="M1091" s="430" t="s">
        <v>840</v>
      </c>
      <c r="N1091" s="432"/>
      <c r="O1091" s="430" t="s">
        <v>284</v>
      </c>
      <c r="P1091" s="430" t="s">
        <v>6847</v>
      </c>
      <c r="Q1091" s="430" t="s">
        <v>6848</v>
      </c>
      <c r="R1091" s="430" t="str">
        <f>_xlfn.XLOOKUP(PV_DATA[[#This Row],[New Ark SKU]],Table9[New Ark SKU],Table9[Connector],,0)</f>
        <v>EVO2A</v>
      </c>
      <c r="S1091" s="433" t="str">
        <f>_xlfn.XLOOKUP(PV_DATA[[#This Row],[New Ark SKU]],Table9[New Ark SKU],Table9[Cable],,0)</f>
        <v>±1200mm</v>
      </c>
      <c r="T1091" s="433">
        <v>485</v>
      </c>
      <c r="U1091" s="1088">
        <v>6552</v>
      </c>
      <c r="V1091" s="434">
        <f>PV_DATA[[#This Row],[QUANTITY]]*PV_DATA[[#This Row],[WATT]]/1000000</f>
        <v>3.1777199999999999</v>
      </c>
      <c r="W1091" s="435">
        <f>PV_DATA[[#This Row],[QUANTITY]]/36</f>
        <v>182</v>
      </c>
      <c r="X1091" s="1040">
        <f>PV_DATA[[#This Row],[QUANTITY]]/PV_DATA[[#This Row],[Qty/CT]]</f>
        <v>7</v>
      </c>
      <c r="Y1091" s="430" t="s">
        <v>2469</v>
      </c>
      <c r="Z1091" s="430" t="str">
        <f t="shared" si="20"/>
        <v>IN-TRANSIT</v>
      </c>
      <c r="AA1091" s="430" t="s">
        <v>6945</v>
      </c>
      <c r="AB1091" s="437">
        <v>46286</v>
      </c>
      <c r="AC1091" s="485">
        <f>IF(PV_DATA[[#This Row],[Pick- Up Date]]&lt;&gt;"",_xlfn.ISOWEEKNUM(PV_DATA[[#This Row],[Pick- Up Date]]),"")</f>
        <v>39</v>
      </c>
      <c r="AD1091" s="430" t="s">
        <v>6946</v>
      </c>
      <c r="AF1091" s="459" t="s">
        <v>5855</v>
      </c>
      <c r="AG1091" s="430" t="s">
        <v>122</v>
      </c>
      <c r="AH1091" s="430" t="s">
        <v>105</v>
      </c>
      <c r="AI1091" s="437">
        <v>46294</v>
      </c>
      <c r="AJ1091" s="437">
        <v>46292</v>
      </c>
      <c r="AK1091" s="437">
        <f>IFERROR(IF(VLOOKUP(AT1091,Vessel!A:F,5,FALSE)=0,"",VLOOKUP(AT1091,Vessel!A:F,5,FALSE)),"")</f>
        <v>46292.541562500002</v>
      </c>
      <c r="AL1091" s="437">
        <v>46329</v>
      </c>
      <c r="AM1091" s="949">
        <f>IFERROR(VLOOKUP(AT1091, Vessel!A:H, 8, FALSE), "")</f>
        <v>46329.333333333336</v>
      </c>
      <c r="AN1091" s="949" t="str">
        <f>IFERROR(IF(VLOOKUP(AT1091,Vessel!A:I,9,FALSE)=0,"",VLOOKUP(AT1091,Vessel!A:I,9,FALSE)),"")</f>
        <v/>
      </c>
      <c r="AP1091" s="430" t="s">
        <v>6940</v>
      </c>
      <c r="AQ1091" s="438" t="s">
        <v>80</v>
      </c>
      <c r="AR1091" s="430" t="s">
        <v>6941</v>
      </c>
      <c r="AS1091" s="430" t="s">
        <v>6942</v>
      </c>
      <c r="AT1091" s="430" t="s">
        <v>6942</v>
      </c>
      <c r="AU10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36.79177083333343</v>
      </c>
      <c r="AW1091" s="437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46329.333333333336</v>
      </c>
      <c r="AX109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37" t="str">
        <f>IF(ISERROR(PV_DATA[[#This Row],[New Ark PO status]]),"",_xlfn.XLOOKUP(PV_DATA[[#This Row],[SPTN-PVHK New Ark PO'#]],New_Ark_Data[Purchase order Number],New_Ark_Data[Estimated time of arrival],"",0))</f>
        <v/>
      </c>
      <c r="AZ10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1" s="437">
        <f>IFERROR(PV_DATA[[#This Row],[ODP ETA Port]]+PV_DATA[[#This Row],[Customs/Leg3 Assumption]],"n/a")</f>
        <v>46329.333333333336</v>
      </c>
      <c r="BB1091" s="433">
        <f>YEAR(PV_DATA[[#This Row],[ETA for New Ark update]])</f>
        <v>2026</v>
      </c>
      <c r="BC1091" s="430">
        <f>MONTH(PV_DATA[[#This Row],[ETA for New Ark update]])</f>
        <v>11</v>
      </c>
      <c r="BD1091" s="430">
        <f>IFERROR(_xlfn.ISOWEEKNUM(PV_DATA[[#This Row],[ETA for New Ark update]]),0)</f>
        <v>45</v>
      </c>
      <c r="BE1091" s="430">
        <f>_xlfn.XLOOKUP(PV_DATA[[#This Row],[New Ark SKU]],Table9[New Ark SKU],Table9[Total PCS per Pallet],,0)</f>
        <v>36</v>
      </c>
      <c r="BF1091" s="430">
        <f>_xlfn.XLOOKUP(PV_DATA[[#This Row],[New Ark SKU]],Table9[New Ark SKU],Table9[Total PCS per 40HQ Container],,0)</f>
        <v>936</v>
      </c>
      <c r="BG1091" s="430" t="str">
        <f>_xlfn.XLOOKUP(PV_DATA[[#This Row],[New Ark SKU]],Table9[New Ark SKU],Table9[Back Glass],,0)</f>
        <v>Black glazing</v>
      </c>
      <c r="BH1091" s="430" t="str">
        <f>_xlfn.XLOOKUP(PV_DATA[[#This Row],[PORT DESTINATION]],Table12[PORT DESTINATION],Table12[Cosco Line],,0)</f>
        <v>AEU</v>
      </c>
    </row>
    <row r="1092" spans="1:60" s="430" customFormat="1" ht="13.5" customHeight="1">
      <c r="A1092" s="462" t="s">
        <v>6947</v>
      </c>
      <c r="B1092" s="462" t="s">
        <v>1757</v>
      </c>
      <c r="C1092" s="462" t="str">
        <f>IFERROR(LEFT(PV_DATA[[#This Row],[TCL REFERENCE]],FIND(".",PV_DATA[[#This Row],[TCL REFERENCE]],1)-1),"Main Line")</f>
        <v>26Aug013</v>
      </c>
      <c r="D1092" s="945" t="s">
        <v>113</v>
      </c>
      <c r="E1092" s="462" t="s">
        <v>144</v>
      </c>
      <c r="F1092" s="462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2" s="462" t="s">
        <v>402</v>
      </c>
      <c r="H1092" s="462" t="s">
        <v>670</v>
      </c>
      <c r="I1092" s="462" t="s">
        <v>1395</v>
      </c>
      <c r="J1092" s="462" t="s">
        <v>670</v>
      </c>
      <c r="K1092" s="430" t="s">
        <v>6839</v>
      </c>
      <c r="L1092" s="430">
        <v>11</v>
      </c>
      <c r="M1092" s="430" t="s">
        <v>840</v>
      </c>
      <c r="N1092" s="432"/>
      <c r="O1092" s="430" t="s">
        <v>284</v>
      </c>
      <c r="P1092" s="430" t="s">
        <v>6840</v>
      </c>
      <c r="Q1092" s="430" t="s">
        <v>6841</v>
      </c>
      <c r="R1092" s="430" t="str">
        <f>_xlfn.XLOOKUP(PV_DATA[[#This Row],[New Ark SKU]],Table9[New Ark SKU],Table9[Connector],,0)</f>
        <v>EVO2A</v>
      </c>
      <c r="S1092" s="433" t="str">
        <f>_xlfn.XLOOKUP(PV_DATA[[#This Row],[New Ark SKU]],Table9[New Ark SKU],Table9[Cable],,0)</f>
        <v>±1200mm</v>
      </c>
      <c r="T1092" s="433">
        <v>490</v>
      </c>
      <c r="U1092" s="1088">
        <v>4680</v>
      </c>
      <c r="V1092" s="434">
        <f>PV_DATA[[#This Row],[QUANTITY]]*PV_DATA[[#This Row],[WATT]]/1000000</f>
        <v>2.2932000000000001</v>
      </c>
      <c r="W1092" s="981">
        <f>PV_DATA[[#This Row],[QUANTITY]]/36</f>
        <v>130</v>
      </c>
      <c r="X1092" s="1040">
        <f>PV_DATA[[#This Row],[QUANTITY]]/PV_DATA[[#This Row],[Qty/CT]]</f>
        <v>5</v>
      </c>
      <c r="Y1092" s="430" t="s">
        <v>2470</v>
      </c>
      <c r="Z1092" s="430" t="str">
        <f t="shared" si="20"/>
        <v/>
      </c>
      <c r="AA1092" s="430" t="s">
        <v>6948</v>
      </c>
      <c r="AB1092" s="437">
        <v>46291</v>
      </c>
      <c r="AC1092" s="485">
        <f>IF(PV_DATA[[#This Row],[Pick- Up Date]]&lt;&gt;"",_xlfn.ISOWEEKNUM(PV_DATA[[#This Row],[Pick- Up Date]]),"")</f>
        <v>39</v>
      </c>
      <c r="AD1092" s="430" t="s">
        <v>6949</v>
      </c>
      <c r="AF1092" s="459" t="s">
        <v>5855</v>
      </c>
      <c r="AG1092" s="430" t="s">
        <v>122</v>
      </c>
      <c r="AH1092" s="430" t="s">
        <v>105</v>
      </c>
      <c r="AI1092" s="437">
        <v>46293</v>
      </c>
      <c r="AJ1092" s="437">
        <v>46311</v>
      </c>
      <c r="AK1092" s="437" t="str">
        <f>IFERROR(IF(VLOOKUP(AT1092,Vessel!A:F,5,FALSE)=0,"",VLOOKUP(AT1092,Vessel!A:F,5,FALSE)),"")</f>
        <v/>
      </c>
      <c r="AL1092" s="543">
        <v>46330</v>
      </c>
      <c r="AM1092" s="437">
        <f>IFERROR(VLOOKUP(AT1092, Vessel!A:H, 8, FALSE), "")</f>
        <v>46347.875</v>
      </c>
      <c r="AN1092" s="437" t="str">
        <f>IFERROR(IF(VLOOKUP(AT1092,Vessel!A:I,9,FALSE)=0,"",VLOOKUP(AT1092,Vessel!A:I,9,FALSE)),"")</f>
        <v/>
      </c>
      <c r="AP1092" s="430" t="s">
        <v>6950</v>
      </c>
      <c r="AQ1092" s="438" t="s">
        <v>80</v>
      </c>
      <c r="AR1092" s="430" t="s">
        <v>6951</v>
      </c>
      <c r="AS1092" s="430" t="s">
        <v>6952</v>
      </c>
      <c r="AT1092" s="430" t="s">
        <v>6952</v>
      </c>
      <c r="AU10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36.875</v>
      </c>
      <c r="AW1092" s="437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46347.875</v>
      </c>
      <c r="AX109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37" t="str">
        <f>IF(ISERROR(PV_DATA[[#This Row],[New Ark PO status]]),"",_xlfn.XLOOKUP(PV_DATA[[#This Row],[SPTN-PVHK New Ark PO'#]],New_Ark_Data[Purchase order Number],New_Ark_Data[Estimated time of arrival],"",0))</f>
        <v/>
      </c>
      <c r="AZ10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2" s="437">
        <f>IFERROR(PV_DATA[[#This Row],[ODP ETA Port]]+PV_DATA[[#This Row],[Customs/Leg3 Assumption]],"n/a")</f>
        <v>46347.875</v>
      </c>
      <c r="BB1092" s="433">
        <f>YEAR(PV_DATA[[#This Row],[ETA for New Ark update]])</f>
        <v>2026</v>
      </c>
      <c r="BC1092" s="430">
        <f>MONTH(PV_DATA[[#This Row],[ETA for New Ark update]])</f>
        <v>11</v>
      </c>
      <c r="BD1092" s="430">
        <f>IFERROR(_xlfn.ISOWEEKNUM(PV_DATA[[#This Row],[ETA for New Ark update]]),0)</f>
        <v>47</v>
      </c>
      <c r="BE1092" s="430">
        <f>_xlfn.XLOOKUP(PV_DATA[[#This Row],[New Ark SKU]],Table9[New Ark SKU],Table9[Total PCS per Pallet],,0)</f>
        <v>36</v>
      </c>
      <c r="BF1092" s="430">
        <f>_xlfn.XLOOKUP(PV_DATA[[#This Row],[New Ark SKU]],Table9[New Ark SKU],Table9[Total PCS per 40HQ Container],,0)</f>
        <v>936</v>
      </c>
      <c r="BG1092" s="430" t="str">
        <f>_xlfn.XLOOKUP(PV_DATA[[#This Row],[New Ark SKU]],Table9[New Ark SKU],Table9[Back Glass],,0)</f>
        <v>Black glazing</v>
      </c>
      <c r="BH1092" s="610" t="str">
        <f>_xlfn.XLOOKUP(PV_DATA[[#This Row],[PORT DESTINATION]],Table12[PORT DESTINATION],Table12[Cosco Line],,0)</f>
        <v>AEU</v>
      </c>
    </row>
    <row r="1093" spans="1:60" s="430" customFormat="1" ht="13.5" customHeight="1">
      <c r="A1093" s="462" t="s">
        <v>6953</v>
      </c>
      <c r="B1093" s="462" t="s">
        <v>1757</v>
      </c>
      <c r="C1093" s="459" t="str">
        <f>IFERROR(LEFT(PV_DATA[[#This Row],[TCL REFERENCE]],FIND(".",PV_DATA[[#This Row],[TCL REFERENCE]],1)-1),"Main Line")</f>
        <v>26Aug013</v>
      </c>
      <c r="D1093" s="945" t="s">
        <v>113</v>
      </c>
      <c r="E1093" s="462" t="s">
        <v>144</v>
      </c>
      <c r="F1093" s="462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3" s="462" t="s">
        <v>402</v>
      </c>
      <c r="H1093" s="462" t="s">
        <v>670</v>
      </c>
      <c r="I1093" s="462" t="s">
        <v>1395</v>
      </c>
      <c r="J1093" s="462" t="s">
        <v>670</v>
      </c>
      <c r="K1093" s="430" t="s">
        <v>6839</v>
      </c>
      <c r="L1093" s="430">
        <v>12</v>
      </c>
      <c r="M1093" s="430" t="s">
        <v>840</v>
      </c>
      <c r="N1093" s="432"/>
      <c r="O1093" s="430" t="s">
        <v>284</v>
      </c>
      <c r="P1093" s="430" t="s">
        <v>6840</v>
      </c>
      <c r="Q1093" s="430" t="s">
        <v>6841</v>
      </c>
      <c r="R1093" s="430" t="str">
        <f>_xlfn.XLOOKUP(PV_DATA[[#This Row],[New Ark SKU]],Table9[New Ark SKU],Table9[Connector],,0)</f>
        <v>EVO2A</v>
      </c>
      <c r="S1093" s="433" t="str">
        <f>_xlfn.XLOOKUP(PV_DATA[[#This Row],[New Ark SKU]],Table9[New Ark SKU],Table9[Cable],,0)</f>
        <v>±1200mm</v>
      </c>
      <c r="T1093" s="433">
        <v>490</v>
      </c>
      <c r="U1093" s="1088">
        <f>936*8</f>
        <v>7488</v>
      </c>
      <c r="V1093" s="434">
        <f>PV_DATA[[#This Row],[QUANTITY]]*PV_DATA[[#This Row],[WATT]]/1000000</f>
        <v>3.6691199999999999</v>
      </c>
      <c r="W1093" s="981">
        <f>PV_DATA[[#This Row],[QUANTITY]]/36</f>
        <v>208</v>
      </c>
      <c r="X1093" s="1040">
        <f>PV_DATA[[#This Row],[QUANTITY]]/PV_DATA[[#This Row],[Qty/CT]]</f>
        <v>8</v>
      </c>
      <c r="Y1093" s="430" t="s">
        <v>2470</v>
      </c>
      <c r="Z1093" s="430" t="str">
        <f t="shared" si="20"/>
        <v/>
      </c>
      <c r="AA1093" s="430" t="s">
        <v>6954</v>
      </c>
      <c r="AB1093" s="437">
        <v>46287</v>
      </c>
      <c r="AC1093" s="485">
        <f>IF(PV_DATA[[#This Row],[Pick- Up Date]]&lt;&gt;"",_xlfn.ISOWEEKNUM(PV_DATA[[#This Row],[Pick- Up Date]]),"")</f>
        <v>39</v>
      </c>
      <c r="AD1093" s="430" t="s">
        <v>6955</v>
      </c>
      <c r="AF1093" s="459" t="s">
        <v>5855</v>
      </c>
      <c r="AG1093" s="430" t="s">
        <v>122</v>
      </c>
      <c r="AH1093" s="430" t="s">
        <v>105</v>
      </c>
      <c r="AI1093" s="437">
        <v>46296</v>
      </c>
      <c r="AJ1093" s="437">
        <f>IFERROR(VLOOKUP(AT1093, Vessel!A:D, 4, FALSE), "")</f>
        <v>46296.5</v>
      </c>
      <c r="AK1093" s="437" t="str">
        <f>IFERROR(IF(VLOOKUP(AT1093,Vessel!A:F,5,FALSE)=0,"",VLOOKUP(AT1093,Vessel!A:F,5,FALSE)),"")</f>
        <v/>
      </c>
      <c r="AL1093" s="437">
        <v>46340</v>
      </c>
      <c r="AM1093" s="437">
        <f>IFERROR(VLOOKUP(AT1093, Vessel!A:H, 8, FALSE), "")</f>
        <v>46341.625</v>
      </c>
      <c r="AN1093" s="437" t="str">
        <f>IFERROR(IF(VLOOKUP(AT1093,Vessel!A:I,9,FALSE)=0,"",VLOOKUP(AT1093,Vessel!A:I,9,FALSE)),"")</f>
        <v/>
      </c>
      <c r="AP1093" s="430" t="s">
        <v>6956</v>
      </c>
      <c r="AQ1093" s="438" t="s">
        <v>80</v>
      </c>
      <c r="AR1093" s="430" t="s">
        <v>6957</v>
      </c>
      <c r="AS1093" s="430" t="s">
        <v>6958</v>
      </c>
      <c r="AT1093" s="430" t="s">
        <v>6958</v>
      </c>
      <c r="AU10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45.125</v>
      </c>
      <c r="AW1093" s="437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46341.625</v>
      </c>
      <c r="AX109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37" t="str">
        <f>IF(ISERROR(PV_DATA[[#This Row],[New Ark PO status]]),"",_xlfn.XLOOKUP(PV_DATA[[#This Row],[SPTN-PVHK New Ark PO'#]],New_Ark_Data[Purchase order Number],New_Ark_Data[Estimated time of arrival],"",0))</f>
        <v/>
      </c>
      <c r="AZ109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3" s="437">
        <f>IFERROR(PV_DATA[[#This Row],[ODP ETA Port]]+PV_DATA[[#This Row],[Customs/Leg3 Assumption]],"n/a")</f>
        <v>46341.625</v>
      </c>
      <c r="BB1093" s="433">
        <f>YEAR(PV_DATA[[#This Row],[ETA for New Ark update]])</f>
        <v>2026</v>
      </c>
      <c r="BC1093" s="430">
        <f>MONTH(PV_DATA[[#This Row],[ETA for New Ark update]])</f>
        <v>11</v>
      </c>
      <c r="BD1093" s="430">
        <f>IFERROR(_xlfn.ISOWEEKNUM(PV_DATA[[#This Row],[ETA for New Ark update]]),0)</f>
        <v>46</v>
      </c>
      <c r="BE1093" s="430">
        <f>_xlfn.XLOOKUP(PV_DATA[[#This Row],[New Ark SKU]],Table9[New Ark SKU],Table9[Total PCS per Pallet],,0)</f>
        <v>36</v>
      </c>
      <c r="BF1093" s="430">
        <f>_xlfn.XLOOKUP(PV_DATA[[#This Row],[New Ark SKU]],Table9[New Ark SKU],Table9[Total PCS per 40HQ Container],,0)</f>
        <v>936</v>
      </c>
      <c r="BG1093" s="430" t="str">
        <f>_xlfn.XLOOKUP(PV_DATA[[#This Row],[New Ark SKU]],Table9[New Ark SKU],Table9[Back Glass],,0)</f>
        <v>Black glazing</v>
      </c>
      <c r="BH1093" s="610" t="str">
        <f>_xlfn.XLOOKUP(PV_DATA[[#This Row],[PORT DESTINATION]],Table12[PORT DESTINATION],Table12[Cosco Line],,0)</f>
        <v>AEU</v>
      </c>
    </row>
    <row r="1094" spans="1:60" s="430" customFormat="1" ht="13.5" customHeight="1">
      <c r="A1094" s="462" t="s">
        <v>6959</v>
      </c>
      <c r="B1094" s="462" t="s">
        <v>1757</v>
      </c>
      <c r="C1094" s="462" t="str">
        <f>IFERROR(LEFT(PV_DATA[[#This Row],[TCL REFERENCE]],FIND(".",PV_DATA[[#This Row],[TCL REFERENCE]],1)-1),"Main Line")</f>
        <v>26Aug013</v>
      </c>
      <c r="D1094" s="945" t="s">
        <v>113</v>
      </c>
      <c r="E1094" s="462" t="s">
        <v>144</v>
      </c>
      <c r="F1094" s="462" t="str" cm="1">
        <f t="array" ref="F10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4" s="462" t="s">
        <v>402</v>
      </c>
      <c r="H1094" s="462" t="s">
        <v>670</v>
      </c>
      <c r="I1094" s="462" t="s">
        <v>1395</v>
      </c>
      <c r="J1094" s="462" t="s">
        <v>670</v>
      </c>
      <c r="K1094" s="430" t="s">
        <v>6944</v>
      </c>
      <c r="L1094" s="430">
        <v>3</v>
      </c>
      <c r="M1094" s="430" t="s">
        <v>840</v>
      </c>
      <c r="N1094" s="432"/>
      <c r="O1094" s="430" t="s">
        <v>284</v>
      </c>
      <c r="P1094" s="430" t="s">
        <v>6840</v>
      </c>
      <c r="Q1094" s="430" t="s">
        <v>6841</v>
      </c>
      <c r="R1094" s="430" t="str">
        <f>_xlfn.XLOOKUP(PV_DATA[[#This Row],[New Ark SKU]],Table9[New Ark SKU],Table9[Connector],,0)</f>
        <v>EVO2A</v>
      </c>
      <c r="S1094" s="433" t="str">
        <f>_xlfn.XLOOKUP(PV_DATA[[#This Row],[New Ark SKU]],Table9[New Ark SKU],Table9[Cable],,0)</f>
        <v>±1200mm</v>
      </c>
      <c r="T1094" s="433">
        <v>490</v>
      </c>
      <c r="U1094" s="1088">
        <v>5616</v>
      </c>
      <c r="V1094" s="434">
        <f>PV_DATA[[#This Row],[QUANTITY]]*PV_DATA[[#This Row],[WATT]]/1000000</f>
        <v>2.7518400000000001</v>
      </c>
      <c r="W1094" s="981">
        <f>PV_DATA[[#This Row],[QUANTITY]]/36</f>
        <v>156</v>
      </c>
      <c r="X1094" s="1040">
        <f>PV_DATA[[#This Row],[QUANTITY]]/PV_DATA[[#This Row],[Qty/CT]]</f>
        <v>6</v>
      </c>
      <c r="Y1094" s="430" t="s">
        <v>2468</v>
      </c>
      <c r="Z1094" s="430" t="str">
        <f t="shared" si="20"/>
        <v>IN-TRANSIT</v>
      </c>
      <c r="AA1094" s="430" t="s">
        <v>6960</v>
      </c>
      <c r="AB1094" s="437">
        <v>46288</v>
      </c>
      <c r="AC1094" s="485">
        <f>IF(PV_DATA[[#This Row],[Pick- Up Date]]&lt;&gt;"",_xlfn.ISOWEEKNUM(PV_DATA[[#This Row],[Pick- Up Date]]),"")</f>
        <v>39</v>
      </c>
      <c r="AD1094" s="430" t="s">
        <v>6961</v>
      </c>
      <c r="AF1094" s="459" t="s">
        <v>5855</v>
      </c>
      <c r="AG1094" s="430" t="s">
        <v>122</v>
      </c>
      <c r="AH1094" s="430" t="s">
        <v>105</v>
      </c>
      <c r="AI1094" s="437">
        <v>46296</v>
      </c>
      <c r="AJ1094" s="437">
        <v>46297</v>
      </c>
      <c r="AK1094" s="437">
        <v>46297</v>
      </c>
      <c r="AL1094" s="437">
        <v>46340</v>
      </c>
      <c r="AM1094" s="437">
        <f>IFERROR(VLOOKUP(AT1094, Vessel!A:H, 8, FALSE), "")</f>
        <v>46340.791666666664</v>
      </c>
      <c r="AN1094" s="437" t="str">
        <f>IFERROR(IF(VLOOKUP(AT1094,Vessel!A:I,9,FALSE)=0,"",VLOOKUP(AT1094,Vessel!A:I,9,FALSE)),"")</f>
        <v/>
      </c>
      <c r="AP1094" s="430" t="s">
        <v>6956</v>
      </c>
      <c r="AQ1094" s="438" t="s">
        <v>80</v>
      </c>
      <c r="AR1094" s="430" t="s">
        <v>6962</v>
      </c>
      <c r="AS1094" s="430" t="s">
        <v>6963</v>
      </c>
      <c r="AT1094" s="430" t="s">
        <v>6963</v>
      </c>
      <c r="AU10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43.791666666664241</v>
      </c>
      <c r="AW1094" s="437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9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37" t="str">
        <f>IF(ISERROR(PV_DATA[[#This Row],[New Ark PO status]]),"",_xlfn.XLOOKUP(PV_DATA[[#This Row],[SPTN-PVHK New Ark PO'#]],New_Ark_Data[Purchase order Number],New_Ark_Data[Estimated time of arrival],"",0))</f>
        <v/>
      </c>
      <c r="AZ109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4" s="437">
        <f>IFERROR(PV_DATA[[#This Row],[ODP ETA Port]]+PV_DATA[[#This Row],[Customs/Leg3 Assumption]],"n/a")</f>
        <v>46340.791666666664</v>
      </c>
      <c r="BB1094" s="433">
        <f>YEAR(PV_DATA[[#This Row],[ETA for New Ark update]])</f>
        <v>2026</v>
      </c>
      <c r="BC1094" s="430">
        <f>MONTH(PV_DATA[[#This Row],[ETA for New Ark update]])</f>
        <v>11</v>
      </c>
      <c r="BD1094" s="430">
        <f>IFERROR(_xlfn.ISOWEEKNUM(PV_DATA[[#This Row],[ETA for New Ark update]]),0)</f>
        <v>46</v>
      </c>
      <c r="BE1094" s="430">
        <f>_xlfn.XLOOKUP(PV_DATA[[#This Row],[New Ark SKU]],Table9[New Ark SKU],Table9[Total PCS per Pallet],,0)</f>
        <v>36</v>
      </c>
      <c r="BF1094" s="430">
        <f>_xlfn.XLOOKUP(PV_DATA[[#This Row],[New Ark SKU]],Table9[New Ark SKU],Table9[Total PCS per 40HQ Container],,0)</f>
        <v>936</v>
      </c>
      <c r="BG1094" s="430" t="str">
        <f>_xlfn.XLOOKUP(PV_DATA[[#This Row],[New Ark SKU]],Table9[New Ark SKU],Table9[Back Glass],,0)</f>
        <v>Black glazing</v>
      </c>
      <c r="BH1094" s="610" t="str">
        <f>_xlfn.XLOOKUP(PV_DATA[[#This Row],[PORT DESTINATION]],Table12[PORT DESTINATION],Table12[Cosco Line],,0)</f>
        <v>AEU</v>
      </c>
    </row>
    <row r="1095" spans="1:60" s="430" customFormat="1" ht="13.5" customHeight="1">
      <c r="A1095" s="462" t="s">
        <v>6964</v>
      </c>
      <c r="B1095" s="462" t="s">
        <v>1757</v>
      </c>
      <c r="C1095" s="462" t="str">
        <f>IFERROR(LEFT(PV_DATA[[#This Row],[TCL REFERENCE]],FIND(".",PV_DATA[[#This Row],[TCL REFERENCE]],1)-1),"Main Line")</f>
        <v>26Aug013</v>
      </c>
      <c r="D1095" s="945" t="s">
        <v>113</v>
      </c>
      <c r="E1095" s="462" t="s">
        <v>144</v>
      </c>
      <c r="F1095" s="462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5" s="462" t="s">
        <v>402</v>
      </c>
      <c r="H1095" s="462" t="s">
        <v>670</v>
      </c>
      <c r="I1095" s="462" t="s">
        <v>1395</v>
      </c>
      <c r="J1095" s="462" t="s">
        <v>670</v>
      </c>
      <c r="K1095" s="430" t="s">
        <v>6839</v>
      </c>
      <c r="L1095" s="430">
        <v>13</v>
      </c>
      <c r="M1095" s="430" t="s">
        <v>840</v>
      </c>
      <c r="N1095" s="432"/>
      <c r="O1095" s="430" t="s">
        <v>284</v>
      </c>
      <c r="P1095" s="430" t="s">
        <v>6840</v>
      </c>
      <c r="Q1095" s="430" t="s">
        <v>6841</v>
      </c>
      <c r="R1095" s="430" t="str">
        <f>_xlfn.XLOOKUP(PV_DATA[[#This Row],[New Ark SKU]],Table9[New Ark SKU],Table9[Connector],,0)</f>
        <v>EVO2A</v>
      </c>
      <c r="S1095" s="433" t="str">
        <f>_xlfn.XLOOKUP(PV_DATA[[#This Row],[New Ark SKU]],Table9[New Ark SKU],Table9[Cable],,0)</f>
        <v>±1200mm</v>
      </c>
      <c r="T1095" s="433">
        <v>490</v>
      </c>
      <c r="U1095" s="1088">
        <v>2808</v>
      </c>
      <c r="V1095" s="434">
        <f>PV_DATA[[#This Row],[QUANTITY]]*PV_DATA[[#This Row],[WATT]]/1000000</f>
        <v>1.37592</v>
      </c>
      <c r="W1095" s="981">
        <f>PV_DATA[[#This Row],[QUANTITY]]/36</f>
        <v>78</v>
      </c>
      <c r="X1095" s="1040">
        <f>PV_DATA[[#This Row],[QUANTITY]]/PV_DATA[[#This Row],[Qty/CT]]</f>
        <v>3</v>
      </c>
      <c r="Y1095" s="430" t="s">
        <v>2469</v>
      </c>
      <c r="Z1095" s="430" t="str">
        <f t="shared" si="20"/>
        <v>IN-TRANSIT</v>
      </c>
      <c r="AA1095" s="545">
        <v>46288</v>
      </c>
      <c r="AB1095" s="437">
        <v>46288</v>
      </c>
      <c r="AC1095" s="485">
        <f>IF(PV_DATA[[#This Row],[Pick- Up Date]]&lt;&gt;"",_xlfn.ISOWEEKNUM(PV_DATA[[#This Row],[Pick- Up Date]]),"")</f>
        <v>39</v>
      </c>
      <c r="AD1095" s="430" t="s">
        <v>6965</v>
      </c>
      <c r="AF1095" s="459" t="s">
        <v>5855</v>
      </c>
      <c r="AG1095" s="430" t="s">
        <v>122</v>
      </c>
      <c r="AH1095" s="430" t="s">
        <v>105</v>
      </c>
      <c r="AI1095" s="437">
        <v>46296</v>
      </c>
      <c r="AJ1095" s="437">
        <v>46297</v>
      </c>
      <c r="AK1095" s="437">
        <v>46297</v>
      </c>
      <c r="AL1095" s="437">
        <v>46340</v>
      </c>
      <c r="AM1095" s="437">
        <f>IFERROR(VLOOKUP(AT1095, Vessel!A:H, 8, FALSE), "")</f>
        <v>46340.791666666664</v>
      </c>
      <c r="AN1095" s="437" t="str">
        <f>IFERROR(IF(VLOOKUP(AT1095,Vessel!A:I,9,FALSE)=0,"",VLOOKUP(AT1095,Vessel!A:I,9,FALSE)),"")</f>
        <v/>
      </c>
      <c r="AP1095" s="430" t="s">
        <v>6956</v>
      </c>
      <c r="AQ1095" s="438" t="s">
        <v>80</v>
      </c>
      <c r="AR1095" s="430" t="s">
        <v>6962</v>
      </c>
      <c r="AS1095" s="430" t="s">
        <v>6963</v>
      </c>
      <c r="AT1095" s="430" t="s">
        <v>6963</v>
      </c>
      <c r="AU10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43.791666666664241</v>
      </c>
      <c r="AW1095" s="437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9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37" t="str">
        <f>IF(ISERROR(PV_DATA[[#This Row],[New Ark PO status]]),"",_xlfn.XLOOKUP(PV_DATA[[#This Row],[SPTN-PVHK New Ark PO'#]],New_Ark_Data[Purchase order Number],New_Ark_Data[Estimated time of arrival],"",0))</f>
        <v/>
      </c>
      <c r="AZ109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5" s="437">
        <f>IFERROR(PV_DATA[[#This Row],[ODP ETA Port]]+PV_DATA[[#This Row],[Customs/Leg3 Assumption]],"n/a")</f>
        <v>46340.791666666664</v>
      </c>
      <c r="BB1095" s="433">
        <f>YEAR(PV_DATA[[#This Row],[ETA for New Ark update]])</f>
        <v>2026</v>
      </c>
      <c r="BC1095" s="430">
        <f>MONTH(PV_DATA[[#This Row],[ETA for New Ark update]])</f>
        <v>11</v>
      </c>
      <c r="BD1095" s="430">
        <f>IFERROR(_xlfn.ISOWEEKNUM(PV_DATA[[#This Row],[ETA for New Ark update]]),0)</f>
        <v>46</v>
      </c>
      <c r="BE1095" s="430">
        <f>_xlfn.XLOOKUP(PV_DATA[[#This Row],[New Ark SKU]],Table9[New Ark SKU],Table9[Total PCS per Pallet],,0)</f>
        <v>36</v>
      </c>
      <c r="BF1095" s="430">
        <f>_xlfn.XLOOKUP(PV_DATA[[#This Row],[New Ark SKU]],Table9[New Ark SKU],Table9[Total PCS per 40HQ Container],,0)</f>
        <v>936</v>
      </c>
      <c r="BG1095" s="430" t="str">
        <f>_xlfn.XLOOKUP(PV_DATA[[#This Row],[New Ark SKU]],Table9[New Ark SKU],Table9[Back Glass],,0)</f>
        <v>Black glazing</v>
      </c>
      <c r="BH1095" s="610" t="str">
        <f>_xlfn.XLOOKUP(PV_DATA[[#This Row],[PORT DESTINATION]],Table12[PORT DESTINATION],Table12[Cosco Line],,0)</f>
        <v>AEU</v>
      </c>
    </row>
    <row r="1096" spans="1:60" s="430" customFormat="1" ht="10.5">
      <c r="A1096" s="462" t="s">
        <v>6966</v>
      </c>
      <c r="B1096" s="462" t="s">
        <v>1757</v>
      </c>
      <c r="C1096" s="462" t="str">
        <f>IFERROR(LEFT(PV_DATA[[#This Row],[TCL REFERENCE]],FIND(".",PV_DATA[[#This Row],[TCL REFERENCE]],1)-1),"Main Line")</f>
        <v>26Aug014</v>
      </c>
      <c r="D1096" s="462" t="s">
        <v>113</v>
      </c>
      <c r="E1096" s="462" t="s">
        <v>144</v>
      </c>
      <c r="F1096" s="462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6" s="462" t="s">
        <v>402</v>
      </c>
      <c r="H1096" s="462" t="s">
        <v>670</v>
      </c>
      <c r="I1096" s="462" t="s">
        <v>1395</v>
      </c>
      <c r="J1096" s="462" t="s">
        <v>670</v>
      </c>
      <c r="K1096" s="430" t="s">
        <v>6839</v>
      </c>
      <c r="L1096" s="430">
        <v>7</v>
      </c>
      <c r="M1096" s="430" t="s">
        <v>840</v>
      </c>
      <c r="N1096" s="432"/>
      <c r="O1096" s="430" t="s">
        <v>284</v>
      </c>
      <c r="P1096" s="430" t="s">
        <v>6847</v>
      </c>
      <c r="Q1096" s="430" t="s">
        <v>6848</v>
      </c>
      <c r="R1096" s="430" t="str">
        <f>_xlfn.XLOOKUP(PV_DATA[[#This Row],[New Ark SKU]],Table9[New Ark SKU],Table9[Connector],,0)</f>
        <v>EVO2A</v>
      </c>
      <c r="S1096" s="433" t="str">
        <f>_xlfn.XLOOKUP(PV_DATA[[#This Row],[New Ark SKU]],Table9[New Ark SKU],Table9[Cable],,0)</f>
        <v>±1200mm</v>
      </c>
      <c r="T1096" s="433">
        <v>485</v>
      </c>
      <c r="U1096" s="1088">
        <v>2808</v>
      </c>
      <c r="V1096" s="434">
        <f>PV_DATA[[#This Row],[QUANTITY]]*PV_DATA[[#This Row],[WATT]]/1000000</f>
        <v>1.36188</v>
      </c>
      <c r="W1096" s="435">
        <f>PV_DATA[[#This Row],[QUANTITY]]/36</f>
        <v>78</v>
      </c>
      <c r="X1096" s="1040">
        <f>PV_DATA[[#This Row],[QUANTITY]]/PV_DATA[[#This Row],[Qty/CT]]</f>
        <v>3</v>
      </c>
      <c r="Y1096" s="430" t="s">
        <v>2470</v>
      </c>
      <c r="Z1096" s="430" t="str">
        <f t="shared" si="20"/>
        <v>IN-TRANSIT</v>
      </c>
      <c r="AA1096" s="430" t="s">
        <v>6967</v>
      </c>
      <c r="AB1096" s="437">
        <v>46288</v>
      </c>
      <c r="AC1096" s="485">
        <f>IF(PV_DATA[[#This Row],[Pick- Up Date]]&lt;&gt;"",_xlfn.ISOWEEKNUM(PV_DATA[[#This Row],[Pick- Up Date]]),"")</f>
        <v>39</v>
      </c>
      <c r="AD1096" s="430" t="s">
        <v>6968</v>
      </c>
      <c r="AF1096" s="459" t="s">
        <v>5855</v>
      </c>
      <c r="AG1096" s="430" t="s">
        <v>122</v>
      </c>
      <c r="AH1096" s="430" t="s">
        <v>105</v>
      </c>
      <c r="AI1096" s="437">
        <v>46296</v>
      </c>
      <c r="AJ1096" s="437">
        <v>46297</v>
      </c>
      <c r="AK1096" s="437">
        <v>46297</v>
      </c>
      <c r="AL1096" s="437">
        <v>46340</v>
      </c>
      <c r="AM1096" s="437">
        <f>IFERROR(VLOOKUP(AT1096, Vessel!A:H, 8, FALSE), "")</f>
        <v>46340.791666666664</v>
      </c>
      <c r="AN1096" s="437" t="str">
        <f>IFERROR(IF(VLOOKUP(AT1096,Vessel!A:I,9,FALSE)=0,"",VLOOKUP(AT1096,Vessel!A:I,9,FALSE)),"")</f>
        <v/>
      </c>
      <c r="AP1096" s="430" t="s">
        <v>6956</v>
      </c>
      <c r="AQ1096" s="438" t="s">
        <v>80</v>
      </c>
      <c r="AR1096" s="430" t="s">
        <v>6962</v>
      </c>
      <c r="AS1096" s="430" t="s">
        <v>6963</v>
      </c>
      <c r="AT1096" s="430" t="s">
        <v>6963</v>
      </c>
      <c r="AU10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43.791666666664241</v>
      </c>
      <c r="AW1096" s="437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9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37" t="str">
        <f>IF(ISERROR(PV_DATA[[#This Row],[New Ark PO status]]),"",_xlfn.XLOOKUP(PV_DATA[[#This Row],[SPTN-PVHK New Ark PO'#]],New_Ark_Data[Purchase order Number],New_Ark_Data[Estimated time of arrival],"",0))</f>
        <v/>
      </c>
      <c r="AZ109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6" s="437">
        <f>IFERROR(PV_DATA[[#This Row],[ODP ETA Port]]+PV_DATA[[#This Row],[Customs/Leg3 Assumption]],"n/a")</f>
        <v>46340.791666666664</v>
      </c>
      <c r="BB1096" s="433">
        <f>YEAR(PV_DATA[[#This Row],[ETA for New Ark update]])</f>
        <v>2026</v>
      </c>
      <c r="BC1096" s="430">
        <f>MONTH(PV_DATA[[#This Row],[ETA for New Ark update]])</f>
        <v>11</v>
      </c>
      <c r="BD1096" s="430">
        <f>IFERROR(_xlfn.ISOWEEKNUM(PV_DATA[[#This Row],[ETA for New Ark update]]),0)</f>
        <v>46</v>
      </c>
      <c r="BE1096" s="430">
        <f>_xlfn.XLOOKUP(PV_DATA[[#This Row],[New Ark SKU]],Table9[New Ark SKU],Table9[Total PCS per Pallet],,0)</f>
        <v>36</v>
      </c>
      <c r="BF1096" s="430">
        <f>_xlfn.XLOOKUP(PV_DATA[[#This Row],[New Ark SKU]],Table9[New Ark SKU],Table9[Total PCS per 40HQ Container],,0)</f>
        <v>936</v>
      </c>
      <c r="BG1096" s="430" t="str">
        <f>_xlfn.XLOOKUP(PV_DATA[[#This Row],[New Ark SKU]],Table9[New Ark SKU],Table9[Back Glass],,0)</f>
        <v>Black glazing</v>
      </c>
      <c r="BH1096" s="430" t="str">
        <f>_xlfn.XLOOKUP(PV_DATA[[#This Row],[PORT DESTINATION]],Table12[PORT DESTINATION],Table12[Cosco Line],,0)</f>
        <v>AEU</v>
      </c>
    </row>
    <row r="1097" spans="1:60" s="430" customFormat="1" ht="10.5">
      <c r="A1097" s="462" t="s">
        <v>6969</v>
      </c>
      <c r="B1097" s="462" t="s">
        <v>1757</v>
      </c>
      <c r="C1097" s="459" t="str">
        <f>IFERROR(LEFT(PV_DATA[[#This Row],[TCL REFERENCE]],FIND(".",PV_DATA[[#This Row],[TCL REFERENCE]],1)-1),"Main Line")</f>
        <v>26Aug014</v>
      </c>
      <c r="D1097" s="462" t="s">
        <v>113</v>
      </c>
      <c r="E1097" s="462" t="s">
        <v>144</v>
      </c>
      <c r="F1097" s="462" t="str" cm="1">
        <f t="array" ref="F10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7" s="462" t="s">
        <v>402</v>
      </c>
      <c r="H1097" s="462" t="s">
        <v>670</v>
      </c>
      <c r="I1097" s="462" t="s">
        <v>1395</v>
      </c>
      <c r="J1097" s="462" t="s">
        <v>670</v>
      </c>
      <c r="K1097" s="430" t="s">
        <v>6944</v>
      </c>
      <c r="L1097" s="430">
        <v>8</v>
      </c>
      <c r="M1097" s="430" t="s">
        <v>840</v>
      </c>
      <c r="N1097" s="432"/>
      <c r="O1097" s="430" t="s">
        <v>284</v>
      </c>
      <c r="P1097" s="430" t="s">
        <v>6847</v>
      </c>
      <c r="Q1097" s="430" t="s">
        <v>6848</v>
      </c>
      <c r="R1097" s="430" t="str">
        <f>_xlfn.XLOOKUP(PV_DATA[[#This Row],[New Ark SKU]],Table9[New Ark SKU],Table9[Connector],,0)</f>
        <v>EVO2A</v>
      </c>
      <c r="S1097" s="433" t="str">
        <f>_xlfn.XLOOKUP(PV_DATA[[#This Row],[New Ark SKU]],Table9[New Ark SKU],Table9[Cable],,0)</f>
        <v>±1200mm</v>
      </c>
      <c r="T1097" s="433">
        <v>485</v>
      </c>
      <c r="U1097" s="1088">
        <v>2808</v>
      </c>
      <c r="V1097" s="434">
        <f>PV_DATA[[#This Row],[QUANTITY]]*PV_DATA[[#This Row],[WATT]]/1000000</f>
        <v>1.36188</v>
      </c>
      <c r="W1097" s="435">
        <f>PV_DATA[[#This Row],[QUANTITY]]/36</f>
        <v>78</v>
      </c>
      <c r="X1097" s="1040">
        <f>PV_DATA[[#This Row],[QUANTITY]]/PV_DATA[[#This Row],[Qty/CT]]</f>
        <v>3</v>
      </c>
      <c r="Y1097" s="430" t="s">
        <v>2470</v>
      </c>
      <c r="Z1097" s="430" t="str">
        <f t="shared" si="20"/>
        <v>IN-TRANSIT</v>
      </c>
      <c r="AA1097" s="430" t="s">
        <v>6970</v>
      </c>
      <c r="AB1097" s="437">
        <v>46289</v>
      </c>
      <c r="AC1097" s="485">
        <f>IF(PV_DATA[[#This Row],[Pick- Up Date]]&lt;&gt;"",_xlfn.ISOWEEKNUM(PV_DATA[[#This Row],[Pick- Up Date]]),"")</f>
        <v>39</v>
      </c>
      <c r="AD1097" s="430" t="s">
        <v>6971</v>
      </c>
      <c r="AF1097" s="459" t="s">
        <v>5855</v>
      </c>
      <c r="AG1097" s="430" t="s">
        <v>122</v>
      </c>
      <c r="AH1097" s="430" t="s">
        <v>105</v>
      </c>
      <c r="AI1097" s="437">
        <v>46296</v>
      </c>
      <c r="AJ1097" s="437">
        <v>46297</v>
      </c>
      <c r="AK1097" s="437">
        <v>46297</v>
      </c>
      <c r="AL1097" s="437">
        <v>46340</v>
      </c>
      <c r="AM1097" s="437">
        <f>IFERROR(VLOOKUP(AT1097, Vessel!A:H, 8, FALSE), "")</f>
        <v>46340.791666666664</v>
      </c>
      <c r="AN1097" s="437" t="str">
        <f>IFERROR(IF(VLOOKUP(AT1097,Vessel!A:I,9,FALSE)=0,"",VLOOKUP(AT1097,Vessel!A:I,9,FALSE)),"")</f>
        <v/>
      </c>
      <c r="AP1097" s="430" t="s">
        <v>6956</v>
      </c>
      <c r="AQ1097" s="438" t="s">
        <v>80</v>
      </c>
      <c r="AR1097" s="430" t="s">
        <v>6972</v>
      </c>
      <c r="AS1097" s="430" t="s">
        <v>6973</v>
      </c>
      <c r="AT1097" s="430" t="s">
        <v>6973</v>
      </c>
      <c r="AU10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43.791666666664241</v>
      </c>
      <c r="AW1097" s="437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97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37" t="str">
        <f>IF(ISERROR(PV_DATA[[#This Row],[New Ark PO status]]),"",_xlfn.XLOOKUP(PV_DATA[[#This Row],[SPTN-PVHK New Ark PO'#]],New_Ark_Data[Purchase order Number],New_Ark_Data[Estimated time of arrival],"",0))</f>
        <v/>
      </c>
      <c r="AZ109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7" s="437">
        <f>IFERROR(PV_DATA[[#This Row],[ODP ETA Port]]+PV_DATA[[#This Row],[Customs/Leg3 Assumption]],"n/a")</f>
        <v>46340.791666666664</v>
      </c>
      <c r="BB1097" s="433">
        <f>YEAR(PV_DATA[[#This Row],[ETA for New Ark update]])</f>
        <v>2026</v>
      </c>
      <c r="BC1097" s="430">
        <f>MONTH(PV_DATA[[#This Row],[ETA for New Ark update]])</f>
        <v>11</v>
      </c>
      <c r="BD1097" s="430">
        <f>IFERROR(_xlfn.ISOWEEKNUM(PV_DATA[[#This Row],[ETA for New Ark update]]),0)</f>
        <v>46</v>
      </c>
      <c r="BE1097" s="430">
        <f>_xlfn.XLOOKUP(PV_DATA[[#This Row],[New Ark SKU]],Table9[New Ark SKU],Table9[Total PCS per Pallet],,0)</f>
        <v>36</v>
      </c>
      <c r="BF1097" s="430">
        <f>_xlfn.XLOOKUP(PV_DATA[[#This Row],[New Ark SKU]],Table9[New Ark SKU],Table9[Total PCS per 40HQ Container],,0)</f>
        <v>936</v>
      </c>
      <c r="BG1097" s="430" t="str">
        <f>_xlfn.XLOOKUP(PV_DATA[[#This Row],[New Ark SKU]],Table9[New Ark SKU],Table9[Back Glass],,0)</f>
        <v>Black glazing</v>
      </c>
      <c r="BH1097" s="610" t="str">
        <f>_xlfn.XLOOKUP(PV_DATA[[#This Row],[PORT DESTINATION]],Table12[PORT DESTINATION],Table12[Cosco Line],,0)</f>
        <v>AEU</v>
      </c>
    </row>
    <row r="1098" spans="1:60" s="430" customFormat="1" ht="13.5" customHeight="1">
      <c r="A1098" s="462" t="s">
        <v>6974</v>
      </c>
      <c r="B1098" s="462" t="s">
        <v>1757</v>
      </c>
      <c r="C1098" s="459" t="str">
        <f>IFERROR(LEFT(PV_DATA[[#This Row],[TCL REFERENCE]],FIND(".",PV_DATA[[#This Row],[TCL REFERENCE]],1)-1),"Main Line")</f>
        <v>26Aug013</v>
      </c>
      <c r="D1098" s="945" t="s">
        <v>113</v>
      </c>
      <c r="E1098" s="462" t="s">
        <v>144</v>
      </c>
      <c r="F1098" s="462" t="str" cm="1">
        <f t="array" ref="F10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8" s="462" t="s">
        <v>402</v>
      </c>
      <c r="H1098" s="462" t="s">
        <v>670</v>
      </c>
      <c r="I1098" s="462" t="s">
        <v>1395</v>
      </c>
      <c r="J1098" s="462" t="s">
        <v>670</v>
      </c>
      <c r="K1098" s="430" t="s">
        <v>6839</v>
      </c>
      <c r="L1098" s="430">
        <v>10</v>
      </c>
      <c r="M1098" s="430" t="s">
        <v>840</v>
      </c>
      <c r="N1098" s="432"/>
      <c r="O1098" s="430" t="s">
        <v>284</v>
      </c>
      <c r="P1098" s="430" t="s">
        <v>6840</v>
      </c>
      <c r="Q1098" s="430" t="s">
        <v>6841</v>
      </c>
      <c r="R1098" s="430" t="str">
        <f>_xlfn.XLOOKUP(PV_DATA[[#This Row],[New Ark SKU]],Table9[New Ark SKU],Table9[Connector],,0)</f>
        <v>EVO2A</v>
      </c>
      <c r="S1098" s="433" t="str">
        <f>_xlfn.XLOOKUP(PV_DATA[[#This Row],[New Ark SKU]],Table9[New Ark SKU],Table9[Cable],,0)</f>
        <v>±1200mm</v>
      </c>
      <c r="T1098" s="433">
        <v>490</v>
      </c>
      <c r="U1098" s="1088">
        <f>936*5</f>
        <v>4680</v>
      </c>
      <c r="V1098" s="434">
        <f>PV_DATA[[#This Row],[QUANTITY]]*PV_DATA[[#This Row],[WATT]]/1000000</f>
        <v>2.2932000000000001</v>
      </c>
      <c r="W1098" s="981">
        <f>PV_DATA[[#This Row],[QUANTITY]]/36</f>
        <v>130</v>
      </c>
      <c r="X1098" s="1040">
        <f>PV_DATA[[#This Row],[QUANTITY]]/PV_DATA[[#This Row],[Qty/CT]]</f>
        <v>5</v>
      </c>
      <c r="Y1098" s="430" t="s">
        <v>2469</v>
      </c>
      <c r="Z1098" s="430" t="str">
        <f t="shared" ref="Z1098:Z1131" si="21">IF(AN1098&lt;&gt;"","COMPLETED",IF(AK1098&lt;&gt;"","IN-TRANSIT",""))</f>
        <v>IN-TRANSIT</v>
      </c>
      <c r="AA1098" s="430" t="s">
        <v>6975</v>
      </c>
      <c r="AB1098" s="437">
        <v>46289</v>
      </c>
      <c r="AC1098" s="485">
        <f>IF(PV_DATA[[#This Row],[Pick- Up Date]]&lt;&gt;"",_xlfn.ISOWEEKNUM(PV_DATA[[#This Row],[Pick- Up Date]]),"")</f>
        <v>39</v>
      </c>
      <c r="AD1098" s="430" t="s">
        <v>6976</v>
      </c>
      <c r="AF1098" s="459" t="s">
        <v>5855</v>
      </c>
      <c r="AG1098" s="430" t="s">
        <v>122</v>
      </c>
      <c r="AH1098" s="430" t="s">
        <v>105</v>
      </c>
      <c r="AI1098" s="437">
        <v>46296</v>
      </c>
      <c r="AJ1098" s="437">
        <v>46297</v>
      </c>
      <c r="AK1098" s="437">
        <v>46297</v>
      </c>
      <c r="AL1098" s="437">
        <v>46340</v>
      </c>
      <c r="AM1098" s="437">
        <f>IFERROR(VLOOKUP(AT1098, Vessel!A:H, 8, FALSE), "")</f>
        <v>46340.791666666664</v>
      </c>
      <c r="AN1098" s="437" t="str">
        <f>IFERROR(IF(VLOOKUP(AT1098,Vessel!A:I,9,FALSE)=0,"",VLOOKUP(AT1098,Vessel!A:I,9,FALSE)),"")</f>
        <v/>
      </c>
      <c r="AP1098" s="430" t="s">
        <v>6956</v>
      </c>
      <c r="AQ1098" s="438" t="s">
        <v>80</v>
      </c>
      <c r="AR1098" s="430" t="s">
        <v>6972</v>
      </c>
      <c r="AS1098" s="430" t="s">
        <v>6973</v>
      </c>
      <c r="AT1098" s="430" t="s">
        <v>6973</v>
      </c>
      <c r="AU10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43.791666666664241</v>
      </c>
      <c r="AW1098" s="437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46340.791666666664</v>
      </c>
      <c r="AX109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37" t="str">
        <f>IF(ISERROR(PV_DATA[[#This Row],[New Ark PO status]]),"",_xlfn.XLOOKUP(PV_DATA[[#This Row],[SPTN-PVHK New Ark PO'#]],New_Ark_Data[Purchase order Number],New_Ark_Data[Estimated time of arrival],"",0))</f>
        <v/>
      </c>
      <c r="AZ109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8" s="437">
        <f>IFERROR(PV_DATA[[#This Row],[ODP ETA Port]]+PV_DATA[[#This Row],[Customs/Leg3 Assumption]],"n/a")</f>
        <v>46340.791666666664</v>
      </c>
      <c r="BB1098" s="433">
        <f>YEAR(PV_DATA[[#This Row],[ETA for New Ark update]])</f>
        <v>2026</v>
      </c>
      <c r="BC1098" s="430">
        <f>MONTH(PV_DATA[[#This Row],[ETA for New Ark update]])</f>
        <v>11</v>
      </c>
      <c r="BD1098" s="430">
        <f>IFERROR(_xlfn.ISOWEEKNUM(PV_DATA[[#This Row],[ETA for New Ark update]]),0)</f>
        <v>46</v>
      </c>
      <c r="BE1098" s="430">
        <f>_xlfn.XLOOKUP(PV_DATA[[#This Row],[New Ark SKU]],Table9[New Ark SKU],Table9[Total PCS per Pallet],,0)</f>
        <v>36</v>
      </c>
      <c r="BF1098" s="430">
        <f>_xlfn.XLOOKUP(PV_DATA[[#This Row],[New Ark SKU]],Table9[New Ark SKU],Table9[Total PCS per 40HQ Container],,0)</f>
        <v>936</v>
      </c>
      <c r="BG1098" s="430" t="str">
        <f>_xlfn.XLOOKUP(PV_DATA[[#This Row],[New Ark SKU]],Table9[New Ark SKU],Table9[Back Glass],,0)</f>
        <v>Black glazing</v>
      </c>
      <c r="BH1098" s="610" t="str">
        <f>_xlfn.XLOOKUP(PV_DATA[[#This Row],[PORT DESTINATION]],Table12[PORT DESTINATION],Table12[Cosco Line],,0)</f>
        <v>AEU</v>
      </c>
    </row>
    <row r="1099" spans="1:60" s="430" customFormat="1" ht="10.5">
      <c r="A1099" s="729" t="s">
        <v>6977</v>
      </c>
      <c r="B1099" s="462" t="s">
        <v>111</v>
      </c>
      <c r="C1099" s="462" t="str">
        <f>IFERROR(LEFT(PV_DATA[[#This Row],[TCL REFERENCE]],FIND(".",PV_DATA[[#This Row],[TCL REFERENCE]],1)-1),"Main Line")</f>
        <v>26Aug002</v>
      </c>
      <c r="D1099" s="462" t="s">
        <v>63</v>
      </c>
      <c r="E1099" s="462" t="s">
        <v>64</v>
      </c>
      <c r="F1099" s="462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9" s="462" t="s">
        <v>402</v>
      </c>
      <c r="H1099" s="462" t="s">
        <v>67</v>
      </c>
      <c r="I1099" s="462" t="s">
        <v>689</v>
      </c>
      <c r="J1099" s="430" t="s">
        <v>96</v>
      </c>
      <c r="M1099" s="430" t="s">
        <v>6315</v>
      </c>
      <c r="N1099" s="432">
        <v>46215</v>
      </c>
      <c r="O1099" s="430" t="s">
        <v>550</v>
      </c>
      <c r="P1099" s="430" t="s">
        <v>2134</v>
      </c>
      <c r="Q1099" s="430" t="s">
        <v>2135</v>
      </c>
      <c r="R1099" s="430" t="str">
        <f>_xlfn.XLOOKUP(PV_DATA[[#This Row],[New Ark SKU]],Table9[New Ark SKU],Table9[Connector],,0)</f>
        <v>EVO2A</v>
      </c>
      <c r="S1099" s="433" t="str">
        <f>_xlfn.XLOOKUP(PV_DATA[[#This Row],[New Ark SKU]],Table9[New Ark SKU],Table9[Cable],,0)</f>
        <v>±1350mm</v>
      </c>
      <c r="T1099" s="433">
        <v>515</v>
      </c>
      <c r="U1099" s="1088">
        <v>792</v>
      </c>
      <c r="V1099" s="434">
        <f>PV_DATA[[#This Row],[QUANTITY]]*PV_DATA[[#This Row],[WATT]]/1000000</f>
        <v>0.40788000000000002</v>
      </c>
      <c r="W1099" s="435">
        <f>PV_DATA[[#This Row],[QUANTITY]]/PV_DATA[[#This Row],[Qty/Pallet]]</f>
        <v>22</v>
      </c>
      <c r="X1099" s="1040">
        <f>PV_DATA[[#This Row],[QUANTITY]]/PV_DATA[[#This Row],[Qty/CT]]</f>
        <v>1</v>
      </c>
      <c r="Y1099" s="430" t="s">
        <v>2468</v>
      </c>
      <c r="Z1099" s="430" t="str">
        <f t="shared" si="21"/>
        <v/>
      </c>
      <c r="AA1099" s="545">
        <v>46293</v>
      </c>
      <c r="AB1099" s="437">
        <v>46292</v>
      </c>
      <c r="AC1099" s="485">
        <f>IF(PV_DATA[[#This Row],[Pick- Up Date]]&lt;&gt;"",_xlfn.ISOWEEKNUM(PV_DATA[[#This Row],[Pick- Up Date]]),"")</f>
        <v>39</v>
      </c>
      <c r="AD1099" s="430" t="s">
        <v>6978</v>
      </c>
      <c r="AF1099" s="430" t="s">
        <v>122</v>
      </c>
      <c r="AG1099" s="430" t="s">
        <v>122</v>
      </c>
      <c r="AH1099" s="430" t="s">
        <v>105</v>
      </c>
      <c r="AI1099" s="437">
        <v>46297</v>
      </c>
      <c r="AJ1099" s="437" t="str">
        <f>IFERROR(VLOOKUP(AT1099, Vessel!A:D, 4, FALSE), "")</f>
        <v/>
      </c>
      <c r="AK1099" s="437" t="str">
        <f>IFERROR(IF(VLOOKUP(AT1099,Vessel!A:F,5,FALSE)=0,"",VLOOKUP(AT1099,Vessel!A:F,5,FALSE)),"")</f>
        <v/>
      </c>
      <c r="AL1099" s="437">
        <v>46334</v>
      </c>
      <c r="AM1099" s="588" t="str">
        <f>IFERROR(VLOOKUP(AT1099, Vessel!A:H, 8, FALSE), "")</f>
        <v/>
      </c>
      <c r="AN1099" s="588" t="str">
        <f>IFERROR(IF(VLOOKUP(AT1099,Vessel!A:I,9,FALSE)=0,"",VLOOKUP(AT1099,Vessel!A:I,9,FALSE)),"")</f>
        <v/>
      </c>
      <c r="AP1099" s="430" t="s">
        <v>6979</v>
      </c>
      <c r="AQ1099" s="438" t="s">
        <v>161</v>
      </c>
      <c r="AR1099" s="430" t="s">
        <v>6980</v>
      </c>
      <c r="AS1099" s="430" t="s">
        <v>6981</v>
      </c>
      <c r="AT1099" s="430" t="s">
        <v>6981</v>
      </c>
      <c r="AU10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99" s="437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9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37" t="str">
        <f>IF(ISERROR(PV_DATA[[#This Row],[New Ark PO status]]),"",_xlfn.XLOOKUP(PV_DATA[[#This Row],[SPTN-PVHK New Ark PO'#]],New_Ark_Data[Purchase order Number],New_Ark_Data[Estimated time of arrival],"",0))</f>
        <v/>
      </c>
      <c r="AZ109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9" s="437">
        <f>IFERROR(PV_DATA[[#This Row],[ODP ETA Port]]+PV_DATA[[#This Row],[Customs/Leg3 Assumption]],"n/a")</f>
        <v>46341</v>
      </c>
      <c r="BB1099" s="433" t="s">
        <v>6315</v>
      </c>
      <c r="BC1099" s="433" t="s">
        <v>6315</v>
      </c>
      <c r="BD1099" s="430">
        <f>IFERROR(_xlfn.ISOWEEKNUM(PV_DATA[[#This Row],[ETA for New Ark update]]),0)</f>
        <v>46</v>
      </c>
      <c r="BE1099" s="430">
        <f>_xlfn.XLOOKUP(PV_DATA[[#This Row],[New Ark SKU]],Table9[New Ark SKU],Table9[Total PCS per Pallet],,0)</f>
        <v>36</v>
      </c>
      <c r="BF1099" s="430">
        <f>_xlfn.XLOOKUP(PV_DATA[[#This Row],[New Ark SKU]],Table9[New Ark SKU],Table9[Total PCS per 40HQ Container],,0)</f>
        <v>792</v>
      </c>
      <c r="BG1099" s="430" t="str">
        <f>_xlfn.XLOOKUP(PV_DATA[[#This Row],[New Ark SKU]],Table9[New Ark SKU],Table9[Back Glass],,0)</f>
        <v>Black glazing</v>
      </c>
      <c r="BH1099" s="610" t="str">
        <f>_xlfn.XLOOKUP(PV_DATA[[#This Row],[PORT DESTINATION]],Table12[PORT DESTINATION],Table12[Cosco Line],,0)</f>
        <v>AEU</v>
      </c>
    </row>
    <row r="1100" spans="1:60" s="430" customFormat="1" ht="13.5" customHeight="1">
      <c r="A1100" s="729" t="s">
        <v>6982</v>
      </c>
      <c r="B1100" s="462" t="s">
        <v>111</v>
      </c>
      <c r="C1100" s="462" t="str">
        <f>IFERROR(LEFT(PV_DATA[[#This Row],[TCL REFERENCE]],FIND(".",PV_DATA[[#This Row],[TCL REFERENCE]],1)-1),"Main Line")</f>
        <v>26Aug016</v>
      </c>
      <c r="D1100" s="462" t="s">
        <v>63</v>
      </c>
      <c r="E1100" s="462" t="s">
        <v>64</v>
      </c>
      <c r="F1100" s="462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0" s="462" t="s">
        <v>402</v>
      </c>
      <c r="H1100" s="462" t="s">
        <v>67</v>
      </c>
      <c r="I1100" s="462" t="s">
        <v>689</v>
      </c>
      <c r="J1100" s="430" t="s">
        <v>96</v>
      </c>
      <c r="M1100" s="430" t="s">
        <v>68</v>
      </c>
      <c r="N1100" s="432">
        <v>46282</v>
      </c>
      <c r="O1100" s="430" t="s">
        <v>550</v>
      </c>
      <c r="P1100" s="430" t="s">
        <v>2134</v>
      </c>
      <c r="Q1100" s="430" t="s">
        <v>2135</v>
      </c>
      <c r="R1100" s="430" t="str">
        <f>_xlfn.XLOOKUP(PV_DATA[[#This Row],[New Ark SKU]],Table9[New Ark SKU],Table9[Connector],,0)</f>
        <v>EVO2A</v>
      </c>
      <c r="S1100" s="433" t="str">
        <f>_xlfn.XLOOKUP(PV_DATA[[#This Row],[New Ark SKU]],Table9[New Ark SKU],Table9[Cable],,0)</f>
        <v>±1350mm</v>
      </c>
      <c r="T1100" s="433">
        <v>515</v>
      </c>
      <c r="U1100" s="1088">
        <v>3960</v>
      </c>
      <c r="V1100" s="434">
        <f>PV_DATA[[#This Row],[QUANTITY]]*PV_DATA[[#This Row],[WATT]]/1000000</f>
        <v>2.0394000000000001</v>
      </c>
      <c r="W1100" s="435">
        <f>PV_DATA[[#This Row],[QUANTITY]]/PV_DATA[[#This Row],[Qty/Pallet]]</f>
        <v>110</v>
      </c>
      <c r="X1100" s="1040">
        <f>PV_DATA[[#This Row],[QUANTITY]]/PV_DATA[[#This Row],[Qty/CT]]</f>
        <v>5</v>
      </c>
      <c r="Y1100" s="430" t="s">
        <v>2470</v>
      </c>
      <c r="Z1100" s="430" t="str">
        <f t="shared" si="21"/>
        <v/>
      </c>
      <c r="AA1100" s="545">
        <v>46293</v>
      </c>
      <c r="AB1100" s="437">
        <v>46292</v>
      </c>
      <c r="AC1100" s="485">
        <f>IF(PV_DATA[[#This Row],[Pick- Up Date]]&lt;&gt;"",_xlfn.ISOWEEKNUM(PV_DATA[[#This Row],[Pick- Up Date]]),"")</f>
        <v>39</v>
      </c>
      <c r="AD1100" s="430" t="s">
        <v>6983</v>
      </c>
      <c r="AF1100" s="430" t="s">
        <v>122</v>
      </c>
      <c r="AG1100" s="430" t="s">
        <v>122</v>
      </c>
      <c r="AH1100" s="430" t="s">
        <v>105</v>
      </c>
      <c r="AI1100" s="437">
        <v>46297</v>
      </c>
      <c r="AJ1100" s="437" t="str">
        <f>IFERROR(VLOOKUP(AT1100, Vessel!A:D, 4, FALSE), "")</f>
        <v/>
      </c>
      <c r="AK1100" s="437" t="str">
        <f>IFERROR(IF(VLOOKUP(AT1100,Vessel!A:F,5,FALSE)=0,"",VLOOKUP(AT1100,Vessel!A:F,5,FALSE)),"")</f>
        <v/>
      </c>
      <c r="AL1100" s="437">
        <v>46334</v>
      </c>
      <c r="AM1100" s="437"/>
      <c r="AN1100" s="588" t="str">
        <f>IFERROR(IF(VLOOKUP(AT1100,Vessel!A:I,9,FALSE)=0,"",VLOOKUP(AT1100,Vessel!A:I,9,FALSE)),"")</f>
        <v/>
      </c>
      <c r="AP1100" s="430" t="s">
        <v>6979</v>
      </c>
      <c r="AQ1100" s="438" t="s">
        <v>161</v>
      </c>
      <c r="AR1100" s="430" t="s">
        <v>6980</v>
      </c>
      <c r="AS1100" s="430" t="s">
        <v>6981</v>
      </c>
      <c r="AT1100" s="430" t="s">
        <v>6981</v>
      </c>
      <c r="AU11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100" s="437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100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37" t="str">
        <f>IF(ISERROR(PV_DATA[[#This Row],[New Ark PO status]]),"",_xlfn.XLOOKUP(PV_DATA[[#This Row],[SPTN-PVHK New Ark PO'#]],New_Ark_Data[Purchase order Number],New_Ark_Data[Estimated time of arrival],"",0))</f>
        <v/>
      </c>
      <c r="AZ110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0" s="437">
        <f>IFERROR(PV_DATA[[#This Row],[ODP ETA Port]]+PV_DATA[[#This Row],[Customs/Leg3 Assumption]],"n/a")</f>
        <v>46341</v>
      </c>
      <c r="BB1100" s="433" t="s">
        <v>6536</v>
      </c>
      <c r="BC1100" s="433" t="s">
        <v>6536</v>
      </c>
      <c r="BD1100" s="430">
        <f>IFERROR(_xlfn.ISOWEEKNUM(PV_DATA[[#This Row],[ETA for New Ark update]]),0)</f>
        <v>46</v>
      </c>
      <c r="BE1100" s="430">
        <f>_xlfn.XLOOKUP(PV_DATA[[#This Row],[New Ark SKU]],Table9[New Ark SKU],Table9[Total PCS per Pallet],,0)</f>
        <v>36</v>
      </c>
      <c r="BF1100" s="430">
        <f>_xlfn.XLOOKUP(PV_DATA[[#This Row],[New Ark SKU]],Table9[New Ark SKU],Table9[Total PCS per 40HQ Container],,0)</f>
        <v>792</v>
      </c>
      <c r="BG1100" s="430" t="str">
        <f>_xlfn.XLOOKUP(PV_DATA[[#This Row],[New Ark SKU]],Table9[New Ark SKU],Table9[Back Glass],,0)</f>
        <v>Black glazing</v>
      </c>
      <c r="BH1100" s="610" t="str">
        <f>_xlfn.XLOOKUP(PV_DATA[[#This Row],[PORT DESTINATION]],Table12[PORT DESTINATION],Table12[Cosco Line],,0)</f>
        <v>AEU</v>
      </c>
    </row>
    <row r="1101" spans="1:60" s="430" customFormat="1" ht="13.5" customHeight="1">
      <c r="A1101" s="729" t="s">
        <v>6984</v>
      </c>
      <c r="B1101" s="462" t="s">
        <v>111</v>
      </c>
      <c r="C1101" s="462" t="str">
        <f>IFERROR(LEFT(PV_DATA[[#This Row],[TCL REFERENCE]],FIND(".",PV_DATA[[#This Row],[TCL REFERENCE]],1)-1),"Main Line")</f>
        <v>26Aug015</v>
      </c>
      <c r="D1101" s="462" t="s">
        <v>63</v>
      </c>
      <c r="E1101" s="462" t="s">
        <v>64</v>
      </c>
      <c r="F1101" s="462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1" s="462" t="s">
        <v>402</v>
      </c>
      <c r="H1101" s="462" t="s">
        <v>67</v>
      </c>
      <c r="I1101" s="462" t="s">
        <v>689</v>
      </c>
      <c r="J1101" s="430" t="s">
        <v>96</v>
      </c>
      <c r="M1101" s="430" t="s">
        <v>68</v>
      </c>
      <c r="N1101" s="432">
        <v>46285</v>
      </c>
      <c r="O1101" s="430" t="s">
        <v>550</v>
      </c>
      <c r="P1101" s="430" t="s">
        <v>551</v>
      </c>
      <c r="Q1101" s="430" t="s">
        <v>2151</v>
      </c>
      <c r="R1101" s="430" t="str">
        <f>_xlfn.XLOOKUP(PV_DATA[[#This Row],[New Ark SKU]],Table9[New Ark SKU],Table9[Connector],,0)</f>
        <v>EVO2A</v>
      </c>
      <c r="S1101" s="433" t="str">
        <f>_xlfn.XLOOKUP(PV_DATA[[#This Row],[New Ark SKU]],Table9[New Ark SKU],Table9[Cable],,0)</f>
        <v>±1350mm</v>
      </c>
      <c r="T1101" s="433">
        <v>510</v>
      </c>
      <c r="U1101" s="1088">
        <v>1584</v>
      </c>
      <c r="V1101" s="434">
        <f>PV_DATA[[#This Row],[QUANTITY]]*PV_DATA[[#This Row],[WATT]]/1000000</f>
        <v>0.80784</v>
      </c>
      <c r="W1101" s="435">
        <f>PV_DATA[[#This Row],[QUANTITY]]/PV_DATA[[#This Row],[Qty/Pallet]]</f>
        <v>44</v>
      </c>
      <c r="X1101" s="1040">
        <f>PV_DATA[[#This Row],[QUANTITY]]/PV_DATA[[#This Row],[Qty/CT]]</f>
        <v>2</v>
      </c>
      <c r="Y1101" s="430" t="s">
        <v>2471</v>
      </c>
      <c r="Z1101" s="430" t="str">
        <f t="shared" si="21"/>
        <v/>
      </c>
      <c r="AA1101" s="545">
        <v>46293</v>
      </c>
      <c r="AB1101" s="437">
        <v>46292</v>
      </c>
      <c r="AC1101" s="485">
        <f>IF(PV_DATA[[#This Row],[Pick- Up Date]]&lt;&gt;"",_xlfn.ISOWEEKNUM(PV_DATA[[#This Row],[Pick- Up Date]]),"")</f>
        <v>39</v>
      </c>
      <c r="AD1101" s="430" t="s">
        <v>6985</v>
      </c>
      <c r="AF1101" s="430" t="s">
        <v>122</v>
      </c>
      <c r="AG1101" s="430" t="s">
        <v>122</v>
      </c>
      <c r="AH1101" s="430" t="s">
        <v>105</v>
      </c>
      <c r="AI1101" s="437">
        <v>46297</v>
      </c>
      <c r="AJ1101" s="437" t="str">
        <f>IFERROR(VLOOKUP(AT1101, Vessel!A:D, 4, FALSE), "")</f>
        <v/>
      </c>
      <c r="AK1101" s="437" t="str">
        <f>IFERROR(IF(VLOOKUP(AT1101,Vessel!A:F,5,FALSE)=0,"",VLOOKUP(AT1101,Vessel!A:F,5,FALSE)),"")</f>
        <v/>
      </c>
      <c r="AL1101" s="437">
        <v>46334</v>
      </c>
      <c r="AM1101" s="437"/>
      <c r="AN1101" s="588" t="str">
        <f>IFERROR(IF(VLOOKUP(AT1101,Vessel!A:I,9,FALSE)=0,"",VLOOKUP(AT1101,Vessel!A:I,9,FALSE)),"")</f>
        <v/>
      </c>
      <c r="AP1101" s="430" t="s">
        <v>6979</v>
      </c>
      <c r="AQ1101" s="438" t="s">
        <v>161</v>
      </c>
      <c r="AR1101" s="430" t="s">
        <v>6980</v>
      </c>
      <c r="AS1101" s="430" t="s">
        <v>6981</v>
      </c>
      <c r="AT1101" s="430" t="s">
        <v>6981</v>
      </c>
      <c r="AU11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101" s="437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101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37" t="str">
        <f>IF(ISERROR(PV_DATA[[#This Row],[New Ark PO status]]),"",_xlfn.XLOOKUP(PV_DATA[[#This Row],[SPTN-PVHK New Ark PO'#]],New_Ark_Data[Purchase order Number],New_Ark_Data[Estimated time of arrival],"",0))</f>
        <v/>
      </c>
      <c r="AZ110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1" s="437">
        <f>IFERROR(PV_DATA[[#This Row],[ODP ETA Port]]+PV_DATA[[#This Row],[Customs/Leg3 Assumption]],"n/a")</f>
        <v>46341</v>
      </c>
      <c r="BB1101" s="433" t="s">
        <v>6536</v>
      </c>
      <c r="BC1101" s="433" t="s">
        <v>6536</v>
      </c>
      <c r="BD1101" s="430">
        <f>IFERROR(_xlfn.ISOWEEKNUM(PV_DATA[[#This Row],[ETA for New Ark update]]),0)</f>
        <v>46</v>
      </c>
      <c r="BE1101" s="430">
        <f>_xlfn.XLOOKUP(PV_DATA[[#This Row],[New Ark SKU]],Table9[New Ark SKU],Table9[Total PCS per Pallet],,0)</f>
        <v>36</v>
      </c>
      <c r="BF1101" s="430">
        <f>_xlfn.XLOOKUP(PV_DATA[[#This Row],[New Ark SKU]],Table9[New Ark SKU],Table9[Total PCS per 40HQ Container],,0)</f>
        <v>792</v>
      </c>
      <c r="BG1101" s="430" t="str">
        <f>_xlfn.XLOOKUP(PV_DATA[[#This Row],[New Ark SKU]],Table9[New Ark SKU],Table9[Back Glass],,0)</f>
        <v>Black glazing</v>
      </c>
      <c r="BH1101" s="610" t="str">
        <f>_xlfn.XLOOKUP(PV_DATA[[#This Row],[PORT DESTINATION]],Table12[PORT DESTINATION],Table12[Cosco Line],,0)</f>
        <v>AEU</v>
      </c>
    </row>
    <row r="1102" spans="1:60" s="430" customFormat="1" ht="13.5" customHeight="1">
      <c r="A1102" s="729" t="s">
        <v>6986</v>
      </c>
      <c r="B1102" s="462" t="s">
        <v>111</v>
      </c>
      <c r="C1102" s="462" t="str">
        <f>IFERROR(LEFT(PV_DATA[[#This Row],[TCL REFERENCE]],FIND(".",PV_DATA[[#This Row],[TCL REFERENCE]],1)-1),"Main Line")</f>
        <v>26Aug016</v>
      </c>
      <c r="D1102" s="462" t="s">
        <v>63</v>
      </c>
      <c r="E1102" s="462" t="s">
        <v>64</v>
      </c>
      <c r="F1102" s="462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02" s="462" t="s">
        <v>402</v>
      </c>
      <c r="H1102" s="462" t="s">
        <v>311</v>
      </c>
      <c r="I1102" s="462" t="s">
        <v>689</v>
      </c>
      <c r="J1102" s="430" t="s">
        <v>96</v>
      </c>
      <c r="M1102" s="430" t="s">
        <v>68</v>
      </c>
      <c r="N1102" s="432">
        <v>46282</v>
      </c>
      <c r="O1102" s="430" t="s">
        <v>550</v>
      </c>
      <c r="P1102" s="430" t="s">
        <v>2134</v>
      </c>
      <c r="Q1102" s="430" t="s">
        <v>2135</v>
      </c>
      <c r="R1102" s="430" t="str">
        <f>_xlfn.XLOOKUP(PV_DATA[[#This Row],[New Ark SKU]],Table9[New Ark SKU],Table9[Connector],,0)</f>
        <v>EVO2A</v>
      </c>
      <c r="S1102" s="433" t="str">
        <f>_xlfn.XLOOKUP(PV_DATA[[#This Row],[New Ark SKU]],Table9[New Ark SKU],Table9[Cable],,0)</f>
        <v>±1350mm</v>
      </c>
      <c r="T1102" s="433">
        <v>515</v>
      </c>
      <c r="U1102" s="1088">
        <f>792*4</f>
        <v>3168</v>
      </c>
      <c r="V1102" s="434">
        <f>PV_DATA[[#This Row],[QUANTITY]]*PV_DATA[[#This Row],[WATT]]/1000000</f>
        <v>1.6315200000000001</v>
      </c>
      <c r="W1102" s="435">
        <f>PV_DATA[[#This Row],[QUANTITY]]/PV_DATA[[#This Row],[Qty/Pallet]]</f>
        <v>88</v>
      </c>
      <c r="X1102" s="1040">
        <f>PV_DATA[[#This Row],[QUANTITY]]/PV_DATA[[#This Row],[Qty/CT]]</f>
        <v>4</v>
      </c>
      <c r="Y1102" s="430" t="s">
        <v>2471</v>
      </c>
      <c r="Z1102" s="430" t="str">
        <f t="shared" si="21"/>
        <v/>
      </c>
      <c r="AA1102" s="545">
        <v>46291</v>
      </c>
      <c r="AB1102" s="437">
        <v>46291</v>
      </c>
      <c r="AC1102" s="485">
        <f>IF(PV_DATA[[#This Row],[Pick- Up Date]]&lt;&gt;"",_xlfn.ISOWEEKNUM(PV_DATA[[#This Row],[Pick- Up Date]]),"")</f>
        <v>39</v>
      </c>
      <c r="AD1102" s="430" t="s">
        <v>6987</v>
      </c>
      <c r="AF1102" s="430" t="s">
        <v>122</v>
      </c>
      <c r="AG1102" s="430" t="s">
        <v>122</v>
      </c>
      <c r="AH1102" s="430" t="s">
        <v>314</v>
      </c>
      <c r="AI1102" s="437">
        <v>46297</v>
      </c>
      <c r="AJ1102" s="437">
        <v>46306</v>
      </c>
      <c r="AK1102" s="437" t="str">
        <f>IFERROR(IF(VLOOKUP(AT1102,Vessel!A:F,5,FALSE)=0,"",VLOOKUP(AT1102,Vessel!A:F,5,FALSE)),"")</f>
        <v/>
      </c>
      <c r="AL1102" s="437">
        <v>46344</v>
      </c>
      <c r="AM1102" s="437">
        <f>IFERROR(VLOOKUP(AT1102, Vessel!A:H, 8, FALSE), "")</f>
        <v>46344.25</v>
      </c>
      <c r="AN1102" s="437" t="str">
        <f>IFERROR(IF(VLOOKUP(AT1102,Vessel!A:I,9,FALSE)=0,"",VLOOKUP(AT1102,Vessel!A:I,9,FALSE)),"")</f>
        <v/>
      </c>
      <c r="AP1102" s="430" t="s">
        <v>6988</v>
      </c>
      <c r="AQ1102" s="438" t="s">
        <v>80</v>
      </c>
      <c r="AR1102" s="430" t="s">
        <v>6989</v>
      </c>
      <c r="AS1102" s="430" t="s">
        <v>6990</v>
      </c>
      <c r="AT1102" s="430" t="s">
        <v>6990</v>
      </c>
      <c r="AU11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38.25</v>
      </c>
      <c r="AW1102" s="437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02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37" t="str">
        <f>IF(ISERROR(PV_DATA[[#This Row],[New Ark PO status]]),"",_xlfn.XLOOKUP(PV_DATA[[#This Row],[SPTN-PVHK New Ark PO'#]],New_Ark_Data[Purchase order Number],New_Ark_Data[Estimated time of arrival],"",0))</f>
        <v/>
      </c>
      <c r="AZ110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02" s="437">
        <f>IFERROR(PV_DATA[[#This Row],[ODP ETA Port]]+PV_DATA[[#This Row],[Customs/Leg3 Assumption]],"n/a")</f>
        <v>46354.25</v>
      </c>
      <c r="BB1102" s="433" t="s">
        <v>6536</v>
      </c>
      <c r="BC1102" s="433" t="s">
        <v>6536</v>
      </c>
      <c r="BD1102" s="430">
        <f>IFERROR(_xlfn.ISOWEEKNUM(PV_DATA[[#This Row],[ETA for New Ark update]]),0)</f>
        <v>48</v>
      </c>
      <c r="BE1102" s="430">
        <f>_xlfn.XLOOKUP(PV_DATA[[#This Row],[New Ark SKU]],Table9[New Ark SKU],Table9[Total PCS per Pallet],,0)</f>
        <v>36</v>
      </c>
      <c r="BF1102" s="430">
        <f>_xlfn.XLOOKUP(PV_DATA[[#This Row],[New Ark SKU]],Table9[New Ark SKU],Table9[Total PCS per 40HQ Container],,0)</f>
        <v>792</v>
      </c>
      <c r="BG1102" s="430" t="str">
        <f>_xlfn.XLOOKUP(PV_DATA[[#This Row],[New Ark SKU]],Table9[New Ark SKU],Table9[Back Glass],,0)</f>
        <v>Black glazing</v>
      </c>
      <c r="BH1102" s="610" t="str">
        <f>_xlfn.XLOOKUP(PV_DATA[[#This Row],[PORT DESTINATION]],Table12[PORT DESTINATION],Table12[Cosco Line],,0)</f>
        <v>AEM</v>
      </c>
    </row>
    <row r="1103" spans="1:60" s="430" customFormat="1" ht="13.5" customHeight="1">
      <c r="A1103" s="729" t="s">
        <v>6991</v>
      </c>
      <c r="B1103" s="462" t="s">
        <v>111</v>
      </c>
      <c r="C1103" s="462" t="str">
        <f>IFERROR(LEFT(PV_DATA[[#This Row],[TCL REFERENCE]],FIND(".",PV_DATA[[#This Row],[TCL REFERENCE]],1)-1),"Main Line")</f>
        <v>26Aug016</v>
      </c>
      <c r="D1103" s="462" t="s">
        <v>63</v>
      </c>
      <c r="E1103" s="462" t="s">
        <v>64</v>
      </c>
      <c r="F1103" s="462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03" s="462" t="s">
        <v>402</v>
      </c>
      <c r="H1103" s="462" t="s">
        <v>311</v>
      </c>
      <c r="I1103" s="462" t="s">
        <v>689</v>
      </c>
      <c r="J1103" s="430" t="s">
        <v>96</v>
      </c>
      <c r="M1103" s="430" t="s">
        <v>68</v>
      </c>
      <c r="N1103" s="432">
        <v>46282</v>
      </c>
      <c r="O1103" s="430" t="s">
        <v>550</v>
      </c>
      <c r="P1103" s="430" t="s">
        <v>2134</v>
      </c>
      <c r="Q1103" s="430" t="s">
        <v>2135</v>
      </c>
      <c r="R1103" s="430" t="str">
        <f>_xlfn.XLOOKUP(PV_DATA[[#This Row],[New Ark SKU]],Table9[New Ark SKU],Table9[Connector],,0)</f>
        <v>EVO2A</v>
      </c>
      <c r="S1103" s="433" t="str">
        <f>_xlfn.XLOOKUP(PV_DATA[[#This Row],[New Ark SKU]],Table9[New Ark SKU],Table9[Cable],,0)</f>
        <v>±1350mm</v>
      </c>
      <c r="T1103" s="433">
        <v>515</v>
      </c>
      <c r="U1103" s="1088">
        <f>792*4</f>
        <v>3168</v>
      </c>
      <c r="V1103" s="434">
        <f>PV_DATA[[#This Row],[QUANTITY]]*PV_DATA[[#This Row],[WATT]]/1000000</f>
        <v>1.6315200000000001</v>
      </c>
      <c r="W1103" s="435">
        <f>PV_DATA[[#This Row],[QUANTITY]]/PV_DATA[[#This Row],[Qty/Pallet]]</f>
        <v>88</v>
      </c>
      <c r="X1103" s="1040">
        <f>PV_DATA[[#This Row],[QUANTITY]]/PV_DATA[[#This Row],[Qty/CT]]</f>
        <v>4</v>
      </c>
      <c r="Y1103" s="430" t="s">
        <v>2470</v>
      </c>
      <c r="Z1103" s="430" t="str">
        <f t="shared" si="21"/>
        <v/>
      </c>
      <c r="AA1103" s="545">
        <v>46291</v>
      </c>
      <c r="AB1103" s="437">
        <v>46291</v>
      </c>
      <c r="AC1103" s="485">
        <f>IF(PV_DATA[[#This Row],[Pick- Up Date]]&lt;&gt;"",_xlfn.ISOWEEKNUM(PV_DATA[[#This Row],[Pick- Up Date]]),"")</f>
        <v>39</v>
      </c>
      <c r="AD1103" s="430" t="s">
        <v>6992</v>
      </c>
      <c r="AF1103" s="430" t="s">
        <v>122</v>
      </c>
      <c r="AG1103" s="430" t="s">
        <v>122</v>
      </c>
      <c r="AH1103" s="430" t="s">
        <v>1561</v>
      </c>
      <c r="AI1103" s="437">
        <v>46297</v>
      </c>
      <c r="AJ1103" s="437">
        <v>46306</v>
      </c>
      <c r="AK1103" s="437" t="str">
        <f>IFERROR(IF(VLOOKUP(AT1103,Vessel!A:F,5,FALSE)=0,"",VLOOKUP(AT1103,Vessel!A:F,5,FALSE)),"")</f>
        <v/>
      </c>
      <c r="AL1103" s="437">
        <v>46341</v>
      </c>
      <c r="AM1103" s="437">
        <f>IFERROR(VLOOKUP(AT1103, Vessel!A:H, 8, FALSE), "")</f>
        <v>46348.75</v>
      </c>
      <c r="AN1103" s="437" t="str">
        <f>IFERROR(IF(VLOOKUP(AT1103,Vessel!A:I,9,FALSE)=0,"",VLOOKUP(AT1103,Vessel!A:I,9,FALSE)),"")</f>
        <v/>
      </c>
      <c r="AP1103" s="430" t="s">
        <v>6988</v>
      </c>
      <c r="AQ1103" s="438" t="s">
        <v>80</v>
      </c>
      <c r="AR1103" s="430" t="s">
        <v>6993</v>
      </c>
      <c r="AS1103" s="430" t="s">
        <v>6994</v>
      </c>
      <c r="AT1103" s="430" t="s">
        <v>6994</v>
      </c>
      <c r="AU11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42.75</v>
      </c>
      <c r="AW1103" s="437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46348.75</v>
      </c>
      <c r="AX1103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37" t="str">
        <f>IF(ISERROR(PV_DATA[[#This Row],[New Ark PO status]]),"",_xlfn.XLOOKUP(PV_DATA[[#This Row],[SPTN-PVHK New Ark PO'#]],New_Ark_Data[Purchase order Number],New_Ark_Data[Estimated time of arrival],"",0))</f>
        <v/>
      </c>
      <c r="AZ110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03" s="437">
        <f>IFERROR(PV_DATA[[#This Row],[ODP ETA Port]]+PV_DATA[[#This Row],[Customs/Leg3 Assumption]],"n/a")</f>
        <v>46358.75</v>
      </c>
      <c r="BB1103" s="433" t="s">
        <v>6536</v>
      </c>
      <c r="BC1103" s="433" t="s">
        <v>6536</v>
      </c>
      <c r="BD1103" s="430">
        <f>IFERROR(_xlfn.ISOWEEKNUM(PV_DATA[[#This Row],[ETA for New Ark update]]),0)</f>
        <v>49</v>
      </c>
      <c r="BE1103" s="430">
        <f>_xlfn.XLOOKUP(PV_DATA[[#This Row],[New Ark SKU]],Table9[New Ark SKU],Table9[Total PCS per Pallet],,0)</f>
        <v>36</v>
      </c>
      <c r="BF1103" s="430">
        <f>_xlfn.XLOOKUP(PV_DATA[[#This Row],[New Ark SKU]],Table9[New Ark SKU],Table9[Total PCS per 40HQ Container],,0)</f>
        <v>792</v>
      </c>
      <c r="BG1103" s="430" t="str">
        <f>_xlfn.XLOOKUP(PV_DATA[[#This Row],[New Ark SKU]],Table9[New Ark SKU],Table9[Back Glass],,0)</f>
        <v>Black glazing</v>
      </c>
      <c r="BH1103" s="610" t="str">
        <f>_xlfn.XLOOKUP(PV_DATA[[#This Row],[PORT DESTINATION]],Table12[PORT DESTINATION],Table12[Cosco Line],,0)</f>
        <v>AEM</v>
      </c>
    </row>
    <row r="1104" spans="1:60" s="430" customFormat="1" ht="13.5" customHeight="1">
      <c r="A1104" s="729" t="s">
        <v>6995</v>
      </c>
      <c r="B1104" s="462" t="s">
        <v>111</v>
      </c>
      <c r="C1104" s="462" t="str">
        <f>IFERROR(LEFT(PV_DATA[[#This Row],[TCL REFERENCE]],FIND(".",PV_DATA[[#This Row],[TCL REFERENCE]],1)-1),"Main Line")</f>
        <v>26Aug015</v>
      </c>
      <c r="D1104" s="462" t="s">
        <v>63</v>
      </c>
      <c r="E1104" s="462" t="s">
        <v>64</v>
      </c>
      <c r="F1104" s="462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4" s="462" t="s">
        <v>402</v>
      </c>
      <c r="H1104" s="462" t="s">
        <v>67</v>
      </c>
      <c r="I1104" s="462" t="s">
        <v>689</v>
      </c>
      <c r="J1104" s="430" t="s">
        <v>96</v>
      </c>
      <c r="M1104" s="430" t="s">
        <v>68</v>
      </c>
      <c r="N1104" s="432">
        <v>46285</v>
      </c>
      <c r="O1104" s="430" t="s">
        <v>550</v>
      </c>
      <c r="P1104" s="430" t="s">
        <v>551</v>
      </c>
      <c r="Q1104" s="430" t="s">
        <v>2151</v>
      </c>
      <c r="R1104" s="430" t="str">
        <f>_xlfn.XLOOKUP(PV_DATA[[#This Row],[New Ark SKU]],Table9[New Ark SKU],Table9[Connector],,0)</f>
        <v>EVO2A</v>
      </c>
      <c r="S1104" s="433" t="str">
        <f>_xlfn.XLOOKUP(PV_DATA[[#This Row],[New Ark SKU]],Table9[New Ark SKU],Table9[Cable],,0)</f>
        <v>±1350mm</v>
      </c>
      <c r="T1104" s="433">
        <v>510</v>
      </c>
      <c r="U1104" s="1088">
        <v>3168</v>
      </c>
      <c r="V1104" s="434">
        <f>PV_DATA[[#This Row],[QUANTITY]]*PV_DATA[[#This Row],[WATT]]/1000000</f>
        <v>1.61568</v>
      </c>
      <c r="W1104" s="435">
        <f>PV_DATA[[#This Row],[QUANTITY]]/PV_DATA[[#This Row],[Qty/Pallet]]</f>
        <v>88</v>
      </c>
      <c r="X1104" s="1040">
        <f>PV_DATA[[#This Row],[QUANTITY]]/PV_DATA[[#This Row],[Qty/CT]]</f>
        <v>4</v>
      </c>
      <c r="Y1104" s="430" t="s">
        <v>2471</v>
      </c>
      <c r="Z1104" s="430" t="str">
        <f t="shared" si="21"/>
        <v/>
      </c>
      <c r="AA1104" s="545">
        <v>46291</v>
      </c>
      <c r="AB1104" s="437">
        <v>46293</v>
      </c>
      <c r="AC1104" s="485">
        <f>IF(PV_DATA[[#This Row],[Pick- Up Date]]&lt;&gt;"",_xlfn.ISOWEEKNUM(PV_DATA[[#This Row],[Pick- Up Date]]),"")</f>
        <v>40</v>
      </c>
      <c r="AD1104" s="430" t="s">
        <v>6996</v>
      </c>
      <c r="AF1104" s="430" t="s">
        <v>122</v>
      </c>
      <c r="AG1104" s="430" t="s">
        <v>122</v>
      </c>
      <c r="AH1104" s="430" t="s">
        <v>78</v>
      </c>
      <c r="AI1104" s="437">
        <v>46297</v>
      </c>
      <c r="AJ1104" s="437">
        <v>46306</v>
      </c>
      <c r="AK1104" s="437" t="str">
        <f>IFERROR(IF(VLOOKUP(AT1104,Vessel!A:F,5,FALSE)=0,"",VLOOKUP(AT1104,Vessel!A:F,5,FALSE)),"")</f>
        <v/>
      </c>
      <c r="AL1104" s="437">
        <v>46349</v>
      </c>
      <c r="AM1104" s="437">
        <f>IFERROR(VLOOKUP(AT1104, Vessel!A:H, 8, FALSE), "")</f>
        <v>46349.791666666664</v>
      </c>
      <c r="AN1104" s="437" t="str">
        <f>IFERROR(IF(VLOOKUP(AT1104,Vessel!A:I,9,FALSE)=0,"",VLOOKUP(AT1104,Vessel!A:I,9,FALSE)),"")</f>
        <v/>
      </c>
      <c r="AP1104" s="430" t="s">
        <v>6988</v>
      </c>
      <c r="AQ1104" s="438" t="s">
        <v>80</v>
      </c>
      <c r="AR1104" s="430" t="s">
        <v>6997</v>
      </c>
      <c r="AS1104" s="430" t="s">
        <v>6998</v>
      </c>
      <c r="AT1104" s="430" t="s">
        <v>6998</v>
      </c>
      <c r="AU11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43.791666666664241</v>
      </c>
      <c r="AW1104" s="437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104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37" t="str">
        <f>IF(ISERROR(PV_DATA[[#This Row],[New Ark PO status]]),"",_xlfn.XLOOKUP(PV_DATA[[#This Row],[SPTN-PVHK New Ark PO'#]],New_Ark_Data[Purchase order Number],New_Ark_Data[Estimated time of arrival],"",0))</f>
        <v/>
      </c>
      <c r="AZ110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4" s="437">
        <f>IFERROR(PV_DATA[[#This Row],[ODP ETA Port]]+PV_DATA[[#This Row],[Customs/Leg3 Assumption]],"n/a")</f>
        <v>46357.791666666664</v>
      </c>
      <c r="BB1104" s="433" t="s">
        <v>6536</v>
      </c>
      <c r="BC1104" s="433" t="s">
        <v>6536</v>
      </c>
      <c r="BD1104" s="430">
        <f>IFERROR(_xlfn.ISOWEEKNUM(PV_DATA[[#This Row],[ETA for New Ark update]]),0)</f>
        <v>49</v>
      </c>
      <c r="BE1104" s="430">
        <f>_xlfn.XLOOKUP(PV_DATA[[#This Row],[New Ark SKU]],Table9[New Ark SKU],Table9[Total PCS per Pallet],,0)</f>
        <v>36</v>
      </c>
      <c r="BF1104" s="430">
        <f>_xlfn.XLOOKUP(PV_DATA[[#This Row],[New Ark SKU]],Table9[New Ark SKU],Table9[Total PCS per 40HQ Container],,0)</f>
        <v>792</v>
      </c>
      <c r="BG1104" s="430" t="str">
        <f>_xlfn.XLOOKUP(PV_DATA[[#This Row],[New Ark SKU]],Table9[New Ark SKU],Table9[Back Glass],,0)</f>
        <v>Black glazing</v>
      </c>
      <c r="BH1104" s="610" t="str">
        <f>_xlfn.XLOOKUP(PV_DATA[[#This Row],[PORT DESTINATION]],Table12[PORT DESTINATION],Table12[Cosco Line],,0)</f>
        <v>AEM</v>
      </c>
    </row>
    <row r="1105" spans="1:62" ht="13.5" customHeight="1">
      <c r="A1105" s="729" t="s">
        <v>6999</v>
      </c>
      <c r="B1105" s="462" t="s">
        <v>111</v>
      </c>
      <c r="C1105" s="462" t="str">
        <f>IFERROR(LEFT(PV_DATA[[#This Row],[TCL REFERENCE]],FIND(".",PV_DATA[[#This Row],[TCL REFERENCE]],1)-1),"Main Line")</f>
        <v>26Aug016</v>
      </c>
      <c r="D1105" s="462" t="s">
        <v>63</v>
      </c>
      <c r="E1105" s="462" t="s">
        <v>64</v>
      </c>
      <c r="F1105" s="462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05" s="462" t="s">
        <v>402</v>
      </c>
      <c r="H1105" s="462" t="s">
        <v>115</v>
      </c>
      <c r="I1105" s="462" t="s">
        <v>689</v>
      </c>
      <c r="J1105" s="430" t="s">
        <v>96</v>
      </c>
      <c r="K1105" s="430"/>
      <c r="L1105" s="430"/>
      <c r="M1105" s="430" t="s">
        <v>68</v>
      </c>
      <c r="N1105" s="432">
        <v>46282</v>
      </c>
      <c r="O1105" s="430" t="s">
        <v>550</v>
      </c>
      <c r="P1105" s="430" t="s">
        <v>2134</v>
      </c>
      <c r="Q1105" s="430" t="s">
        <v>2135</v>
      </c>
      <c r="R1105" s="430" t="str">
        <f>_xlfn.XLOOKUP(PV_DATA[[#This Row],[New Ark SKU]],Table9[New Ark SKU],Table9[Connector],,0)</f>
        <v>EVO2A</v>
      </c>
      <c r="S1105" s="433" t="str">
        <f>_xlfn.XLOOKUP(PV_DATA[[#This Row],[New Ark SKU]],Table9[New Ark SKU],Table9[Cable],,0)</f>
        <v>±1350mm</v>
      </c>
      <c r="T1105" s="433">
        <v>515</v>
      </c>
      <c r="U1105" s="1088">
        <v>792</v>
      </c>
      <c r="V1105" s="434">
        <f>PV_DATA[[#This Row],[QUANTITY]]*PV_DATA[[#This Row],[WATT]]/1000000</f>
        <v>0.40788000000000002</v>
      </c>
      <c r="W1105" s="435">
        <f>PV_DATA[[#This Row],[QUANTITY]]/PV_DATA[[#This Row],[Qty/Pallet]]</f>
        <v>22</v>
      </c>
      <c r="X1105" s="1040">
        <f>PV_DATA[[#This Row],[QUANTITY]]/PV_DATA[[#This Row],[Qty/CT]]</f>
        <v>1</v>
      </c>
      <c r="Y1105" s="430" t="s">
        <v>2471</v>
      </c>
      <c r="Z1105" s="430" t="str">
        <f t="shared" si="21"/>
        <v>IN-TRANSIT</v>
      </c>
      <c r="AA1105" s="545">
        <v>46291</v>
      </c>
      <c r="AB1105" s="437">
        <v>46290</v>
      </c>
      <c r="AC1105" s="485">
        <f>IF(PV_DATA[[#This Row],[Pick- Up Date]]&lt;&gt;"",_xlfn.ISOWEEKNUM(PV_DATA[[#This Row],[Pick- Up Date]]),"")</f>
        <v>39</v>
      </c>
      <c r="AD1105" s="430" t="s">
        <v>7000</v>
      </c>
      <c r="AE1105" s="430"/>
      <c r="AF1105" s="430" t="s">
        <v>122</v>
      </c>
      <c r="AG1105" s="430" t="s">
        <v>122</v>
      </c>
      <c r="AH1105" s="430" t="s">
        <v>124</v>
      </c>
      <c r="AI1105" s="437">
        <v>46297</v>
      </c>
      <c r="AJ1105" s="437">
        <f>IFERROR(VLOOKUP(AT1105, Vessel!A:D, 4, FALSE), "")</f>
        <v>46298.5625</v>
      </c>
      <c r="AK1105" s="437">
        <v>46299</v>
      </c>
      <c r="AL1105" s="437">
        <v>46331</v>
      </c>
      <c r="AM1105" s="437">
        <f>IFERROR(VLOOKUP(AT1105, Vessel!A:H, 8, FALSE), "")</f>
        <v>46338.833333333336</v>
      </c>
      <c r="AN1105" s="437" t="str">
        <f>IFERROR(IF(VLOOKUP(AT1105,Vessel!A:I,9,FALSE)=0,"",VLOOKUP(AT1105,Vessel!A:I,9,FALSE)),"")</f>
        <v/>
      </c>
      <c r="AP1105" s="430" t="s">
        <v>7001</v>
      </c>
      <c r="AQ1105" s="438" t="s">
        <v>80</v>
      </c>
      <c r="AR1105" s="430" t="s">
        <v>7002</v>
      </c>
      <c r="AS1105" s="430" t="s">
        <v>7003</v>
      </c>
      <c r="AT1105" s="430" t="s">
        <v>7003</v>
      </c>
      <c r="AU11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39.833333333335759</v>
      </c>
      <c r="AW1105" s="437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46338.833333333336</v>
      </c>
      <c r="AX1105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37" t="str">
        <f>IF(ISERROR(PV_DATA[[#This Row],[New Ark PO status]]),"",_xlfn.XLOOKUP(PV_DATA[[#This Row],[SPTN-PVHK New Ark PO'#]],New_Ark_Data[Purchase order Number],New_Ark_Data[Estimated time of arrival],"",0))</f>
        <v/>
      </c>
      <c r="AZ1105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05" s="437">
        <f>IFERROR(PV_DATA[[#This Row],[ODP ETA Port]]+PV_DATA[[#This Row],[Customs/Leg3 Assumption]],"n/a")</f>
        <v>46347.833333333336</v>
      </c>
      <c r="BB1105" s="433" t="s">
        <v>6536</v>
      </c>
      <c r="BC1105" s="433" t="s">
        <v>6536</v>
      </c>
      <c r="BD1105" s="430">
        <f>IFERROR(_xlfn.ISOWEEKNUM(PV_DATA[[#This Row],[ETA for New Ark update]]),0)</f>
        <v>47</v>
      </c>
      <c r="BE1105" s="430">
        <f>_xlfn.XLOOKUP(PV_DATA[[#This Row],[New Ark SKU]],Table9[New Ark SKU],Table9[Total PCS per Pallet],,0)</f>
        <v>36</v>
      </c>
      <c r="BF1105" s="430">
        <f>_xlfn.XLOOKUP(PV_DATA[[#This Row],[New Ark SKU]],Table9[New Ark SKU],Table9[Total PCS per 40HQ Container],,0)</f>
        <v>792</v>
      </c>
      <c r="BG1105" s="430" t="str">
        <f>_xlfn.XLOOKUP(PV_DATA[[#This Row],[New Ark SKU]],Table9[New Ark SKU],Table9[Back Glass],,0)</f>
        <v>Black glazing</v>
      </c>
      <c r="BH1105" s="610" t="str">
        <f>_xlfn.XLOOKUP(PV_DATA[[#This Row],[PORT DESTINATION]],Table12[PORT DESTINATION],Table12[Cosco Line],,0)</f>
        <v>AEM</v>
      </c>
      <c r="BJ1105" s="430"/>
    </row>
    <row r="1106" spans="1:62" ht="13.5" customHeight="1">
      <c r="A1106" s="729" t="s">
        <v>7004</v>
      </c>
      <c r="B1106" s="462" t="s">
        <v>111</v>
      </c>
      <c r="C1106" s="462" t="str">
        <f>IFERROR(LEFT(PV_DATA[[#This Row],[TCL REFERENCE]],FIND(".",PV_DATA[[#This Row],[TCL REFERENCE]],1)-1),"Main Line")</f>
        <v>26Aug015</v>
      </c>
      <c r="D1106" s="462" t="s">
        <v>63</v>
      </c>
      <c r="E1106" s="462" t="s">
        <v>64</v>
      </c>
      <c r="F1106" s="462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6" s="462" t="s">
        <v>402</v>
      </c>
      <c r="H1106" s="462" t="s">
        <v>67</v>
      </c>
      <c r="I1106" s="462" t="s">
        <v>689</v>
      </c>
      <c r="J1106" s="430" t="s">
        <v>96</v>
      </c>
      <c r="K1106" s="430"/>
      <c r="L1106" s="430"/>
      <c r="M1106" s="430" t="s">
        <v>68</v>
      </c>
      <c r="N1106" s="432">
        <v>46285</v>
      </c>
      <c r="O1106" s="430" t="s">
        <v>550</v>
      </c>
      <c r="P1106" s="430" t="s">
        <v>551</v>
      </c>
      <c r="Q1106" s="430" t="s">
        <v>2151</v>
      </c>
      <c r="R1106" s="430" t="str">
        <f>_xlfn.XLOOKUP(PV_DATA[[#This Row],[New Ark SKU]],Table9[New Ark SKU],Table9[Connector],,0)</f>
        <v>EVO2A</v>
      </c>
      <c r="S1106" s="433" t="str">
        <f>_xlfn.XLOOKUP(PV_DATA[[#This Row],[New Ark SKU]],Table9[New Ark SKU],Table9[Cable],,0)</f>
        <v>±1350mm</v>
      </c>
      <c r="T1106" s="433">
        <v>510</v>
      </c>
      <c r="U1106" s="1088">
        <v>2376</v>
      </c>
      <c r="V1106" s="434">
        <f>PV_DATA[[#This Row],[QUANTITY]]*PV_DATA[[#This Row],[WATT]]/1000000</f>
        <v>1.2117599999999999</v>
      </c>
      <c r="W1106" s="435">
        <f>PV_DATA[[#This Row],[QUANTITY]]/PV_DATA[[#This Row],[Qty/Pallet]]</f>
        <v>66</v>
      </c>
      <c r="X1106" s="1040">
        <f>PV_DATA[[#This Row],[QUANTITY]]/PV_DATA[[#This Row],[Qty/CT]]</f>
        <v>3</v>
      </c>
      <c r="Y1106" s="430" t="s">
        <v>2471</v>
      </c>
      <c r="Z1106" s="430" t="str">
        <f t="shared" si="21"/>
        <v>IN-TRANSIT</v>
      </c>
      <c r="AA1106" s="545">
        <v>46291</v>
      </c>
      <c r="AB1106" s="437">
        <v>46290</v>
      </c>
      <c r="AC1106" s="485">
        <f>IF(PV_DATA[[#This Row],[Pick- Up Date]]&lt;&gt;"",_xlfn.ISOWEEKNUM(PV_DATA[[#This Row],[Pick- Up Date]]),"")</f>
        <v>39</v>
      </c>
      <c r="AD1106" s="430" t="s">
        <v>7005</v>
      </c>
      <c r="AE1106" s="430"/>
      <c r="AF1106" s="430" t="s">
        <v>122</v>
      </c>
      <c r="AG1106" s="430" t="s">
        <v>122</v>
      </c>
      <c r="AH1106" s="430" t="s">
        <v>78</v>
      </c>
      <c r="AI1106" s="437">
        <v>46297</v>
      </c>
      <c r="AJ1106" s="437">
        <f>IFERROR(VLOOKUP(AT1106, Vessel!A:D, 4, FALSE), "")</f>
        <v>46298.5625</v>
      </c>
      <c r="AK1106" s="437">
        <v>46299</v>
      </c>
      <c r="AL1106" s="437">
        <v>46337</v>
      </c>
      <c r="AM1106" s="437">
        <f>IFERROR(VLOOKUP(AT1106, Vessel!A:H, 8, FALSE), "")</f>
        <v>46344.25</v>
      </c>
      <c r="AN1106" s="437" t="str">
        <f>IFERROR(IF(VLOOKUP(AT1106,Vessel!A:I,9,FALSE)=0,"",VLOOKUP(AT1106,Vessel!A:I,9,FALSE)),"")</f>
        <v/>
      </c>
      <c r="AP1106" s="430" t="s">
        <v>7006</v>
      </c>
      <c r="AQ1106" s="438" t="s">
        <v>80</v>
      </c>
      <c r="AR1106" s="430" t="s">
        <v>7007</v>
      </c>
      <c r="AS1106" s="430" t="s">
        <v>7008</v>
      </c>
      <c r="AT1106" s="430" t="s">
        <v>7008</v>
      </c>
      <c r="AU11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45.25</v>
      </c>
      <c r="AW1106" s="437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06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37" t="str">
        <f>IF(ISERROR(PV_DATA[[#This Row],[New Ark PO status]]),"",_xlfn.XLOOKUP(PV_DATA[[#This Row],[SPTN-PVHK New Ark PO'#]],New_Ark_Data[Purchase order Number],New_Ark_Data[Estimated time of arrival],"",0))</f>
        <v/>
      </c>
      <c r="AZ110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6" s="437">
        <f>IFERROR(PV_DATA[[#This Row],[ODP ETA Port]]+PV_DATA[[#This Row],[Customs/Leg3 Assumption]],"n/a")</f>
        <v>46352.25</v>
      </c>
      <c r="BB1106" s="433" t="s">
        <v>6536</v>
      </c>
      <c r="BC1106" s="433" t="s">
        <v>6536</v>
      </c>
      <c r="BD1106" s="430">
        <f>IFERROR(_xlfn.ISOWEEKNUM(PV_DATA[[#This Row],[ETA for New Ark update]]),0)</f>
        <v>48</v>
      </c>
      <c r="BE1106" s="430">
        <f>_xlfn.XLOOKUP(PV_DATA[[#This Row],[New Ark SKU]],Table9[New Ark SKU],Table9[Total PCS per Pallet],,0)</f>
        <v>36</v>
      </c>
      <c r="BF1106" s="430">
        <f>_xlfn.XLOOKUP(PV_DATA[[#This Row],[New Ark SKU]],Table9[New Ark SKU],Table9[Total PCS per 40HQ Container],,0)</f>
        <v>792</v>
      </c>
      <c r="BG1106" s="430" t="str">
        <f>_xlfn.XLOOKUP(PV_DATA[[#This Row],[New Ark SKU]],Table9[New Ark SKU],Table9[Back Glass],,0)</f>
        <v>Black glazing</v>
      </c>
      <c r="BH1106" s="610" t="str">
        <f>_xlfn.XLOOKUP(PV_DATA[[#This Row],[PORT DESTINATION]],Table12[PORT DESTINATION],Table12[Cosco Line],,0)</f>
        <v>AEM</v>
      </c>
      <c r="BJ1106" s="430"/>
    </row>
    <row r="1107" spans="1:62" s="1318" customFormat="1" ht="10.5">
      <c r="A1107" s="1334" t="s">
        <v>7009</v>
      </c>
      <c r="B1107" s="1317" t="s">
        <v>61</v>
      </c>
      <c r="C1107" s="1317" t="str">
        <f>IFERROR(LEFT(PV_DATA[[#This Row],[TCL REFERENCE]],FIND(".",PV_DATA[[#This Row],[TCL REFERENCE]],1)-1),"Main Line")</f>
        <v>26Aug003</v>
      </c>
      <c r="D1107" s="1317" t="s">
        <v>63</v>
      </c>
      <c r="E1107" s="1317" t="s">
        <v>64</v>
      </c>
      <c r="F1107" s="1317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7" s="1317" t="s">
        <v>402</v>
      </c>
      <c r="H1107" s="1317" t="s">
        <v>67</v>
      </c>
      <c r="I1107" s="1317" t="s">
        <v>6415</v>
      </c>
      <c r="J1107" s="1317" t="s">
        <v>7010</v>
      </c>
      <c r="K1107" s="1317"/>
      <c r="M1107" s="1318" t="s">
        <v>6536</v>
      </c>
      <c r="N1107" s="1319">
        <v>46237</v>
      </c>
      <c r="O1107" s="1318" t="s">
        <v>4531</v>
      </c>
      <c r="P1107" s="1318" t="s">
        <v>71</v>
      </c>
      <c r="Q1107" s="1318" t="s">
        <v>72</v>
      </c>
      <c r="R1107" s="430" t="str">
        <f>_xlfn.XLOOKUP(PV_DATA[[#This Row],[New Ark SKU]],Table9[New Ark SKU],Table9[Connector],,0)</f>
        <v>EVO2A</v>
      </c>
      <c r="S1107" s="433" t="str">
        <f>_xlfn.XLOOKUP(PV_DATA[[#This Row],[New Ark SKU]],Table9[New Ark SKU],Table9[Cable],,0)</f>
        <v>±1200mm</v>
      </c>
      <c r="T1107" s="1320">
        <v>500</v>
      </c>
      <c r="U1107" s="1321">
        <v>1728</v>
      </c>
      <c r="V1107" s="1322">
        <f>PV_DATA[[#This Row],[QUANTITY]]*PV_DATA[[#This Row],[WATT]]/1000000</f>
        <v>0.86399999999999999</v>
      </c>
      <c r="W1107" s="1323">
        <f>PV_DATA[[#This Row],[QUANTITY]]/PV_DATA[[#This Row],[Qty/Pallet]]</f>
        <v>48</v>
      </c>
      <c r="X1107" s="1324">
        <f>PV_DATA[[#This Row],[QUANTITY]]/PV_DATA[[#This Row],[Qty/CT]]</f>
        <v>2</v>
      </c>
      <c r="Y1107" s="1318" t="s">
        <v>2468</v>
      </c>
      <c r="Z1107" s="1318" t="str">
        <f t="shared" si="21"/>
        <v>IN-TRANSIT</v>
      </c>
      <c r="AB1107" s="1325">
        <v>46289</v>
      </c>
      <c r="AC1107" s="1326">
        <f>IF(PV_DATA[[#This Row],[Pick- Up Date]]&lt;&gt;"",_xlfn.ISOWEEKNUM(PV_DATA[[#This Row],[Pick- Up Date]]),"")</f>
        <v>39</v>
      </c>
      <c r="AD1107" s="1318" t="s">
        <v>7011</v>
      </c>
      <c r="AF1107" s="1327" t="s">
        <v>61</v>
      </c>
      <c r="AG1107" s="1327" t="s">
        <v>61</v>
      </c>
      <c r="AH1107" s="1318" t="s">
        <v>78</v>
      </c>
      <c r="AI1107" s="1328">
        <v>46295</v>
      </c>
      <c r="AJ1107" s="1329">
        <f>IFERROR(VLOOKUP(AT1107, Vessel!A:D, 4, FALSE), "")</f>
        <v>46295.5</v>
      </c>
      <c r="AK1107" s="1329">
        <f>IFERROR(IF(VLOOKUP(AT1107,Vessel!A:F,5,FALSE)=0,"",VLOOKUP(AT1107,Vessel!A:F,5,FALSE)),"")</f>
        <v>46295.536527777775</v>
      </c>
      <c r="AL1107" s="1329">
        <v>46365</v>
      </c>
      <c r="AM1107" s="1329">
        <f>IFERROR(VLOOKUP(AT1107, Vessel!A:H, 8, FALSE), "")</f>
        <v>46365.25</v>
      </c>
      <c r="AN1107" s="1329" t="str">
        <f>IFERROR(IF(VLOOKUP(AT1107,Vessel!A:I,9,FALSE)=0,"",VLOOKUP(AT1107,Vessel!A:I,9,FALSE)),"")</f>
        <v/>
      </c>
      <c r="AO1107" s="1317" t="s">
        <v>402</v>
      </c>
      <c r="AP1107" s="1330" t="s">
        <v>7012</v>
      </c>
      <c r="AQ1107" s="1331" t="s">
        <v>80</v>
      </c>
      <c r="AR1107" s="1318" t="s">
        <v>7013</v>
      </c>
      <c r="AS1107" s="1318" t="s">
        <v>7014</v>
      </c>
      <c r="AT1107" s="1318" t="s">
        <v>7014</v>
      </c>
      <c r="AU1107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69.713472222225391</v>
      </c>
      <c r="AW1107" s="1309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46365.25</v>
      </c>
      <c r="AX110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1309" t="str">
        <f>IF(ISERROR(PV_DATA[[#This Row],[New Ark PO status]]),"",_xlfn.XLOOKUP(PV_DATA[[#This Row],[SPTN-PVHK New Ark PO'#]],New_Ark_Data[Purchase order Number],New_Ark_Data[Estimated time of arrival],"",0))</f>
        <v/>
      </c>
      <c r="AZ1107" s="132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7" s="1309">
        <f>IFERROR(PV_DATA[[#This Row],[ODP ETA Port]]+PV_DATA[[#This Row],[Customs/Leg3 Assumption]],"n/a")</f>
        <v>46373.25</v>
      </c>
      <c r="BB1107" s="1320">
        <f>YEAR(PV_DATA[[#This Row],[ETA for New Ark update]])</f>
        <v>2026</v>
      </c>
      <c r="BC1107" s="1318">
        <f>MONTH(PV_DATA[[#This Row],[ETA for New Ark update]])</f>
        <v>12</v>
      </c>
      <c r="BD1107" s="1318">
        <f>IFERROR(_xlfn.ISOWEEKNUM(PV_DATA[[#This Row],[ETA for New Ark update]]),0)</f>
        <v>51</v>
      </c>
      <c r="BE1107" s="1318">
        <f>_xlfn.XLOOKUP(PV_DATA[[#This Row],[New Ark SKU]],Table9[New Ark SKU],Table9[Total PCS per Pallet],,0)</f>
        <v>36</v>
      </c>
      <c r="BF1107" s="1318">
        <f>_xlfn.XLOOKUP(PV_DATA[[#This Row],[New Ark SKU]],Table9[New Ark SKU],Table9[Total PCS per 40HQ Container],,0)</f>
        <v>864</v>
      </c>
      <c r="BG1107" s="1318" t="str">
        <f>_xlfn.XLOOKUP(PV_DATA[[#This Row],[New Ark SKU]],Table9[New Ark SKU],Table9[Back Glass],,0)</f>
        <v>Black glazing</v>
      </c>
      <c r="BH1107" s="1333" t="str">
        <f>_xlfn.XLOOKUP(PV_DATA[[#This Row],[PORT DESTINATION]],Table12[PORT DESTINATION],Table12[Cosco Line],,0)</f>
        <v>AEM</v>
      </c>
    </row>
    <row r="1108" spans="1:62" ht="13.5" customHeight="1">
      <c r="A1108" s="728" t="s">
        <v>7015</v>
      </c>
      <c r="B1108" s="439" t="s">
        <v>61</v>
      </c>
      <c r="C1108" s="439" t="str">
        <f>IFERROR(LEFT(PV_DATA[[#This Row],[TCL REFERENCE]],FIND(".",PV_DATA[[#This Row],[TCL REFERENCE]],1)-1),"Main Line")</f>
        <v>26Aug022</v>
      </c>
      <c r="D1108" s="439" t="s">
        <v>63</v>
      </c>
      <c r="E1108" s="439" t="s">
        <v>64</v>
      </c>
      <c r="F1108" s="439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8" s="439" t="s">
        <v>402</v>
      </c>
      <c r="H1108" s="439" t="s">
        <v>67</v>
      </c>
      <c r="I1108" s="439" t="s">
        <v>689</v>
      </c>
      <c r="J1108" s="431" t="s">
        <v>96</v>
      </c>
      <c r="K1108" s="431"/>
      <c r="L1108" s="431"/>
      <c r="M1108" s="431" t="s">
        <v>68</v>
      </c>
      <c r="N1108" s="461">
        <v>46272</v>
      </c>
      <c r="O1108" s="431" t="s">
        <v>4531</v>
      </c>
      <c r="P1108" s="430" t="s">
        <v>1151</v>
      </c>
      <c r="Q1108" s="431" t="s">
        <v>421</v>
      </c>
      <c r="R1108" s="430" t="str">
        <f>_xlfn.XLOOKUP(PV_DATA[[#This Row],[New Ark SKU]],Table9[New Ark SKU],Table9[Connector],,0)</f>
        <v>EVO2A</v>
      </c>
      <c r="S1108" s="433" t="str">
        <f>_xlfn.XLOOKUP(PV_DATA[[#This Row],[New Ark SKU]],Table9[New Ark SKU],Table9[Cable],,0)</f>
        <v>±1200mm</v>
      </c>
      <c r="T1108" s="442">
        <v>505</v>
      </c>
      <c r="U1108" s="1089">
        <f>864*5</f>
        <v>4320</v>
      </c>
      <c r="V1108" s="448">
        <f>PV_DATA[[#This Row],[QUANTITY]]*PV_DATA[[#This Row],[WATT]]/1000000</f>
        <v>2.1816</v>
      </c>
      <c r="W1108" s="466">
        <f>PV_DATA[[#This Row],[QUANTITY]]/PV_DATA[[#This Row],[Qty/Pallet]]</f>
        <v>120</v>
      </c>
      <c r="X1108" s="1044">
        <f>PV_DATA[[#This Row],[QUANTITY]]/PV_DATA[[#This Row],[Qty/CT]]</f>
        <v>5</v>
      </c>
      <c r="Y1108" s="431" t="s">
        <v>2470</v>
      </c>
      <c r="Z1108" s="430" t="str">
        <f>IF(AN1108&lt;&gt;"","COMPLETED",IF(AK1108&lt;&gt;"","IN-TRANSIT",""))</f>
        <v/>
      </c>
      <c r="AA1108" s="431"/>
      <c r="AB1108" s="437">
        <v>46308</v>
      </c>
      <c r="AC1108" s="467">
        <f>IF(PV_DATA[[#This Row],[Pick- Up Date]]&lt;&gt;"",_xlfn.ISOWEEKNUM(PV_DATA[[#This Row],[Pick- Up Date]]),"")</f>
        <v>42</v>
      </c>
      <c r="AD1108" s="431"/>
      <c r="AE1108" s="431"/>
      <c r="AF1108" s="447" t="s">
        <v>61</v>
      </c>
      <c r="AG1108" s="447" t="s">
        <v>61</v>
      </c>
      <c r="AH1108" s="431" t="s">
        <v>78</v>
      </c>
      <c r="AI1108" s="441">
        <v>46313</v>
      </c>
      <c r="AJ1108" s="437">
        <f>IFERROR(VLOOKUP(AT1108, Vessel!A:D, 4, FALSE), "")</f>
        <v>46313.166666666664</v>
      </c>
      <c r="AK1108" s="437" t="str">
        <f>IFERROR(IF(VLOOKUP(AT1108,Vessel!A:F,5,FALSE)=0,"",VLOOKUP(AT1108,Vessel!A:F,5,FALSE)),"")</f>
        <v/>
      </c>
      <c r="AL1108" s="441">
        <v>46384</v>
      </c>
      <c r="AM1108" s="949">
        <f>IFERROR(VLOOKUP(AT1108, Vessel!A:H, 8, FALSE), "")</f>
        <v>46384.791666666664</v>
      </c>
      <c r="AN1108" s="949" t="str">
        <f>IFERROR(IF(VLOOKUP(AT1108,Vessel!A:I,9,FALSE)=0,"",VLOOKUP(AT1108,Vessel!A:I,9,FALSE)),"")</f>
        <v/>
      </c>
      <c r="AO1108" s="431"/>
      <c r="AP1108" s="431" t="s">
        <v>7016</v>
      </c>
      <c r="AQ1108" s="950" t="s">
        <v>80</v>
      </c>
      <c r="AR1108" s="431" t="s">
        <v>7017</v>
      </c>
      <c r="AS1108" s="431" t="s">
        <v>7018</v>
      </c>
      <c r="AT1108" s="431" t="s">
        <v>7018</v>
      </c>
      <c r="AU11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71.625</v>
      </c>
      <c r="AV1108" s="431"/>
      <c r="AW1108" s="441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46384.791666666664</v>
      </c>
      <c r="AX1108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1">
        <f>IF(ISERROR(PV_DATA[[#This Row],[New Ark PO status]]),"",_xlfn.XLOOKUP(PV_DATA[[#This Row],[SPTN-PVHK New Ark PO'#]],New_Ark_Data[Purchase order Number],New_Ark_Data[Estimated time of arrival],"",0))</f>
        <v>0</v>
      </c>
      <c r="AZ110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8" s="441">
        <f>IFERROR(PV_DATA[[#This Row],[ODP ETA Port]]+PV_DATA[[#This Row],[Customs/Leg3 Assumption]],"n/a")</f>
        <v>46392.791666666664</v>
      </c>
      <c r="BB1108" s="442" t="s">
        <v>6536</v>
      </c>
      <c r="BC1108" s="442" t="s">
        <v>6536</v>
      </c>
      <c r="BD1108" s="431">
        <f>IFERROR(_xlfn.ISOWEEKNUM(PV_DATA[[#This Row],[ETA for New Ark update]]),0)</f>
        <v>1</v>
      </c>
      <c r="BE1108" s="431">
        <f>_xlfn.XLOOKUP(PV_DATA[[#This Row],[New Ark SKU]],Table9[New Ark SKU],Table9[Total PCS per Pallet],,0)</f>
        <v>36</v>
      </c>
      <c r="BF1108" s="431">
        <f>_xlfn.XLOOKUP(PV_DATA[[#This Row],[New Ark SKU]],Table9[New Ark SKU],Table9[Total PCS per 40HQ Container],,0)</f>
        <v>864</v>
      </c>
      <c r="BG1108" s="431" t="str">
        <f>_xlfn.XLOOKUP(PV_DATA[[#This Row],[New Ark SKU]],Table9[New Ark SKU],Table9[Back Glass],,0)</f>
        <v>Black glazing</v>
      </c>
      <c r="BH1108" s="622" t="str">
        <f>_xlfn.XLOOKUP(PV_DATA[[#This Row],[PORT DESTINATION]],Table12[PORT DESTINATION],Table12[Cosco Line],,0)</f>
        <v>AEM</v>
      </c>
      <c r="BJ1108" s="430"/>
    </row>
    <row r="1109" spans="1:62" ht="13.5" customHeight="1">
      <c r="A1109" s="728" t="s">
        <v>7019</v>
      </c>
      <c r="B1109" s="439" t="s">
        <v>61</v>
      </c>
      <c r="C1109" s="439" t="str">
        <f>IFERROR(LEFT(PV_DATA[[#This Row],[TCL REFERENCE]],FIND(".",PV_DATA[[#This Row],[TCL REFERENCE]],1)-1),"Main Line")</f>
        <v>26Aug022</v>
      </c>
      <c r="D1109" s="439" t="s">
        <v>63</v>
      </c>
      <c r="E1109" s="439" t="s">
        <v>64</v>
      </c>
      <c r="F1109" s="439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9" s="439" t="s">
        <v>402</v>
      </c>
      <c r="H1109" s="439" t="s">
        <v>67</v>
      </c>
      <c r="I1109" s="439" t="s">
        <v>689</v>
      </c>
      <c r="J1109" s="431" t="s">
        <v>96</v>
      </c>
      <c r="K1109" s="431"/>
      <c r="L1109" s="431"/>
      <c r="M1109" s="431" t="s">
        <v>68</v>
      </c>
      <c r="N1109" s="461">
        <v>46272</v>
      </c>
      <c r="O1109" s="431" t="s">
        <v>4531</v>
      </c>
      <c r="P1109" s="430" t="s">
        <v>1151</v>
      </c>
      <c r="Q1109" s="431" t="s">
        <v>421</v>
      </c>
      <c r="R1109" s="430" t="str">
        <f>_xlfn.XLOOKUP(PV_DATA[[#This Row],[New Ark SKU]],Table9[New Ark SKU],Table9[Connector],,0)</f>
        <v>EVO2A</v>
      </c>
      <c r="S1109" s="433" t="str">
        <f>_xlfn.XLOOKUP(PV_DATA[[#This Row],[New Ark SKU]],Table9[New Ark SKU],Table9[Cable],,0)</f>
        <v>±1200mm</v>
      </c>
      <c r="T1109" s="442">
        <v>505</v>
      </c>
      <c r="U1109" s="1089">
        <f>864*1</f>
        <v>864</v>
      </c>
      <c r="V1109" s="448">
        <f>PV_DATA[[#This Row],[QUANTITY]]*PV_DATA[[#This Row],[WATT]]/1000000</f>
        <v>0.43631999999999999</v>
      </c>
      <c r="W1109" s="466">
        <f>PV_DATA[[#This Row],[QUANTITY]]/PV_DATA[[#This Row],[Qty/Pallet]]</f>
        <v>24</v>
      </c>
      <c r="X1109" s="1044">
        <f>PV_DATA[[#This Row],[QUANTITY]]/PV_DATA[[#This Row],[Qty/CT]]</f>
        <v>1</v>
      </c>
      <c r="Y1109" s="431" t="s">
        <v>2470</v>
      </c>
      <c r="Z1109" s="430" t="str">
        <f>IF(AN1109&lt;&gt;"","COMPLETED",IF(AK1109&lt;&gt;"","IN-TRANSIT",""))</f>
        <v/>
      </c>
      <c r="AA1109" s="431"/>
      <c r="AB1109" s="437">
        <v>46308</v>
      </c>
      <c r="AC1109" s="467">
        <f>IF(PV_DATA[[#This Row],[Pick- Up Date]]&lt;&gt;"",_xlfn.ISOWEEKNUM(PV_DATA[[#This Row],[Pick- Up Date]]),"")</f>
        <v>42</v>
      </c>
      <c r="AD1109" s="431"/>
      <c r="AE1109" s="431"/>
      <c r="AF1109" s="447" t="s">
        <v>61</v>
      </c>
      <c r="AG1109" s="447" t="s">
        <v>61</v>
      </c>
      <c r="AH1109" s="431" t="s">
        <v>78</v>
      </c>
      <c r="AI1109" s="441">
        <v>46313</v>
      </c>
      <c r="AJ1109" s="437">
        <f>IFERROR(VLOOKUP(AT1109, Vessel!A:D, 4, FALSE), "")</f>
        <v>46313.166666666664</v>
      </c>
      <c r="AK1109" s="437" t="str">
        <f>IFERROR(IF(VLOOKUP(AT1109,Vessel!A:F,5,FALSE)=0,"",VLOOKUP(AT1109,Vessel!A:F,5,FALSE)),"")</f>
        <v/>
      </c>
      <c r="AL1109" s="441">
        <v>46384</v>
      </c>
      <c r="AM1109" s="949">
        <f>IFERROR(VLOOKUP(AT1109, Vessel!A:H, 8, FALSE), "")</f>
        <v>46372.25</v>
      </c>
      <c r="AN1109" s="949" t="str">
        <f>IFERROR(IF(VLOOKUP(AT1109,Vessel!A:I,9,FALSE)=0,"",VLOOKUP(AT1109,Vessel!A:I,9,FALSE)),"")</f>
        <v/>
      </c>
      <c r="AO1109" s="431"/>
      <c r="AP1109" s="431" t="s">
        <v>7016</v>
      </c>
      <c r="AQ1109" s="950" t="s">
        <v>80</v>
      </c>
      <c r="AR1109" s="431" t="s">
        <v>7020</v>
      </c>
      <c r="AS1109" s="431" t="s">
        <v>7021</v>
      </c>
      <c r="AT1109" s="431" t="s">
        <v>7021</v>
      </c>
      <c r="AU11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59.083333333335759</v>
      </c>
      <c r="AV1109" s="431"/>
      <c r="AW1109" s="441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46372.25</v>
      </c>
      <c r="AX1109" s="9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1">
        <f>IF(ISERROR(PV_DATA[[#This Row],[New Ark PO status]]),"",_xlfn.XLOOKUP(PV_DATA[[#This Row],[SPTN-PVHK New Ark PO'#]],New_Ark_Data[Purchase order Number],New_Ark_Data[Estimated time of arrival],"",0))</f>
        <v>0</v>
      </c>
      <c r="AZ110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9" s="441">
        <f>IFERROR(PV_DATA[[#This Row],[ODP ETA Port]]+PV_DATA[[#This Row],[Customs/Leg3 Assumption]],"n/a")</f>
        <v>46380.25</v>
      </c>
      <c r="BB1109" s="442" t="s">
        <v>6536</v>
      </c>
      <c r="BC1109" s="442" t="s">
        <v>6536</v>
      </c>
      <c r="BD1109" s="431">
        <f>IFERROR(_xlfn.ISOWEEKNUM(PV_DATA[[#This Row],[ETA for New Ark update]]),0)</f>
        <v>52</v>
      </c>
      <c r="BE1109" s="431">
        <f>_xlfn.XLOOKUP(PV_DATA[[#This Row],[New Ark SKU]],Table9[New Ark SKU],Table9[Total PCS per Pallet],,0)</f>
        <v>36</v>
      </c>
      <c r="BF1109" s="431">
        <f>_xlfn.XLOOKUP(PV_DATA[[#This Row],[New Ark SKU]],Table9[New Ark SKU],Table9[Total PCS per 40HQ Container],,0)</f>
        <v>864</v>
      </c>
      <c r="BG1109" s="431" t="str">
        <f>_xlfn.XLOOKUP(PV_DATA[[#This Row],[New Ark SKU]],Table9[New Ark SKU],Table9[Back Glass],,0)</f>
        <v>Black glazing</v>
      </c>
      <c r="BH1109" s="622" t="str">
        <f>_xlfn.XLOOKUP(PV_DATA[[#This Row],[PORT DESTINATION]],Table12[PORT DESTINATION],Table12[Cosco Line],,0)</f>
        <v>AEM</v>
      </c>
      <c r="BJ1109" s="430"/>
    </row>
    <row r="1110" spans="1:62" s="1318" customFormat="1" ht="10.5">
      <c r="A1110" s="724" t="s">
        <v>7022</v>
      </c>
      <c r="B1110" s="1317" t="s">
        <v>61</v>
      </c>
      <c r="C1110" s="1317" t="str">
        <f>IFERROR(LEFT(PV_DATA[[#This Row],[TCL REFERENCE]],FIND(".",PV_DATA[[#This Row],[TCL REFERENCE]],1)-1),"Main Line")</f>
        <v>26Aug003</v>
      </c>
      <c r="D1110" s="1317" t="s">
        <v>63</v>
      </c>
      <c r="E1110" s="1317" t="s">
        <v>64</v>
      </c>
      <c r="F1110" s="1317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0" s="1317" t="s">
        <v>402</v>
      </c>
      <c r="H1110" s="1317" t="s">
        <v>67</v>
      </c>
      <c r="I1110" s="1317" t="s">
        <v>689</v>
      </c>
      <c r="J1110" s="1317" t="s">
        <v>7010</v>
      </c>
      <c r="K1110" s="1317"/>
      <c r="M1110" s="1318" t="s">
        <v>6536</v>
      </c>
      <c r="N1110" s="1319">
        <v>46237</v>
      </c>
      <c r="O1110" s="1318" t="s">
        <v>4531</v>
      </c>
      <c r="P1110" s="1318" t="s">
        <v>71</v>
      </c>
      <c r="Q1110" s="1318" t="s">
        <v>72</v>
      </c>
      <c r="R1110" s="430" t="str">
        <f>_xlfn.XLOOKUP(PV_DATA[[#This Row],[New Ark SKU]],Table9[New Ark SKU],Table9[Connector],,0)</f>
        <v>EVO2A</v>
      </c>
      <c r="S1110" s="433" t="str">
        <f>_xlfn.XLOOKUP(PV_DATA[[#This Row],[New Ark SKU]],Table9[New Ark SKU],Table9[Cable],,0)</f>
        <v>±1200mm</v>
      </c>
      <c r="T1110" s="1320">
        <v>500</v>
      </c>
      <c r="U1110" s="1321">
        <v>864</v>
      </c>
      <c r="V1110" s="1322">
        <f>PV_DATA[[#This Row],[QUANTITY]]*PV_DATA[[#This Row],[WATT]]/1000000</f>
        <v>0.432</v>
      </c>
      <c r="W1110" s="1323">
        <f>PV_DATA[[#This Row],[QUANTITY]]/PV_DATA[[#This Row],[Qty/Pallet]]</f>
        <v>24</v>
      </c>
      <c r="X1110" s="1324">
        <f>PV_DATA[[#This Row],[QUANTITY]]/PV_DATA[[#This Row],[Qty/CT]]</f>
        <v>1</v>
      </c>
      <c r="Y1110" s="1318" t="s">
        <v>2468</v>
      </c>
      <c r="Z1110" s="1318" t="str">
        <f t="shared" si="21"/>
        <v/>
      </c>
      <c r="AB1110" s="437">
        <v>46308</v>
      </c>
      <c r="AC1110" s="1326">
        <f>IF(PV_DATA[[#This Row],[Pick- Up Date]]&lt;&gt;"",_xlfn.ISOWEEKNUM(PV_DATA[[#This Row],[Pick- Up Date]]),"")</f>
        <v>42</v>
      </c>
      <c r="AF1110" s="1327" t="s">
        <v>61</v>
      </c>
      <c r="AG1110" s="1327" t="s">
        <v>61</v>
      </c>
      <c r="AH1110" s="1318" t="s">
        <v>78</v>
      </c>
      <c r="AI1110" s="1309">
        <v>46313</v>
      </c>
      <c r="AJ1110" s="1329">
        <f>IFERROR(VLOOKUP(AT1110, Vessel!A:D, 4, FALSE), "")</f>
        <v>46313.166666666664</v>
      </c>
      <c r="AK1110" s="1329" t="str">
        <f>IFERROR(IF(VLOOKUP(AT1110,Vessel!A:F,5,FALSE)=0,"",VLOOKUP(AT1110,Vessel!A:F,5,FALSE)),"")</f>
        <v/>
      </c>
      <c r="AL1110" s="1329">
        <v>46372</v>
      </c>
      <c r="AM1110" s="1329">
        <f>IFERROR(VLOOKUP(AT1110, Vessel!A:H, 8, FALSE), "")</f>
        <v>46372.25</v>
      </c>
      <c r="AN1110" s="1329" t="str">
        <f>IFERROR(IF(VLOOKUP(AT1110,Vessel!A:I,9,FALSE)=0,"",VLOOKUP(AT1110,Vessel!A:I,9,FALSE)),"")</f>
        <v/>
      </c>
      <c r="AO1110" s="1336"/>
      <c r="AP1110" s="1330" t="s">
        <v>7016</v>
      </c>
      <c r="AQ1110" s="1337" t="s">
        <v>80</v>
      </c>
      <c r="AR1110" s="431" t="s">
        <v>7020</v>
      </c>
      <c r="AS1110" s="1318" t="s">
        <v>7021</v>
      </c>
      <c r="AT1110" s="1318" t="s">
        <v>7021</v>
      </c>
      <c r="AU1110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59.083333333335759</v>
      </c>
      <c r="AW1110" s="1309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46372.25</v>
      </c>
      <c r="AX111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1309">
        <f>IF(ISERROR(PV_DATA[[#This Row],[New Ark PO status]]),"",_xlfn.XLOOKUP(PV_DATA[[#This Row],[SPTN-PVHK New Ark PO'#]],New_Ark_Data[Purchase order Number],New_Ark_Data[Estimated time of arrival],"",0))</f>
        <v>0</v>
      </c>
      <c r="AZ1110" s="132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0" s="1309">
        <f>IFERROR(PV_DATA[[#This Row],[ODP ETA Port]]+PV_DATA[[#This Row],[Customs/Leg3 Assumption]],"n/a")</f>
        <v>46380.25</v>
      </c>
      <c r="BB1110" s="1320">
        <f>YEAR(PV_DATA[[#This Row],[ETA for New Ark update]])</f>
        <v>2026</v>
      </c>
      <c r="BC1110" s="1318">
        <f>MONTH(PV_DATA[[#This Row],[ETA for New Ark update]])</f>
        <v>12</v>
      </c>
      <c r="BD1110" s="1318">
        <f>IFERROR(_xlfn.ISOWEEKNUM(PV_DATA[[#This Row],[ETA for New Ark update]]),0)</f>
        <v>52</v>
      </c>
      <c r="BE1110" s="1318">
        <f>_xlfn.XLOOKUP(PV_DATA[[#This Row],[New Ark SKU]],Table9[New Ark SKU],Table9[Total PCS per Pallet],,0)</f>
        <v>36</v>
      </c>
      <c r="BF1110" s="1318">
        <f>_xlfn.XLOOKUP(PV_DATA[[#This Row],[New Ark SKU]],Table9[New Ark SKU],Table9[Total PCS per 40HQ Container],,0)</f>
        <v>864</v>
      </c>
      <c r="BG1110" s="1318" t="str">
        <f>_xlfn.XLOOKUP(PV_DATA[[#This Row],[New Ark SKU]],Table9[New Ark SKU],Table9[Back Glass],,0)</f>
        <v>Black glazing</v>
      </c>
      <c r="BH1110" s="1333" t="str">
        <f>_xlfn.XLOOKUP(PV_DATA[[#This Row],[PORT DESTINATION]],Table12[PORT DESTINATION],Table12[Cosco Line],,0)</f>
        <v>AEM</v>
      </c>
    </row>
    <row r="1111" spans="1:62" s="1318" customFormat="1" ht="10.5">
      <c r="A1111" s="1334" t="s">
        <v>7023</v>
      </c>
      <c r="B1111" s="1317" t="s">
        <v>61</v>
      </c>
      <c r="C1111" s="1317" t="str">
        <f>IFERROR(LEFT(PV_DATA[[#This Row],[TCL REFERENCE]],FIND(".",PV_DATA[[#This Row],[TCL REFERENCE]],1)-1),"Main Line")</f>
        <v>26Aug003</v>
      </c>
      <c r="D1111" s="1317" t="s">
        <v>63</v>
      </c>
      <c r="E1111" s="1317" t="s">
        <v>64</v>
      </c>
      <c r="F1111" s="1317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1" s="1317" t="s">
        <v>402</v>
      </c>
      <c r="H1111" s="1317" t="s">
        <v>67</v>
      </c>
      <c r="I1111" s="1317" t="s">
        <v>6415</v>
      </c>
      <c r="J1111" s="1318" t="s">
        <v>96</v>
      </c>
      <c r="K1111" s="1317"/>
      <c r="M1111" s="1318" t="s">
        <v>6315</v>
      </c>
      <c r="N1111" s="1319">
        <v>46237</v>
      </c>
      <c r="O1111" s="1318" t="s">
        <v>4531</v>
      </c>
      <c r="P1111" s="1318" t="s">
        <v>71</v>
      </c>
      <c r="Q1111" s="1318" t="s">
        <v>72</v>
      </c>
      <c r="R1111" s="430" t="str">
        <f>_xlfn.XLOOKUP(PV_DATA[[#This Row],[New Ark SKU]],Table9[New Ark SKU],Table9[Connector],,0)</f>
        <v>EVO2A</v>
      </c>
      <c r="S1111" s="433" t="str">
        <f>_xlfn.XLOOKUP(PV_DATA[[#This Row],[New Ark SKU]],Table9[New Ark SKU],Table9[Cable],,0)</f>
        <v>±1200mm</v>
      </c>
      <c r="T1111" s="1320">
        <v>500</v>
      </c>
      <c r="U1111" s="1321">
        <v>4320</v>
      </c>
      <c r="V1111" s="1322">
        <f>PV_DATA[[#This Row],[QUANTITY]]*PV_DATA[[#This Row],[WATT]]/1000000</f>
        <v>2.16</v>
      </c>
      <c r="W1111" s="1323">
        <f>PV_DATA[[#This Row],[QUANTITY]]/PV_DATA[[#This Row],[Qty/Pallet]]</f>
        <v>120</v>
      </c>
      <c r="X1111" s="1324">
        <f>PV_DATA[[#This Row],[QUANTITY]]/PV_DATA[[#This Row],[Qty/CT]]</f>
        <v>5</v>
      </c>
      <c r="Y1111" s="1318" t="s">
        <v>2470</v>
      </c>
      <c r="Z1111" s="1318" t="str">
        <f t="shared" si="21"/>
        <v>IN-TRANSIT</v>
      </c>
      <c r="AB1111" s="1325">
        <v>46289</v>
      </c>
      <c r="AC1111" s="1326">
        <f>IF(PV_DATA[[#This Row],[Pick- Up Date]]&lt;&gt;"",_xlfn.ISOWEEKNUM(PV_DATA[[#This Row],[Pick- Up Date]]),"")</f>
        <v>39</v>
      </c>
      <c r="AD1111" s="1318" t="s">
        <v>7024</v>
      </c>
      <c r="AF1111" s="1327" t="s">
        <v>61</v>
      </c>
      <c r="AG1111" s="1327" t="s">
        <v>61</v>
      </c>
      <c r="AH1111" s="1318" t="s">
        <v>78</v>
      </c>
      <c r="AI1111" s="1329">
        <v>46295</v>
      </c>
      <c r="AJ1111" s="1329">
        <f>IFERROR(VLOOKUP(AT1111, Vessel!A:D, 4, FALSE), "")</f>
        <v>46295.5</v>
      </c>
      <c r="AK1111" s="1329">
        <f>IFERROR(IF(VLOOKUP(AT1111,Vessel!A:F,5,FALSE)=0,"",VLOOKUP(AT1111,Vessel!A:F,5,FALSE)),"")</f>
        <v>46295.536527777775</v>
      </c>
      <c r="AL1111" s="1329">
        <v>46370</v>
      </c>
      <c r="AM1111" s="1329">
        <f>IFERROR(VLOOKUP(AT1111, Vessel!A:H, 8, FALSE), "")</f>
        <v>46363.791666666664</v>
      </c>
      <c r="AN1111" s="1329" t="str">
        <f>IFERROR(IF(VLOOKUP(AT1111,Vessel!A:I,9,FALSE)=0,"",VLOOKUP(AT1111,Vessel!A:I,9,FALSE)),"")</f>
        <v/>
      </c>
      <c r="AO1111" s="1338"/>
      <c r="AP1111" s="1318" t="s">
        <v>7012</v>
      </c>
      <c r="AQ1111" s="1331" t="s">
        <v>80</v>
      </c>
      <c r="AR1111" s="1318" t="s">
        <v>7025</v>
      </c>
      <c r="AS1111" s="1318" t="s">
        <v>7026</v>
      </c>
      <c r="AT1111" s="1318" t="s">
        <v>7026</v>
      </c>
      <c r="AU1111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68.255138888889633</v>
      </c>
      <c r="AW1111" s="1309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46363.791666666664</v>
      </c>
      <c r="AX111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1309" t="str">
        <f>IF(ISERROR(PV_DATA[[#This Row],[New Ark PO status]]),"",_xlfn.XLOOKUP(PV_DATA[[#This Row],[SPTN-PVHK New Ark PO'#]],New_Ark_Data[Purchase order Number],New_Ark_Data[Estimated time of arrival],"",0))</f>
        <v/>
      </c>
      <c r="AZ1111" s="132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1" s="1309">
        <f>IFERROR(PV_DATA[[#This Row],[ODP ETA Port]]+PV_DATA[[#This Row],[Customs/Leg3 Assumption]],"n/a")</f>
        <v>46371.791666666664</v>
      </c>
      <c r="BB1111" s="1320">
        <f>YEAR(PV_DATA[[#This Row],[ETA for New Ark update]])</f>
        <v>2026</v>
      </c>
      <c r="BC1111" s="1318">
        <f>MONTH(PV_DATA[[#This Row],[ETA for New Ark update]])</f>
        <v>12</v>
      </c>
      <c r="BD1111" s="1318">
        <f>IFERROR(_xlfn.ISOWEEKNUM(PV_DATA[[#This Row],[ETA for New Ark update]]),0)</f>
        <v>51</v>
      </c>
      <c r="BE1111" s="1318">
        <f>_xlfn.XLOOKUP(PV_DATA[[#This Row],[New Ark SKU]],Table9[New Ark SKU],Table9[Total PCS per Pallet],,0)</f>
        <v>36</v>
      </c>
      <c r="BF1111" s="1318">
        <f>_xlfn.XLOOKUP(PV_DATA[[#This Row],[New Ark SKU]],Table9[New Ark SKU],Table9[Total PCS per 40HQ Container],,0)</f>
        <v>864</v>
      </c>
      <c r="BG1111" s="1318" t="str">
        <f>_xlfn.XLOOKUP(PV_DATA[[#This Row],[New Ark SKU]],Table9[New Ark SKU],Table9[Back Glass],,0)</f>
        <v>Black glazing</v>
      </c>
      <c r="BH1111" s="1333" t="str">
        <f>_xlfn.XLOOKUP(PV_DATA[[#This Row],[PORT DESTINATION]],Table12[PORT DESTINATION],Table12[Cosco Line],,0)</f>
        <v>AEM</v>
      </c>
    </row>
    <row r="1112" spans="1:62" s="1318" customFormat="1" ht="10.5">
      <c r="A1112" s="446" t="s">
        <v>4902</v>
      </c>
      <c r="B1112" s="1317" t="s">
        <v>61</v>
      </c>
      <c r="C1112" s="1317" t="str">
        <f>IFERROR(LEFT(PV_DATA[[#This Row],[TCL REFERENCE]],FIND(".",PV_DATA[[#This Row],[TCL REFERENCE]],1)-1),"Main Line")</f>
        <v>Main Line</v>
      </c>
      <c r="D1112" s="1317" t="s">
        <v>63</v>
      </c>
      <c r="E1112" s="1317" t="s">
        <v>68</v>
      </c>
      <c r="F1112" s="1317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1317" t="s">
        <v>68</v>
      </c>
      <c r="H1112" s="1317" t="s">
        <v>68</v>
      </c>
      <c r="I1112" s="1317" t="s">
        <v>68</v>
      </c>
      <c r="J1112" s="1318" t="s">
        <v>68</v>
      </c>
      <c r="M1112" s="1318" t="s">
        <v>68</v>
      </c>
      <c r="N1112" s="1319">
        <v>46153</v>
      </c>
      <c r="O1112" s="1318" t="s">
        <v>4531</v>
      </c>
      <c r="P1112" s="1318" t="s">
        <v>71</v>
      </c>
      <c r="Q1112" s="1318" t="s">
        <v>72</v>
      </c>
      <c r="R1112" s="430" t="str">
        <f>_xlfn.XLOOKUP(PV_DATA[[#This Row],[New Ark SKU]],Table9[New Ark SKU],Table9[Connector],,0)</f>
        <v>EVO2A</v>
      </c>
      <c r="S1112" s="433" t="str">
        <f>_xlfn.XLOOKUP(PV_DATA[[#This Row],[New Ark SKU]],Table9[New Ark SKU],Table9[Cable],,0)</f>
        <v>±1200mm</v>
      </c>
      <c r="T1112" s="1320">
        <v>500</v>
      </c>
      <c r="U1112" s="1321" cm="1">
        <f t="array" ref="U1112">56160-fx_qty</f>
        <v>0</v>
      </c>
      <c r="V1112" s="1322">
        <f>PV_DATA[[#This Row],[QUANTITY]]*PV_DATA[[#This Row],[WATT]]/1000000</f>
        <v>0</v>
      </c>
      <c r="W1112" s="1323">
        <f>PV_DATA[[#This Row],[QUANTITY]]/PV_DATA[[#This Row],[Qty/Pallet]]</f>
        <v>0</v>
      </c>
      <c r="X1112" s="1324">
        <f>PV_DATA[[#This Row],[QUANTITY]]/PV_DATA[[#This Row],[Qty/CT]]</f>
        <v>0</v>
      </c>
      <c r="Y1112" s="1318" t="s">
        <v>7027</v>
      </c>
      <c r="Z1112" s="1318" t="str">
        <f t="shared" si="21"/>
        <v/>
      </c>
      <c r="AB1112" s="1309"/>
      <c r="AC1112" s="1326" t="str">
        <f>IF(PV_DATA[[#This Row],[Pick- Up Date]]&lt;&gt;"",_xlfn.ISOWEEKNUM(PV_DATA[[#This Row],[Pick- Up Date]]),"")</f>
        <v/>
      </c>
      <c r="AF1112" s="1318" t="s">
        <v>61</v>
      </c>
      <c r="AG1112" s="1318" t="s">
        <v>61</v>
      </c>
      <c r="AH1112" s="1318" t="s">
        <v>68</v>
      </c>
      <c r="AI1112" s="1309"/>
      <c r="AJ1112" s="1309" t="str">
        <f>IFERROR(VLOOKUP(AT1112, Vessel!A:D, 4, FALSE), "")</f>
        <v/>
      </c>
      <c r="AK1112" s="1309" t="str">
        <f>IFERROR(IF(VLOOKUP(AT1112,Vessel!A:F,5,FALSE)=0,"",VLOOKUP(AT1112,Vessel!A:F,5,FALSE)),"")</f>
        <v/>
      </c>
      <c r="AL1112" s="1309"/>
      <c r="AM1112" s="1309"/>
      <c r="AN1112" s="1329" t="str">
        <f>IFERROR(IF(VLOOKUP(AT1112,Vessel!A:I,9,FALSE)=0,"",VLOOKUP(AT1112,Vessel!A:I,9,FALSE)),"")</f>
        <v/>
      </c>
      <c r="AU1112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1309"/>
      <c r="AW1112" s="1309" t="str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1309" t="str">
        <f>IF(ISERROR(PV_DATA[[#This Row],[New Ark PO status]]),"",_xlfn.XLOOKUP(PV_DATA[[#This Row],[SPTN-PVHK New Ark PO'#]],New_Ark_Data[Purchase order Number],New_Ark_Data[Estimated time of arrival],"",0))</f>
        <v/>
      </c>
      <c r="AZ1112" s="13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1309" t="str">
        <f>IFERROR(PV_DATA[[#This Row],[ODP ETA Port]]+PV_DATA[[#This Row],[Customs/Leg3 Assumption]],"n/a")</f>
        <v>n/a</v>
      </c>
      <c r="BB1112" s="1320" t="e">
        <f>YEAR(PV_DATA[[#This Row],[ETA for New Ark update]])</f>
        <v>#VALUE!</v>
      </c>
      <c r="BC1112" s="1318" t="e">
        <f>MONTH(PV_DATA[[#This Row],[ETA for New Ark update]])</f>
        <v>#VALUE!</v>
      </c>
      <c r="BD1112" s="1318">
        <f>IFERROR(_xlfn.ISOWEEKNUM(PV_DATA[[#This Row],[ETA for New Ark update]]),0)</f>
        <v>0</v>
      </c>
      <c r="BE1112" s="1318">
        <f>_xlfn.XLOOKUP(PV_DATA[[#This Row],[New Ark SKU]],Table9[New Ark SKU],Table9[Total PCS per Pallet],,0)</f>
        <v>36</v>
      </c>
      <c r="BF1112" s="1318">
        <f>_xlfn.XLOOKUP(PV_DATA[[#This Row],[New Ark SKU]],Table9[New Ark SKU],Table9[Total PCS per 40HQ Container],,0)</f>
        <v>864</v>
      </c>
      <c r="BG1112" s="1318" t="str">
        <f>_xlfn.XLOOKUP(PV_DATA[[#This Row],[New Ark SKU]],Table9[New Ark SKU],Table9[Back Glass],,0)</f>
        <v>Black glazing</v>
      </c>
      <c r="BH1112" s="1318" t="str">
        <f>_xlfn.XLOOKUP(PV_DATA[[#This Row],[PORT DESTINATION]],Table12[PORT DESTINATION],Table12[Cosco Line],,0)</f>
        <v>n/a</v>
      </c>
    </row>
    <row r="1113" spans="1:62" s="1318" customFormat="1" ht="10.5">
      <c r="A1113" s="1317" t="s">
        <v>7028</v>
      </c>
      <c r="B1113" s="1317" t="s">
        <v>61</v>
      </c>
      <c r="C1113" s="1317" t="str">
        <f>IFERROR(LEFT(PV_DATA[[#This Row],[TCL REFERENCE]],FIND(".",PV_DATA[[#This Row],[TCL REFERENCE]],1)-1),"Main Line")</f>
        <v>26Jun021</v>
      </c>
      <c r="D1113" s="1317" t="s">
        <v>63</v>
      </c>
      <c r="E1113" s="1317" t="s">
        <v>64</v>
      </c>
      <c r="F1113" s="1317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3" s="1317" t="s">
        <v>402</v>
      </c>
      <c r="H1113" s="1317" t="s">
        <v>67</v>
      </c>
      <c r="I1113" s="1317" t="s">
        <v>689</v>
      </c>
      <c r="J1113" s="1318" t="s">
        <v>96</v>
      </c>
      <c r="M1113" s="1318" t="s">
        <v>6315</v>
      </c>
      <c r="N1113" s="1319">
        <v>46202</v>
      </c>
      <c r="O1113" s="1318" t="s">
        <v>284</v>
      </c>
      <c r="P1113" s="1339" t="s">
        <v>6159</v>
      </c>
      <c r="Q1113" s="1318" t="s">
        <v>1570</v>
      </c>
      <c r="R1113" s="430" t="str">
        <f>_xlfn.XLOOKUP(PV_DATA[[#This Row],[New Ark SKU]],Table9[New Ark SKU],Table9[Connector],,0)</f>
        <v>EVO2A</v>
      </c>
      <c r="S1113" s="433" t="str">
        <f>_xlfn.XLOOKUP(PV_DATA[[#This Row],[New Ark SKU]],Table9[New Ark SKU],Table9[Cable],,0)</f>
        <v>±1400mm</v>
      </c>
      <c r="T1113" s="1320">
        <v>650</v>
      </c>
      <c r="U1113" s="1321">
        <f>720*4</f>
        <v>2880</v>
      </c>
      <c r="V1113" s="1322">
        <f>PV_DATA[[#This Row],[QUANTITY]]*PV_DATA[[#This Row],[WATT]]/1000000</f>
        <v>1.8720000000000001</v>
      </c>
      <c r="W1113" s="1323">
        <f>PV_DATA[[#This Row],[QUANTITY]]/PV_DATA[[#This Row],[Qty/Pallet]]</f>
        <v>80</v>
      </c>
      <c r="X1113" s="1324">
        <f>PV_DATA[[#This Row],[QUANTITY]]/PV_DATA[[#This Row],[Qty/CT]]</f>
        <v>4</v>
      </c>
      <c r="Y1113" s="1318" t="s">
        <v>2467</v>
      </c>
      <c r="Z1113" s="1318" t="str">
        <f t="shared" si="21"/>
        <v>IN-TRANSIT</v>
      </c>
      <c r="AA1113" s="1340" t="s">
        <v>6422</v>
      </c>
      <c r="AB1113" s="1309">
        <v>46287</v>
      </c>
      <c r="AC1113" s="1326">
        <f>IF(PV_DATA[[#This Row],[Pick- Up Date]]&lt;&gt;"",_xlfn.ISOWEEKNUM(PV_DATA[[#This Row],[Pick- Up Date]]),"")</f>
        <v>39</v>
      </c>
      <c r="AD1113" s="1318" t="s">
        <v>7029</v>
      </c>
      <c r="AF1113" s="1318" t="s">
        <v>61</v>
      </c>
      <c r="AG1113" s="1318" t="s">
        <v>61</v>
      </c>
      <c r="AH1113" s="1318" t="s">
        <v>105</v>
      </c>
      <c r="AI1113" s="1309">
        <v>46292</v>
      </c>
      <c r="AJ1113" s="1309">
        <f>IFERROR(VLOOKUP(AT1113, Vessel!A:D, 4, FALSE), "")</f>
        <v>46293.333333333336</v>
      </c>
      <c r="AK1113" s="1309">
        <f>IFERROR(IF(VLOOKUP(AT1113,Vessel!A:F,5,FALSE)=0,"",VLOOKUP(AT1113,Vessel!A:F,5,FALSE)),"")</f>
        <v>46293.38</v>
      </c>
      <c r="AL1113" s="1309">
        <v>46336</v>
      </c>
      <c r="AM1113" s="1310">
        <f>IFERROR(VLOOKUP(AT1113, Vessel!A:H, 8, FALSE), "")</f>
        <v>46336.75</v>
      </c>
      <c r="AN1113" s="1310" t="str">
        <f>IFERROR(IF(VLOOKUP(AT1113,Vessel!A:I,9,FALSE)=0,"",VLOOKUP(AT1113,Vessel!A:I,9,FALSE)),"")</f>
        <v/>
      </c>
      <c r="AO1113" s="1318" t="s">
        <v>402</v>
      </c>
      <c r="AP1113" s="1318" t="s">
        <v>7030</v>
      </c>
      <c r="AQ1113" s="1337" t="s">
        <v>80</v>
      </c>
      <c r="AR1113" s="1318" t="s">
        <v>7031</v>
      </c>
      <c r="AS1113" s="1318" t="s">
        <v>7032</v>
      </c>
      <c r="AT1113" s="1318" t="s">
        <v>7032</v>
      </c>
      <c r="AU1113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43.370000000002619</v>
      </c>
      <c r="AW1113" s="1309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46336.75</v>
      </c>
      <c r="AX111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1309" t="str">
        <f>IF(ISERROR(PV_DATA[[#This Row],[New Ark PO status]]),"",_xlfn.XLOOKUP(PV_DATA[[#This Row],[SPTN-PVHK New Ark PO'#]],New_Ark_Data[Purchase order Number],New_Ark_Data[Estimated time of arrival],"",0))</f>
        <v/>
      </c>
      <c r="AZ1113" s="13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3" s="1309">
        <f>IFERROR(PV_DATA[[#This Row],[ODP ETA Port]]+PV_DATA[[#This Row],[Customs/Leg3 Assumption]],"n/a")</f>
        <v>46343.75</v>
      </c>
      <c r="BB1113" s="1320">
        <f>YEAR(PV_DATA[[#This Row],[ETA for New Ark update]])</f>
        <v>2026</v>
      </c>
      <c r="BC1113" s="1318">
        <f>MONTH(PV_DATA[[#This Row],[ETA for New Ark update]])</f>
        <v>11</v>
      </c>
      <c r="BD1113" s="1318">
        <f>IFERROR(_xlfn.ISOWEEKNUM(PV_DATA[[#This Row],[ETA for New Ark update]]),0)</f>
        <v>47</v>
      </c>
      <c r="BE1113" s="1318">
        <f>_xlfn.XLOOKUP(PV_DATA[[#This Row],[New Ark SKU]],Table9[New Ark SKU],Table9[Total PCS per Pallet],,0)</f>
        <v>36</v>
      </c>
      <c r="BF1113" s="1318">
        <f>_xlfn.XLOOKUP(PV_DATA[[#This Row],[New Ark SKU]],Table9[New Ark SKU],Table9[Total PCS per 40HQ Container],,0)</f>
        <v>720</v>
      </c>
      <c r="BG1113" s="1318" t="str">
        <f>_xlfn.XLOOKUP(PV_DATA[[#This Row],[New Ark SKU]],Table9[New Ark SKU],Table9[Back Glass],,0)</f>
        <v>White glazing</v>
      </c>
      <c r="BH1113" s="1318" t="str">
        <f>_xlfn.XLOOKUP(PV_DATA[[#This Row],[PORT DESTINATION]],Table12[PORT DESTINATION],Table12[Cosco Line],,0)</f>
        <v>AEU</v>
      </c>
    </row>
    <row r="1114" spans="1:62" s="1318" customFormat="1" ht="10.5">
      <c r="A1114" s="1317" t="s">
        <v>7033</v>
      </c>
      <c r="B1114" s="1317" t="s">
        <v>61</v>
      </c>
      <c r="C1114" s="1317" t="str">
        <f>IFERROR(LEFT(PV_DATA[[#This Row],[TCL REFERENCE]],FIND(".",PV_DATA[[#This Row],[TCL REFERENCE]],1)-1),"Main Line")</f>
        <v>26Jun022</v>
      </c>
      <c r="D1114" s="1317" t="s">
        <v>63</v>
      </c>
      <c r="E1114" s="1317" t="s">
        <v>64</v>
      </c>
      <c r="F1114" s="1317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4" s="1317" t="s">
        <v>402</v>
      </c>
      <c r="H1114" s="1317" t="s">
        <v>67</v>
      </c>
      <c r="I1114" s="1317" t="s">
        <v>689</v>
      </c>
      <c r="J1114" s="1318" t="s">
        <v>96</v>
      </c>
      <c r="M1114" s="1318" t="s">
        <v>6315</v>
      </c>
      <c r="N1114" s="1319">
        <v>46202</v>
      </c>
      <c r="O1114" s="1318" t="s">
        <v>284</v>
      </c>
      <c r="P1114" s="1317" t="s">
        <v>5345</v>
      </c>
      <c r="Q1114" s="1318" t="s">
        <v>5346</v>
      </c>
      <c r="R1114" s="430" t="str">
        <f>_xlfn.XLOOKUP(PV_DATA[[#This Row],[New Ark SKU]],Table9[New Ark SKU],Table9[Connector],,0)</f>
        <v>EVO2A</v>
      </c>
      <c r="S1114" s="433" t="str">
        <f>_xlfn.XLOOKUP(PV_DATA[[#This Row],[New Ark SKU]],Table9[New Ark SKU],Table9[Cable],,0)</f>
        <v>±1400mm</v>
      </c>
      <c r="T1114" s="1320">
        <v>655</v>
      </c>
      <c r="U1114" s="1321">
        <f>720*4</f>
        <v>2880</v>
      </c>
      <c r="V1114" s="1322">
        <f>PV_DATA[[#This Row],[QUANTITY]]*PV_DATA[[#This Row],[WATT]]/1000000</f>
        <v>1.8864000000000001</v>
      </c>
      <c r="W1114" s="1323">
        <f>PV_DATA[[#This Row],[QUANTITY]]/PV_DATA[[#This Row],[Qty/Pallet]]</f>
        <v>80</v>
      </c>
      <c r="X1114" s="1324">
        <f>PV_DATA[[#This Row],[QUANTITY]]/PV_DATA[[#This Row],[Qty/CT]]</f>
        <v>4</v>
      </c>
      <c r="Y1114" s="1318" t="s">
        <v>2467</v>
      </c>
      <c r="Z1114" s="1318" t="str">
        <f t="shared" si="21"/>
        <v>IN-TRANSIT</v>
      </c>
      <c r="AA1114" s="1340" t="s">
        <v>6422</v>
      </c>
      <c r="AB1114" s="1309">
        <v>46287</v>
      </c>
      <c r="AC1114" s="1326">
        <f>IF(PV_DATA[[#This Row],[Pick- Up Date]]&lt;&gt;"",_xlfn.ISOWEEKNUM(PV_DATA[[#This Row],[Pick- Up Date]]),"")</f>
        <v>39</v>
      </c>
      <c r="AD1114" s="1318" t="s">
        <v>7034</v>
      </c>
      <c r="AF1114" s="1318" t="s">
        <v>61</v>
      </c>
      <c r="AG1114" s="1318" t="s">
        <v>61</v>
      </c>
      <c r="AH1114" s="1318" t="s">
        <v>105</v>
      </c>
      <c r="AI1114" s="1309">
        <v>46292</v>
      </c>
      <c r="AJ1114" s="1309">
        <v>46293</v>
      </c>
      <c r="AK1114" s="1309">
        <f>IFERROR(IF(VLOOKUP(AT1114,Vessel!A:F,5,FALSE)=0,"",VLOOKUP(AT1114,Vessel!A:F,5,FALSE)),"")</f>
        <v>46293.38</v>
      </c>
      <c r="AL1114" s="1309">
        <v>46336</v>
      </c>
      <c r="AM1114" s="1310">
        <f>IFERROR(VLOOKUP(AT1114, Vessel!A:H, 8, FALSE), "")</f>
        <v>46336.75</v>
      </c>
      <c r="AN1114" s="1310" t="str">
        <f>IFERROR(IF(VLOOKUP(AT1114,Vessel!A:I,9,FALSE)=0,"",VLOOKUP(AT1114,Vessel!A:I,9,FALSE)),"")</f>
        <v/>
      </c>
      <c r="AO1114" s="1318" t="s">
        <v>402</v>
      </c>
      <c r="AP1114" s="1318" t="s">
        <v>7030</v>
      </c>
      <c r="AQ1114" s="1337" t="s">
        <v>80</v>
      </c>
      <c r="AR1114" s="1318" t="s">
        <v>7031</v>
      </c>
      <c r="AS1114" s="1318" t="s">
        <v>7032</v>
      </c>
      <c r="AT1114" s="1318" t="s">
        <v>7032</v>
      </c>
      <c r="AU1114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43.370000000002619</v>
      </c>
      <c r="AW1114" s="1309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46336.75</v>
      </c>
      <c r="AX111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1309" t="str">
        <f>IF(ISERROR(PV_DATA[[#This Row],[New Ark PO status]]),"",_xlfn.XLOOKUP(PV_DATA[[#This Row],[SPTN-PVHK New Ark PO'#]],New_Ark_Data[Purchase order Number],New_Ark_Data[Estimated time of arrival],"",0))</f>
        <v/>
      </c>
      <c r="AZ1114" s="13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4" s="1309">
        <f>IFERROR(PV_DATA[[#This Row],[ODP ETA Port]]+PV_DATA[[#This Row],[Customs/Leg3 Assumption]],"n/a")</f>
        <v>46343.75</v>
      </c>
      <c r="BB1114" s="1320">
        <f>YEAR(PV_DATA[[#This Row],[ETA for New Ark update]])</f>
        <v>2026</v>
      </c>
      <c r="BC1114" s="1318">
        <f>MONTH(PV_DATA[[#This Row],[ETA for New Ark update]])</f>
        <v>11</v>
      </c>
      <c r="BD1114" s="1318">
        <f>IFERROR(_xlfn.ISOWEEKNUM(PV_DATA[[#This Row],[ETA for New Ark update]]),0)</f>
        <v>47</v>
      </c>
      <c r="BE1114" s="1318">
        <f>_xlfn.XLOOKUP(PV_DATA[[#This Row],[New Ark SKU]],Table9[New Ark SKU],Table9[Total PCS per Pallet],,0)</f>
        <v>36</v>
      </c>
      <c r="BF1114" s="1318">
        <f>_xlfn.XLOOKUP(PV_DATA[[#This Row],[New Ark SKU]],Table9[New Ark SKU],Table9[Total PCS per 40HQ Container],,0)</f>
        <v>720</v>
      </c>
      <c r="BG1114" s="1318" t="str">
        <f>_xlfn.XLOOKUP(PV_DATA[[#This Row],[New Ark SKU]],Table9[New Ark SKU],Table9[Back Glass],,0)</f>
        <v>White glazing</v>
      </c>
      <c r="BH1114" s="1318" t="str">
        <f>_xlfn.XLOOKUP(PV_DATA[[#This Row],[PORT DESTINATION]],Table12[PORT DESTINATION],Table12[Cosco Line],,0)</f>
        <v>AEU</v>
      </c>
    </row>
    <row r="1115" spans="1:62" s="1318" customFormat="1" ht="13.5" customHeight="1">
      <c r="A1115" s="1334" t="s">
        <v>7035</v>
      </c>
      <c r="B1115" s="1317" t="s">
        <v>61</v>
      </c>
      <c r="C1115" s="1317" t="str">
        <f>IFERROR(LEFT(PV_DATA[[#This Row],[TCL REFERENCE]],FIND(".",PV_DATA[[#This Row],[TCL REFERENCE]],1)-1),"Main Line")</f>
        <v>26Aug024</v>
      </c>
      <c r="D1115" s="1317" t="s">
        <v>63</v>
      </c>
      <c r="E1115" s="1317" t="s">
        <v>64</v>
      </c>
      <c r="F1115" s="1317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15" s="1317" t="s">
        <v>402</v>
      </c>
      <c r="H1115" s="1317" t="s">
        <v>451</v>
      </c>
      <c r="I1115" s="1317" t="s">
        <v>882</v>
      </c>
      <c r="J1115" s="1318" t="s">
        <v>7036</v>
      </c>
      <c r="M1115" s="1318" t="s">
        <v>68</v>
      </c>
      <c r="N1115" s="1319">
        <v>46279</v>
      </c>
      <c r="O1115" s="1318" t="s">
        <v>4531</v>
      </c>
      <c r="P1115" s="1318" t="s">
        <v>7037</v>
      </c>
      <c r="Q1115" s="1318" t="s">
        <v>7038</v>
      </c>
      <c r="R1115" s="430" t="str">
        <f>_xlfn.XLOOKUP(PV_DATA[[#This Row],[New Ark SKU]],Table9[New Ark SKU],Table9[Connector],,0)</f>
        <v>EVO2A</v>
      </c>
      <c r="S1115" s="433" t="str">
        <f>_xlfn.XLOOKUP(PV_DATA[[#This Row],[New Ark SKU]],Table9[New Ark SKU],Table9[Cable],,0)</f>
        <v>±1200mm</v>
      </c>
      <c r="T1115" s="1320">
        <v>505</v>
      </c>
      <c r="U1115" s="1321">
        <v>864</v>
      </c>
      <c r="V1115" s="1322">
        <f>PV_DATA[[#This Row],[QUANTITY]]*PV_DATA[[#This Row],[WATT]]/1000000</f>
        <v>0.43631999999999999</v>
      </c>
      <c r="W1115" s="1323">
        <f>PV_DATA[[#This Row],[QUANTITY]]/PV_DATA[[#This Row],[Qty/Pallet]]</f>
        <v>24</v>
      </c>
      <c r="X1115" s="1324">
        <f>PV_DATA[[#This Row],[QUANTITY]]/PV_DATA[[#This Row],[Qty/CT]]</f>
        <v>1</v>
      </c>
      <c r="Y1115" s="1318" t="s">
        <v>2469</v>
      </c>
      <c r="Z1115" s="1318" t="str">
        <f t="shared" si="21"/>
        <v>IN-TRANSIT</v>
      </c>
      <c r="AA1115" s="1318" t="s">
        <v>7039</v>
      </c>
      <c r="AB1115" s="1309">
        <v>46287</v>
      </c>
      <c r="AC1115" s="1326">
        <f>IF(PV_DATA[[#This Row],[Pick- Up Date]]&lt;&gt;"",_xlfn.ISOWEEKNUM(PV_DATA[[#This Row],[Pick- Up Date]]),"")</f>
        <v>39</v>
      </c>
      <c r="AD1115" s="1318" t="s">
        <v>7040</v>
      </c>
      <c r="AF1115" s="1318" t="s">
        <v>61</v>
      </c>
      <c r="AG1115" s="1318" t="s">
        <v>61</v>
      </c>
      <c r="AH1115" s="1318" t="s">
        <v>456</v>
      </c>
      <c r="AI1115" s="1325">
        <v>46292</v>
      </c>
      <c r="AJ1115" s="1309">
        <f>IFERROR(VLOOKUP(AT1115, Vessel!A:D, 4, FALSE), "")</f>
        <v>46293.333333333336</v>
      </c>
      <c r="AK1115" s="1309">
        <f>IFERROR(IF(VLOOKUP(AT1115,Vessel!A:F,5,FALSE)=0,"",VLOOKUP(AT1115,Vessel!A:F,5,FALSE)),"")</f>
        <v>46293.38</v>
      </c>
      <c r="AL1115" s="1325">
        <v>46348</v>
      </c>
      <c r="AM1115" s="1310">
        <f>IFERROR(VLOOKUP(AT1115, Vessel!A:H, 8, FALSE), "")</f>
        <v>46349.916666666664</v>
      </c>
      <c r="AN1115" s="1310" t="str">
        <f>IFERROR(IF(VLOOKUP(AT1115,Vessel!A:I,9,FALSE)=0,"",VLOOKUP(AT1115,Vessel!A:I,9,FALSE)),"")</f>
        <v/>
      </c>
      <c r="AO1115" s="1318" t="s">
        <v>402</v>
      </c>
      <c r="AP1115" s="1318" t="s">
        <v>7030</v>
      </c>
      <c r="AQ1115" s="1331" t="s">
        <v>80</v>
      </c>
      <c r="AR1115" s="1318" t="s">
        <v>7041</v>
      </c>
      <c r="AS1115" s="1318" t="s">
        <v>7042</v>
      </c>
      <c r="AT1115" s="1318" t="s">
        <v>7042</v>
      </c>
      <c r="AU1115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56.536666666666861</v>
      </c>
      <c r="AW1115" s="1309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46349.916666666664</v>
      </c>
      <c r="AX111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1309" t="str">
        <f>IF(ISERROR(PV_DATA[[#This Row],[New Ark PO status]]),"",_xlfn.XLOOKUP(PV_DATA[[#This Row],[SPTN-PVHK New Ark PO'#]],New_Ark_Data[Purchase order Number],New_Ark_Data[Estimated time of arrival],"",0))</f>
        <v/>
      </c>
      <c r="AZ1115" s="13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5" s="1309">
        <f>IFERROR(PV_DATA[[#This Row],[ODP ETA Port]]+PV_DATA[[#This Row],[Customs/Leg3 Assumption]],"n/a")</f>
        <v>46356.916666666664</v>
      </c>
      <c r="BB1115" s="1320" t="s">
        <v>6536</v>
      </c>
      <c r="BC1115" s="1318" t="s">
        <v>6536</v>
      </c>
      <c r="BD1115" s="1318">
        <f>IFERROR(_xlfn.ISOWEEKNUM(PV_DATA[[#This Row],[ETA for New Ark update]]),0)</f>
        <v>49</v>
      </c>
      <c r="BE1115" s="1318">
        <v>36</v>
      </c>
      <c r="BF1115" s="1318">
        <v>864</v>
      </c>
      <c r="BG1115" s="1318" t="str">
        <f>_xlfn.XLOOKUP(PV_DATA[[#This Row],[New Ark SKU]],Table9[New Ark SKU],Table9[Back Glass],,0)</f>
        <v>Black glazing</v>
      </c>
      <c r="BH1115" s="1333" t="str">
        <f>_xlfn.XLOOKUP(PV_DATA[[#This Row],[PORT DESTINATION]],Table12[PORT DESTINATION],Table12[Cosco Line],,0)</f>
        <v>AEU</v>
      </c>
    </row>
    <row r="1116" spans="1:62" s="1318" customFormat="1" ht="10.5">
      <c r="A1116" s="1334" t="s">
        <v>7043</v>
      </c>
      <c r="B1116" s="1317" t="s">
        <v>6731</v>
      </c>
      <c r="C1116" s="1317" t="str">
        <f>IFERROR(LEFT(PV_DATA[[#This Row],[TCL REFERENCE]],FIND(".",PV_DATA[[#This Row],[TCL REFERENCE]],1)-1),"Main Line")</f>
        <v>26Aug003</v>
      </c>
      <c r="D1116" s="1317" t="s">
        <v>63</v>
      </c>
      <c r="E1116" s="1317" t="s">
        <v>144</v>
      </c>
      <c r="F1116" s="1317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6" s="1317" t="s">
        <v>402</v>
      </c>
      <c r="H1116" s="1317" t="s">
        <v>2394</v>
      </c>
      <c r="I1116" s="1317" t="s">
        <v>1395</v>
      </c>
      <c r="J1116" s="1317" t="s">
        <v>2394</v>
      </c>
      <c r="K1116" s="1318" t="s">
        <v>7044</v>
      </c>
      <c r="L1116" s="1318">
        <v>1</v>
      </c>
      <c r="M1116" s="1318" t="s">
        <v>840</v>
      </c>
      <c r="N1116" s="1319">
        <v>46237</v>
      </c>
      <c r="O1116" s="1318" t="s">
        <v>4531</v>
      </c>
      <c r="P1116" s="1318" t="s">
        <v>71</v>
      </c>
      <c r="Q1116" s="1318" t="s">
        <v>72</v>
      </c>
      <c r="R1116" s="430" t="str">
        <f>_xlfn.XLOOKUP(PV_DATA[[#This Row],[New Ark SKU]],Table9[New Ark SKU],Table9[Connector],,0)</f>
        <v>EVO2A</v>
      </c>
      <c r="S1116" s="433" t="str">
        <f>_xlfn.XLOOKUP(PV_DATA[[#This Row],[New Ark SKU]],Table9[New Ark SKU],Table9[Cable],,0)</f>
        <v>±1200mm</v>
      </c>
      <c r="T1116" s="1320">
        <v>500</v>
      </c>
      <c r="U1116" s="1321">
        <f>864*5</f>
        <v>4320</v>
      </c>
      <c r="V1116" s="1322">
        <f>PV_DATA[[#This Row],[QUANTITY]]*PV_DATA[[#This Row],[WATT]]/1000000</f>
        <v>2.16</v>
      </c>
      <c r="W1116" s="1323">
        <f>PV_DATA[[#This Row],[QUANTITY]]/PV_DATA[[#This Row],[Qty/Pallet]]</f>
        <v>120</v>
      </c>
      <c r="X1116" s="1324">
        <f>PV_DATA[[#This Row],[QUANTITY]]/PV_DATA[[#This Row],[Qty/CT]]</f>
        <v>5</v>
      </c>
      <c r="Y1116" s="1318" t="s">
        <v>2470</v>
      </c>
      <c r="Z1116" s="1318" t="str">
        <f t="shared" si="21"/>
        <v>IN-TRANSIT</v>
      </c>
      <c r="AA1116" s="1341" t="s">
        <v>7045</v>
      </c>
      <c r="AB1116" s="1309">
        <v>46286</v>
      </c>
      <c r="AC1116" s="1326">
        <f>IF(PV_DATA[[#This Row],[Pick- Up Date]]&lt;&gt;"",_xlfn.ISOWEEKNUM(PV_DATA[[#This Row],[Pick- Up Date]]),"")</f>
        <v>39</v>
      </c>
      <c r="AD1116" s="1318" t="s">
        <v>7046</v>
      </c>
      <c r="AF1116" s="1327" t="s">
        <v>123</v>
      </c>
      <c r="AG1116" s="1327" t="s">
        <v>123</v>
      </c>
      <c r="AH1116" s="1318" t="s">
        <v>888</v>
      </c>
      <c r="AI1116" s="1309">
        <v>46294</v>
      </c>
      <c r="AJ1116" s="1309">
        <f>IFERROR(VLOOKUP(AT1116, Vessel!A:D, 4, FALSE), "")</f>
        <v>46298.5625</v>
      </c>
      <c r="AK1116" s="1309">
        <v>46299</v>
      </c>
      <c r="AL1116" s="1309">
        <v>46344</v>
      </c>
      <c r="AM1116" s="1310">
        <f>IFERROR(VLOOKUP(AT1116, Vessel!A:H, 8, FALSE), "")</f>
        <v>46347.645833333336</v>
      </c>
      <c r="AN1116" s="1310" t="str">
        <f>IFERROR(IF(VLOOKUP(AT1116,Vessel!A:I,9,FALSE)=0,"",VLOOKUP(AT1116,Vessel!A:I,9,FALSE)),"")</f>
        <v/>
      </c>
      <c r="AP1116" s="1318" t="s">
        <v>7047</v>
      </c>
      <c r="AQ1116" s="1331" t="s">
        <v>80</v>
      </c>
      <c r="AR1116" s="1318" t="s">
        <v>7048</v>
      </c>
      <c r="AS1116" s="1318" t="s">
        <v>7049</v>
      </c>
      <c r="AT1116" s="1318" t="s">
        <v>7049</v>
      </c>
      <c r="AU1116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48.645833333335759</v>
      </c>
      <c r="AW1116" s="1309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46347.645833333336</v>
      </c>
      <c r="AX111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1309" t="str">
        <f>IF(ISERROR(PV_DATA[[#This Row],[New Ark PO status]]),"",_xlfn.XLOOKUP(PV_DATA[[#This Row],[SPTN-PVHK New Ark PO'#]],New_Ark_Data[Purchase order Number],New_Ark_Data[Estimated time of arrival],"",0))</f>
        <v/>
      </c>
      <c r="AZ1116" s="13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16" s="1309">
        <f>IFERROR(PV_DATA[[#This Row],[ODP ETA Port]]+PV_DATA[[#This Row],[Customs/Leg3 Assumption]],"n/a")</f>
        <v>46347.645833333336</v>
      </c>
      <c r="BB1116" s="1320" t="s">
        <v>6315</v>
      </c>
      <c r="BC1116" s="1320" t="s">
        <v>6315</v>
      </c>
      <c r="BD1116" s="1318">
        <f>IFERROR(_xlfn.ISOWEEKNUM(PV_DATA[[#This Row],[ETA for New Ark update]]),0)</f>
        <v>47</v>
      </c>
      <c r="BE1116" s="1318">
        <f>_xlfn.XLOOKUP(PV_DATA[[#This Row],[New Ark SKU]],Table9[New Ark SKU],Table9[Total PCS per Pallet],,0)</f>
        <v>36</v>
      </c>
      <c r="BF1116" s="1318">
        <f>_xlfn.XLOOKUP(PV_DATA[[#This Row],[New Ark SKU]],Table9[New Ark SKU],Table9[Total PCS per 40HQ Container],,0)</f>
        <v>864</v>
      </c>
      <c r="BG1116" s="1318" t="str">
        <f>_xlfn.XLOOKUP(PV_DATA[[#This Row],[New Ark SKU]],Table9[New Ark SKU],Table9[Back Glass],,0)</f>
        <v>Black glazing</v>
      </c>
      <c r="BH1116" s="1333" t="str">
        <f>_xlfn.XLOOKUP(PV_DATA[[#This Row],[PORT DESTINATION]],Table12[PORT DESTINATION],Table12[Cosco Line],,0)</f>
        <v>AEU</v>
      </c>
    </row>
    <row r="1117" spans="1:62" s="1318" customFormat="1" ht="10.5">
      <c r="A1117" s="1317" t="s">
        <v>7050</v>
      </c>
      <c r="B1117" s="1317" t="s">
        <v>1757</v>
      </c>
      <c r="C1117" s="1317" t="str">
        <f>IFERROR(LEFT(PV_DATA[[#This Row],[TCL REFERENCE]],FIND(".",PV_DATA[[#This Row],[TCL REFERENCE]],1)-1),"Main Line")</f>
        <v>26Aug014</v>
      </c>
      <c r="D1117" s="1317" t="s">
        <v>113</v>
      </c>
      <c r="E1117" s="1317" t="s">
        <v>144</v>
      </c>
      <c r="F1117" s="1317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7" s="1317" t="s">
        <v>402</v>
      </c>
      <c r="H1117" s="1317" t="s">
        <v>670</v>
      </c>
      <c r="I1117" s="1317" t="s">
        <v>1395</v>
      </c>
      <c r="J1117" s="1317" t="s">
        <v>670</v>
      </c>
      <c r="K1117" s="1318" t="s">
        <v>6839</v>
      </c>
      <c r="L1117" s="1318">
        <v>9</v>
      </c>
      <c r="M1117" s="1318" t="s">
        <v>840</v>
      </c>
      <c r="N1117" s="1319"/>
      <c r="O1117" s="1318" t="s">
        <v>284</v>
      </c>
      <c r="P1117" s="1318" t="s">
        <v>6847</v>
      </c>
      <c r="Q1117" s="1318" t="s">
        <v>6848</v>
      </c>
      <c r="R1117" s="430" t="str">
        <f>_xlfn.XLOOKUP(PV_DATA[[#This Row],[New Ark SKU]],Table9[New Ark SKU],Table9[Connector],,0)</f>
        <v>EVO2A</v>
      </c>
      <c r="S1117" s="433" t="str">
        <f>_xlfn.XLOOKUP(PV_DATA[[#This Row],[New Ark SKU]],Table9[New Ark SKU],Table9[Cable],,0)</f>
        <v>±1200mm</v>
      </c>
      <c r="T1117" s="1320">
        <v>485</v>
      </c>
      <c r="U1117" s="1321">
        <v>8424</v>
      </c>
      <c r="V1117" s="1322">
        <f>PV_DATA[[#This Row],[QUANTITY]]*PV_DATA[[#This Row],[WATT]]/1000000</f>
        <v>4.0856399999999997</v>
      </c>
      <c r="W1117" s="1323">
        <f>PV_DATA[[#This Row],[QUANTITY]]/36</f>
        <v>234</v>
      </c>
      <c r="X1117" s="1324">
        <f>PV_DATA[[#This Row],[QUANTITY]]/PV_DATA[[#This Row],[Qty/CT]]</f>
        <v>9</v>
      </c>
      <c r="Y1117" s="1318" t="s">
        <v>2471</v>
      </c>
      <c r="Z1117" s="1318" t="str">
        <f t="shared" si="21"/>
        <v>IN-TRANSIT</v>
      </c>
      <c r="AA1117" s="1318" t="s">
        <v>7051</v>
      </c>
      <c r="AB1117" s="1309">
        <v>46296</v>
      </c>
      <c r="AC1117" s="1326">
        <f>IF(PV_DATA[[#This Row],[Pick- Up Date]]&lt;&gt;"",_xlfn.ISOWEEKNUM(PV_DATA[[#This Row],[Pick- Up Date]]),"")</f>
        <v>40</v>
      </c>
      <c r="AD1117" s="1318" t="s">
        <v>7052</v>
      </c>
      <c r="AF1117" s="1327" t="s">
        <v>5855</v>
      </c>
      <c r="AG1117" s="1318" t="s">
        <v>122</v>
      </c>
      <c r="AH1117" s="1318" t="s">
        <v>105</v>
      </c>
      <c r="AI1117" s="1309">
        <v>46301</v>
      </c>
      <c r="AJ1117" s="1309">
        <f>IFERROR(VLOOKUP(AT1117, Vessel!A:D, 4, FALSE), "")</f>
        <v>46301.333333333336</v>
      </c>
      <c r="AK1117" s="1309">
        <v>46300</v>
      </c>
      <c r="AL1117" s="1309">
        <v>46336</v>
      </c>
      <c r="AM1117" s="1310">
        <f>IFERROR(VLOOKUP(AT1117, Vessel!A:H, 8, FALSE), "")</f>
        <v>46336.333333333336</v>
      </c>
      <c r="AN1117" s="1310" t="str">
        <f>IFERROR(IF(VLOOKUP(AT1117,Vessel!A:I,9,FALSE)=0,"",VLOOKUP(AT1117,Vessel!A:I,9,FALSE)),"")</f>
        <v/>
      </c>
      <c r="AP1117" s="1318" t="s">
        <v>7053</v>
      </c>
      <c r="AQ1117" s="1331" t="s">
        <v>80</v>
      </c>
      <c r="AR1117" s="1318" t="s">
        <v>7054</v>
      </c>
      <c r="AS1117" s="1318" t="s">
        <v>7055</v>
      </c>
      <c r="AT1117" s="1318" t="s">
        <v>7055</v>
      </c>
      <c r="AU1117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36.333333333335759</v>
      </c>
      <c r="AW1117" s="1309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46336.333333333336</v>
      </c>
      <c r="AX111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1309" t="str">
        <f>IF(ISERROR(PV_DATA[[#This Row],[New Ark PO status]]),"",_xlfn.XLOOKUP(PV_DATA[[#This Row],[SPTN-PVHK New Ark PO'#]],New_Ark_Data[Purchase order Number],New_Ark_Data[Estimated time of arrival],"",0))</f>
        <v/>
      </c>
      <c r="AZ1117" s="13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17" s="1309">
        <f>IFERROR(PV_DATA[[#This Row],[ODP ETA Port]]+PV_DATA[[#This Row],[Customs/Leg3 Assumption]],"n/a")</f>
        <v>46336.333333333336</v>
      </c>
      <c r="BB1117" s="1320">
        <f>YEAR(PV_DATA[[#This Row],[ETA for New Ark update]])</f>
        <v>2026</v>
      </c>
      <c r="BC1117" s="1318">
        <f>MONTH(PV_DATA[[#This Row],[ETA for New Ark update]])</f>
        <v>11</v>
      </c>
      <c r="BD1117" s="1318">
        <f>IFERROR(_xlfn.ISOWEEKNUM(PV_DATA[[#This Row],[ETA for New Ark update]]),0)</f>
        <v>46</v>
      </c>
      <c r="BE1117" s="1318">
        <f>_xlfn.XLOOKUP(PV_DATA[[#This Row],[New Ark SKU]],Table9[New Ark SKU],Table9[Total PCS per Pallet],,0)</f>
        <v>36</v>
      </c>
      <c r="BF1117" s="1318">
        <f>_xlfn.XLOOKUP(PV_DATA[[#This Row],[New Ark SKU]],Table9[New Ark SKU],Table9[Total PCS per 40HQ Container],,0)</f>
        <v>936</v>
      </c>
      <c r="BG1117" s="1318" t="str">
        <f>_xlfn.XLOOKUP(PV_DATA[[#This Row],[New Ark SKU]],Table9[New Ark SKU],Table9[Back Glass],,0)</f>
        <v>Black glazing</v>
      </c>
      <c r="BH1117" s="1318" t="str">
        <f>_xlfn.XLOOKUP(PV_DATA[[#This Row],[PORT DESTINATION]],Table12[PORT DESTINATION],Table12[Cosco Line],,0)</f>
        <v>AEU</v>
      </c>
    </row>
    <row r="1118" spans="1:62" s="1318" customFormat="1" ht="13.5" customHeight="1">
      <c r="A1118" s="1334" t="s">
        <v>7056</v>
      </c>
      <c r="B1118" s="1317" t="s">
        <v>111</v>
      </c>
      <c r="C1118" s="1317" t="str">
        <f>IFERROR(LEFT(PV_DATA[[#This Row],[TCL REFERENCE]],FIND(".",PV_DATA[[#This Row],[TCL REFERENCE]],1)-1),"Main Line")</f>
        <v>26Aug016</v>
      </c>
      <c r="D1118" s="1317" t="s">
        <v>63</v>
      </c>
      <c r="E1118" s="1317" t="s">
        <v>64</v>
      </c>
      <c r="F1118" s="1317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8" s="1317" t="s">
        <v>402</v>
      </c>
      <c r="H1118" s="1317" t="s">
        <v>67</v>
      </c>
      <c r="I1118" s="1317" t="s">
        <v>689</v>
      </c>
      <c r="J1118" s="1318" t="s">
        <v>96</v>
      </c>
      <c r="M1118" s="1318" t="s">
        <v>68</v>
      </c>
      <c r="N1118" s="1319">
        <v>46282</v>
      </c>
      <c r="O1118" s="1318" t="s">
        <v>550</v>
      </c>
      <c r="P1118" s="1318" t="s">
        <v>2134</v>
      </c>
      <c r="Q1118" s="1318" t="s">
        <v>2135</v>
      </c>
      <c r="R1118" s="430" t="str">
        <f>_xlfn.XLOOKUP(PV_DATA[[#This Row],[New Ark SKU]],Table9[New Ark SKU],Table9[Connector],,0)</f>
        <v>EVO2A</v>
      </c>
      <c r="S1118" s="433" t="str">
        <f>_xlfn.XLOOKUP(PV_DATA[[#This Row],[New Ark SKU]],Table9[New Ark SKU],Table9[Cable],,0)</f>
        <v>±1350mm</v>
      </c>
      <c r="T1118" s="1320">
        <v>515</v>
      </c>
      <c r="U1118" s="1321">
        <v>3960</v>
      </c>
      <c r="V1118" s="1322">
        <f>PV_DATA[[#This Row],[QUANTITY]]*PV_DATA[[#This Row],[WATT]]/1000000</f>
        <v>2.0394000000000001</v>
      </c>
      <c r="W1118" s="1323">
        <f>PV_DATA[[#This Row],[QUANTITY]]/PV_DATA[[#This Row],[Qty/Pallet]]</f>
        <v>110</v>
      </c>
      <c r="X1118" s="1324">
        <f>PV_DATA[[#This Row],[QUANTITY]]/PV_DATA[[#This Row],[Qty/CT]]</f>
        <v>5</v>
      </c>
      <c r="Y1118" s="1318" t="s">
        <v>2471</v>
      </c>
      <c r="Z1118" s="1318" t="str">
        <f t="shared" si="21"/>
        <v/>
      </c>
      <c r="AA1118" s="1342">
        <v>46295</v>
      </c>
      <c r="AB1118" s="1309">
        <v>46295</v>
      </c>
      <c r="AC1118" s="1326">
        <f>IF(PV_DATA[[#This Row],[Pick- Up Date]]&lt;&gt;"",_xlfn.ISOWEEKNUM(PV_DATA[[#This Row],[Pick- Up Date]]),"")</f>
        <v>40</v>
      </c>
      <c r="AD1118" s="1318" t="s">
        <v>7057</v>
      </c>
      <c r="AF1118" s="1318" t="s">
        <v>122</v>
      </c>
      <c r="AG1118" s="1318" t="s">
        <v>122</v>
      </c>
      <c r="AH1118" s="1318" t="s">
        <v>105</v>
      </c>
      <c r="AI1118" s="1309">
        <v>46301</v>
      </c>
      <c r="AJ1118" s="1309">
        <v>46299</v>
      </c>
      <c r="AK1118" s="1309" t="str">
        <f>IFERROR(IF(VLOOKUP(AT1118,Vessel!A:F,5,FALSE)=0,"",VLOOKUP(AT1118,Vessel!A:F,5,FALSE)),"")</f>
        <v/>
      </c>
      <c r="AL1118" s="1309">
        <v>46337</v>
      </c>
      <c r="AM1118" s="1310" t="str">
        <f>IFERROR(VLOOKUP(AT1118, Vessel!A:H, 8, FALSE), "")</f>
        <v/>
      </c>
      <c r="AN1118" s="1310" t="str">
        <f>IFERROR(IF(VLOOKUP(AT1118,Vessel!A:I,9,FALSE)=0,"",VLOOKUP(AT1118,Vessel!A:I,9,FALSE)),"")</f>
        <v/>
      </c>
      <c r="AP1118" s="1318" t="s">
        <v>6979</v>
      </c>
      <c r="AQ1118" s="1331" t="s">
        <v>161</v>
      </c>
      <c r="AR1118" s="1318" t="s">
        <v>7058</v>
      </c>
      <c r="AS1118" s="1318" t="s">
        <v>7059</v>
      </c>
      <c r="AT1118" s="1318" t="s">
        <v>7059</v>
      </c>
      <c r="AU1118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18" s="1309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1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1309" t="str">
        <f>IF(ISERROR(PV_DATA[[#This Row],[New Ark PO status]]),"",_xlfn.XLOOKUP(PV_DATA[[#This Row],[SPTN-PVHK New Ark PO'#]],New_Ark_Data[Purchase order Number],New_Ark_Data[Estimated time of arrival],"",0))</f>
        <v/>
      </c>
      <c r="AZ1118" s="13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8" s="1309">
        <f>IFERROR(PV_DATA[[#This Row],[ODP ETA Port]]+PV_DATA[[#This Row],[Customs/Leg3 Assumption]],"n/a")</f>
        <v>46344</v>
      </c>
      <c r="BB1118" s="1320" t="s">
        <v>6536</v>
      </c>
      <c r="BC1118" s="1320" t="s">
        <v>6536</v>
      </c>
      <c r="BD1118" s="1318">
        <f>IFERROR(_xlfn.ISOWEEKNUM(PV_DATA[[#This Row],[ETA for New Ark update]]),0)</f>
        <v>47</v>
      </c>
      <c r="BE1118" s="1318">
        <f>_xlfn.XLOOKUP(PV_DATA[[#This Row],[New Ark SKU]],Table9[New Ark SKU],Table9[Total PCS per Pallet],,0)</f>
        <v>36</v>
      </c>
      <c r="BF1118" s="1318">
        <f>_xlfn.XLOOKUP(PV_DATA[[#This Row],[New Ark SKU]],Table9[New Ark SKU],Table9[Total PCS per 40HQ Container],,0)</f>
        <v>792</v>
      </c>
      <c r="BG1118" s="1318" t="str">
        <f>_xlfn.XLOOKUP(PV_DATA[[#This Row],[New Ark SKU]],Table9[New Ark SKU],Table9[Back Glass],,0)</f>
        <v>Black glazing</v>
      </c>
      <c r="BH1118" s="1333" t="str">
        <f>_xlfn.XLOOKUP(PV_DATA[[#This Row],[PORT DESTINATION]],Table12[PORT DESTINATION],Table12[Cosco Line],,0)</f>
        <v>AEU</v>
      </c>
    </row>
    <row r="1119" spans="1:62" s="1318" customFormat="1" ht="10.5">
      <c r="A1119" s="1334" t="s">
        <v>7060</v>
      </c>
      <c r="B1119" s="1317" t="s">
        <v>1757</v>
      </c>
      <c r="C1119" s="1317" t="str">
        <f>IFERROR(LEFT(PV_DATA[[#This Row],[TCL REFERENCE]],FIND(".",PV_DATA[[#This Row],[TCL REFERENCE]],1)-1),"Main Line")</f>
        <v>26Aug014</v>
      </c>
      <c r="D1119" s="1317" t="s">
        <v>113</v>
      </c>
      <c r="E1119" s="1317" t="s">
        <v>144</v>
      </c>
      <c r="F1119" s="1317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9" s="1317" t="s">
        <v>402</v>
      </c>
      <c r="H1119" s="1317" t="s">
        <v>670</v>
      </c>
      <c r="I1119" s="1317" t="s">
        <v>1395</v>
      </c>
      <c r="J1119" s="1317" t="s">
        <v>670</v>
      </c>
      <c r="K1119" s="1318" t="s">
        <v>6839</v>
      </c>
      <c r="L1119" s="1318">
        <v>14</v>
      </c>
      <c r="M1119" s="1318" t="s">
        <v>840</v>
      </c>
      <c r="N1119" s="1319"/>
      <c r="O1119" s="1318" t="s">
        <v>284</v>
      </c>
      <c r="P1119" s="1318" t="s">
        <v>6847</v>
      </c>
      <c r="Q1119" s="1318" t="s">
        <v>6848</v>
      </c>
      <c r="R1119" s="430" t="str">
        <f>_xlfn.XLOOKUP(PV_DATA[[#This Row],[New Ark SKU]],Table9[New Ark SKU],Table9[Connector],,0)</f>
        <v>EVO2A</v>
      </c>
      <c r="S1119" s="433" t="str">
        <f>_xlfn.XLOOKUP(PV_DATA[[#This Row],[New Ark SKU]],Table9[New Ark SKU],Table9[Cable],,0)</f>
        <v>±1200mm</v>
      </c>
      <c r="T1119" s="1320">
        <v>485</v>
      </c>
      <c r="U1119" s="1321">
        <f>936*8</f>
        <v>7488</v>
      </c>
      <c r="V1119" s="1322">
        <f>PV_DATA[[#This Row],[QUANTITY]]*PV_DATA[[#This Row],[WATT]]/1000000</f>
        <v>3.6316799999999998</v>
      </c>
      <c r="W1119" s="1323">
        <f>PV_DATA[[#This Row],[QUANTITY]]/36</f>
        <v>208</v>
      </c>
      <c r="X1119" s="1324">
        <f>PV_DATA[[#This Row],[QUANTITY]]/PV_DATA[[#This Row],[Qty/CT]]</f>
        <v>8</v>
      </c>
      <c r="Y1119" s="1318" t="s">
        <v>2470</v>
      </c>
      <c r="Z1119" s="1318" t="str">
        <f t="shared" si="21"/>
        <v>IN-TRANSIT</v>
      </c>
      <c r="AA1119" s="1318" t="s">
        <v>7061</v>
      </c>
      <c r="AB1119" s="1309">
        <v>46294</v>
      </c>
      <c r="AC1119" s="1326">
        <f>IF(PV_DATA[[#This Row],[Pick- Up Date]]&lt;&gt;"",_xlfn.ISOWEEKNUM(PV_DATA[[#This Row],[Pick- Up Date]]),"")</f>
        <v>40</v>
      </c>
      <c r="AD1119" s="1318" t="s">
        <v>7062</v>
      </c>
      <c r="AF1119" s="1327" t="s">
        <v>5855</v>
      </c>
      <c r="AG1119" s="1318" t="s">
        <v>122</v>
      </c>
      <c r="AH1119" s="1318" t="s">
        <v>105</v>
      </c>
      <c r="AI1119" s="1309">
        <v>46302</v>
      </c>
      <c r="AJ1119" s="1309">
        <f>IFERROR(VLOOKUP(AT1119, Vessel!A:D, 4, FALSE), "")</f>
        <v>46299.625</v>
      </c>
      <c r="AK1119" s="1309">
        <v>46300</v>
      </c>
      <c r="AL1119" s="1335">
        <v>46347</v>
      </c>
      <c r="AM1119" s="1310">
        <f>IFERROR(VLOOKUP(AT1119, Vessel!A:H, 8, FALSE), "")</f>
        <v>46340.25</v>
      </c>
      <c r="AN1119" s="1310" t="str">
        <f>IFERROR(IF(VLOOKUP(AT1119,Vessel!A:I,9,FALSE)=0,"",VLOOKUP(AT1119,Vessel!A:I,9,FALSE)),"")</f>
        <v/>
      </c>
      <c r="AP1119" s="1318" t="s">
        <v>7063</v>
      </c>
      <c r="AQ1119" s="1331" t="s">
        <v>80</v>
      </c>
      <c r="AR1119" s="1318" t="s">
        <v>7064</v>
      </c>
      <c r="AS1119" s="1318" t="s">
        <v>7065</v>
      </c>
      <c r="AT1119" s="1318" t="s">
        <v>7065</v>
      </c>
      <c r="AU1119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</v>
      </c>
      <c r="AW1119" s="1309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46340.25</v>
      </c>
      <c r="AX111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1309" t="str">
        <f>IF(ISERROR(PV_DATA[[#This Row],[New Ark PO status]]),"",_xlfn.XLOOKUP(PV_DATA[[#This Row],[SPTN-PVHK New Ark PO'#]],New_Ark_Data[Purchase order Number],New_Ark_Data[Estimated time of arrival],"",0))</f>
        <v/>
      </c>
      <c r="AZ1119" s="13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19" s="1309">
        <f>IFERROR(PV_DATA[[#This Row],[ODP ETA Port]]+PV_DATA[[#This Row],[Customs/Leg3 Assumption]],"n/a")</f>
        <v>46340.25</v>
      </c>
      <c r="BB1119" s="1320">
        <f>YEAR(PV_DATA[[#This Row],[ETA for New Ark update]])</f>
        <v>2026</v>
      </c>
      <c r="BC1119" s="1318">
        <f>MONTH(PV_DATA[[#This Row],[ETA for New Ark update]])</f>
        <v>11</v>
      </c>
      <c r="BD1119" s="1318">
        <f>IFERROR(_xlfn.ISOWEEKNUM(PV_DATA[[#This Row],[ETA for New Ark update]]),0)</f>
        <v>46</v>
      </c>
      <c r="BE1119" s="1318">
        <f>_xlfn.XLOOKUP(PV_DATA[[#This Row],[New Ark SKU]],Table9[New Ark SKU],Table9[Total PCS per Pallet],,0)</f>
        <v>36</v>
      </c>
      <c r="BF1119" s="1318">
        <f>_xlfn.XLOOKUP(PV_DATA[[#This Row],[New Ark SKU]],Table9[New Ark SKU],Table9[Total PCS per 40HQ Container],,0)</f>
        <v>936</v>
      </c>
      <c r="BG1119" s="1318" t="str">
        <f>_xlfn.XLOOKUP(PV_DATA[[#This Row],[New Ark SKU]],Table9[New Ark SKU],Table9[Back Glass],,0)</f>
        <v>Black glazing</v>
      </c>
      <c r="BH1119" s="1333" t="str">
        <f>_xlfn.XLOOKUP(PV_DATA[[#This Row],[PORT DESTINATION]],Table12[PORT DESTINATION],Table12[Cosco Line],,0)</f>
        <v>AEU</v>
      </c>
    </row>
    <row r="1120" spans="1:62" s="1318" customFormat="1" ht="10.5">
      <c r="A1120" s="1334" t="s">
        <v>7066</v>
      </c>
      <c r="B1120" s="1317" t="s">
        <v>6661</v>
      </c>
      <c r="C1120" s="1317" t="str">
        <f>IFERROR(LEFT(PV_DATA[[#This Row],[TCL REFERENCE]],FIND(".",PV_DATA[[#This Row],[TCL REFERENCE]],1)-1),"Main Line")</f>
        <v>26Aug005</v>
      </c>
      <c r="D1120" s="1317" t="s">
        <v>63</v>
      </c>
      <c r="E1120" s="1317" t="s">
        <v>64</v>
      </c>
      <c r="F1120" s="1317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0" s="1317" t="s">
        <v>402</v>
      </c>
      <c r="H1120" s="1317" t="s">
        <v>67</v>
      </c>
      <c r="I1120" s="1317" t="s">
        <v>689</v>
      </c>
      <c r="J1120" s="1318" t="s">
        <v>96</v>
      </c>
      <c r="M1120" s="1318" t="s">
        <v>6536</v>
      </c>
      <c r="N1120" s="1319">
        <v>46258</v>
      </c>
      <c r="O1120" s="1318" t="s">
        <v>4531</v>
      </c>
      <c r="P1120" s="1318" t="s">
        <v>706</v>
      </c>
      <c r="Q1120" s="1318" t="s">
        <v>707</v>
      </c>
      <c r="R1120" s="430" t="str">
        <f>_xlfn.XLOOKUP(PV_DATA[[#This Row],[New Ark SKU]],Table9[New Ark SKU],Table9[Connector],,0)</f>
        <v>EVO2A</v>
      </c>
      <c r="S1120" s="433" t="str">
        <f>_xlfn.XLOOKUP(PV_DATA[[#This Row],[New Ark SKU]],Table9[New Ark SKU],Table9[Cable],,0)</f>
        <v>±1200mm</v>
      </c>
      <c r="T1120" s="1320">
        <v>500</v>
      </c>
      <c r="U1120" s="1321">
        <v>864</v>
      </c>
      <c r="V1120" s="1322">
        <f>PV_DATA[[#This Row],[QUANTITY]]*PV_DATA[[#This Row],[WATT]]/1000000</f>
        <v>0.432</v>
      </c>
      <c r="W1120" s="1323">
        <f>PV_DATA[[#This Row],[QUANTITY]]/PV_DATA[[#This Row],[Qty/Pallet]]</f>
        <v>24</v>
      </c>
      <c r="X1120" s="1324">
        <f>PV_DATA[[#This Row],[QUANTITY]]/PV_DATA[[#This Row],[Qty/CT]]</f>
        <v>1</v>
      </c>
      <c r="Y1120" s="1318" t="s">
        <v>2468</v>
      </c>
      <c r="Z1120" s="1318" t="str">
        <f t="shared" si="21"/>
        <v/>
      </c>
      <c r="AA1120" s="1342">
        <v>46280</v>
      </c>
      <c r="AB1120" s="1309">
        <v>46295</v>
      </c>
      <c r="AC1120" s="1326">
        <f>IF(PV_DATA[[#This Row],[Pick- Up Date]]&lt;&gt;"",_xlfn.ISOWEEKNUM(PV_DATA[[#This Row],[Pick- Up Date]]),"")</f>
        <v>40</v>
      </c>
      <c r="AD1120" s="1318" t="s">
        <v>7067</v>
      </c>
      <c r="AF1120" s="1318" t="s">
        <v>122</v>
      </c>
      <c r="AG1120" s="1318" t="s">
        <v>123</v>
      </c>
      <c r="AH1120" s="1318" t="s">
        <v>78</v>
      </c>
      <c r="AI1120" s="1309">
        <v>46301</v>
      </c>
      <c r="AJ1120" s="1309">
        <f>IFERROR(VLOOKUP(AT1120, Vessel!A:D, 4, FALSE), "")</f>
        <v>46306.333333333336</v>
      </c>
      <c r="AK1120" s="1309" t="str">
        <f>IFERROR(IF(VLOOKUP(AT1120,Vessel!A:F,5,FALSE)=0,"",VLOOKUP(AT1120,Vessel!A:F,5,FALSE)),"")</f>
        <v/>
      </c>
      <c r="AL1120" s="1309">
        <v>46344</v>
      </c>
      <c r="AM1120" s="1310">
        <f>IFERROR(VLOOKUP(AT1120, Vessel!A:H, 8, FALSE), "")</f>
        <v>46344.25</v>
      </c>
      <c r="AN1120" s="1310" t="str">
        <f>IFERROR(IF(VLOOKUP(AT1120,Vessel!A:I,9,FALSE)=0,"",VLOOKUP(AT1120,Vessel!A:I,9,FALSE)),"")</f>
        <v/>
      </c>
      <c r="AP1120" s="1318" t="s">
        <v>7068</v>
      </c>
      <c r="AQ1120" s="1331" t="s">
        <v>80</v>
      </c>
      <c r="AR1120" s="1318" t="s">
        <v>7069</v>
      </c>
      <c r="AS1120" s="1318" t="s">
        <v>7070</v>
      </c>
      <c r="AT1120" s="1318" t="s">
        <v>7070</v>
      </c>
      <c r="AU1120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37.916666666664241</v>
      </c>
      <c r="AW1120" s="1309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2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1309" t="str">
        <f>IF(ISERROR(PV_DATA[[#This Row],[New Ark PO status]]),"",_xlfn.XLOOKUP(PV_DATA[[#This Row],[SPTN-PVHK New Ark PO'#]],New_Ark_Data[Purchase order Number],New_Ark_Data[Estimated time of arrival],"",0))</f>
        <v/>
      </c>
      <c r="AZ1120" s="132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0" s="1309">
        <f>IFERROR(PV_DATA[[#This Row],[ODP ETA Port]]+PV_DATA[[#This Row],[Customs/Leg3 Assumption]],"n/a")</f>
        <v>46352.25</v>
      </c>
      <c r="BB1120" s="1320">
        <f>YEAR(PV_DATA[[#This Row],[ETA for New Ark update]])</f>
        <v>2026</v>
      </c>
      <c r="BC1120" s="1318">
        <f>MONTH(PV_DATA[[#This Row],[ETA for New Ark update]])</f>
        <v>11</v>
      </c>
      <c r="BD1120" s="1318">
        <f>IFERROR(_xlfn.ISOWEEKNUM(PV_DATA[[#This Row],[ETA for New Ark update]]),0)</f>
        <v>48</v>
      </c>
      <c r="BE1120" s="1318">
        <f>_xlfn.XLOOKUP(PV_DATA[[#This Row],[New Ark SKU]],Table9[New Ark SKU],Table9[Total PCS per Pallet],,0)</f>
        <v>36</v>
      </c>
      <c r="BF1120" s="1318">
        <f>_xlfn.XLOOKUP(PV_DATA[[#This Row],[New Ark SKU]],Table9[New Ark SKU],Table9[Total PCS per 40HQ Container],,0)</f>
        <v>864</v>
      </c>
      <c r="BG1120" s="1318" t="str">
        <f>_xlfn.XLOOKUP(PV_DATA[[#This Row],[New Ark SKU]],Table9[New Ark SKU],Table9[Back Glass],,0)</f>
        <v>Black glazing</v>
      </c>
      <c r="BH1120" s="1333" t="str">
        <f>_xlfn.XLOOKUP(PV_DATA[[#This Row],[PORT DESTINATION]],Table12[PORT DESTINATION],Table12[Cosco Line],,0)</f>
        <v>AEM</v>
      </c>
    </row>
    <row r="1121" spans="1:62" s="1318" customFormat="1" ht="13.5" customHeight="1">
      <c r="A1121" s="1334" t="s">
        <v>7071</v>
      </c>
      <c r="B1121" s="1317" t="s">
        <v>111</v>
      </c>
      <c r="C1121" s="1317" t="str">
        <f>IFERROR(LEFT(PV_DATA[[#This Row],[TCL REFERENCE]],FIND(".",PV_DATA[[#This Row],[TCL REFERENCE]],1)-1),"Main Line")</f>
        <v>26Aug015</v>
      </c>
      <c r="D1121" s="1317" t="s">
        <v>63</v>
      </c>
      <c r="E1121" s="1317" t="s">
        <v>64</v>
      </c>
      <c r="F1121" s="1317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1" s="1317" t="s">
        <v>402</v>
      </c>
      <c r="H1121" s="1317" t="s">
        <v>67</v>
      </c>
      <c r="I1121" s="1317" t="s">
        <v>689</v>
      </c>
      <c r="J1121" s="1318" t="s">
        <v>96</v>
      </c>
      <c r="M1121" s="1318" t="s">
        <v>68</v>
      </c>
      <c r="N1121" s="1319">
        <v>46285</v>
      </c>
      <c r="O1121" s="1318" t="s">
        <v>550</v>
      </c>
      <c r="P1121" s="1318" t="s">
        <v>551</v>
      </c>
      <c r="Q1121" s="1318" t="s">
        <v>2151</v>
      </c>
      <c r="R1121" s="430" t="str">
        <f>_xlfn.XLOOKUP(PV_DATA[[#This Row],[New Ark SKU]],Table9[New Ark SKU],Table9[Connector],,0)</f>
        <v>EVO2A</v>
      </c>
      <c r="S1121" s="433" t="str">
        <f>_xlfn.XLOOKUP(PV_DATA[[#This Row],[New Ark SKU]],Table9[New Ark SKU],Table9[Cable],,0)</f>
        <v>±1350mm</v>
      </c>
      <c r="T1121" s="1320">
        <v>510</v>
      </c>
      <c r="U1121" s="1321">
        <v>2376</v>
      </c>
      <c r="V1121" s="1322">
        <f>PV_DATA[[#This Row],[QUANTITY]]*PV_DATA[[#This Row],[WATT]]/1000000</f>
        <v>1.2117599999999999</v>
      </c>
      <c r="W1121" s="1323">
        <f>PV_DATA[[#This Row],[QUANTITY]]/PV_DATA[[#This Row],[Qty/Pallet]]</f>
        <v>66</v>
      </c>
      <c r="X1121" s="1324">
        <f>PV_DATA[[#This Row],[QUANTITY]]/PV_DATA[[#This Row],[Qty/CT]]</f>
        <v>3</v>
      </c>
      <c r="Y1121" s="1318" t="s">
        <v>2473</v>
      </c>
      <c r="Z1121" s="1318" t="str">
        <f t="shared" si="21"/>
        <v/>
      </c>
      <c r="AA1121" s="1342">
        <v>46295</v>
      </c>
      <c r="AB1121" s="1309">
        <v>46295</v>
      </c>
      <c r="AC1121" s="1326">
        <f>IF(PV_DATA[[#This Row],[Pick- Up Date]]&lt;&gt;"",_xlfn.ISOWEEKNUM(PV_DATA[[#This Row],[Pick- Up Date]]),"")</f>
        <v>40</v>
      </c>
      <c r="AD1121" s="1318" t="s">
        <v>7072</v>
      </c>
      <c r="AF1121" s="1318" t="s">
        <v>122</v>
      </c>
      <c r="AG1121" s="1318" t="s">
        <v>122</v>
      </c>
      <c r="AH1121" s="1318" t="s">
        <v>78</v>
      </c>
      <c r="AI1121" s="1309">
        <v>46301</v>
      </c>
      <c r="AJ1121" s="1309">
        <f>IFERROR(VLOOKUP(AT1121, Vessel!A:D, 4, FALSE), "")</f>
        <v>46306.333333333336</v>
      </c>
      <c r="AK1121" s="1309" t="str">
        <f>IFERROR(IF(VLOOKUP(AT1121,Vessel!A:F,5,FALSE)=0,"",VLOOKUP(AT1121,Vessel!A:F,5,FALSE)),"")</f>
        <v/>
      </c>
      <c r="AL1121" s="1309">
        <v>46344</v>
      </c>
      <c r="AM1121" s="1310">
        <f>IFERROR(VLOOKUP(AT1121, Vessel!A:H, 8, FALSE), "")</f>
        <v>46344.25</v>
      </c>
      <c r="AN1121" s="1310" t="str">
        <f>IFERROR(IF(VLOOKUP(AT1121,Vessel!A:I,9,FALSE)=0,"",VLOOKUP(AT1121,Vessel!A:I,9,FALSE)),"")</f>
        <v/>
      </c>
      <c r="AP1121" s="1318" t="s">
        <v>7068</v>
      </c>
      <c r="AQ1121" s="1331" t="s">
        <v>80</v>
      </c>
      <c r="AR1121" s="1318" t="s">
        <v>7069</v>
      </c>
      <c r="AS1121" s="1318" t="s">
        <v>7070</v>
      </c>
      <c r="AT1121" s="1318" t="s">
        <v>7070</v>
      </c>
      <c r="AU1121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37.916666666664241</v>
      </c>
      <c r="AW1121" s="1309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2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1309" t="str">
        <f>IF(ISERROR(PV_DATA[[#This Row],[New Ark PO status]]),"",_xlfn.XLOOKUP(PV_DATA[[#This Row],[SPTN-PVHK New Ark PO'#]],New_Ark_Data[Purchase order Number],New_Ark_Data[Estimated time of arrival],"",0))</f>
        <v/>
      </c>
      <c r="AZ1121" s="132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1" s="1309">
        <f>IFERROR(PV_DATA[[#This Row],[ODP ETA Port]]+PV_DATA[[#This Row],[Customs/Leg3 Assumption]],"n/a")</f>
        <v>46352.25</v>
      </c>
      <c r="BB1121" s="1320" t="s">
        <v>6536</v>
      </c>
      <c r="BC1121" s="1320" t="s">
        <v>6536</v>
      </c>
      <c r="BD1121" s="1318">
        <f>IFERROR(_xlfn.ISOWEEKNUM(PV_DATA[[#This Row],[ETA for New Ark update]]),0)</f>
        <v>48</v>
      </c>
      <c r="BE1121" s="1318">
        <f>_xlfn.XLOOKUP(PV_DATA[[#This Row],[New Ark SKU]],Table9[New Ark SKU],Table9[Total PCS per Pallet],,0)</f>
        <v>36</v>
      </c>
      <c r="BF1121" s="1318">
        <f>_xlfn.XLOOKUP(PV_DATA[[#This Row],[New Ark SKU]],Table9[New Ark SKU],Table9[Total PCS per 40HQ Container],,0)</f>
        <v>792</v>
      </c>
      <c r="BG1121" s="1318" t="str">
        <f>_xlfn.XLOOKUP(PV_DATA[[#This Row],[New Ark SKU]],Table9[New Ark SKU],Table9[Back Glass],,0)</f>
        <v>Black glazing</v>
      </c>
      <c r="BH1121" s="1333" t="str">
        <f>_xlfn.XLOOKUP(PV_DATA[[#This Row],[PORT DESTINATION]],Table12[PORT DESTINATION],Table12[Cosco Line],,0)</f>
        <v>AEM</v>
      </c>
    </row>
    <row r="1122" spans="1:62" s="1318" customFormat="1" ht="10.5">
      <c r="A1122" s="1356" t="s">
        <v>7073</v>
      </c>
      <c r="B1122" s="1343" t="s">
        <v>111</v>
      </c>
      <c r="C1122" s="1317" t="str">
        <f>IFERROR(LEFT(PV_DATA[[#This Row],[TCL REFERENCE]],FIND(".",PV_DATA[[#This Row],[TCL REFERENCE]],1)-1),"Main Line")</f>
        <v>26Aug010</v>
      </c>
      <c r="D1122" s="1343" t="s">
        <v>113</v>
      </c>
      <c r="E1122" s="1317" t="s">
        <v>144</v>
      </c>
      <c r="F1122" s="1317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2" s="1317" t="s">
        <v>402</v>
      </c>
      <c r="H1122" s="1317" t="s">
        <v>7074</v>
      </c>
      <c r="I1122" s="1317" t="s">
        <v>689</v>
      </c>
      <c r="J1122" s="1318" t="s">
        <v>7074</v>
      </c>
      <c r="K1122" s="1344"/>
      <c r="L1122" s="1344"/>
      <c r="M1122" s="1318" t="s">
        <v>840</v>
      </c>
      <c r="N1122" s="1345"/>
      <c r="O1122" s="1344" t="s">
        <v>4531</v>
      </c>
      <c r="P1122" s="1344" t="s">
        <v>6235</v>
      </c>
      <c r="Q1122" s="1344" t="s">
        <v>330</v>
      </c>
      <c r="R1122" s="430" t="str">
        <f>_xlfn.XLOOKUP(PV_DATA[[#This Row],[New Ark SKU]],Table9[New Ark SKU],Table9[Connector],,0)</f>
        <v>H4(Com)</v>
      </c>
      <c r="S1122" s="433" t="str">
        <f>_xlfn.XLOOKUP(PV_DATA[[#This Row],[New Ark SKU]],Table9[New Ark SKU],Table9[Cable],,0)</f>
        <v>+400mm/-200mm</v>
      </c>
      <c r="T1122" s="1346">
        <v>625</v>
      </c>
      <c r="U1122" s="1321">
        <f>720*1</f>
        <v>720</v>
      </c>
      <c r="V1122" s="1347">
        <f>PV_DATA[[#This Row],[QUANTITY]]*PV_DATA[[#This Row],[WATT]]/1000000</f>
        <v>0.45</v>
      </c>
      <c r="W1122" s="1323">
        <f>PV_DATA[[#This Row],[QUANTITY]]/36</f>
        <v>20</v>
      </c>
      <c r="X1122" s="1348">
        <f>PV_DATA[[#This Row],[QUANTITY]]/PV_DATA[[#This Row],[Qty/CT]]</f>
        <v>1</v>
      </c>
      <c r="Y1122" s="1318" t="s">
        <v>2470</v>
      </c>
      <c r="Z1122" s="1318" t="str">
        <f t="shared" si="21"/>
        <v>IN-TRANSIT</v>
      </c>
      <c r="AA1122" s="1344" t="s">
        <v>5853</v>
      </c>
      <c r="AB1122" s="1325">
        <v>46283</v>
      </c>
      <c r="AC1122" s="1349">
        <f>IF(PV_DATA[[#This Row],[Pick- Up Date]]&lt;&gt;"",_xlfn.ISOWEEKNUM(PV_DATA[[#This Row],[Pick- Up Date]]),"")</f>
        <v>38</v>
      </c>
      <c r="AD1122" s="1344" t="s">
        <v>7075</v>
      </c>
      <c r="AE1122" s="1344"/>
      <c r="AF1122" s="1344" t="s">
        <v>122</v>
      </c>
      <c r="AG1122" s="1344" t="s">
        <v>122</v>
      </c>
      <c r="AH1122" s="1318" t="s">
        <v>7076</v>
      </c>
      <c r="AI1122" s="1325">
        <v>46288</v>
      </c>
      <c r="AJ1122" s="1309">
        <v>46288</v>
      </c>
      <c r="AK1122" s="1309">
        <v>46285</v>
      </c>
      <c r="AL1122" s="1325">
        <v>46298</v>
      </c>
      <c r="AM1122" s="1325">
        <v>46307</v>
      </c>
      <c r="AN1122" s="1329" t="str">
        <f>IFERROR(IF(VLOOKUP(AT1122,Vessel!A:I,9,FALSE)=0,"",VLOOKUP(AT1122,Vessel!A:I,9,FALSE)),"")</f>
        <v/>
      </c>
      <c r="AO1122" s="1344" t="s">
        <v>402</v>
      </c>
      <c r="AP1122" s="1344" t="s">
        <v>7077</v>
      </c>
      <c r="AQ1122" s="1350" t="s">
        <v>161</v>
      </c>
      <c r="AR1122" s="1344" t="s">
        <v>7075</v>
      </c>
      <c r="AS1122" s="1344" t="s">
        <v>7078</v>
      </c>
      <c r="AT1122" s="1318" t="s">
        <v>7079</v>
      </c>
      <c r="AU1122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22</v>
      </c>
      <c r="AV1122" s="1344"/>
      <c r="AW1122" s="1325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112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1325" t="str">
        <f>IF(ISERROR(PV_DATA[[#This Row],[New Ark PO status]]),"",_xlfn.XLOOKUP(PV_DATA[[#This Row],[SPTN-PVHK New Ark PO'#]],New_Ark_Data[Purchase order Number],New_Ark_Data[Estimated time of arrival],"",0))</f>
        <v/>
      </c>
      <c r="AZ1122" s="13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22" s="1325">
        <f>IFERROR(PV_DATA[[#This Row],[ODP ETA Port]]+PV_DATA[[#This Row],[Customs/Leg3 Assumption]],"n/a")</f>
        <v>46307</v>
      </c>
      <c r="BB1122" s="1320" t="s">
        <v>6536</v>
      </c>
      <c r="BC1122" s="1320" t="s">
        <v>6536</v>
      </c>
      <c r="BD1122" s="1344">
        <f>IFERROR(_xlfn.ISOWEEKNUM(PV_DATA[[#This Row],[ETA for New Ark update]]),0)</f>
        <v>42</v>
      </c>
      <c r="BE1122" s="1344">
        <f>_xlfn.XLOOKUP(PV_DATA[[#This Row],[New Ark SKU]],Table9[New Ark SKU],Table9[Total PCS per Pallet],,0)</f>
        <v>36</v>
      </c>
      <c r="BF1122" s="1344">
        <f>_xlfn.XLOOKUP(PV_DATA[[#This Row],[New Ark SKU]],Table9[New Ark SKU],Table9[Total PCS per 40HQ Container],,0)</f>
        <v>720</v>
      </c>
      <c r="BG1122" s="1344" t="str">
        <f>_xlfn.XLOOKUP(PV_DATA[[#This Row],[New Ark SKU]],Table9[New Ark SKU],Table9[Back Glass],,0)</f>
        <v>Redirection Film</v>
      </c>
      <c r="BH1122" s="1351" t="str">
        <f>_xlfn.XLOOKUP(PV_DATA[[#This Row],[PORT DESTINATION]],Table12[PORT DESTINATION],Table12[Cosco Line],,0)</f>
        <v>n/a</v>
      </c>
    </row>
    <row r="1123" spans="1:62" s="1318" customFormat="1" ht="13.5" customHeight="1">
      <c r="A1123" s="1334" t="s">
        <v>7080</v>
      </c>
      <c r="B1123" s="1317" t="s">
        <v>111</v>
      </c>
      <c r="C1123" s="1317" t="str">
        <f>IFERROR(LEFT(PV_DATA[[#This Row],[TCL REFERENCE]],FIND(".",PV_DATA[[#This Row],[TCL REFERENCE]],1)-1),"Main Line")</f>
        <v>26Aug015</v>
      </c>
      <c r="D1123" s="1317" t="s">
        <v>63</v>
      </c>
      <c r="E1123" s="1317" t="s">
        <v>64</v>
      </c>
      <c r="F1123" s="1317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3" s="1317" t="s">
        <v>402</v>
      </c>
      <c r="H1123" s="1317" t="s">
        <v>67</v>
      </c>
      <c r="I1123" s="1317" t="s">
        <v>689</v>
      </c>
      <c r="J1123" s="1318" t="s">
        <v>96</v>
      </c>
      <c r="M1123" s="1318" t="s">
        <v>68</v>
      </c>
      <c r="N1123" s="1319">
        <v>46285</v>
      </c>
      <c r="O1123" s="1318" t="s">
        <v>550</v>
      </c>
      <c r="P1123" s="1318" t="s">
        <v>551</v>
      </c>
      <c r="Q1123" s="1318" t="s">
        <v>2151</v>
      </c>
      <c r="R1123" s="430" t="str">
        <f>_xlfn.XLOOKUP(PV_DATA[[#This Row],[New Ark SKU]],Table9[New Ark SKU],Table9[Connector],,0)</f>
        <v>EVO2A</v>
      </c>
      <c r="S1123" s="433" t="str">
        <f>_xlfn.XLOOKUP(PV_DATA[[#This Row],[New Ark SKU]],Table9[New Ark SKU],Table9[Cable],,0)</f>
        <v>±1350mm</v>
      </c>
      <c r="T1123" s="1320">
        <v>510</v>
      </c>
      <c r="U1123" s="1321">
        <v>792</v>
      </c>
      <c r="V1123" s="1322">
        <f>PV_DATA[[#This Row],[QUANTITY]]*PV_DATA[[#This Row],[WATT]]/1000000</f>
        <v>0.40392</v>
      </c>
      <c r="W1123" s="1323">
        <f>PV_DATA[[#This Row],[QUANTITY]]/PV_DATA[[#This Row],[Qty/Pallet]]</f>
        <v>22</v>
      </c>
      <c r="X1123" s="1324">
        <f>PV_DATA[[#This Row],[QUANTITY]]/PV_DATA[[#This Row],[Qty/CT]]</f>
        <v>1</v>
      </c>
      <c r="Y1123" s="1318" t="s">
        <v>2471</v>
      </c>
      <c r="Z1123" s="1318" t="str">
        <f t="shared" si="21"/>
        <v/>
      </c>
      <c r="AA1123" s="1342">
        <v>46295</v>
      </c>
      <c r="AB1123" s="1309">
        <v>46302</v>
      </c>
      <c r="AC1123" s="1326">
        <f>IF(PV_DATA[[#This Row],[Pick- Up Date]]&lt;&gt;"",_xlfn.ISOWEEKNUM(PV_DATA[[#This Row],[Pick- Up Date]]),"")</f>
        <v>41</v>
      </c>
      <c r="AD1123" s="1318" t="s">
        <v>7081</v>
      </c>
      <c r="AF1123" s="1318" t="s">
        <v>5994</v>
      </c>
      <c r="AG1123" s="1318" t="s">
        <v>5994</v>
      </c>
      <c r="AH1123" s="1318" t="s">
        <v>105</v>
      </c>
      <c r="AI1123" s="1309">
        <v>46302</v>
      </c>
      <c r="AJ1123" s="1309">
        <v>46305</v>
      </c>
      <c r="AK1123" s="1309" t="str">
        <f>IFERROR(IF(VLOOKUP(AT1123,Vessel!A:F,5,FALSE)=0,"",VLOOKUP(AT1123,Vessel!A:F,5,FALSE)),"")</f>
        <v/>
      </c>
      <c r="AL1123" s="1309">
        <v>46337</v>
      </c>
      <c r="AM1123" s="1310">
        <f>IFERROR(VLOOKUP(AT1123, Vessel!A:H, 8, FALSE), "")</f>
        <v>46335.875</v>
      </c>
      <c r="AN1123" s="1310" t="str">
        <f>IFERROR(IF(VLOOKUP(AT1123,Vessel!A:I,9,FALSE)=0,"",VLOOKUP(AT1123,Vessel!A:I,9,FALSE)),"")</f>
        <v/>
      </c>
      <c r="AP1123" s="1318" t="s">
        <v>7082</v>
      </c>
      <c r="AQ1123" s="1331" t="s">
        <v>80</v>
      </c>
      <c r="AR1123" s="1318" t="s">
        <v>7083</v>
      </c>
      <c r="AS1123" s="1318" t="s">
        <v>7084</v>
      </c>
      <c r="AT1123" s="1318" t="s">
        <v>7084</v>
      </c>
      <c r="AU1123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30.875</v>
      </c>
      <c r="AW1123" s="1309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46335.875</v>
      </c>
      <c r="AX112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1309" t="str">
        <f>IF(ISERROR(PV_DATA[[#This Row],[New Ark PO status]]),"",_xlfn.XLOOKUP(PV_DATA[[#This Row],[SPTN-PVHK New Ark PO'#]],New_Ark_Data[Purchase order Number],New_Ark_Data[Estimated time of arrival],"",0))</f>
        <v/>
      </c>
      <c r="AZ1123" s="13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3" s="1309">
        <f>IFERROR(PV_DATA[[#This Row],[ODP ETA Port]]+PV_DATA[[#This Row],[Customs/Leg3 Assumption]],"n/a")</f>
        <v>46342.875</v>
      </c>
      <c r="BB1123" s="1320" t="s">
        <v>6536</v>
      </c>
      <c r="BC1123" s="1320" t="s">
        <v>6536</v>
      </c>
      <c r="BD1123" s="1318">
        <f>IFERROR(_xlfn.ISOWEEKNUM(PV_DATA[[#This Row],[ETA for New Ark update]]),0)</f>
        <v>47</v>
      </c>
      <c r="BE1123" s="1318">
        <f>_xlfn.XLOOKUP(PV_DATA[[#This Row],[New Ark SKU]],Table9[New Ark SKU],Table9[Total PCS per Pallet],,0)</f>
        <v>36</v>
      </c>
      <c r="BF1123" s="1318">
        <f>_xlfn.XLOOKUP(PV_DATA[[#This Row],[New Ark SKU]],Table9[New Ark SKU],Table9[Total PCS per 40HQ Container],,0)</f>
        <v>792</v>
      </c>
      <c r="BG1123" s="1318" t="str">
        <f>_xlfn.XLOOKUP(PV_DATA[[#This Row],[New Ark SKU]],Table9[New Ark SKU],Table9[Back Glass],,0)</f>
        <v>Black glazing</v>
      </c>
      <c r="BH1123" s="1333" t="str">
        <f>_xlfn.XLOOKUP(PV_DATA[[#This Row],[PORT DESTINATION]],Table12[PORT DESTINATION],Table12[Cosco Line],,0)</f>
        <v>AEU</v>
      </c>
    </row>
    <row r="1124" spans="1:62" s="1318" customFormat="1" ht="13.5" customHeight="1">
      <c r="A1124" s="724" t="s">
        <v>7085</v>
      </c>
      <c r="B1124" s="1317" t="s">
        <v>111</v>
      </c>
      <c r="C1124" s="1317" t="str">
        <f>IFERROR(LEFT(PV_DATA[[#This Row],[TCL REFERENCE]],FIND(".",PV_DATA[[#This Row],[TCL REFERENCE]],1)-1),"Main Line")</f>
        <v>26Aug015</v>
      </c>
      <c r="D1124" s="1317" t="s">
        <v>63</v>
      </c>
      <c r="E1124" s="1317" t="s">
        <v>64</v>
      </c>
      <c r="F1124" s="1317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24" s="1317" t="s">
        <v>402</v>
      </c>
      <c r="H1124" s="1317" t="s">
        <v>67</v>
      </c>
      <c r="I1124" s="1317" t="s">
        <v>689</v>
      </c>
      <c r="J1124" s="1318" t="s">
        <v>96</v>
      </c>
      <c r="M1124" s="1318" t="s">
        <v>68</v>
      </c>
      <c r="N1124" s="1319">
        <v>46285</v>
      </c>
      <c r="O1124" s="1318" t="s">
        <v>550</v>
      </c>
      <c r="P1124" s="1318" t="s">
        <v>551</v>
      </c>
      <c r="Q1124" s="1318" t="s">
        <v>2151</v>
      </c>
      <c r="R1124" s="430" t="str">
        <f>_xlfn.XLOOKUP(PV_DATA[[#This Row],[New Ark SKU]],Table9[New Ark SKU],Table9[Connector],,0)</f>
        <v>EVO2A</v>
      </c>
      <c r="S1124" s="433" t="str">
        <f>_xlfn.XLOOKUP(PV_DATA[[#This Row],[New Ark SKU]],Table9[New Ark SKU],Table9[Cable],,0)</f>
        <v>±1350mm</v>
      </c>
      <c r="T1124" s="1320">
        <v>510</v>
      </c>
      <c r="U1124" s="1321">
        <f>792*1</f>
        <v>792</v>
      </c>
      <c r="V1124" s="1322">
        <f>PV_DATA[[#This Row],[QUANTITY]]*PV_DATA[[#This Row],[WATT]]/1000000</f>
        <v>0.40392</v>
      </c>
      <c r="W1124" s="1323">
        <f>PV_DATA[[#This Row],[QUANTITY]]/PV_DATA[[#This Row],[Qty/Pallet]]</f>
        <v>22</v>
      </c>
      <c r="X1124" s="1324">
        <f>PV_DATA[[#This Row],[QUANTITY]]/PV_DATA[[#This Row],[Qty/CT]]</f>
        <v>1</v>
      </c>
      <c r="Y1124" s="1318" t="s">
        <v>2471</v>
      </c>
      <c r="Z1124" s="1318" t="str">
        <f t="shared" si="21"/>
        <v/>
      </c>
      <c r="AA1124" s="1342">
        <v>46291</v>
      </c>
      <c r="AB1124" s="1309">
        <v>46305</v>
      </c>
      <c r="AC1124" s="1326">
        <f>IF(PV_DATA[[#This Row],[Pick- Up Date]]&lt;&gt;"",_xlfn.ISOWEEKNUM(PV_DATA[[#This Row],[Pick- Up Date]]),"")</f>
        <v>41</v>
      </c>
      <c r="AF1124" s="1318" t="s">
        <v>5994</v>
      </c>
      <c r="AG1124" s="1318" t="s">
        <v>5994</v>
      </c>
      <c r="AH1124" s="1318" t="s">
        <v>314</v>
      </c>
      <c r="AI1124" s="1309">
        <v>46298</v>
      </c>
      <c r="AJ1124" s="1309">
        <f>IFERROR(VLOOKUP(AT1124, Vessel!A:D, 4, FALSE), "")</f>
        <v>46304.291666666664</v>
      </c>
      <c r="AK1124" s="1309" t="str">
        <f>IFERROR(IF(VLOOKUP(AT1124,Vessel!A:F,5,FALSE)=0,"",VLOOKUP(AT1124,Vessel!A:F,5,FALSE)),"")</f>
        <v/>
      </c>
      <c r="AL1124" s="1309">
        <v>46344</v>
      </c>
      <c r="AM1124" s="1310">
        <f>IFERROR(VLOOKUP(AT1124, Vessel!A:H, 8, FALSE), "")</f>
        <v>46344.25</v>
      </c>
      <c r="AN1124" s="1310" t="str">
        <f>IFERROR(IF(VLOOKUP(AT1124,Vessel!A:I,9,FALSE)=0,"",VLOOKUP(AT1124,Vessel!A:I,9,FALSE)),"")</f>
        <v/>
      </c>
      <c r="AP1124" s="1318" t="s">
        <v>7086</v>
      </c>
      <c r="AQ1124" s="1318" t="s">
        <v>80</v>
      </c>
      <c r="AR1124" s="1318" t="s">
        <v>7087</v>
      </c>
      <c r="AS1124" s="1318" t="s">
        <v>7088</v>
      </c>
      <c r="AT1124" s="1318" t="s">
        <v>7088</v>
      </c>
      <c r="AU1124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39.958333333335759</v>
      </c>
      <c r="AW1124" s="1309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2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1309">
        <f>IF(ISERROR(PV_DATA[[#This Row],[New Ark PO status]]),"",_xlfn.XLOOKUP(PV_DATA[[#This Row],[SPTN-PVHK New Ark PO'#]],New_Ark_Data[Purchase order Number],New_Ark_Data[Estimated time of arrival],"",0))</f>
        <v>0</v>
      </c>
      <c r="AZ1124" s="1320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24" s="1309">
        <f>IFERROR(PV_DATA[[#This Row],[ODP ETA Port]]+PV_DATA[[#This Row],[Customs/Leg3 Assumption]],"n/a")</f>
        <v>46354.25</v>
      </c>
      <c r="BB1124" s="1320" t="s">
        <v>6536</v>
      </c>
      <c r="BC1124" s="1320" t="s">
        <v>6536</v>
      </c>
      <c r="BD1124" s="1318">
        <f>IFERROR(_xlfn.ISOWEEKNUM(PV_DATA[[#This Row],[ETA for New Ark update]]),0)</f>
        <v>48</v>
      </c>
      <c r="BE1124" s="1318">
        <f>_xlfn.XLOOKUP(PV_DATA[[#This Row],[New Ark SKU]],Table9[New Ark SKU],Table9[Total PCS per Pallet],,0)</f>
        <v>36</v>
      </c>
      <c r="BF1124" s="1318">
        <f>_xlfn.XLOOKUP(PV_DATA[[#This Row],[New Ark SKU]],Table9[New Ark SKU],Table9[Total PCS per 40HQ Container],,0)</f>
        <v>792</v>
      </c>
      <c r="BG1124" s="1318" t="str">
        <f>_xlfn.XLOOKUP(PV_DATA[[#This Row],[New Ark SKU]],Table9[New Ark SKU],Table9[Back Glass],,0)</f>
        <v>Black glazing</v>
      </c>
      <c r="BH1124" s="1333" t="str">
        <f>_xlfn.XLOOKUP(PV_DATA[[#This Row],[PORT DESTINATION]],Table12[PORT DESTINATION],Table12[Cosco Line],,0)</f>
        <v>AEM</v>
      </c>
    </row>
    <row r="1125" spans="1:62" s="1318" customFormat="1" ht="13.5" customHeight="1">
      <c r="A1125" s="1334" t="s">
        <v>7089</v>
      </c>
      <c r="B1125" s="1317" t="s">
        <v>111</v>
      </c>
      <c r="C1125" s="1317" t="str">
        <f>IFERROR(LEFT(PV_DATA[[#This Row],[TCL REFERENCE]],FIND(".",PV_DATA[[#This Row],[TCL REFERENCE]],1)-1),"Main Line")</f>
        <v>26Aug015</v>
      </c>
      <c r="D1125" s="1317" t="s">
        <v>63</v>
      </c>
      <c r="E1125" s="1317" t="s">
        <v>64</v>
      </c>
      <c r="F1125" s="1317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5" s="1317" t="s">
        <v>402</v>
      </c>
      <c r="H1125" s="1317" t="s">
        <v>67</v>
      </c>
      <c r="I1125" s="1317" t="s">
        <v>689</v>
      </c>
      <c r="J1125" s="1318" t="s">
        <v>96</v>
      </c>
      <c r="M1125" s="1318" t="s">
        <v>68</v>
      </c>
      <c r="N1125" s="1319">
        <v>46285</v>
      </c>
      <c r="O1125" s="1318" t="s">
        <v>550</v>
      </c>
      <c r="P1125" s="1318" t="s">
        <v>551</v>
      </c>
      <c r="Q1125" s="1318" t="s">
        <v>2151</v>
      </c>
      <c r="R1125" s="430" t="str">
        <f>_xlfn.XLOOKUP(PV_DATA[[#This Row],[New Ark SKU]],Table9[New Ark SKU],Table9[Connector],,0)</f>
        <v>EVO2A</v>
      </c>
      <c r="S1125" s="433" t="str">
        <f>_xlfn.XLOOKUP(PV_DATA[[#This Row],[New Ark SKU]],Table9[New Ark SKU],Table9[Cable],,0)</f>
        <v>±1350mm</v>
      </c>
      <c r="T1125" s="1320">
        <v>510</v>
      </c>
      <c r="U1125" s="1321">
        <v>792</v>
      </c>
      <c r="V1125" s="1322">
        <f>PV_DATA[[#This Row],[QUANTITY]]*PV_DATA[[#This Row],[WATT]]/1000000</f>
        <v>0.40392</v>
      </c>
      <c r="W1125" s="1323">
        <f>PV_DATA[[#This Row],[QUANTITY]]/PV_DATA[[#This Row],[Qty/Pallet]]</f>
        <v>22</v>
      </c>
      <c r="X1125" s="1324">
        <f>PV_DATA[[#This Row],[QUANTITY]]/PV_DATA[[#This Row],[Qty/CT]]</f>
        <v>1</v>
      </c>
      <c r="Y1125" s="1318" t="s">
        <v>2472</v>
      </c>
      <c r="Z1125" s="1318" t="str">
        <f t="shared" si="21"/>
        <v>IN-TRANSIT</v>
      </c>
      <c r="AA1125" s="1342">
        <v>46295</v>
      </c>
      <c r="AB1125" s="1309">
        <v>46299</v>
      </c>
      <c r="AC1125" s="1326">
        <f>IF(PV_DATA[[#This Row],[Pick- Up Date]]&lt;&gt;"",_xlfn.ISOWEEKNUM(PV_DATA[[#This Row],[Pick- Up Date]]),"")</f>
        <v>40</v>
      </c>
      <c r="AD1125" s="1318" t="s">
        <v>7090</v>
      </c>
      <c r="AF1125" s="1318" t="s">
        <v>5994</v>
      </c>
      <c r="AG1125" s="1318" t="s">
        <v>5994</v>
      </c>
      <c r="AH1125" s="1318" t="s">
        <v>78</v>
      </c>
      <c r="AI1125" s="1309">
        <v>46303</v>
      </c>
      <c r="AJ1125" s="1309">
        <f>IFERROR(VLOOKUP(AT1125, Vessel!A:D, 4, FALSE), "")</f>
        <v>46302.458333333336</v>
      </c>
      <c r="AK1125" s="1309">
        <v>46303</v>
      </c>
      <c r="AL1125" s="1309">
        <v>46344</v>
      </c>
      <c r="AM1125" s="1310">
        <f>IFERROR(VLOOKUP(AT1125, Vessel!A:H, 8, FALSE), "")</f>
        <v>46344.25</v>
      </c>
      <c r="AN1125" s="1310" t="str">
        <f>IFERROR(IF(VLOOKUP(AT1125,Vessel!A:I,9,FALSE)=0,"",VLOOKUP(AT1125,Vessel!A:I,9,FALSE)),"")</f>
        <v/>
      </c>
      <c r="AP1125" s="1318" t="s">
        <v>7091</v>
      </c>
      <c r="AQ1125" s="1318" t="s">
        <v>80</v>
      </c>
      <c r="AR1125" s="1318" t="s">
        <v>7092</v>
      </c>
      <c r="AS1125" s="1318" t="s">
        <v>7093</v>
      </c>
      <c r="AT1125" s="1318" t="s">
        <v>7093</v>
      </c>
      <c r="AU1125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41.25</v>
      </c>
      <c r="AW1125" s="1309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2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1309" t="str">
        <f>IF(ISERROR(PV_DATA[[#This Row],[New Ark PO status]]),"",_xlfn.XLOOKUP(PV_DATA[[#This Row],[SPTN-PVHK New Ark PO'#]],New_Ark_Data[Purchase order Number],New_Ark_Data[Estimated time of arrival],"",0))</f>
        <v/>
      </c>
      <c r="AZ1125" s="132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5" s="1309">
        <f>IFERROR(PV_DATA[[#This Row],[ODP ETA Port]]+PV_DATA[[#This Row],[Customs/Leg3 Assumption]],"n/a")</f>
        <v>46352.25</v>
      </c>
      <c r="BB1125" s="1320" t="s">
        <v>6536</v>
      </c>
      <c r="BC1125" s="1320" t="s">
        <v>6536</v>
      </c>
      <c r="BD1125" s="1318">
        <f>IFERROR(_xlfn.ISOWEEKNUM(PV_DATA[[#This Row],[ETA for New Ark update]]),0)</f>
        <v>48</v>
      </c>
      <c r="BE1125" s="1318">
        <f>_xlfn.XLOOKUP(PV_DATA[[#This Row],[New Ark SKU]],Table9[New Ark SKU],Table9[Total PCS per Pallet],,0)</f>
        <v>36</v>
      </c>
      <c r="BF1125" s="1318">
        <f>_xlfn.XLOOKUP(PV_DATA[[#This Row],[New Ark SKU]],Table9[New Ark SKU],Table9[Total PCS per 40HQ Container],,0)</f>
        <v>792</v>
      </c>
      <c r="BG1125" s="1318" t="str">
        <f>_xlfn.XLOOKUP(PV_DATA[[#This Row],[New Ark SKU]],Table9[New Ark SKU],Table9[Back Glass],,0)</f>
        <v>Black glazing</v>
      </c>
      <c r="BH1125" s="1333" t="str">
        <f>_xlfn.XLOOKUP(PV_DATA[[#This Row],[PORT DESTINATION]],Table12[PORT DESTINATION],Table12[Cosco Line],,0)</f>
        <v>AEM</v>
      </c>
    </row>
    <row r="1126" spans="1:62" s="1318" customFormat="1" ht="13.5" customHeight="1">
      <c r="A1126" s="1334" t="s">
        <v>7094</v>
      </c>
      <c r="B1126" s="1317" t="s">
        <v>111</v>
      </c>
      <c r="C1126" s="1317" t="str">
        <f>IFERROR(LEFT(PV_DATA[[#This Row],[TCL REFERENCE]],FIND(".",PV_DATA[[#This Row],[TCL REFERENCE]],1)-1),"Main Line")</f>
        <v>26Aug016</v>
      </c>
      <c r="D1126" s="1317" t="s">
        <v>63</v>
      </c>
      <c r="E1126" s="1317" t="s">
        <v>64</v>
      </c>
      <c r="F1126" s="1317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26" s="1317" t="s">
        <v>402</v>
      </c>
      <c r="H1126" s="1317" t="s">
        <v>67</v>
      </c>
      <c r="I1126" s="1317" t="s">
        <v>689</v>
      </c>
      <c r="J1126" s="1318" t="s">
        <v>96</v>
      </c>
      <c r="M1126" s="1318" t="s">
        <v>68</v>
      </c>
      <c r="N1126" s="1319">
        <v>46282</v>
      </c>
      <c r="O1126" s="1318" t="s">
        <v>550</v>
      </c>
      <c r="P1126" s="1318" t="s">
        <v>2134</v>
      </c>
      <c r="Q1126" s="1318" t="s">
        <v>2135</v>
      </c>
      <c r="R1126" s="430" t="str">
        <f>_xlfn.XLOOKUP(PV_DATA[[#This Row],[New Ark SKU]],Table9[New Ark SKU],Table9[Connector],,0)</f>
        <v>EVO2A</v>
      </c>
      <c r="S1126" s="433" t="str">
        <f>_xlfn.XLOOKUP(PV_DATA[[#This Row],[New Ark SKU]],Table9[New Ark SKU],Table9[Cable],,0)</f>
        <v>±1350mm</v>
      </c>
      <c r="T1126" s="1320">
        <v>515</v>
      </c>
      <c r="U1126" s="1321">
        <v>792</v>
      </c>
      <c r="V1126" s="1322">
        <f>PV_DATA[[#This Row],[QUANTITY]]*PV_DATA[[#This Row],[WATT]]/1000000</f>
        <v>0.40788000000000002</v>
      </c>
      <c r="W1126" s="1323">
        <f>PV_DATA[[#This Row],[QUANTITY]]/PV_DATA[[#This Row],[Qty/Pallet]]</f>
        <v>22</v>
      </c>
      <c r="X1126" s="1324">
        <f>PV_DATA[[#This Row],[QUANTITY]]/PV_DATA[[#This Row],[Qty/CT]]</f>
        <v>1</v>
      </c>
      <c r="Y1126" s="1318" t="s">
        <v>2471</v>
      </c>
      <c r="Z1126" s="1318" t="str">
        <f t="shared" si="21"/>
        <v>IN-TRANSIT</v>
      </c>
      <c r="AA1126" s="1342">
        <v>46295</v>
      </c>
      <c r="AB1126" s="1309">
        <v>46302</v>
      </c>
      <c r="AC1126" s="1326">
        <f>IF(PV_DATA[[#This Row],[Pick- Up Date]]&lt;&gt;"",_xlfn.ISOWEEKNUM(PV_DATA[[#This Row],[Pick- Up Date]]),"")</f>
        <v>41</v>
      </c>
      <c r="AD1126" s="1318" t="s">
        <v>7095</v>
      </c>
      <c r="AF1126" s="1318" t="s">
        <v>5994</v>
      </c>
      <c r="AG1126" s="1318" t="s">
        <v>5994</v>
      </c>
      <c r="AH1126" s="1318" t="s">
        <v>105</v>
      </c>
      <c r="AI1126" s="1309">
        <v>46302</v>
      </c>
      <c r="AJ1126" s="1309">
        <f>IFERROR(VLOOKUP(AT1126, Vessel!A:D, 4, FALSE), "")</f>
        <v>46301.666666666664</v>
      </c>
      <c r="AK1126" s="1309">
        <v>46305</v>
      </c>
      <c r="AL1126" s="1309">
        <v>46337</v>
      </c>
      <c r="AM1126" s="1310">
        <f>IFERROR(VLOOKUP(AT1126, Vessel!A:H, 8, FALSE), "")</f>
        <v>46335.875</v>
      </c>
      <c r="AN1126" s="1310" t="str">
        <f>IFERROR(IF(VLOOKUP(AT1126,Vessel!A:I,9,FALSE)=0,"",VLOOKUP(AT1126,Vessel!A:I,9,FALSE)),"")</f>
        <v/>
      </c>
      <c r="AP1126" s="1318" t="s">
        <v>7082</v>
      </c>
      <c r="AQ1126" s="1331" t="s">
        <v>80</v>
      </c>
      <c r="AR1126" s="1318" t="s">
        <v>7083</v>
      </c>
      <c r="AS1126" s="1318" t="s">
        <v>7084</v>
      </c>
      <c r="AT1126" s="1318" t="s">
        <v>7084</v>
      </c>
      <c r="AU1126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30.875</v>
      </c>
      <c r="AW1126" s="1309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46335.875</v>
      </c>
      <c r="AX112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1309" t="str">
        <f>IF(ISERROR(PV_DATA[[#This Row],[New Ark PO status]]),"",_xlfn.XLOOKUP(PV_DATA[[#This Row],[SPTN-PVHK New Ark PO'#]],New_Ark_Data[Purchase order Number],New_Ark_Data[Estimated time of arrival],"",0))</f>
        <v/>
      </c>
      <c r="AZ1126" s="13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6" s="1309">
        <f>IFERROR(PV_DATA[[#This Row],[ODP ETA Port]]+PV_DATA[[#This Row],[Customs/Leg3 Assumption]],"n/a")</f>
        <v>46342.875</v>
      </c>
      <c r="BB1126" s="1320" t="s">
        <v>6536</v>
      </c>
      <c r="BC1126" s="1320" t="s">
        <v>6536</v>
      </c>
      <c r="BD1126" s="1318">
        <f>IFERROR(_xlfn.ISOWEEKNUM(PV_DATA[[#This Row],[ETA for New Ark update]]),0)</f>
        <v>47</v>
      </c>
      <c r="BE1126" s="1318">
        <f>_xlfn.XLOOKUP(PV_DATA[[#This Row],[New Ark SKU]],Table9[New Ark SKU],Table9[Total PCS per Pallet],,0)</f>
        <v>36</v>
      </c>
      <c r="BF1126" s="1318">
        <f>_xlfn.XLOOKUP(PV_DATA[[#This Row],[New Ark SKU]],Table9[New Ark SKU],Table9[Total PCS per 40HQ Container],,0)</f>
        <v>792</v>
      </c>
      <c r="BG1126" s="1318" t="str">
        <f>_xlfn.XLOOKUP(PV_DATA[[#This Row],[New Ark SKU]],Table9[New Ark SKU],Table9[Back Glass],,0)</f>
        <v>Black glazing</v>
      </c>
      <c r="BH1126" s="1333" t="str">
        <f>_xlfn.XLOOKUP(PV_DATA[[#This Row],[PORT DESTINATION]],Table12[PORT DESTINATION],Table12[Cosco Line],,0)</f>
        <v>AEU</v>
      </c>
    </row>
    <row r="1127" spans="1:62" s="1318" customFormat="1" ht="13.5" customHeight="1">
      <c r="A1127" s="1334" t="s">
        <v>7096</v>
      </c>
      <c r="B1127" s="1317" t="s">
        <v>111</v>
      </c>
      <c r="C1127" s="1317" t="str">
        <f>IFERROR(LEFT(PV_DATA[[#This Row],[TCL REFERENCE]],FIND(".",PV_DATA[[#This Row],[TCL REFERENCE]],1)-1),"Main Line")</f>
        <v>26Aug016</v>
      </c>
      <c r="D1127" s="1317" t="s">
        <v>63</v>
      </c>
      <c r="E1127" s="1317" t="s">
        <v>64</v>
      </c>
      <c r="F1127" s="1317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27" s="1317" t="s">
        <v>402</v>
      </c>
      <c r="H1127" s="1317" t="s">
        <v>451</v>
      </c>
      <c r="I1127" s="1317" t="s">
        <v>689</v>
      </c>
      <c r="J1127" s="1318" t="s">
        <v>96</v>
      </c>
      <c r="M1127" s="1318" t="s">
        <v>68</v>
      </c>
      <c r="N1127" s="1319">
        <v>46282</v>
      </c>
      <c r="O1127" s="1318" t="s">
        <v>550</v>
      </c>
      <c r="P1127" s="1318" t="s">
        <v>2134</v>
      </c>
      <c r="Q1127" s="1318" t="s">
        <v>2135</v>
      </c>
      <c r="R1127" s="430" t="str">
        <f>_xlfn.XLOOKUP(PV_DATA[[#This Row],[New Ark SKU]],Table9[New Ark SKU],Table9[Connector],,0)</f>
        <v>EVO2A</v>
      </c>
      <c r="S1127" s="433" t="str">
        <f>_xlfn.XLOOKUP(PV_DATA[[#This Row],[New Ark SKU]],Table9[New Ark SKU],Table9[Cable],,0)</f>
        <v>±1350mm</v>
      </c>
      <c r="T1127" s="1320">
        <v>515</v>
      </c>
      <c r="U1127" s="1321">
        <f>792*2</f>
        <v>1584</v>
      </c>
      <c r="V1127" s="1322">
        <f>PV_DATA[[#This Row],[QUANTITY]]*PV_DATA[[#This Row],[WATT]]/1000000</f>
        <v>0.81576000000000004</v>
      </c>
      <c r="W1127" s="1323">
        <f>PV_DATA[[#This Row],[QUANTITY]]/PV_DATA[[#This Row],[Qty/Pallet]]</f>
        <v>44</v>
      </c>
      <c r="X1127" s="1324">
        <f>PV_DATA[[#This Row],[QUANTITY]]/PV_DATA[[#This Row],[Qty/CT]]</f>
        <v>2</v>
      </c>
      <c r="Y1127" s="1318" t="s">
        <v>2469</v>
      </c>
      <c r="Z1127" s="1318" t="str">
        <f t="shared" si="21"/>
        <v>IN-TRANSIT</v>
      </c>
      <c r="AA1127" s="1342">
        <v>46291</v>
      </c>
      <c r="AB1127" s="1309">
        <v>46298</v>
      </c>
      <c r="AC1127" s="1326">
        <f>IF(PV_DATA[[#This Row],[Pick- Up Date]]&lt;&gt;"",_xlfn.ISOWEEKNUM(PV_DATA[[#This Row],[Pick- Up Date]]),"")</f>
        <v>40</v>
      </c>
      <c r="AD1127" s="1318" t="s">
        <v>7097</v>
      </c>
      <c r="AF1127" s="1318" t="s">
        <v>1525</v>
      </c>
      <c r="AG1127" s="1318" t="s">
        <v>5994</v>
      </c>
      <c r="AH1127" s="1318" t="s">
        <v>456</v>
      </c>
      <c r="AI1127" s="1309">
        <v>46296</v>
      </c>
      <c r="AJ1127" s="1309">
        <f>IFERROR(VLOOKUP(AT1127, Vessel!A:D, 4, FALSE), "")</f>
        <v>46302.770833333336</v>
      </c>
      <c r="AK1127" s="1309">
        <v>46303</v>
      </c>
      <c r="AL1127" s="1309">
        <v>46334</v>
      </c>
      <c r="AM1127" s="1310">
        <f>IFERROR(VLOOKUP(AT1127, Vessel!A:H, 8, FALSE), "")</f>
        <v>46338.9375</v>
      </c>
      <c r="AN1127" s="1310" t="str">
        <f>IFERROR(IF(VLOOKUP(AT1127,Vessel!A:I,9,FALSE)=0,"",VLOOKUP(AT1127,Vessel!A:I,9,FALSE)),"")</f>
        <v/>
      </c>
      <c r="AP1127" s="1318" t="s">
        <v>7047</v>
      </c>
      <c r="AQ1127" s="1318" t="s">
        <v>80</v>
      </c>
      <c r="AR1127" s="1318" t="s">
        <v>7098</v>
      </c>
      <c r="AS1127" s="1318" t="s">
        <v>7099</v>
      </c>
      <c r="AT1127" s="1318" t="s">
        <v>7099</v>
      </c>
      <c r="AU1127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35.9375</v>
      </c>
      <c r="AW1127" s="1309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46338.9375</v>
      </c>
      <c r="AX112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1309" t="str">
        <f>IF(ISERROR(PV_DATA[[#This Row],[New Ark PO status]]),"",_xlfn.XLOOKUP(PV_DATA[[#This Row],[SPTN-PVHK New Ark PO'#]],New_Ark_Data[Purchase order Number],New_Ark_Data[Estimated time of arrival],"",0))</f>
        <v/>
      </c>
      <c r="AZ1127" s="13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7" s="1309">
        <f>IFERROR(PV_DATA[[#This Row],[ODP ETA Port]]+PV_DATA[[#This Row],[Customs/Leg3 Assumption]],"n/a")</f>
        <v>46345.9375</v>
      </c>
      <c r="BB1127" s="1320" t="s">
        <v>6536</v>
      </c>
      <c r="BC1127" s="1320" t="s">
        <v>6536</v>
      </c>
      <c r="BD1127" s="1318">
        <f>IFERROR(_xlfn.ISOWEEKNUM(PV_DATA[[#This Row],[ETA for New Ark update]]),0)</f>
        <v>47</v>
      </c>
      <c r="BE1127" s="1318">
        <f>_xlfn.XLOOKUP(PV_DATA[[#This Row],[New Ark SKU]],Table9[New Ark SKU],Table9[Total PCS per Pallet],,0)</f>
        <v>36</v>
      </c>
      <c r="BF1127" s="1318">
        <f>_xlfn.XLOOKUP(PV_DATA[[#This Row],[New Ark SKU]],Table9[New Ark SKU],Table9[Total PCS per 40HQ Container],,0)</f>
        <v>792</v>
      </c>
      <c r="BG1127" s="1318" t="str">
        <f>_xlfn.XLOOKUP(PV_DATA[[#This Row],[New Ark SKU]],Table9[New Ark SKU],Table9[Back Glass],,0)</f>
        <v>Black glazing</v>
      </c>
      <c r="BH1127" s="1333" t="str">
        <f>_xlfn.XLOOKUP(PV_DATA[[#This Row],[PORT DESTINATION]],Table12[PORT DESTINATION],Table12[Cosco Line],,0)</f>
        <v>AEU</v>
      </c>
    </row>
    <row r="1128" spans="1:62" s="1318" customFormat="1" ht="13.5" customHeight="1">
      <c r="A1128" s="1334" t="s">
        <v>7100</v>
      </c>
      <c r="B1128" s="1317" t="s">
        <v>61</v>
      </c>
      <c r="C1128" s="1317" t="str">
        <f>IFERROR(LEFT(PV_DATA[[#This Row],[TCL REFERENCE]],FIND(".",PV_DATA[[#This Row],[TCL REFERENCE]],1)-1),"Main Line")</f>
        <v>26Aug022</v>
      </c>
      <c r="D1128" s="1317" t="s">
        <v>63</v>
      </c>
      <c r="E1128" s="1317" t="s">
        <v>64</v>
      </c>
      <c r="F1128" s="1317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8" s="1317" t="s">
        <v>402</v>
      </c>
      <c r="H1128" s="1317" t="s">
        <v>67</v>
      </c>
      <c r="I1128" s="1317" t="s">
        <v>689</v>
      </c>
      <c r="J1128" s="1318" t="s">
        <v>96</v>
      </c>
      <c r="M1128" s="1318" t="s">
        <v>68</v>
      </c>
      <c r="N1128" s="1319">
        <v>46272</v>
      </c>
      <c r="O1128" s="1318" t="s">
        <v>4531</v>
      </c>
      <c r="P1128" s="1318" t="s">
        <v>1151</v>
      </c>
      <c r="Q1128" s="1318" t="s">
        <v>421</v>
      </c>
      <c r="R1128" s="430" t="str">
        <f>_xlfn.XLOOKUP(PV_DATA[[#This Row],[New Ark SKU]],Table9[New Ark SKU],Table9[Connector],,0)</f>
        <v>EVO2A</v>
      </c>
      <c r="S1128" s="433" t="str">
        <f>_xlfn.XLOOKUP(PV_DATA[[#This Row],[New Ark SKU]],Table9[New Ark SKU],Table9[Cable],,0)</f>
        <v>±1200mm</v>
      </c>
      <c r="T1128" s="1320">
        <v>505</v>
      </c>
      <c r="U1128" s="1321">
        <v>4320</v>
      </c>
      <c r="V1128" s="1322">
        <f>PV_DATA[[#This Row],[QUANTITY]]*PV_DATA[[#This Row],[WATT]]/1000000</f>
        <v>2.1816</v>
      </c>
      <c r="W1128" s="1323">
        <f>PV_DATA[[#This Row],[QUANTITY]]/PV_DATA[[#This Row],[Qty/Pallet]]</f>
        <v>120</v>
      </c>
      <c r="X1128" s="1324">
        <f>PV_DATA[[#This Row],[QUANTITY]]/PV_DATA[[#This Row],[Qty/CT]]</f>
        <v>5</v>
      </c>
      <c r="Y1128" s="1318" t="s">
        <v>2472</v>
      </c>
      <c r="Z1128" s="1318" t="str">
        <f t="shared" si="21"/>
        <v>IN-TRANSIT</v>
      </c>
      <c r="AA1128" s="1318" t="s">
        <v>5853</v>
      </c>
      <c r="AB1128" s="1309">
        <v>46295</v>
      </c>
      <c r="AC1128" s="1326">
        <f>IF(PV_DATA[[#This Row],[Pick- Up Date]]&lt;&gt;"",_xlfn.ISOWEEKNUM(PV_DATA[[#This Row],[Pick- Up Date]]),"")</f>
        <v>40</v>
      </c>
      <c r="AD1128" s="1318" t="s">
        <v>7101</v>
      </c>
      <c r="AF1128" s="1327" t="s">
        <v>61</v>
      </c>
      <c r="AG1128" s="1327" t="s">
        <v>61</v>
      </c>
      <c r="AH1128" s="1318" t="s">
        <v>78</v>
      </c>
      <c r="AI1128" s="1329">
        <v>46300</v>
      </c>
      <c r="AJ1128" s="1309">
        <f>IFERROR(VLOOKUP(AT1128, Vessel!A:D, 4, FALSE), "")</f>
        <v>46300.958333333336</v>
      </c>
      <c r="AK1128" s="1309">
        <v>46301</v>
      </c>
      <c r="AL1128" s="1329">
        <v>46363</v>
      </c>
      <c r="AM1128" s="1310">
        <f>IFERROR(VLOOKUP(AT1128, Vessel!A:H, 8, FALSE), "")</f>
        <v>46363.791666666664</v>
      </c>
      <c r="AN1128" s="1310" t="str">
        <f>IFERROR(IF(VLOOKUP(AT1128,Vessel!A:I,9,FALSE)=0,"",VLOOKUP(AT1128,Vessel!A:I,9,FALSE)),"")</f>
        <v/>
      </c>
      <c r="AO1128" s="1344"/>
      <c r="AP1128" s="1318" t="s">
        <v>7102</v>
      </c>
      <c r="AQ1128" s="1331" t="s">
        <v>80</v>
      </c>
      <c r="AR1128" s="1318" t="s">
        <v>7103</v>
      </c>
      <c r="AS1128" s="1318" t="s">
        <v>7104</v>
      </c>
      <c r="AT1128" s="1318" t="s">
        <v>7104</v>
      </c>
      <c r="AU1128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62.791666666664241</v>
      </c>
      <c r="AW1128" s="1309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46363.791666666664</v>
      </c>
      <c r="AX112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1309" t="str">
        <f>IF(ISERROR(PV_DATA[[#This Row],[New Ark PO status]]),"",_xlfn.XLOOKUP(PV_DATA[[#This Row],[SPTN-PVHK New Ark PO'#]],New_Ark_Data[Purchase order Number],New_Ark_Data[Estimated time of arrival],"",0))</f>
        <v/>
      </c>
      <c r="AZ1128" s="132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8" s="1309">
        <f>IFERROR(PV_DATA[[#This Row],[ODP ETA Port]]+PV_DATA[[#This Row],[Customs/Leg3 Assumption]],"n/a")</f>
        <v>46371.791666666664</v>
      </c>
      <c r="BB1128" s="1320" t="s">
        <v>6536</v>
      </c>
      <c r="BC1128" s="1320" t="s">
        <v>6536</v>
      </c>
      <c r="BD1128" s="1318">
        <f>IFERROR(_xlfn.ISOWEEKNUM(PV_DATA[[#This Row],[ETA for New Ark update]]),0)</f>
        <v>51</v>
      </c>
      <c r="BE1128" s="1318">
        <f>_xlfn.XLOOKUP(PV_DATA[[#This Row],[New Ark SKU]],Table9[New Ark SKU],Table9[Total PCS per Pallet],,0)</f>
        <v>36</v>
      </c>
      <c r="BF1128" s="1318">
        <f>_xlfn.XLOOKUP(PV_DATA[[#This Row],[New Ark SKU]],Table9[New Ark SKU],Table9[Total PCS per 40HQ Container],,0)</f>
        <v>864</v>
      </c>
      <c r="BG1128" s="1318" t="str">
        <f>_xlfn.XLOOKUP(PV_DATA[[#This Row],[New Ark SKU]],Table9[New Ark SKU],Table9[Back Glass],,0)</f>
        <v>Black glazing</v>
      </c>
      <c r="BH1128" s="1333" t="str">
        <f>_xlfn.XLOOKUP(PV_DATA[[#This Row],[PORT DESTINATION]],Table12[PORT DESTINATION],Table12[Cosco Line],,0)</f>
        <v>AEM</v>
      </c>
    </row>
    <row r="1129" spans="1:62" s="1318" customFormat="1" ht="13.5" customHeight="1">
      <c r="A1129" s="1334" t="s">
        <v>7105</v>
      </c>
      <c r="B1129" s="1317" t="s">
        <v>61</v>
      </c>
      <c r="C1129" s="1317" t="str">
        <f>IFERROR(LEFT(PV_DATA[[#This Row],[TCL REFERENCE]],FIND(".",PV_DATA[[#This Row],[TCL REFERENCE]],1)-1),"Main Line")</f>
        <v>26Aug024</v>
      </c>
      <c r="D1129" s="1317" t="s">
        <v>63</v>
      </c>
      <c r="E1129" s="1317" t="s">
        <v>64</v>
      </c>
      <c r="F1129" s="1317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29" s="1317" t="s">
        <v>402</v>
      </c>
      <c r="H1129" s="1317" t="s">
        <v>451</v>
      </c>
      <c r="I1129" s="1317" t="s">
        <v>882</v>
      </c>
      <c r="J1129" s="1318" t="s">
        <v>7036</v>
      </c>
      <c r="M1129" s="1318" t="s">
        <v>68</v>
      </c>
      <c r="N1129" s="1319">
        <v>46279</v>
      </c>
      <c r="O1129" s="1318" t="s">
        <v>4531</v>
      </c>
      <c r="P1129" s="1318" t="s">
        <v>7037</v>
      </c>
      <c r="Q1129" s="1318" t="s">
        <v>7038</v>
      </c>
      <c r="R1129" s="430" t="str">
        <f>_xlfn.XLOOKUP(PV_DATA[[#This Row],[New Ark SKU]],Table9[New Ark SKU],Table9[Connector],,0)</f>
        <v>EVO2A</v>
      </c>
      <c r="S1129" s="433" t="str">
        <f>_xlfn.XLOOKUP(PV_DATA[[#This Row],[New Ark SKU]],Table9[New Ark SKU],Table9[Cable],,0)</f>
        <v>±1200mm</v>
      </c>
      <c r="T1129" s="1320">
        <v>505</v>
      </c>
      <c r="U1129" s="1321">
        <v>864</v>
      </c>
      <c r="V1129" s="1322">
        <f>PV_DATA[[#This Row],[QUANTITY]]*PV_DATA[[#This Row],[WATT]]/1000000</f>
        <v>0.43631999999999999</v>
      </c>
      <c r="W1129" s="1323">
        <f>PV_DATA[[#This Row],[QUANTITY]]/PV_DATA[[#This Row],[Qty/Pallet]]</f>
        <v>24</v>
      </c>
      <c r="X1129" s="1324">
        <f>PV_DATA[[#This Row],[QUANTITY]]/PV_DATA[[#This Row],[Qty/CT]]</f>
        <v>1</v>
      </c>
      <c r="Y1129" s="1318" t="s">
        <v>2470</v>
      </c>
      <c r="Z1129" s="1318" t="str">
        <f t="shared" si="21"/>
        <v>IN-TRANSIT</v>
      </c>
      <c r="AA1129" s="1318" t="s">
        <v>7039</v>
      </c>
      <c r="AB1129" s="1309">
        <v>46295</v>
      </c>
      <c r="AC1129" s="1326">
        <f>IF(PV_DATA[[#This Row],[Pick- Up Date]]&lt;&gt;"",_xlfn.ISOWEEKNUM(PV_DATA[[#This Row],[Pick- Up Date]]),"")</f>
        <v>40</v>
      </c>
      <c r="AD1129" s="1318" t="s">
        <v>7106</v>
      </c>
      <c r="AF1129" s="1318" t="s">
        <v>61</v>
      </c>
      <c r="AG1129" s="1318" t="s">
        <v>61</v>
      </c>
      <c r="AH1129" s="1318" t="s">
        <v>456</v>
      </c>
      <c r="AI1129" s="1325">
        <v>46300</v>
      </c>
      <c r="AJ1129" s="1309">
        <f>IFERROR(VLOOKUP(AT1129, Vessel!A:D, 4, FALSE), "")</f>
        <v>46300.958333333336</v>
      </c>
      <c r="AK1129" s="1309">
        <v>46301</v>
      </c>
      <c r="AL1129" s="1325">
        <v>46355</v>
      </c>
      <c r="AM1129" s="1310">
        <f>IFERROR(VLOOKUP(AT1129, Vessel!A:H, 8, FALSE), "")</f>
        <v>46355.020833333336</v>
      </c>
      <c r="AN1129" s="1310" t="str">
        <f>IFERROR(IF(VLOOKUP(AT1129,Vessel!A:I,9,FALSE)=0,"",VLOOKUP(AT1129,Vessel!A:I,9,FALSE)),"")</f>
        <v/>
      </c>
      <c r="AP1129" s="1318" t="s">
        <v>7102</v>
      </c>
      <c r="AQ1129" s="1331" t="s">
        <v>80</v>
      </c>
      <c r="AR1129" s="1318" t="s">
        <v>7107</v>
      </c>
      <c r="AS1129" s="1318" t="s">
        <v>7108</v>
      </c>
      <c r="AT1129" s="1318" t="s">
        <v>7108</v>
      </c>
      <c r="AU1129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54.020833333335759</v>
      </c>
      <c r="AW1129" s="1309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46355.020833333336</v>
      </c>
      <c r="AX112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1309" t="str">
        <f>IF(ISERROR(PV_DATA[[#This Row],[New Ark PO status]]),"",_xlfn.XLOOKUP(PV_DATA[[#This Row],[SPTN-PVHK New Ark PO'#]],New_Ark_Data[Purchase order Number],New_Ark_Data[Estimated time of arrival],"",0))</f>
        <v/>
      </c>
      <c r="AZ1129" s="13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29" s="1309">
        <f>IFERROR(PV_DATA[[#This Row],[ODP ETA Port]]+PV_DATA[[#This Row],[Customs/Leg3 Assumption]],"n/a")</f>
        <v>46362.020833333336</v>
      </c>
      <c r="BB1129" s="1320" t="s">
        <v>6536</v>
      </c>
      <c r="BC1129" s="1318" t="s">
        <v>6536</v>
      </c>
      <c r="BD1129" s="1318">
        <f>IFERROR(_xlfn.ISOWEEKNUM(PV_DATA[[#This Row],[ETA for New Ark update]]),0)</f>
        <v>49</v>
      </c>
      <c r="BE1129" s="1318">
        <v>36</v>
      </c>
      <c r="BF1129" s="1318">
        <v>864</v>
      </c>
      <c r="BG1129" s="1318" t="str">
        <f>_xlfn.XLOOKUP(PV_DATA[[#This Row],[New Ark SKU]],Table9[New Ark SKU],Table9[Back Glass],,0)</f>
        <v>Black glazing</v>
      </c>
      <c r="BH1129" s="1333" t="str">
        <f>_xlfn.XLOOKUP(PV_DATA[[#This Row],[PORT DESTINATION]],Table12[PORT DESTINATION],Table12[Cosco Line],,0)</f>
        <v>AEU</v>
      </c>
    </row>
    <row r="1130" spans="1:62" s="1318" customFormat="1" ht="10.5">
      <c r="A1130" s="1334" t="s">
        <v>7109</v>
      </c>
      <c r="B1130" s="1317" t="s">
        <v>61</v>
      </c>
      <c r="C1130" s="1317" t="str">
        <f>IFERROR(LEFT(PV_DATA[[#This Row],[TCL REFERENCE]],FIND(".",PV_DATA[[#This Row],[TCL REFERENCE]],1)-1),"Main Line")</f>
        <v>26Aug004</v>
      </c>
      <c r="D1130" s="1317" t="s">
        <v>63</v>
      </c>
      <c r="E1130" s="1317" t="s">
        <v>64</v>
      </c>
      <c r="F1130" s="1317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0" s="1317" t="s">
        <v>402</v>
      </c>
      <c r="H1130" s="1317" t="s">
        <v>67</v>
      </c>
      <c r="I1130" s="1317" t="s">
        <v>689</v>
      </c>
      <c r="J1130" s="1318" t="s">
        <v>96</v>
      </c>
      <c r="M1130" s="1318" t="s">
        <v>6315</v>
      </c>
      <c r="N1130" s="1319">
        <v>46237</v>
      </c>
      <c r="O1130" s="1318" t="s">
        <v>4531</v>
      </c>
      <c r="P1130" s="1318" t="s">
        <v>1151</v>
      </c>
      <c r="Q1130" s="1318" t="s">
        <v>421</v>
      </c>
      <c r="R1130" s="430" t="str">
        <f>_xlfn.XLOOKUP(PV_DATA[[#This Row],[New Ark SKU]],Table9[New Ark SKU],Table9[Connector],,0)</f>
        <v>EVO2A</v>
      </c>
      <c r="S1130" s="433" t="str">
        <f>_xlfn.XLOOKUP(PV_DATA[[#This Row],[New Ark SKU]],Table9[New Ark SKU],Table9[Cable],,0)</f>
        <v>±1200mm</v>
      </c>
      <c r="T1130" s="1320">
        <v>505</v>
      </c>
      <c r="U1130" s="1321">
        <v>1728</v>
      </c>
      <c r="V1130" s="1322">
        <f>PV_DATA[[#This Row],[QUANTITY]]*PV_DATA[[#This Row],[WATT]]/1000000</f>
        <v>0.87263999999999997</v>
      </c>
      <c r="W1130" s="1323">
        <f>PV_DATA[[#This Row],[QUANTITY]]/PV_DATA[[#This Row],[Qty/Pallet]]</f>
        <v>48</v>
      </c>
      <c r="X1130" s="1324">
        <f>PV_DATA[[#This Row],[QUANTITY]]/PV_DATA[[#This Row],[Qty/CT]]</f>
        <v>2</v>
      </c>
      <c r="Y1130" s="1318" t="s">
        <v>2468</v>
      </c>
      <c r="Z1130" s="1318" t="str">
        <f t="shared" si="21"/>
        <v>IN-TRANSIT</v>
      </c>
      <c r="AA1130" s="1318" t="s">
        <v>6416</v>
      </c>
      <c r="AB1130" s="1325">
        <v>46295</v>
      </c>
      <c r="AC1130" s="1326">
        <f>IF(PV_DATA[[#This Row],[Pick- Up Date]]&lt;&gt;"",_xlfn.ISOWEEKNUM(PV_DATA[[#This Row],[Pick- Up Date]]),"")</f>
        <v>40</v>
      </c>
      <c r="AD1130" s="1318" t="s">
        <v>7110</v>
      </c>
      <c r="AF1130" s="1327" t="s">
        <v>61</v>
      </c>
      <c r="AG1130" s="1327" t="s">
        <v>61</v>
      </c>
      <c r="AH1130" s="1318" t="s">
        <v>78</v>
      </c>
      <c r="AI1130" s="1329">
        <v>46300</v>
      </c>
      <c r="AJ1130" s="1309">
        <f>IFERROR(VLOOKUP(AT1130, Vessel!A:D, 4, FALSE), "")</f>
        <v>46300.958333333336</v>
      </c>
      <c r="AK1130" s="1309">
        <v>46301</v>
      </c>
      <c r="AL1130" s="1329">
        <v>46358</v>
      </c>
      <c r="AM1130" s="1310">
        <f>IFERROR(VLOOKUP(AT1130, Vessel!A:H, 8, FALSE), "")</f>
        <v>46358.25</v>
      </c>
      <c r="AN1130" s="1310" t="str">
        <f>IFERROR(IF(VLOOKUP(AT1130,Vessel!A:I,9,FALSE)=0,"",VLOOKUP(AT1130,Vessel!A:I,9,FALSE)),"")</f>
        <v/>
      </c>
      <c r="AO1130" s="1352"/>
      <c r="AP1130" s="1330" t="s">
        <v>7102</v>
      </c>
      <c r="AQ1130" s="1331" t="s">
        <v>80</v>
      </c>
      <c r="AR1130" s="1318" t="s">
        <v>7111</v>
      </c>
      <c r="AS1130" s="1318" t="s">
        <v>7112</v>
      </c>
      <c r="AT1130" s="1318" t="s">
        <v>7112</v>
      </c>
      <c r="AU1130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57.25</v>
      </c>
      <c r="AW1130" s="1309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46358.25</v>
      </c>
      <c r="AX113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1309" t="str">
        <f>IF(ISERROR(PV_DATA[[#This Row],[New Ark PO status]]),"",_xlfn.XLOOKUP(PV_DATA[[#This Row],[SPTN-PVHK New Ark PO'#]],New_Ark_Data[Purchase order Number],New_Ark_Data[Estimated time of arrival],"",0))</f>
        <v/>
      </c>
      <c r="AZ1130" s="132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0" s="1309">
        <f>IFERROR(PV_DATA[[#This Row],[ODP ETA Port]]+PV_DATA[[#This Row],[Customs/Leg3 Assumption]],"n/a")</f>
        <v>46366.25</v>
      </c>
      <c r="BB1130" s="1320" t="s">
        <v>6315</v>
      </c>
      <c r="BC1130" s="1320" t="s">
        <v>6315</v>
      </c>
      <c r="BD1130" s="1318">
        <f>IFERROR(_xlfn.ISOWEEKNUM(PV_DATA[[#This Row],[ETA for New Ark update]]),0)</f>
        <v>50</v>
      </c>
      <c r="BE1130" s="1318">
        <f>_xlfn.XLOOKUP(PV_DATA[[#This Row],[New Ark SKU]],Table9[New Ark SKU],Table9[Total PCS per Pallet],,0)</f>
        <v>36</v>
      </c>
      <c r="BF1130" s="1318">
        <f>_xlfn.XLOOKUP(PV_DATA[[#This Row],[New Ark SKU]],Table9[New Ark SKU],Table9[Total PCS per 40HQ Container],,0)</f>
        <v>864</v>
      </c>
      <c r="BG1130" s="1318" t="str">
        <f>_xlfn.XLOOKUP(PV_DATA[[#This Row],[New Ark SKU]],Table9[New Ark SKU],Table9[Back Glass],,0)</f>
        <v>Black glazing</v>
      </c>
      <c r="BH1130" s="1333" t="str">
        <f>_xlfn.XLOOKUP(PV_DATA[[#This Row],[PORT DESTINATION]],Table12[PORT DESTINATION],Table12[Cosco Line],,0)</f>
        <v>AEM</v>
      </c>
    </row>
    <row r="1131" spans="1:62" s="1318" customFormat="1" ht="13.5" customHeight="1">
      <c r="A1131" s="724" t="s">
        <v>7113</v>
      </c>
      <c r="B1131" s="1317" t="s">
        <v>111</v>
      </c>
      <c r="C1131" s="1317" t="str">
        <f>IFERROR(LEFT(PV_DATA[[#This Row],[TCL REFERENCE]],FIND(".",PV_DATA[[#This Row],[TCL REFERENCE]],1)-1),"Main Line")</f>
        <v>26Aug015</v>
      </c>
      <c r="D1131" s="1317" t="s">
        <v>63</v>
      </c>
      <c r="E1131" s="1317" t="s">
        <v>64</v>
      </c>
      <c r="F1131" s="1317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1" s="1317" t="s">
        <v>402</v>
      </c>
      <c r="H1131" s="1317" t="s">
        <v>67</v>
      </c>
      <c r="I1131" s="1317" t="s">
        <v>689</v>
      </c>
      <c r="J1131" s="1318" t="s">
        <v>96</v>
      </c>
      <c r="M1131" s="1318" t="s">
        <v>68</v>
      </c>
      <c r="N1131" s="1319">
        <v>46285</v>
      </c>
      <c r="O1131" s="1318" t="s">
        <v>550</v>
      </c>
      <c r="P1131" s="1318" t="s">
        <v>551</v>
      </c>
      <c r="Q1131" s="1318" t="s">
        <v>2151</v>
      </c>
      <c r="R1131" s="430" t="str">
        <f>_xlfn.XLOOKUP(PV_DATA[[#This Row],[New Ark SKU]],Table9[New Ark SKU],Table9[Connector],,0)</f>
        <v>EVO2A</v>
      </c>
      <c r="S1131" s="433" t="str">
        <f>_xlfn.XLOOKUP(PV_DATA[[#This Row],[New Ark SKU]],Table9[New Ark SKU],Table9[Cable],,0)</f>
        <v>±1350mm</v>
      </c>
      <c r="T1131" s="1320">
        <v>510</v>
      </c>
      <c r="U1131" s="1321">
        <v>792</v>
      </c>
      <c r="V1131" s="1322">
        <f>PV_DATA[[#This Row],[QUANTITY]]*PV_DATA[[#This Row],[WATT]]/1000000</f>
        <v>0.40392</v>
      </c>
      <c r="W1131" s="1323">
        <f>PV_DATA[[#This Row],[QUANTITY]]/PV_DATA[[#This Row],[Qty/Pallet]]</f>
        <v>22</v>
      </c>
      <c r="X1131" s="1324">
        <f>PV_DATA[[#This Row],[QUANTITY]]/PV_DATA[[#This Row],[Qty/CT]]</f>
        <v>1</v>
      </c>
      <c r="Y1131" s="1318" t="s">
        <v>2470</v>
      </c>
      <c r="Z1131" s="1318" t="str">
        <f t="shared" si="21"/>
        <v/>
      </c>
      <c r="AA1131" s="1342">
        <v>46291</v>
      </c>
      <c r="AB1131" s="1309">
        <v>46305</v>
      </c>
      <c r="AC1131" s="1326">
        <f>IF(PV_DATA[[#This Row],[Pick- Up Date]]&lt;&gt;"",_xlfn.ISOWEEKNUM(PV_DATA[[#This Row],[Pick- Up Date]]),"")</f>
        <v>41</v>
      </c>
      <c r="AF1131" s="1318" t="s">
        <v>5994</v>
      </c>
      <c r="AG1131" s="1318" t="s">
        <v>5994</v>
      </c>
      <c r="AH1131" s="1318" t="s">
        <v>78</v>
      </c>
      <c r="AI1131" s="1309">
        <v>46298</v>
      </c>
      <c r="AJ1131" s="1309">
        <f>IFERROR(VLOOKUP(AT1131, Vessel!A:D, 4, FALSE), "")</f>
        <v>46304.291666666664</v>
      </c>
      <c r="AK1131" s="1309" t="str">
        <f>IFERROR(IF(VLOOKUP(AT1131,Vessel!A:F,5,FALSE)=0,"",VLOOKUP(AT1131,Vessel!A:F,5,FALSE)),"")</f>
        <v/>
      </c>
      <c r="AL1131" s="1309">
        <v>46349</v>
      </c>
      <c r="AM1131" s="1309">
        <f>IFERROR(VLOOKUP(AT1131, Vessel!A:H, 8, FALSE), "")</f>
        <v>46349.791666666664</v>
      </c>
      <c r="AN1131" s="1309" t="str">
        <f>IFERROR(IF(VLOOKUP(AT1131,Vessel!A:I,9,FALSE)=0,"",VLOOKUP(AT1131,Vessel!A:I,9,FALSE)),"")</f>
        <v/>
      </c>
      <c r="AP1131" s="1318" t="s">
        <v>7086</v>
      </c>
      <c r="AQ1131" s="1331" t="s">
        <v>80</v>
      </c>
      <c r="AR1131" s="1318" t="s">
        <v>7114</v>
      </c>
      <c r="AS1131" s="1318" t="s">
        <v>7115</v>
      </c>
      <c r="AT1131" s="1318" t="s">
        <v>7115</v>
      </c>
      <c r="AU1131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45.5</v>
      </c>
      <c r="AW1131" s="1309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13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1309" t="str">
        <f>IF(ISERROR(PV_DATA[[#This Row],[New Ark PO status]]),"",_xlfn.XLOOKUP(PV_DATA[[#This Row],[SPTN-PVHK New Ark PO'#]],New_Ark_Data[Purchase order Number],New_Ark_Data[Estimated time of arrival],"",0))</f>
        <v/>
      </c>
      <c r="AZ1131" s="132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1" s="1309">
        <f>IFERROR(PV_DATA[[#This Row],[ODP ETA Port]]+PV_DATA[[#This Row],[Customs/Leg3 Assumption]],"n/a")</f>
        <v>46357.791666666664</v>
      </c>
      <c r="BB1131" s="1320" t="s">
        <v>6536</v>
      </c>
      <c r="BC1131" s="1320" t="s">
        <v>6536</v>
      </c>
      <c r="BD1131" s="1318">
        <f>IFERROR(_xlfn.ISOWEEKNUM(PV_DATA[[#This Row],[ETA for New Ark update]]),0)</f>
        <v>49</v>
      </c>
      <c r="BE1131" s="1318">
        <f>_xlfn.XLOOKUP(PV_DATA[[#This Row],[New Ark SKU]],Table9[New Ark SKU],Table9[Total PCS per Pallet],,0)</f>
        <v>36</v>
      </c>
      <c r="BF1131" s="1318">
        <f>_xlfn.XLOOKUP(PV_DATA[[#This Row],[New Ark SKU]],Table9[New Ark SKU],Table9[Total PCS per 40HQ Container],,0)</f>
        <v>792</v>
      </c>
      <c r="BG1131" s="1318" t="str">
        <f>_xlfn.XLOOKUP(PV_DATA[[#This Row],[New Ark SKU]],Table9[New Ark SKU],Table9[Back Glass],,0)</f>
        <v>Black glazing</v>
      </c>
      <c r="BH1131" s="1333" t="str">
        <f>_xlfn.XLOOKUP(PV_DATA[[#This Row],[PORT DESTINATION]],Table12[PORT DESTINATION],Table12[Cosco Line],,0)</f>
        <v>AEM</v>
      </c>
    </row>
    <row r="1132" spans="1:62" s="1318" customFormat="1" ht="13.5" customHeight="1">
      <c r="A1132" s="1334" t="s">
        <v>7116</v>
      </c>
      <c r="B1132" s="1317" t="s">
        <v>111</v>
      </c>
      <c r="C1132" s="1317" t="str">
        <f>IFERROR(LEFT(PV_DATA[[#This Row],[TCL REFERENCE]],FIND(".",PV_DATA[[#This Row],[TCL REFERENCE]],1)-1),"Main Line")</f>
        <v>26Aug015</v>
      </c>
      <c r="D1132" s="1317" t="s">
        <v>63</v>
      </c>
      <c r="E1132" s="1317" t="s">
        <v>64</v>
      </c>
      <c r="F1132" s="1317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2" s="1317" t="s">
        <v>402</v>
      </c>
      <c r="H1132" s="1317" t="s">
        <v>67</v>
      </c>
      <c r="I1132" s="1317" t="s">
        <v>689</v>
      </c>
      <c r="J1132" s="1318" t="s">
        <v>96</v>
      </c>
      <c r="M1132" s="1318" t="s">
        <v>68</v>
      </c>
      <c r="N1132" s="1319">
        <v>46285</v>
      </c>
      <c r="O1132" s="1318" t="s">
        <v>550</v>
      </c>
      <c r="P1132" s="1318" t="s">
        <v>551</v>
      </c>
      <c r="Q1132" s="1318" t="s">
        <v>2151</v>
      </c>
      <c r="R1132" s="430" t="str">
        <f>_xlfn.XLOOKUP(PV_DATA[[#This Row],[New Ark SKU]],Table9[New Ark SKU],Table9[Connector],,0)</f>
        <v>EVO2A</v>
      </c>
      <c r="S1132" s="433" t="str">
        <f>_xlfn.XLOOKUP(PV_DATA[[#This Row],[New Ark SKU]],Table9[New Ark SKU],Table9[Cable],,0)</f>
        <v>±1350mm</v>
      </c>
      <c r="T1132" s="1320">
        <v>510</v>
      </c>
      <c r="U1132" s="1321">
        <v>792</v>
      </c>
      <c r="V1132" s="1322">
        <f>PV_DATA[[#This Row],[QUANTITY]]*PV_DATA[[#This Row],[WATT]]/1000000</f>
        <v>0.40392</v>
      </c>
      <c r="W1132" s="1323">
        <f>PV_DATA[[#This Row],[QUANTITY]]/PV_DATA[[#This Row],[Qty/Pallet]]</f>
        <v>22</v>
      </c>
      <c r="X1132" s="1324">
        <f>PV_DATA[[#This Row],[QUANTITY]]/PV_DATA[[#This Row],[Qty/CT]]</f>
        <v>1</v>
      </c>
      <c r="Y1132" s="1318" t="s">
        <v>2470</v>
      </c>
      <c r="Z1132" s="1318" t="str">
        <f t="shared" ref="Z1132:Z1139" si="22">IF(AN1132&lt;&gt;"","COMPLETED",IF(AK1132&lt;&gt;"","IN-TRANSIT",""))</f>
        <v>IN-TRANSIT</v>
      </c>
      <c r="AA1132" s="1342">
        <v>46291</v>
      </c>
      <c r="AB1132" s="1309">
        <v>46293</v>
      </c>
      <c r="AC1132" s="1326">
        <f>IF(PV_DATA[[#This Row],[Pick- Up Date]]&lt;&gt;"",_xlfn.ISOWEEKNUM(PV_DATA[[#This Row],[Pick- Up Date]]),"")</f>
        <v>40</v>
      </c>
      <c r="AD1132" s="1318" t="s">
        <v>7117</v>
      </c>
      <c r="AF1132" s="1318" t="s">
        <v>5994</v>
      </c>
      <c r="AG1132" s="1318" t="s">
        <v>5994</v>
      </c>
      <c r="AH1132" s="1318" t="s">
        <v>78</v>
      </c>
      <c r="AI1132" s="1309">
        <v>46296</v>
      </c>
      <c r="AJ1132" s="1309">
        <f>IFERROR(VLOOKUP(AT1132, Vessel!A:D, 4, FALSE), "")</f>
        <v>46297.666666666664</v>
      </c>
      <c r="AK1132" s="1309">
        <v>46297</v>
      </c>
      <c r="AL1132" s="1309">
        <v>46337</v>
      </c>
      <c r="AM1132" s="1309">
        <f>IFERROR(VLOOKUP(AT1132, Vessel!A:H, 8, FALSE), "")</f>
        <v>46337.25</v>
      </c>
      <c r="AN1132" s="1309" t="str">
        <f>IFERROR(IF(VLOOKUP(AT1132,Vessel!A:I,9,FALSE)=0,"",VLOOKUP(AT1132,Vessel!A:I,9,FALSE)),"")</f>
        <v/>
      </c>
      <c r="AP1132" s="1318" t="s">
        <v>7118</v>
      </c>
      <c r="AQ1132" s="1331" t="s">
        <v>80</v>
      </c>
      <c r="AR1132" s="1318" t="s">
        <v>7119</v>
      </c>
      <c r="AS1132" s="1318" t="s">
        <v>7120</v>
      </c>
      <c r="AT1132" s="1318" t="s">
        <v>7120</v>
      </c>
      <c r="AU1132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</v>
      </c>
      <c r="AW1132" s="1309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13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1309" t="str">
        <f>IF(ISERROR(PV_DATA[[#This Row],[New Ark PO status]]),"",_xlfn.XLOOKUP(PV_DATA[[#This Row],[SPTN-PVHK New Ark PO'#]],New_Ark_Data[Purchase order Number],New_Ark_Data[Estimated time of arrival],"",0))</f>
        <v/>
      </c>
      <c r="AZ1132" s="132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2" s="1309">
        <f>IFERROR(PV_DATA[[#This Row],[ODP ETA Port]]+PV_DATA[[#This Row],[Customs/Leg3 Assumption]],"n/a")</f>
        <v>46345.25</v>
      </c>
      <c r="BB1132" s="1320" t="s">
        <v>6536</v>
      </c>
      <c r="BC1132" s="1320" t="s">
        <v>6536</v>
      </c>
      <c r="BD1132" s="1318">
        <f>IFERROR(_xlfn.ISOWEEKNUM(PV_DATA[[#This Row],[ETA for New Ark update]]),0)</f>
        <v>47</v>
      </c>
      <c r="BE1132" s="1318">
        <f>_xlfn.XLOOKUP(PV_DATA[[#This Row],[New Ark SKU]],Table9[New Ark SKU],Table9[Total PCS per Pallet],,0)</f>
        <v>36</v>
      </c>
      <c r="BF1132" s="1318">
        <f>_xlfn.XLOOKUP(PV_DATA[[#This Row],[New Ark SKU]],Table9[New Ark SKU],Table9[Total PCS per 40HQ Container],,0)</f>
        <v>792</v>
      </c>
      <c r="BG1132" s="1318" t="str">
        <f>_xlfn.XLOOKUP(PV_DATA[[#This Row],[New Ark SKU]],Table9[New Ark SKU],Table9[Back Glass],,0)</f>
        <v>Black glazing</v>
      </c>
      <c r="BH1132" s="1333" t="str">
        <f>_xlfn.XLOOKUP(PV_DATA[[#This Row],[PORT DESTINATION]],Table12[PORT DESTINATION],Table12[Cosco Line],,0)</f>
        <v>AEM</v>
      </c>
    </row>
    <row r="1133" spans="1:62" s="1318" customFormat="1" ht="10.5">
      <c r="A1133" s="1334" t="s">
        <v>7121</v>
      </c>
      <c r="B1133" s="1317" t="s">
        <v>61</v>
      </c>
      <c r="C1133" s="1317" t="str">
        <f>IFERROR(LEFT(PV_DATA[[#This Row],[TCL REFERENCE]],FIND(".",PV_DATA[[#This Row],[TCL REFERENCE]],1)-1),"Main Line")</f>
        <v>26Aug003</v>
      </c>
      <c r="D1133" s="1317" t="s">
        <v>63</v>
      </c>
      <c r="E1133" s="1317" t="s">
        <v>64</v>
      </c>
      <c r="F1133" s="1317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3" s="1317" t="s">
        <v>402</v>
      </c>
      <c r="H1133" s="1317" t="s">
        <v>67</v>
      </c>
      <c r="I1133" s="1317" t="s">
        <v>6415</v>
      </c>
      <c r="J1133" s="1318" t="s">
        <v>96</v>
      </c>
      <c r="K1133" s="1317"/>
      <c r="M1133" s="1318" t="s">
        <v>6315</v>
      </c>
      <c r="N1133" s="1319">
        <v>46237</v>
      </c>
      <c r="O1133" s="1318" t="s">
        <v>4531</v>
      </c>
      <c r="P1133" s="1318" t="s">
        <v>71</v>
      </c>
      <c r="Q1133" s="1318" t="s">
        <v>72</v>
      </c>
      <c r="R1133" s="430" t="str">
        <f>_xlfn.XLOOKUP(PV_DATA[[#This Row],[New Ark SKU]],Table9[New Ark SKU],Table9[Connector],,0)</f>
        <v>EVO2A</v>
      </c>
      <c r="S1133" s="433" t="str">
        <f>_xlfn.XLOOKUP(PV_DATA[[#This Row],[New Ark SKU]],Table9[New Ark SKU],Table9[Cable],,0)</f>
        <v>±1200mm</v>
      </c>
      <c r="T1133" s="1320">
        <v>500</v>
      </c>
      <c r="U1133" s="1321">
        <v>4320</v>
      </c>
      <c r="V1133" s="1322">
        <f>PV_DATA[[#This Row],[QUANTITY]]*PV_DATA[[#This Row],[WATT]]/1000000</f>
        <v>2.16</v>
      </c>
      <c r="W1133" s="1323">
        <f>PV_DATA[[#This Row],[QUANTITY]]/PV_DATA[[#This Row],[Qty/Pallet]]</f>
        <v>120</v>
      </c>
      <c r="X1133" s="1324">
        <f>PV_DATA[[#This Row],[QUANTITY]]/PV_DATA[[#This Row],[Qty/CT]]</f>
        <v>5</v>
      </c>
      <c r="Y1133" s="1318" t="s">
        <v>2469</v>
      </c>
      <c r="Z1133" s="1318" t="str">
        <f t="shared" si="22"/>
        <v>IN-TRANSIT</v>
      </c>
      <c r="AB1133" s="1325">
        <v>46294</v>
      </c>
      <c r="AC1133" s="1326">
        <f>IF(PV_DATA[[#This Row],[Pick- Up Date]]&lt;&gt;"",_xlfn.ISOWEEKNUM(PV_DATA[[#This Row],[Pick- Up Date]]),"")</f>
        <v>40</v>
      </c>
      <c r="AD1133" s="1318" t="s">
        <v>7122</v>
      </c>
      <c r="AF1133" s="1327" t="s">
        <v>61</v>
      </c>
      <c r="AG1133" s="1327" t="s">
        <v>61</v>
      </c>
      <c r="AH1133" s="1318" t="s">
        <v>105</v>
      </c>
      <c r="AI1133" s="1329">
        <v>46300</v>
      </c>
      <c r="AJ1133" s="1329">
        <f>IFERROR(VLOOKUP(AT1133, Vessel!A:D, 4, FALSE), "")</f>
        <v>46300.958333333336</v>
      </c>
      <c r="AK1133" s="1329">
        <v>46301</v>
      </c>
      <c r="AL1133" s="1329">
        <v>46346</v>
      </c>
      <c r="AM1133" s="1329">
        <f>IFERROR(VLOOKUP(AT1133, Vessel!A:H, 8, FALSE), "")</f>
        <v>46346.333333333336</v>
      </c>
      <c r="AN1133" s="1329" t="str">
        <f>IFERROR(IF(VLOOKUP(AT1133,Vessel!A:I,9,FALSE)=0,"",VLOOKUP(AT1133,Vessel!A:I,9,FALSE)),"")</f>
        <v/>
      </c>
      <c r="AO1133" s="1344"/>
      <c r="AP1133" s="1318" t="s">
        <v>7102</v>
      </c>
      <c r="AQ1133" s="1331" t="s">
        <v>80</v>
      </c>
      <c r="AR1133" s="1318" t="s">
        <v>7123</v>
      </c>
      <c r="AS1133" s="1318" t="s">
        <v>7124</v>
      </c>
      <c r="AT1133" s="1318" t="s">
        <v>7124</v>
      </c>
      <c r="AU1133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45.333333333335759</v>
      </c>
      <c r="AW1133" s="1309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13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1309" t="str">
        <f>IF(ISERROR(PV_DATA[[#This Row],[New Ark PO status]]),"",_xlfn.XLOOKUP(PV_DATA[[#This Row],[SPTN-PVHK New Ark PO'#]],New_Ark_Data[Purchase order Number],New_Ark_Data[Estimated time of arrival],"",0))</f>
        <v/>
      </c>
      <c r="AZ1133" s="13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3" s="1309">
        <f>IFERROR(PV_DATA[[#This Row],[ODP ETA Port]]+PV_DATA[[#This Row],[Customs/Leg3 Assumption]],"n/a")</f>
        <v>46353.333333333336</v>
      </c>
      <c r="BB1133" s="1320">
        <f>YEAR(PV_DATA[[#This Row],[ETA for New Ark update]])</f>
        <v>2026</v>
      </c>
      <c r="BC1133" s="1318">
        <f>MONTH(PV_DATA[[#This Row],[ETA for New Ark update]])</f>
        <v>11</v>
      </c>
      <c r="BD1133" s="1318">
        <f>IFERROR(_xlfn.ISOWEEKNUM(PV_DATA[[#This Row],[ETA for New Ark update]]),0)</f>
        <v>48</v>
      </c>
      <c r="BE1133" s="1318">
        <f>_xlfn.XLOOKUP(PV_DATA[[#This Row],[New Ark SKU]],Table9[New Ark SKU],Table9[Total PCS per Pallet],,0)</f>
        <v>36</v>
      </c>
      <c r="BF1133" s="1318">
        <f>_xlfn.XLOOKUP(PV_DATA[[#This Row],[New Ark SKU]],Table9[New Ark SKU],Table9[Total PCS per 40HQ Container],,0)</f>
        <v>864</v>
      </c>
      <c r="BG1133" s="1318" t="str">
        <f>_xlfn.XLOOKUP(PV_DATA[[#This Row],[New Ark SKU]],Table9[New Ark SKU],Table9[Back Glass],,0)</f>
        <v>Black glazing</v>
      </c>
      <c r="BH1133" s="1333" t="str">
        <f>_xlfn.XLOOKUP(PV_DATA[[#This Row],[PORT DESTINATION]],Table12[PORT DESTINATION],Table12[Cosco Line],,0)</f>
        <v>AEU</v>
      </c>
    </row>
    <row r="1134" spans="1:62" s="1318" customFormat="1" ht="10.5">
      <c r="A1134" s="1334" t="s">
        <v>7125</v>
      </c>
      <c r="B1134" s="1317" t="s">
        <v>61</v>
      </c>
      <c r="C1134" s="1317" t="str">
        <f>IFERROR(LEFT(PV_DATA[[#This Row],[TCL REFERENCE]],FIND(".",PV_DATA[[#This Row],[TCL REFERENCE]],1)-1),"Main Line")</f>
        <v>26Aug003</v>
      </c>
      <c r="D1134" s="1317" t="s">
        <v>63</v>
      </c>
      <c r="E1134" s="1317" t="s">
        <v>64</v>
      </c>
      <c r="F1134" s="1317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4" s="1317" t="s">
        <v>402</v>
      </c>
      <c r="H1134" s="1317" t="s">
        <v>67</v>
      </c>
      <c r="I1134" s="1317" t="s">
        <v>689</v>
      </c>
      <c r="J1134" s="1317" t="s">
        <v>7126</v>
      </c>
      <c r="K1134" s="1317"/>
      <c r="M1134" s="1318" t="s">
        <v>6315</v>
      </c>
      <c r="N1134" s="1319">
        <v>46237</v>
      </c>
      <c r="O1134" s="1318" t="s">
        <v>4531</v>
      </c>
      <c r="P1134" s="1318" t="s">
        <v>71</v>
      </c>
      <c r="Q1134" s="1318" t="s">
        <v>72</v>
      </c>
      <c r="R1134" s="430" t="str">
        <f>_xlfn.XLOOKUP(PV_DATA[[#This Row],[New Ark SKU]],Table9[New Ark SKU],Table9[Connector],,0)</f>
        <v>EVO2A</v>
      </c>
      <c r="S1134" s="433" t="str">
        <f>_xlfn.XLOOKUP(PV_DATA[[#This Row],[New Ark SKU]],Table9[New Ark SKU],Table9[Cable],,0)</f>
        <v>±1200mm</v>
      </c>
      <c r="T1134" s="1320">
        <v>500</v>
      </c>
      <c r="U1134" s="1321">
        <v>1728</v>
      </c>
      <c r="V1134" s="1322">
        <f>PV_DATA[[#This Row],[QUANTITY]]*PV_DATA[[#This Row],[WATT]]/1000000</f>
        <v>0.86399999999999999</v>
      </c>
      <c r="W1134" s="1323">
        <f>PV_DATA[[#This Row],[QUANTITY]]/PV_DATA[[#This Row],[Qty/Pallet]]</f>
        <v>48</v>
      </c>
      <c r="X1134" s="1324">
        <f>PV_DATA[[#This Row],[QUANTITY]]/PV_DATA[[#This Row],[Qty/CT]]</f>
        <v>2</v>
      </c>
      <c r="Y1134" s="1318" t="s">
        <v>2468</v>
      </c>
      <c r="Z1134" s="1318" t="str">
        <f t="shared" si="22"/>
        <v>IN-TRANSIT</v>
      </c>
      <c r="AB1134" s="1325">
        <v>46294</v>
      </c>
      <c r="AC1134" s="1326">
        <f>IF(PV_DATA[[#This Row],[Pick- Up Date]]&lt;&gt;"",_xlfn.ISOWEEKNUM(PV_DATA[[#This Row],[Pick- Up Date]]),"")</f>
        <v>40</v>
      </c>
      <c r="AD1134" s="1318" t="s">
        <v>7127</v>
      </c>
      <c r="AF1134" s="1327" t="s">
        <v>61</v>
      </c>
      <c r="AG1134" s="1327" t="s">
        <v>61</v>
      </c>
      <c r="AH1134" s="1318" t="s">
        <v>105</v>
      </c>
      <c r="AI1134" s="1329">
        <v>46300</v>
      </c>
      <c r="AJ1134" s="1329">
        <f>IFERROR(VLOOKUP(AT1134, Vessel!A:D, 4, FALSE), "")</f>
        <v>46300.958333333336</v>
      </c>
      <c r="AK1134" s="1329">
        <v>46301</v>
      </c>
      <c r="AL1134" s="1329">
        <v>46346</v>
      </c>
      <c r="AM1134" s="1329">
        <f>IFERROR(VLOOKUP(AT1134, Vessel!A:H, 8, FALSE), "")</f>
        <v>46346.333333333336</v>
      </c>
      <c r="AN1134" s="1329" t="str">
        <f>IFERROR(IF(VLOOKUP(AT1134,Vessel!A:I,9,FALSE)=0,"",VLOOKUP(AT1134,Vessel!A:I,9,FALSE)),"")</f>
        <v/>
      </c>
      <c r="AO1134" s="1336"/>
      <c r="AP1134" s="1318" t="s">
        <v>7102</v>
      </c>
      <c r="AQ1134" s="1331" t="s">
        <v>80</v>
      </c>
      <c r="AR1134" s="1318" t="s">
        <v>7123</v>
      </c>
      <c r="AS1134" s="1318" t="s">
        <v>7124</v>
      </c>
      <c r="AT1134" s="1318" t="s">
        <v>7124</v>
      </c>
      <c r="AU1134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45.333333333335759</v>
      </c>
      <c r="AW1134" s="1309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13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1309" t="str">
        <f>IF(ISERROR(PV_DATA[[#This Row],[New Ark PO status]]),"",_xlfn.XLOOKUP(PV_DATA[[#This Row],[SPTN-PVHK New Ark PO'#]],New_Ark_Data[Purchase order Number],New_Ark_Data[Estimated time of arrival],"",0))</f>
        <v/>
      </c>
      <c r="AZ1134" s="13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4" s="1309">
        <f>IFERROR(PV_DATA[[#This Row],[ODP ETA Port]]+PV_DATA[[#This Row],[Customs/Leg3 Assumption]],"n/a")</f>
        <v>46353.333333333336</v>
      </c>
      <c r="BB1134" s="1320">
        <f>YEAR(PV_DATA[[#This Row],[ETA for New Ark update]])</f>
        <v>2026</v>
      </c>
      <c r="BC1134" s="1318">
        <f>MONTH(PV_DATA[[#This Row],[ETA for New Ark update]])</f>
        <v>11</v>
      </c>
      <c r="BD1134" s="1318">
        <f>IFERROR(_xlfn.ISOWEEKNUM(PV_DATA[[#This Row],[ETA for New Ark update]]),0)</f>
        <v>48</v>
      </c>
      <c r="BE1134" s="1318">
        <f>_xlfn.XLOOKUP(PV_DATA[[#This Row],[New Ark SKU]],Table9[New Ark SKU],Table9[Total PCS per Pallet],,0)</f>
        <v>36</v>
      </c>
      <c r="BF1134" s="1318">
        <f>_xlfn.XLOOKUP(PV_DATA[[#This Row],[New Ark SKU]],Table9[New Ark SKU],Table9[Total PCS per 40HQ Container],,0)</f>
        <v>864</v>
      </c>
      <c r="BG1134" s="1318" t="str">
        <f>_xlfn.XLOOKUP(PV_DATA[[#This Row],[New Ark SKU]],Table9[New Ark SKU],Table9[Back Glass],,0)</f>
        <v>Black glazing</v>
      </c>
      <c r="BH1134" s="1333" t="str">
        <f>_xlfn.XLOOKUP(PV_DATA[[#This Row],[PORT DESTINATION]],Table12[PORT DESTINATION],Table12[Cosco Line],,0)</f>
        <v>AEU</v>
      </c>
    </row>
    <row r="1135" spans="1:62" s="1318" customFormat="1" ht="13.5" customHeight="1">
      <c r="A1135" s="1317" t="s">
        <v>7128</v>
      </c>
      <c r="B1135" s="1317" t="s">
        <v>61</v>
      </c>
      <c r="C1135" s="1317" t="str">
        <f>IFERROR(LEFT(PV_DATA[[#This Row],[TCL REFERENCE]],FIND(".",PV_DATA[[#This Row],[TCL REFERENCE]],1)-1),"Main Line")</f>
        <v>26Aug022</v>
      </c>
      <c r="D1135" s="1317" t="s">
        <v>63</v>
      </c>
      <c r="E1135" s="1317" t="s">
        <v>64</v>
      </c>
      <c r="F1135" s="1317" t="str" cm="1">
        <f t="array" ref="F11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5" s="1317" t="s">
        <v>402</v>
      </c>
      <c r="H1135" s="1317" t="s">
        <v>67</v>
      </c>
      <c r="I1135" s="1317" t="s">
        <v>689</v>
      </c>
      <c r="J1135" s="1317" t="s">
        <v>96</v>
      </c>
      <c r="M1135" s="1318" t="s">
        <v>68</v>
      </c>
      <c r="N1135" s="1319">
        <v>46279</v>
      </c>
      <c r="O1135" s="1318" t="s">
        <v>4531</v>
      </c>
      <c r="P1135" s="1318" t="s">
        <v>1151</v>
      </c>
      <c r="Q1135" s="1318" t="s">
        <v>421</v>
      </c>
      <c r="R1135" s="430" t="str">
        <f>_xlfn.XLOOKUP(PV_DATA[[#This Row],[New Ark SKU]],Table9[New Ark SKU],Table9[Connector],,0)</f>
        <v>EVO2A</v>
      </c>
      <c r="S1135" s="433" t="str">
        <f>_xlfn.XLOOKUP(PV_DATA[[#This Row],[New Ark SKU]],Table9[New Ark SKU],Table9[Cable],,0)</f>
        <v>±1200mm</v>
      </c>
      <c r="T1135" s="1320">
        <v>505</v>
      </c>
      <c r="U1135" s="1321">
        <v>864</v>
      </c>
      <c r="V1135" s="1322">
        <f>PV_DATA[[#This Row],[QUANTITY]]*PV_DATA[[#This Row],[WATT]]/1000000</f>
        <v>0.43631999999999999</v>
      </c>
      <c r="W1135" s="1323">
        <f>PV_DATA[[#This Row],[QUANTITY]]/PV_DATA[[#This Row],[Qty/Pallet]]</f>
        <v>24</v>
      </c>
      <c r="X1135" s="1324">
        <f>PV_DATA[[#This Row],[QUANTITY]]/PV_DATA[[#This Row],[Qty/CT]]</f>
        <v>1</v>
      </c>
      <c r="Y1135" s="1318" t="s">
        <v>2471</v>
      </c>
      <c r="Z1135" s="1318" t="str">
        <f t="shared" si="22"/>
        <v>IN-TRANSIT</v>
      </c>
      <c r="AA1135" s="1318" t="s">
        <v>5853</v>
      </c>
      <c r="AB1135" s="1325">
        <v>46294</v>
      </c>
      <c r="AC1135" s="1326">
        <f>IF(PV_DATA[[#This Row],[Pick- Up Date]]&lt;&gt;"",_xlfn.ISOWEEKNUM(PV_DATA[[#This Row],[Pick- Up Date]]),"")</f>
        <v>40</v>
      </c>
      <c r="AD1135" s="1318" t="s">
        <v>7129</v>
      </c>
      <c r="AF1135" s="1318" t="s">
        <v>77</v>
      </c>
      <c r="AG1135" s="1318" t="s">
        <v>77</v>
      </c>
      <c r="AH1135" s="1318" t="s">
        <v>105</v>
      </c>
      <c r="AI1135" s="1329">
        <v>46300</v>
      </c>
      <c r="AJ1135" s="1329">
        <f>IFERROR(VLOOKUP(AT1135, Vessel!A:D, 4, FALSE), "")</f>
        <v>46300.958333333336</v>
      </c>
      <c r="AK1135" s="1329">
        <v>46301</v>
      </c>
      <c r="AL1135" s="1329">
        <v>46346</v>
      </c>
      <c r="AM1135" s="1329">
        <f>IFERROR(VLOOKUP(AT1135, Vessel!A:H, 8, FALSE), "")</f>
        <v>46346.333333333336</v>
      </c>
      <c r="AN1135" s="1329" t="str">
        <f>IFERROR(IF(VLOOKUP(AT1135,Vessel!A:I,9,FALSE)=0,"",VLOOKUP(AT1135,Vessel!A:I,9,FALSE)),"")</f>
        <v/>
      </c>
      <c r="AO1135" s="1336"/>
      <c r="AP1135" s="1318" t="s">
        <v>7102</v>
      </c>
      <c r="AQ1135" s="1331" t="s">
        <v>80</v>
      </c>
      <c r="AR1135" s="1318" t="s">
        <v>7123</v>
      </c>
      <c r="AS1135" s="1318" t="s">
        <v>7124</v>
      </c>
      <c r="AT1135" s="1318" t="s">
        <v>7124</v>
      </c>
      <c r="AU1135" s="131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45.333333333335759</v>
      </c>
      <c r="AW1135" s="1309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46346.333333333336</v>
      </c>
      <c r="AX113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1309" t="str">
        <f>IF(ISERROR(PV_DATA[[#This Row],[New Ark PO status]]),"",_xlfn.XLOOKUP(PV_DATA[[#This Row],[SPTN-PVHK New Ark PO'#]],New_Ark_Data[Purchase order Number],New_Ark_Data[Estimated time of arrival],"",0))</f>
        <v/>
      </c>
      <c r="AZ1135" s="13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5" s="1309">
        <f>IFERROR(PV_DATA[[#This Row],[ODP ETA Port]]+PV_DATA[[#This Row],[Customs/Leg3 Assumption]],"n/a")</f>
        <v>46353.333333333336</v>
      </c>
      <c r="BB1135" s="1320">
        <f>YEAR(PV_DATA[[#This Row],[ETA for New Ark update]])</f>
        <v>2026</v>
      </c>
      <c r="BC1135" s="1318">
        <f>MONTH(PV_DATA[[#This Row],[ETA for New Ark update]])</f>
        <v>11</v>
      </c>
      <c r="BD1135" s="1318">
        <f>IFERROR(_xlfn.ISOWEEKNUM(PV_DATA[[#This Row],[ETA for New Ark update]]),0)</f>
        <v>48</v>
      </c>
      <c r="BE1135" s="1318">
        <f>_xlfn.XLOOKUP(PV_DATA[[#This Row],[New Ark SKU]],Table9[New Ark SKU],Table9[Total PCS per Pallet],,0)</f>
        <v>36</v>
      </c>
      <c r="BF1135" s="1318">
        <f>_xlfn.XLOOKUP(PV_DATA[[#This Row],[New Ark SKU]],Table9[New Ark SKU],Table9[Total PCS per 40HQ Container],,0)</f>
        <v>864</v>
      </c>
      <c r="BG1135" s="1318" t="str">
        <f>_xlfn.XLOOKUP(PV_DATA[[#This Row],[New Ark SKU]],Table9[New Ark SKU],Table9[Back Glass],,0)</f>
        <v>Black glazing</v>
      </c>
      <c r="BH1135" s="1318" t="str">
        <f>_xlfn.XLOOKUP(PV_DATA[[#This Row],[PORT DESTINATION]],Table12[PORT DESTINATION],Table12[Cosco Line],,0)</f>
        <v>AEU</v>
      </c>
    </row>
    <row r="1136" spans="1:62" s="472" customFormat="1">
      <c r="A1136" s="1284" t="s">
        <v>7130</v>
      </c>
      <c r="B1136" s="1224" t="s">
        <v>1757</v>
      </c>
      <c r="C1136" s="1224" t="str">
        <f>IFERROR(LEFT(PV_DATA[[#This Row],[TCL REFERENCE]],FIND(".",PV_DATA[[#This Row],[TCL REFERENCE]],1)-1),"Main Line")</f>
        <v>26Oct010</v>
      </c>
      <c r="D1136" s="1224" t="s">
        <v>63</v>
      </c>
      <c r="E1136" s="720" t="s">
        <v>64</v>
      </c>
      <c r="F1136" s="720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36" s="1224" t="s">
        <v>402</v>
      </c>
      <c r="H1136" s="1224" t="s">
        <v>451</v>
      </c>
      <c r="I1136" s="1224" t="s">
        <v>1395</v>
      </c>
      <c r="J1136" s="472" t="s">
        <v>96</v>
      </c>
      <c r="K1136" s="1225"/>
      <c r="L1136" s="1225"/>
      <c r="M1136" s="1225" t="s">
        <v>68</v>
      </c>
      <c r="N1136" s="1226"/>
      <c r="O1136" s="1225" t="s">
        <v>284</v>
      </c>
      <c r="P1136" s="1225" t="s">
        <v>6209</v>
      </c>
      <c r="Q1136" s="1225" t="s">
        <v>6210</v>
      </c>
      <c r="R1136" s="430" t="str">
        <f>_xlfn.XLOOKUP(PV_DATA[[#This Row],[New Ark SKU]],Table9[New Ark SKU],Table9[Connector],,0)</f>
        <v>EVO2A</v>
      </c>
      <c r="S1136" s="433" t="str">
        <f>_xlfn.XLOOKUP(PV_DATA[[#This Row],[New Ark SKU]],Table9[New Ark SKU],Table9[Cable],,0)</f>
        <v>±1200mm</v>
      </c>
      <c r="T1136" s="1227">
        <v>490</v>
      </c>
      <c r="U1136" s="1240">
        <f>936*4</f>
        <v>3744</v>
      </c>
      <c r="V1136" s="1229">
        <f>PV_DATA[[#This Row],[QUANTITY]]*PV_DATA[[#This Row],[WATT]]/1000000</f>
        <v>1.83456</v>
      </c>
      <c r="W1136" s="1242">
        <f>PV_DATA[[#This Row],[QUANTITY]]/PV_DATA[[#This Row],[Qty/Pallet]]</f>
        <v>104</v>
      </c>
      <c r="X1136" s="1231">
        <f>PV_DATA[[#This Row],[QUANTITY]]/PV_DATA[[#This Row],[Qty/CT]]</f>
        <v>4</v>
      </c>
      <c r="Y1136" s="472" t="s">
        <v>2472</v>
      </c>
      <c r="Z1136" s="1353" t="str">
        <f t="shared" si="22"/>
        <v/>
      </c>
      <c r="AA1136" s="1225" t="s">
        <v>7131</v>
      </c>
      <c r="AB1136" s="1232">
        <v>46304</v>
      </c>
      <c r="AC1136" s="1233">
        <f>IF(PV_DATA[[#This Row],[Pick- Up Date]]&lt;&gt;"",_xlfn.ISOWEEKNUM(PV_DATA[[#This Row],[Pick- Up Date]]),"")</f>
        <v>41</v>
      </c>
      <c r="AD1136" s="1225"/>
      <c r="AE1136" s="1227"/>
      <c r="AF1136" s="472" t="s">
        <v>122</v>
      </c>
      <c r="AG1136" s="472" t="s">
        <v>123</v>
      </c>
      <c r="AH1136" s="472" t="s">
        <v>456</v>
      </c>
      <c r="AI1136" s="1232">
        <v>46308</v>
      </c>
      <c r="AJ1136" s="1232"/>
      <c r="AK1136" s="1232"/>
      <c r="AL1136" s="1232">
        <v>46349</v>
      </c>
      <c r="AM1136" s="1232"/>
      <c r="AN1136" s="1232"/>
      <c r="AO1136" s="1225"/>
      <c r="AP1136" s="1225" t="s">
        <v>7132</v>
      </c>
      <c r="AQ1136" s="1236" t="s">
        <v>80</v>
      </c>
      <c r="AR1136" s="1225" t="s">
        <v>7133</v>
      </c>
      <c r="AS1136" s="1225" t="s">
        <v>7134</v>
      </c>
      <c r="AT1136" s="1225" t="s">
        <v>7134</v>
      </c>
      <c r="AU1136" s="1225"/>
      <c r="AV1136" s="1225"/>
      <c r="AW1136" s="1232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13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1232">
        <f>IF(ISERROR(PV_DATA[[#This Row],[New Ark PO status]]),"",_xlfn.XLOOKUP(PV_DATA[[#This Row],[SPTN-PVHK New Ark PO'#]],New_Ark_Data[Purchase order Number],New_Ark_Data[Estimated time of arrival],"",0))</f>
        <v>0</v>
      </c>
      <c r="AZ1136" s="12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6" s="1232">
        <f>IFERROR(PV_DATA[[#This Row],[ODP ETA Port]]+PV_DATA[[#This Row],[Customs/Leg3 Assumption]],"n/a")</f>
        <v>46356</v>
      </c>
      <c r="BB1136" s="1227">
        <f>YEAR(PV_DATA[[#This Row],[ETA for New Ark update]])</f>
        <v>2026</v>
      </c>
      <c r="BC1136" s="1225">
        <f>MONTH(PV_DATA[[#This Row],[ETA for New Ark update]])</f>
        <v>11</v>
      </c>
      <c r="BD1136" s="1225">
        <f>IFERROR(_xlfn.ISOWEEKNUM(PV_DATA[[#This Row],[ETA for New Ark update]]),0)</f>
        <v>49</v>
      </c>
      <c r="BE1136" s="1225">
        <f>_xlfn.XLOOKUP(PV_DATA[[#This Row],[New Ark SKU]],Table9[New Ark SKU],Table9[Total PCS per Pallet],,0)</f>
        <v>36</v>
      </c>
      <c r="BF1136" s="1225">
        <f>_xlfn.XLOOKUP(PV_DATA[[#This Row],[New Ark SKU]],Table9[New Ark SKU],Table9[Total PCS per 40HQ Container],,0)</f>
        <v>936</v>
      </c>
      <c r="BG1136" s="1225" t="str">
        <f>_xlfn.XLOOKUP(PV_DATA[[#This Row],[New Ark SKU]],Table9[New Ark SKU],Table9[Back Glass],,0)</f>
        <v>Black glazing</v>
      </c>
      <c r="BH1136" s="1238" t="str">
        <f>_xlfn.XLOOKUP(PV_DATA[[#This Row],[PORT DESTINATION]],Table12[PORT DESTINATION],Table12[Cosco Line],,0)</f>
        <v>AEU</v>
      </c>
      <c r="BJ1136" s="1354"/>
    </row>
    <row r="1137" spans="1:62" s="472" customFormat="1">
      <c r="A1137" s="1284" t="s">
        <v>7135</v>
      </c>
      <c r="B1137" s="1224" t="s">
        <v>1757</v>
      </c>
      <c r="C1137" s="1224" t="str">
        <f>IFERROR(LEFT(PV_DATA[[#This Row],[TCL REFERENCE]],FIND(".",PV_DATA[[#This Row],[TCL REFERENCE]],1)-1),"Main Line")</f>
        <v>26Oct009</v>
      </c>
      <c r="D1137" s="1224" t="s">
        <v>63</v>
      </c>
      <c r="E1137" s="720" t="s">
        <v>64</v>
      </c>
      <c r="F1137" s="1224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37" s="720" t="s">
        <v>402</v>
      </c>
      <c r="H1137" s="720" t="s">
        <v>451</v>
      </c>
      <c r="I1137" s="720" t="s">
        <v>689</v>
      </c>
      <c r="J1137" s="720" t="s">
        <v>96</v>
      </c>
      <c r="K1137" s="1225"/>
      <c r="L1137" s="1225"/>
      <c r="M1137" s="472" t="s">
        <v>6315</v>
      </c>
      <c r="N1137" s="1226"/>
      <c r="O1137" s="1225" t="s">
        <v>284</v>
      </c>
      <c r="P1137" s="1225" t="s">
        <v>5851</v>
      </c>
      <c r="Q1137" s="1225" t="s">
        <v>5852</v>
      </c>
      <c r="R1137" s="430" t="str">
        <f>_xlfn.XLOOKUP(PV_DATA[[#This Row],[New Ark SKU]],Table9[New Ark SKU],Table9[Connector],,0)</f>
        <v>EVO2A</v>
      </c>
      <c r="S1137" s="433" t="str">
        <f>_xlfn.XLOOKUP(PV_DATA[[#This Row],[New Ark SKU]],Table9[New Ark SKU],Table9[Cable],,0)</f>
        <v>±1200mm</v>
      </c>
      <c r="T1137" s="1227">
        <v>485</v>
      </c>
      <c r="U1137" s="1240">
        <f>936</f>
        <v>936</v>
      </c>
      <c r="V1137" s="1229">
        <f>PV_DATA[[#This Row],[QUANTITY]]*PV_DATA[[#This Row],[WATT]]/1000000</f>
        <v>0.45395999999999997</v>
      </c>
      <c r="W1137" s="1242">
        <f>PV_DATA[[#This Row],[QUANTITY]]/PV_DATA[[#This Row],[Qty/Pallet]]</f>
        <v>26</v>
      </c>
      <c r="X1137" s="1231">
        <f>PV_DATA[[#This Row],[QUANTITY]]/PV_DATA[[#This Row],[Qty/CT]]</f>
        <v>1</v>
      </c>
      <c r="Y1137" s="472" t="s">
        <v>2472</v>
      </c>
      <c r="Z1137" s="1353" t="str">
        <f t="shared" si="22"/>
        <v/>
      </c>
      <c r="AA1137" s="1225" t="s">
        <v>7131</v>
      </c>
      <c r="AB1137" s="1232">
        <v>46304</v>
      </c>
      <c r="AC1137" s="1233">
        <f>IF(PV_DATA[[#This Row],[Pick- Up Date]]&lt;&gt;"",_xlfn.ISOWEEKNUM(PV_DATA[[#This Row],[Pick- Up Date]]),"")</f>
        <v>41</v>
      </c>
      <c r="AD1137" s="1225"/>
      <c r="AE1137" s="1227"/>
      <c r="AF1137" s="472" t="s">
        <v>122</v>
      </c>
      <c r="AG1137" s="472" t="s">
        <v>123</v>
      </c>
      <c r="AH1137" s="472" t="s">
        <v>456</v>
      </c>
      <c r="AI1137" s="1232">
        <v>46308</v>
      </c>
      <c r="AJ1137" s="1232"/>
      <c r="AK1137" s="1232"/>
      <c r="AL1137" s="1232">
        <v>46349</v>
      </c>
      <c r="AM1137" s="1232"/>
      <c r="AN1137" s="1232"/>
      <c r="AO1137" s="1225"/>
      <c r="AP1137" s="1225" t="s">
        <v>7132</v>
      </c>
      <c r="AQ1137" s="1236" t="s">
        <v>80</v>
      </c>
      <c r="AR1137" s="1225" t="s">
        <v>7133</v>
      </c>
      <c r="AS1137" s="1225" t="s">
        <v>7134</v>
      </c>
      <c r="AT1137" s="1225" t="s">
        <v>7134</v>
      </c>
      <c r="AU1137" s="1225"/>
      <c r="AV1137" s="1225"/>
      <c r="AW1137" s="1232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13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1232">
        <f>IF(ISERROR(PV_DATA[[#This Row],[New Ark PO status]]),"",_xlfn.XLOOKUP(PV_DATA[[#This Row],[SPTN-PVHK New Ark PO'#]],New_Ark_Data[Purchase order Number],New_Ark_Data[Estimated time of arrival],"",0))</f>
        <v>0</v>
      </c>
      <c r="AZ1137" s="12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7" s="1232">
        <f>IFERROR(PV_DATA[[#This Row],[ODP ETA Port]]+PV_DATA[[#This Row],[Customs/Leg3 Assumption]],"n/a")</f>
        <v>46356</v>
      </c>
      <c r="BB1137" s="1227">
        <f>YEAR(PV_DATA[[#This Row],[ETA for New Ark update]])</f>
        <v>2026</v>
      </c>
      <c r="BC1137" s="1225">
        <f>MONTH(PV_DATA[[#This Row],[ETA for New Ark update]])</f>
        <v>11</v>
      </c>
      <c r="BD1137" s="1225">
        <f>IFERROR(_xlfn.ISOWEEKNUM(PV_DATA[[#This Row],[ETA for New Ark update]]),0)</f>
        <v>49</v>
      </c>
      <c r="BE1137" s="1225">
        <f>_xlfn.XLOOKUP(PV_DATA[[#This Row],[New Ark SKU]],Table9[New Ark SKU],Table9[Total PCS per Pallet],,0)</f>
        <v>36</v>
      </c>
      <c r="BF1137" s="1225">
        <f>_xlfn.XLOOKUP(PV_DATA[[#This Row],[New Ark SKU]],Table9[New Ark SKU],Table9[Total PCS per 40HQ Container],,0)</f>
        <v>936</v>
      </c>
      <c r="BG1137" s="1225" t="str">
        <f>_xlfn.XLOOKUP(PV_DATA[[#This Row],[New Ark SKU]],Table9[New Ark SKU],Table9[Back Glass],,0)</f>
        <v>Black glazing</v>
      </c>
      <c r="BH1137" s="1238" t="str">
        <f>_xlfn.XLOOKUP(PV_DATA[[#This Row],[PORT DESTINATION]],Table12[PORT DESTINATION],Table12[Cosco Line],,0)</f>
        <v>AEU</v>
      </c>
      <c r="BJ1137" s="1354"/>
    </row>
    <row r="1138" spans="1:62" s="472" customFormat="1">
      <c r="A1138" s="1284" t="s">
        <v>7136</v>
      </c>
      <c r="B1138" s="1224" t="s">
        <v>1757</v>
      </c>
      <c r="C1138" s="1224" t="str">
        <f>IFERROR(LEFT(PV_DATA[[#This Row],[TCL REFERENCE]],FIND(".",PV_DATA[[#This Row],[TCL REFERENCE]],1)-1),"Main Line")</f>
        <v>26Oct010</v>
      </c>
      <c r="D1138" s="1224" t="s">
        <v>63</v>
      </c>
      <c r="E1138" s="720" t="s">
        <v>64</v>
      </c>
      <c r="F1138" s="720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8" s="1224" t="s">
        <v>402</v>
      </c>
      <c r="H1138" s="1224" t="s">
        <v>67</v>
      </c>
      <c r="I1138" s="1224" t="s">
        <v>1395</v>
      </c>
      <c r="J1138" s="472" t="s">
        <v>96</v>
      </c>
      <c r="K1138" s="1225"/>
      <c r="L1138" s="1225"/>
      <c r="M1138" s="1225" t="s">
        <v>68</v>
      </c>
      <c r="N1138" s="1226"/>
      <c r="O1138" s="1225" t="s">
        <v>284</v>
      </c>
      <c r="P1138" s="1225" t="s">
        <v>6209</v>
      </c>
      <c r="Q1138" s="1225" t="s">
        <v>6210</v>
      </c>
      <c r="R1138" s="430" t="str">
        <f>_xlfn.XLOOKUP(PV_DATA[[#This Row],[New Ark SKU]],Table9[New Ark SKU],Table9[Connector],,0)</f>
        <v>EVO2A</v>
      </c>
      <c r="S1138" s="433" t="str">
        <f>_xlfn.XLOOKUP(PV_DATA[[#This Row],[New Ark SKU]],Table9[New Ark SKU],Table9[Cable],,0)</f>
        <v>±1200mm</v>
      </c>
      <c r="T1138" s="1227">
        <v>490</v>
      </c>
      <c r="U1138" s="1240">
        <f>936*2</f>
        <v>1872</v>
      </c>
      <c r="V1138" s="1229">
        <f>PV_DATA[[#This Row],[QUANTITY]]*PV_DATA[[#This Row],[WATT]]/1000000</f>
        <v>0.91727999999999998</v>
      </c>
      <c r="W1138" s="1242">
        <f>PV_DATA[[#This Row],[QUANTITY]]/PV_DATA[[#This Row],[Qty/Pallet]]</f>
        <v>52</v>
      </c>
      <c r="X1138" s="1231">
        <f>PV_DATA[[#This Row],[QUANTITY]]/PV_DATA[[#This Row],[Qty/CT]]</f>
        <v>2</v>
      </c>
      <c r="Y1138" s="472" t="s">
        <v>2472</v>
      </c>
      <c r="Z1138" s="1353" t="str">
        <f t="shared" si="22"/>
        <v/>
      </c>
      <c r="AA1138" s="1225" t="s">
        <v>7131</v>
      </c>
      <c r="AB1138" s="1232">
        <v>46304</v>
      </c>
      <c r="AC1138" s="1233">
        <f>IF(PV_DATA[[#This Row],[Pick- Up Date]]&lt;&gt;"",_xlfn.ISOWEEKNUM(PV_DATA[[#This Row],[Pick- Up Date]]),"")</f>
        <v>41</v>
      </c>
      <c r="AD1138" s="1225"/>
      <c r="AE1138" s="1227"/>
      <c r="AF1138" s="472" t="s">
        <v>122</v>
      </c>
      <c r="AG1138" s="472" t="s">
        <v>123</v>
      </c>
      <c r="AH1138" s="472" t="s">
        <v>105</v>
      </c>
      <c r="AI1138" s="1232">
        <v>46310</v>
      </c>
      <c r="AJ1138" s="1232"/>
      <c r="AK1138" s="1232"/>
      <c r="AL1138" s="1232">
        <v>46346</v>
      </c>
      <c r="AM1138" s="1232"/>
      <c r="AN1138" s="1232"/>
      <c r="AO1138" s="1225"/>
      <c r="AP1138" s="1225" t="s">
        <v>7102</v>
      </c>
      <c r="AQ1138" s="1236" t="s">
        <v>80</v>
      </c>
      <c r="AR1138" s="1225" t="s">
        <v>7137</v>
      </c>
      <c r="AS1138" s="1225" t="s">
        <v>7138</v>
      </c>
      <c r="AT1138" s="1225" t="s">
        <v>7138</v>
      </c>
      <c r="AU1138" s="1225"/>
      <c r="AV1138" s="1225"/>
      <c r="AW1138" s="1232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3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1232">
        <f>IF(ISERROR(PV_DATA[[#This Row],[New Ark PO status]]),"",_xlfn.XLOOKUP(PV_DATA[[#This Row],[SPTN-PVHK New Ark PO'#]],New_Ark_Data[Purchase order Number],New_Ark_Data[Estimated time of arrival],"",0))</f>
        <v>0</v>
      </c>
      <c r="AZ1138" s="12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8" s="1232">
        <f>IFERROR(PV_DATA[[#This Row],[ODP ETA Port]]+PV_DATA[[#This Row],[Customs/Leg3 Assumption]],"n/a")</f>
        <v>46353</v>
      </c>
      <c r="BB1138" s="1227">
        <f>YEAR(PV_DATA[[#This Row],[ETA for New Ark update]])</f>
        <v>2026</v>
      </c>
      <c r="BC1138" s="1225">
        <f>MONTH(PV_DATA[[#This Row],[ETA for New Ark update]])</f>
        <v>11</v>
      </c>
      <c r="BD1138" s="1225">
        <f>IFERROR(_xlfn.ISOWEEKNUM(PV_DATA[[#This Row],[ETA for New Ark update]]),0)</f>
        <v>48</v>
      </c>
      <c r="BE1138" s="1225">
        <f>_xlfn.XLOOKUP(PV_DATA[[#This Row],[New Ark SKU]],Table9[New Ark SKU],Table9[Total PCS per Pallet],,0)</f>
        <v>36</v>
      </c>
      <c r="BF1138" s="1225">
        <f>_xlfn.XLOOKUP(PV_DATA[[#This Row],[New Ark SKU]],Table9[New Ark SKU],Table9[Total PCS per 40HQ Container],,0)</f>
        <v>936</v>
      </c>
      <c r="BG1138" s="1225" t="str">
        <f>_xlfn.XLOOKUP(PV_DATA[[#This Row],[New Ark SKU]],Table9[New Ark SKU],Table9[Back Glass],,0)</f>
        <v>Black glazing</v>
      </c>
      <c r="BH1138" s="1238" t="str">
        <f>_xlfn.XLOOKUP(PV_DATA[[#This Row],[PORT DESTINATION]],Table12[PORT DESTINATION],Table12[Cosco Line],,0)</f>
        <v>AEU</v>
      </c>
      <c r="BJ1138" s="1354"/>
    </row>
    <row r="1139" spans="1:62" s="472" customFormat="1">
      <c r="A1139" s="1284" t="s">
        <v>7139</v>
      </c>
      <c r="B1139" s="1224" t="s">
        <v>1757</v>
      </c>
      <c r="C1139" s="1224" t="str">
        <f>IFERROR(LEFT(PV_DATA[[#This Row],[TCL REFERENCE]],FIND(".",PV_DATA[[#This Row],[TCL REFERENCE]],1)-1),"Main Line")</f>
        <v>26Oct009</v>
      </c>
      <c r="D1139" s="1224" t="s">
        <v>63</v>
      </c>
      <c r="E1139" s="720" t="s">
        <v>64</v>
      </c>
      <c r="F1139" s="1224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9" s="720" t="s">
        <v>402</v>
      </c>
      <c r="H1139" s="720" t="s">
        <v>67</v>
      </c>
      <c r="I1139" s="720" t="s">
        <v>689</v>
      </c>
      <c r="J1139" s="720" t="s">
        <v>96</v>
      </c>
      <c r="K1139" s="1225"/>
      <c r="L1139" s="1225"/>
      <c r="M1139" s="472" t="s">
        <v>6315</v>
      </c>
      <c r="N1139" s="1226"/>
      <c r="O1139" s="1225" t="s">
        <v>284</v>
      </c>
      <c r="P1139" s="1225" t="s">
        <v>5851</v>
      </c>
      <c r="Q1139" s="1225" t="s">
        <v>5852</v>
      </c>
      <c r="R1139" s="430" t="str">
        <f>_xlfn.XLOOKUP(PV_DATA[[#This Row],[New Ark SKU]],Table9[New Ark SKU],Table9[Connector],,0)</f>
        <v>EVO2A</v>
      </c>
      <c r="S1139" s="433" t="str">
        <f>_xlfn.XLOOKUP(PV_DATA[[#This Row],[New Ark SKU]],Table9[New Ark SKU],Table9[Cable],,0)</f>
        <v>±1200mm</v>
      </c>
      <c r="T1139" s="1227">
        <v>485</v>
      </c>
      <c r="U1139" s="1240">
        <f>936*4</f>
        <v>3744</v>
      </c>
      <c r="V1139" s="1229">
        <f>PV_DATA[[#This Row],[QUANTITY]]*PV_DATA[[#This Row],[WATT]]/1000000</f>
        <v>1.8158399999999999</v>
      </c>
      <c r="W1139" s="1242">
        <f>PV_DATA[[#This Row],[QUANTITY]]/PV_DATA[[#This Row],[Qty/Pallet]]</f>
        <v>104</v>
      </c>
      <c r="X1139" s="1231">
        <f>PV_DATA[[#This Row],[QUANTITY]]/PV_DATA[[#This Row],[Qty/CT]]</f>
        <v>4</v>
      </c>
      <c r="Y1139" s="472" t="s">
        <v>2472</v>
      </c>
      <c r="Z1139" s="1353" t="str">
        <f t="shared" si="22"/>
        <v/>
      </c>
      <c r="AA1139" s="1225" t="s">
        <v>7131</v>
      </c>
      <c r="AB1139" s="1232">
        <v>46304</v>
      </c>
      <c r="AC1139" s="1233">
        <f>IF(PV_DATA[[#This Row],[Pick- Up Date]]&lt;&gt;"",_xlfn.ISOWEEKNUM(PV_DATA[[#This Row],[Pick- Up Date]]),"")</f>
        <v>41</v>
      </c>
      <c r="AD1139" s="1225"/>
      <c r="AE1139" s="1227"/>
      <c r="AF1139" s="472" t="s">
        <v>122</v>
      </c>
      <c r="AG1139" s="472" t="s">
        <v>123</v>
      </c>
      <c r="AH1139" s="472" t="s">
        <v>105</v>
      </c>
      <c r="AI1139" s="1232">
        <v>46310</v>
      </c>
      <c r="AJ1139" s="1232"/>
      <c r="AK1139" s="1232"/>
      <c r="AL1139" s="1232">
        <v>46346</v>
      </c>
      <c r="AM1139" s="1232"/>
      <c r="AN1139" s="1232"/>
      <c r="AO1139" s="1225"/>
      <c r="AP1139" s="1225" t="s">
        <v>7102</v>
      </c>
      <c r="AQ1139" s="1236" t="s">
        <v>80</v>
      </c>
      <c r="AR1139" s="1225" t="s">
        <v>7137</v>
      </c>
      <c r="AS1139" s="1225" t="s">
        <v>7138</v>
      </c>
      <c r="AT1139" s="1225" t="s">
        <v>7138</v>
      </c>
      <c r="AU1139" s="1225"/>
      <c r="AV1139" s="1225"/>
      <c r="AW1139" s="1232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3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1232">
        <f>IF(ISERROR(PV_DATA[[#This Row],[New Ark PO status]]),"",_xlfn.XLOOKUP(PV_DATA[[#This Row],[SPTN-PVHK New Ark PO'#]],New_Ark_Data[Purchase order Number],New_Ark_Data[Estimated time of arrival],"",0))</f>
        <v>0</v>
      </c>
      <c r="AZ1139" s="122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9" s="1232">
        <f>IFERROR(PV_DATA[[#This Row],[ODP ETA Port]]+PV_DATA[[#This Row],[Customs/Leg3 Assumption]],"n/a")</f>
        <v>46353</v>
      </c>
      <c r="BB1139" s="1227">
        <f>YEAR(PV_DATA[[#This Row],[ETA for New Ark update]])</f>
        <v>2026</v>
      </c>
      <c r="BC1139" s="1225">
        <f>MONTH(PV_DATA[[#This Row],[ETA for New Ark update]])</f>
        <v>11</v>
      </c>
      <c r="BD1139" s="1225">
        <f>IFERROR(_xlfn.ISOWEEKNUM(PV_DATA[[#This Row],[ETA for New Ark update]]),0)</f>
        <v>48</v>
      </c>
      <c r="BE1139" s="1225">
        <f>_xlfn.XLOOKUP(PV_DATA[[#This Row],[New Ark SKU]],Table9[New Ark SKU],Table9[Total PCS per Pallet],,0)</f>
        <v>36</v>
      </c>
      <c r="BF1139" s="1225">
        <f>_xlfn.XLOOKUP(PV_DATA[[#This Row],[New Ark SKU]],Table9[New Ark SKU],Table9[Total PCS per 40HQ Container],,0)</f>
        <v>936</v>
      </c>
      <c r="BG1139" s="1225" t="str">
        <f>_xlfn.XLOOKUP(PV_DATA[[#This Row],[New Ark SKU]],Table9[New Ark SKU],Table9[Back Glass],,0)</f>
        <v>Black glazing</v>
      </c>
      <c r="BH1139" s="1238" t="str">
        <f>_xlfn.XLOOKUP(PV_DATA[[#This Row],[PORT DESTINATION]],Table12[PORT DESTINATION],Table12[Cosco Line],,0)</f>
        <v>AEU</v>
      </c>
      <c r="BJ1139" s="1354"/>
    </row>
    <row r="1140" spans="1:62" s="472" customFormat="1" ht="10.5">
      <c r="A1140" s="724" t="s">
        <v>7140</v>
      </c>
      <c r="B1140" s="720" t="s">
        <v>111</v>
      </c>
      <c r="C1140" s="720" t="str">
        <f>IFERROR(LEFT(PV_DATA[[#This Row],[TCL REFERENCE]],FIND(".",PV_DATA[[#This Row],[TCL REFERENCE]],1)-1),"Main Line")</f>
        <v>26Aug018</v>
      </c>
      <c r="D1140" s="720" t="s">
        <v>63</v>
      </c>
      <c r="E1140" s="720" t="s">
        <v>64</v>
      </c>
      <c r="F1140" s="720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0" s="720" t="s">
        <v>402</v>
      </c>
      <c r="H1140" s="720" t="s">
        <v>311</v>
      </c>
      <c r="I1140" s="720" t="s">
        <v>689</v>
      </c>
      <c r="J1140" s="472" t="s">
        <v>96</v>
      </c>
      <c r="M1140" s="472" t="s">
        <v>68</v>
      </c>
      <c r="N1140" s="473">
        <v>46305</v>
      </c>
      <c r="O1140" s="472" t="s">
        <v>170</v>
      </c>
      <c r="P1140" s="472" t="s">
        <v>1977</v>
      </c>
      <c r="Q1140" s="472" t="s">
        <v>1978</v>
      </c>
      <c r="R1140" s="430" t="str">
        <f>_xlfn.XLOOKUP(PV_DATA[[#This Row],[New Ark SKU]],Table9[New Ark SKU],Table9[Connector],,0)</f>
        <v>EVO2A</v>
      </c>
      <c r="S1140" s="433" t="str">
        <f>_xlfn.XLOOKUP(PV_DATA[[#This Row],[New Ark SKU]],Table9[New Ark SKU],Table9[Cable],,0)</f>
        <v>±1400mm</v>
      </c>
      <c r="T1140" s="1237">
        <v>560</v>
      </c>
      <c r="U1140" s="1228">
        <v>3300</v>
      </c>
      <c r="V1140" s="1241">
        <f>PV_DATA[[#This Row],[QUANTITY]]*PV_DATA[[#This Row],[WATT]]/1000000</f>
        <v>1.8480000000000001</v>
      </c>
      <c r="W1140" s="1230">
        <f>PV_DATA[[#This Row],[QUANTITY]]/PV_DATA[[#This Row],[Qty/Pallet]]</f>
        <v>100</v>
      </c>
      <c r="X1140" s="1246">
        <f>PV_DATA[[#This Row],[QUANTITY]]/PV_DATA[[#This Row],[Qty/CT]]</f>
        <v>5</v>
      </c>
      <c r="Y1140" s="472" t="s">
        <v>2474</v>
      </c>
      <c r="AA1140" s="472" t="s">
        <v>7141</v>
      </c>
      <c r="AB1140" s="1234">
        <v>46304</v>
      </c>
      <c r="AC1140" s="1243"/>
      <c r="AF1140" s="472" t="s">
        <v>122</v>
      </c>
      <c r="AG1140" s="472" t="s">
        <v>123</v>
      </c>
      <c r="AH1140" s="472" t="s">
        <v>105</v>
      </c>
      <c r="AI1140" s="1234">
        <v>46310</v>
      </c>
      <c r="AJ1140" s="1234"/>
      <c r="AK1140" s="1234" t="str">
        <f>IFERROR(IF(VLOOKUP(AT1140,Vessel!A:F,5,FALSE)=0,"",VLOOKUP(AT1140,Vessel!A:F,5,FALSE)),"")</f>
        <v/>
      </c>
      <c r="AL1140" s="1234">
        <v>46346</v>
      </c>
      <c r="AM1140" s="1234"/>
      <c r="AN1140" s="1234"/>
      <c r="AP1140" s="472" t="s">
        <v>7102</v>
      </c>
      <c r="AQ1140" s="472" t="s">
        <v>80</v>
      </c>
      <c r="AR1140" s="472" t="s">
        <v>7142</v>
      </c>
      <c r="AS1140" s="472" t="s">
        <v>7143</v>
      </c>
      <c r="AT1140" s="472" t="s">
        <v>7143</v>
      </c>
      <c r="AU1140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1140" s="1234"/>
      <c r="AW1140" s="1234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4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1234">
        <f>IF(ISERROR(PV_DATA[[#This Row],[New Ark PO status]]),"",_xlfn.XLOOKUP(PV_DATA[[#This Row],[SPTN-PVHK New Ark PO'#]],New_Ark_Data[Purchase order Number],New_Ark_Data[Estimated time of arrival],"",0))</f>
        <v>0</v>
      </c>
      <c r="AZ1140" s="12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0" s="1234">
        <f>IFERROR(PV_DATA[[#This Row],[ODP ETA Port]]+PV_DATA[[#This Row],[Customs/Leg3 Assumption]],"n/a")</f>
        <v>46353</v>
      </c>
      <c r="BB1140" s="1237">
        <f>YEAR(PV_DATA[[#This Row],[ETA for New Ark update]])</f>
        <v>2026</v>
      </c>
      <c r="BC1140" s="472">
        <f>MONTH(PV_DATA[[#This Row],[ETA for New Ark update]])</f>
        <v>11</v>
      </c>
      <c r="BD1140" s="472">
        <f>IFERROR(_xlfn.ISOWEEKNUM(PV_DATA[[#This Row],[ETA for New Ark update]]),0)</f>
        <v>48</v>
      </c>
      <c r="BE1140" s="472">
        <f>_xlfn.XLOOKUP(PV_DATA[[#This Row],[New Ark SKU]],Table9[New Ark SKU],Table9[Total PCS per Pallet],,0)</f>
        <v>33</v>
      </c>
      <c r="BF1140" s="472">
        <f>_xlfn.XLOOKUP(PV_DATA[[#This Row],[New Ark SKU]],Table9[New Ark SKU],Table9[Total PCS per 40HQ Container],,0)</f>
        <v>660</v>
      </c>
      <c r="BG1140" s="472" t="str">
        <f>_xlfn.XLOOKUP(PV_DATA[[#This Row],[New Ark SKU]],Table9[New Ark SKU],Table9[Back Glass],,0)</f>
        <v>White glazing</v>
      </c>
      <c r="BH1140" s="472" t="str">
        <f>_xlfn.XLOOKUP(PV_DATA[[#This Row],[PORT DESTINATION]],Table12[PORT DESTINATION],Table12[Cosco Line],,0)</f>
        <v>AEU</v>
      </c>
    </row>
    <row r="1141" spans="1:62" s="472" customFormat="1" ht="13.5" customHeight="1">
      <c r="A1141" s="1239" t="s">
        <v>7144</v>
      </c>
      <c r="B1141" s="720" t="s">
        <v>111</v>
      </c>
      <c r="C1141" s="720" t="str">
        <f>IFERROR(LEFT(PV_DATA[[#This Row],[TCL REFERENCE]],FIND(".",PV_DATA[[#This Row],[TCL REFERENCE]],1)-1),"Main Line")</f>
        <v>26Aug016</v>
      </c>
      <c r="D1141" s="720" t="s">
        <v>63</v>
      </c>
      <c r="E1141" s="720" t="s">
        <v>64</v>
      </c>
      <c r="F1141" s="720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41" s="720" t="s">
        <v>402</v>
      </c>
      <c r="H1141" s="720" t="s">
        <v>115</v>
      </c>
      <c r="I1141" s="720" t="s">
        <v>689</v>
      </c>
      <c r="J1141" s="472" t="s">
        <v>96</v>
      </c>
      <c r="M1141" s="472" t="s">
        <v>68</v>
      </c>
      <c r="N1141" s="473">
        <v>46282</v>
      </c>
      <c r="O1141" s="472" t="s">
        <v>550</v>
      </c>
      <c r="P1141" s="472" t="s">
        <v>2134</v>
      </c>
      <c r="Q1141" s="472" t="s">
        <v>2135</v>
      </c>
      <c r="R1141" s="430" t="str">
        <f>_xlfn.XLOOKUP(PV_DATA[[#This Row],[New Ark SKU]],Table9[New Ark SKU],Table9[Connector],,0)</f>
        <v>EVO2A</v>
      </c>
      <c r="S1141" s="433" t="str">
        <f>_xlfn.XLOOKUP(PV_DATA[[#This Row],[New Ark SKU]],Table9[New Ark SKU],Table9[Cable],,0)</f>
        <v>±1350mm</v>
      </c>
      <c r="T1141" s="1237">
        <v>515</v>
      </c>
      <c r="U1141" s="1228">
        <v>3960</v>
      </c>
      <c r="V1141" s="1241">
        <f>PV_DATA[[#This Row],[QUANTITY]]*PV_DATA[[#This Row],[WATT]]/1000000</f>
        <v>2.0394000000000001</v>
      </c>
      <c r="W1141" s="1230">
        <f>PV_DATA[[#This Row],[QUANTITY]]/PV_DATA[[#This Row],[Qty/Pallet]]</f>
        <v>110</v>
      </c>
      <c r="X1141" s="1246">
        <f>PV_DATA[[#This Row],[QUANTITY]]/PV_DATA[[#This Row],[Qty/CT]]</f>
        <v>5</v>
      </c>
      <c r="Y1141" s="472" t="s">
        <v>2472</v>
      </c>
      <c r="Z1141" s="472" t="str">
        <f>IF(AN1141&lt;&gt;"","COMPLETED",IF(AK1141&lt;&gt;"","IN-TRANSIT",""))</f>
        <v/>
      </c>
      <c r="AA1141" s="472" t="s">
        <v>7145</v>
      </c>
      <c r="AB1141" s="1234">
        <v>46303</v>
      </c>
      <c r="AC1141" s="1243">
        <f>IF(PV_DATA[[#This Row],[Pick- Up Date]]&lt;&gt;"",_xlfn.ISOWEEKNUM(PV_DATA[[#This Row],[Pick- Up Date]]),"")</f>
        <v>41</v>
      </c>
      <c r="AD1141" s="472" t="s">
        <v>7146</v>
      </c>
      <c r="AF1141" s="472" t="s">
        <v>122</v>
      </c>
      <c r="AG1141" s="472" t="s">
        <v>122</v>
      </c>
      <c r="AH1141" s="472" t="s">
        <v>314</v>
      </c>
      <c r="AI1141" s="1234">
        <v>46311</v>
      </c>
      <c r="AJ1141" s="1234">
        <f>IFERROR(VLOOKUP(AT1141, Vessel!A:D, 4, FALSE), "")</f>
        <v>46311.4375</v>
      </c>
      <c r="AK1141" s="1234" t="str">
        <f>IFERROR(IF(VLOOKUP(AT1141,Vessel!A:F,5,FALSE)=0,"",VLOOKUP(AT1141,Vessel!A:F,5,FALSE)),"")</f>
        <v/>
      </c>
      <c r="AL1141" s="1234">
        <v>46358</v>
      </c>
      <c r="AM1141" s="1355">
        <f>IFERROR(VLOOKUP(AT1141, Vessel!A:H, 8, FALSE), "")</f>
        <v>46358.25</v>
      </c>
      <c r="AN1141" s="1355" t="str">
        <f>IFERROR(IF(VLOOKUP(AT1141,Vessel!A:I,9,FALSE)=0,"",VLOOKUP(AT1141,Vessel!A:I,9,FALSE)),"")</f>
        <v/>
      </c>
      <c r="AP1141" s="472" t="s">
        <v>7147</v>
      </c>
      <c r="AQ1141" s="1244" t="s">
        <v>80</v>
      </c>
      <c r="AR1141" s="1225" t="s">
        <v>7148</v>
      </c>
      <c r="AS1141" s="472" t="s">
        <v>7149</v>
      </c>
      <c r="AT1141" s="472" t="s">
        <v>7149</v>
      </c>
      <c r="AU1141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46.8125</v>
      </c>
      <c r="AW1141" s="1234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46358.25</v>
      </c>
      <c r="AX114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1234" t="str">
        <f>IF(ISERROR(PV_DATA[[#This Row],[New Ark PO status]]),"",_xlfn.XLOOKUP(PV_DATA[[#This Row],[SPTN-PVHK New Ark PO'#]],New_Ark_Data[Purchase order Number],New_Ark_Data[Estimated time of arrival],"",0))</f>
        <v/>
      </c>
      <c r="AZ1141" s="12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41" s="1234">
        <f>IFERROR(PV_DATA[[#This Row],[ODP ETA Port]]+PV_DATA[[#This Row],[Customs/Leg3 Assumption]],"n/a")</f>
        <v>46368.25</v>
      </c>
      <c r="BB1141" s="1237" t="s">
        <v>6536</v>
      </c>
      <c r="BC1141" s="1237" t="s">
        <v>6536</v>
      </c>
      <c r="BD1141" s="472">
        <f>IFERROR(_xlfn.ISOWEEKNUM(PV_DATA[[#This Row],[ETA for New Ark update]]),0)</f>
        <v>50</v>
      </c>
      <c r="BE1141" s="472">
        <f>_xlfn.XLOOKUP(PV_DATA[[#This Row],[New Ark SKU]],Table9[New Ark SKU],Table9[Total PCS per Pallet],,0)</f>
        <v>36</v>
      </c>
      <c r="BF1141" s="472">
        <f>_xlfn.XLOOKUP(PV_DATA[[#This Row],[New Ark SKU]],Table9[New Ark SKU],Table9[Total PCS per 40HQ Container],,0)</f>
        <v>792</v>
      </c>
      <c r="BG1141" s="472" t="str">
        <f>_xlfn.XLOOKUP(PV_DATA[[#This Row],[New Ark SKU]],Table9[New Ark SKU],Table9[Back Glass],,0)</f>
        <v>Black glazing</v>
      </c>
      <c r="BH1141" s="1245" t="str">
        <f>_xlfn.XLOOKUP(PV_DATA[[#This Row],[PORT DESTINATION]],Table12[PORT DESTINATION],Table12[Cosco Line],,0)</f>
        <v>AEM</v>
      </c>
    </row>
    <row r="1142" spans="1:62" s="472" customFormat="1" ht="10.5">
      <c r="A1142" s="1239" t="s">
        <v>7150</v>
      </c>
      <c r="B1142" s="720" t="s">
        <v>111</v>
      </c>
      <c r="C1142" s="720" t="str">
        <f>IFERROR(LEFT(PV_DATA[[#This Row],[TCL REFERENCE]],FIND(".",PV_DATA[[#This Row],[TCL REFERENCE]],1)-1),"Main Line")</f>
        <v>26Aug017</v>
      </c>
      <c r="D1142" s="720" t="s">
        <v>63</v>
      </c>
      <c r="E1142" s="720" t="s">
        <v>64</v>
      </c>
      <c r="F1142" s="720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42" s="720" t="s">
        <v>402</v>
      </c>
      <c r="H1142" s="720" t="s">
        <v>311</v>
      </c>
      <c r="I1142" s="720" t="s">
        <v>689</v>
      </c>
      <c r="J1142" s="472" t="s">
        <v>96</v>
      </c>
      <c r="N1142" s="473">
        <v>46305</v>
      </c>
      <c r="O1142" s="472" t="s">
        <v>170</v>
      </c>
      <c r="P1142" s="472" t="s">
        <v>171</v>
      </c>
      <c r="Q1142" s="472" t="s">
        <v>1731</v>
      </c>
      <c r="R1142" s="430" t="str">
        <f>_xlfn.XLOOKUP(PV_DATA[[#This Row],[New Ark SKU]],Table9[New Ark SKU],Table9[Connector],,0)</f>
        <v>EVO2A</v>
      </c>
      <c r="S1142" s="433" t="str">
        <f>_xlfn.XLOOKUP(PV_DATA[[#This Row],[New Ark SKU]],Table9[New Ark SKU],Table9[Cable],,0)</f>
        <v>±1400mm</v>
      </c>
      <c r="T1142" s="1237">
        <v>555</v>
      </c>
      <c r="U1142" s="1228">
        <f>660*2</f>
        <v>1320</v>
      </c>
      <c r="V1142" s="1241">
        <f>PV_DATA[[#This Row],[QUANTITY]]*PV_DATA[[#This Row],[WATT]]/1000000</f>
        <v>0.73260000000000003</v>
      </c>
      <c r="W1142" s="1230">
        <f>PV_DATA[[#This Row],[QUANTITY]]/PV_DATA[[#This Row],[Qty/Pallet]]</f>
        <v>40</v>
      </c>
      <c r="X1142" s="1246">
        <f>PV_DATA[[#This Row],[QUANTITY]]/PV_DATA[[#This Row],[Qty/CT]]</f>
        <v>2</v>
      </c>
      <c r="Y1142" s="472" t="s">
        <v>2472</v>
      </c>
      <c r="AA1142" s="472" t="s">
        <v>7151</v>
      </c>
      <c r="AB1142" s="1234">
        <v>46303</v>
      </c>
      <c r="AC1142" s="1243"/>
      <c r="AD1142" s="472" t="s">
        <v>7152</v>
      </c>
      <c r="AF1142" s="472" t="s">
        <v>122</v>
      </c>
      <c r="AG1142" s="472" t="s">
        <v>123</v>
      </c>
      <c r="AH1142" s="472" t="s">
        <v>124</v>
      </c>
      <c r="AI1142" s="1234">
        <v>46311</v>
      </c>
      <c r="AJ1142" s="1234">
        <f>IFERROR(VLOOKUP(AT1142, Vessel!A:D, 4, FALSE), "")</f>
        <v>46311.4375</v>
      </c>
      <c r="AK1142" s="1234" t="str">
        <f>IFERROR(IF(VLOOKUP(AT1142,Vessel!A:F,5,FALSE)=0,"",VLOOKUP(AT1142,Vessel!A:F,5,FALSE)),"")</f>
        <v/>
      </c>
      <c r="AL1142" s="1234">
        <v>46366</v>
      </c>
      <c r="AM1142" s="1355">
        <f>IFERROR(VLOOKUP(AT1142, Vessel!A:H, 8, FALSE), "")</f>
        <v>46366.625</v>
      </c>
      <c r="AN1142" s="1355" t="str">
        <f>IFERROR(IF(VLOOKUP(AT1142,Vessel!A:I,9,FALSE)=0,"",VLOOKUP(AT1142,Vessel!A:I,9,FALSE)),"")</f>
        <v/>
      </c>
      <c r="AP1142" s="472" t="s">
        <v>7147</v>
      </c>
      <c r="AQ1142" s="472" t="s">
        <v>80</v>
      </c>
      <c r="AR1142" s="1225" t="s">
        <v>7153</v>
      </c>
      <c r="AS1142" s="472" t="s">
        <v>7154</v>
      </c>
      <c r="AT1142" s="472" t="s">
        <v>7154</v>
      </c>
      <c r="AU1142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55.1875</v>
      </c>
      <c r="AV1142" s="1234"/>
      <c r="AW1142" s="1234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46366.625</v>
      </c>
      <c r="AX114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1234" t="str">
        <f>IF(ISERROR(PV_DATA[[#This Row],[New Ark PO status]]),"",_xlfn.XLOOKUP(PV_DATA[[#This Row],[SPTN-PVHK New Ark PO'#]],New_Ark_Data[Purchase order Number],New_Ark_Data[Estimated time of arrival],"",0))</f>
        <v/>
      </c>
      <c r="AZ1142" s="1237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42" s="1234">
        <f>IFERROR(PV_DATA[[#This Row],[ODP ETA Port]]+PV_DATA[[#This Row],[Customs/Leg3 Assumption]],"n/a")</f>
        <v>46375.625</v>
      </c>
      <c r="BB1142" s="1237">
        <f>YEAR(PV_DATA[[#This Row],[ETA for New Ark update]])</f>
        <v>2026</v>
      </c>
      <c r="BC1142" s="472">
        <f>MONTH(PV_DATA[[#This Row],[ETA for New Ark update]])</f>
        <v>12</v>
      </c>
      <c r="BD1142" s="472">
        <f>IFERROR(_xlfn.ISOWEEKNUM(PV_DATA[[#This Row],[ETA for New Ark update]]),0)</f>
        <v>51</v>
      </c>
      <c r="BE1142" s="472">
        <f>_xlfn.XLOOKUP(PV_DATA[[#This Row],[New Ark SKU]],Table9[New Ark SKU],Table9[Total PCS per Pallet],,0)</f>
        <v>33</v>
      </c>
      <c r="BF1142" s="472">
        <f>_xlfn.XLOOKUP(PV_DATA[[#This Row],[New Ark SKU]],Table9[New Ark SKU],Table9[Total PCS per 40HQ Container],,0)</f>
        <v>660</v>
      </c>
      <c r="BG1142" s="472" t="str">
        <f>_xlfn.XLOOKUP(PV_DATA[[#This Row],[New Ark SKU]],Table9[New Ark SKU],Table9[Back Glass],,0)</f>
        <v>White glazing</v>
      </c>
      <c r="BH1142" s="472" t="str">
        <f>_xlfn.XLOOKUP(PV_DATA[[#This Row],[PORT DESTINATION]],Table12[PORT DESTINATION],Table12[Cosco Line],,0)</f>
        <v>AEM</v>
      </c>
    </row>
    <row r="1143" spans="1:62" s="472" customFormat="1" ht="10.5">
      <c r="A1143" s="1239" t="s">
        <v>7155</v>
      </c>
      <c r="B1143" s="720" t="s">
        <v>111</v>
      </c>
      <c r="C1143" s="720" t="str">
        <f>IFERROR(LEFT(PV_DATA[[#This Row],[TCL REFERENCE]],FIND(".",PV_DATA[[#This Row],[TCL REFERENCE]],1)-1),"Main Line")</f>
        <v>26Aug017</v>
      </c>
      <c r="D1143" s="720" t="s">
        <v>63</v>
      </c>
      <c r="E1143" s="720" t="s">
        <v>64</v>
      </c>
      <c r="F1143" s="720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43" s="720" t="s">
        <v>402</v>
      </c>
      <c r="H1143" s="720" t="s">
        <v>311</v>
      </c>
      <c r="I1143" s="720" t="s">
        <v>689</v>
      </c>
      <c r="J1143" s="472" t="s">
        <v>96</v>
      </c>
      <c r="N1143" s="473">
        <v>46305</v>
      </c>
      <c r="O1143" s="472" t="s">
        <v>170</v>
      </c>
      <c r="P1143" s="472" t="s">
        <v>171</v>
      </c>
      <c r="Q1143" s="472" t="s">
        <v>1731</v>
      </c>
      <c r="R1143" s="430" t="str">
        <f>_xlfn.XLOOKUP(PV_DATA[[#This Row],[New Ark SKU]],Table9[New Ark SKU],Table9[Connector],,0)</f>
        <v>EVO2A</v>
      </c>
      <c r="S1143" s="433" t="str">
        <f>_xlfn.XLOOKUP(PV_DATA[[#This Row],[New Ark SKU]],Table9[New Ark SKU],Table9[Cable],,0)</f>
        <v>±1400mm</v>
      </c>
      <c r="T1143" s="1237">
        <v>555</v>
      </c>
      <c r="U1143" s="1228">
        <f>660*3</f>
        <v>1980</v>
      </c>
      <c r="V1143" s="1241">
        <f>PV_DATA[[#This Row],[QUANTITY]]*PV_DATA[[#This Row],[WATT]]/1000000</f>
        <v>1.0989</v>
      </c>
      <c r="W1143" s="1230">
        <f>PV_DATA[[#This Row],[QUANTITY]]/PV_DATA[[#This Row],[Qty/Pallet]]</f>
        <v>60</v>
      </c>
      <c r="X1143" s="1246">
        <f>PV_DATA[[#This Row],[QUANTITY]]/PV_DATA[[#This Row],[Qty/CT]]</f>
        <v>3</v>
      </c>
      <c r="Y1143" s="472" t="s">
        <v>2472</v>
      </c>
      <c r="AA1143" s="472" t="s">
        <v>7151</v>
      </c>
      <c r="AB1143" s="1234">
        <v>46303</v>
      </c>
      <c r="AC1143" s="1243"/>
      <c r="AD1143" s="472" t="s">
        <v>7156</v>
      </c>
      <c r="AF1143" s="472" t="s">
        <v>122</v>
      </c>
      <c r="AG1143" s="472" t="s">
        <v>123</v>
      </c>
      <c r="AH1143" s="472" t="s">
        <v>1561</v>
      </c>
      <c r="AI1143" s="1234">
        <v>46311</v>
      </c>
      <c r="AJ1143" s="1234">
        <f>IFERROR(VLOOKUP(AT1143, Vessel!A:D, 4, FALSE), "")</f>
        <v>46311.4375</v>
      </c>
      <c r="AK1143" s="1234" t="str">
        <f>IFERROR(IF(VLOOKUP(AT1143,Vessel!A:F,5,FALSE)=0,"",VLOOKUP(AT1143,Vessel!A:F,5,FALSE)),"")</f>
        <v/>
      </c>
      <c r="AL1143" s="1234">
        <v>46360</v>
      </c>
      <c r="AM1143" s="1355"/>
      <c r="AN1143" s="1355" t="str">
        <f>IFERROR(IF(VLOOKUP(AT1143,Vessel!A:I,9,FALSE)=0,"",VLOOKUP(AT1143,Vessel!A:I,9,FALSE)),"")</f>
        <v/>
      </c>
      <c r="AP1143" s="472" t="s">
        <v>7147</v>
      </c>
      <c r="AQ1143" s="472" t="s">
        <v>80</v>
      </c>
      <c r="AR1143" s="1225" t="s">
        <v>7157</v>
      </c>
      <c r="AS1143" s="472" t="s">
        <v>7158</v>
      </c>
      <c r="AT1143" s="472" t="s">
        <v>7158</v>
      </c>
      <c r="AU1143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48.5625</v>
      </c>
      <c r="AV1143" s="1234"/>
      <c r="AW1143" s="1234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4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1234" t="str">
        <f>IF(ISERROR(PV_DATA[[#This Row],[New Ark PO status]]),"",_xlfn.XLOOKUP(PV_DATA[[#This Row],[SPTN-PVHK New Ark PO'#]],New_Ark_Data[Purchase order Number],New_Ark_Data[Estimated time of arrival],"",0))</f>
        <v/>
      </c>
      <c r="AZ1143" s="1237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43" s="1234">
        <f>IFERROR(PV_DATA[[#This Row],[ODP ETA Port]]+PV_DATA[[#This Row],[Customs/Leg3 Assumption]],"n/a")</f>
        <v>46370</v>
      </c>
      <c r="BB1143" s="1237">
        <f>YEAR(PV_DATA[[#This Row],[ETA for New Ark update]])</f>
        <v>2026</v>
      </c>
      <c r="BC1143" s="472">
        <f>MONTH(PV_DATA[[#This Row],[ETA for New Ark update]])</f>
        <v>12</v>
      </c>
      <c r="BD1143" s="472">
        <f>IFERROR(_xlfn.ISOWEEKNUM(PV_DATA[[#This Row],[ETA for New Ark update]]),0)</f>
        <v>51</v>
      </c>
      <c r="BE1143" s="472">
        <f>_xlfn.XLOOKUP(PV_DATA[[#This Row],[New Ark SKU]],Table9[New Ark SKU],Table9[Total PCS per Pallet],,0)</f>
        <v>33</v>
      </c>
      <c r="BF1143" s="472">
        <f>_xlfn.XLOOKUP(PV_DATA[[#This Row],[New Ark SKU]],Table9[New Ark SKU],Table9[Total PCS per 40HQ Container],,0)</f>
        <v>660</v>
      </c>
      <c r="BG1143" s="472" t="str">
        <f>_xlfn.XLOOKUP(PV_DATA[[#This Row],[New Ark SKU]],Table9[New Ark SKU],Table9[Back Glass],,0)</f>
        <v>White glazing</v>
      </c>
      <c r="BH1143" s="472" t="str">
        <f>_xlfn.XLOOKUP(PV_DATA[[#This Row],[PORT DESTINATION]],Table12[PORT DESTINATION],Table12[Cosco Line],,0)</f>
        <v>AEM</v>
      </c>
    </row>
    <row r="1144" spans="1:62" s="472" customFormat="1" ht="13.5" customHeight="1">
      <c r="A1144" s="1239" t="s">
        <v>7159</v>
      </c>
      <c r="B1144" s="720" t="s">
        <v>111</v>
      </c>
      <c r="C1144" s="720" t="str">
        <f>IFERROR(LEFT(PV_DATA[[#This Row],[TCL REFERENCE]],FIND(".",PV_DATA[[#This Row],[TCL REFERENCE]],1)-1),"Main Line")</f>
        <v>26Aug015</v>
      </c>
      <c r="D1144" s="720" t="s">
        <v>63</v>
      </c>
      <c r="E1144" s="720" t="s">
        <v>64</v>
      </c>
      <c r="F1144" s="720" t="str" cm="1">
        <f t="array" ref="F11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4" s="720" t="s">
        <v>402</v>
      </c>
      <c r="H1144" s="720" t="s">
        <v>67</v>
      </c>
      <c r="I1144" s="720" t="s">
        <v>689</v>
      </c>
      <c r="J1144" s="472" t="s">
        <v>96</v>
      </c>
      <c r="M1144" s="472" t="s">
        <v>68</v>
      </c>
      <c r="N1144" s="473">
        <v>46285</v>
      </c>
      <c r="O1144" s="472" t="s">
        <v>550</v>
      </c>
      <c r="P1144" s="472" t="s">
        <v>551</v>
      </c>
      <c r="Q1144" s="472" t="s">
        <v>2151</v>
      </c>
      <c r="R1144" s="430" t="str">
        <f>_xlfn.XLOOKUP(PV_DATA[[#This Row],[New Ark SKU]],Table9[New Ark SKU],Table9[Connector],,0)</f>
        <v>EVO2A</v>
      </c>
      <c r="S1144" s="433" t="str">
        <f>_xlfn.XLOOKUP(PV_DATA[[#This Row],[New Ark SKU]],Table9[New Ark SKU],Table9[Cable],,0)</f>
        <v>±1350mm</v>
      </c>
      <c r="T1144" s="1237">
        <v>510</v>
      </c>
      <c r="U1144" s="1228">
        <v>1584</v>
      </c>
      <c r="V1144" s="1241">
        <f>PV_DATA[[#This Row],[QUANTITY]]*PV_DATA[[#This Row],[WATT]]/1000000</f>
        <v>0.80784</v>
      </c>
      <c r="W1144" s="1230">
        <f>PV_DATA[[#This Row],[QUANTITY]]/PV_DATA[[#This Row],[Qty/Pallet]]</f>
        <v>44</v>
      </c>
      <c r="X1144" s="1246">
        <f>PV_DATA[[#This Row],[QUANTITY]]/PV_DATA[[#This Row],[Qty/CT]]</f>
        <v>2</v>
      </c>
      <c r="Y1144" s="472" t="s">
        <v>2474</v>
      </c>
      <c r="Z1144" s="472" t="str">
        <f t="shared" ref="Z1144:Z1149" si="23">IF(AN1144&lt;&gt;"","COMPLETED",IF(AK1144&lt;&gt;"","IN-TRANSIT",""))</f>
        <v/>
      </c>
      <c r="AA1144" s="472" t="s">
        <v>7160</v>
      </c>
      <c r="AB1144" s="1234">
        <v>46303</v>
      </c>
      <c r="AC1144" s="1243">
        <f>IF(PV_DATA[[#This Row],[Pick- Up Date]]&lt;&gt;"",_xlfn.ISOWEEKNUM(PV_DATA[[#This Row],[Pick- Up Date]]),"")</f>
        <v>41</v>
      </c>
      <c r="AD1144" s="472" t="s">
        <v>7161</v>
      </c>
      <c r="AF1144" s="472" t="s">
        <v>122</v>
      </c>
      <c r="AG1144" s="472" t="s">
        <v>122</v>
      </c>
      <c r="AH1144" s="472" t="s">
        <v>78</v>
      </c>
      <c r="AI1144" s="1234">
        <v>46311</v>
      </c>
      <c r="AJ1144" s="1234">
        <v>46311</v>
      </c>
      <c r="AK1144" s="1234"/>
      <c r="AL1144" s="1234">
        <v>46363</v>
      </c>
      <c r="AM1144" s="1234"/>
      <c r="AN1144" s="1235"/>
      <c r="AP1144" s="472" t="s">
        <v>7147</v>
      </c>
      <c r="AQ1144" s="1244" t="s">
        <v>80</v>
      </c>
      <c r="AR1144" s="1225" t="s">
        <v>7162</v>
      </c>
      <c r="AS1144" s="472" t="s">
        <v>7163</v>
      </c>
      <c r="AT1144" s="472" t="s">
        <v>7163</v>
      </c>
      <c r="AW1144" s="1234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</v>
      </c>
      <c r="AX114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1234" t="str">
        <f>IF(ISERROR(PV_DATA[[#This Row],[New Ark PO status]]),"",_xlfn.XLOOKUP(PV_DATA[[#This Row],[SPTN-PVHK New Ark PO'#]],New_Ark_Data[Purchase order Number],New_Ark_Data[Estimated time of arrival],"",0))</f>
        <v/>
      </c>
      <c r="AZ1144" s="12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4" s="1234">
        <f>IFERROR(PV_DATA[[#This Row],[ODP ETA Port]]+PV_DATA[[#This Row],[Customs/Leg3 Assumption]],"n/a")</f>
        <v>46371</v>
      </c>
      <c r="BB1144" s="1237">
        <f>YEAR(PV_DATA[[#This Row],[ETA for New Ark update]])</f>
        <v>2026</v>
      </c>
      <c r="BC1144" s="472">
        <f>MONTH(PV_DATA[[#This Row],[ETA for New Ark update]])</f>
        <v>12</v>
      </c>
      <c r="BD1144" s="472">
        <f>IFERROR(_xlfn.ISOWEEKNUM(PV_DATA[[#This Row],[ETA for New Ark update]]),0)</f>
        <v>51</v>
      </c>
      <c r="BE1144" s="472">
        <f>_xlfn.XLOOKUP(PV_DATA[[#This Row],[New Ark SKU]],Table9[New Ark SKU],Table9[Total PCS per Pallet],,0)</f>
        <v>36</v>
      </c>
      <c r="BF1144" s="472">
        <f>_xlfn.XLOOKUP(PV_DATA[[#This Row],[New Ark SKU]],Table9[New Ark SKU],Table9[Total PCS per 40HQ Container],,0)</f>
        <v>792</v>
      </c>
      <c r="BG1144" s="472" t="str">
        <f>_xlfn.XLOOKUP(PV_DATA[[#This Row],[New Ark SKU]],Table9[New Ark SKU],Table9[Back Glass],,0)</f>
        <v>Black glazing</v>
      </c>
      <c r="BH1144" s="1245" t="str">
        <f>_xlfn.XLOOKUP(PV_DATA[[#This Row],[PORT DESTINATION]],Table12[PORT DESTINATION],Table12[Cosco Line],,0)</f>
        <v>AEM</v>
      </c>
    </row>
    <row r="1145" spans="1:62" s="472" customFormat="1" ht="10.5">
      <c r="A1145" s="720" t="s">
        <v>7164</v>
      </c>
      <c r="B1145" s="720" t="s">
        <v>61</v>
      </c>
      <c r="C1145" s="720" t="str">
        <f>IFERROR(LEFT(PV_DATA[[#This Row],[TCL REFERENCE]],FIND(".",PV_DATA[[#This Row],[TCL REFERENCE]],1)-1),"Main Line")</f>
        <v>26Aug022</v>
      </c>
      <c r="D1145" s="720" t="s">
        <v>63</v>
      </c>
      <c r="E1145" s="720" t="s">
        <v>64</v>
      </c>
      <c r="F1145" s="720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5" s="720" t="s">
        <v>402</v>
      </c>
      <c r="H1145" s="720" t="s">
        <v>67</v>
      </c>
      <c r="I1145" s="720" t="s">
        <v>689</v>
      </c>
      <c r="J1145" s="720" t="s">
        <v>96</v>
      </c>
      <c r="M1145" s="472" t="s">
        <v>68</v>
      </c>
      <c r="N1145" s="473">
        <v>46279</v>
      </c>
      <c r="O1145" s="472" t="s">
        <v>4531</v>
      </c>
      <c r="P1145" s="472" t="s">
        <v>1151</v>
      </c>
      <c r="Q1145" s="472" t="s">
        <v>421</v>
      </c>
      <c r="R1145" s="430" t="str">
        <f>_xlfn.XLOOKUP(PV_DATA[[#This Row],[New Ark SKU]],Table9[New Ark SKU],Table9[Connector],,0)</f>
        <v>EVO2A</v>
      </c>
      <c r="S1145" s="433" t="str">
        <f>_xlfn.XLOOKUP(PV_DATA[[#This Row],[New Ark SKU]],Table9[New Ark SKU],Table9[Cable],,0)</f>
        <v>±1200mm</v>
      </c>
      <c r="T1145" s="1237">
        <v>505</v>
      </c>
      <c r="U1145" s="1228">
        <v>864</v>
      </c>
      <c r="V1145" s="1241">
        <f>PV_DATA[[#This Row],[QUANTITY]]*PV_DATA[[#This Row],[WATT]]/1000000</f>
        <v>0.43631999999999999</v>
      </c>
      <c r="W1145" s="1230">
        <f>PV_DATA[[#This Row],[QUANTITY]]/PV_DATA[[#This Row],[Qty/Pallet]]</f>
        <v>24</v>
      </c>
      <c r="X1145" s="1246">
        <f>PV_DATA[[#This Row],[QUANTITY]]/PV_DATA[[#This Row],[Qty/CT]]</f>
        <v>1</v>
      </c>
      <c r="Y1145" s="472" t="s">
        <v>2471</v>
      </c>
      <c r="Z1145" s="472" t="str">
        <f t="shared" si="23"/>
        <v/>
      </c>
      <c r="AA1145" s="472" t="s">
        <v>5853</v>
      </c>
      <c r="AB1145" s="1234">
        <v>46300</v>
      </c>
      <c r="AC1145" s="1243">
        <f>IF(PV_DATA[[#This Row],[Pick- Up Date]]&lt;&gt;"",_xlfn.ISOWEEKNUM(PV_DATA[[#This Row],[Pick- Up Date]]),"")</f>
        <v>41</v>
      </c>
      <c r="AD1145" s="472" t="s">
        <v>7165</v>
      </c>
      <c r="AF1145" s="472" t="s">
        <v>77</v>
      </c>
      <c r="AG1145" s="472" t="s">
        <v>77</v>
      </c>
      <c r="AH1145" s="472" t="s">
        <v>105</v>
      </c>
      <c r="AI1145" s="1234">
        <v>46306</v>
      </c>
      <c r="AJ1145" s="1234">
        <f>IFERROR(VLOOKUP(AT1145, Vessel!A:D, 4, FALSE), "")</f>
        <v>46306.166666666664</v>
      </c>
      <c r="AK1145" s="1234"/>
      <c r="AL1145" s="1234">
        <v>46351</v>
      </c>
      <c r="AM1145" s="1235"/>
      <c r="AN1145" s="1235"/>
      <c r="AO1145" s="472" t="s">
        <v>402</v>
      </c>
      <c r="AP1145" s="472" t="s">
        <v>7166</v>
      </c>
      <c r="AQ1145" s="1244" t="s">
        <v>80</v>
      </c>
      <c r="AR1145" s="472" t="s">
        <v>7167</v>
      </c>
      <c r="AS1145" s="472" t="s">
        <v>7168</v>
      </c>
      <c r="AT1145" s="472" t="s">
        <v>7168</v>
      </c>
      <c r="AW1145" s="1234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4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1234" t="str">
        <f>IF(ISERROR(PV_DATA[[#This Row],[New Ark PO status]]),"",_xlfn.XLOOKUP(PV_DATA[[#This Row],[SPTN-PVHK New Ark PO'#]],New_Ark_Data[Purchase order Number],New_Ark_Data[Estimated time of arrival],"",0))</f>
        <v/>
      </c>
      <c r="AZ1145" s="12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5" s="1234">
        <f>IFERROR(PV_DATA[[#This Row],[ODP ETA Port]]+PV_DATA[[#This Row],[Customs/Leg3 Assumption]],"n/a")</f>
        <v>46358</v>
      </c>
      <c r="BB1145" s="1237">
        <f>YEAR(PV_DATA[[#This Row],[ETA for New Ark update]])</f>
        <v>2026</v>
      </c>
      <c r="BC1145" s="472">
        <f>MONTH(PV_DATA[[#This Row],[ETA for New Ark update]])</f>
        <v>12</v>
      </c>
      <c r="BD1145" s="472">
        <f>IFERROR(_xlfn.ISOWEEKNUM(PV_DATA[[#This Row],[ETA for New Ark update]]),0)</f>
        <v>49</v>
      </c>
      <c r="BE1145" s="472">
        <f>_xlfn.XLOOKUP(PV_DATA[[#This Row],[New Ark SKU]],Table9[New Ark SKU],Table9[Total PCS per Pallet],,0)</f>
        <v>36</v>
      </c>
      <c r="BF1145" s="472">
        <f>_xlfn.XLOOKUP(PV_DATA[[#This Row],[New Ark SKU]],Table9[New Ark SKU],Table9[Total PCS per 40HQ Container],,0)</f>
        <v>864</v>
      </c>
      <c r="BG1145" s="472" t="str">
        <f>_xlfn.XLOOKUP(PV_DATA[[#This Row],[New Ark SKU]],Table9[New Ark SKU],Table9[Back Glass],,0)</f>
        <v>Black glazing</v>
      </c>
      <c r="BH1145" s="1245" t="str">
        <f>_xlfn.XLOOKUP(PV_DATA[[#This Row],[PORT DESTINATION]],Table12[PORT DESTINATION],Table12[Cosco Line],,0)</f>
        <v>AEU</v>
      </c>
    </row>
    <row r="1146" spans="1:62" s="472" customFormat="1" ht="10.5">
      <c r="A1146" s="1239" t="s">
        <v>7169</v>
      </c>
      <c r="B1146" s="720" t="s">
        <v>61</v>
      </c>
      <c r="C1146" s="720" t="str">
        <f>IFERROR(LEFT(PV_DATA[[#This Row],[TCL REFERENCE]],FIND(".",PV_DATA[[#This Row],[TCL REFERENCE]],1)-1),"Main Line")</f>
        <v>26Aug003</v>
      </c>
      <c r="D1146" s="720" t="s">
        <v>63</v>
      </c>
      <c r="E1146" s="720" t="s">
        <v>64</v>
      </c>
      <c r="F1146" s="720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6" s="720" t="s">
        <v>402</v>
      </c>
      <c r="H1146" s="720" t="s">
        <v>67</v>
      </c>
      <c r="I1146" s="720" t="s">
        <v>689</v>
      </c>
      <c r="J1146" s="472" t="s">
        <v>96</v>
      </c>
      <c r="M1146" s="472" t="s">
        <v>6315</v>
      </c>
      <c r="N1146" s="473">
        <v>46237</v>
      </c>
      <c r="O1146" s="472" t="s">
        <v>4531</v>
      </c>
      <c r="P1146" s="472" t="s">
        <v>71</v>
      </c>
      <c r="Q1146" s="472" t="s">
        <v>72</v>
      </c>
      <c r="R1146" s="430" t="str">
        <f>_xlfn.XLOOKUP(PV_DATA[[#This Row],[New Ark SKU]],Table9[New Ark SKU],Table9[Connector],,0)</f>
        <v>EVO2A</v>
      </c>
      <c r="S1146" s="433" t="str">
        <f>_xlfn.XLOOKUP(PV_DATA[[#This Row],[New Ark SKU]],Table9[New Ark SKU],Table9[Cable],,0)</f>
        <v>±1200mm</v>
      </c>
      <c r="T1146" s="1237">
        <v>500</v>
      </c>
      <c r="U1146" s="1228">
        <f>864*6</f>
        <v>5184</v>
      </c>
      <c r="V1146" s="1241">
        <f>PV_DATA[[#This Row],[QUANTITY]]*PV_DATA[[#This Row],[WATT]]/1000000</f>
        <v>2.5920000000000001</v>
      </c>
      <c r="W1146" s="1230">
        <f>PV_DATA[[#This Row],[QUANTITY]]/PV_DATA[[#This Row],[Qty/Pallet]]</f>
        <v>144</v>
      </c>
      <c r="X1146" s="1246">
        <f>PV_DATA[[#This Row],[QUANTITY]]/PV_DATA[[#This Row],[Qty/CT]]</f>
        <v>6</v>
      </c>
      <c r="Y1146" s="472" t="s">
        <v>2472</v>
      </c>
      <c r="Z1146" s="472" t="str">
        <f t="shared" si="23"/>
        <v/>
      </c>
      <c r="AB1146" s="1234">
        <v>46300</v>
      </c>
      <c r="AC1146" s="1243">
        <f>IF(PV_DATA[[#This Row],[Pick- Up Date]]&lt;&gt;"",_xlfn.ISOWEEKNUM(PV_DATA[[#This Row],[Pick- Up Date]]),"")</f>
        <v>41</v>
      </c>
      <c r="AD1146" s="472" t="s">
        <v>7170</v>
      </c>
      <c r="AF1146" s="1248" t="s">
        <v>61</v>
      </c>
      <c r="AG1146" s="1248" t="s">
        <v>61</v>
      </c>
      <c r="AH1146" s="472" t="s">
        <v>105</v>
      </c>
      <c r="AI1146" s="1234">
        <v>46306</v>
      </c>
      <c r="AJ1146" s="1234">
        <f>IFERROR(VLOOKUP(AT1146, Vessel!A:D, 4, FALSE), "")</f>
        <v>46306.166666666664</v>
      </c>
      <c r="AK1146" s="1234" t="str">
        <f>IFERROR(IF(VLOOKUP(AT1146,Vessel!A:F,5,FALSE)=0,"",VLOOKUP(AT1146,Vessel!A:F,5,FALSE)),"")</f>
        <v/>
      </c>
      <c r="AL1146" s="1234">
        <v>46351</v>
      </c>
      <c r="AM1146" s="1235">
        <f>IFERROR(VLOOKUP(AT1146, Vessel!A:H, 8, FALSE), "")</f>
        <v>46351.104166666664</v>
      </c>
      <c r="AN1146" s="1235" t="str">
        <f>IFERROR(IF(VLOOKUP(AT1146,Vessel!A:I,9,FALSE)=0,"",VLOOKUP(AT1146,Vessel!A:I,9,FALSE)),"")</f>
        <v/>
      </c>
      <c r="AO1146" s="472" t="s">
        <v>402</v>
      </c>
      <c r="AP1146" s="472" t="s">
        <v>7166</v>
      </c>
      <c r="AQ1146" s="1244" t="s">
        <v>80</v>
      </c>
      <c r="AR1146" s="472" t="s">
        <v>7167</v>
      </c>
      <c r="AS1146" s="472" t="s">
        <v>7168</v>
      </c>
      <c r="AT1146" s="472" t="s">
        <v>7168</v>
      </c>
      <c r="AU1146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44.9375</v>
      </c>
      <c r="AW1146" s="1234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46351.104166666664</v>
      </c>
      <c r="AX114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1234" t="str">
        <f>IF(ISERROR(PV_DATA[[#This Row],[New Ark PO status]]),"",_xlfn.XLOOKUP(PV_DATA[[#This Row],[SPTN-PVHK New Ark PO'#]],New_Ark_Data[Purchase order Number],New_Ark_Data[Estimated time of arrival],"",0))</f>
        <v/>
      </c>
      <c r="AZ1146" s="12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6" s="1234">
        <f>IFERROR(PV_DATA[[#This Row],[ODP ETA Port]]+PV_DATA[[#This Row],[Customs/Leg3 Assumption]],"n/a")</f>
        <v>46358.104166666664</v>
      </c>
      <c r="BB1146" s="1237" t="s">
        <v>6315</v>
      </c>
      <c r="BC1146" s="1237" t="s">
        <v>6315</v>
      </c>
      <c r="BD1146" s="472">
        <f>IFERROR(_xlfn.ISOWEEKNUM(PV_DATA[[#This Row],[ETA for New Ark update]]),0)</f>
        <v>49</v>
      </c>
      <c r="BE1146" s="472">
        <f>_xlfn.XLOOKUP(PV_DATA[[#This Row],[New Ark SKU]],Table9[New Ark SKU],Table9[Total PCS per Pallet],,0)</f>
        <v>36</v>
      </c>
      <c r="BF1146" s="472">
        <f>_xlfn.XLOOKUP(PV_DATA[[#This Row],[New Ark SKU]],Table9[New Ark SKU],Table9[Total PCS per 40HQ Container],,0)</f>
        <v>864</v>
      </c>
      <c r="BG1146" s="472" t="str">
        <f>_xlfn.XLOOKUP(PV_DATA[[#This Row],[New Ark SKU]],Table9[New Ark SKU],Table9[Back Glass],,0)</f>
        <v>Black glazing</v>
      </c>
      <c r="BH1146" s="1245" t="str">
        <f>_xlfn.XLOOKUP(PV_DATA[[#This Row],[PORT DESTINATION]],Table12[PORT DESTINATION],Table12[Cosco Line],,0)</f>
        <v>AEU</v>
      </c>
    </row>
    <row r="1147" spans="1:62" s="472" customFormat="1" ht="13.5" customHeight="1">
      <c r="A1147" s="1239" t="s">
        <v>7171</v>
      </c>
      <c r="B1147" s="720" t="s">
        <v>61</v>
      </c>
      <c r="C1147" s="720" t="str">
        <f>IFERROR(LEFT(PV_DATA[[#This Row],[TCL REFERENCE]],FIND(".",PV_DATA[[#This Row],[TCL REFERENCE]],1)-1),"Main Line")</f>
        <v>26Aug021</v>
      </c>
      <c r="D1147" s="720" t="s">
        <v>63</v>
      </c>
      <c r="E1147" s="720" t="s">
        <v>64</v>
      </c>
      <c r="F1147" s="720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7" s="720" t="s">
        <v>402</v>
      </c>
      <c r="H1147" s="720" t="s">
        <v>67</v>
      </c>
      <c r="I1147" s="720" t="s">
        <v>689</v>
      </c>
      <c r="J1147" s="472" t="s">
        <v>96</v>
      </c>
      <c r="M1147" s="472" t="s">
        <v>68</v>
      </c>
      <c r="N1147" s="473">
        <v>46272</v>
      </c>
      <c r="O1147" s="472" t="s">
        <v>4531</v>
      </c>
      <c r="P1147" s="472" t="s">
        <v>71</v>
      </c>
      <c r="Q1147" s="472" t="s">
        <v>72</v>
      </c>
      <c r="R1147" s="430" t="str">
        <f>_xlfn.XLOOKUP(PV_DATA[[#This Row],[New Ark SKU]],Table9[New Ark SKU],Table9[Connector],,0)</f>
        <v>EVO2A</v>
      </c>
      <c r="S1147" s="433" t="str">
        <f>_xlfn.XLOOKUP(PV_DATA[[#This Row],[New Ark SKU]],Table9[New Ark SKU],Table9[Cable],,0)</f>
        <v>±1200mm</v>
      </c>
      <c r="T1147" s="1237">
        <v>500</v>
      </c>
      <c r="U1147" s="1228">
        <f>864</f>
        <v>864</v>
      </c>
      <c r="V1147" s="1241">
        <f>PV_DATA[[#This Row],[QUANTITY]]*PV_DATA[[#This Row],[WATT]]/1000000</f>
        <v>0.432</v>
      </c>
      <c r="W1147" s="1230">
        <f>PV_DATA[[#This Row],[QUANTITY]]/PV_DATA[[#This Row],[Qty/Pallet]]</f>
        <v>24</v>
      </c>
      <c r="X1147" s="1246">
        <f>PV_DATA[[#This Row],[QUANTITY]]/PV_DATA[[#This Row],[Qty/CT]]</f>
        <v>1</v>
      </c>
      <c r="Y1147" s="472" t="s">
        <v>2472</v>
      </c>
      <c r="Z1147" s="472" t="str">
        <f t="shared" si="23"/>
        <v/>
      </c>
      <c r="AA1147" s="1247" t="s">
        <v>5853</v>
      </c>
      <c r="AB1147" s="1234">
        <v>46300</v>
      </c>
      <c r="AC1147" s="1243">
        <f>IF(PV_DATA[[#This Row],[Pick- Up Date]]&lt;&gt;"",_xlfn.ISOWEEKNUM(PV_DATA[[#This Row],[Pick- Up Date]]),"")</f>
        <v>41</v>
      </c>
      <c r="AD1147" s="472" t="s">
        <v>7172</v>
      </c>
      <c r="AF1147" s="1248" t="s">
        <v>61</v>
      </c>
      <c r="AG1147" s="1248" t="s">
        <v>61</v>
      </c>
      <c r="AH1147" s="472" t="s">
        <v>105</v>
      </c>
      <c r="AI1147" s="1234">
        <v>46306</v>
      </c>
      <c r="AJ1147" s="1234">
        <f>IFERROR(VLOOKUP(AT1147, Vessel!A:D, 4, FALSE), "")</f>
        <v>46306.166666666664</v>
      </c>
      <c r="AK1147" s="1234" t="str">
        <f>IFERROR(IF(VLOOKUP(AT1147,Vessel!A:F,5,FALSE)=0,"",VLOOKUP(AT1147,Vessel!A:F,5,FALSE)),"")</f>
        <v/>
      </c>
      <c r="AL1147" s="1234">
        <v>46351</v>
      </c>
      <c r="AM1147" s="1234"/>
      <c r="AN1147" s="1235" t="str">
        <f>IFERROR(IF(VLOOKUP(AT1147,Vessel!A:I,9,FALSE)=0,"",VLOOKUP(AT1147,Vessel!A:I,9,FALSE)),"")</f>
        <v/>
      </c>
      <c r="AO1147" s="472" t="s">
        <v>402</v>
      </c>
      <c r="AP1147" s="472" t="s">
        <v>7166</v>
      </c>
      <c r="AQ1147" s="1244" t="s">
        <v>80</v>
      </c>
      <c r="AR1147" s="472" t="s">
        <v>7167</v>
      </c>
      <c r="AS1147" s="472" t="s">
        <v>7168</v>
      </c>
      <c r="AT1147" s="472" t="s">
        <v>7168</v>
      </c>
      <c r="AU1147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44.833333333335759</v>
      </c>
      <c r="AW1147" s="1234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4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1234" t="str">
        <f>IF(ISERROR(PV_DATA[[#This Row],[New Ark PO status]]),"",_xlfn.XLOOKUP(PV_DATA[[#This Row],[SPTN-PVHK New Ark PO'#]],New_Ark_Data[Purchase order Number],New_Ark_Data[Estimated time of arrival],"",0))</f>
        <v/>
      </c>
      <c r="AZ1147" s="12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7" s="1234">
        <f>IFERROR(PV_DATA[[#This Row],[ODP ETA Port]]+PV_DATA[[#This Row],[Customs/Leg3 Assumption]],"n/a")</f>
        <v>46358</v>
      </c>
      <c r="BB1147" s="1237" t="s">
        <v>6315</v>
      </c>
      <c r="BC1147" s="1237" t="s">
        <v>6315</v>
      </c>
      <c r="BD1147" s="472">
        <f>IFERROR(_xlfn.ISOWEEKNUM(PV_DATA[[#This Row],[ETA for New Ark update]]),0)</f>
        <v>49</v>
      </c>
      <c r="BE1147" s="472">
        <f>_xlfn.XLOOKUP(PV_DATA[[#This Row],[New Ark SKU]],Table9[New Ark SKU],Table9[Total PCS per Pallet],,0)</f>
        <v>36</v>
      </c>
      <c r="BF1147" s="472">
        <f>_xlfn.XLOOKUP(PV_DATA[[#This Row],[New Ark SKU]],Table9[New Ark SKU],Table9[Total PCS per 40HQ Container],,0)</f>
        <v>864</v>
      </c>
      <c r="BG1147" s="472" t="str">
        <f>_xlfn.XLOOKUP(PV_DATA[[#This Row],[New Ark SKU]],Table9[New Ark SKU],Table9[Back Glass],,0)</f>
        <v>Black glazing</v>
      </c>
      <c r="BH1147" s="1245" t="str">
        <f>_xlfn.XLOOKUP(PV_DATA[[#This Row],[PORT DESTINATION]],Table12[PORT DESTINATION],Table12[Cosco Line],,0)</f>
        <v>AEU</v>
      </c>
    </row>
    <row r="1148" spans="1:62" s="472" customFormat="1" ht="10.5">
      <c r="A1148" s="1239" t="s">
        <v>7173</v>
      </c>
      <c r="B1148" s="720" t="s">
        <v>61</v>
      </c>
      <c r="C1148" s="720" t="str">
        <f>IFERROR(LEFT(PV_DATA[[#This Row],[TCL REFERENCE]],FIND(".",PV_DATA[[#This Row],[TCL REFERENCE]],1)-1),"Main Line")</f>
        <v>26Aug005</v>
      </c>
      <c r="D1148" s="720" t="s">
        <v>63</v>
      </c>
      <c r="E1148" s="720" t="s">
        <v>64</v>
      </c>
      <c r="F1148" s="720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8" s="720" t="s">
        <v>402</v>
      </c>
      <c r="H1148" s="720" t="s">
        <v>67</v>
      </c>
      <c r="I1148" s="720" t="s">
        <v>689</v>
      </c>
      <c r="J1148" s="472" t="s">
        <v>96</v>
      </c>
      <c r="M1148" s="472" t="s">
        <v>6315</v>
      </c>
      <c r="N1148" s="473">
        <v>46258</v>
      </c>
      <c r="O1148" s="472" t="s">
        <v>4531</v>
      </c>
      <c r="P1148" s="472" t="s">
        <v>706</v>
      </c>
      <c r="Q1148" s="472" t="s">
        <v>707</v>
      </c>
      <c r="R1148" s="430" t="str">
        <f>_xlfn.XLOOKUP(PV_DATA[[#This Row],[New Ark SKU]],Table9[New Ark SKU],Table9[Connector],,0)</f>
        <v>EVO2A</v>
      </c>
      <c r="S1148" s="433" t="str">
        <f>_xlfn.XLOOKUP(PV_DATA[[#This Row],[New Ark SKU]],Table9[New Ark SKU],Table9[Cable],,0)</f>
        <v>±1200mm</v>
      </c>
      <c r="T1148" s="1237">
        <v>500</v>
      </c>
      <c r="U1148" s="1228">
        <f>864*5</f>
        <v>4320</v>
      </c>
      <c r="V1148" s="1241">
        <f>PV_DATA[[#This Row],[QUANTITY]]*PV_DATA[[#This Row],[WATT]]/1000000</f>
        <v>2.16</v>
      </c>
      <c r="W1148" s="1230">
        <f>PV_DATA[[#This Row],[QUANTITY]]/PV_DATA[[#This Row],[Qty/Pallet]]</f>
        <v>120</v>
      </c>
      <c r="X1148" s="1246">
        <f>PV_DATA[[#This Row],[QUANTITY]]/PV_DATA[[#This Row],[Qty/CT]]</f>
        <v>5</v>
      </c>
      <c r="Y1148" s="472" t="s">
        <v>2467</v>
      </c>
      <c r="Z1148" s="472" t="str">
        <f t="shared" si="23"/>
        <v/>
      </c>
      <c r="AB1148" s="1234">
        <v>46300</v>
      </c>
      <c r="AC1148" s="1243">
        <f>IF(PV_DATA[[#This Row],[Pick- Up Date]]&lt;&gt;"",_xlfn.ISOWEEKNUM(PV_DATA[[#This Row],[Pick- Up Date]]),"")</f>
        <v>41</v>
      </c>
      <c r="AD1148" s="472" t="s">
        <v>7174</v>
      </c>
      <c r="AF1148" s="472" t="s">
        <v>77</v>
      </c>
      <c r="AG1148" s="472" t="s">
        <v>61</v>
      </c>
      <c r="AH1148" s="472" t="s">
        <v>78</v>
      </c>
      <c r="AI1148" s="1234">
        <v>46306</v>
      </c>
      <c r="AJ1148" s="1234">
        <f>IFERROR(VLOOKUP(AT1148, Vessel!A:D, 4, FALSE), "")</f>
        <v>46306.166666666664</v>
      </c>
      <c r="AK1148" s="1234" t="str">
        <f>IFERROR(IF(VLOOKUP(AT1148,Vessel!A:F,5,FALSE)=0,"",VLOOKUP(AT1148,Vessel!A:F,5,FALSE)),"")</f>
        <v/>
      </c>
      <c r="AL1148" s="1234">
        <v>46370</v>
      </c>
      <c r="AM1148" s="1234">
        <f>IFERROR(VLOOKUP(AT1148, Vessel!A:H, 8, FALSE), "")</f>
        <v>46370.791666666664</v>
      </c>
      <c r="AN1148" s="1234" t="str">
        <f>IFERROR(IF(VLOOKUP(AT1148,Vessel!A:I,9,FALSE)=0,"",VLOOKUP(AT1148,Vessel!A:I,9,FALSE)),"")</f>
        <v/>
      </c>
      <c r="AP1148" s="472" t="s">
        <v>7166</v>
      </c>
      <c r="AQ1148" s="1244" t="s">
        <v>80</v>
      </c>
      <c r="AR1148" s="472" t="s">
        <v>7175</v>
      </c>
      <c r="AS1148" s="472" t="s">
        <v>7176</v>
      </c>
      <c r="AT1148" s="472" t="s">
        <v>7176</v>
      </c>
      <c r="AU1148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64.625</v>
      </c>
      <c r="AW1148" s="1234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46370.791666666664</v>
      </c>
      <c r="AX114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1234" t="str">
        <f>IF(ISERROR(PV_DATA[[#This Row],[New Ark PO status]]),"",_xlfn.XLOOKUP(PV_DATA[[#This Row],[SPTN-PVHK New Ark PO'#]],New_Ark_Data[Purchase order Number],New_Ark_Data[Estimated time of arrival],"",0))</f>
        <v/>
      </c>
      <c r="AZ1148" s="1237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8" s="1234">
        <f>IFERROR(PV_DATA[[#This Row],[ODP ETA Port]]+PV_DATA[[#This Row],[Customs/Leg3 Assumption]],"n/a")</f>
        <v>46378.791666666664</v>
      </c>
      <c r="BB1148" s="1237">
        <f>YEAR(PV_DATA[[#This Row],[ETA for New Ark update]])</f>
        <v>2026</v>
      </c>
      <c r="BC1148" s="472">
        <f>MONTH(PV_DATA[[#This Row],[ETA for New Ark update]])</f>
        <v>12</v>
      </c>
      <c r="BD1148" s="472">
        <f>IFERROR(_xlfn.ISOWEEKNUM(PV_DATA[[#This Row],[ETA for New Ark update]]),0)</f>
        <v>52</v>
      </c>
      <c r="BE1148" s="472">
        <f>_xlfn.XLOOKUP(PV_DATA[[#This Row],[New Ark SKU]],Table9[New Ark SKU],Table9[Total PCS per Pallet],,0)</f>
        <v>36</v>
      </c>
      <c r="BF1148" s="472">
        <f>_xlfn.XLOOKUP(PV_DATA[[#This Row],[New Ark SKU]],Table9[New Ark SKU],Table9[Total PCS per 40HQ Container],,0)</f>
        <v>864</v>
      </c>
      <c r="BG1148" s="472" t="str">
        <f>_xlfn.XLOOKUP(PV_DATA[[#This Row],[New Ark SKU]],Table9[New Ark SKU],Table9[Back Glass],,0)</f>
        <v>Black glazing</v>
      </c>
      <c r="BH1148" s="1245" t="str">
        <f>_xlfn.XLOOKUP(PV_DATA[[#This Row],[PORT DESTINATION]],Table12[PORT DESTINATION],Table12[Cosco Line],,0)</f>
        <v>AEM</v>
      </c>
    </row>
    <row r="1149" spans="1:62" s="472" customFormat="1" ht="13.5" customHeight="1">
      <c r="A1149" s="1239" t="s">
        <v>7177</v>
      </c>
      <c r="B1149" s="720" t="s">
        <v>61</v>
      </c>
      <c r="C1149" s="720" t="str">
        <f>IFERROR(LEFT(PV_DATA[[#This Row],[TCL REFERENCE]],FIND(".",PV_DATA[[#This Row],[TCL REFERENCE]],1)-1),"Main Line")</f>
        <v>26Aug024</v>
      </c>
      <c r="D1149" s="720" t="s">
        <v>63</v>
      </c>
      <c r="E1149" s="720" t="s">
        <v>64</v>
      </c>
      <c r="F1149" s="720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49" s="720" t="s">
        <v>402</v>
      </c>
      <c r="H1149" s="720" t="s">
        <v>451</v>
      </c>
      <c r="I1149" s="720" t="s">
        <v>882</v>
      </c>
      <c r="J1149" s="472" t="s">
        <v>7036</v>
      </c>
      <c r="M1149" s="472" t="s">
        <v>68</v>
      </c>
      <c r="N1149" s="473">
        <v>46279</v>
      </c>
      <c r="O1149" s="472" t="s">
        <v>4531</v>
      </c>
      <c r="P1149" s="472" t="s">
        <v>7037</v>
      </c>
      <c r="Q1149" s="472" t="s">
        <v>7038</v>
      </c>
      <c r="R1149" s="430" t="str">
        <f>_xlfn.XLOOKUP(PV_DATA[[#This Row],[New Ark SKU]],Table9[New Ark SKU],Table9[Connector],,0)</f>
        <v>EVO2A</v>
      </c>
      <c r="S1149" s="433" t="str">
        <f>_xlfn.XLOOKUP(PV_DATA[[#This Row],[New Ark SKU]],Table9[New Ark SKU],Table9[Cable],,0)</f>
        <v>±1200mm</v>
      </c>
      <c r="T1149" s="1237">
        <v>505</v>
      </c>
      <c r="U1149" s="1228">
        <v>864</v>
      </c>
      <c r="V1149" s="1241">
        <f>PV_DATA[[#This Row],[QUANTITY]]*PV_DATA[[#This Row],[WATT]]/1000000</f>
        <v>0.43631999999999999</v>
      </c>
      <c r="W1149" s="1230">
        <f>PV_DATA[[#This Row],[QUANTITY]]/PV_DATA[[#This Row],[Qty/Pallet]]</f>
        <v>24</v>
      </c>
      <c r="X1149" s="1246">
        <f>PV_DATA[[#This Row],[QUANTITY]]/PV_DATA[[#This Row],[Qty/CT]]</f>
        <v>1</v>
      </c>
      <c r="Y1149" s="472" t="s">
        <v>2469</v>
      </c>
      <c r="Z1149" s="472" t="str">
        <f t="shared" si="23"/>
        <v/>
      </c>
      <c r="AA1149" s="472" t="s">
        <v>7039</v>
      </c>
      <c r="AB1149" s="1234">
        <v>46300</v>
      </c>
      <c r="AC1149" s="1243">
        <f>IF(PV_DATA[[#This Row],[Pick- Up Date]]&lt;&gt;"",_xlfn.ISOWEEKNUM(PV_DATA[[#This Row],[Pick- Up Date]]),"")</f>
        <v>41</v>
      </c>
      <c r="AD1149" s="472" t="s">
        <v>7178</v>
      </c>
      <c r="AF1149" s="472" t="s">
        <v>61</v>
      </c>
      <c r="AG1149" s="472" t="s">
        <v>61</v>
      </c>
      <c r="AH1149" s="472" t="s">
        <v>456</v>
      </c>
      <c r="AI1149" s="1232">
        <v>46306</v>
      </c>
      <c r="AJ1149" s="1234">
        <f>IFERROR(VLOOKUP(AT1149, Vessel!A:D, 4, FALSE), "")</f>
        <v>46306.166666666664</v>
      </c>
      <c r="AK1149" s="1234" t="str">
        <f>IFERROR(IF(VLOOKUP(AT1149,Vessel!A:F,5,FALSE)=0,"",VLOOKUP(AT1149,Vessel!A:F,5,FALSE)),"")</f>
        <v/>
      </c>
      <c r="AL1149" s="1235">
        <v>46362</v>
      </c>
      <c r="AM1149" s="1355">
        <f>IFERROR(VLOOKUP(AT1149, Vessel!A:H, 8, FALSE), "")</f>
        <v>46362.041666666664</v>
      </c>
      <c r="AN1149" s="1355" t="str">
        <f>IFERROR(IF(VLOOKUP(AT1149,Vessel!A:I,9,FALSE)=0,"",VLOOKUP(AT1149,Vessel!A:I,9,FALSE)),"")</f>
        <v/>
      </c>
      <c r="AP1149" s="472" t="s">
        <v>7166</v>
      </c>
      <c r="AQ1149" s="1244" t="s">
        <v>80</v>
      </c>
      <c r="AR1149" s="472" t="s">
        <v>7179</v>
      </c>
      <c r="AS1149" s="472" t="s">
        <v>7180</v>
      </c>
      <c r="AT1149" s="472" t="s">
        <v>7180</v>
      </c>
      <c r="AU1149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55.875</v>
      </c>
      <c r="AW1149" s="1234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46362.041666666664</v>
      </c>
      <c r="AX114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1234" t="str">
        <f>IF(ISERROR(PV_DATA[[#This Row],[New Ark PO status]]),"",_xlfn.XLOOKUP(PV_DATA[[#This Row],[SPTN-PVHK New Ark PO'#]],New_Ark_Data[Purchase order Number],New_Ark_Data[Estimated time of arrival],"",0))</f>
        <v/>
      </c>
      <c r="AZ1149" s="1237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9" s="1234">
        <f>IFERROR(PV_DATA[[#This Row],[ODP ETA Port]]+PV_DATA[[#This Row],[Customs/Leg3 Assumption]],"n/a")</f>
        <v>46369.041666666664</v>
      </c>
      <c r="BB1149" s="1237" t="s">
        <v>6536</v>
      </c>
      <c r="BC1149" s="472" t="s">
        <v>6536</v>
      </c>
      <c r="BD1149" s="472">
        <f>IFERROR(_xlfn.ISOWEEKNUM(PV_DATA[[#This Row],[ETA for New Ark update]]),0)</f>
        <v>50</v>
      </c>
      <c r="BE1149" s="472">
        <v>36</v>
      </c>
      <c r="BF1149" s="472">
        <v>864</v>
      </c>
      <c r="BG1149" s="472" t="str">
        <f>_xlfn.XLOOKUP(PV_DATA[[#This Row],[New Ark SKU]],Table9[New Ark SKU],Table9[Back Glass],,0)</f>
        <v>Black glazing</v>
      </c>
      <c r="BH1149" s="1245" t="str">
        <f>_xlfn.XLOOKUP(PV_DATA[[#This Row],[PORT DESTINATION]],Table12[PORT DESTINATION],Table12[Cosco Line],,0)</f>
        <v>AEU</v>
      </c>
    </row>
    <row r="1150" spans="1:62" ht="13.5" customHeight="1">
      <c r="A1150" s="728" t="s">
        <v>7181</v>
      </c>
      <c r="B1150" s="439" t="s">
        <v>61</v>
      </c>
      <c r="C1150" s="439" t="str">
        <f>IFERROR(LEFT(PV_DATA[[#This Row],[TCL REFERENCE]],FIND(".",PV_DATA[[#This Row],[TCL REFERENCE]],1)-1),"Main Line")</f>
        <v>26Aug021</v>
      </c>
      <c r="D1150" s="439" t="s">
        <v>63</v>
      </c>
      <c r="E1150" s="439" t="s">
        <v>64</v>
      </c>
      <c r="F1150" s="439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0" s="439" t="s">
        <v>402</v>
      </c>
      <c r="H1150" s="439" t="s">
        <v>67</v>
      </c>
      <c r="I1150" s="439" t="s">
        <v>689</v>
      </c>
      <c r="J1150" s="431" t="s">
        <v>96</v>
      </c>
      <c r="K1150" s="431"/>
      <c r="L1150" s="431"/>
      <c r="M1150" s="431" t="s">
        <v>68</v>
      </c>
      <c r="N1150" s="461">
        <v>46272</v>
      </c>
      <c r="O1150" s="431" t="s">
        <v>4531</v>
      </c>
      <c r="P1150" s="430" t="s">
        <v>71</v>
      </c>
      <c r="Q1150" s="431" t="s">
        <v>72</v>
      </c>
      <c r="R1150" s="430" t="str">
        <f>_xlfn.XLOOKUP(PV_DATA[[#This Row],[New Ark SKU]],Table9[New Ark SKU],Table9[Connector],,0)</f>
        <v>EVO2A</v>
      </c>
      <c r="S1150" s="433" t="str">
        <f>_xlfn.XLOOKUP(PV_DATA[[#This Row],[New Ark SKU]],Table9[New Ark SKU],Table9[Cable],,0)</f>
        <v>±1200mm</v>
      </c>
      <c r="T1150" s="442">
        <v>500</v>
      </c>
      <c r="U1150" s="1093">
        <f>864*8</f>
        <v>6912</v>
      </c>
      <c r="V1150" s="448">
        <f>PV_DATA[[#This Row],[QUANTITY]]*PV_DATA[[#This Row],[WATT]]/1000000</f>
        <v>3.456</v>
      </c>
      <c r="W1150" s="466">
        <f>PV_DATA[[#This Row],[QUANTITY]]/PV_DATA[[#This Row],[Qty/Pallet]]</f>
        <v>192</v>
      </c>
      <c r="X1150" s="1044">
        <f>PV_DATA[[#This Row],[QUANTITY]]/PV_DATA[[#This Row],[Qty/CT]]</f>
        <v>8</v>
      </c>
      <c r="Y1150" s="431" t="s">
        <v>2473</v>
      </c>
      <c r="Z1150" s="430" t="str">
        <f t="shared" ref="Z1150" si="24">IF(AN1150&lt;&gt;"","COMPLETED",IF(AK1150&lt;&gt;"","IN-TRANSIT",""))</f>
        <v/>
      </c>
      <c r="AA1150" s="545" t="s">
        <v>5853</v>
      </c>
      <c r="AB1150" s="437">
        <v>46308</v>
      </c>
      <c r="AC1150" s="467">
        <f>IF(PV_DATA[[#This Row],[Pick- Up Date]]&lt;&gt;"",_xlfn.ISOWEEKNUM(PV_DATA[[#This Row],[Pick- Up Date]]),"")</f>
        <v>42</v>
      </c>
      <c r="AD1150" s="431"/>
      <c r="AE1150" s="431"/>
      <c r="AF1150" s="447" t="s">
        <v>61</v>
      </c>
      <c r="AG1150" s="447" t="s">
        <v>61</v>
      </c>
      <c r="AH1150" s="431" t="s">
        <v>105</v>
      </c>
      <c r="AI1150" s="441">
        <v>46313</v>
      </c>
      <c r="AJ1150" s="437">
        <f>IFERROR(VLOOKUP(AT1150, Vessel!A:D, 4, FALSE), "")</f>
        <v>46313.166666666664</v>
      </c>
      <c r="AK1150" s="437" t="str">
        <f>IFERROR(IF(VLOOKUP(AT1150,Vessel!A:F,5,FALSE)=0,"",VLOOKUP(AT1150,Vessel!A:F,5,FALSE)),"")</f>
        <v/>
      </c>
      <c r="AL1150" s="441">
        <v>46358</v>
      </c>
      <c r="AM1150" s="441"/>
      <c r="AN1150" s="586" t="str">
        <f>IFERROR(IF(VLOOKUP(AT1150,Vessel!A:I,9,FALSE)=0,"",VLOOKUP(AT1150,Vessel!A:I,9,FALSE)),"")</f>
        <v/>
      </c>
      <c r="AO1150" s="431" t="s">
        <v>402</v>
      </c>
      <c r="AP1150" s="431" t="s">
        <v>7182</v>
      </c>
      <c r="AQ1150" s="445" t="s">
        <v>80</v>
      </c>
      <c r="AR1150" s="619" t="s">
        <v>7183</v>
      </c>
      <c r="AS1150" s="431" t="s">
        <v>7184</v>
      </c>
      <c r="AT1150" s="431" t="s">
        <v>7184</v>
      </c>
      <c r="AU11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44.833333333335759</v>
      </c>
      <c r="AV1150" s="431"/>
      <c r="AW1150" s="441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5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441">
        <f>IF(ISERROR(PV_DATA[[#This Row],[New Ark PO status]]),"",_xlfn.XLOOKUP(PV_DATA[[#This Row],[SPTN-PVHK New Ark PO'#]],New_Ark_Data[Purchase order Number],New_Ark_Data[Estimated time of arrival],"",0))</f>
        <v>0</v>
      </c>
      <c r="AZ115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0" s="441">
        <f>IFERROR(PV_DATA[[#This Row],[ODP ETA Port]]+PV_DATA[[#This Row],[Customs/Leg3 Assumption]],"n/a")</f>
        <v>46365</v>
      </c>
      <c r="BB1150" s="442" t="s">
        <v>6315</v>
      </c>
      <c r="BC1150" s="442" t="s">
        <v>6315</v>
      </c>
      <c r="BD1150" s="431">
        <f>IFERROR(_xlfn.ISOWEEKNUM(PV_DATA[[#This Row],[ETA for New Ark update]]),0)</f>
        <v>50</v>
      </c>
      <c r="BE1150" s="431">
        <f>_xlfn.XLOOKUP(PV_DATA[[#This Row],[New Ark SKU]],Table9[New Ark SKU],Table9[Total PCS per Pallet],,0)</f>
        <v>36</v>
      </c>
      <c r="BF1150" s="431">
        <f>_xlfn.XLOOKUP(PV_DATA[[#This Row],[New Ark SKU]],Table9[New Ark SKU],Table9[Total PCS per 40HQ Container],,0)</f>
        <v>864</v>
      </c>
      <c r="BG1150" s="431" t="str">
        <f>_xlfn.XLOOKUP(PV_DATA[[#This Row],[New Ark SKU]],Table9[New Ark SKU],Table9[Back Glass],,0)</f>
        <v>Black glazing</v>
      </c>
      <c r="BH1150" s="622" t="str">
        <f>_xlfn.XLOOKUP(PV_DATA[[#This Row],[PORT DESTINATION]],Table12[PORT DESTINATION],Table12[Cosco Line],,0)</f>
        <v>AEU</v>
      </c>
      <c r="BJ1150" s="430"/>
    </row>
    <row r="1151" spans="1:62" ht="10.5">
      <c r="A1151" s="727" t="s">
        <v>7185</v>
      </c>
      <c r="B1151" s="726" t="s">
        <v>111</v>
      </c>
      <c r="C1151" s="439" t="str">
        <f>IFERROR(LEFT(PV_DATA[[#This Row],[TCL REFERENCE]],FIND(".",PV_DATA[[#This Row],[TCL REFERENCE]],1)-1),"Main Line")</f>
        <v>26Aug025</v>
      </c>
      <c r="D1151" s="726" t="s">
        <v>113</v>
      </c>
      <c r="E1151" s="439" t="s">
        <v>144</v>
      </c>
      <c r="F1151" s="726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1" s="439" t="s">
        <v>156</v>
      </c>
      <c r="H1151" s="439" t="s">
        <v>941</v>
      </c>
      <c r="I1151" s="462" t="s">
        <v>689</v>
      </c>
      <c r="J1151" s="921" t="s">
        <v>7186</v>
      </c>
      <c r="K1151" s="619"/>
      <c r="L1151" s="619"/>
      <c r="M1151" s="919" t="s">
        <v>6656</v>
      </c>
      <c r="N1151" s="630"/>
      <c r="O1151" s="619" t="s">
        <v>4531</v>
      </c>
      <c r="P1151" s="623" t="s">
        <v>6461</v>
      </c>
      <c r="Q1151" s="619" t="s">
        <v>4598</v>
      </c>
      <c r="R1151" s="430" t="str">
        <f>_xlfn.XLOOKUP(PV_DATA[[#This Row],[New Ark SKU]],Table9[New Ark SKU],Table9[Connector],,0)</f>
        <v>H4(Com)</v>
      </c>
      <c r="S1151" s="433" t="str">
        <f>_xlfn.XLOOKUP(PV_DATA[[#This Row],[New Ark SKU]],Table9[New Ark SKU],Table9[Cable],,0)</f>
        <v>+400mm/-200mm</v>
      </c>
      <c r="T1151" s="620">
        <v>630</v>
      </c>
      <c r="U1151" s="1093">
        <f>720</f>
        <v>720</v>
      </c>
      <c r="V1151" s="624">
        <f>PV_DATA[[#This Row],[QUANTITY]]*PV_DATA[[#This Row],[WATT]]/1000000</f>
        <v>0.4536</v>
      </c>
      <c r="W1151" s="466">
        <f>PV_DATA[[#This Row],[QUANTITY]]/36</f>
        <v>20</v>
      </c>
      <c r="X1151" s="1047">
        <f>PV_DATA[[#This Row],[QUANTITY]]/PV_DATA[[#This Row],[Qty/CT]]</f>
        <v>1</v>
      </c>
      <c r="Y1151" s="431" t="s">
        <v>2468</v>
      </c>
      <c r="Z1151" s="430" t="str">
        <f>IF(AN1151&lt;&gt;"","COMPLETED",IF(AK1151&lt;&gt;"","IN-TRANSIT",""))</f>
        <v>IN-TRANSIT</v>
      </c>
      <c r="AA1151" s="619"/>
      <c r="AB1151" s="626">
        <v>46269</v>
      </c>
      <c r="AC1151" s="627">
        <f>IF(PV_DATA[[#This Row],[Pick- Up Date]]&lt;&gt;"",_xlfn.ISOWEEKNUM(PV_DATA[[#This Row],[Pick- Up Date]]),"")</f>
        <v>36</v>
      </c>
      <c r="AD1151" s="619"/>
      <c r="AE1151" s="619"/>
      <c r="AF1151" s="619" t="s">
        <v>122</v>
      </c>
      <c r="AG1151" s="619" t="s">
        <v>122</v>
      </c>
      <c r="AH1151" s="430" t="s">
        <v>7187</v>
      </c>
      <c r="AI1151" s="626">
        <v>46273</v>
      </c>
      <c r="AJ1151" s="437">
        <v>46274</v>
      </c>
      <c r="AK1151" s="437">
        <v>46275</v>
      </c>
      <c r="AL1151" s="626">
        <v>46285</v>
      </c>
      <c r="AM1151" s="626">
        <v>46297</v>
      </c>
      <c r="AN1151" s="586"/>
      <c r="AO1151" s="619" t="s">
        <v>156</v>
      </c>
      <c r="AP1151" s="619" t="s">
        <v>7188</v>
      </c>
      <c r="AQ1151" s="628" t="s">
        <v>161</v>
      </c>
      <c r="AR1151" s="619" t="s">
        <v>7189</v>
      </c>
      <c r="AS1151" s="619">
        <v>802581991</v>
      </c>
      <c r="AT1151" s="431">
        <v>802581991</v>
      </c>
      <c r="AU11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22</v>
      </c>
      <c r="AV1151" s="619"/>
      <c r="AW1151" s="626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115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626">
        <f>IF(ISERROR(PV_DATA[[#This Row],[New Ark PO status]]),"",_xlfn.XLOOKUP(PV_DATA[[#This Row],[SPTN-PVHK New Ark PO'#]],New_Ark_Data[Purchase order Number],New_Ark_Data[Estimated time of arrival],"",0))</f>
        <v>0</v>
      </c>
      <c r="AZ1151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1" s="626">
        <f>IFERROR(PV_DATA[[#This Row],[ODP ETA Port]]+PV_DATA[[#This Row],[Customs/Leg3 Assumption]],"n/a")</f>
        <v>46297</v>
      </c>
      <c r="BB1151" s="620">
        <f>YEAR(PV_DATA[[#This Row],[ETA for New Ark update]])</f>
        <v>2026</v>
      </c>
      <c r="BC1151" s="619">
        <f>MONTH(PV_DATA[[#This Row],[ETA for New Ark update]])</f>
        <v>10</v>
      </c>
      <c r="BD1151" s="619">
        <f>IFERROR(_xlfn.ISOWEEKNUM(PV_DATA[[#This Row],[ETA for New Ark update]]),0)</f>
        <v>40</v>
      </c>
      <c r="BE1151" s="431">
        <f>_xlfn.XLOOKUP(PV_DATA[[#This Row],[New Ark SKU]],Table9[New Ark SKU],Table9[Total PCS per Pallet],,0)</f>
        <v>36</v>
      </c>
      <c r="BF1151" s="431">
        <f>_xlfn.XLOOKUP(PV_DATA[[#This Row],[New Ark SKU]],Table9[New Ark SKU],Table9[Total PCS per 40HQ Container],,0)</f>
        <v>720</v>
      </c>
      <c r="BG1151" s="431" t="str">
        <f>_xlfn.XLOOKUP(PV_DATA[[#This Row],[New Ark SKU]],Table9[New Ark SKU],Table9[Back Glass],,0)</f>
        <v>Redirection Film</v>
      </c>
      <c r="BH1151" s="629" t="str">
        <f>_xlfn.XLOOKUP(PV_DATA[[#This Row],[PORT DESTINATION]],Table12[PORT DESTINATION],Table12[Cosco Line],,0)</f>
        <v>n/a</v>
      </c>
      <c r="BJ1151" s="430"/>
    </row>
    <row r="1152" spans="1:62">
      <c r="A1152" s="1276" t="s">
        <v>7190</v>
      </c>
      <c r="B1152" s="726" t="s">
        <v>1757</v>
      </c>
      <c r="C1152" s="726" t="str">
        <f>IFERROR(LEFT(PV_DATA[[#This Row],[TCL REFERENCE]],FIND(".",PV_DATA[[#This Row],[TCL REFERENCE]],1)-1),"Main Line")</f>
        <v>26Oct007</v>
      </c>
      <c r="D1152" s="726" t="s">
        <v>63</v>
      </c>
      <c r="E1152" s="439" t="s">
        <v>64</v>
      </c>
      <c r="F1152" s="439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52" s="726" t="s">
        <v>402</v>
      </c>
      <c r="H1152" s="462" t="s">
        <v>115</v>
      </c>
      <c r="I1152" s="462" t="s">
        <v>882</v>
      </c>
      <c r="J1152" s="431" t="s">
        <v>96</v>
      </c>
      <c r="K1152" s="619"/>
      <c r="L1152" s="619"/>
      <c r="M1152" s="431" t="s">
        <v>68</v>
      </c>
      <c r="N1152" s="630"/>
      <c r="O1152" s="619" t="s">
        <v>284</v>
      </c>
      <c r="P1152" s="623" t="s">
        <v>7191</v>
      </c>
      <c r="Q1152" s="619" t="s">
        <v>7192</v>
      </c>
      <c r="R1152" s="430" t="str">
        <f>_xlfn.XLOOKUP(PV_DATA[[#This Row],[New Ark SKU]],Table9[New Ark SKU],Table9[Connector],,0)</f>
        <v>EVO2A</v>
      </c>
      <c r="S1152" s="433" t="str">
        <f>_xlfn.XLOOKUP(PV_DATA[[#This Row],[New Ark SKU]],Table9[New Ark SKU],Table9[Cable],,0)</f>
        <v>±1200mm</v>
      </c>
      <c r="T1152" s="620">
        <v>490</v>
      </c>
      <c r="U1152" s="1064">
        <f>936*3</f>
        <v>2808</v>
      </c>
      <c r="V1152" s="624">
        <f>PV_DATA[[#This Row],[QUANTITY]]*PV_DATA[[#This Row],[WATT]]/1000000</f>
        <v>1.37592</v>
      </c>
      <c r="W1152" s="625">
        <f>PV_DATA[[#This Row],[QUANTITY]]/PV_DATA[[#This Row],[Qty/Pallet]]</f>
        <v>78</v>
      </c>
      <c r="X1152" s="1047">
        <f>PV_DATA[[#This Row],[QUANTITY]]/PV_DATA[[#This Row],[Qty/CT]]</f>
        <v>3</v>
      </c>
      <c r="Y1152" s="431" t="s">
        <v>2473</v>
      </c>
      <c r="Z1152" s="1275" t="str">
        <f t="shared" ref="Z1152" si="25">IF(AN1152&lt;&gt;"","COMPLETED",IF(AK1152&lt;&gt;"","IN-TRANSIT",""))</f>
        <v/>
      </c>
      <c r="AA1152" s="855">
        <v>46311</v>
      </c>
      <c r="AB1152" s="626"/>
      <c r="AC1152" s="627" t="str">
        <f>IF(PV_DATA[[#This Row],[Pick- Up Date]]&lt;&gt;"",_xlfn.ISOWEEKNUM(PV_DATA[[#This Row],[Pick- Up Date]]),"")</f>
        <v/>
      </c>
      <c r="AD1152" s="619"/>
      <c r="AE1152" s="620"/>
      <c r="AF1152" s="430" t="s">
        <v>122</v>
      </c>
      <c r="AG1152" s="430" t="s">
        <v>123</v>
      </c>
      <c r="AH1152" s="431" t="s">
        <v>456</v>
      </c>
      <c r="AI1152" s="626">
        <v>46314</v>
      </c>
      <c r="AJ1152" s="626"/>
      <c r="AK1152" s="626"/>
      <c r="AL1152" s="626">
        <v>46355</v>
      </c>
      <c r="AM1152" s="626"/>
      <c r="AN1152" s="626"/>
      <c r="AO1152" s="619"/>
      <c r="AP1152" s="619" t="s">
        <v>7193</v>
      </c>
      <c r="AQ1152" s="628" t="s">
        <v>80</v>
      </c>
      <c r="AR1152" s="619" t="s">
        <v>7194</v>
      </c>
      <c r="AS1152" s="619" t="s">
        <v>7195</v>
      </c>
      <c r="AT1152" s="619" t="s">
        <v>7195</v>
      </c>
      <c r="AU1152" s="619"/>
      <c r="AV1152" s="619"/>
      <c r="AW1152" s="626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46355</v>
      </c>
      <c r="AX115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626">
        <f>IF(ISERROR(PV_DATA[[#This Row],[New Ark PO status]]),"",_xlfn.XLOOKUP(PV_DATA[[#This Row],[SPTN-PVHK New Ark PO'#]],New_Ark_Data[Purchase order Number],New_Ark_Data[Estimated time of arrival],"",0))</f>
        <v>0</v>
      </c>
      <c r="AZ1152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2" s="626">
        <f>IFERROR(PV_DATA[[#This Row],[ODP ETA Port]]+PV_DATA[[#This Row],[Customs/Leg3 Assumption]],"n/a")</f>
        <v>46362</v>
      </c>
      <c r="BB1152" s="620">
        <f>YEAR(PV_DATA[[#This Row],[ETA for New Ark update]])</f>
        <v>2026</v>
      </c>
      <c r="BC1152" s="619">
        <f>MONTH(PV_DATA[[#This Row],[ETA for New Ark update]])</f>
        <v>12</v>
      </c>
      <c r="BD1152" s="619">
        <f>IFERROR(_xlfn.ISOWEEKNUM(PV_DATA[[#This Row],[ETA for New Ark update]]),0)</f>
        <v>49</v>
      </c>
      <c r="BE1152" s="431">
        <f>_xlfn.XLOOKUP(PV_DATA[[#This Row],[New Ark SKU]],Table9[New Ark SKU],Table9[Total PCS per Pallet],,0)</f>
        <v>36</v>
      </c>
      <c r="BF1152" s="431">
        <f>_xlfn.XLOOKUP(PV_DATA[[#This Row],[New Ark SKU]],Table9[New Ark SKU],Table9[Total PCS per 40HQ Container],,0)</f>
        <v>936</v>
      </c>
      <c r="BG1152" s="431" t="str">
        <f>_xlfn.XLOOKUP(PV_DATA[[#This Row],[New Ark SKU]],Table9[New Ark SKU],Table9[Back Glass],,0)</f>
        <v>Black glazing</v>
      </c>
      <c r="BH1152" s="629" t="str">
        <f>_xlfn.XLOOKUP(PV_DATA[[#This Row],[PORT DESTINATION]],Table12[PORT DESTINATION],Table12[Cosco Line],,0)</f>
        <v>AEU</v>
      </c>
    </row>
    <row r="1153" spans="1:62">
      <c r="A1153" s="1276" t="s">
        <v>7196</v>
      </c>
      <c r="B1153" s="726" t="s">
        <v>1757</v>
      </c>
      <c r="C1153" s="726" t="str">
        <f>IFERROR(LEFT(PV_DATA[[#This Row],[TCL REFERENCE]],FIND(".",PV_DATA[[#This Row],[TCL REFERENCE]],1)-1),"Main Line")</f>
        <v>26Oct009</v>
      </c>
      <c r="D1153" s="726" t="s">
        <v>63</v>
      </c>
      <c r="E1153" s="439" t="s">
        <v>64</v>
      </c>
      <c r="F1153" s="439" t="str" cm="1">
        <f t="array" ref="F11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3" s="726" t="s">
        <v>402</v>
      </c>
      <c r="H1153" s="726" t="s">
        <v>67</v>
      </c>
      <c r="I1153" s="431" t="s">
        <v>689</v>
      </c>
      <c r="J1153" s="431" t="s">
        <v>96</v>
      </c>
      <c r="K1153" s="619"/>
      <c r="L1153" s="619"/>
      <c r="M1153" s="430" t="s">
        <v>6315</v>
      </c>
      <c r="N1153" s="630"/>
      <c r="O1153" s="619" t="s">
        <v>284</v>
      </c>
      <c r="P1153" s="623" t="s">
        <v>5851</v>
      </c>
      <c r="Q1153" s="619" t="s">
        <v>5852</v>
      </c>
      <c r="R1153" s="430" t="str">
        <f>_xlfn.XLOOKUP(PV_DATA[[#This Row],[New Ark SKU]],Table9[New Ark SKU],Table9[Connector],,0)</f>
        <v>EVO2A</v>
      </c>
      <c r="S1153" s="433" t="str">
        <f>_xlfn.XLOOKUP(PV_DATA[[#This Row],[New Ark SKU]],Table9[New Ark SKU],Table9[Cable],,0)</f>
        <v>±1200mm</v>
      </c>
      <c r="T1153" s="620">
        <v>485</v>
      </c>
      <c r="U1153" s="1064">
        <v>10296</v>
      </c>
      <c r="V1153" s="624">
        <f>PV_DATA[[#This Row],[QUANTITY]]*PV_DATA[[#This Row],[WATT]]/1000000</f>
        <v>4.9935600000000004</v>
      </c>
      <c r="W1153" s="625">
        <f>PV_DATA[[#This Row],[QUANTITY]]/PV_DATA[[#This Row],[Qty/Pallet]]</f>
        <v>286</v>
      </c>
      <c r="X1153" s="1047">
        <f>PV_DATA[[#This Row],[QUANTITY]]/PV_DATA[[#This Row],[Qty/CT]]</f>
        <v>11</v>
      </c>
      <c r="Y1153" s="431" t="s">
        <v>2473</v>
      </c>
      <c r="Z1153" s="1275" t="str">
        <f>IF(AN1153&lt;&gt;"","COMPLETED",IF(AK1153&lt;&gt;"","IN-TRANSIT",""))</f>
        <v/>
      </c>
      <c r="AA1153" s="855">
        <v>46311</v>
      </c>
      <c r="AB1153" s="626"/>
      <c r="AC1153" s="627" t="str">
        <f>IF(PV_DATA[[#This Row],[Pick- Up Date]]&lt;&gt;"",_xlfn.ISOWEEKNUM(PV_DATA[[#This Row],[Pick- Up Date]]),"")</f>
        <v/>
      </c>
      <c r="AD1153" s="619"/>
      <c r="AE1153" s="620"/>
      <c r="AF1153" s="430" t="s">
        <v>122</v>
      </c>
      <c r="AG1153" s="430" t="s">
        <v>123</v>
      </c>
      <c r="AH1153" s="431" t="s">
        <v>105</v>
      </c>
      <c r="AI1153" s="626">
        <v>46315</v>
      </c>
      <c r="AJ1153" s="626"/>
      <c r="AK1153" s="626"/>
      <c r="AL1153" s="626">
        <v>46351</v>
      </c>
      <c r="AM1153" s="626"/>
      <c r="AN1153" s="626"/>
      <c r="AO1153" s="619"/>
      <c r="AP1153" s="619" t="s">
        <v>7166</v>
      </c>
      <c r="AQ1153" s="628" t="s">
        <v>80</v>
      </c>
      <c r="AR1153" s="619" t="s">
        <v>7197</v>
      </c>
      <c r="AS1153" s="619" t="s">
        <v>7198</v>
      </c>
      <c r="AT1153" s="619" t="s">
        <v>7198</v>
      </c>
      <c r="AU1153" s="619"/>
      <c r="AV1153" s="619"/>
      <c r="AW1153" s="626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5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626">
        <f>IF(ISERROR(PV_DATA[[#This Row],[New Ark PO status]]),"",_xlfn.XLOOKUP(PV_DATA[[#This Row],[SPTN-PVHK New Ark PO'#]],New_Ark_Data[Purchase order Number],New_Ark_Data[Estimated time of arrival],"",0))</f>
        <v>0</v>
      </c>
      <c r="AZ1153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3" s="626">
        <f>IFERROR(PV_DATA[[#This Row],[ODP ETA Port]]+PV_DATA[[#This Row],[Customs/Leg3 Assumption]],"n/a")</f>
        <v>46358</v>
      </c>
      <c r="BB1153" s="620">
        <f>YEAR(PV_DATA[[#This Row],[ETA for New Ark update]])</f>
        <v>2026</v>
      </c>
      <c r="BC1153" s="619">
        <f>MONTH(PV_DATA[[#This Row],[ETA for New Ark update]])</f>
        <v>12</v>
      </c>
      <c r="BD1153" s="619">
        <f>IFERROR(_xlfn.ISOWEEKNUM(PV_DATA[[#This Row],[ETA for New Ark update]]),0)</f>
        <v>49</v>
      </c>
      <c r="BE1153" s="431">
        <f>_xlfn.XLOOKUP(PV_DATA[[#This Row],[New Ark SKU]],Table9[New Ark SKU],Table9[Total PCS per Pallet],,0)</f>
        <v>36</v>
      </c>
      <c r="BF1153" s="431">
        <f>_xlfn.XLOOKUP(PV_DATA[[#This Row],[New Ark SKU]],Table9[New Ark SKU],Table9[Total PCS per 40HQ Container],,0)</f>
        <v>936</v>
      </c>
      <c r="BG1153" s="431" t="str">
        <f>_xlfn.XLOOKUP(PV_DATA[[#This Row],[New Ark SKU]],Table9[New Ark SKU],Table9[Back Glass],,0)</f>
        <v>Black glazing</v>
      </c>
      <c r="BH1153" s="629" t="str">
        <f>_xlfn.XLOOKUP(PV_DATA[[#This Row],[PORT DESTINATION]],Table12[PORT DESTINATION],Table12[Cosco Line],,0)</f>
        <v>AEU</v>
      </c>
    </row>
    <row r="1154" spans="1:62">
      <c r="A1154" s="1276" t="s">
        <v>7199</v>
      </c>
      <c r="B1154" s="726" t="s">
        <v>1757</v>
      </c>
      <c r="C1154" s="726" t="str">
        <f>IFERROR(LEFT(PV_DATA[[#This Row],[TCL REFERENCE]],FIND(".",PV_DATA[[#This Row],[TCL REFERENCE]],1)-1),"Main Line")</f>
        <v>26Oct007</v>
      </c>
      <c r="D1154" s="726" t="s">
        <v>63</v>
      </c>
      <c r="E1154" s="439" t="s">
        <v>64</v>
      </c>
      <c r="F1154" s="439" t="str" cm="1">
        <f t="array" ref="F11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4" s="726" t="s">
        <v>402</v>
      </c>
      <c r="H1154" s="462" t="s">
        <v>115</v>
      </c>
      <c r="I1154" s="462" t="s">
        <v>882</v>
      </c>
      <c r="J1154" s="431" t="s">
        <v>96</v>
      </c>
      <c r="K1154" s="619"/>
      <c r="L1154" s="619"/>
      <c r="M1154" s="431" t="s">
        <v>68</v>
      </c>
      <c r="N1154" s="630"/>
      <c r="O1154" s="619" t="s">
        <v>284</v>
      </c>
      <c r="P1154" s="623" t="s">
        <v>7191</v>
      </c>
      <c r="Q1154" s="619" t="s">
        <v>7192</v>
      </c>
      <c r="R1154" s="430" t="str">
        <f>_xlfn.XLOOKUP(PV_DATA[[#This Row],[New Ark SKU]],Table9[New Ark SKU],Table9[Connector],,0)</f>
        <v>EVO2A</v>
      </c>
      <c r="S1154" s="433" t="str">
        <f>_xlfn.XLOOKUP(PV_DATA[[#This Row],[New Ark SKU]],Table9[New Ark SKU],Table9[Cable],,0)</f>
        <v>±1200mm</v>
      </c>
      <c r="T1154" s="620">
        <v>490</v>
      </c>
      <c r="U1154" s="1064">
        <f>936*5</f>
        <v>4680</v>
      </c>
      <c r="V1154" s="624">
        <f>PV_DATA[[#This Row],[QUANTITY]]*PV_DATA[[#This Row],[WATT]]/1000000</f>
        <v>2.2932000000000001</v>
      </c>
      <c r="W1154" s="625">
        <f>PV_DATA[[#This Row],[QUANTITY]]/PV_DATA[[#This Row],[Qty/Pallet]]</f>
        <v>130</v>
      </c>
      <c r="X1154" s="1047">
        <f>PV_DATA[[#This Row],[QUANTITY]]/PV_DATA[[#This Row],[Qty/CT]]</f>
        <v>5</v>
      </c>
      <c r="Y1154" s="431" t="s">
        <v>2473</v>
      </c>
      <c r="Z1154" s="1275" t="str">
        <f>IF(AN1154&lt;&gt;"","COMPLETED",IF(AK1154&lt;&gt;"","IN-TRANSIT",""))</f>
        <v/>
      </c>
      <c r="AA1154" s="855">
        <v>46311</v>
      </c>
      <c r="AB1154" s="626"/>
      <c r="AC1154" s="627" t="str">
        <f>IF(PV_DATA[[#This Row],[Pick- Up Date]]&lt;&gt;"",_xlfn.ISOWEEKNUM(PV_DATA[[#This Row],[Pick- Up Date]]),"")</f>
        <v/>
      </c>
      <c r="AD1154" s="619"/>
      <c r="AE1154" s="620"/>
      <c r="AF1154" s="430" t="s">
        <v>122</v>
      </c>
      <c r="AG1154" s="430" t="s">
        <v>123</v>
      </c>
      <c r="AH1154" s="431" t="s">
        <v>105</v>
      </c>
      <c r="AI1154" s="626">
        <v>46314</v>
      </c>
      <c r="AJ1154" s="626"/>
      <c r="AK1154" s="626"/>
      <c r="AL1154" s="626">
        <v>46351</v>
      </c>
      <c r="AM1154" s="626"/>
      <c r="AN1154" s="626"/>
      <c r="AO1154" s="619"/>
      <c r="AP1154" s="619" t="s">
        <v>7200</v>
      </c>
      <c r="AQ1154" s="628" t="s">
        <v>80</v>
      </c>
      <c r="AR1154" s="619" t="s">
        <v>7201</v>
      </c>
      <c r="AS1154" s="619" t="s">
        <v>7202</v>
      </c>
      <c r="AT1154" s="619" t="s">
        <v>7202</v>
      </c>
      <c r="AU1154" s="619"/>
      <c r="AV1154" s="619"/>
      <c r="AW1154" s="626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5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626">
        <f>IF(ISERROR(PV_DATA[[#This Row],[New Ark PO status]]),"",_xlfn.XLOOKUP(PV_DATA[[#This Row],[SPTN-PVHK New Ark PO'#]],New_Ark_Data[Purchase order Number],New_Ark_Data[Estimated time of arrival],"",0))</f>
        <v>0</v>
      </c>
      <c r="AZ1154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4" s="626">
        <f>IFERROR(PV_DATA[[#This Row],[ODP ETA Port]]+PV_DATA[[#This Row],[Customs/Leg3 Assumption]],"n/a")</f>
        <v>46358</v>
      </c>
      <c r="BB1154" s="620">
        <f>YEAR(PV_DATA[[#This Row],[ETA for New Ark update]])</f>
        <v>2026</v>
      </c>
      <c r="BC1154" s="619">
        <f>MONTH(PV_DATA[[#This Row],[ETA for New Ark update]])</f>
        <v>12</v>
      </c>
      <c r="BD1154" s="619">
        <f>IFERROR(_xlfn.ISOWEEKNUM(PV_DATA[[#This Row],[ETA for New Ark update]]),0)</f>
        <v>49</v>
      </c>
      <c r="BE1154" s="431">
        <f>_xlfn.XLOOKUP(PV_DATA[[#This Row],[New Ark SKU]],Table9[New Ark SKU],Table9[Total PCS per Pallet],,0)</f>
        <v>36</v>
      </c>
      <c r="BF1154" s="431">
        <f>_xlfn.XLOOKUP(PV_DATA[[#This Row],[New Ark SKU]],Table9[New Ark SKU],Table9[Total PCS per 40HQ Container],,0)</f>
        <v>936</v>
      </c>
      <c r="BG1154" s="431" t="str">
        <f>_xlfn.XLOOKUP(PV_DATA[[#This Row],[New Ark SKU]],Table9[New Ark SKU],Table9[Back Glass],,0)</f>
        <v>Black glazing</v>
      </c>
      <c r="BH1154" s="629" t="str">
        <f>_xlfn.XLOOKUP(PV_DATA[[#This Row],[PORT DESTINATION]],Table12[PORT DESTINATION],Table12[Cosco Line],,0)</f>
        <v>AEU</v>
      </c>
    </row>
    <row r="1155" spans="1:62">
      <c r="A1155" s="1276" t="s">
        <v>7203</v>
      </c>
      <c r="B1155" s="726" t="s">
        <v>1757</v>
      </c>
      <c r="C1155" s="726" t="str">
        <f>IFERROR(LEFT(PV_DATA[[#This Row],[TCL REFERENCE]],FIND(".",PV_DATA[[#This Row],[TCL REFERENCE]],1)-1),"Main Line")</f>
        <v>26Oct009</v>
      </c>
      <c r="D1155" s="726" t="s">
        <v>63</v>
      </c>
      <c r="E1155" s="439" t="s">
        <v>64</v>
      </c>
      <c r="F1155" s="439" t="str" cm="1">
        <f t="array" ref="F11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5" s="726" t="s">
        <v>402</v>
      </c>
      <c r="H1155" s="726" t="s">
        <v>67</v>
      </c>
      <c r="I1155" s="431" t="s">
        <v>689</v>
      </c>
      <c r="J1155" s="431" t="s">
        <v>96</v>
      </c>
      <c r="K1155" s="619"/>
      <c r="L1155" s="619"/>
      <c r="M1155" s="430" t="s">
        <v>6315</v>
      </c>
      <c r="N1155" s="630"/>
      <c r="O1155" s="619" t="s">
        <v>284</v>
      </c>
      <c r="P1155" s="623" t="s">
        <v>5851</v>
      </c>
      <c r="Q1155" s="619" t="s">
        <v>5852</v>
      </c>
      <c r="R1155" s="430" t="str">
        <f>_xlfn.XLOOKUP(PV_DATA[[#This Row],[New Ark SKU]],Table9[New Ark SKU],Table9[Connector],,0)</f>
        <v>EVO2A</v>
      </c>
      <c r="S1155" s="433" t="str">
        <f>_xlfn.XLOOKUP(PV_DATA[[#This Row],[New Ark SKU]],Table9[New Ark SKU],Table9[Cable],,0)</f>
        <v>±1200mm</v>
      </c>
      <c r="T1155" s="620">
        <v>485</v>
      </c>
      <c r="U1155" s="1064">
        <f>936*8</f>
        <v>7488</v>
      </c>
      <c r="V1155" s="624">
        <f>PV_DATA[[#This Row],[QUANTITY]]*PV_DATA[[#This Row],[WATT]]/1000000</f>
        <v>3.6316799999999998</v>
      </c>
      <c r="W1155" s="625">
        <f>PV_DATA[[#This Row],[QUANTITY]]/PV_DATA[[#This Row],[Qty/Pallet]]</f>
        <v>208</v>
      </c>
      <c r="X1155" s="1047">
        <f>PV_DATA[[#This Row],[QUANTITY]]/PV_DATA[[#This Row],[Qty/CT]]</f>
        <v>8</v>
      </c>
      <c r="Y1155" s="431" t="s">
        <v>2473</v>
      </c>
      <c r="Z1155" s="1275" t="str">
        <f>IF(AN1155&lt;&gt;"","COMPLETED",IF(AK1155&lt;&gt;"","IN-TRANSIT",""))</f>
        <v/>
      </c>
      <c r="AA1155" s="855">
        <v>46307</v>
      </c>
      <c r="AB1155" s="626"/>
      <c r="AC1155" s="627" t="str">
        <f>IF(PV_DATA[[#This Row],[Pick- Up Date]]&lt;&gt;"",_xlfn.ISOWEEKNUM(PV_DATA[[#This Row],[Pick- Up Date]]),"")</f>
        <v/>
      </c>
      <c r="AD1155" s="619"/>
      <c r="AE1155" s="620"/>
      <c r="AF1155" s="430" t="s">
        <v>122</v>
      </c>
      <c r="AG1155" s="430" t="s">
        <v>123</v>
      </c>
      <c r="AH1155" s="431" t="s">
        <v>105</v>
      </c>
      <c r="AI1155" s="626">
        <v>46313</v>
      </c>
      <c r="AJ1155" s="626"/>
      <c r="AK1155" s="626"/>
      <c r="AL1155" s="626">
        <v>46361</v>
      </c>
      <c r="AM1155" s="626"/>
      <c r="AN1155" s="626"/>
      <c r="AO1155" s="619"/>
      <c r="AP1155" s="619" t="s">
        <v>7204</v>
      </c>
      <c r="AQ1155" s="628" t="s">
        <v>80</v>
      </c>
      <c r="AR1155" s="619" t="s">
        <v>7205</v>
      </c>
      <c r="AS1155" s="619" t="s">
        <v>7206</v>
      </c>
      <c r="AT1155" s="619" t="s">
        <v>7206</v>
      </c>
      <c r="AU1155" s="619"/>
      <c r="AV1155" s="619"/>
      <c r="AW1155" s="626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46361</v>
      </c>
      <c r="AX115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626">
        <f>IF(ISERROR(PV_DATA[[#This Row],[New Ark PO status]]),"",_xlfn.XLOOKUP(PV_DATA[[#This Row],[SPTN-PVHK New Ark PO'#]],New_Ark_Data[Purchase order Number],New_Ark_Data[Estimated time of arrival],"",0))</f>
        <v>0</v>
      </c>
      <c r="AZ1155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5" s="626">
        <f>IFERROR(PV_DATA[[#This Row],[ODP ETA Port]]+PV_DATA[[#This Row],[Customs/Leg3 Assumption]],"n/a")</f>
        <v>46368</v>
      </c>
      <c r="BB1155" s="620">
        <f>YEAR(PV_DATA[[#This Row],[ETA for New Ark update]])</f>
        <v>2026</v>
      </c>
      <c r="BC1155" s="619">
        <f>MONTH(PV_DATA[[#This Row],[ETA for New Ark update]])</f>
        <v>12</v>
      </c>
      <c r="BD1155" s="619">
        <f>IFERROR(_xlfn.ISOWEEKNUM(PV_DATA[[#This Row],[ETA for New Ark update]]),0)</f>
        <v>50</v>
      </c>
      <c r="BE1155" s="431">
        <f>_xlfn.XLOOKUP(PV_DATA[[#This Row],[New Ark SKU]],Table9[New Ark SKU],Table9[Total PCS per Pallet],,0)</f>
        <v>36</v>
      </c>
      <c r="BF1155" s="431">
        <f>_xlfn.XLOOKUP(PV_DATA[[#This Row],[New Ark SKU]],Table9[New Ark SKU],Table9[Total PCS per 40HQ Container],,0)</f>
        <v>936</v>
      </c>
      <c r="BG1155" s="431" t="str">
        <f>_xlfn.XLOOKUP(PV_DATA[[#This Row],[New Ark SKU]],Table9[New Ark SKU],Table9[Back Glass],,0)</f>
        <v>Black glazing</v>
      </c>
      <c r="BH1155" s="629" t="str">
        <f>_xlfn.XLOOKUP(PV_DATA[[#This Row],[PORT DESTINATION]],Table12[PORT DESTINATION],Table12[Cosco Line],,0)</f>
        <v>AEU</v>
      </c>
    </row>
    <row r="1156" spans="1:62">
      <c r="A1156" s="727" t="s">
        <v>7207</v>
      </c>
      <c r="B1156" s="726" t="s">
        <v>111</v>
      </c>
      <c r="C1156" s="726" t="str">
        <f>IFERROR(LEFT(PV_DATA[[#This Row],[TCL REFERENCE]],FIND(".",PV_DATA[[#This Row],[TCL REFERENCE]],1)-1),"Main Line")</f>
        <v>26Oct016</v>
      </c>
      <c r="D1156" s="726" t="s">
        <v>113</v>
      </c>
      <c r="E1156" s="726" t="s">
        <v>64</v>
      </c>
      <c r="F1156" s="726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6" s="726" t="s">
        <v>402</v>
      </c>
      <c r="H1156" s="726" t="s">
        <v>67</v>
      </c>
      <c r="I1156" s="726" t="s">
        <v>689</v>
      </c>
      <c r="J1156" s="431" t="s">
        <v>96</v>
      </c>
      <c r="K1156" s="619"/>
      <c r="L1156" s="619"/>
      <c r="M1156" s="619" t="s">
        <v>68</v>
      </c>
      <c r="N1156" s="630"/>
      <c r="O1156" s="619" t="s">
        <v>4486</v>
      </c>
      <c r="P1156" s="623" t="s">
        <v>7208</v>
      </c>
      <c r="Q1156" s="619" t="s">
        <v>7209</v>
      </c>
      <c r="R1156" s="430" t="str">
        <f>_xlfn.XLOOKUP(PV_DATA[[#This Row],[New Ark SKU]],Table9[New Ark SKU],Table9[Connector],,0)</f>
        <v>EVO2A</v>
      </c>
      <c r="S1156" s="433" t="str">
        <f>_xlfn.XLOOKUP(PV_DATA[[#This Row],[New Ark SKU]],Table9[New Ark SKU],Table9[Cable],,0)</f>
        <v>±1600mm</v>
      </c>
      <c r="T1156" s="620">
        <v>650</v>
      </c>
      <c r="U1156" s="1064">
        <f>720*8</f>
        <v>5760</v>
      </c>
      <c r="V1156" s="624">
        <f>PV_DATA[[#This Row],[QUANTITY]]*PV_DATA[[#This Row],[WATT]]/1000000</f>
        <v>3.7440000000000002</v>
      </c>
      <c r="W1156" s="625">
        <f>PV_DATA[[#This Row],[QUANTITY]]/PV_DATA[[#This Row],[Qty/Pallet]]</f>
        <v>160</v>
      </c>
      <c r="X1156" s="1047">
        <f>PV_DATA[[#This Row],[QUANTITY]]/PV_DATA[[#This Row],[Qty/CT]]</f>
        <v>8</v>
      </c>
      <c r="Y1156" s="431" t="s">
        <v>2474</v>
      </c>
      <c r="Z1156" s="1275" t="str">
        <f>IF(AN1156&lt;&gt;"","COMPLETED",IF(AK1156&lt;&gt;"","IN-TRANSIT",""))</f>
        <v/>
      </c>
      <c r="AA1156" s="855"/>
      <c r="AB1156" s="626">
        <v>46308</v>
      </c>
      <c r="AC1156" s="627">
        <f>IF(PV_DATA[[#This Row],[Pick- Up Date]]&lt;&gt;"",_xlfn.ISOWEEKNUM(PV_DATA[[#This Row],[Pick- Up Date]]),"")</f>
        <v>42</v>
      </c>
      <c r="AD1156" s="619"/>
      <c r="AE1156" s="620"/>
      <c r="AF1156" s="430" t="s">
        <v>122</v>
      </c>
      <c r="AG1156" s="619" t="s">
        <v>123</v>
      </c>
      <c r="AH1156" s="625" t="s">
        <v>105</v>
      </c>
      <c r="AI1156" s="441">
        <v>46314</v>
      </c>
      <c r="AJ1156" s="441" t="str">
        <f>IFERROR(VLOOKUP(AT1156, Vessel!A:D, 4, FALSE), "")</f>
        <v/>
      </c>
      <c r="AK1156" s="441" t="str">
        <f>IFERROR(IF(VLOOKUP(AT1156,Vessel!A:F,5,FALSE)=0,"",VLOOKUP(AT1156,Vessel!A:F,5,FALSE)),"")</f>
        <v/>
      </c>
      <c r="AL1156" s="441">
        <v>46351</v>
      </c>
      <c r="AM1156" s="1174" t="str">
        <f>IFERROR(VLOOKUP(AT1156, Vessel!A:H, 8, FALSE), "")</f>
        <v/>
      </c>
      <c r="AN1156" s="1174" t="str">
        <f>IFERROR(IF(VLOOKUP(AT1156,Vessel!A:I,9,FALSE)=0,"",VLOOKUP(AT1156,Vessel!A:I,9,FALSE)),"")</f>
        <v/>
      </c>
      <c r="AO1156" s="619"/>
      <c r="AP1156" s="619" t="s">
        <v>7166</v>
      </c>
      <c r="AQ1156" s="628" t="s">
        <v>80</v>
      </c>
      <c r="AR1156" s="619" t="s">
        <v>7210</v>
      </c>
      <c r="AS1156" s="619" t="s">
        <v>7211</v>
      </c>
      <c r="AT1156" s="619" t="s">
        <v>7211</v>
      </c>
      <c r="AU1156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156" s="619"/>
      <c r="AW1156" s="626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15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626">
        <f>IF(ISERROR(PV_DATA[[#This Row],[New Ark PO status]]),"",_xlfn.XLOOKUP(PV_DATA[[#This Row],[SPTN-PVHK New Ark PO'#]],New_Ark_Data[Purchase order Number],New_Ark_Data[Estimated time of arrival],"",0))</f>
        <v>0</v>
      </c>
      <c r="AZ1156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6" s="626">
        <f>IFERROR(PV_DATA[[#This Row],[ODP ETA Port]]+PV_DATA[[#This Row],[Customs/Leg3 Assumption]],"n/a")</f>
        <v>46358</v>
      </c>
      <c r="BB1156" s="620">
        <f>YEAR(PV_DATA[[#This Row],[ETA for New Ark update]])</f>
        <v>2026</v>
      </c>
      <c r="BC1156" s="619">
        <f>MONTH(PV_DATA[[#This Row],[ETA for New Ark update]])</f>
        <v>12</v>
      </c>
      <c r="BD1156" s="619">
        <f>IFERROR(_xlfn.ISOWEEKNUM(PV_DATA[[#This Row],[ETA for New Ark update]]),0)</f>
        <v>49</v>
      </c>
      <c r="BE1156" s="431">
        <f>_xlfn.XLOOKUP(PV_DATA[[#This Row],[New Ark SKU]],Table9[New Ark SKU],Table9[Total PCS per Pallet],,0)</f>
        <v>36</v>
      </c>
      <c r="BF1156" s="431">
        <f>_xlfn.XLOOKUP(PV_DATA[[#This Row],[New Ark SKU]],Table9[New Ark SKU],Table9[Total PCS per 40HQ Container],,0)</f>
        <v>720</v>
      </c>
      <c r="BG1156" s="431" t="str">
        <f>_xlfn.XLOOKUP(PV_DATA[[#This Row],[New Ark SKU]],Table9[New Ark SKU],Table9[Back Glass],,0)</f>
        <v>Redirection Film</v>
      </c>
      <c r="BH1156" s="629" t="str">
        <f>_xlfn.XLOOKUP(PV_DATA[[#This Row],[PORT DESTINATION]],Table12[PORT DESTINATION],Table12[Cosco Line],,0)</f>
        <v>AEU</v>
      </c>
    </row>
    <row r="1157" spans="1:62" ht="10.5">
      <c r="A1157" s="728" t="s">
        <v>7212</v>
      </c>
      <c r="B1157" s="439" t="s">
        <v>111</v>
      </c>
      <c r="C1157" s="439" t="str">
        <f>IFERROR(LEFT(PV_DATA[[#This Row],[TCL REFERENCE]],FIND(".",PV_DATA[[#This Row],[TCL REFERENCE]],1)-1),"Main Line")</f>
        <v>26Aug017</v>
      </c>
      <c r="D1157" s="439" t="s">
        <v>63</v>
      </c>
      <c r="E1157" s="439" t="s">
        <v>64</v>
      </c>
      <c r="F1157" s="439" t="str" cm="1">
        <f t="array" ref="F11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57" s="439" t="s">
        <v>402</v>
      </c>
      <c r="H1157" s="439" t="s">
        <v>311</v>
      </c>
      <c r="I1157" s="439" t="s">
        <v>1395</v>
      </c>
      <c r="J1157" s="430" t="s">
        <v>96</v>
      </c>
      <c r="K1157" s="431"/>
      <c r="L1157" s="431"/>
      <c r="M1157" s="431"/>
      <c r="N1157" s="461">
        <v>46305</v>
      </c>
      <c r="O1157" s="431" t="s">
        <v>170</v>
      </c>
      <c r="P1157" s="431" t="s">
        <v>171</v>
      </c>
      <c r="Q1157" s="431" t="s">
        <v>1731</v>
      </c>
      <c r="R1157" s="430" t="str">
        <f>_xlfn.XLOOKUP(PV_DATA[[#This Row],[New Ark SKU]],Table9[New Ark SKU],Table9[Connector],,0)</f>
        <v>EVO2A</v>
      </c>
      <c r="S1157" s="433" t="str">
        <f>_xlfn.XLOOKUP(PV_DATA[[#This Row],[New Ark SKU]],Table9[New Ark SKU],Table9[Cable],,0)</f>
        <v>±1400mm</v>
      </c>
      <c r="T1157" s="442">
        <v>555</v>
      </c>
      <c r="U1157" s="1093">
        <f>660*6</f>
        <v>3960</v>
      </c>
      <c r="V1157" s="448">
        <f>PV_DATA[[#This Row],[QUANTITY]]*PV_DATA[[#This Row],[WATT]]/1000000</f>
        <v>2.1978</v>
      </c>
      <c r="W1157" s="466">
        <f>PV_DATA[[#This Row],[QUANTITY]]/PV_DATA[[#This Row],[Qty/Pallet]]</f>
        <v>120</v>
      </c>
      <c r="X1157" s="1044">
        <f>PV_DATA[[#This Row],[QUANTITY]]/PV_DATA[[#This Row],[Qty/CT]]</f>
        <v>6</v>
      </c>
      <c r="Y1157" s="431" t="s">
        <v>2473</v>
      </c>
      <c r="Z1157" s="430"/>
      <c r="AA1157" s="431"/>
      <c r="AB1157" s="441"/>
      <c r="AC1157" s="467"/>
      <c r="AD1157" s="431"/>
      <c r="AE1157" s="431"/>
      <c r="AF1157" s="431" t="s">
        <v>122</v>
      </c>
      <c r="AG1157" s="431" t="s">
        <v>123</v>
      </c>
      <c r="AH1157" s="431" t="s">
        <v>314</v>
      </c>
      <c r="AI1157" s="441">
        <v>46318</v>
      </c>
      <c r="AJ1157" s="437" t="str">
        <f>IFERROR(VLOOKUP(AT1157, Vessel!A:D, 4, FALSE), "")</f>
        <v/>
      </c>
      <c r="AK1157" s="437" t="str">
        <f>IFERROR(IF(VLOOKUP(AT1157,Vessel!A:F,5,FALSE)=0,"",VLOOKUP(AT1157,Vessel!A:F,5,FALSE)),"")</f>
        <v/>
      </c>
      <c r="AL1157" s="441">
        <v>46365</v>
      </c>
      <c r="AM1157" s="441"/>
      <c r="AO1157" s="431"/>
      <c r="AP1157" s="431" t="s">
        <v>7213</v>
      </c>
      <c r="AQ1157" s="431" t="s">
        <v>80</v>
      </c>
      <c r="AR1157" s="431"/>
      <c r="AS1157" s="431" t="s">
        <v>7214</v>
      </c>
      <c r="AT1157" s="431" t="s">
        <v>7214</v>
      </c>
      <c r="AU11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1157" s="441"/>
      <c r="AW1157" s="441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</v>
      </c>
      <c r="AX115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441">
        <f>IF(ISERROR(PV_DATA[[#This Row],[New Ark PO status]]),"",_xlfn.XLOOKUP(PV_DATA[[#This Row],[SPTN-PVHK New Ark PO'#]],New_Ark_Data[Purchase order Number],New_Ark_Data[Estimated time of arrival],"",0))</f>
        <v>0</v>
      </c>
      <c r="AZ115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57" s="441">
        <f>IFERROR(PV_DATA[[#This Row],[ODP ETA Port]]+PV_DATA[[#This Row],[Customs/Leg3 Assumption]],"n/a")</f>
        <v>46375</v>
      </c>
      <c r="BB1157" s="442">
        <f>YEAR(PV_DATA[[#This Row],[ETA for New Ark update]])</f>
        <v>2026</v>
      </c>
      <c r="BC1157" s="431">
        <f>MONTH(PV_DATA[[#This Row],[ETA for New Ark update]])</f>
        <v>12</v>
      </c>
      <c r="BD1157" s="431">
        <f>IFERROR(_xlfn.ISOWEEKNUM(PV_DATA[[#This Row],[ETA for New Ark update]]),0)</f>
        <v>51</v>
      </c>
      <c r="BE1157" s="431">
        <f>_xlfn.XLOOKUP(PV_DATA[[#This Row],[New Ark SKU]],Table9[New Ark SKU],Table9[Total PCS per Pallet],,0)</f>
        <v>33</v>
      </c>
      <c r="BF1157" s="431">
        <f>_xlfn.XLOOKUP(PV_DATA[[#This Row],[New Ark SKU]],Table9[New Ark SKU],Table9[Total PCS per 40HQ Container],,0)</f>
        <v>660</v>
      </c>
      <c r="BG1157" s="431" t="str">
        <f>_xlfn.XLOOKUP(PV_DATA[[#This Row],[New Ark SKU]],Table9[New Ark SKU],Table9[Back Glass],,0)</f>
        <v>White glazing</v>
      </c>
      <c r="BH1157" s="431" t="str">
        <f>_xlfn.XLOOKUP(PV_DATA[[#This Row],[PORT DESTINATION]],Table12[PORT DESTINATION],Table12[Cosco Line],,0)</f>
        <v>AEM</v>
      </c>
      <c r="BJ1157" s="430"/>
    </row>
    <row r="1158" spans="1:62" ht="10.5">
      <c r="A1158" s="728" t="s">
        <v>7215</v>
      </c>
      <c r="B1158" s="439" t="s">
        <v>111</v>
      </c>
      <c r="C1158" s="439" t="str">
        <f>IFERROR(LEFT(PV_DATA[[#This Row],[TCL REFERENCE]],FIND(".",PV_DATA[[#This Row],[TCL REFERENCE]],1)-1),"Main Line")</f>
        <v>26Aug018</v>
      </c>
      <c r="D1158" s="439" t="s">
        <v>63</v>
      </c>
      <c r="E1158" s="439" t="s">
        <v>64</v>
      </c>
      <c r="F1158" s="439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58" s="439" t="s">
        <v>402</v>
      </c>
      <c r="H1158" s="439" t="s">
        <v>311</v>
      </c>
      <c r="I1158" s="439" t="s">
        <v>689</v>
      </c>
      <c r="J1158" s="430" t="s">
        <v>96</v>
      </c>
      <c r="K1158" s="431"/>
      <c r="L1158" s="431"/>
      <c r="M1158" s="431"/>
      <c r="N1158" s="461">
        <v>46305</v>
      </c>
      <c r="O1158" s="431" t="s">
        <v>170</v>
      </c>
      <c r="P1158" s="431" t="s">
        <v>1977</v>
      </c>
      <c r="Q1158" s="431" t="s">
        <v>1978</v>
      </c>
      <c r="R1158" s="430" t="str">
        <f>_xlfn.XLOOKUP(PV_DATA[[#This Row],[New Ark SKU]],Table9[New Ark SKU],Table9[Connector],,0)</f>
        <v>EVO2A</v>
      </c>
      <c r="S1158" s="433" t="str">
        <f>_xlfn.XLOOKUP(PV_DATA[[#This Row],[New Ark SKU]],Table9[New Ark SKU],Table9[Cable],,0)</f>
        <v>±1400mm</v>
      </c>
      <c r="T1158" s="442">
        <v>560</v>
      </c>
      <c r="U1158" s="1093">
        <f>660*4</f>
        <v>2640</v>
      </c>
      <c r="V1158" s="448">
        <f>PV_DATA[[#This Row],[QUANTITY]]*PV_DATA[[#This Row],[WATT]]/1000000</f>
        <v>1.4783999999999999</v>
      </c>
      <c r="W1158" s="466">
        <f>PV_DATA[[#This Row],[QUANTITY]]/PV_DATA[[#This Row],[Qty/Pallet]]</f>
        <v>80</v>
      </c>
      <c r="X1158" s="1044">
        <f>PV_DATA[[#This Row],[QUANTITY]]/PV_DATA[[#This Row],[Qty/CT]]</f>
        <v>4</v>
      </c>
      <c r="Y1158" s="431" t="s">
        <v>2473</v>
      </c>
      <c r="Z1158" s="430"/>
      <c r="AA1158" s="431"/>
      <c r="AB1158" s="441"/>
      <c r="AC1158" s="467"/>
      <c r="AD1158" s="431"/>
      <c r="AE1158" s="431"/>
      <c r="AF1158" s="431" t="s">
        <v>122</v>
      </c>
      <c r="AG1158" s="431" t="s">
        <v>123</v>
      </c>
      <c r="AH1158" s="431" t="s">
        <v>314</v>
      </c>
      <c r="AI1158" s="441">
        <v>46318</v>
      </c>
      <c r="AJ1158" s="437" t="str">
        <f>IFERROR(VLOOKUP(AT1158, Vessel!A:D, 4, FALSE), "")</f>
        <v/>
      </c>
      <c r="AK1158" s="437" t="str">
        <f>IFERROR(IF(VLOOKUP(AT1158,Vessel!A:F,5,FALSE)=0,"",VLOOKUP(AT1158,Vessel!A:F,5,FALSE)),"")</f>
        <v/>
      </c>
      <c r="AL1158" s="441">
        <v>46365</v>
      </c>
      <c r="AM1158" s="441"/>
      <c r="AO1158" s="431"/>
      <c r="AP1158" s="431" t="s">
        <v>7213</v>
      </c>
      <c r="AQ1158" s="431" t="s">
        <v>80</v>
      </c>
      <c r="AR1158" s="431"/>
      <c r="AS1158" s="431" t="s">
        <v>7214</v>
      </c>
      <c r="AT1158" s="431" t="s">
        <v>7214</v>
      </c>
      <c r="AU11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1158" s="441"/>
      <c r="AW1158" s="441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</v>
      </c>
      <c r="AX115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441">
        <f>IF(ISERROR(PV_DATA[[#This Row],[New Ark PO status]]),"",_xlfn.XLOOKUP(PV_DATA[[#This Row],[SPTN-PVHK New Ark PO'#]],New_Ark_Data[Purchase order Number],New_Ark_Data[Estimated time of arrival],"",0))</f>
        <v>0</v>
      </c>
      <c r="AZ115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58" s="441">
        <f>IFERROR(PV_DATA[[#This Row],[ODP ETA Port]]+PV_DATA[[#This Row],[Customs/Leg3 Assumption]],"n/a")</f>
        <v>46375</v>
      </c>
      <c r="BB1158" s="442">
        <f>YEAR(PV_DATA[[#This Row],[ETA for New Ark update]])</f>
        <v>2026</v>
      </c>
      <c r="BC1158" s="431">
        <f>MONTH(PV_DATA[[#This Row],[ETA for New Ark update]])</f>
        <v>12</v>
      </c>
      <c r="BD1158" s="431">
        <f>IFERROR(_xlfn.ISOWEEKNUM(PV_DATA[[#This Row],[ETA for New Ark update]]),0)</f>
        <v>51</v>
      </c>
      <c r="BE1158" s="431">
        <f>_xlfn.XLOOKUP(PV_DATA[[#This Row],[New Ark SKU]],Table9[New Ark SKU],Table9[Total PCS per Pallet],,0)</f>
        <v>33</v>
      </c>
      <c r="BF1158" s="431">
        <f>_xlfn.XLOOKUP(PV_DATA[[#This Row],[New Ark SKU]],Table9[New Ark SKU],Table9[Total PCS per 40HQ Container],,0)</f>
        <v>660</v>
      </c>
      <c r="BG1158" s="431" t="str">
        <f>_xlfn.XLOOKUP(PV_DATA[[#This Row],[New Ark SKU]],Table9[New Ark SKU],Table9[Back Glass],,0)</f>
        <v>White glazing</v>
      </c>
      <c r="BH1158" s="431" t="str">
        <f>_xlfn.XLOOKUP(PV_DATA[[#This Row],[PORT DESTINATION]],Table12[PORT DESTINATION],Table12[Cosco Line],,0)</f>
        <v>AEM</v>
      </c>
      <c r="BJ1158" s="430"/>
    </row>
    <row r="1159" spans="1:62">
      <c r="A1159" s="1276" t="s">
        <v>7216</v>
      </c>
      <c r="B1159" s="439" t="s">
        <v>111</v>
      </c>
      <c r="C1159" s="439" t="str">
        <f>IFERROR(LEFT(PV_DATA[[#This Row],[TCL REFERENCE]],FIND(".",PV_DATA[[#This Row],[TCL REFERENCE]],1)-1),"Main Line")</f>
        <v>26Oct014</v>
      </c>
      <c r="D1159" s="726" t="s">
        <v>63</v>
      </c>
      <c r="E1159" s="439" t="s">
        <v>64</v>
      </c>
      <c r="F1159" s="439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9" s="726" t="s">
        <v>402</v>
      </c>
      <c r="H1159" s="726" t="s">
        <v>67</v>
      </c>
      <c r="I1159" s="431" t="s">
        <v>689</v>
      </c>
      <c r="J1159" s="431" t="s">
        <v>96</v>
      </c>
      <c r="K1159" s="431"/>
      <c r="L1159" s="431"/>
      <c r="M1159" s="619" t="s">
        <v>68</v>
      </c>
      <c r="N1159" s="630">
        <v>46292</v>
      </c>
      <c r="O1159" s="431" t="s">
        <v>5379</v>
      </c>
      <c r="P1159" s="430" t="s">
        <v>7217</v>
      </c>
      <c r="Q1159" s="431" t="s">
        <v>7218</v>
      </c>
      <c r="R1159" s="430" t="str">
        <f>_xlfn.XLOOKUP(PV_DATA[[#This Row],[New Ark SKU]],Table9[New Ark SKU],Table9[Connector],,0)</f>
        <v>EVO2A</v>
      </c>
      <c r="S1159" s="433" t="str">
        <f>_xlfn.XLOOKUP(PV_DATA[[#This Row],[New Ark SKU]],Table9[New Ark SKU],Table9[Cable],,0)</f>
        <v>±1200mm</v>
      </c>
      <c r="T1159" s="442">
        <v>480</v>
      </c>
      <c r="U1159" s="1093">
        <f>936*4</f>
        <v>3744</v>
      </c>
      <c r="V1159" s="448">
        <f>PV_DATA[[#This Row],[QUANTITY]]*PV_DATA[[#This Row],[WATT]]/1000000</f>
        <v>1.7971200000000001</v>
      </c>
      <c r="W1159" s="466">
        <f>PV_DATA[[#This Row],[QUANTITY]]/PV_DATA[[#This Row],[Qty/Pallet]]</f>
        <v>104</v>
      </c>
      <c r="X1159" s="1047">
        <f>PV_DATA[[#This Row],[QUANTITY]]/PV_DATA[[#This Row],[Qty/CT]]</f>
        <v>4</v>
      </c>
      <c r="Y1159" s="431" t="s">
        <v>2473</v>
      </c>
      <c r="Z1159" s="1277" t="str">
        <f>IF(AN1159&lt;&gt;"","COMPLETED",IF(AK1159&lt;&gt;"","IN-TRANSIT",""))</f>
        <v/>
      </c>
      <c r="AA1159" s="431"/>
      <c r="AB1159" s="441"/>
      <c r="AC1159" s="467" t="str">
        <f>IF(PV_DATA[[#This Row],[Pick- Up Date]]&lt;&gt;"",_xlfn.ISOWEEKNUM(PV_DATA[[#This Row],[Pick- Up Date]]),"")</f>
        <v/>
      </c>
      <c r="AD1159" s="431"/>
      <c r="AE1159" s="442"/>
      <c r="AF1159" s="430" t="s">
        <v>122</v>
      </c>
      <c r="AG1159" s="430" t="s">
        <v>123</v>
      </c>
      <c r="AH1159" s="431" t="s">
        <v>78</v>
      </c>
      <c r="AI1159" s="441">
        <v>46315</v>
      </c>
      <c r="AJ1159" s="441"/>
      <c r="AK1159" s="441"/>
      <c r="AL1159" s="441">
        <v>46358</v>
      </c>
      <c r="AM1159" s="441"/>
      <c r="AO1159" s="431"/>
      <c r="AP1159" s="431" t="s">
        <v>7219</v>
      </c>
      <c r="AQ1159" s="445" t="s">
        <v>80</v>
      </c>
      <c r="AR1159" s="431"/>
      <c r="AS1159" s="431" t="s">
        <v>7220</v>
      </c>
      <c r="AT1159" s="431" t="s">
        <v>7220</v>
      </c>
      <c r="AU1159" s="431"/>
      <c r="AV1159" s="431"/>
      <c r="AW1159" s="441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5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441">
        <f>IF(ISERROR(PV_DATA[[#This Row],[New Ark PO status]]),"",_xlfn.XLOOKUP(PV_DATA[[#This Row],[SPTN-PVHK New Ark PO'#]],New_Ark_Data[Purchase order Number],New_Ark_Data[Estimated time of arrival],"",0))</f>
        <v>0</v>
      </c>
      <c r="AZ115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9" s="441">
        <f>IFERROR(PV_DATA[[#This Row],[ODP ETA Port]]+PV_DATA[[#This Row],[Customs/Leg3 Assumption]],"n/a")</f>
        <v>46366</v>
      </c>
      <c r="BB1159" s="442">
        <f>YEAR(PV_DATA[[#This Row],[ETA for New Ark update]])</f>
        <v>2026</v>
      </c>
      <c r="BC1159" s="431">
        <f>MONTH(PV_DATA[[#This Row],[ETA for New Ark update]])</f>
        <v>12</v>
      </c>
      <c r="BD1159" s="431">
        <f>IFERROR(_xlfn.ISOWEEKNUM(PV_DATA[[#This Row],[ETA for New Ark update]]),0)</f>
        <v>50</v>
      </c>
      <c r="BE1159" s="431">
        <f>_xlfn.XLOOKUP(PV_DATA[[#This Row],[New Ark SKU]],Table9[New Ark SKU],Table9[Total PCS per Pallet],,0)</f>
        <v>36</v>
      </c>
      <c r="BF1159" s="431">
        <f>_xlfn.XLOOKUP(PV_DATA[[#This Row],[New Ark SKU]],Table9[New Ark SKU],Table9[Total PCS per 40HQ Container],,0)</f>
        <v>936</v>
      </c>
      <c r="BG1159" s="431" t="str">
        <f>_xlfn.XLOOKUP(PV_DATA[[#This Row],[New Ark SKU]],Table9[New Ark SKU],Table9[Back Glass],,0)</f>
        <v>White glazing</v>
      </c>
      <c r="BH1159" s="622" t="str">
        <f>_xlfn.XLOOKUP(PV_DATA[[#This Row],[PORT DESTINATION]],Table12[PORT DESTINATION],Table12[Cosco Line],,0)</f>
        <v>AEM</v>
      </c>
    </row>
    <row r="1160" spans="1:62">
      <c r="A1160" s="1276" t="s">
        <v>7221</v>
      </c>
      <c r="B1160" s="726" t="s">
        <v>1757</v>
      </c>
      <c r="C1160" s="726" t="str">
        <f>IFERROR(LEFT(PV_DATA[[#This Row],[TCL REFERENCE]],FIND(".",PV_DATA[[#This Row],[TCL REFERENCE]],1)-1),"Main Line")</f>
        <v>26Oct007</v>
      </c>
      <c r="D1160" s="726" t="s">
        <v>63</v>
      </c>
      <c r="E1160" s="439" t="s">
        <v>64</v>
      </c>
      <c r="F1160" s="439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0" s="726" t="s">
        <v>402</v>
      </c>
      <c r="H1160" s="462" t="s">
        <v>115</v>
      </c>
      <c r="I1160" s="462" t="s">
        <v>882</v>
      </c>
      <c r="J1160" s="431" t="s">
        <v>96</v>
      </c>
      <c r="K1160" s="619"/>
      <c r="L1160" s="619"/>
      <c r="M1160" s="431" t="s">
        <v>68</v>
      </c>
      <c r="N1160" s="630"/>
      <c r="O1160" s="619" t="s">
        <v>284</v>
      </c>
      <c r="P1160" s="623" t="s">
        <v>7191</v>
      </c>
      <c r="Q1160" s="619" t="s">
        <v>7192</v>
      </c>
      <c r="R1160" s="430" t="str">
        <f>_xlfn.XLOOKUP(PV_DATA[[#This Row],[New Ark SKU]],Table9[New Ark SKU],Table9[Connector],,0)</f>
        <v>EVO2A</v>
      </c>
      <c r="S1160" s="433" t="str">
        <f>_xlfn.XLOOKUP(PV_DATA[[#This Row],[New Ark SKU]],Table9[New Ark SKU],Table9[Cable],,0)</f>
        <v>±1200mm</v>
      </c>
      <c r="T1160" s="620">
        <v>490</v>
      </c>
      <c r="U1160" s="1064">
        <f>936*5</f>
        <v>4680</v>
      </c>
      <c r="V1160" s="624">
        <f>PV_DATA[[#This Row],[QUANTITY]]*PV_DATA[[#This Row],[WATT]]/1000000</f>
        <v>2.2932000000000001</v>
      </c>
      <c r="W1160" s="625">
        <f>PV_DATA[[#This Row],[QUANTITY]]/PV_DATA[[#This Row],[Qty/Pallet]]</f>
        <v>130</v>
      </c>
      <c r="X1160" s="1047">
        <f>PV_DATA[[#This Row],[QUANTITY]]/PV_DATA[[#This Row],[Qty/CT]]</f>
        <v>5</v>
      </c>
      <c r="Y1160" s="431" t="s">
        <v>2473</v>
      </c>
      <c r="Z1160" s="1275" t="str">
        <f>IF(AN1160&lt;&gt;"","COMPLETED",IF(AK1160&lt;&gt;"","IN-TRANSIT",""))</f>
        <v/>
      </c>
      <c r="AA1160" s="855"/>
      <c r="AB1160" s="626"/>
      <c r="AC1160" s="627" t="str">
        <f>IF(PV_DATA[[#This Row],[Pick- Up Date]]&lt;&gt;"",_xlfn.ISOWEEKNUM(PV_DATA[[#This Row],[Pick- Up Date]]),"")</f>
        <v/>
      </c>
      <c r="AD1160" s="619"/>
      <c r="AE1160" s="620"/>
      <c r="AF1160" s="430" t="s">
        <v>122</v>
      </c>
      <c r="AG1160" s="430" t="s">
        <v>123</v>
      </c>
      <c r="AH1160" s="431" t="s">
        <v>105</v>
      </c>
      <c r="AI1160" s="626"/>
      <c r="AJ1160" s="626"/>
      <c r="AK1160" s="626"/>
      <c r="AL1160" s="626"/>
      <c r="AM1160" s="626"/>
      <c r="AN1160" s="626"/>
      <c r="AO1160" s="619"/>
      <c r="AP1160" s="619"/>
      <c r="AQ1160" s="628"/>
      <c r="AR1160" s="619"/>
      <c r="AS1160" s="619"/>
      <c r="AT1160" s="619"/>
      <c r="AU1160" s="619"/>
      <c r="AV1160" s="619"/>
      <c r="AW1160" s="626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6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0" s="626">
        <f>IF(ISERROR(PV_DATA[[#This Row],[New Ark PO status]]),"",_xlfn.XLOOKUP(PV_DATA[[#This Row],[SPTN-PVHK New Ark PO'#]],New_Ark_Data[Purchase order Number],New_Ark_Data[Estimated time of arrival],"",0))</f>
        <v>0</v>
      </c>
      <c r="AZ1160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0" s="626">
        <f>IFERROR(PV_DATA[[#This Row],[ODP ETA Port]]+PV_DATA[[#This Row],[Customs/Leg3 Assumption]],"n/a")</f>
        <v>46374</v>
      </c>
      <c r="BB1160" s="620">
        <f>YEAR(PV_DATA[[#This Row],[ETA for New Ark update]])</f>
        <v>2026</v>
      </c>
      <c r="BC1160" s="619">
        <f>MONTH(PV_DATA[[#This Row],[ETA for New Ark update]])</f>
        <v>12</v>
      </c>
      <c r="BD1160" s="619">
        <f>IFERROR(_xlfn.ISOWEEKNUM(PV_DATA[[#This Row],[ETA for New Ark update]]),0)</f>
        <v>51</v>
      </c>
      <c r="BE1160" s="431">
        <f>_xlfn.XLOOKUP(PV_DATA[[#This Row],[New Ark SKU]],Table9[New Ark SKU],Table9[Total PCS per Pallet],,0)</f>
        <v>36</v>
      </c>
      <c r="BF1160" s="431">
        <f>_xlfn.XLOOKUP(PV_DATA[[#This Row],[New Ark SKU]],Table9[New Ark SKU],Table9[Total PCS per 40HQ Container],,0)</f>
        <v>936</v>
      </c>
      <c r="BG1160" s="431" t="str">
        <f>_xlfn.XLOOKUP(PV_DATA[[#This Row],[New Ark SKU]],Table9[New Ark SKU],Table9[Back Glass],,0)</f>
        <v>Black glazing</v>
      </c>
      <c r="BH1160" s="629" t="str">
        <f>_xlfn.XLOOKUP(PV_DATA[[#This Row],[PORT DESTINATION]],Table12[PORT DESTINATION],Table12[Cosco Line],,0)</f>
        <v>AEU</v>
      </c>
    </row>
    <row r="1161" spans="1:62">
      <c r="A1161" s="1276" t="s">
        <v>7222</v>
      </c>
      <c r="B1161" s="726" t="s">
        <v>1757</v>
      </c>
      <c r="C1161" s="726" t="str">
        <f>IFERROR(LEFT(PV_DATA[[#This Row],[TCL REFERENCE]],FIND(".",PV_DATA[[#This Row],[TCL REFERENCE]],1)-1),"Main Line")</f>
        <v>26Oct007</v>
      </c>
      <c r="D1161" s="726" t="s">
        <v>63</v>
      </c>
      <c r="E1161" s="439" t="s">
        <v>64</v>
      </c>
      <c r="F1161" s="439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1" s="726" t="s">
        <v>402</v>
      </c>
      <c r="H1161" s="462" t="s">
        <v>115</v>
      </c>
      <c r="I1161" s="462" t="s">
        <v>882</v>
      </c>
      <c r="J1161" s="431" t="s">
        <v>96</v>
      </c>
      <c r="K1161" s="619"/>
      <c r="L1161" s="619"/>
      <c r="M1161" s="431" t="s">
        <v>68</v>
      </c>
      <c r="N1161" s="630"/>
      <c r="O1161" s="619" t="s">
        <v>284</v>
      </c>
      <c r="P1161" s="623" t="s">
        <v>7191</v>
      </c>
      <c r="Q1161" s="619" t="s">
        <v>7192</v>
      </c>
      <c r="R1161" s="430" t="str">
        <f>_xlfn.XLOOKUP(PV_DATA[[#This Row],[New Ark SKU]],Table9[New Ark SKU],Table9[Connector],,0)</f>
        <v>EVO2A</v>
      </c>
      <c r="S1161" s="433" t="str">
        <f>_xlfn.XLOOKUP(PV_DATA[[#This Row],[New Ark SKU]],Table9[New Ark SKU],Table9[Cable],,0)</f>
        <v>±1200mm</v>
      </c>
      <c r="T1161" s="620">
        <v>490</v>
      </c>
      <c r="U1161" s="1064">
        <f>936*5</f>
        <v>4680</v>
      </c>
      <c r="V1161" s="624">
        <f>PV_DATA[[#This Row],[QUANTITY]]*PV_DATA[[#This Row],[WATT]]/1000000</f>
        <v>2.2932000000000001</v>
      </c>
      <c r="W1161" s="625">
        <f>PV_DATA[[#This Row],[QUANTITY]]/PV_DATA[[#This Row],[Qty/Pallet]]</f>
        <v>130</v>
      </c>
      <c r="X1161" s="1047">
        <f>PV_DATA[[#This Row],[QUANTITY]]/PV_DATA[[#This Row],[Qty/CT]]</f>
        <v>5</v>
      </c>
      <c r="Y1161" s="431" t="s">
        <v>2474</v>
      </c>
      <c r="Z1161" s="1275" t="str">
        <f>IF(AN1161&lt;&gt;"","COMPLETED",IF(AK1161&lt;&gt;"","IN-TRANSIT",""))</f>
        <v/>
      </c>
      <c r="AA1161" s="855"/>
      <c r="AB1161" s="626"/>
      <c r="AC1161" s="627" t="str">
        <f>IF(PV_DATA[[#This Row],[Pick- Up Date]]&lt;&gt;"",_xlfn.ISOWEEKNUM(PV_DATA[[#This Row],[Pick- Up Date]]),"")</f>
        <v/>
      </c>
      <c r="AD1161" s="619"/>
      <c r="AE1161" s="620"/>
      <c r="AF1161" s="430" t="s">
        <v>122</v>
      </c>
      <c r="AG1161" s="430" t="s">
        <v>123</v>
      </c>
      <c r="AH1161" s="431" t="s">
        <v>105</v>
      </c>
      <c r="AI1161" s="626"/>
      <c r="AJ1161" s="626"/>
      <c r="AK1161" s="626"/>
      <c r="AL1161" s="626"/>
      <c r="AM1161" s="626"/>
      <c r="AN1161" s="626"/>
      <c r="AO1161" s="619"/>
      <c r="AP1161" s="619"/>
      <c r="AQ1161" s="628"/>
      <c r="AR1161" s="619"/>
      <c r="AS1161" s="619"/>
      <c r="AT1161" s="619"/>
      <c r="AU1161" s="619"/>
      <c r="AV1161" s="619"/>
      <c r="AW1161" s="626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6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626">
        <f>IF(ISERROR(PV_DATA[[#This Row],[New Ark PO status]]),"",_xlfn.XLOOKUP(PV_DATA[[#This Row],[SPTN-PVHK New Ark PO'#]],New_Ark_Data[Purchase order Number],New_Ark_Data[Estimated time of arrival],"",0))</f>
        <v>0</v>
      </c>
      <c r="AZ1161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1" s="626">
        <f>IFERROR(PV_DATA[[#This Row],[ODP ETA Port]]+PV_DATA[[#This Row],[Customs/Leg3 Assumption]],"n/a")</f>
        <v>46381</v>
      </c>
      <c r="BB1161" s="620">
        <f>YEAR(PV_DATA[[#This Row],[ETA for New Ark update]])</f>
        <v>2026</v>
      </c>
      <c r="BC1161" s="619">
        <f>MONTH(PV_DATA[[#This Row],[ETA for New Ark update]])</f>
        <v>12</v>
      </c>
      <c r="BD1161" s="619">
        <f>IFERROR(_xlfn.ISOWEEKNUM(PV_DATA[[#This Row],[ETA for New Ark update]]),0)</f>
        <v>52</v>
      </c>
      <c r="BE1161" s="431">
        <f>_xlfn.XLOOKUP(PV_DATA[[#This Row],[New Ark SKU]],Table9[New Ark SKU],Table9[Total PCS per Pallet],,0)</f>
        <v>36</v>
      </c>
      <c r="BF1161" s="431">
        <f>_xlfn.XLOOKUP(PV_DATA[[#This Row],[New Ark SKU]],Table9[New Ark SKU],Table9[Total PCS per 40HQ Container],,0)</f>
        <v>936</v>
      </c>
      <c r="BG1161" s="431" t="str">
        <f>_xlfn.XLOOKUP(PV_DATA[[#This Row],[New Ark SKU]],Table9[New Ark SKU],Table9[Back Glass],,0)</f>
        <v>Black glazing</v>
      </c>
      <c r="BH1161" s="629" t="str">
        <f>_xlfn.XLOOKUP(PV_DATA[[#This Row],[PORT DESTINATION]],Table12[PORT DESTINATION],Table12[Cosco Line],,0)</f>
        <v>AEU</v>
      </c>
    </row>
    <row r="1162" spans="1:62">
      <c r="A1162" s="1276" t="s">
        <v>7223</v>
      </c>
      <c r="B1162" s="726" t="s">
        <v>1757</v>
      </c>
      <c r="C1162" s="726" t="str">
        <f>IFERROR(LEFT(PV_DATA[[#This Row],[TCL REFERENCE]],FIND(".",PV_DATA[[#This Row],[TCL REFERENCE]],1)-1),"Main Line")</f>
        <v>26Oct007</v>
      </c>
      <c r="D1162" s="726" t="s">
        <v>63</v>
      </c>
      <c r="E1162" s="439" t="s">
        <v>64</v>
      </c>
      <c r="F1162" s="439" t="str" cm="1">
        <f t="array" ref="F11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62" s="726" t="s">
        <v>402</v>
      </c>
      <c r="H1162" s="462" t="s">
        <v>115</v>
      </c>
      <c r="I1162" s="462" t="s">
        <v>1395</v>
      </c>
      <c r="J1162" s="431" t="s">
        <v>96</v>
      </c>
      <c r="K1162" s="619"/>
      <c r="L1162" s="619"/>
      <c r="M1162" s="431" t="s">
        <v>68</v>
      </c>
      <c r="N1162" s="630"/>
      <c r="O1162" s="619" t="s">
        <v>284</v>
      </c>
      <c r="P1162" s="623" t="s">
        <v>7191</v>
      </c>
      <c r="Q1162" s="619" t="s">
        <v>7192</v>
      </c>
      <c r="R1162" s="430" t="str">
        <f>_xlfn.XLOOKUP(PV_DATA[[#This Row],[New Ark SKU]],Table9[New Ark SKU],Table9[Connector],,0)</f>
        <v>EVO2A</v>
      </c>
      <c r="S1162" s="433" t="str">
        <f>_xlfn.XLOOKUP(PV_DATA[[#This Row],[New Ark SKU]],Table9[New Ark SKU],Table9[Cable],,0)</f>
        <v>±1200mm</v>
      </c>
      <c r="T1162" s="620">
        <v>490</v>
      </c>
      <c r="U1162" s="1064">
        <f>936*1</f>
        <v>936</v>
      </c>
      <c r="V1162" s="624">
        <f>PV_DATA[[#This Row],[QUANTITY]]*PV_DATA[[#This Row],[WATT]]/1000000</f>
        <v>0.45863999999999999</v>
      </c>
      <c r="W1162" s="625">
        <f>PV_DATA[[#This Row],[QUANTITY]]/PV_DATA[[#This Row],[Qty/Pallet]]</f>
        <v>26</v>
      </c>
      <c r="X1162" s="1047">
        <f>PV_DATA[[#This Row],[QUANTITY]]/PV_DATA[[#This Row],[Qty/CT]]</f>
        <v>1</v>
      </c>
      <c r="Y1162" s="431" t="s">
        <v>2473</v>
      </c>
      <c r="Z1162" s="1275" t="str">
        <f t="shared" ref="Z1162" si="26">IF(AN1162&lt;&gt;"","COMPLETED",IF(AK1162&lt;&gt;"","IN-TRANSIT",""))</f>
        <v/>
      </c>
      <c r="AA1162" s="619" t="s">
        <v>7224</v>
      </c>
      <c r="AB1162" s="626"/>
      <c r="AC1162" s="627" t="str">
        <f>IF(PV_DATA[[#This Row],[Pick- Up Date]]&lt;&gt;"",_xlfn.ISOWEEKNUM(PV_DATA[[#This Row],[Pick- Up Date]]),"")</f>
        <v/>
      </c>
      <c r="AD1162" s="619"/>
      <c r="AE1162" s="620"/>
      <c r="AF1162" s="430" t="s">
        <v>122</v>
      </c>
      <c r="AG1162" s="430" t="s">
        <v>123</v>
      </c>
      <c r="AH1162" s="431" t="s">
        <v>124</v>
      </c>
      <c r="AI1162" s="626"/>
      <c r="AJ1162" s="626"/>
      <c r="AK1162" s="626"/>
      <c r="AL1162" s="626"/>
      <c r="AM1162" s="626"/>
      <c r="AN1162" s="626"/>
      <c r="AO1162" s="619"/>
      <c r="AP1162" s="619"/>
      <c r="AQ1162" s="628"/>
      <c r="AR1162" s="619"/>
      <c r="AS1162" s="619"/>
      <c r="AT1162" s="619"/>
      <c r="AU1162" s="619"/>
      <c r="AV1162" s="619"/>
      <c r="AW1162" s="626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6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626">
        <f>IF(ISERROR(PV_DATA[[#This Row],[New Ark PO status]]),"",_xlfn.XLOOKUP(PV_DATA[[#This Row],[SPTN-PVHK New Ark PO'#]],New_Ark_Data[Purchase order Number],New_Ark_Data[Estimated time of arrival],"",0))</f>
        <v>0</v>
      </c>
      <c r="AZ1162" s="62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162" s="626">
        <f>IFERROR(PV_DATA[[#This Row],[ODP ETA Port]]+PV_DATA[[#This Row],[Customs/Leg3 Assumption]],"n/a")</f>
        <v>46376</v>
      </c>
      <c r="BB1162" s="620">
        <f>YEAR(PV_DATA[[#This Row],[ETA for New Ark update]])</f>
        <v>2026</v>
      </c>
      <c r="BC1162" s="619">
        <f>MONTH(PV_DATA[[#This Row],[ETA for New Ark update]])</f>
        <v>12</v>
      </c>
      <c r="BD1162" s="619">
        <f>IFERROR(_xlfn.ISOWEEKNUM(PV_DATA[[#This Row],[ETA for New Ark update]]),0)</f>
        <v>51</v>
      </c>
      <c r="BE1162" s="431">
        <f>_xlfn.XLOOKUP(PV_DATA[[#This Row],[New Ark SKU]],Table9[New Ark SKU],Table9[Total PCS per Pallet],,0)</f>
        <v>36</v>
      </c>
      <c r="BF1162" s="431">
        <f>_xlfn.XLOOKUP(PV_DATA[[#This Row],[New Ark SKU]],Table9[New Ark SKU],Table9[Total PCS per 40HQ Container],,0)</f>
        <v>936</v>
      </c>
      <c r="BG1162" s="431" t="str">
        <f>_xlfn.XLOOKUP(PV_DATA[[#This Row],[New Ark SKU]],Table9[New Ark SKU],Table9[Back Glass],,0)</f>
        <v>Black glazing</v>
      </c>
      <c r="BH1162" s="629" t="str">
        <f>_xlfn.XLOOKUP(PV_DATA[[#This Row],[PORT DESTINATION]],Table12[PORT DESTINATION],Table12[Cosco Line],,0)</f>
        <v>AEM</v>
      </c>
    </row>
    <row r="1163" spans="1:62">
      <c r="A1163" s="1276" t="s">
        <v>7225</v>
      </c>
      <c r="B1163" s="726" t="s">
        <v>1757</v>
      </c>
      <c r="C1163" s="726" t="str">
        <f>IFERROR(LEFT(PV_DATA[[#This Row],[TCL REFERENCE]],FIND(".",PV_DATA[[#This Row],[TCL REFERENCE]],1)-1),"Main Line")</f>
        <v>26Oct009</v>
      </c>
      <c r="D1163" s="726" t="s">
        <v>63</v>
      </c>
      <c r="E1163" s="439" t="s">
        <v>64</v>
      </c>
      <c r="F1163" s="439" t="str" cm="1">
        <f t="array" ref="F11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63" s="726" t="s">
        <v>402</v>
      </c>
      <c r="H1163" s="726" t="s">
        <v>311</v>
      </c>
      <c r="I1163" s="431" t="s">
        <v>689</v>
      </c>
      <c r="J1163" s="431" t="s">
        <v>96</v>
      </c>
      <c r="K1163" s="619"/>
      <c r="L1163" s="619"/>
      <c r="M1163" s="619" t="s">
        <v>68</v>
      </c>
      <c r="N1163" s="630"/>
      <c r="O1163" s="619" t="s">
        <v>284</v>
      </c>
      <c r="P1163" s="623" t="s">
        <v>5851</v>
      </c>
      <c r="Q1163" s="619" t="s">
        <v>5852</v>
      </c>
      <c r="R1163" s="430" t="str">
        <f>_xlfn.XLOOKUP(PV_DATA[[#This Row],[New Ark SKU]],Table9[New Ark SKU],Table9[Connector],,0)</f>
        <v>EVO2A</v>
      </c>
      <c r="S1163" s="433" t="str">
        <f>_xlfn.XLOOKUP(PV_DATA[[#This Row],[New Ark SKU]],Table9[New Ark SKU],Table9[Cable],,0)</f>
        <v>±1200mm</v>
      </c>
      <c r="T1163" s="620">
        <v>485</v>
      </c>
      <c r="U1163" s="1064">
        <f>936*4</f>
        <v>3744</v>
      </c>
      <c r="V1163" s="624">
        <f>PV_DATA[[#This Row],[QUANTITY]]*PV_DATA[[#This Row],[WATT]]/1000000</f>
        <v>1.8158399999999999</v>
      </c>
      <c r="W1163" s="625">
        <f>PV_DATA[[#This Row],[QUANTITY]]/PV_DATA[[#This Row],[Qty/Pallet]]</f>
        <v>104</v>
      </c>
      <c r="X1163" s="1047">
        <f>PV_DATA[[#This Row],[QUANTITY]]/PV_DATA[[#This Row],[Qty/CT]]</f>
        <v>4</v>
      </c>
      <c r="Y1163" s="431" t="s">
        <v>2473</v>
      </c>
      <c r="Z1163" s="1275" t="str">
        <f t="shared" ref="Z1163:Z1195" si="27">IF(AN1163&lt;&gt;"","COMPLETED",IF(AK1163&lt;&gt;"","IN-TRANSIT",""))</f>
        <v/>
      </c>
      <c r="AA1163" s="619" t="s">
        <v>7226</v>
      </c>
      <c r="AB1163" s="626"/>
      <c r="AC1163" s="627" t="str">
        <f>IF(PV_DATA[[#This Row],[Pick- Up Date]]&lt;&gt;"",_xlfn.ISOWEEKNUM(PV_DATA[[#This Row],[Pick- Up Date]]),"")</f>
        <v/>
      </c>
      <c r="AD1163" s="619"/>
      <c r="AE1163" s="620"/>
      <c r="AF1163" s="430" t="s">
        <v>122</v>
      </c>
      <c r="AG1163" s="430" t="s">
        <v>123</v>
      </c>
      <c r="AH1163" s="431" t="s">
        <v>314</v>
      </c>
      <c r="AI1163" s="626"/>
      <c r="AJ1163" s="626"/>
      <c r="AK1163" s="626"/>
      <c r="AL1163" s="626"/>
      <c r="AM1163" s="626"/>
      <c r="AN1163" s="626"/>
      <c r="AO1163" s="619"/>
      <c r="AP1163" s="619"/>
      <c r="AQ1163" s="628"/>
      <c r="AR1163" s="619"/>
      <c r="AS1163" s="619"/>
      <c r="AT1163" s="619"/>
      <c r="AU1163" s="619"/>
      <c r="AV1163" s="619"/>
      <c r="AW1163" s="626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16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626">
        <f>IF(ISERROR(PV_DATA[[#This Row],[New Ark PO status]]),"",_xlfn.XLOOKUP(PV_DATA[[#This Row],[SPTN-PVHK New Ark PO'#]],New_Ark_Data[Purchase order Number],New_Ark_Data[Estimated time of arrival],"",0))</f>
        <v>0</v>
      </c>
      <c r="AZ1163" s="620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63" s="626">
        <f>IFERROR(PV_DATA[[#This Row],[ODP ETA Port]]+PV_DATA[[#This Row],[Customs/Leg3 Assumption]],"n/a")</f>
        <v>46381</v>
      </c>
      <c r="BB1163" s="620">
        <f>YEAR(PV_DATA[[#This Row],[ETA for New Ark update]])</f>
        <v>2026</v>
      </c>
      <c r="BC1163" s="619">
        <f>MONTH(PV_DATA[[#This Row],[ETA for New Ark update]])</f>
        <v>12</v>
      </c>
      <c r="BD1163" s="619">
        <f>IFERROR(_xlfn.ISOWEEKNUM(PV_DATA[[#This Row],[ETA for New Ark update]]),0)</f>
        <v>52</v>
      </c>
      <c r="BE1163" s="431">
        <f>_xlfn.XLOOKUP(PV_DATA[[#This Row],[New Ark SKU]],Table9[New Ark SKU],Table9[Total PCS per Pallet],,0)</f>
        <v>36</v>
      </c>
      <c r="BF1163" s="431">
        <f>_xlfn.XLOOKUP(PV_DATA[[#This Row],[New Ark SKU]],Table9[New Ark SKU],Table9[Total PCS per 40HQ Container],,0)</f>
        <v>936</v>
      </c>
      <c r="BG1163" s="431" t="str">
        <f>_xlfn.XLOOKUP(PV_DATA[[#This Row],[New Ark SKU]],Table9[New Ark SKU],Table9[Back Glass],,0)</f>
        <v>Black glazing</v>
      </c>
      <c r="BH1163" s="629" t="str">
        <f>_xlfn.XLOOKUP(PV_DATA[[#This Row],[PORT DESTINATION]],Table12[PORT DESTINATION],Table12[Cosco Line],,0)</f>
        <v>AEM</v>
      </c>
    </row>
    <row r="1164" spans="1:62">
      <c r="A1164" s="1276" t="s">
        <v>7227</v>
      </c>
      <c r="B1164" s="726" t="s">
        <v>1757</v>
      </c>
      <c r="C1164" s="726" t="str">
        <f>IFERROR(LEFT(PV_DATA[[#This Row],[TCL REFERENCE]],FIND(".",PV_DATA[[#This Row],[TCL REFERENCE]],1)-1),"Main Line")</f>
        <v>26Oct009</v>
      </c>
      <c r="D1164" s="726" t="s">
        <v>63</v>
      </c>
      <c r="E1164" s="439" t="s">
        <v>64</v>
      </c>
      <c r="F1164" s="439" t="str" cm="1">
        <f t="array" ref="F11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64" s="726" t="s">
        <v>402</v>
      </c>
      <c r="H1164" s="726" t="s">
        <v>311</v>
      </c>
      <c r="I1164" s="431" t="s">
        <v>689</v>
      </c>
      <c r="J1164" s="431" t="s">
        <v>96</v>
      </c>
      <c r="K1164" s="619"/>
      <c r="L1164" s="619"/>
      <c r="M1164" s="619" t="s">
        <v>68</v>
      </c>
      <c r="N1164" s="630"/>
      <c r="O1164" s="619" t="s">
        <v>284</v>
      </c>
      <c r="P1164" s="623" t="s">
        <v>5851</v>
      </c>
      <c r="Q1164" s="619" t="s">
        <v>5852</v>
      </c>
      <c r="R1164" s="430" t="str">
        <f>_xlfn.XLOOKUP(PV_DATA[[#This Row],[New Ark SKU]],Table9[New Ark SKU],Table9[Connector],,0)</f>
        <v>EVO2A</v>
      </c>
      <c r="S1164" s="433" t="str">
        <f>_xlfn.XLOOKUP(PV_DATA[[#This Row],[New Ark SKU]],Table9[New Ark SKU],Table9[Cable],,0)</f>
        <v>±1200mm</v>
      </c>
      <c r="T1164" s="620">
        <v>485</v>
      </c>
      <c r="U1164" s="1064">
        <f>936*4</f>
        <v>3744</v>
      </c>
      <c r="V1164" s="624">
        <f>PV_DATA[[#This Row],[QUANTITY]]*PV_DATA[[#This Row],[WATT]]/1000000</f>
        <v>1.8158399999999999</v>
      </c>
      <c r="W1164" s="625">
        <f>PV_DATA[[#This Row],[QUANTITY]]/PV_DATA[[#This Row],[Qty/Pallet]]</f>
        <v>104</v>
      </c>
      <c r="X1164" s="1047">
        <f>PV_DATA[[#This Row],[QUANTITY]]/PV_DATA[[#This Row],[Qty/CT]]</f>
        <v>4</v>
      </c>
      <c r="Y1164" s="431" t="s">
        <v>2473</v>
      </c>
      <c r="Z1164" s="1275" t="str">
        <f t="shared" si="27"/>
        <v/>
      </c>
      <c r="AA1164" s="619" t="s">
        <v>7226</v>
      </c>
      <c r="AB1164" s="626"/>
      <c r="AC1164" s="627" t="str">
        <f>IF(PV_DATA[[#This Row],[Pick- Up Date]]&lt;&gt;"",_xlfn.ISOWEEKNUM(PV_DATA[[#This Row],[Pick- Up Date]]),"")</f>
        <v/>
      </c>
      <c r="AD1164" s="619"/>
      <c r="AE1164" s="620"/>
      <c r="AF1164" s="430" t="s">
        <v>122</v>
      </c>
      <c r="AG1164" s="430" t="s">
        <v>123</v>
      </c>
      <c r="AH1164" s="431" t="s">
        <v>1561</v>
      </c>
      <c r="AI1164" s="626"/>
      <c r="AJ1164" s="626"/>
      <c r="AK1164" s="626"/>
      <c r="AL1164" s="626"/>
      <c r="AM1164" s="626"/>
      <c r="AN1164" s="626"/>
      <c r="AO1164" s="619"/>
      <c r="AP1164" s="619"/>
      <c r="AQ1164" s="628"/>
      <c r="AR1164" s="619"/>
      <c r="AS1164" s="619"/>
      <c r="AT1164" s="619"/>
      <c r="AU1164" s="619"/>
      <c r="AV1164" s="619"/>
      <c r="AW1164" s="626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16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626">
        <f>IF(ISERROR(PV_DATA[[#This Row],[New Ark PO status]]),"",_xlfn.XLOOKUP(PV_DATA[[#This Row],[SPTN-PVHK New Ark PO'#]],New_Ark_Data[Purchase order Number],New_Ark_Data[Estimated time of arrival],"",0))</f>
        <v>0</v>
      </c>
      <c r="AZ1164" s="620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64" s="626">
        <f>IFERROR(PV_DATA[[#This Row],[ODP ETA Port]]+PV_DATA[[#This Row],[Customs/Leg3 Assumption]],"n/a")</f>
        <v>46381</v>
      </c>
      <c r="BB1164" s="620">
        <f>YEAR(PV_DATA[[#This Row],[ETA for New Ark update]])</f>
        <v>2026</v>
      </c>
      <c r="BC1164" s="619">
        <f>MONTH(PV_DATA[[#This Row],[ETA for New Ark update]])</f>
        <v>12</v>
      </c>
      <c r="BD1164" s="619">
        <f>IFERROR(_xlfn.ISOWEEKNUM(PV_DATA[[#This Row],[ETA for New Ark update]]),0)</f>
        <v>52</v>
      </c>
      <c r="BE1164" s="431">
        <f>_xlfn.XLOOKUP(PV_DATA[[#This Row],[New Ark SKU]],Table9[New Ark SKU],Table9[Total PCS per Pallet],,0)</f>
        <v>36</v>
      </c>
      <c r="BF1164" s="431">
        <f>_xlfn.XLOOKUP(PV_DATA[[#This Row],[New Ark SKU]],Table9[New Ark SKU],Table9[Total PCS per 40HQ Container],,0)</f>
        <v>936</v>
      </c>
      <c r="BG1164" s="431" t="str">
        <f>_xlfn.XLOOKUP(PV_DATA[[#This Row],[New Ark SKU]],Table9[New Ark SKU],Table9[Back Glass],,0)</f>
        <v>Black glazing</v>
      </c>
      <c r="BH1164" s="629" t="str">
        <f>_xlfn.XLOOKUP(PV_DATA[[#This Row],[PORT DESTINATION]],Table12[PORT DESTINATION],Table12[Cosco Line],,0)</f>
        <v>AEM</v>
      </c>
    </row>
    <row r="1165" spans="1:62">
      <c r="A1165" s="1276" t="s">
        <v>7228</v>
      </c>
      <c r="B1165" s="439" t="s">
        <v>1757</v>
      </c>
      <c r="C1165" s="439" t="s">
        <v>7229</v>
      </c>
      <c r="D1165" s="439" t="s">
        <v>63</v>
      </c>
      <c r="E1165" s="439" t="s">
        <v>64</v>
      </c>
      <c r="F1165" s="439" t="s">
        <v>100</v>
      </c>
      <c r="G1165" s="439" t="s">
        <v>402</v>
      </c>
      <c r="H1165" s="439" t="s">
        <v>67</v>
      </c>
      <c r="I1165" s="439" t="s">
        <v>689</v>
      </c>
      <c r="J1165" s="431" t="s">
        <v>96</v>
      </c>
      <c r="K1165" s="431"/>
      <c r="L1165" s="431"/>
      <c r="M1165" s="430" t="s">
        <v>6315</v>
      </c>
      <c r="N1165" s="630"/>
      <c r="O1165" s="619" t="s">
        <v>284</v>
      </c>
      <c r="P1165" s="623" t="s">
        <v>5851</v>
      </c>
      <c r="Q1165" s="619" t="s">
        <v>5852</v>
      </c>
      <c r="R1165" s="430" t="str">
        <f>_xlfn.XLOOKUP(PV_DATA[[#This Row],[New Ark SKU]],Table9[New Ark SKU],Table9[Connector],,0)</f>
        <v>EVO2A</v>
      </c>
      <c r="S1165" s="433" t="str">
        <f>_xlfn.XLOOKUP(PV_DATA[[#This Row],[New Ark SKU]],Table9[New Ark SKU],Table9[Cable],,0)</f>
        <v>±1200mm</v>
      </c>
      <c r="T1165" s="620">
        <v>485</v>
      </c>
      <c r="U1165" s="1064">
        <v>1872</v>
      </c>
      <c r="V1165" s="624">
        <f>PV_DATA[[#This Row],[QUANTITY]]*PV_DATA[[#This Row],[WATT]]/1000000</f>
        <v>0.90791999999999995</v>
      </c>
      <c r="W1165" s="625">
        <f>PV_DATA[[#This Row],[QUANTITY]]/PV_DATA[[#This Row],[Qty/Pallet]]</f>
        <v>52</v>
      </c>
      <c r="X1165" s="1047">
        <f>PV_DATA[[#This Row],[QUANTITY]]/PV_DATA[[#This Row],[Qty/CT]]</f>
        <v>2</v>
      </c>
      <c r="Y1165" s="431" t="s">
        <v>2473</v>
      </c>
      <c r="Z1165" s="1277" t="str">
        <f t="shared" si="27"/>
        <v/>
      </c>
      <c r="AA1165" s="661">
        <v>46309</v>
      </c>
      <c r="AB1165" s="441"/>
      <c r="AC1165" s="467" t="str">
        <f>IF(PV_DATA[[#This Row],[Pick- Up Date]]&lt;&gt;"",_xlfn.ISOWEEKNUM(PV_DATA[[#This Row],[Pick- Up Date]]),"")</f>
        <v/>
      </c>
      <c r="AD1165" s="431"/>
      <c r="AE1165" s="442"/>
      <c r="AF1165" s="430" t="s">
        <v>5994</v>
      </c>
      <c r="AG1165" s="430" t="s">
        <v>5994</v>
      </c>
      <c r="AH1165" s="431" t="s">
        <v>456</v>
      </c>
      <c r="AI1165" s="441"/>
      <c r="AJ1165" s="441"/>
      <c r="AK1165" s="441"/>
      <c r="AL1165" s="441"/>
      <c r="AM1165" s="441"/>
      <c r="AO1165" s="431"/>
      <c r="AP1165" s="431"/>
      <c r="AQ1165" s="1053" t="s">
        <v>80</v>
      </c>
      <c r="AR1165" s="431"/>
      <c r="AS1165" s="431"/>
      <c r="AT1165" s="431"/>
      <c r="AU1165" s="431"/>
      <c r="AV1165" s="431"/>
      <c r="AW1165" s="441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6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41">
        <f>IF(ISERROR(PV_DATA[[#This Row],[New Ark PO status]]),"",_xlfn.XLOOKUP(PV_DATA[[#This Row],[SPTN-PVHK New Ark PO'#]],New_Ark_Data[Purchase order Number],New_Ark_Data[Estimated time of arrival],"",0))</f>
        <v>0</v>
      </c>
      <c r="AZ116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5" s="441">
        <f>IFERROR(PV_DATA[[#This Row],[ODP ETA Port]]+PV_DATA[[#This Row],[Customs/Leg3 Assumption]],"n/a")</f>
        <v>46374</v>
      </c>
      <c r="BB1165" s="442">
        <f>YEAR(PV_DATA[[#This Row],[ETA for New Ark update]])</f>
        <v>2026</v>
      </c>
      <c r="BC1165" s="431">
        <f>MONTH(PV_DATA[[#This Row],[ETA for New Ark update]])</f>
        <v>12</v>
      </c>
      <c r="BD1165" s="431">
        <f>IFERROR(_xlfn.ISOWEEKNUM(PV_DATA[[#This Row],[ETA for New Ark update]]),0)</f>
        <v>51</v>
      </c>
      <c r="BE1165" s="431">
        <f>_xlfn.XLOOKUP(PV_DATA[[#This Row],[New Ark SKU]],Table9[New Ark SKU],Table9[Total PCS per Pallet],,0)</f>
        <v>36</v>
      </c>
      <c r="BF1165" s="431">
        <f>_xlfn.XLOOKUP(PV_DATA[[#This Row],[New Ark SKU]],Table9[New Ark SKU],Table9[Total PCS per 40HQ Container],,0)</f>
        <v>936</v>
      </c>
      <c r="BG1165" s="431" t="str">
        <f>_xlfn.XLOOKUP(PV_DATA[[#This Row],[New Ark SKU]],Table9[New Ark SKU],Table9[Back Glass],,0)</f>
        <v>Black glazing</v>
      </c>
      <c r="BH1165" s="622" t="str">
        <f>_xlfn.XLOOKUP(PV_DATA[[#This Row],[PORT DESTINATION]],Table12[PORT DESTINATION],Table12[Cosco Line],,0)</f>
        <v>AEU</v>
      </c>
    </row>
    <row r="1166" spans="1:62" s="431" customFormat="1" ht="10.5">
      <c r="A1166" s="728" t="s">
        <v>7230</v>
      </c>
      <c r="B1166" s="439" t="s">
        <v>111</v>
      </c>
      <c r="C1166" s="439" t="str">
        <f>IFERROR(LEFT(PV_DATA[[#This Row],[TCL REFERENCE]],FIND(".",PV_DATA[[#This Row],[TCL REFERENCE]],1)-1),"Main Line")</f>
        <v>26Aug017</v>
      </c>
      <c r="D1166" s="439" t="s">
        <v>63</v>
      </c>
      <c r="E1166" s="439" t="s">
        <v>64</v>
      </c>
      <c r="F1166" s="439" t="str" cm="1">
        <f t="array" ref="F11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6" s="439" t="s">
        <v>402</v>
      </c>
      <c r="H1166" s="439" t="s">
        <v>311</v>
      </c>
      <c r="I1166" s="439" t="s">
        <v>689</v>
      </c>
      <c r="J1166" s="431" t="s">
        <v>96</v>
      </c>
      <c r="N1166" s="461">
        <v>46305</v>
      </c>
      <c r="O1166" s="431" t="s">
        <v>170</v>
      </c>
      <c r="P1166" s="431" t="s">
        <v>171</v>
      </c>
      <c r="Q1166" s="431" t="s">
        <v>1731</v>
      </c>
      <c r="R1166" s="430" t="str">
        <f>_xlfn.XLOOKUP(PV_DATA[[#This Row],[New Ark SKU]],Table9[New Ark SKU],Table9[Connector],,0)</f>
        <v>EVO2A</v>
      </c>
      <c r="S1166" s="433" t="str">
        <f>_xlfn.XLOOKUP(PV_DATA[[#This Row],[New Ark SKU]],Table9[New Ark SKU],Table9[Cable],,0)</f>
        <v>±1400mm</v>
      </c>
      <c r="T1166" s="442">
        <v>555</v>
      </c>
      <c r="U1166" s="1093">
        <f>660*5</f>
        <v>3300</v>
      </c>
      <c r="V1166" s="448">
        <f>PV_DATA[[#This Row],[QUANTITY]]*PV_DATA[[#This Row],[WATT]]/1000000</f>
        <v>1.8314999999999999</v>
      </c>
      <c r="W1166" s="466">
        <f>PV_DATA[[#This Row],[QUANTITY]]/PV_DATA[[#This Row],[Qty/Pallet]]</f>
        <v>100</v>
      </c>
      <c r="X1166" s="1044">
        <f>PV_DATA[[#This Row],[QUANTITY]]/PV_DATA[[#This Row],[Qty/CT]]</f>
        <v>5</v>
      </c>
      <c r="Y1166" s="431" t="s">
        <v>2472</v>
      </c>
      <c r="AB1166" s="441"/>
      <c r="AC1166" s="467"/>
      <c r="AF1166" s="431" t="s">
        <v>122</v>
      </c>
      <c r="AG1166" s="431" t="s">
        <v>123</v>
      </c>
      <c r="AH1166" s="431" t="s">
        <v>105</v>
      </c>
      <c r="AI1166" s="441"/>
      <c r="AJ1166" s="441"/>
      <c r="AK1166" s="441"/>
      <c r="AL1166" s="441"/>
      <c r="AM1166" s="441"/>
      <c r="AN1166" s="441"/>
      <c r="AR1166" s="619"/>
      <c r="AU11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6" s="441"/>
      <c r="AW1166" s="441" cm="1">
        <f t="array" ref="AW11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6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441">
        <f>IF(ISERROR(PV_DATA[[#This Row],[New Ark PO status]]),"",_xlfn.XLOOKUP(PV_DATA[[#This Row],[SPTN-PVHK New Ark PO'#]],New_Ark_Data[Purchase order Number],New_Ark_Data[Estimated time of arrival],"",0))</f>
        <v>0</v>
      </c>
      <c r="AZ11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6" s="441">
        <f>IFERROR(PV_DATA[[#This Row],[ODP ETA Port]]+PV_DATA[[#This Row],[Customs/Leg3 Assumption]],"n/a")</f>
        <v>46367</v>
      </c>
      <c r="BB1166" s="442">
        <f>YEAR(PV_DATA[[#This Row],[ETA for New Ark update]])</f>
        <v>2026</v>
      </c>
      <c r="BC1166" s="431">
        <f>MONTH(PV_DATA[[#This Row],[ETA for New Ark update]])</f>
        <v>12</v>
      </c>
      <c r="BD1166" s="431">
        <f>IFERROR(_xlfn.ISOWEEKNUM(PV_DATA[[#This Row],[ETA for New Ark update]]),0)</f>
        <v>50</v>
      </c>
      <c r="BE1166" s="431">
        <f>_xlfn.XLOOKUP(PV_DATA[[#This Row],[New Ark SKU]],Table9[New Ark SKU],Table9[Total PCS per Pallet],,0)</f>
        <v>33</v>
      </c>
      <c r="BF1166" s="431">
        <f>_xlfn.XLOOKUP(PV_DATA[[#This Row],[New Ark SKU]],Table9[New Ark SKU],Table9[Total PCS per 40HQ Container],,0)</f>
        <v>660</v>
      </c>
      <c r="BG1166" s="431" t="str">
        <f>_xlfn.XLOOKUP(PV_DATA[[#This Row],[New Ark SKU]],Table9[New Ark SKU],Table9[Back Glass],,0)</f>
        <v>White glazing</v>
      </c>
      <c r="BH1166" s="431" t="str">
        <f>_xlfn.XLOOKUP(PV_DATA[[#This Row],[PORT DESTINATION]],Table12[PORT DESTINATION],Table12[Cosco Line],,0)</f>
        <v>AEU</v>
      </c>
    </row>
    <row r="1167" spans="1:62">
      <c r="A1167" s="1276" t="s">
        <v>7231</v>
      </c>
      <c r="B1167" s="726" t="s">
        <v>1757</v>
      </c>
      <c r="C1167" s="726" t="str">
        <f>IFERROR(LEFT(PV_DATA[[#This Row],[TCL REFERENCE]],FIND(".",PV_DATA[[#This Row],[TCL REFERENCE]],1)-1),"Main Line")</f>
        <v>26Oct009</v>
      </c>
      <c r="D1167" s="726" t="s">
        <v>63</v>
      </c>
      <c r="E1167" s="439" t="s">
        <v>64</v>
      </c>
      <c r="F1167" s="439" t="str" cm="1">
        <f t="array" ref="F11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7" s="726" t="s">
        <v>402</v>
      </c>
      <c r="H1167" s="726" t="s">
        <v>67</v>
      </c>
      <c r="I1167" s="431" t="s">
        <v>689</v>
      </c>
      <c r="J1167" s="431" t="s">
        <v>96</v>
      </c>
      <c r="K1167" s="619"/>
      <c r="L1167" s="619"/>
      <c r="M1167" s="430" t="s">
        <v>6315</v>
      </c>
      <c r="N1167" s="630"/>
      <c r="O1167" s="619" t="s">
        <v>284</v>
      </c>
      <c r="P1167" s="623" t="s">
        <v>5851</v>
      </c>
      <c r="Q1167" s="619" t="s">
        <v>5852</v>
      </c>
      <c r="R1167" s="430" t="str">
        <f>_xlfn.XLOOKUP(PV_DATA[[#This Row],[New Ark SKU]],Table9[New Ark SKU],Table9[Connector],,0)</f>
        <v>EVO2A</v>
      </c>
      <c r="S1167" s="433" t="str">
        <f>_xlfn.XLOOKUP(PV_DATA[[#This Row],[New Ark SKU]],Table9[New Ark SKU],Table9[Cable],,0)</f>
        <v>±1200mm</v>
      </c>
      <c r="T1167" s="620">
        <v>485</v>
      </c>
      <c r="U1167" s="1064">
        <v>4680</v>
      </c>
      <c r="V1167" s="624">
        <f>PV_DATA[[#This Row],[QUANTITY]]*PV_DATA[[#This Row],[WATT]]/1000000</f>
        <v>2.2698</v>
      </c>
      <c r="W1167" s="625">
        <f>PV_DATA[[#This Row],[QUANTITY]]/PV_DATA[[#This Row],[Qty/Pallet]]</f>
        <v>130</v>
      </c>
      <c r="X1167" s="1047">
        <f>PV_DATA[[#This Row],[QUANTITY]]/PV_DATA[[#This Row],[Qty/CT]]</f>
        <v>5</v>
      </c>
      <c r="Y1167" s="431" t="s">
        <v>2473</v>
      </c>
      <c r="Z1167" s="1275" t="str">
        <f t="shared" si="27"/>
        <v/>
      </c>
      <c r="AA1167" s="661">
        <v>46309</v>
      </c>
      <c r="AB1167" s="626"/>
      <c r="AC1167" s="627" t="str">
        <f>IF(PV_DATA[[#This Row],[Pick- Up Date]]&lt;&gt;"",_xlfn.ISOWEEKNUM(PV_DATA[[#This Row],[Pick- Up Date]]),"")</f>
        <v/>
      </c>
      <c r="AD1167" s="619"/>
      <c r="AE1167" s="620"/>
      <c r="AF1167" s="430" t="s">
        <v>122</v>
      </c>
      <c r="AG1167" s="430" t="s">
        <v>5994</v>
      </c>
      <c r="AH1167" s="431" t="s">
        <v>105</v>
      </c>
      <c r="AI1167" s="626">
        <v>46312</v>
      </c>
      <c r="AJ1167" s="626"/>
      <c r="AK1167" s="626"/>
      <c r="AL1167" s="626">
        <v>46346</v>
      </c>
      <c r="AM1167" s="626"/>
      <c r="AN1167" s="626"/>
      <c r="AO1167" s="619"/>
      <c r="AP1167" s="619" t="s">
        <v>7102</v>
      </c>
      <c r="AQ1167" s="1053" t="s">
        <v>80</v>
      </c>
      <c r="AR1167" s="619" t="s">
        <v>7232</v>
      </c>
      <c r="AS1167" s="619" t="s">
        <v>7233</v>
      </c>
      <c r="AT1167" s="619" t="s">
        <v>7233</v>
      </c>
      <c r="AU1167" s="619"/>
      <c r="AV1167" s="619"/>
      <c r="AW1167" s="626" cm="1">
        <f t="array" ref="AW11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6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626">
        <f>IF(ISERROR(PV_DATA[[#This Row],[New Ark PO status]]),"",_xlfn.XLOOKUP(PV_DATA[[#This Row],[SPTN-PVHK New Ark PO'#]],New_Ark_Data[Purchase order Number],New_Ark_Data[Estimated time of arrival],"",0))</f>
        <v>0</v>
      </c>
      <c r="AZ1167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7" s="626">
        <f>IFERROR(PV_DATA[[#This Row],[ODP ETA Port]]+PV_DATA[[#This Row],[Customs/Leg3 Assumption]],"n/a")</f>
        <v>46353</v>
      </c>
      <c r="BB1167" s="620">
        <f>YEAR(PV_DATA[[#This Row],[ETA for New Ark update]])</f>
        <v>2026</v>
      </c>
      <c r="BC1167" s="619">
        <f>MONTH(PV_DATA[[#This Row],[ETA for New Ark update]])</f>
        <v>11</v>
      </c>
      <c r="BD1167" s="619">
        <f>IFERROR(_xlfn.ISOWEEKNUM(PV_DATA[[#This Row],[ETA for New Ark update]]),0)</f>
        <v>48</v>
      </c>
      <c r="BE1167" s="431">
        <f>_xlfn.XLOOKUP(PV_DATA[[#This Row],[New Ark SKU]],Table9[New Ark SKU],Table9[Total PCS per Pallet],,0)</f>
        <v>36</v>
      </c>
      <c r="BF1167" s="431">
        <f>_xlfn.XLOOKUP(PV_DATA[[#This Row],[New Ark SKU]],Table9[New Ark SKU],Table9[Total PCS per 40HQ Container],,0)</f>
        <v>936</v>
      </c>
      <c r="BG1167" s="431" t="str">
        <f>_xlfn.XLOOKUP(PV_DATA[[#This Row],[New Ark SKU]],Table9[New Ark SKU],Table9[Back Glass],,0)</f>
        <v>Black glazing</v>
      </c>
      <c r="BH1167" s="629" t="str">
        <f>_xlfn.XLOOKUP(PV_DATA[[#This Row],[PORT DESTINATION]],Table12[PORT DESTINATION],Table12[Cosco Line],,0)</f>
        <v>AEU</v>
      </c>
    </row>
    <row r="1168" spans="1:62">
      <c r="A1168" s="1276" t="s">
        <v>7234</v>
      </c>
      <c r="B1168" s="726" t="s">
        <v>1757</v>
      </c>
      <c r="C1168" s="726" t="str">
        <f>IFERROR(LEFT(PV_DATA[[#This Row],[TCL REFERENCE]],FIND(".",PV_DATA[[#This Row],[TCL REFERENCE]],1)-1),"Main Line")</f>
        <v>26Oct009</v>
      </c>
      <c r="D1168" s="726" t="s">
        <v>63</v>
      </c>
      <c r="E1168" s="439" t="s">
        <v>64</v>
      </c>
      <c r="F1168" s="439" t="str" cm="1">
        <f t="array" ref="F11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8" s="726" t="s">
        <v>402</v>
      </c>
      <c r="H1168" s="726" t="s">
        <v>67</v>
      </c>
      <c r="I1168" s="431" t="s">
        <v>689</v>
      </c>
      <c r="J1168" s="431" t="s">
        <v>96</v>
      </c>
      <c r="K1168" s="619"/>
      <c r="L1168" s="619"/>
      <c r="M1168" s="430" t="s">
        <v>6315</v>
      </c>
      <c r="N1168" s="630"/>
      <c r="O1168" s="619" t="s">
        <v>284</v>
      </c>
      <c r="P1168" s="623" t="s">
        <v>5851</v>
      </c>
      <c r="Q1168" s="619" t="s">
        <v>5852</v>
      </c>
      <c r="R1168" s="430" t="str">
        <f>_xlfn.XLOOKUP(PV_DATA[[#This Row],[New Ark SKU]],Table9[New Ark SKU],Table9[Connector],,0)</f>
        <v>EVO2A</v>
      </c>
      <c r="S1168" s="433" t="str">
        <f>_xlfn.XLOOKUP(PV_DATA[[#This Row],[New Ark SKU]],Table9[New Ark SKU],Table9[Cable],,0)</f>
        <v>±1200mm</v>
      </c>
      <c r="T1168" s="620">
        <v>485</v>
      </c>
      <c r="U1168" s="1064">
        <v>936</v>
      </c>
      <c r="V1168" s="624">
        <f>PV_DATA[[#This Row],[QUANTITY]]*PV_DATA[[#This Row],[WATT]]/1000000</f>
        <v>0.45395999999999997</v>
      </c>
      <c r="W1168" s="625">
        <f>PV_DATA[[#This Row],[QUANTITY]]/PV_DATA[[#This Row],[Qty/Pallet]]</f>
        <v>26</v>
      </c>
      <c r="X1168" s="1047">
        <f>PV_DATA[[#This Row],[QUANTITY]]/PV_DATA[[#This Row],[Qty/CT]]</f>
        <v>1</v>
      </c>
      <c r="Y1168" s="431" t="s">
        <v>2473</v>
      </c>
      <c r="Z1168" s="1275" t="str">
        <f t="shared" si="27"/>
        <v/>
      </c>
      <c r="AA1168" s="619"/>
      <c r="AB1168" s="626"/>
      <c r="AC1168" s="627" t="str">
        <f>IF(PV_DATA[[#This Row],[Pick- Up Date]]&lt;&gt;"",_xlfn.ISOWEEKNUM(PV_DATA[[#This Row],[Pick- Up Date]]),"")</f>
        <v/>
      </c>
      <c r="AD1168" s="619"/>
      <c r="AE1168" s="620"/>
      <c r="AF1168" s="430" t="s">
        <v>122</v>
      </c>
      <c r="AG1168" s="430" t="s">
        <v>5994</v>
      </c>
      <c r="AH1168" s="431" t="s">
        <v>105</v>
      </c>
      <c r="AI1168" s="626"/>
      <c r="AJ1168" s="626"/>
      <c r="AK1168" s="626"/>
      <c r="AL1168" s="626"/>
      <c r="AM1168" s="626"/>
      <c r="AN1168" s="626"/>
      <c r="AO1168" s="619"/>
      <c r="AP1168" s="619"/>
      <c r="AQ1168" s="628"/>
      <c r="AR1168" s="619"/>
      <c r="AS1168" s="619"/>
      <c r="AT1168" s="619"/>
      <c r="AU1168" s="619"/>
      <c r="AV1168" s="619"/>
      <c r="AW1168" s="626" cm="1">
        <f t="array" ref="AW11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6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626">
        <f>IF(ISERROR(PV_DATA[[#This Row],[New Ark PO status]]),"",_xlfn.XLOOKUP(PV_DATA[[#This Row],[SPTN-PVHK New Ark PO'#]],New_Ark_Data[Purchase order Number],New_Ark_Data[Estimated time of arrival],"",0))</f>
        <v>0</v>
      </c>
      <c r="AZ1168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8" s="626">
        <f>IFERROR(PV_DATA[[#This Row],[ODP ETA Port]]+PV_DATA[[#This Row],[Customs/Leg3 Assumption]],"n/a")</f>
        <v>46374</v>
      </c>
      <c r="BB1168" s="620">
        <f>YEAR(PV_DATA[[#This Row],[ETA for New Ark update]])</f>
        <v>2026</v>
      </c>
      <c r="BC1168" s="619">
        <f>MONTH(PV_DATA[[#This Row],[ETA for New Ark update]])</f>
        <v>12</v>
      </c>
      <c r="BD1168" s="619">
        <f>IFERROR(_xlfn.ISOWEEKNUM(PV_DATA[[#This Row],[ETA for New Ark update]]),0)</f>
        <v>51</v>
      </c>
      <c r="BE1168" s="431">
        <f>_xlfn.XLOOKUP(PV_DATA[[#This Row],[New Ark SKU]],Table9[New Ark SKU],Table9[Total PCS per Pallet],,0)</f>
        <v>36</v>
      </c>
      <c r="BF1168" s="431">
        <f>_xlfn.XLOOKUP(PV_DATA[[#This Row],[New Ark SKU]],Table9[New Ark SKU],Table9[Total PCS per 40HQ Container],,0)</f>
        <v>936</v>
      </c>
      <c r="BG1168" s="431" t="str">
        <f>_xlfn.XLOOKUP(PV_DATA[[#This Row],[New Ark SKU]],Table9[New Ark SKU],Table9[Back Glass],,0)</f>
        <v>Black glazing</v>
      </c>
      <c r="BH1168" s="629" t="str">
        <f>_xlfn.XLOOKUP(PV_DATA[[#This Row],[PORT DESTINATION]],Table12[PORT DESTINATION],Table12[Cosco Line],,0)</f>
        <v>AEU</v>
      </c>
    </row>
    <row r="1169" spans="1:62" s="431" customFormat="1" ht="13.5" customHeight="1">
      <c r="A1169" s="728" t="s">
        <v>7235</v>
      </c>
      <c r="B1169" s="439" t="s">
        <v>1757</v>
      </c>
      <c r="C1169" s="439" t="str">
        <f>IFERROR(LEFT(PV_DATA[[#This Row],[TCL REFERENCE]],FIND(".",PV_DATA[[#This Row],[TCL REFERENCE]],1)-1),"Main Line")</f>
        <v>Main Line</v>
      </c>
      <c r="D1169" s="726" t="s">
        <v>113</v>
      </c>
      <c r="E1169" s="439" t="s">
        <v>68</v>
      </c>
      <c r="F1169" s="439" t="str" cm="1">
        <f t="array" ref="F116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9" s="439" t="s">
        <v>68</v>
      </c>
      <c r="H1169" s="439" t="s">
        <v>68</v>
      </c>
      <c r="I1169" s="439" t="s">
        <v>68</v>
      </c>
      <c r="J1169" s="431" t="s">
        <v>68</v>
      </c>
      <c r="M1169" s="431" t="s">
        <v>6315</v>
      </c>
      <c r="N1169" s="461"/>
      <c r="O1169" s="431" t="s">
        <v>284</v>
      </c>
      <c r="P1169" s="431" t="s">
        <v>6840</v>
      </c>
      <c r="Q1169" s="431" t="s">
        <v>6841</v>
      </c>
      <c r="R1169" s="430" t="str">
        <f>_xlfn.XLOOKUP(PV_DATA[[#This Row],[New Ark SKU]],Table9[New Ark SKU],Table9[Connector],,0)</f>
        <v>EVO2A</v>
      </c>
      <c r="S1169" s="433" t="str">
        <f>_xlfn.XLOOKUP(PV_DATA[[#This Row],[New Ark SKU]],Table9[New Ark SKU],Table9[Cable],,0)</f>
        <v>±1200mm</v>
      </c>
      <c r="T1169" s="442">
        <v>490</v>
      </c>
      <c r="U1169" s="1093" cm="1">
        <f t="array" ref="U1169">37440-fx_qty</f>
        <v>0</v>
      </c>
      <c r="V1169" s="448">
        <f>PV_DATA[[#This Row],[QUANTITY]]*PV_DATA[[#This Row],[WATT]]/1000000</f>
        <v>0</v>
      </c>
      <c r="W1169" s="625">
        <f>PV_DATA[[#This Row],[QUANTITY]]/36</f>
        <v>0</v>
      </c>
      <c r="X1169" s="1044">
        <f>PV_DATA[[#This Row],[QUANTITY]]/PV_DATA[[#This Row],[Qty/CT]]</f>
        <v>0</v>
      </c>
      <c r="Y1169" s="431" t="s">
        <v>7027</v>
      </c>
      <c r="Z1169" s="431" t="str">
        <f t="shared" si="27"/>
        <v/>
      </c>
      <c r="AB1169" s="441"/>
      <c r="AC1169" s="467" t="str">
        <f>IF(PV_DATA[[#This Row],[Pick- Up Date]]&lt;&gt;"",_xlfn.ISOWEEKNUM(PV_DATA[[#This Row],[Pick- Up Date]]),"")</f>
        <v/>
      </c>
      <c r="AF1169" s="431" t="s">
        <v>122</v>
      </c>
      <c r="AG1169" s="431" t="s">
        <v>122</v>
      </c>
      <c r="AH1169" s="431" t="s">
        <v>68</v>
      </c>
      <c r="AI1169" s="441"/>
      <c r="AJ1169" s="441"/>
      <c r="AK1169" s="441" t="str">
        <f>IFERROR(IF(VLOOKUP(AT1169,Vessel!A:F,5,FALSE)=0,"",VLOOKUP(AT1169,Vessel!A:F,5,FALSE)),"")</f>
        <v/>
      </c>
      <c r="AL1169" s="441"/>
      <c r="AM1169" s="441"/>
      <c r="AN1169" s="586" t="str">
        <f>IFERROR(IF(VLOOKUP(AT1169,Vessel!A:I,9,FALSE)=0,"",VLOOKUP(AT1169,Vessel!A:I,9,FALSE)),"")</f>
        <v/>
      </c>
      <c r="AQ1169" s="445"/>
      <c r="AU11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9" s="441" t="str" cm="1">
        <f t="array" ref="AW11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441">
        <f>IF(ISERROR(PV_DATA[[#This Row],[New Ark PO status]]),"",_xlfn.XLOOKUP(PV_DATA[[#This Row],[SPTN-PVHK New Ark PO'#]],New_Ark_Data[Purchase order Number],New_Ark_Data[Estimated time of arrival],"",0))</f>
        <v>0</v>
      </c>
      <c r="AZ116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9" s="441" t="str">
        <f>IFERROR(PV_DATA[[#This Row],[ODP ETA Port]]+PV_DATA[[#This Row],[Customs/Leg3 Assumption]],"n/a")</f>
        <v>n/a</v>
      </c>
      <c r="BB1169" s="442" t="e">
        <f>YEAR(PV_DATA[[#This Row],[ETA for New Ark update]])</f>
        <v>#VALUE!</v>
      </c>
      <c r="BC1169" s="431" t="e">
        <f>MONTH(PV_DATA[[#This Row],[ETA for New Ark update]])</f>
        <v>#VALUE!</v>
      </c>
      <c r="BD1169" s="431">
        <f>IFERROR(_xlfn.ISOWEEKNUM(PV_DATA[[#This Row],[ETA for New Ark update]]),0)</f>
        <v>0</v>
      </c>
      <c r="BE1169" s="431">
        <f>_xlfn.XLOOKUP(PV_DATA[[#This Row],[New Ark SKU]],Table9[New Ark SKU],Table9[Total PCS per Pallet],,0)</f>
        <v>36</v>
      </c>
      <c r="BF1169" s="431">
        <f>_xlfn.XLOOKUP(PV_DATA[[#This Row],[New Ark SKU]],Table9[New Ark SKU],Table9[Total PCS per 40HQ Container],,0)</f>
        <v>936</v>
      </c>
      <c r="BG1169" s="431" t="str">
        <f>_xlfn.XLOOKUP(PV_DATA[[#This Row],[New Ark SKU]],Table9[New Ark SKU],Table9[Back Glass],,0)</f>
        <v>Black glazing</v>
      </c>
      <c r="BH1169" s="622" t="str">
        <f>_xlfn.XLOOKUP(PV_DATA[[#This Row],[PORT DESTINATION]],Table12[PORT DESTINATION],Table12[Cosco Line],,0)</f>
        <v>n/a</v>
      </c>
    </row>
    <row r="1170" spans="1:62" s="431" customFormat="1" ht="13.5" customHeight="1">
      <c r="A1170" s="728" t="s">
        <v>7236</v>
      </c>
      <c r="B1170" s="439" t="s">
        <v>111</v>
      </c>
      <c r="C1170" s="439" t="str">
        <f>IFERROR(LEFT(PV_DATA[[#This Row],[TCL REFERENCE]],FIND(".",PV_DATA[[#This Row],[TCL REFERENCE]],1)-1),"Main Line")</f>
        <v>Main Line</v>
      </c>
      <c r="D1170" s="726" t="s">
        <v>113</v>
      </c>
      <c r="E1170" s="439" t="s">
        <v>68</v>
      </c>
      <c r="F1170" s="726" t="str" cm="1">
        <f t="array" ref="F117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0" s="439" t="s">
        <v>68</v>
      </c>
      <c r="H1170" s="439" t="s">
        <v>68</v>
      </c>
      <c r="I1170" s="439" t="s">
        <v>68</v>
      </c>
      <c r="J1170" s="431" t="s">
        <v>68</v>
      </c>
      <c r="K1170" s="619"/>
      <c r="L1170" s="619"/>
      <c r="M1170" s="431" t="s">
        <v>68</v>
      </c>
      <c r="N1170" s="630"/>
      <c r="O1170" s="619" t="s">
        <v>4531</v>
      </c>
      <c r="P1170" s="431" t="s">
        <v>6483</v>
      </c>
      <c r="Q1170" s="431" t="s">
        <v>103</v>
      </c>
      <c r="R1170" s="430" t="str">
        <f>_xlfn.XLOOKUP(PV_DATA[[#This Row],[New Ark SKU]],Table9[New Ark SKU],Table9[Connector],,0)</f>
        <v>H4(Com)</v>
      </c>
      <c r="S1170" s="433" t="str">
        <f>_xlfn.XLOOKUP(PV_DATA[[#This Row],[New Ark SKU]],Table9[New Ark SKU],Table9[Cable],,0)</f>
        <v>+400mm/-200mm</v>
      </c>
      <c r="T1170" s="442">
        <v>620</v>
      </c>
      <c r="U1170" s="1093" cm="1">
        <f t="array" ref="U1170">36000-fx_qty</f>
        <v>3600</v>
      </c>
      <c r="V1170" s="448">
        <f>PV_DATA[[#This Row],[QUANTITY]]*PV_DATA[[#This Row],[WATT]]/1000000</f>
        <v>2.2320000000000002</v>
      </c>
      <c r="W1170" s="466">
        <f>PV_DATA[[#This Row],[QUANTITY]]/PV_DATA[[#This Row],[Qty/Pallet]]</f>
        <v>100</v>
      </c>
      <c r="X1170" s="1047">
        <f>PV_DATA[[#This Row],[QUANTITY]]/PV_DATA[[#This Row],[Qty/CT]]</f>
        <v>5</v>
      </c>
      <c r="Y1170" s="431" t="s">
        <v>7027</v>
      </c>
      <c r="Z1170" s="431" t="str">
        <f t="shared" si="27"/>
        <v/>
      </c>
      <c r="AA1170" s="431" t="s">
        <v>5853</v>
      </c>
      <c r="AB1170" s="441"/>
      <c r="AC1170" s="467" t="str">
        <f>IF(PV_DATA[[#This Row],[Pick- Up Date]]&lt;&gt;"",_xlfn.ISOWEEKNUM(PV_DATA[[#This Row],[Pick- Up Date]]),"")</f>
        <v/>
      </c>
      <c r="AF1170" s="431" t="s">
        <v>122</v>
      </c>
      <c r="AG1170" s="431" t="s">
        <v>122</v>
      </c>
      <c r="AH1170" s="431" t="s">
        <v>68</v>
      </c>
      <c r="AI1170" s="441"/>
      <c r="AJ1170" s="441"/>
      <c r="AK1170" s="441"/>
      <c r="AL1170" s="441"/>
      <c r="AM1170" s="586"/>
      <c r="AN1170" s="586"/>
      <c r="AQ1170" s="445"/>
      <c r="AW1170" s="441" t="str" cm="1">
        <f t="array" ref="AW11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441">
        <f>IF(ISERROR(PV_DATA[[#This Row],[New Ark PO status]]),"",_xlfn.XLOOKUP(PV_DATA[[#This Row],[SPTN-PVHK New Ark PO'#]],New_Ark_Data[Purchase order Number],New_Ark_Data[Estimated time of arrival],"",0))</f>
        <v>0</v>
      </c>
      <c r="AZ117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0" s="441" t="str">
        <f>IFERROR(PV_DATA[[#This Row],[ODP ETA Port]]+PV_DATA[[#This Row],[Customs/Leg3 Assumption]],"n/a")</f>
        <v>n/a</v>
      </c>
      <c r="BB1170" s="442" t="e">
        <f>YEAR(PV_DATA[[#This Row],[ETA for New Ark update]])</f>
        <v>#VALUE!</v>
      </c>
      <c r="BC1170" s="431" t="e">
        <f>MONTH(PV_DATA[[#This Row],[ETA for New Ark update]])</f>
        <v>#VALUE!</v>
      </c>
      <c r="BD1170" s="431">
        <f>IFERROR(_xlfn.ISOWEEKNUM(PV_DATA[[#This Row],[ETA for New Ark update]]),0)</f>
        <v>0</v>
      </c>
      <c r="BE1170" s="431">
        <f>_xlfn.XLOOKUP(PV_DATA[[#This Row],[New Ark SKU]],Table9[New Ark SKU],Table9[Total PCS per Pallet],,0)</f>
        <v>36</v>
      </c>
      <c r="BF1170" s="431">
        <f>_xlfn.XLOOKUP(PV_DATA[[#This Row],[New Ark SKU]],Table9[New Ark SKU],Table9[Total PCS per 40HQ Container],,0)</f>
        <v>720</v>
      </c>
      <c r="BG1170" s="431" t="str">
        <f>_xlfn.XLOOKUP(PV_DATA[[#This Row],[New Ark SKU]],Table9[New Ark SKU],Table9[Back Glass],,0)</f>
        <v>Redirection Film</v>
      </c>
      <c r="BH1170" s="622" t="str">
        <f>_xlfn.XLOOKUP(PV_DATA[[#This Row],[PORT DESTINATION]],Table12[PORT DESTINATION],Table12[Cosco Line],,0)</f>
        <v>n/a</v>
      </c>
    </row>
    <row r="1171" spans="1:62" s="431" customFormat="1" ht="13.5" customHeight="1">
      <c r="A1171" s="728" t="s">
        <v>7237</v>
      </c>
      <c r="B1171" s="439" t="s">
        <v>1757</v>
      </c>
      <c r="C1171" s="439" t="str">
        <f>IFERROR(LEFT(PV_DATA[[#This Row],[TCL REFERENCE]],FIND(".",PV_DATA[[#This Row],[TCL REFERENCE]],1)-1),"Main Line")</f>
        <v>Main Line</v>
      </c>
      <c r="D1171" s="439" t="s">
        <v>113</v>
      </c>
      <c r="E1171" s="439" t="s">
        <v>68</v>
      </c>
      <c r="F1171" s="439" t="str" cm="1">
        <f t="array" ref="F117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1" s="439" t="s">
        <v>68</v>
      </c>
      <c r="H1171" s="439" t="s">
        <v>68</v>
      </c>
      <c r="I1171" s="439" t="s">
        <v>68</v>
      </c>
      <c r="J1171" s="431" t="s">
        <v>68</v>
      </c>
      <c r="M1171" s="431" t="s">
        <v>6315</v>
      </c>
      <c r="N1171" s="461"/>
      <c r="O1171" s="431" t="s">
        <v>284</v>
      </c>
      <c r="P1171" s="431" t="s">
        <v>6847</v>
      </c>
      <c r="Q1171" s="431" t="s">
        <v>6848</v>
      </c>
      <c r="R1171" s="430" t="str">
        <f>_xlfn.XLOOKUP(PV_DATA[[#This Row],[New Ark SKU]],Table9[New Ark SKU],Table9[Connector],,0)</f>
        <v>EVO2A</v>
      </c>
      <c r="S1171" s="433" t="str">
        <f>_xlfn.XLOOKUP(PV_DATA[[#This Row],[New Ark SKU]],Table9[New Ark SKU],Table9[Cable],,0)</f>
        <v>±1200mm</v>
      </c>
      <c r="T1171" s="442">
        <v>485</v>
      </c>
      <c r="U1171" s="1093" cm="1">
        <f t="array" ref="U1171">37440-fx_qty</f>
        <v>0</v>
      </c>
      <c r="V1171" s="448">
        <f>PV_DATA[[#This Row],[QUANTITY]]*PV_DATA[[#This Row],[WATT]]/1000000</f>
        <v>0</v>
      </c>
      <c r="W1171" s="466">
        <f>PV_DATA[[#This Row],[QUANTITY]]/36</f>
        <v>0</v>
      </c>
      <c r="X1171" s="1044">
        <f>PV_DATA[[#This Row],[QUANTITY]]/PV_DATA[[#This Row],[Qty/CT]]</f>
        <v>0</v>
      </c>
      <c r="Y1171" s="431" t="s">
        <v>7027</v>
      </c>
      <c r="Z1171" s="431" t="str">
        <f t="shared" si="27"/>
        <v/>
      </c>
      <c r="AB1171" s="441"/>
      <c r="AC1171" s="467" t="str">
        <f>IF(PV_DATA[[#This Row],[Pick- Up Date]]&lt;&gt;"",_xlfn.ISOWEEKNUM(PV_DATA[[#This Row],[Pick- Up Date]]),"")</f>
        <v/>
      </c>
      <c r="AF1171" s="431" t="s">
        <v>122</v>
      </c>
      <c r="AG1171" s="431" t="s">
        <v>122</v>
      </c>
      <c r="AH1171" s="431" t="s">
        <v>68</v>
      </c>
      <c r="AI1171" s="441"/>
      <c r="AJ1171" s="441"/>
      <c r="AK1171" s="441" t="str">
        <f>IFERROR(IF(VLOOKUP(AT1171,Vessel!A:F,5,FALSE)=0,"",VLOOKUP(AT1171,Vessel!A:F,5,FALSE)),"")</f>
        <v/>
      </c>
      <c r="AL1171" s="441"/>
      <c r="AM1171" s="441"/>
      <c r="AN1171" s="586" t="str">
        <f>IFERROR(IF(VLOOKUP(AT1171,Vessel!A:I,9,FALSE)=0,"",VLOOKUP(AT1171,Vessel!A:I,9,FALSE)),"")</f>
        <v/>
      </c>
      <c r="AQ1171" s="445"/>
      <c r="AU11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1" s="441" t="str" cm="1">
        <f t="array" ref="AW11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441">
        <f>IF(ISERROR(PV_DATA[[#This Row],[New Ark PO status]]),"",_xlfn.XLOOKUP(PV_DATA[[#This Row],[SPTN-PVHK New Ark PO'#]],New_Ark_Data[Purchase order Number],New_Ark_Data[Estimated time of arrival],"",0))</f>
        <v>0</v>
      </c>
      <c r="AZ117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1" s="441" t="str">
        <f>IFERROR(PV_DATA[[#This Row],[ODP ETA Port]]+PV_DATA[[#This Row],[Customs/Leg3 Assumption]],"n/a")</f>
        <v>n/a</v>
      </c>
      <c r="BB1171" s="442" t="e">
        <f>YEAR(PV_DATA[[#This Row],[ETA for New Ark update]])</f>
        <v>#VALUE!</v>
      </c>
      <c r="BC1171" s="431" t="e">
        <f>MONTH(PV_DATA[[#This Row],[ETA for New Ark update]])</f>
        <v>#VALUE!</v>
      </c>
      <c r="BD1171" s="431">
        <f>IFERROR(_xlfn.ISOWEEKNUM(PV_DATA[[#This Row],[ETA for New Ark update]]),0)</f>
        <v>0</v>
      </c>
      <c r="BE1171" s="431">
        <f>_xlfn.XLOOKUP(PV_DATA[[#This Row],[New Ark SKU]],Table9[New Ark SKU],Table9[Total PCS per Pallet],,0)</f>
        <v>36</v>
      </c>
      <c r="BF1171" s="431">
        <f>_xlfn.XLOOKUP(PV_DATA[[#This Row],[New Ark SKU]],Table9[New Ark SKU],Table9[Total PCS per 40HQ Container],,0)</f>
        <v>936</v>
      </c>
      <c r="BG1171" s="431" t="str">
        <f>_xlfn.XLOOKUP(PV_DATA[[#This Row],[New Ark SKU]],Table9[New Ark SKU],Table9[Back Glass],,0)</f>
        <v>Black glazing</v>
      </c>
      <c r="BH1171" s="622" t="str">
        <f>_xlfn.XLOOKUP(PV_DATA[[#This Row],[PORT DESTINATION]],Table12[PORT DESTINATION],Table12[Cosco Line],,0)</f>
        <v>n/a</v>
      </c>
    </row>
    <row r="1172" spans="1:62" s="431" customFormat="1" ht="10.5">
      <c r="A1172" s="728" t="s">
        <v>7238</v>
      </c>
      <c r="B1172" s="439" t="s">
        <v>111</v>
      </c>
      <c r="C1172" s="439" t="str">
        <f>IFERROR(LEFT(PV_DATA[[#This Row],[TCL REFERENCE]],FIND(".",PV_DATA[[#This Row],[TCL REFERENCE]],1)-1),"Main Line")</f>
        <v>26Aug001</v>
      </c>
      <c r="D1172" s="439" t="s">
        <v>63</v>
      </c>
      <c r="E1172" s="439" t="s">
        <v>64</v>
      </c>
      <c r="F1172" s="439" t="str" cm="1">
        <f t="array" ref="F11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2" s="439" t="s">
        <v>402</v>
      </c>
      <c r="H1172" s="439" t="s">
        <v>67</v>
      </c>
      <c r="I1172" s="439" t="s">
        <v>689</v>
      </c>
      <c r="J1172" s="431" t="s">
        <v>96</v>
      </c>
      <c r="M1172" s="431" t="s">
        <v>68</v>
      </c>
      <c r="N1172" s="461">
        <v>46215</v>
      </c>
      <c r="O1172" s="431" t="s">
        <v>550</v>
      </c>
      <c r="P1172" s="431" t="s">
        <v>551</v>
      </c>
      <c r="Q1172" s="431" t="s">
        <v>2151</v>
      </c>
      <c r="R1172" s="430" t="str">
        <f>_xlfn.XLOOKUP(PV_DATA[[#This Row],[New Ark SKU]],Table9[New Ark SKU],Table9[Connector],,0)</f>
        <v>EVO2A</v>
      </c>
      <c r="S1172" s="433" t="str">
        <f>_xlfn.XLOOKUP(PV_DATA[[#This Row],[New Ark SKU]],Table9[New Ark SKU],Table9[Cable],,0)</f>
        <v>±1350mm</v>
      </c>
      <c r="T1172" s="442">
        <v>510</v>
      </c>
      <c r="U1172" s="1093">
        <v>792</v>
      </c>
      <c r="V1172" s="444">
        <f>PV_DATA[[#This Row],[QUANTITY]]*PV_DATA[[#This Row],[WATT]]/1000000</f>
        <v>0.40392</v>
      </c>
      <c r="W1172" s="466">
        <f>PV_DATA[[#This Row],[QUANTITY]]/PV_DATA[[#This Row],[Qty/Pallet]]</f>
        <v>22</v>
      </c>
      <c r="X1172" s="1044">
        <f>PV_DATA[[#This Row],[QUANTITY]]/PV_DATA[[#This Row],[Qty/CT]]</f>
        <v>1</v>
      </c>
      <c r="Y1172" s="431" t="s">
        <v>2465</v>
      </c>
      <c r="Z1172" s="431" t="str">
        <f t="shared" si="27"/>
        <v/>
      </c>
      <c r="AA1172" s="661">
        <v>46288</v>
      </c>
      <c r="AB1172" s="441"/>
      <c r="AC1172" s="467" t="str">
        <f>IF(PV_DATA[[#This Row],[Pick- Up Date]]&lt;&gt;"",_xlfn.ISOWEEKNUM(PV_DATA[[#This Row],[Pick- Up Date]]),"")</f>
        <v/>
      </c>
      <c r="AF1172" s="431" t="s">
        <v>5994</v>
      </c>
      <c r="AG1172" s="431" t="s">
        <v>5994</v>
      </c>
      <c r="AH1172" s="431" t="s">
        <v>314</v>
      </c>
      <c r="AI1172" s="441">
        <v>46312</v>
      </c>
      <c r="AJ1172" s="441"/>
      <c r="AK1172" s="441"/>
      <c r="AL1172" s="441">
        <v>46358</v>
      </c>
      <c r="AM1172" s="1309"/>
      <c r="AN1172" s="441"/>
      <c r="AP1172" s="431" t="s">
        <v>7147</v>
      </c>
      <c r="AQ1172" s="430" t="s">
        <v>80</v>
      </c>
      <c r="AR1172" s="431" t="s">
        <v>7239</v>
      </c>
      <c r="AS1172" s="431" t="s">
        <v>7240</v>
      </c>
      <c r="AT1172" s="431" t="s">
        <v>7240</v>
      </c>
      <c r="AU11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1172" s="441"/>
      <c r="AW1172" s="441" cm="1">
        <f t="array" ref="AW11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7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441">
        <f>IF(ISERROR(PV_DATA[[#This Row],[New Ark PO status]]),"",_xlfn.XLOOKUP(PV_DATA[[#This Row],[SPTN-PVHK New Ark PO'#]],New_Ark_Data[Purchase order Number],New_Ark_Data[Estimated time of arrival],"",0))</f>
        <v>0</v>
      </c>
      <c r="AZ117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72" s="441">
        <f>IFERROR(PV_DATA[[#This Row],[ODP ETA Port]]+PV_DATA[[#This Row],[Customs/Leg3 Assumption]],"n/a")</f>
        <v>46368</v>
      </c>
      <c r="BB1172" s="442">
        <f>YEAR(PV_DATA[[#This Row],[ETA for New Ark update]])</f>
        <v>2026</v>
      </c>
      <c r="BC1172" s="431">
        <f>MONTH(PV_DATA[[#This Row],[ETA for New Ark update]])</f>
        <v>12</v>
      </c>
      <c r="BD1172" s="431">
        <f>IFERROR(_xlfn.ISOWEEKNUM(PV_DATA[[#This Row],[ETA for New Ark update]]),0)</f>
        <v>50</v>
      </c>
      <c r="BE1172" s="431">
        <f>_xlfn.XLOOKUP(PV_DATA[[#This Row],[New Ark SKU]],Table9[New Ark SKU],Table9[Total PCS per Pallet],,0)</f>
        <v>36</v>
      </c>
      <c r="BF1172" s="431">
        <f>_xlfn.XLOOKUP(PV_DATA[[#This Row],[New Ark SKU]],Table9[New Ark SKU],Table9[Total PCS per 40HQ Container],,0)</f>
        <v>792</v>
      </c>
      <c r="BG1172" s="431" t="str">
        <f>_xlfn.XLOOKUP(PV_DATA[[#This Row],[New Ark SKU]],Table9[New Ark SKU],Table9[Back Glass],,0)</f>
        <v>Black glazing</v>
      </c>
      <c r="BH1172" s="431" t="str">
        <f>_xlfn.XLOOKUP(PV_DATA[[#This Row],[PORT DESTINATION]],Table12[PORT DESTINATION],Table12[Cosco Line],,0)</f>
        <v>AEM</v>
      </c>
    </row>
    <row r="1173" spans="1:62" s="431" customFormat="1" ht="10.5">
      <c r="A1173" s="439" t="s">
        <v>5066</v>
      </c>
      <c r="B1173" s="439" t="s">
        <v>111</v>
      </c>
      <c r="C1173" s="439" t="str">
        <f>IFERROR(LEFT(PV_DATA[[#This Row],[TCL REFERENCE]],FIND(".",PV_DATA[[#This Row],[TCL REFERENCE]],1)-1),"Main Line")</f>
        <v>Main Line</v>
      </c>
      <c r="D1173" s="439" t="s">
        <v>63</v>
      </c>
      <c r="E1173" s="439" t="s">
        <v>68</v>
      </c>
      <c r="F1173" s="439" t="str" cm="1">
        <f t="array" ref="F117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3" s="439" t="s">
        <v>68</v>
      </c>
      <c r="H1173" s="439" t="s">
        <v>68</v>
      </c>
      <c r="I1173" s="439" t="s">
        <v>68</v>
      </c>
      <c r="J1173" s="431" t="s">
        <v>68</v>
      </c>
      <c r="M1173" s="430" t="s">
        <v>6315</v>
      </c>
      <c r="N1173" s="461">
        <v>46167</v>
      </c>
      <c r="O1173" s="431" t="s">
        <v>4531</v>
      </c>
      <c r="P1173" s="431" t="s">
        <v>4592</v>
      </c>
      <c r="Q1173" s="431" t="s">
        <v>330</v>
      </c>
      <c r="R1173" s="430" t="str">
        <f>_xlfn.XLOOKUP(PV_DATA[[#This Row],[New Ark SKU]],Table9[New Ark SKU],Table9[Connector],,0)</f>
        <v>H4(Com)</v>
      </c>
      <c r="S1173" s="433" t="str">
        <f>_xlfn.XLOOKUP(PV_DATA[[#This Row],[New Ark SKU]],Table9[New Ark SKU],Table9[Cable],,0)</f>
        <v>+400mm/-200mm</v>
      </c>
      <c r="T1173" s="442">
        <v>625</v>
      </c>
      <c r="U1173" s="1093" cm="1">
        <f t="array" ref="U1173">56160-fx_qty</f>
        <v>0</v>
      </c>
      <c r="V1173" s="444">
        <f>PV_DATA[[#This Row],[QUANTITY]]*PV_DATA[[#This Row],[WATT]]/1000000</f>
        <v>0</v>
      </c>
      <c r="W1173" s="466">
        <f>PV_DATA[[#This Row],[QUANTITY]]/PV_DATA[[#This Row],[Qty/Pallet]]</f>
        <v>0</v>
      </c>
      <c r="X1173" s="1044">
        <f>PV_DATA[[#This Row],[QUANTITY]]/PV_DATA[[#This Row],[Qty/CT]]</f>
        <v>0</v>
      </c>
      <c r="Y1173" s="431" t="s">
        <v>7027</v>
      </c>
      <c r="Z1173" s="431" t="str">
        <f t="shared" si="27"/>
        <v/>
      </c>
      <c r="AB1173" s="441"/>
      <c r="AC1173" s="467" t="str">
        <f>IF(PV_DATA[[#This Row],[Pick- Up Date]]&lt;&gt;"",_xlfn.ISOWEEKNUM(PV_DATA[[#This Row],[Pick- Up Date]]),"")</f>
        <v/>
      </c>
      <c r="AF1173" s="431" t="s">
        <v>122</v>
      </c>
      <c r="AG1173" s="431" t="s">
        <v>123</v>
      </c>
      <c r="AH1173" s="431" t="s">
        <v>68</v>
      </c>
      <c r="AI1173" s="441"/>
      <c r="AJ1173" s="441"/>
      <c r="AK1173" s="437" t="str">
        <f>IFERROR(IF(VLOOKUP(AT1173,Vessel!A:F,5,FALSE)=0,"",VLOOKUP(AT1173,Vessel!A:F,5,FALSE)),"")</f>
        <v/>
      </c>
      <c r="AL1173" s="441"/>
      <c r="AM1173" s="441"/>
      <c r="AN1173" s="586" t="str">
        <f>IFERROR(IF(VLOOKUP(AT1173,Vessel!A:I,9,FALSE)=0,"",VLOOKUP(AT1173,Vessel!A:I,9,FALSE)),"")</f>
        <v/>
      </c>
      <c r="AU11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3" s="441"/>
      <c r="AW1173" s="441" t="str" cm="1">
        <f t="array" ref="AW11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441">
        <f>IF(ISERROR(PV_DATA[[#This Row],[New Ark PO status]]),"",_xlfn.XLOOKUP(PV_DATA[[#This Row],[SPTN-PVHK New Ark PO'#]],New_Ark_Data[Purchase order Number],New_Ark_Data[Estimated time of arrival],"",0))</f>
        <v>0</v>
      </c>
      <c r="AZ117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3" s="441" t="str">
        <f>IFERROR(PV_DATA[[#This Row],[ODP ETA Port]]+PV_DATA[[#This Row],[Customs/Leg3 Assumption]],"n/a")</f>
        <v>n/a</v>
      </c>
      <c r="BB1173" s="442" t="e">
        <f>YEAR(PV_DATA[[#This Row],[ETA for New Ark update]])</f>
        <v>#VALUE!</v>
      </c>
      <c r="BC1173" s="431" t="e">
        <f>MONTH(PV_DATA[[#This Row],[ETA for New Ark update]])</f>
        <v>#VALUE!</v>
      </c>
      <c r="BD1173" s="431">
        <f>IFERROR(_xlfn.ISOWEEKNUM(PV_DATA[[#This Row],[ETA for New Ark update]]),0)</f>
        <v>0</v>
      </c>
      <c r="BE1173" s="431">
        <f>_xlfn.XLOOKUP(PV_DATA[[#This Row],[New Ark SKU]],Table9[New Ark SKU],Table9[Total PCS per Pallet],,0)</f>
        <v>36</v>
      </c>
      <c r="BF1173" s="431">
        <f>_xlfn.XLOOKUP(PV_DATA[[#This Row],[New Ark SKU]],Table9[New Ark SKU],Table9[Total PCS per 40HQ Container],,0)</f>
        <v>720</v>
      </c>
      <c r="BG1173" s="431" t="str">
        <f>_xlfn.XLOOKUP(PV_DATA[[#This Row],[New Ark SKU]],Table9[New Ark SKU],Table9[Back Glass],,0)</f>
        <v>Transparent</v>
      </c>
      <c r="BH1173" s="431" t="str">
        <f>_xlfn.XLOOKUP(PV_DATA[[#This Row],[PORT DESTINATION]],Table12[PORT DESTINATION],Table12[Cosco Line],,0)</f>
        <v>n/a</v>
      </c>
    </row>
    <row r="1174" spans="1:62" s="431" customFormat="1" ht="10.5">
      <c r="A1174" s="439" t="s">
        <v>7241</v>
      </c>
      <c r="B1174" s="439" t="s">
        <v>111</v>
      </c>
      <c r="C1174" s="439" t="str">
        <f>IFERROR(LEFT(PV_DATA[[#This Row],[TCL REFERENCE]],FIND(".",PV_DATA[[#This Row],[TCL REFERENCE]],1)-1),"Main Line")</f>
        <v>Main Line</v>
      </c>
      <c r="D1174" s="439" t="s">
        <v>63</v>
      </c>
      <c r="E1174" s="439" t="s">
        <v>68</v>
      </c>
      <c r="F1174" s="439" t="str" cm="1">
        <f t="array" ref="F117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4" s="439" t="s">
        <v>68</v>
      </c>
      <c r="H1174" s="439" t="s">
        <v>68</v>
      </c>
      <c r="I1174" s="439" t="s">
        <v>68</v>
      </c>
      <c r="J1174" s="431" t="s">
        <v>68</v>
      </c>
      <c r="M1174" s="430" t="s">
        <v>6315</v>
      </c>
      <c r="N1174" s="461">
        <v>46167</v>
      </c>
      <c r="O1174" s="431" t="s">
        <v>4531</v>
      </c>
      <c r="P1174" s="431" t="s">
        <v>4597</v>
      </c>
      <c r="Q1174" s="431" t="s">
        <v>4598</v>
      </c>
      <c r="R1174" s="430" t="str">
        <f>_xlfn.XLOOKUP(PV_DATA[[#This Row],[New Ark SKU]],Table9[New Ark SKU],Table9[Connector],,0)</f>
        <v>H4(Com)</v>
      </c>
      <c r="S1174" s="433" t="str">
        <f>_xlfn.XLOOKUP(PV_DATA[[#This Row],[New Ark SKU]],Table9[New Ark SKU],Table9[Cable],,0)</f>
        <v>+400mm/-200mm</v>
      </c>
      <c r="T1174" s="442">
        <v>630</v>
      </c>
      <c r="U1174" s="1093" cm="1">
        <f t="array" ref="U1174">56160-fx_qty</f>
        <v>0</v>
      </c>
      <c r="V1174" s="448">
        <f>PV_DATA[[#This Row],[QUANTITY]]*PV_DATA[[#This Row],[WATT]]/1000000</f>
        <v>0</v>
      </c>
      <c r="W1174" s="466">
        <f>PV_DATA[[#This Row],[QUANTITY]]/PV_DATA[[#This Row],[Qty/Pallet]]</f>
        <v>0</v>
      </c>
      <c r="X1174" s="1044">
        <f>PV_DATA[[#This Row],[QUANTITY]]/PV_DATA[[#This Row],[Qty/CT]]</f>
        <v>0</v>
      </c>
      <c r="Y1174" s="431" t="s">
        <v>7027</v>
      </c>
      <c r="Z1174" s="431" t="str">
        <f t="shared" si="27"/>
        <v/>
      </c>
      <c r="AB1174" s="441"/>
      <c r="AC1174" s="467" t="str">
        <f>IF(PV_DATA[[#This Row],[Pick- Up Date]]&lt;&gt;"",_xlfn.ISOWEEKNUM(PV_DATA[[#This Row],[Pick- Up Date]]),"")</f>
        <v/>
      </c>
      <c r="AF1174" s="431" t="s">
        <v>122</v>
      </c>
      <c r="AG1174" s="431" t="s">
        <v>123</v>
      </c>
      <c r="AH1174" s="431" t="s">
        <v>68</v>
      </c>
      <c r="AI1174" s="441"/>
      <c r="AJ1174" s="441"/>
      <c r="AK1174" s="437" t="str">
        <f>IFERROR(IF(VLOOKUP(AT1174,Vessel!A:F,5,FALSE)=0,"",VLOOKUP(AT1174,Vessel!A:F,5,FALSE)),"")</f>
        <v/>
      </c>
      <c r="AL1174" s="441"/>
      <c r="AM1174" s="441"/>
      <c r="AN1174" s="586" t="str">
        <f>IFERROR(IF(VLOOKUP(AT1174,Vessel!A:I,9,FALSE)=0,"",VLOOKUP(AT1174,Vessel!A:I,9,FALSE)),"")</f>
        <v/>
      </c>
      <c r="AU11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4" s="441"/>
      <c r="AW1174" s="441" t="str" cm="1">
        <f t="array" ref="AW11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441">
        <f>IF(ISERROR(PV_DATA[[#This Row],[New Ark PO status]]),"",_xlfn.XLOOKUP(PV_DATA[[#This Row],[SPTN-PVHK New Ark PO'#]],New_Ark_Data[Purchase order Number],New_Ark_Data[Estimated time of arrival],"",0))</f>
        <v>0</v>
      </c>
      <c r="AZ117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4" s="441" t="str">
        <f>IFERROR(PV_DATA[[#This Row],[ODP ETA Port]]+PV_DATA[[#This Row],[Customs/Leg3 Assumption]],"n/a")</f>
        <v>n/a</v>
      </c>
      <c r="BB1174" s="442" t="e">
        <f>YEAR(PV_DATA[[#This Row],[ETA for New Ark update]])</f>
        <v>#VALUE!</v>
      </c>
      <c r="BC1174" s="431" t="e">
        <f>MONTH(PV_DATA[[#This Row],[ETA for New Ark update]])</f>
        <v>#VALUE!</v>
      </c>
      <c r="BD1174" s="431">
        <f>IFERROR(_xlfn.ISOWEEKNUM(PV_DATA[[#This Row],[ETA for New Ark update]]),0)</f>
        <v>0</v>
      </c>
      <c r="BE1174" s="431">
        <f>_xlfn.XLOOKUP(PV_DATA[[#This Row],[New Ark SKU]],Table9[New Ark SKU],Table9[Total PCS per Pallet],,0)</f>
        <v>36</v>
      </c>
      <c r="BF1174" s="431">
        <f>_xlfn.XLOOKUP(PV_DATA[[#This Row],[New Ark SKU]],Table9[New Ark SKU],Table9[Total PCS per 40HQ Container],,0)</f>
        <v>720</v>
      </c>
      <c r="BG1174" s="431" t="str">
        <f>_xlfn.XLOOKUP(PV_DATA[[#This Row],[New Ark SKU]],Table9[New Ark SKU],Table9[Back Glass],,0)</f>
        <v>Transparent</v>
      </c>
      <c r="BH1174" s="431" t="str">
        <f>_xlfn.XLOOKUP(PV_DATA[[#This Row],[PORT DESTINATION]],Table12[PORT DESTINATION],Table12[Cosco Line],,0)</f>
        <v>n/a</v>
      </c>
    </row>
    <row r="1175" spans="1:62" s="431" customFormat="1" ht="12.5">
      <c r="A1175" s="439" t="s">
        <v>5173</v>
      </c>
      <c r="B1175" s="439" t="s">
        <v>111</v>
      </c>
      <c r="C1175" s="439" t="str">
        <f>IFERROR(LEFT(PV_DATA[[#This Row],[TCL REFERENCE]],FIND(".",PV_DATA[[#This Row],[TCL REFERENCE]],1)-1),"Main Line")</f>
        <v>Main Line</v>
      </c>
      <c r="D1175" s="439" t="s">
        <v>63</v>
      </c>
      <c r="E1175" s="439" t="s">
        <v>68</v>
      </c>
      <c r="F1175" s="439" t="str" cm="1">
        <f t="array" ref="F117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5" s="439" t="s">
        <v>68</v>
      </c>
      <c r="H1175" s="719" t="s">
        <v>68</v>
      </c>
      <c r="I1175" s="439" t="s">
        <v>68</v>
      </c>
      <c r="J1175" s="431" t="s">
        <v>68</v>
      </c>
      <c r="M1175" s="430" t="s">
        <v>6315</v>
      </c>
      <c r="N1175" s="461" t="s">
        <v>68</v>
      </c>
      <c r="O1175" s="431" t="s">
        <v>4531</v>
      </c>
      <c r="P1175" s="431" t="s">
        <v>5041</v>
      </c>
      <c r="Q1175" s="431" t="s">
        <v>1807</v>
      </c>
      <c r="R1175" s="430" t="str">
        <f>_xlfn.XLOOKUP(PV_DATA[[#This Row],[New Ark SKU]],Table9[New Ark SKU],Table9[Connector],,0)</f>
        <v>H4(Com)</v>
      </c>
      <c r="S1175" s="433" t="str">
        <f>_xlfn.XLOOKUP(PV_DATA[[#This Row],[New Ark SKU]],Table9[New Ark SKU],Table9[Cable],,0)</f>
        <v>+400mm/-200mm</v>
      </c>
      <c r="T1175" s="442">
        <v>720</v>
      </c>
      <c r="U1175" s="1093" cm="1">
        <f t="array" ref="U1175">35046-fx_qty</f>
        <v>0</v>
      </c>
      <c r="V1175" s="444">
        <f>PV_DATA[[#This Row],[QUANTITY]]*PV_DATA[[#This Row],[WATT]]/1000000</f>
        <v>0</v>
      </c>
      <c r="W1175" s="466">
        <f>PV_DATA[[#This Row],[QUANTITY]]/PV_DATA[[#This Row],[Qty/Pallet]]</f>
        <v>0</v>
      </c>
      <c r="X1175" s="1044">
        <f>PV_DATA[[#This Row],[QUANTITY]]/PV_DATA[[#This Row],[Qty/CT]]</f>
        <v>0</v>
      </c>
      <c r="Y1175" s="431" t="s">
        <v>7027</v>
      </c>
      <c r="Z1175" s="431" t="str">
        <f t="shared" si="27"/>
        <v/>
      </c>
      <c r="AA1175" s="1281"/>
      <c r="AB1175" s="441"/>
      <c r="AC1175" s="467" t="str">
        <f>IF(PV_DATA[[#This Row],[Pick- Up Date]]&lt;&gt;"",_xlfn.ISOWEEKNUM(PV_DATA[[#This Row],[Pick- Up Date]]),"")</f>
        <v/>
      </c>
      <c r="AD1175" s="466"/>
      <c r="AE1175" s="466"/>
      <c r="AF1175" s="431" t="s">
        <v>122</v>
      </c>
      <c r="AG1175" s="431" t="s">
        <v>123</v>
      </c>
      <c r="AH1175" s="431" t="s">
        <v>68</v>
      </c>
      <c r="AI1175" s="441"/>
      <c r="AJ1175" s="441"/>
      <c r="AK1175" s="437" t="str">
        <f>IFERROR(IF(VLOOKUP(AT1175,Vessel!A:F,5,FALSE)=0,"",VLOOKUP(AT1175,Vessel!A:F,5,FALSE)),"")</f>
        <v/>
      </c>
      <c r="AL1175" s="441"/>
      <c r="AM1175" s="441"/>
      <c r="AN1175" s="586" t="str">
        <f>IFERROR(IF(VLOOKUP(AT1175,Vessel!A:I,9,FALSE)=0,"",VLOOKUP(AT1175,Vessel!A:I,9,FALSE)),"")</f>
        <v/>
      </c>
      <c r="AU11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5" s="441"/>
      <c r="AW1175" s="441" t="str" cm="1">
        <f t="array" ref="AW11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441">
        <f>IF(ISERROR(PV_DATA[[#This Row],[New Ark PO status]]),"",_xlfn.XLOOKUP(PV_DATA[[#This Row],[SPTN-PVHK New Ark PO'#]],New_Ark_Data[Purchase order Number],New_Ark_Data[Estimated time of arrival],"",0))</f>
        <v>0</v>
      </c>
      <c r="AZ117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5" s="441" t="str">
        <f>IFERROR(PV_DATA[[#This Row],[ODP ETA Port]]+PV_DATA[[#This Row],[Customs/Leg3 Assumption]],"n/a")</f>
        <v>n/a</v>
      </c>
      <c r="BB1175" s="442" t="e">
        <f>YEAR(PV_DATA[[#This Row],[ETA for New Ark update]])</f>
        <v>#VALUE!</v>
      </c>
      <c r="BC1175" s="431" t="e">
        <f>MONTH(PV_DATA[[#This Row],[ETA for New Ark update]])</f>
        <v>#VALUE!</v>
      </c>
      <c r="BD1175" s="431">
        <f>IFERROR(_xlfn.ISOWEEKNUM(PV_DATA[[#This Row],[ETA for New Ark update]]),0)</f>
        <v>0</v>
      </c>
      <c r="BE1175" s="431">
        <f>_xlfn.XLOOKUP(PV_DATA[[#This Row],[New Ark SKU]],Table9[New Ark SKU],Table9[Total PCS per Pallet],,0)</f>
        <v>33</v>
      </c>
      <c r="BF1175" s="431">
        <f>_xlfn.XLOOKUP(PV_DATA[[#This Row],[New Ark SKU]],Table9[New Ark SKU],Table9[Total PCS per 40HQ Container],,0)</f>
        <v>594</v>
      </c>
      <c r="BG1175" s="431" t="str">
        <f>_xlfn.XLOOKUP(PV_DATA[[#This Row],[New Ark SKU]],Table9[New Ark SKU],Table9[Back Glass],,0)</f>
        <v>Transparent</v>
      </c>
      <c r="BH1175" s="431" t="str">
        <f>_xlfn.XLOOKUP(PV_DATA[[#This Row],[PORT DESTINATION]],Table12[PORT DESTINATION],Table12[Cosco Line],,0)</f>
        <v>n/a</v>
      </c>
    </row>
    <row r="1176" spans="1:62" ht="10.5">
      <c r="A1176" s="439" t="s">
        <v>1976</v>
      </c>
      <c r="B1176" s="439" t="s">
        <v>111</v>
      </c>
      <c r="C1176" s="439" t="str">
        <f>IFERROR(LEFT(PV_DATA[[#This Row],[TCL REFERENCE]],FIND(".",PV_DATA[[#This Row],[TCL REFERENCE]],1)-1),"Main Line")</f>
        <v>Main Line</v>
      </c>
      <c r="D1176" s="439" t="s">
        <v>63</v>
      </c>
      <c r="E1176" s="439" t="s">
        <v>68</v>
      </c>
      <c r="F1176" s="439" t="str" cm="1">
        <f t="array" ref="F117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6" s="439" t="s">
        <v>68</v>
      </c>
      <c r="H1176" s="439" t="s">
        <v>68</v>
      </c>
      <c r="I1176" s="439" t="s">
        <v>68</v>
      </c>
      <c r="J1176" s="431" t="s">
        <v>68</v>
      </c>
      <c r="K1176" s="431"/>
      <c r="L1176" s="431"/>
      <c r="M1176" s="430" t="s">
        <v>6315</v>
      </c>
      <c r="N1176" s="461">
        <v>46111</v>
      </c>
      <c r="O1176" s="431" t="s">
        <v>170</v>
      </c>
      <c r="P1176" s="431" t="s">
        <v>1977</v>
      </c>
      <c r="Q1176" s="431" t="s">
        <v>1978</v>
      </c>
      <c r="R1176" s="430" t="str">
        <f>_xlfn.XLOOKUP(PV_DATA[[#This Row],[New Ark SKU]],Table9[New Ark SKU],Table9[Connector],,0)</f>
        <v>EVO2A</v>
      </c>
      <c r="S1176" s="433" t="str">
        <f>_xlfn.XLOOKUP(PV_DATA[[#This Row],[New Ark SKU]],Table9[New Ark SKU],Table9[Cable],,0)</f>
        <v>±1400mm</v>
      </c>
      <c r="T1176" s="442">
        <v>560</v>
      </c>
      <c r="U1176" s="1093" cm="1">
        <f t="array" ref="U1176">13827-fx_qty</f>
        <v>0</v>
      </c>
      <c r="V1176" s="434">
        <f>PV_DATA[[#This Row],[QUANTITY]]*PV_DATA[[#This Row],[WATT]]/1000000</f>
        <v>0</v>
      </c>
      <c r="W1176" s="435">
        <f>PV_DATA[[#This Row],[QUANTITY]]/PV_DATA[[#This Row],[Qty/Pallet]]</f>
        <v>0</v>
      </c>
      <c r="X1176" s="1040">
        <f>PV_DATA[[#This Row],[QUANTITY]]/PV_DATA[[#This Row],[Qty/CT]]</f>
        <v>0</v>
      </c>
      <c r="Y1176" s="431" t="s">
        <v>7027</v>
      </c>
      <c r="Z1176" s="430" t="str">
        <f t="shared" si="27"/>
        <v/>
      </c>
      <c r="AA1176" s="431"/>
      <c r="AB1176" s="441"/>
      <c r="AC1176" s="445" t="str">
        <f>IF(PV_DATA[[#This Row],[Pick- Up Date]]&lt;&gt;"",_xlfn.ISOWEEKNUM(PV_DATA[[#This Row],[Pick- Up Date]]),"")</f>
        <v/>
      </c>
      <c r="AD1176" s="431"/>
      <c r="AE1176" s="431"/>
      <c r="AF1176" s="431" t="s">
        <v>122</v>
      </c>
      <c r="AG1176" s="431" t="s">
        <v>123</v>
      </c>
      <c r="AH1176" s="431" t="s">
        <v>68</v>
      </c>
      <c r="AI1176" s="441"/>
      <c r="AJ1176" s="441"/>
      <c r="AK1176" s="437" t="str">
        <f>IFERROR(IF(VLOOKUP(AT1176,Vessel!A:F,5,FALSE)=0,"",VLOOKUP(AT1176,Vessel!A:F,5,FALSE)),"")</f>
        <v/>
      </c>
      <c r="AL1176" s="441"/>
      <c r="AM1176" s="441"/>
      <c r="AN1176" s="586" t="str">
        <f>IFERROR(IF(VLOOKUP(AT1176,Vessel!A:I,9,FALSE)=0,"",VLOOKUP(AT1176,Vessel!A:I,9,FALSE)),"")</f>
        <v/>
      </c>
      <c r="AO1176" s="431"/>
      <c r="AP1176" s="431"/>
      <c r="AQ1176" s="431"/>
      <c r="AR1176" s="431"/>
      <c r="AS1176" s="431"/>
      <c r="AT1176" s="431"/>
      <c r="AU11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6" s="431"/>
      <c r="AW1176" s="441" t="str" cm="1">
        <f t="array" ref="AW11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441">
        <f>IF(ISERROR(PV_DATA[[#This Row],[New Ark PO status]]),"",_xlfn.XLOOKUP(PV_DATA[[#This Row],[SPTN-PVHK New Ark PO'#]],New_Ark_Data[Purchase order Number],New_Ark_Data[Estimated time of arrival],"",0))</f>
        <v>0</v>
      </c>
      <c r="AZ117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6" s="437" t="str">
        <f>IFERROR(PV_DATA[[#This Row],[ODP ETA Port]]+PV_DATA[[#This Row],[Customs/Leg3 Assumption]],"n/a")</f>
        <v>n/a</v>
      </c>
      <c r="BB1176" s="442" t="e">
        <f>YEAR(PV_DATA[[#This Row],[ETA for New Ark update]])</f>
        <v>#VALUE!</v>
      </c>
      <c r="BC1176" s="431" t="e">
        <f>MONTH(PV_DATA[[#This Row],[ETA for New Ark update]])</f>
        <v>#VALUE!</v>
      </c>
      <c r="BD1176" s="431">
        <f>IFERROR(_xlfn.ISOWEEKNUM(PV_DATA[[#This Row],[ETA for New Ark update]]),0)</f>
        <v>0</v>
      </c>
      <c r="BE1176" s="431">
        <f>_xlfn.XLOOKUP(PV_DATA[[#This Row],[New Ark SKU]],Table9[New Ark SKU],Table9[Total PCS per Pallet],,0)</f>
        <v>33</v>
      </c>
      <c r="BF1176" s="431">
        <f>_xlfn.XLOOKUP(PV_DATA[[#This Row],[New Ark SKU]],Table9[New Ark SKU],Table9[Total PCS per 40HQ Container],,0)</f>
        <v>660</v>
      </c>
      <c r="BG1176" s="431" t="str">
        <f>_xlfn.XLOOKUP(PV_DATA[[#This Row],[New Ark SKU]],Table9[New Ark SKU],Table9[Back Glass],,0)</f>
        <v>White glazing</v>
      </c>
      <c r="BH1176" s="431" t="str">
        <f>_xlfn.XLOOKUP(PV_DATA[[#This Row],[PORT DESTINATION]],Table12[PORT DESTINATION],Table12[Cosco Line],,0)</f>
        <v>n/a</v>
      </c>
      <c r="BJ1176" s="430"/>
    </row>
    <row r="1177" spans="1:62" ht="10.5">
      <c r="A1177" s="439" t="s">
        <v>7242</v>
      </c>
      <c r="B1177" s="439" t="s">
        <v>2132</v>
      </c>
      <c r="C1177" s="439" t="str">
        <f>IFERROR(LEFT(PV_DATA[[#This Row],[TCL REFERENCE]],FIND(".",PV_DATA[[#This Row],[TCL REFERENCE]],1)-1),"Main Line")</f>
        <v>Main Line</v>
      </c>
      <c r="D1177" s="439" t="s">
        <v>63</v>
      </c>
      <c r="E1177" s="439" t="s">
        <v>68</v>
      </c>
      <c r="F1177" s="439" t="str" cm="1">
        <f t="array" ref="F117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7" s="439" t="s">
        <v>68</v>
      </c>
      <c r="H1177" s="439" t="s">
        <v>68</v>
      </c>
      <c r="I1177" s="439" t="s">
        <v>68</v>
      </c>
      <c r="J1177" s="431" t="s">
        <v>68</v>
      </c>
      <c r="K1177" s="431"/>
      <c r="L1177" s="431"/>
      <c r="M1177" s="430" t="s">
        <v>6315</v>
      </c>
      <c r="N1177" s="461">
        <v>46146</v>
      </c>
      <c r="O1177" s="431" t="s">
        <v>170</v>
      </c>
      <c r="P1177" s="430" t="s">
        <v>171</v>
      </c>
      <c r="Q1177" s="431" t="s">
        <v>1731</v>
      </c>
      <c r="R1177" s="430" t="str">
        <f>_xlfn.XLOOKUP(PV_DATA[[#This Row],[New Ark SKU]],Table9[New Ark SKU],Table9[Connector],,0)</f>
        <v>EVO2A</v>
      </c>
      <c r="S1177" s="433" t="str">
        <f>_xlfn.XLOOKUP(PV_DATA[[#This Row],[New Ark SKU]],Table9[New Ark SKU],Table9[Cable],,0)</f>
        <v>±1400mm</v>
      </c>
      <c r="T1177" s="442">
        <v>555</v>
      </c>
      <c r="U1177" s="1093" cm="1">
        <f t="array" ref="U1177">9900-fx_qty</f>
        <v>0</v>
      </c>
      <c r="V1177" s="434">
        <f>PV_DATA[[#This Row],[QUANTITY]]*PV_DATA[[#This Row],[WATT]]/1000000</f>
        <v>0</v>
      </c>
      <c r="W1177" s="435">
        <f>PV_DATA[[#This Row],[QUANTITY]]/PV_DATA[[#This Row],[Qty/Pallet]]</f>
        <v>0</v>
      </c>
      <c r="X1177" s="1040">
        <f>PV_DATA[[#This Row],[QUANTITY]]/PV_DATA[[#This Row],[Qty/CT]]</f>
        <v>0</v>
      </c>
      <c r="Y1177" s="431" t="s">
        <v>7027</v>
      </c>
      <c r="Z1177" s="430" t="str">
        <f t="shared" si="27"/>
        <v/>
      </c>
      <c r="AA1177" s="431"/>
      <c r="AB1177" s="441"/>
      <c r="AC1177" s="467" t="str">
        <f>IF(PV_DATA[[#This Row],[Pick- Up Date]]&lt;&gt;"",_xlfn.ISOWEEKNUM(PV_DATA[[#This Row],[Pick- Up Date]]),"")</f>
        <v/>
      </c>
      <c r="AD1177" s="431"/>
      <c r="AE1177" s="431"/>
      <c r="AF1177" s="431" t="s">
        <v>123</v>
      </c>
      <c r="AG1177" s="431" t="s">
        <v>123</v>
      </c>
      <c r="AH1177" s="431" t="s">
        <v>68</v>
      </c>
      <c r="AI1177" s="441"/>
      <c r="AJ1177" s="441"/>
      <c r="AK1177" s="437" t="str">
        <f>IFERROR(IF(VLOOKUP(AT1177,Vessel!A:F,5,FALSE)=0,"",VLOOKUP(AT1177,Vessel!A:F,5,FALSE)),"")</f>
        <v/>
      </c>
      <c r="AL1177" s="441"/>
      <c r="AM1177" s="441"/>
      <c r="AN1177" s="586" t="str">
        <f>IFERROR(IF(VLOOKUP(AT1177,Vessel!A:I,9,FALSE)=0,"",VLOOKUP(AT1177,Vessel!A:I,9,FALSE)),"")</f>
        <v/>
      </c>
      <c r="AO1177" s="431"/>
      <c r="AP1177" s="431"/>
      <c r="AQ1177" s="431"/>
      <c r="AR1177" s="431"/>
      <c r="AS1177" s="431"/>
      <c r="AT1177" s="431"/>
      <c r="AU11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7" s="441"/>
      <c r="AW1177" s="441" t="str" cm="1">
        <f t="array" ref="AW11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441">
        <f>IF(ISERROR(PV_DATA[[#This Row],[New Ark PO status]]),"",_xlfn.XLOOKUP(PV_DATA[[#This Row],[SPTN-PVHK New Ark PO'#]],New_Ark_Data[Purchase order Number],New_Ark_Data[Estimated time of arrival],"",0))</f>
        <v>0</v>
      </c>
      <c r="AZ117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7" s="437" t="str">
        <f>IFERROR(PV_DATA[[#This Row],[ODP ETA Port]]+PV_DATA[[#This Row],[Customs/Leg3 Assumption]],"n/a")</f>
        <v>n/a</v>
      </c>
      <c r="BB1177" s="442" t="e">
        <f>YEAR(PV_DATA[[#This Row],[ETA for New Ark update]])</f>
        <v>#VALUE!</v>
      </c>
      <c r="BC1177" s="431" t="e">
        <f>MONTH(PV_DATA[[#This Row],[ETA for New Ark update]])</f>
        <v>#VALUE!</v>
      </c>
      <c r="BD1177" s="431">
        <f>IFERROR(_xlfn.ISOWEEKNUM(PV_DATA[[#This Row],[ETA for New Ark update]]),0)</f>
        <v>0</v>
      </c>
      <c r="BE1177" s="431">
        <f>_xlfn.XLOOKUP(PV_DATA[[#This Row],[New Ark SKU]],Table9[New Ark SKU],Table9[Total PCS per Pallet],,0)</f>
        <v>33</v>
      </c>
      <c r="BF1177" s="431">
        <f>_xlfn.XLOOKUP(PV_DATA[[#This Row],[New Ark SKU]],Table9[New Ark SKU],Table9[Total PCS per 40HQ Container],,0)</f>
        <v>660</v>
      </c>
      <c r="BG1177" s="431" t="str">
        <f>_xlfn.XLOOKUP(PV_DATA[[#This Row],[New Ark SKU]],Table9[New Ark SKU],Table9[Back Glass],,0)</f>
        <v>White glazing</v>
      </c>
      <c r="BH1177" s="431" t="str">
        <f>_xlfn.XLOOKUP(PV_DATA[[#This Row],[PORT DESTINATION]],Table12[PORT DESTINATION],Table12[Cosco Line],,0)</f>
        <v>n/a</v>
      </c>
      <c r="BJ1177" s="430"/>
    </row>
    <row r="1178" spans="1:62" ht="10.5">
      <c r="A1178" s="439" t="s">
        <v>2438</v>
      </c>
      <c r="B1178" s="439" t="s">
        <v>2132</v>
      </c>
      <c r="C1178" s="439" t="str">
        <f>IFERROR(LEFT(PV_DATA[[#This Row],[TCL REFERENCE]],FIND(".",PV_DATA[[#This Row],[TCL REFERENCE]],1)-1),"Main Line")</f>
        <v>Main Line</v>
      </c>
      <c r="D1178" s="439" t="s">
        <v>63</v>
      </c>
      <c r="E1178" s="439" t="s">
        <v>68</v>
      </c>
      <c r="F1178" s="439" t="str" cm="1">
        <f t="array" ref="F117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8" s="439" t="s">
        <v>68</v>
      </c>
      <c r="H1178" s="439" t="s">
        <v>68</v>
      </c>
      <c r="I1178" s="439" t="s">
        <v>68</v>
      </c>
      <c r="J1178" s="431" t="s">
        <v>68</v>
      </c>
      <c r="K1178" s="431"/>
      <c r="L1178" s="431"/>
      <c r="M1178" s="430" t="s">
        <v>6315</v>
      </c>
      <c r="N1178" s="461">
        <v>46146</v>
      </c>
      <c r="O1178" s="431" t="s">
        <v>170</v>
      </c>
      <c r="P1178" s="430" t="s">
        <v>1977</v>
      </c>
      <c r="Q1178" s="431" t="s">
        <v>1978</v>
      </c>
      <c r="R1178" s="430" t="str">
        <f>_xlfn.XLOOKUP(PV_DATA[[#This Row],[New Ark SKU]],Table9[New Ark SKU],Table9[Connector],,0)</f>
        <v>EVO2A</v>
      </c>
      <c r="S1178" s="433" t="str">
        <f>_xlfn.XLOOKUP(PV_DATA[[#This Row],[New Ark SKU]],Table9[New Ark SKU],Table9[Cable],,0)</f>
        <v>±1400mm</v>
      </c>
      <c r="T1178" s="442">
        <v>560</v>
      </c>
      <c r="U1178" s="1093" cm="1">
        <f t="array" ref="U1178">26400-fx_qty</f>
        <v>0</v>
      </c>
      <c r="V1178" s="434">
        <f>PV_DATA[[#This Row],[QUANTITY]]*PV_DATA[[#This Row],[WATT]]/1000000</f>
        <v>0</v>
      </c>
      <c r="W1178" s="435">
        <f>PV_DATA[[#This Row],[QUANTITY]]/PV_DATA[[#This Row],[Qty/Pallet]]</f>
        <v>0</v>
      </c>
      <c r="X1178" s="1040">
        <f>PV_DATA[[#This Row],[QUANTITY]]/PV_DATA[[#This Row],[Qty/CT]]</f>
        <v>0</v>
      </c>
      <c r="Y1178" s="431" t="s">
        <v>7027</v>
      </c>
      <c r="Z1178" s="430" t="str">
        <f t="shared" si="27"/>
        <v/>
      </c>
      <c r="AA1178" s="431"/>
      <c r="AB1178" s="441"/>
      <c r="AC1178" s="467" t="str">
        <f>IF(PV_DATA[[#This Row],[Pick- Up Date]]&lt;&gt;"",_xlfn.ISOWEEKNUM(PV_DATA[[#This Row],[Pick- Up Date]]),"")</f>
        <v/>
      </c>
      <c r="AD1178" s="431"/>
      <c r="AE1178" s="431"/>
      <c r="AF1178" s="431" t="s">
        <v>123</v>
      </c>
      <c r="AG1178" s="431" t="s">
        <v>123</v>
      </c>
      <c r="AH1178" s="431" t="s">
        <v>68</v>
      </c>
      <c r="AI1178" s="441"/>
      <c r="AJ1178" s="441"/>
      <c r="AK1178" s="437" t="str">
        <f>IFERROR(IF(VLOOKUP(AT1178,Vessel!A:F,5,FALSE)=0,"",VLOOKUP(AT1178,Vessel!A:F,5,FALSE)),"")</f>
        <v/>
      </c>
      <c r="AL1178" s="441"/>
      <c r="AM1178" s="441"/>
      <c r="AN1178" s="586" t="str">
        <f>IFERROR(IF(VLOOKUP(AT1178,Vessel!A:I,9,FALSE)=0,"",VLOOKUP(AT1178,Vessel!A:I,9,FALSE)),"")</f>
        <v/>
      </c>
      <c r="AO1178" s="431"/>
      <c r="AP1178" s="431"/>
      <c r="AQ1178" s="431"/>
      <c r="AR1178" s="431"/>
      <c r="AS1178" s="431"/>
      <c r="AT1178" s="431"/>
      <c r="AU11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8" s="441"/>
      <c r="AW1178" s="441" t="str" cm="1">
        <f t="array" ref="AW11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441">
        <f>IF(ISERROR(PV_DATA[[#This Row],[New Ark PO status]]),"",_xlfn.XLOOKUP(PV_DATA[[#This Row],[SPTN-PVHK New Ark PO'#]],New_Ark_Data[Purchase order Number],New_Ark_Data[Estimated time of arrival],"",0))</f>
        <v>0</v>
      </c>
      <c r="AZ117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8" s="437" t="str">
        <f>IFERROR(PV_DATA[[#This Row],[ODP ETA Port]]+PV_DATA[[#This Row],[Customs/Leg3 Assumption]],"n/a")</f>
        <v>n/a</v>
      </c>
      <c r="BB1178" s="442" t="e">
        <f>YEAR(PV_DATA[[#This Row],[ETA for New Ark update]])</f>
        <v>#VALUE!</v>
      </c>
      <c r="BC1178" s="431" t="e">
        <f>MONTH(PV_DATA[[#This Row],[ETA for New Ark update]])</f>
        <v>#VALUE!</v>
      </c>
      <c r="BD1178" s="431">
        <f>IFERROR(_xlfn.ISOWEEKNUM(PV_DATA[[#This Row],[ETA for New Ark update]]),0)</f>
        <v>0</v>
      </c>
      <c r="BE1178" s="431">
        <f>_xlfn.XLOOKUP(PV_DATA[[#This Row],[New Ark SKU]],Table9[New Ark SKU],Table9[Total PCS per Pallet],,0)</f>
        <v>33</v>
      </c>
      <c r="BF1178" s="431">
        <f>_xlfn.XLOOKUP(PV_DATA[[#This Row],[New Ark SKU]],Table9[New Ark SKU],Table9[Total PCS per 40HQ Container],,0)</f>
        <v>660</v>
      </c>
      <c r="BG1178" s="431" t="str">
        <f>_xlfn.XLOOKUP(PV_DATA[[#This Row],[New Ark SKU]],Table9[New Ark SKU],Table9[Back Glass],,0)</f>
        <v>White glazing</v>
      </c>
      <c r="BH1178" s="431" t="str">
        <f>_xlfn.XLOOKUP(PV_DATA[[#This Row],[PORT DESTINATION]],Table12[PORT DESTINATION],Table12[Cosco Line],,0)</f>
        <v>n/a</v>
      </c>
      <c r="BJ1178" s="430"/>
    </row>
    <row r="1179" spans="1:62" ht="10.5">
      <c r="A1179" s="439" t="s">
        <v>7243</v>
      </c>
      <c r="B1179" s="439" t="s">
        <v>111</v>
      </c>
      <c r="C1179" s="439" t="str">
        <f>IFERROR(LEFT(PV_DATA[[#This Row],[TCL REFERENCE]],FIND(".",PV_DATA[[#This Row],[TCL REFERENCE]],1)-1),"Main Line")</f>
        <v>Main Line</v>
      </c>
      <c r="D1179" s="439" t="s">
        <v>63</v>
      </c>
      <c r="E1179" s="439" t="s">
        <v>68</v>
      </c>
      <c r="F1179" s="439" t="str" cm="1">
        <f t="array" ref="F117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9" s="439" t="s">
        <v>68</v>
      </c>
      <c r="H1179" s="439" t="s">
        <v>68</v>
      </c>
      <c r="I1179" s="439" t="s">
        <v>68</v>
      </c>
      <c r="J1179" s="431" t="s">
        <v>68</v>
      </c>
      <c r="K1179" s="431"/>
      <c r="L1179" s="431"/>
      <c r="M1179" s="430" t="s">
        <v>6315</v>
      </c>
      <c r="N1179" s="461">
        <v>46146</v>
      </c>
      <c r="O1179" s="431" t="s">
        <v>132</v>
      </c>
      <c r="P1179" s="430" t="s">
        <v>189</v>
      </c>
      <c r="Q1179" s="431" t="s">
        <v>190</v>
      </c>
      <c r="R1179" s="430" t="str">
        <f>_xlfn.XLOOKUP(PV_DATA[[#This Row],[New Ark SKU]],Table9[New Ark SKU],Table9[Connector],,0)</f>
        <v>EVO2A</v>
      </c>
      <c r="S1179" s="433" t="str">
        <f>_xlfn.XLOOKUP(PV_DATA[[#This Row],[New Ark SKU]],Table9[New Ark SKU],Table9[Cable],,0)</f>
        <v>±1200mm</v>
      </c>
      <c r="T1179" s="442">
        <v>465</v>
      </c>
      <c r="U1179" s="1093" cm="1">
        <f t="array" ref="U1179">8640-fx_qty</f>
        <v>0</v>
      </c>
      <c r="V1179" s="434">
        <f>PV_DATA[[#This Row],[QUANTITY]]*PV_DATA[[#This Row],[WATT]]/1000000</f>
        <v>0</v>
      </c>
      <c r="W1179" s="435">
        <f>PV_DATA[[#This Row],[QUANTITY]]/PV_DATA[[#This Row],[Qty/Pallet]]</f>
        <v>0</v>
      </c>
      <c r="X1179" s="1040">
        <f>PV_DATA[[#This Row],[QUANTITY]]/PV_DATA[[#This Row],[Qty/CT]]</f>
        <v>0</v>
      </c>
      <c r="Y1179" s="431" t="s">
        <v>7027</v>
      </c>
      <c r="Z1179" s="430" t="str">
        <f t="shared" si="27"/>
        <v/>
      </c>
      <c r="AA1179" s="431"/>
      <c r="AB1179" s="441"/>
      <c r="AC1179" s="467" t="str">
        <f>IF(PV_DATA[[#This Row],[Pick- Up Date]]&lt;&gt;"",_xlfn.ISOWEEKNUM(PV_DATA[[#This Row],[Pick- Up Date]]),"")</f>
        <v/>
      </c>
      <c r="AD1179" s="431"/>
      <c r="AE1179" s="431"/>
      <c r="AF1179" s="431" t="s">
        <v>123</v>
      </c>
      <c r="AG1179" s="431" t="s">
        <v>123</v>
      </c>
      <c r="AH1179" s="431" t="s">
        <v>68</v>
      </c>
      <c r="AI1179" s="441"/>
      <c r="AJ1179" s="441"/>
      <c r="AK1179" s="437" t="str">
        <f>IFERROR(IF(VLOOKUP(AT1179,Vessel!A:F,5,FALSE)=0,"",VLOOKUP(AT1179,Vessel!A:F,5,FALSE)),"")</f>
        <v/>
      </c>
      <c r="AL1179" s="441"/>
      <c r="AM1179" s="441"/>
      <c r="AN1179" s="586" t="str">
        <f>IFERROR(IF(VLOOKUP(AT1179,Vessel!A:I,9,FALSE)=0,"",VLOOKUP(AT1179,Vessel!A:I,9,FALSE)),"")</f>
        <v/>
      </c>
      <c r="AO1179" s="431"/>
      <c r="AP1179" s="431"/>
      <c r="AQ1179" s="431"/>
      <c r="AR1179" s="431"/>
      <c r="AS1179" s="431"/>
      <c r="AT1179" s="431"/>
      <c r="AU11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9" s="441"/>
      <c r="AW1179" s="441" t="str" cm="1">
        <f t="array" ref="AW11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441">
        <f>IF(ISERROR(PV_DATA[[#This Row],[New Ark PO status]]),"",_xlfn.XLOOKUP(PV_DATA[[#This Row],[SPTN-PVHK New Ark PO'#]],New_Ark_Data[Purchase order Number],New_Ark_Data[Estimated time of arrival],"",0))</f>
        <v>0</v>
      </c>
      <c r="AZ117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9" s="437" t="str">
        <f>IFERROR(PV_DATA[[#This Row],[ODP ETA Port]]+PV_DATA[[#This Row],[Customs/Leg3 Assumption]],"n/a")</f>
        <v>n/a</v>
      </c>
      <c r="BB1179" s="442" t="e">
        <f>YEAR(PV_DATA[[#This Row],[ETA for New Ark update]])</f>
        <v>#VALUE!</v>
      </c>
      <c r="BC1179" s="431" t="e">
        <f>MONTH(PV_DATA[[#This Row],[ETA for New Ark update]])</f>
        <v>#VALUE!</v>
      </c>
      <c r="BD1179" s="431">
        <f>IFERROR(_xlfn.ISOWEEKNUM(PV_DATA[[#This Row],[ETA for New Ark update]]),0)</f>
        <v>0</v>
      </c>
      <c r="BE1179" s="431">
        <f>_xlfn.XLOOKUP(PV_DATA[[#This Row],[New Ark SKU]],Table9[New Ark SKU],Table9[Total PCS per Pallet],,0)</f>
        <v>36</v>
      </c>
      <c r="BF1179" s="431">
        <f>_xlfn.XLOOKUP(PV_DATA[[#This Row],[New Ark SKU]],Table9[New Ark SKU],Table9[Total PCS per 40HQ Container],,0)</f>
        <v>864</v>
      </c>
      <c r="BG1179" s="431" t="str">
        <f>_xlfn.XLOOKUP(PV_DATA[[#This Row],[New Ark SKU]],Table9[New Ark SKU],Table9[Back Glass],,0)</f>
        <v>White glazing</v>
      </c>
      <c r="BH1179" s="431" t="str">
        <f>_xlfn.XLOOKUP(PV_DATA[[#This Row],[PORT DESTINATION]],Table12[PORT DESTINATION],Table12[Cosco Line],,0)</f>
        <v>n/a</v>
      </c>
      <c r="BJ1179" s="430"/>
    </row>
    <row r="1180" spans="1:62" ht="10.5">
      <c r="A1180" s="439" t="s">
        <v>2422</v>
      </c>
      <c r="B1180" s="439" t="s">
        <v>111</v>
      </c>
      <c r="C1180" s="439" t="str">
        <f>IFERROR(LEFT(PV_DATA[[#This Row],[TCL REFERENCE]],FIND(".",PV_DATA[[#This Row],[TCL REFERENCE]],1)-1),"Main Line")</f>
        <v>Main Line</v>
      </c>
      <c r="D1180" s="439" t="s">
        <v>63</v>
      </c>
      <c r="E1180" s="439" t="s">
        <v>68</v>
      </c>
      <c r="F1180" s="439" t="str" cm="1">
        <f t="array" ref="F118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0" s="439" t="s">
        <v>68</v>
      </c>
      <c r="H1180" s="439" t="s">
        <v>68</v>
      </c>
      <c r="I1180" s="439" t="s">
        <v>68</v>
      </c>
      <c r="J1180" s="431" t="s">
        <v>68</v>
      </c>
      <c r="K1180" s="431"/>
      <c r="L1180" s="431"/>
      <c r="M1180" s="430" t="s">
        <v>6315</v>
      </c>
      <c r="N1180" s="461">
        <v>46146</v>
      </c>
      <c r="O1180" s="431" t="s">
        <v>132</v>
      </c>
      <c r="P1180" s="430" t="s">
        <v>1062</v>
      </c>
      <c r="Q1180" s="431" t="s">
        <v>1063</v>
      </c>
      <c r="R1180" s="430" t="str">
        <f>_xlfn.XLOOKUP(PV_DATA[[#This Row],[New Ark SKU]],Table9[New Ark SKU],Table9[Connector],,0)</f>
        <v>EVO2A</v>
      </c>
      <c r="S1180" s="433" t="str">
        <f>_xlfn.XLOOKUP(PV_DATA[[#This Row],[New Ark SKU]],Table9[New Ark SKU],Table9[Cable],,0)</f>
        <v>±1200mm</v>
      </c>
      <c r="T1180" s="442">
        <v>470</v>
      </c>
      <c r="U1180" s="1093" cm="1">
        <f t="array" ref="U1180">23328-fx_qty</f>
        <v>0</v>
      </c>
      <c r="V1180" s="434">
        <f>PV_DATA[[#This Row],[QUANTITY]]*PV_DATA[[#This Row],[WATT]]/1000000</f>
        <v>0</v>
      </c>
      <c r="W1180" s="435">
        <f>PV_DATA[[#This Row],[QUANTITY]]/PV_DATA[[#This Row],[Qty/Pallet]]</f>
        <v>0</v>
      </c>
      <c r="X1180" s="1040">
        <f>PV_DATA[[#This Row],[QUANTITY]]/PV_DATA[[#This Row],[Qty/CT]]</f>
        <v>0</v>
      </c>
      <c r="Y1180" s="431" t="s">
        <v>7027</v>
      </c>
      <c r="Z1180" s="430" t="str">
        <f t="shared" si="27"/>
        <v/>
      </c>
      <c r="AA1180" s="431"/>
      <c r="AB1180" s="441"/>
      <c r="AC1180" s="467" t="str">
        <f>IF(PV_DATA[[#This Row],[Pick- Up Date]]&lt;&gt;"",_xlfn.ISOWEEKNUM(PV_DATA[[#This Row],[Pick- Up Date]]),"")</f>
        <v/>
      </c>
      <c r="AD1180" s="431"/>
      <c r="AE1180" s="431"/>
      <c r="AF1180" s="431" t="s">
        <v>123</v>
      </c>
      <c r="AG1180" s="431" t="s">
        <v>123</v>
      </c>
      <c r="AH1180" s="431" t="s">
        <v>68</v>
      </c>
      <c r="AI1180" s="441"/>
      <c r="AJ1180" s="441"/>
      <c r="AK1180" s="437" t="str">
        <f>IFERROR(IF(VLOOKUP(AT1180,Vessel!A:F,5,FALSE)=0,"",VLOOKUP(AT1180,Vessel!A:F,5,FALSE)),"")</f>
        <v/>
      </c>
      <c r="AL1180" s="441"/>
      <c r="AM1180" s="441"/>
      <c r="AN1180" s="586" t="str">
        <f>IFERROR(IF(VLOOKUP(AT1180,Vessel!A:I,9,FALSE)=0,"",VLOOKUP(AT1180,Vessel!A:I,9,FALSE)),"")</f>
        <v/>
      </c>
      <c r="AO1180" s="431"/>
      <c r="AP1180" s="431"/>
      <c r="AQ1180" s="431"/>
      <c r="AR1180" s="431"/>
      <c r="AS1180" s="431"/>
      <c r="AT1180" s="431"/>
      <c r="AU11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0" s="441"/>
      <c r="AW1180" s="441" t="str" cm="1">
        <f t="array" ref="AW11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441">
        <f>IF(ISERROR(PV_DATA[[#This Row],[New Ark PO status]]),"",_xlfn.XLOOKUP(PV_DATA[[#This Row],[SPTN-PVHK New Ark PO'#]],New_Ark_Data[Purchase order Number],New_Ark_Data[Estimated time of arrival],"",0))</f>
        <v>0</v>
      </c>
      <c r="AZ118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0" s="437" t="str">
        <f>IFERROR(PV_DATA[[#This Row],[ODP ETA Port]]+PV_DATA[[#This Row],[Customs/Leg3 Assumption]],"n/a")</f>
        <v>n/a</v>
      </c>
      <c r="BB1180" s="442" t="e">
        <f>YEAR(PV_DATA[[#This Row],[ETA for New Ark update]])</f>
        <v>#VALUE!</v>
      </c>
      <c r="BC1180" s="431" t="e">
        <f>MONTH(PV_DATA[[#This Row],[ETA for New Ark update]])</f>
        <v>#VALUE!</v>
      </c>
      <c r="BD1180" s="431">
        <f>IFERROR(_xlfn.ISOWEEKNUM(PV_DATA[[#This Row],[ETA for New Ark update]]),0)</f>
        <v>0</v>
      </c>
      <c r="BE1180" s="431">
        <f>_xlfn.XLOOKUP(PV_DATA[[#This Row],[New Ark SKU]],Table9[New Ark SKU],Table9[Total PCS per Pallet],,0)</f>
        <v>36</v>
      </c>
      <c r="BF1180" s="431">
        <f>_xlfn.XLOOKUP(PV_DATA[[#This Row],[New Ark SKU]],Table9[New Ark SKU],Table9[Total PCS per 40HQ Container],,0)</f>
        <v>864</v>
      </c>
      <c r="BG1180" s="431" t="str">
        <f>_xlfn.XLOOKUP(PV_DATA[[#This Row],[New Ark SKU]],Table9[New Ark SKU],Table9[Back Glass],,0)</f>
        <v>White glazing</v>
      </c>
      <c r="BH1180" s="431" t="str">
        <f>_xlfn.XLOOKUP(PV_DATA[[#This Row],[PORT DESTINATION]],Table12[PORT DESTINATION],Table12[Cosco Line],,0)</f>
        <v>n/a</v>
      </c>
      <c r="BJ1180" s="430"/>
    </row>
    <row r="1181" spans="1:62" ht="10.5">
      <c r="A1181" s="439" t="s">
        <v>2286</v>
      </c>
      <c r="B1181" s="439" t="s">
        <v>61</v>
      </c>
      <c r="C1181" s="439" t="str">
        <f>IFERROR(LEFT(PV_DATA[[#This Row],[TCL REFERENCE]],FIND(".",PV_DATA[[#This Row],[TCL REFERENCE]],1)-1),"Main Line")</f>
        <v>Main Line</v>
      </c>
      <c r="D1181" s="439" t="s">
        <v>63</v>
      </c>
      <c r="E1181" s="439" t="s">
        <v>68</v>
      </c>
      <c r="F1181" s="439" t="str" cm="1">
        <f t="array" ref="F118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1" s="439" t="s">
        <v>68</v>
      </c>
      <c r="H1181" s="439" t="s">
        <v>68</v>
      </c>
      <c r="I1181" s="439" t="s">
        <v>68</v>
      </c>
      <c r="J1181" s="431" t="s">
        <v>68</v>
      </c>
      <c r="K1181" s="431"/>
      <c r="L1181" s="431"/>
      <c r="M1181" s="430" t="s">
        <v>6315</v>
      </c>
      <c r="N1181" s="461">
        <v>46125</v>
      </c>
      <c r="O1181" s="431" t="s">
        <v>70</v>
      </c>
      <c r="P1181" s="430" t="s">
        <v>195</v>
      </c>
      <c r="Q1181" s="431" t="s">
        <v>196</v>
      </c>
      <c r="R1181" s="430" t="str">
        <f>_xlfn.XLOOKUP(PV_DATA[[#This Row],[New Ark SKU]],Table9[New Ark SKU],Table9[Connector],,0)</f>
        <v>EVO2A</v>
      </c>
      <c r="S1181" s="433" t="str">
        <f>_xlfn.XLOOKUP(PV_DATA[[#This Row],[New Ark SKU]],Table9[New Ark SKU],Table9[Cable],,0)</f>
        <v>±1200mm</v>
      </c>
      <c r="T1181" s="442">
        <v>450</v>
      </c>
      <c r="U1181" s="1093" cm="1">
        <f t="array" ref="U1181">17784-fx_qty</f>
        <v>0</v>
      </c>
      <c r="V1181" s="434">
        <f>PV_DATA[[#This Row],[QUANTITY]]*PV_DATA[[#This Row],[WATT]]/1000000</f>
        <v>0</v>
      </c>
      <c r="W1181" s="435">
        <f>PV_DATA[[#This Row],[QUANTITY]]/PV_DATA[[#This Row],[Qty/Pallet]]</f>
        <v>0</v>
      </c>
      <c r="X1181" s="1040">
        <f>PV_DATA[[#This Row],[QUANTITY]]/PV_DATA[[#This Row],[Qty/CT]]</f>
        <v>0</v>
      </c>
      <c r="Y1181" s="431" t="s">
        <v>7027</v>
      </c>
      <c r="Z1181" s="430" t="str">
        <f t="shared" si="27"/>
        <v/>
      </c>
      <c r="AA1181" s="431"/>
      <c r="AB1181" s="441"/>
      <c r="AC1181" s="467"/>
      <c r="AD1181" s="431"/>
      <c r="AE1181" s="431"/>
      <c r="AF1181" s="431" t="s">
        <v>77</v>
      </c>
      <c r="AG1181" s="431" t="s">
        <v>61</v>
      </c>
      <c r="AH1181" s="431" t="s">
        <v>68</v>
      </c>
      <c r="AI1181" s="441"/>
      <c r="AJ1181" s="441"/>
      <c r="AK1181" s="437" t="str">
        <f>IFERROR(IF(VLOOKUP(AT1181,Vessel!A:F,5,FALSE)=0,"",VLOOKUP(AT1181,Vessel!A:F,5,FALSE)),"")</f>
        <v/>
      </c>
      <c r="AL1181" s="441"/>
      <c r="AM1181" s="441"/>
      <c r="AN1181" s="586" t="str">
        <f>IFERROR(IF(VLOOKUP(AT1181,Vessel!A:I,9,FALSE)=0,"",VLOOKUP(AT1181,Vessel!A:I,9,FALSE)),"")</f>
        <v/>
      </c>
      <c r="AO1181" s="431"/>
      <c r="AP1181" s="431"/>
      <c r="AQ1181" s="431"/>
      <c r="AR1181" s="431"/>
      <c r="AS1181" s="431"/>
      <c r="AT1181" s="431"/>
      <c r="AU11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1" s="441"/>
      <c r="AW1181" s="441" t="str" cm="1">
        <f t="array" ref="AW11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441">
        <f>IF(ISERROR(PV_DATA[[#This Row],[New Ark PO status]]),"",_xlfn.XLOOKUP(PV_DATA[[#This Row],[SPTN-PVHK New Ark PO'#]],New_Ark_Data[Purchase order Number],New_Ark_Data[Estimated time of arrival],"",0))</f>
        <v>0</v>
      </c>
      <c r="AZ118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1" s="437" t="str">
        <f>IFERROR(PV_DATA[[#This Row],[ODP ETA Port]]+PV_DATA[[#This Row],[Customs/Leg3 Assumption]],"n/a")</f>
        <v>n/a</v>
      </c>
      <c r="BB1181" s="442" t="e">
        <f>YEAR(PV_DATA[[#This Row],[ETA for New Ark update]])</f>
        <v>#VALUE!</v>
      </c>
      <c r="BC1181" s="431" t="e">
        <f>MONTH(PV_DATA[[#This Row],[ETA for New Ark update]])</f>
        <v>#VALUE!</v>
      </c>
      <c r="BD1181" s="431">
        <f>IFERROR(_xlfn.ISOWEEKNUM(PV_DATA[[#This Row],[ETA for New Ark update]]),0)</f>
        <v>0</v>
      </c>
      <c r="BE1181" s="431">
        <f>_xlfn.XLOOKUP(PV_DATA[[#This Row],[New Ark SKU]],Table9[New Ark SKU],Table9[Total PCS per Pallet],,0)</f>
        <v>36</v>
      </c>
      <c r="BF1181" s="431">
        <f>_xlfn.XLOOKUP(PV_DATA[[#This Row],[New Ark SKU]],Table9[New Ark SKU],Table9[Total PCS per 40HQ Container],,0)</f>
        <v>936</v>
      </c>
      <c r="BG1181" s="431" t="str">
        <f>_xlfn.XLOOKUP(PV_DATA[[#This Row],[New Ark SKU]],Table9[New Ark SKU],Table9[Back Glass],,0)</f>
        <v>Black glazing</v>
      </c>
      <c r="BH1181" s="431" t="str">
        <f>_xlfn.XLOOKUP(PV_DATA[[#This Row],[PORT DESTINATION]],Table12[PORT DESTINATION],Table12[Cosco Line],,0)</f>
        <v>n/a</v>
      </c>
      <c r="BJ1181" s="430"/>
    </row>
    <row r="1182" spans="1:62" ht="10.5">
      <c r="A1182" s="439" t="s">
        <v>2268</v>
      </c>
      <c r="B1182" s="439" t="s">
        <v>61</v>
      </c>
      <c r="C1182" s="439" t="str">
        <f>IFERROR(LEFT(PV_DATA[[#This Row],[TCL REFERENCE]],FIND(".",PV_DATA[[#This Row],[TCL REFERENCE]],1)-1),"Main Line")</f>
        <v>Main Line</v>
      </c>
      <c r="D1182" s="439" t="s">
        <v>63</v>
      </c>
      <c r="E1182" s="439" t="s">
        <v>68</v>
      </c>
      <c r="F1182" s="439" t="str" cm="1">
        <f t="array" ref="F118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2" s="439" t="s">
        <v>68</v>
      </c>
      <c r="H1182" s="439" t="s">
        <v>68</v>
      </c>
      <c r="I1182" s="439" t="s">
        <v>68</v>
      </c>
      <c r="J1182" s="431" t="s">
        <v>68</v>
      </c>
      <c r="K1182" s="431"/>
      <c r="L1182" s="431"/>
      <c r="M1182" s="430" t="s">
        <v>6315</v>
      </c>
      <c r="N1182" s="461" t="s">
        <v>68</v>
      </c>
      <c r="O1182" s="431" t="s">
        <v>70</v>
      </c>
      <c r="P1182" s="430" t="s">
        <v>71</v>
      </c>
      <c r="Q1182" s="431" t="s">
        <v>72</v>
      </c>
      <c r="R1182" s="430" t="str">
        <f>_xlfn.XLOOKUP(PV_DATA[[#This Row],[New Ark SKU]],Table9[New Ark SKU],Table9[Connector],,0)</f>
        <v>EVO2A</v>
      </c>
      <c r="S1182" s="433" t="str">
        <f>_xlfn.XLOOKUP(PV_DATA[[#This Row],[New Ark SKU]],Table9[New Ark SKU],Table9[Cable],,0)</f>
        <v>±1200mm</v>
      </c>
      <c r="T1182" s="442">
        <v>500</v>
      </c>
      <c r="U1182" s="1093" cm="1">
        <f t="array" ref="U1182">15552-fx_qty</f>
        <v>0</v>
      </c>
      <c r="V1182" s="434">
        <f>PV_DATA[[#This Row],[QUANTITY]]*PV_DATA[[#This Row],[WATT]]/1000000</f>
        <v>0</v>
      </c>
      <c r="W1182" s="435">
        <f>PV_DATA[[#This Row],[QUANTITY]]/PV_DATA[[#This Row],[Qty/Pallet]]</f>
        <v>0</v>
      </c>
      <c r="X1182" s="1040">
        <f>PV_DATA[[#This Row],[QUANTITY]]/PV_DATA[[#This Row],[Qty/CT]]</f>
        <v>0</v>
      </c>
      <c r="Y1182" s="431" t="s">
        <v>7027</v>
      </c>
      <c r="Z1182" s="430" t="str">
        <f t="shared" si="27"/>
        <v/>
      </c>
      <c r="AA1182" s="431"/>
      <c r="AB1182" s="441"/>
      <c r="AC1182" s="467" t="str">
        <f>IF(PV_DATA[[#This Row],[Pick- Up Date]]&lt;&gt;"",_xlfn.ISOWEEKNUM(PV_DATA[[#This Row],[Pick- Up Date]]),"")</f>
        <v/>
      </c>
      <c r="AD1182" s="431"/>
      <c r="AE1182" s="431"/>
      <c r="AF1182" s="431" t="s">
        <v>77</v>
      </c>
      <c r="AG1182" s="431" t="s">
        <v>61</v>
      </c>
      <c r="AH1182" s="431" t="s">
        <v>68</v>
      </c>
      <c r="AI1182" s="441"/>
      <c r="AJ1182" s="441"/>
      <c r="AK1182" s="437" t="str">
        <f>IFERROR(IF(VLOOKUP(AT1182,Vessel!A:F,5,FALSE)=0,"",VLOOKUP(AT1182,Vessel!A:F,5,FALSE)),"")</f>
        <v/>
      </c>
      <c r="AL1182" s="441"/>
      <c r="AM1182" s="441"/>
      <c r="AN1182" s="586" t="str">
        <f>IFERROR(IF(VLOOKUP(AT1182,Vessel!A:I,9,FALSE)=0,"",VLOOKUP(AT1182,Vessel!A:I,9,FALSE)),"")</f>
        <v/>
      </c>
      <c r="AO1182" s="431"/>
      <c r="AP1182" s="431"/>
      <c r="AQ1182" s="431"/>
      <c r="AR1182" s="431"/>
      <c r="AS1182" s="431"/>
      <c r="AT1182" s="431"/>
      <c r="AU11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2" s="441"/>
      <c r="AW1182" s="441" t="str" cm="1">
        <f t="array" ref="AW1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1">
        <f>IF(ISERROR(PV_DATA[[#This Row],[New Ark PO status]]),"",_xlfn.XLOOKUP(PV_DATA[[#This Row],[SPTN-PVHK New Ark PO'#]],New_Ark_Data[Purchase order Number],New_Ark_Data[Estimated time of arrival],"",0))</f>
        <v>0</v>
      </c>
      <c r="AZ118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2" s="437" t="str">
        <f>IFERROR(PV_DATA[[#This Row],[ODP ETA Port]]+PV_DATA[[#This Row],[Customs/Leg3 Assumption]],"n/a")</f>
        <v>n/a</v>
      </c>
      <c r="BB1182" s="442" t="e">
        <f>YEAR(PV_DATA[[#This Row],[ETA for New Ark update]])</f>
        <v>#VALUE!</v>
      </c>
      <c r="BC1182" s="431" t="e">
        <f>MONTH(PV_DATA[[#This Row],[ETA for New Ark update]])</f>
        <v>#VALUE!</v>
      </c>
      <c r="BD1182" s="431">
        <f>IFERROR(_xlfn.ISOWEEKNUM(PV_DATA[[#This Row],[ETA for New Ark update]]),0)</f>
        <v>0</v>
      </c>
      <c r="BE1182" s="431">
        <f>_xlfn.XLOOKUP(PV_DATA[[#This Row],[New Ark SKU]],Table9[New Ark SKU],Table9[Total PCS per Pallet],,0)</f>
        <v>36</v>
      </c>
      <c r="BF1182" s="431">
        <f>_xlfn.XLOOKUP(PV_DATA[[#This Row],[New Ark SKU]],Table9[New Ark SKU],Table9[Total PCS per 40HQ Container],,0)</f>
        <v>864</v>
      </c>
      <c r="BG1182" s="431" t="str">
        <f>_xlfn.XLOOKUP(PV_DATA[[#This Row],[New Ark SKU]],Table9[New Ark SKU],Table9[Back Glass],,0)</f>
        <v>Black glazing</v>
      </c>
      <c r="BH1182" s="431" t="str">
        <f>_xlfn.XLOOKUP(PV_DATA[[#This Row],[PORT DESTINATION]],Table12[PORT DESTINATION],Table12[Cosco Line],,0)</f>
        <v>n/a</v>
      </c>
      <c r="BJ1182" s="430"/>
    </row>
    <row r="1183" spans="1:62" ht="10.5">
      <c r="A1183" s="439" t="s">
        <v>2260</v>
      </c>
      <c r="B1183" s="439" t="s">
        <v>61</v>
      </c>
      <c r="C1183" s="439" t="str">
        <f>IFERROR(LEFT(PV_DATA[[#This Row],[TCL REFERENCE]],FIND(".",PV_DATA[[#This Row],[TCL REFERENCE]],1)-1),"Main Line")</f>
        <v>Main Line</v>
      </c>
      <c r="D1183" s="439" t="s">
        <v>63</v>
      </c>
      <c r="E1183" s="439" t="s">
        <v>68</v>
      </c>
      <c r="F1183" s="439" t="str" cm="1">
        <f t="array" ref="F118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3" s="439" t="s">
        <v>68</v>
      </c>
      <c r="H1183" s="439" t="s">
        <v>68</v>
      </c>
      <c r="I1183" s="439" t="s">
        <v>68</v>
      </c>
      <c r="J1183" s="431" t="s">
        <v>68</v>
      </c>
      <c r="K1183" s="431"/>
      <c r="L1183" s="431"/>
      <c r="M1183" s="430" t="s">
        <v>6315</v>
      </c>
      <c r="N1183" s="461" t="s">
        <v>68</v>
      </c>
      <c r="O1183" s="431" t="s">
        <v>70</v>
      </c>
      <c r="P1183" s="430" t="s">
        <v>1151</v>
      </c>
      <c r="Q1183" s="431" t="s">
        <v>421</v>
      </c>
      <c r="R1183" s="430" t="str">
        <f>_xlfn.XLOOKUP(PV_DATA[[#This Row],[New Ark SKU]],Table9[New Ark SKU],Table9[Connector],,0)</f>
        <v>EVO2A</v>
      </c>
      <c r="S1183" s="433" t="str">
        <f>_xlfn.XLOOKUP(PV_DATA[[#This Row],[New Ark SKU]],Table9[New Ark SKU],Table9[Cable],,0)</f>
        <v>±1200mm</v>
      </c>
      <c r="T1183" s="442">
        <v>505</v>
      </c>
      <c r="U1183" s="1093" cm="1">
        <f t="array" ref="U1183">24192-fx_qty</f>
        <v>0</v>
      </c>
      <c r="V1183" s="434">
        <f>PV_DATA[[#This Row],[QUANTITY]]*PV_DATA[[#This Row],[WATT]]/1000000</f>
        <v>0</v>
      </c>
      <c r="W1183" s="435">
        <f>PV_DATA[[#This Row],[QUANTITY]]/PV_DATA[[#This Row],[Qty/Pallet]]</f>
        <v>0</v>
      </c>
      <c r="X1183" s="1040">
        <f>PV_DATA[[#This Row],[QUANTITY]]/PV_DATA[[#This Row],[Qty/CT]]</f>
        <v>0</v>
      </c>
      <c r="Y1183" s="431" t="s">
        <v>7027</v>
      </c>
      <c r="Z1183" s="430" t="str">
        <f t="shared" si="27"/>
        <v/>
      </c>
      <c r="AA1183" s="431"/>
      <c r="AB1183" s="441"/>
      <c r="AC1183" s="467" t="str">
        <f>IF(PV_DATA[[#This Row],[Pick- Up Date]]&lt;&gt;"",_xlfn.ISOWEEKNUM(PV_DATA[[#This Row],[Pick- Up Date]]),"")</f>
        <v/>
      </c>
      <c r="AD1183" s="431"/>
      <c r="AE1183" s="431"/>
      <c r="AF1183" s="431" t="s">
        <v>61</v>
      </c>
      <c r="AG1183" s="431" t="s">
        <v>61</v>
      </c>
      <c r="AH1183" s="431" t="s">
        <v>68</v>
      </c>
      <c r="AI1183" s="441"/>
      <c r="AJ1183" s="441"/>
      <c r="AK1183" s="437" t="str">
        <f>IFERROR(IF(VLOOKUP(AT1183,Vessel!A:F,5,FALSE)=0,"",VLOOKUP(AT1183,Vessel!A:F,5,FALSE)),"")</f>
        <v/>
      </c>
      <c r="AL1183" s="441"/>
      <c r="AM1183" s="441"/>
      <c r="AN1183" s="586" t="str">
        <f>IFERROR(IF(VLOOKUP(AT1183,Vessel!A:I,9,FALSE)=0,"",VLOOKUP(AT1183,Vessel!A:I,9,FALSE)),"")</f>
        <v/>
      </c>
      <c r="AO1183" s="431"/>
      <c r="AP1183" s="431"/>
      <c r="AQ1183" s="431"/>
      <c r="AR1183" s="431"/>
      <c r="AS1183" s="431"/>
      <c r="AT1183" s="431"/>
      <c r="AU11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3" s="441"/>
      <c r="AW1183" s="441" t="str" cm="1">
        <f t="array" ref="AW1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1">
        <f>IF(ISERROR(PV_DATA[[#This Row],[New Ark PO status]]),"",_xlfn.XLOOKUP(PV_DATA[[#This Row],[SPTN-PVHK New Ark PO'#]],New_Ark_Data[Purchase order Number],New_Ark_Data[Estimated time of arrival],"",0))</f>
        <v>0</v>
      </c>
      <c r="AZ118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3" s="437" t="str">
        <f>IFERROR(PV_DATA[[#This Row],[ODP ETA Port]]+PV_DATA[[#This Row],[Customs/Leg3 Assumption]],"n/a")</f>
        <v>n/a</v>
      </c>
      <c r="BB1183" s="442" t="e">
        <f>YEAR(PV_DATA[[#This Row],[ETA for New Ark update]])</f>
        <v>#VALUE!</v>
      </c>
      <c r="BC1183" s="431" t="e">
        <f>MONTH(PV_DATA[[#This Row],[ETA for New Ark update]])</f>
        <v>#VALUE!</v>
      </c>
      <c r="BD1183" s="431">
        <f>IFERROR(_xlfn.ISOWEEKNUM(PV_DATA[[#This Row],[ETA for New Ark update]]),0)</f>
        <v>0</v>
      </c>
      <c r="BE1183" s="431">
        <f>_xlfn.XLOOKUP(PV_DATA[[#This Row],[New Ark SKU]],Table9[New Ark SKU],Table9[Total PCS per Pallet],,0)</f>
        <v>36</v>
      </c>
      <c r="BF1183" s="431">
        <f>_xlfn.XLOOKUP(PV_DATA[[#This Row],[New Ark SKU]],Table9[New Ark SKU],Table9[Total PCS per 40HQ Container],,0)</f>
        <v>864</v>
      </c>
      <c r="BG1183" s="431" t="str">
        <f>_xlfn.XLOOKUP(PV_DATA[[#This Row],[New Ark SKU]],Table9[New Ark SKU],Table9[Back Glass],,0)</f>
        <v>Black glazing</v>
      </c>
      <c r="BH1183" s="431" t="str">
        <f>_xlfn.XLOOKUP(PV_DATA[[#This Row],[PORT DESTINATION]],Table12[PORT DESTINATION],Table12[Cosco Line],,0)</f>
        <v>n/a</v>
      </c>
      <c r="BJ1183" s="430"/>
    </row>
    <row r="1184" spans="1:62" ht="10.5">
      <c r="A1184" s="439" t="s">
        <v>4734</v>
      </c>
      <c r="B1184" s="439" t="s">
        <v>2132</v>
      </c>
      <c r="C1184" s="439" t="str">
        <f>IFERROR(LEFT(PV_DATA[[#This Row],[TCL REFERENCE]],FIND(".",PV_DATA[[#This Row],[TCL REFERENCE]],1)-1),"Main Line")</f>
        <v>Main Line</v>
      </c>
      <c r="D1184" s="439" t="s">
        <v>63</v>
      </c>
      <c r="E1184" s="439" t="s">
        <v>68</v>
      </c>
      <c r="F1184" s="439" t="str" cm="1">
        <f t="array" ref="F118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4" s="439" t="s">
        <v>68</v>
      </c>
      <c r="H1184" s="439" t="s">
        <v>68</v>
      </c>
      <c r="I1184" s="439" t="s">
        <v>68</v>
      </c>
      <c r="J1184" s="431" t="s">
        <v>68</v>
      </c>
      <c r="K1184" s="431"/>
      <c r="L1184" s="431"/>
      <c r="M1184" s="430" t="s">
        <v>6315</v>
      </c>
      <c r="N1184" s="461">
        <v>46160</v>
      </c>
      <c r="O1184" s="431" t="s">
        <v>170</v>
      </c>
      <c r="P1184" s="431" t="s">
        <v>171</v>
      </c>
      <c r="Q1184" s="431" t="s">
        <v>1731</v>
      </c>
      <c r="R1184" s="430" t="str">
        <f>_xlfn.XLOOKUP(PV_DATA[[#This Row],[New Ark SKU]],Table9[New Ark SKU],Table9[Connector],,0)</f>
        <v>EVO2A</v>
      </c>
      <c r="S1184" s="433" t="str">
        <f>_xlfn.XLOOKUP(PV_DATA[[#This Row],[New Ark SKU]],Table9[New Ark SKU],Table9[Cable],,0)</f>
        <v>±1400mm</v>
      </c>
      <c r="T1184" s="442">
        <v>555</v>
      </c>
      <c r="U1184" s="1093" cm="1">
        <f t="array" ref="U1184">7920-fx_qty</f>
        <v>0</v>
      </c>
      <c r="V1184" s="434">
        <f>PV_DATA[[#This Row],[QUANTITY]]*PV_DATA[[#This Row],[WATT]]/1000000</f>
        <v>0</v>
      </c>
      <c r="W1184" s="435">
        <f>PV_DATA[[#This Row],[QUANTITY]]/PV_DATA[[#This Row],[Qty/Pallet]]</f>
        <v>0</v>
      </c>
      <c r="X1184" s="1040">
        <f>PV_DATA[[#This Row],[QUANTITY]]/PV_DATA[[#This Row],[Qty/CT]]</f>
        <v>0</v>
      </c>
      <c r="Y1184" s="431" t="s">
        <v>7027</v>
      </c>
      <c r="Z1184" s="430" t="str">
        <f t="shared" si="27"/>
        <v/>
      </c>
      <c r="AA1184" s="431"/>
      <c r="AB1184" s="441"/>
      <c r="AC1184" s="467" t="str">
        <f>IF(PV_DATA[[#This Row],[Pick- Up Date]]&lt;&gt;"",_xlfn.ISOWEEKNUM(PV_DATA[[#This Row],[Pick- Up Date]]),"")</f>
        <v/>
      </c>
      <c r="AD1184" s="431"/>
      <c r="AE1184" s="431"/>
      <c r="AF1184" s="431" t="s">
        <v>123</v>
      </c>
      <c r="AG1184" s="431" t="s">
        <v>123</v>
      </c>
      <c r="AH1184" s="431" t="s">
        <v>68</v>
      </c>
      <c r="AI1184" s="441"/>
      <c r="AJ1184" s="441"/>
      <c r="AK1184" s="437" t="str">
        <f>IFERROR(IF(VLOOKUP(AT1184,Vessel!A:F,5,FALSE)=0,"",VLOOKUP(AT1184,Vessel!A:F,5,FALSE)),"")</f>
        <v/>
      </c>
      <c r="AL1184" s="441"/>
      <c r="AM1184" s="441"/>
      <c r="AN1184" s="586" t="str">
        <f>IFERROR(IF(VLOOKUP(AT1184,Vessel!A:I,9,FALSE)=0,"",VLOOKUP(AT1184,Vessel!A:I,9,FALSE)),"")</f>
        <v/>
      </c>
      <c r="AO1184" s="431"/>
      <c r="AP1184" s="431"/>
      <c r="AQ1184" s="431"/>
      <c r="AR1184" s="431"/>
      <c r="AS1184" s="431"/>
      <c r="AT1184" s="431"/>
      <c r="AU11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4" s="441"/>
      <c r="AW1184" s="441" t="str" cm="1">
        <f t="array" ref="AW1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1">
        <f>IF(ISERROR(PV_DATA[[#This Row],[New Ark PO status]]),"",_xlfn.XLOOKUP(PV_DATA[[#This Row],[SPTN-PVHK New Ark PO'#]],New_Ark_Data[Purchase order Number],New_Ark_Data[Estimated time of arrival],"",0))</f>
        <v>0</v>
      </c>
      <c r="AZ118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4" s="437" t="str">
        <f>IFERROR(PV_DATA[[#This Row],[ODP ETA Port]]+PV_DATA[[#This Row],[Customs/Leg3 Assumption]],"n/a")</f>
        <v>n/a</v>
      </c>
      <c r="BB1184" s="442" t="e">
        <f>YEAR(PV_DATA[[#This Row],[ETA for New Ark update]])</f>
        <v>#VALUE!</v>
      </c>
      <c r="BC1184" s="431" t="e">
        <f>MONTH(PV_DATA[[#This Row],[ETA for New Ark update]])</f>
        <v>#VALUE!</v>
      </c>
      <c r="BD1184" s="431">
        <f>IFERROR(_xlfn.ISOWEEKNUM(PV_DATA[[#This Row],[ETA for New Ark update]]),0)</f>
        <v>0</v>
      </c>
      <c r="BE1184" s="431">
        <f>_xlfn.XLOOKUP(PV_DATA[[#This Row],[New Ark SKU]],Table9[New Ark SKU],Table9[Total PCS per Pallet],,0)</f>
        <v>33</v>
      </c>
      <c r="BF1184" s="431">
        <f>_xlfn.XLOOKUP(PV_DATA[[#This Row],[New Ark SKU]],Table9[New Ark SKU],Table9[Total PCS per 40HQ Container],,0)</f>
        <v>660</v>
      </c>
      <c r="BG1184" s="431" t="str">
        <f>_xlfn.XLOOKUP(PV_DATA[[#This Row],[New Ark SKU]],Table9[New Ark SKU],Table9[Back Glass],,0)</f>
        <v>White glazing</v>
      </c>
      <c r="BH1184" s="431" t="str">
        <f>_xlfn.XLOOKUP(PV_DATA[[#This Row],[PORT DESTINATION]],Table12[PORT DESTINATION],Table12[Cosco Line],,0)</f>
        <v>n/a</v>
      </c>
      <c r="BJ1184" s="430"/>
    </row>
    <row r="1185" spans="1:62" ht="10.5">
      <c r="A1185" s="439" t="s">
        <v>7244</v>
      </c>
      <c r="B1185" s="439" t="s">
        <v>2132</v>
      </c>
      <c r="C1185" s="439" t="str">
        <f>IFERROR(LEFT(PV_DATA[[#This Row],[TCL REFERENCE]],FIND(".",PV_DATA[[#This Row],[TCL REFERENCE]],1)-1),"Main Line")</f>
        <v>Main Line</v>
      </c>
      <c r="D1185" s="439" t="s">
        <v>63</v>
      </c>
      <c r="E1185" s="439" t="s">
        <v>68</v>
      </c>
      <c r="F1185" s="439" t="str" cm="1">
        <f t="array" ref="F118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5" s="439" t="s">
        <v>68</v>
      </c>
      <c r="H1185" s="439" t="s">
        <v>68</v>
      </c>
      <c r="I1185" s="439" t="s">
        <v>68</v>
      </c>
      <c r="J1185" s="431" t="s">
        <v>68</v>
      </c>
      <c r="K1185" s="431"/>
      <c r="L1185" s="431"/>
      <c r="M1185" s="430" t="s">
        <v>6315</v>
      </c>
      <c r="N1185" s="461">
        <v>46160</v>
      </c>
      <c r="O1185" s="431" t="s">
        <v>170</v>
      </c>
      <c r="P1185" s="431" t="s">
        <v>1977</v>
      </c>
      <c r="Q1185" s="431" t="s">
        <v>1978</v>
      </c>
      <c r="R1185" s="430" t="str">
        <f>_xlfn.XLOOKUP(PV_DATA[[#This Row],[New Ark SKU]],Table9[New Ark SKU],Table9[Connector],,0)</f>
        <v>EVO2A</v>
      </c>
      <c r="S1185" s="433" t="str">
        <f>_xlfn.XLOOKUP(PV_DATA[[#This Row],[New Ark SKU]],Table9[New Ark SKU],Table9[Cable],,0)</f>
        <v>±1400mm</v>
      </c>
      <c r="T1185" s="442">
        <v>560</v>
      </c>
      <c r="U1185" s="1093" cm="1">
        <f t="array" ref="U1185">9900-fx_qty</f>
        <v>0</v>
      </c>
      <c r="V1185" s="434">
        <f>PV_DATA[[#This Row],[QUANTITY]]*PV_DATA[[#This Row],[WATT]]/1000000</f>
        <v>0</v>
      </c>
      <c r="W1185" s="435">
        <f>PV_DATA[[#This Row],[QUANTITY]]/PV_DATA[[#This Row],[Qty/Pallet]]</f>
        <v>0</v>
      </c>
      <c r="X1185" s="1040">
        <f>PV_DATA[[#This Row],[QUANTITY]]/PV_DATA[[#This Row],[Qty/CT]]</f>
        <v>0</v>
      </c>
      <c r="Y1185" s="431" t="s">
        <v>7027</v>
      </c>
      <c r="Z1185" s="430" t="str">
        <f t="shared" si="27"/>
        <v/>
      </c>
      <c r="AA1185" s="431"/>
      <c r="AB1185" s="441"/>
      <c r="AC1185" s="467" t="str">
        <f>IF(PV_DATA[[#This Row],[Pick- Up Date]]&lt;&gt;"",_xlfn.ISOWEEKNUM(PV_DATA[[#This Row],[Pick- Up Date]]),"")</f>
        <v/>
      </c>
      <c r="AD1185" s="431"/>
      <c r="AE1185" s="431"/>
      <c r="AF1185" s="431" t="s">
        <v>123</v>
      </c>
      <c r="AG1185" s="431" t="s">
        <v>123</v>
      </c>
      <c r="AH1185" s="431" t="s">
        <v>68</v>
      </c>
      <c r="AI1185" s="441"/>
      <c r="AJ1185" s="441"/>
      <c r="AK1185" s="437" t="str">
        <f>IFERROR(IF(VLOOKUP(AT1185,Vessel!A:F,5,FALSE)=0,"",VLOOKUP(AT1185,Vessel!A:F,5,FALSE)),"")</f>
        <v/>
      </c>
      <c r="AL1185" s="441"/>
      <c r="AM1185" s="441"/>
      <c r="AN1185" s="586" t="str">
        <f>IFERROR(IF(VLOOKUP(AT1185,Vessel!A:I,9,FALSE)=0,"",VLOOKUP(AT1185,Vessel!A:I,9,FALSE)),"")</f>
        <v/>
      </c>
      <c r="AO1185" s="431"/>
      <c r="AP1185" s="431"/>
      <c r="AQ1185" s="431"/>
      <c r="AR1185" s="431"/>
      <c r="AS1185" s="431"/>
      <c r="AT1185" s="431"/>
      <c r="AU11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5" s="441"/>
      <c r="AW1185" s="441" t="str" cm="1">
        <f t="array" ref="AW1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1">
        <f>IF(ISERROR(PV_DATA[[#This Row],[New Ark PO status]]),"",_xlfn.XLOOKUP(PV_DATA[[#This Row],[SPTN-PVHK New Ark PO'#]],New_Ark_Data[Purchase order Number],New_Ark_Data[Estimated time of arrival],"",0))</f>
        <v>0</v>
      </c>
      <c r="AZ118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5" s="437" t="str">
        <f>IFERROR(PV_DATA[[#This Row],[ODP ETA Port]]+PV_DATA[[#This Row],[Customs/Leg3 Assumption]],"n/a")</f>
        <v>n/a</v>
      </c>
      <c r="BB1185" s="442" t="e">
        <f>YEAR(PV_DATA[[#This Row],[ETA for New Ark update]])</f>
        <v>#VALUE!</v>
      </c>
      <c r="BC1185" s="431" t="e">
        <f>MONTH(PV_DATA[[#This Row],[ETA for New Ark update]])</f>
        <v>#VALUE!</v>
      </c>
      <c r="BD1185" s="431">
        <f>IFERROR(_xlfn.ISOWEEKNUM(PV_DATA[[#This Row],[ETA for New Ark update]]),0)</f>
        <v>0</v>
      </c>
      <c r="BE1185" s="431">
        <f>_xlfn.XLOOKUP(PV_DATA[[#This Row],[New Ark SKU]],Table9[New Ark SKU],Table9[Total PCS per Pallet],,0)</f>
        <v>33</v>
      </c>
      <c r="BF1185" s="431">
        <f>_xlfn.XLOOKUP(PV_DATA[[#This Row],[New Ark SKU]],Table9[New Ark SKU],Table9[Total PCS per 40HQ Container],,0)</f>
        <v>660</v>
      </c>
      <c r="BG1185" s="431" t="str">
        <f>_xlfn.XLOOKUP(PV_DATA[[#This Row],[New Ark SKU]],Table9[New Ark SKU],Table9[Back Glass],,0)</f>
        <v>White glazing</v>
      </c>
      <c r="BH1185" s="431" t="str">
        <f>_xlfn.XLOOKUP(PV_DATA[[#This Row],[PORT DESTINATION]],Table12[PORT DESTINATION],Table12[Cosco Line],,0)</f>
        <v>n/a</v>
      </c>
      <c r="BJ1185" s="430"/>
    </row>
    <row r="1186" spans="1:62" ht="10.5">
      <c r="A1186" s="439" t="s">
        <v>7245</v>
      </c>
      <c r="B1186" s="439" t="s">
        <v>111</v>
      </c>
      <c r="C1186" s="439" t="str">
        <f>IFERROR(LEFT(PV_DATA[[#This Row],[TCL REFERENCE]],FIND(".",PV_DATA[[#This Row],[TCL REFERENCE]],1)-1),"Main Line")</f>
        <v>Main Line</v>
      </c>
      <c r="D1186" s="439" t="s">
        <v>63</v>
      </c>
      <c r="E1186" s="439" t="s">
        <v>68</v>
      </c>
      <c r="F1186" s="439" t="str" cm="1">
        <f t="array" ref="F118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6" s="439" t="s">
        <v>68</v>
      </c>
      <c r="H1186" s="439" t="s">
        <v>68</v>
      </c>
      <c r="I1186" s="439" t="s">
        <v>68</v>
      </c>
      <c r="J1186" s="431" t="s">
        <v>68</v>
      </c>
      <c r="K1186" s="431"/>
      <c r="L1186" s="431"/>
      <c r="M1186" s="430" t="s">
        <v>6315</v>
      </c>
      <c r="N1186" s="461">
        <v>46160</v>
      </c>
      <c r="O1186" s="431" t="s">
        <v>132</v>
      </c>
      <c r="P1186" s="431" t="s">
        <v>189</v>
      </c>
      <c r="Q1186" s="431" t="s">
        <v>190</v>
      </c>
      <c r="R1186" s="430" t="str">
        <f>_xlfn.XLOOKUP(PV_DATA[[#This Row],[New Ark SKU]],Table9[New Ark SKU],Table9[Connector],,0)</f>
        <v>EVO2A</v>
      </c>
      <c r="S1186" s="433" t="str">
        <f>_xlfn.XLOOKUP(PV_DATA[[#This Row],[New Ark SKU]],Table9[New Ark SKU],Table9[Cable],,0)</f>
        <v>±1200mm</v>
      </c>
      <c r="T1186" s="442">
        <v>465</v>
      </c>
      <c r="U1186" s="1093" cm="1">
        <f t="array" ref="U1186">13824-fx_qty</f>
        <v>0</v>
      </c>
      <c r="V1186" s="434">
        <f>PV_DATA[[#This Row],[QUANTITY]]*PV_DATA[[#This Row],[WATT]]/1000000</f>
        <v>0</v>
      </c>
      <c r="W1186" s="435">
        <f>PV_DATA[[#This Row],[QUANTITY]]/PV_DATA[[#This Row],[Qty/Pallet]]</f>
        <v>0</v>
      </c>
      <c r="X1186" s="1040">
        <f>PV_DATA[[#This Row],[QUANTITY]]/PV_DATA[[#This Row],[Qty/CT]]</f>
        <v>0</v>
      </c>
      <c r="Y1186" s="431" t="s">
        <v>7027</v>
      </c>
      <c r="Z1186" s="430" t="str">
        <f t="shared" si="27"/>
        <v/>
      </c>
      <c r="AA1186" s="431"/>
      <c r="AB1186" s="441"/>
      <c r="AC1186" s="467" t="str">
        <f>IF(PV_DATA[[#This Row],[Pick- Up Date]]&lt;&gt;"",_xlfn.ISOWEEKNUM(PV_DATA[[#This Row],[Pick- Up Date]]),"")</f>
        <v/>
      </c>
      <c r="AD1186" s="431"/>
      <c r="AE1186" s="431"/>
      <c r="AF1186" s="431" t="s">
        <v>123</v>
      </c>
      <c r="AG1186" s="431" t="s">
        <v>123</v>
      </c>
      <c r="AH1186" s="431" t="s">
        <v>68</v>
      </c>
      <c r="AI1186" s="441"/>
      <c r="AJ1186" s="441"/>
      <c r="AK1186" s="437" t="str">
        <f>IFERROR(IF(VLOOKUP(AT1186,Vessel!A:F,5,FALSE)=0,"",VLOOKUP(AT1186,Vessel!A:F,5,FALSE)),"")</f>
        <v/>
      </c>
      <c r="AL1186" s="441"/>
      <c r="AM1186" s="441"/>
      <c r="AN1186" s="586" t="str">
        <f>IFERROR(IF(VLOOKUP(AT1186,Vessel!A:I,9,FALSE)=0,"",VLOOKUP(AT1186,Vessel!A:I,9,FALSE)),"")</f>
        <v/>
      </c>
      <c r="AO1186" s="431"/>
      <c r="AP1186" s="431"/>
      <c r="AQ1186" s="431"/>
      <c r="AR1186" s="431"/>
      <c r="AS1186" s="431"/>
      <c r="AT1186" s="431"/>
      <c r="AU11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6" s="441"/>
      <c r="AW1186" s="441" t="str" cm="1">
        <f t="array" ref="AW1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1">
        <f>IF(ISERROR(PV_DATA[[#This Row],[New Ark PO status]]),"",_xlfn.XLOOKUP(PV_DATA[[#This Row],[SPTN-PVHK New Ark PO'#]],New_Ark_Data[Purchase order Number],New_Ark_Data[Estimated time of arrival],"",0))</f>
        <v>0</v>
      </c>
      <c r="AZ118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6" s="437" t="str">
        <f>IFERROR(PV_DATA[[#This Row],[ODP ETA Port]]+PV_DATA[[#This Row],[Customs/Leg3 Assumption]],"n/a")</f>
        <v>n/a</v>
      </c>
      <c r="BB1186" s="442" t="e">
        <f>YEAR(PV_DATA[[#This Row],[ETA for New Ark update]])</f>
        <v>#VALUE!</v>
      </c>
      <c r="BC1186" s="431" t="e">
        <f>MONTH(PV_DATA[[#This Row],[ETA for New Ark update]])</f>
        <v>#VALUE!</v>
      </c>
      <c r="BD1186" s="431">
        <f>IFERROR(_xlfn.ISOWEEKNUM(PV_DATA[[#This Row],[ETA for New Ark update]]),0)</f>
        <v>0</v>
      </c>
      <c r="BE1186" s="431">
        <f>_xlfn.XLOOKUP(PV_DATA[[#This Row],[New Ark SKU]],Table9[New Ark SKU],Table9[Total PCS per Pallet],,0)</f>
        <v>36</v>
      </c>
      <c r="BF1186" s="431">
        <f>_xlfn.XLOOKUP(PV_DATA[[#This Row],[New Ark SKU]],Table9[New Ark SKU],Table9[Total PCS per 40HQ Container],,0)</f>
        <v>864</v>
      </c>
      <c r="BG1186" s="431" t="str">
        <f>_xlfn.XLOOKUP(PV_DATA[[#This Row],[New Ark SKU]],Table9[New Ark SKU],Table9[Back Glass],,0)</f>
        <v>White glazing</v>
      </c>
      <c r="BH1186" s="431" t="str">
        <f>_xlfn.XLOOKUP(PV_DATA[[#This Row],[PORT DESTINATION]],Table12[PORT DESTINATION],Table12[Cosco Line],,0)</f>
        <v>n/a</v>
      </c>
      <c r="BJ1186" s="430"/>
    </row>
    <row r="1187" spans="1:62" ht="10.5">
      <c r="A1187" s="439" t="s">
        <v>7246</v>
      </c>
      <c r="B1187" s="439" t="s">
        <v>111</v>
      </c>
      <c r="C1187" s="439" t="str">
        <f>IFERROR(LEFT(PV_DATA[[#This Row],[TCL REFERENCE]],FIND(".",PV_DATA[[#This Row],[TCL REFERENCE]],1)-1),"Main Line")</f>
        <v>Main Line</v>
      </c>
      <c r="D1187" s="439" t="s">
        <v>63</v>
      </c>
      <c r="E1187" s="439" t="s">
        <v>68</v>
      </c>
      <c r="F1187" s="439" t="str" cm="1">
        <f t="array" ref="F118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7" s="439" t="s">
        <v>68</v>
      </c>
      <c r="H1187" s="439" t="s">
        <v>68</v>
      </c>
      <c r="I1187" s="439" t="s">
        <v>68</v>
      </c>
      <c r="J1187" s="431" t="s">
        <v>68</v>
      </c>
      <c r="K1187" s="431"/>
      <c r="L1187" s="431"/>
      <c r="M1187" s="430" t="s">
        <v>6315</v>
      </c>
      <c r="N1187" s="461">
        <v>46160</v>
      </c>
      <c r="O1187" s="431" t="s">
        <v>132</v>
      </c>
      <c r="P1187" s="431" t="s">
        <v>1062</v>
      </c>
      <c r="Q1187" s="431" t="s">
        <v>1063</v>
      </c>
      <c r="R1187" s="430" t="str">
        <f>_xlfn.XLOOKUP(PV_DATA[[#This Row],[New Ark SKU]],Table9[New Ark SKU],Table9[Connector],,0)</f>
        <v>EVO2A</v>
      </c>
      <c r="S1187" s="433" t="str">
        <f>_xlfn.XLOOKUP(PV_DATA[[#This Row],[New Ark SKU]],Table9[New Ark SKU],Table9[Cable],,0)</f>
        <v>±1200mm</v>
      </c>
      <c r="T1187" s="442">
        <v>470</v>
      </c>
      <c r="U1187" s="1093" cm="1">
        <f t="array" ref="U1187">39744-fx_qty</f>
        <v>0</v>
      </c>
      <c r="V1187" s="434">
        <f>PV_DATA[[#This Row],[QUANTITY]]*PV_DATA[[#This Row],[WATT]]/1000000</f>
        <v>0</v>
      </c>
      <c r="W1187" s="435">
        <f>PV_DATA[[#This Row],[QUANTITY]]/PV_DATA[[#This Row],[Qty/Pallet]]</f>
        <v>0</v>
      </c>
      <c r="X1187" s="1040">
        <f>PV_DATA[[#This Row],[QUANTITY]]/PV_DATA[[#This Row],[Qty/CT]]</f>
        <v>0</v>
      </c>
      <c r="Y1187" s="431" t="s">
        <v>7027</v>
      </c>
      <c r="Z1187" s="430" t="str">
        <f t="shared" si="27"/>
        <v/>
      </c>
      <c r="AA1187" s="431"/>
      <c r="AB1187" s="441"/>
      <c r="AC1187" s="467" t="str">
        <f>IF(PV_DATA[[#This Row],[Pick- Up Date]]&lt;&gt;"",_xlfn.ISOWEEKNUM(PV_DATA[[#This Row],[Pick- Up Date]]),"")</f>
        <v/>
      </c>
      <c r="AD1187" s="431"/>
      <c r="AE1187" s="431"/>
      <c r="AF1187" s="431" t="s">
        <v>123</v>
      </c>
      <c r="AG1187" s="431" t="s">
        <v>123</v>
      </c>
      <c r="AH1187" s="431" t="s">
        <v>68</v>
      </c>
      <c r="AI1187" s="441"/>
      <c r="AJ1187" s="441"/>
      <c r="AK1187" s="437" t="str">
        <f>IFERROR(IF(VLOOKUP(AT1187,Vessel!A:F,5,FALSE)=0,"",VLOOKUP(AT1187,Vessel!A:F,5,FALSE)),"")</f>
        <v/>
      </c>
      <c r="AL1187" s="441"/>
      <c r="AM1187" s="441"/>
      <c r="AN1187" s="586" t="str">
        <f>IFERROR(IF(VLOOKUP(AT1187,Vessel!A:I,9,FALSE)=0,"",VLOOKUP(AT1187,Vessel!A:I,9,FALSE)),"")</f>
        <v/>
      </c>
      <c r="AO1187" s="431"/>
      <c r="AP1187" s="431"/>
      <c r="AQ1187" s="431"/>
      <c r="AR1187" s="431"/>
      <c r="AS1187" s="431"/>
      <c r="AT1187" s="431"/>
      <c r="AU11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7" s="441"/>
      <c r="AW1187" s="441" t="str" cm="1">
        <f t="array" ref="AW1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441">
        <f>IF(ISERROR(PV_DATA[[#This Row],[New Ark PO status]]),"",_xlfn.XLOOKUP(PV_DATA[[#This Row],[SPTN-PVHK New Ark PO'#]],New_Ark_Data[Purchase order Number],New_Ark_Data[Estimated time of arrival],"",0))</f>
        <v>0</v>
      </c>
      <c r="AZ118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7" s="437" t="str">
        <f>IFERROR(PV_DATA[[#This Row],[ODP ETA Port]]+PV_DATA[[#This Row],[Customs/Leg3 Assumption]],"n/a")</f>
        <v>n/a</v>
      </c>
      <c r="BB1187" s="442" t="e">
        <f>YEAR(PV_DATA[[#This Row],[ETA for New Ark update]])</f>
        <v>#VALUE!</v>
      </c>
      <c r="BC1187" s="431" t="e">
        <f>MONTH(PV_DATA[[#This Row],[ETA for New Ark update]])</f>
        <v>#VALUE!</v>
      </c>
      <c r="BD1187" s="431">
        <f>IFERROR(_xlfn.ISOWEEKNUM(PV_DATA[[#This Row],[ETA for New Ark update]]),0)</f>
        <v>0</v>
      </c>
      <c r="BE1187" s="431">
        <f>_xlfn.XLOOKUP(PV_DATA[[#This Row],[New Ark SKU]],Table9[New Ark SKU],Table9[Total PCS per Pallet],,0)</f>
        <v>36</v>
      </c>
      <c r="BF1187" s="431">
        <f>_xlfn.XLOOKUP(PV_DATA[[#This Row],[New Ark SKU]],Table9[New Ark SKU],Table9[Total PCS per 40HQ Container],,0)</f>
        <v>864</v>
      </c>
      <c r="BG1187" s="431" t="str">
        <f>_xlfn.XLOOKUP(PV_DATA[[#This Row],[New Ark SKU]],Table9[New Ark SKU],Table9[Back Glass],,0)</f>
        <v>White glazing</v>
      </c>
      <c r="BH1187" s="431" t="str">
        <f>_xlfn.XLOOKUP(PV_DATA[[#This Row],[PORT DESTINATION]],Table12[PORT DESTINATION],Table12[Cosco Line],,0)</f>
        <v>n/a</v>
      </c>
      <c r="BJ1187" s="430"/>
    </row>
    <row r="1188" spans="1:62" ht="10.5">
      <c r="A1188" s="439" t="s">
        <v>4888</v>
      </c>
      <c r="B1188" s="439" t="s">
        <v>61</v>
      </c>
      <c r="C1188" s="439" t="str">
        <f>IFERROR(LEFT(PV_DATA[[#This Row],[TCL REFERENCE]],FIND(".",PV_DATA[[#This Row],[TCL REFERENCE]],1)-1),"Main Line")</f>
        <v>Main Line</v>
      </c>
      <c r="D1188" s="439" t="s">
        <v>63</v>
      </c>
      <c r="E1188" s="439" t="s">
        <v>68</v>
      </c>
      <c r="F1188" s="439" t="str" cm="1">
        <f t="array" ref="F118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8" s="439" t="s">
        <v>68</v>
      </c>
      <c r="H1188" s="439" t="s">
        <v>68</v>
      </c>
      <c r="I1188" s="439" t="s">
        <v>68</v>
      </c>
      <c r="J1188" s="431" t="s">
        <v>7247</v>
      </c>
      <c r="K1188" s="431"/>
      <c r="L1188" s="431"/>
      <c r="M1188" s="430" t="s">
        <v>6315</v>
      </c>
      <c r="N1188" s="461">
        <v>45809</v>
      </c>
      <c r="O1188" s="431" t="s">
        <v>4531</v>
      </c>
      <c r="P1188" s="431" t="s">
        <v>195</v>
      </c>
      <c r="Q1188" s="431" t="s">
        <v>196</v>
      </c>
      <c r="R1188" s="430" t="str">
        <f>_xlfn.XLOOKUP(PV_DATA[[#This Row],[New Ark SKU]],Table9[New Ark SKU],Table9[Connector],,0)</f>
        <v>EVO2A</v>
      </c>
      <c r="S1188" s="433" t="str">
        <f>_xlfn.XLOOKUP(PV_DATA[[#This Row],[New Ark SKU]],Table9[New Ark SKU],Table9[Cable],,0)</f>
        <v>±1200mm</v>
      </c>
      <c r="T1188" s="442">
        <v>450</v>
      </c>
      <c r="U1188" s="1093" cm="1">
        <f t="array" ref="U1188">53352-fx_qty</f>
        <v>0</v>
      </c>
      <c r="V1188" s="434">
        <f>PV_DATA[[#This Row],[QUANTITY]]*PV_DATA[[#This Row],[WATT]]/1000000</f>
        <v>0</v>
      </c>
      <c r="W1188" s="435">
        <f>PV_DATA[[#This Row],[QUANTITY]]/PV_DATA[[#This Row],[Qty/Pallet]]</f>
        <v>0</v>
      </c>
      <c r="X1188" s="1040">
        <f>PV_DATA[[#This Row],[QUANTITY]]/PV_DATA[[#This Row],[Qty/CT]]</f>
        <v>0</v>
      </c>
      <c r="Y1188" s="431" t="s">
        <v>7027</v>
      </c>
      <c r="Z1188" s="430" t="str">
        <f t="shared" si="27"/>
        <v/>
      </c>
      <c r="AA1188" s="431"/>
      <c r="AB1188" s="441"/>
      <c r="AC1188" s="467" t="str">
        <f>IF(PV_DATA[[#This Row],[Pick- Up Date]]&lt;&gt;"",_xlfn.ISOWEEKNUM(PV_DATA[[#This Row],[Pick- Up Date]]),"")</f>
        <v/>
      </c>
      <c r="AD1188" s="431"/>
      <c r="AE1188" s="431"/>
      <c r="AF1188" s="431" t="s">
        <v>61</v>
      </c>
      <c r="AG1188" s="431" t="s">
        <v>61</v>
      </c>
      <c r="AH1188" s="431" t="s">
        <v>68</v>
      </c>
      <c r="AI1188" s="441"/>
      <c r="AJ1188" s="441"/>
      <c r="AK1188" s="437" t="str">
        <f>IFERROR(IF(VLOOKUP(AT1188,Vessel!A:F,5,FALSE)=0,"",VLOOKUP(AT1188,Vessel!A:F,5,FALSE)),"")</f>
        <v/>
      </c>
      <c r="AL1188" s="441"/>
      <c r="AM1188" s="441"/>
      <c r="AN1188" s="586" t="str">
        <f>IFERROR(IF(VLOOKUP(AT1188,Vessel!A:I,9,FALSE)=0,"",VLOOKUP(AT1188,Vessel!A:I,9,FALSE)),"")</f>
        <v/>
      </c>
      <c r="AO1188" s="431"/>
      <c r="AP1188" s="431"/>
      <c r="AQ1188" s="431"/>
      <c r="AR1188" s="431"/>
      <c r="AS1188" s="431"/>
      <c r="AT1188" s="431"/>
      <c r="AU11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8" s="441"/>
      <c r="AW1188" s="441" t="str" cm="1">
        <f t="array" ref="AW1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1">
        <f>IF(ISERROR(PV_DATA[[#This Row],[New Ark PO status]]),"",_xlfn.XLOOKUP(PV_DATA[[#This Row],[SPTN-PVHK New Ark PO'#]],New_Ark_Data[Purchase order Number],New_Ark_Data[Estimated time of arrival],"",0))</f>
        <v>0</v>
      </c>
      <c r="AZ118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8" s="437" t="str">
        <f>IFERROR(PV_DATA[[#This Row],[ODP ETA Port]]+PV_DATA[[#This Row],[Customs/Leg3 Assumption]],"n/a")</f>
        <v>n/a</v>
      </c>
      <c r="BB1188" s="442" t="e">
        <f>YEAR(PV_DATA[[#This Row],[ETA for New Ark update]])</f>
        <v>#VALUE!</v>
      </c>
      <c r="BC1188" s="431" t="e">
        <f>MONTH(PV_DATA[[#This Row],[ETA for New Ark update]])</f>
        <v>#VALUE!</v>
      </c>
      <c r="BD1188" s="431">
        <f>IFERROR(_xlfn.ISOWEEKNUM(PV_DATA[[#This Row],[ETA for New Ark update]]),0)</f>
        <v>0</v>
      </c>
      <c r="BE1188" s="431">
        <f>_xlfn.XLOOKUP(PV_DATA[[#This Row],[New Ark SKU]],Table9[New Ark SKU],Table9[Total PCS per Pallet],,0)</f>
        <v>36</v>
      </c>
      <c r="BF1188" s="431">
        <f>_xlfn.XLOOKUP(PV_DATA[[#This Row],[New Ark SKU]],Table9[New Ark SKU],Table9[Total PCS per 40HQ Container],,0)</f>
        <v>936</v>
      </c>
      <c r="BG1188" s="431" t="str">
        <f>_xlfn.XLOOKUP(PV_DATA[[#This Row],[New Ark SKU]],Table9[New Ark SKU],Table9[Back Glass],,0)</f>
        <v>Black glazing</v>
      </c>
      <c r="BH1188" s="431" t="str">
        <f>_xlfn.XLOOKUP(PV_DATA[[#This Row],[PORT DESTINATION]],Table12[PORT DESTINATION],Table12[Cosco Line],,0)</f>
        <v>n/a</v>
      </c>
      <c r="BJ1188" s="430"/>
    </row>
    <row r="1189" spans="1:62" ht="10.5">
      <c r="A1189" s="439" t="s">
        <v>7248</v>
      </c>
      <c r="B1189" s="439" t="s">
        <v>61</v>
      </c>
      <c r="C1189" s="439" t="str">
        <f>IFERROR(LEFT(PV_DATA[[#This Row],[TCL REFERENCE]],FIND(".",PV_DATA[[#This Row],[TCL REFERENCE]],1)-1),"Main Line")</f>
        <v>Main Line</v>
      </c>
      <c r="D1189" s="439" t="s">
        <v>63</v>
      </c>
      <c r="E1189" s="439" t="s">
        <v>68</v>
      </c>
      <c r="F1189" s="439" t="str" cm="1">
        <f t="array" ref="F118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9" s="439" t="s">
        <v>68</v>
      </c>
      <c r="H1189" s="439" t="s">
        <v>68</v>
      </c>
      <c r="I1189" s="439" t="s">
        <v>68</v>
      </c>
      <c r="J1189" s="431" t="s">
        <v>68</v>
      </c>
      <c r="K1189" s="431"/>
      <c r="L1189" s="431"/>
      <c r="M1189" s="430" t="s">
        <v>6315</v>
      </c>
      <c r="N1189" s="461">
        <v>45809</v>
      </c>
      <c r="O1189" s="431" t="s">
        <v>4531</v>
      </c>
      <c r="P1189" s="431" t="s">
        <v>965</v>
      </c>
      <c r="Q1189" s="431" t="s">
        <v>966</v>
      </c>
      <c r="R1189" s="430" t="str">
        <f>_xlfn.XLOOKUP(PV_DATA[[#This Row],[New Ark SKU]],Table9[New Ark SKU],Table9[Connector],,0)</f>
        <v>EVO2A</v>
      </c>
      <c r="S1189" s="433" t="str">
        <f>_xlfn.XLOOKUP(PV_DATA[[#This Row],[New Ark SKU]],Table9[New Ark SKU],Table9[Cable],,0)</f>
        <v>±1200mm</v>
      </c>
      <c r="T1189" s="442">
        <v>455</v>
      </c>
      <c r="U1189" s="1093" cm="1">
        <f t="array" ref="U1189">13104-fx_qty</f>
        <v>0</v>
      </c>
      <c r="V1189" s="434">
        <f>PV_DATA[[#This Row],[QUANTITY]]*PV_DATA[[#This Row],[WATT]]/1000000</f>
        <v>0</v>
      </c>
      <c r="W1189" s="435">
        <f>PV_DATA[[#This Row],[QUANTITY]]/PV_DATA[[#This Row],[Qty/Pallet]]</f>
        <v>0</v>
      </c>
      <c r="X1189" s="1040">
        <f>PV_DATA[[#This Row],[QUANTITY]]/PV_DATA[[#This Row],[Qty/CT]]</f>
        <v>0</v>
      </c>
      <c r="Y1189" s="431" t="s">
        <v>7027</v>
      </c>
      <c r="Z1189" s="430" t="str">
        <f t="shared" si="27"/>
        <v/>
      </c>
      <c r="AA1189" s="431"/>
      <c r="AB1189" s="441"/>
      <c r="AC1189" s="467" t="str">
        <f>IF(PV_DATA[[#This Row],[Pick- Up Date]]&lt;&gt;"",_xlfn.ISOWEEKNUM(PV_DATA[[#This Row],[Pick- Up Date]]),"")</f>
        <v/>
      </c>
      <c r="AD1189" s="431"/>
      <c r="AE1189" s="431"/>
      <c r="AF1189" s="431" t="s">
        <v>61</v>
      </c>
      <c r="AG1189" s="431" t="s">
        <v>61</v>
      </c>
      <c r="AH1189" s="431" t="s">
        <v>68</v>
      </c>
      <c r="AI1189" s="441"/>
      <c r="AJ1189" s="441"/>
      <c r="AK1189" s="437" t="str">
        <f>IFERROR(IF(VLOOKUP(AT1189,Vessel!A:F,5,FALSE)=0,"",VLOOKUP(AT1189,Vessel!A:F,5,FALSE)),"")</f>
        <v/>
      </c>
      <c r="AL1189" s="441"/>
      <c r="AM1189" s="441"/>
      <c r="AN1189" s="586" t="str">
        <f>IFERROR(IF(VLOOKUP(AT1189,Vessel!A:I,9,FALSE)=0,"",VLOOKUP(AT1189,Vessel!A:I,9,FALSE)),"")</f>
        <v/>
      </c>
      <c r="AO1189" s="431"/>
      <c r="AP1189" s="431"/>
      <c r="AQ1189" s="431"/>
      <c r="AR1189" s="431"/>
      <c r="AS1189" s="431"/>
      <c r="AT1189" s="431"/>
      <c r="AU11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9" s="441"/>
      <c r="AW1189" s="441" t="str" cm="1">
        <f t="array" ref="AW1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1">
        <f>IF(ISERROR(PV_DATA[[#This Row],[New Ark PO status]]),"",_xlfn.XLOOKUP(PV_DATA[[#This Row],[SPTN-PVHK New Ark PO'#]],New_Ark_Data[Purchase order Number],New_Ark_Data[Estimated time of arrival],"",0))</f>
        <v>0</v>
      </c>
      <c r="AZ118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9" s="437" t="str">
        <f>IFERROR(PV_DATA[[#This Row],[ODP ETA Port]]+PV_DATA[[#This Row],[Customs/Leg3 Assumption]],"n/a")</f>
        <v>n/a</v>
      </c>
      <c r="BB1189" s="442" t="e">
        <f>YEAR(PV_DATA[[#This Row],[ETA for New Ark update]])</f>
        <v>#VALUE!</v>
      </c>
      <c r="BC1189" s="431" t="e">
        <f>MONTH(PV_DATA[[#This Row],[ETA for New Ark update]])</f>
        <v>#VALUE!</v>
      </c>
      <c r="BD1189" s="431">
        <f>IFERROR(_xlfn.ISOWEEKNUM(PV_DATA[[#This Row],[ETA for New Ark update]]),0)</f>
        <v>0</v>
      </c>
      <c r="BE1189" s="431">
        <f>_xlfn.XLOOKUP(PV_DATA[[#This Row],[New Ark SKU]],Table9[New Ark SKU],Table9[Total PCS per Pallet],,0)</f>
        <v>36</v>
      </c>
      <c r="BF1189" s="431">
        <f>_xlfn.XLOOKUP(PV_DATA[[#This Row],[New Ark SKU]],Table9[New Ark SKU],Table9[Total PCS per 40HQ Container],,0)</f>
        <v>936</v>
      </c>
      <c r="BG1189" s="431" t="str">
        <f>_xlfn.XLOOKUP(PV_DATA[[#This Row],[New Ark SKU]],Table9[New Ark SKU],Table9[Back Glass],,0)</f>
        <v>Black glazing</v>
      </c>
      <c r="BH1189" s="431" t="str">
        <f>_xlfn.XLOOKUP(PV_DATA[[#This Row],[PORT DESTINATION]],Table12[PORT DESTINATION],Table12[Cosco Line],,0)</f>
        <v>n/a</v>
      </c>
      <c r="BJ1189" s="430"/>
    </row>
    <row r="1190" spans="1:62" ht="10.5">
      <c r="A1190" s="439" t="s">
        <v>5138</v>
      </c>
      <c r="B1190" s="439" t="s">
        <v>61</v>
      </c>
      <c r="C1190" s="439" t="str">
        <f>IFERROR(LEFT(PV_DATA[[#This Row],[TCL REFERENCE]],FIND(".",PV_DATA[[#This Row],[TCL REFERENCE]],1)-1),"Main Line")</f>
        <v>Main Line</v>
      </c>
      <c r="D1190" s="439" t="s">
        <v>63</v>
      </c>
      <c r="E1190" s="439" t="s">
        <v>68</v>
      </c>
      <c r="F1190" s="439" t="str" cm="1">
        <f t="array" ref="F119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0" s="439" t="s">
        <v>68</v>
      </c>
      <c r="H1190" s="439" t="s">
        <v>68</v>
      </c>
      <c r="I1190" s="439" t="s">
        <v>68</v>
      </c>
      <c r="J1190" s="431" t="s">
        <v>68</v>
      </c>
      <c r="K1190" s="431"/>
      <c r="L1190" s="431"/>
      <c r="M1190" s="430" t="s">
        <v>6315</v>
      </c>
      <c r="N1190" s="461">
        <v>46153</v>
      </c>
      <c r="O1190" s="431" t="s">
        <v>4531</v>
      </c>
      <c r="P1190" s="431" t="s">
        <v>1151</v>
      </c>
      <c r="Q1190" s="431" t="s">
        <v>421</v>
      </c>
      <c r="R1190" s="430" t="str">
        <f>_xlfn.XLOOKUP(PV_DATA[[#This Row],[New Ark SKU]],Table9[New Ark SKU],Table9[Connector],,0)</f>
        <v>EVO2A</v>
      </c>
      <c r="S1190" s="433" t="str">
        <f>_xlfn.XLOOKUP(PV_DATA[[#This Row],[New Ark SKU]],Table9[New Ark SKU],Table9[Cable],,0)</f>
        <v>±1200mm</v>
      </c>
      <c r="T1190" s="442">
        <v>505</v>
      </c>
      <c r="U1190" s="1093" cm="1">
        <f t="array" ref="U1190">24192-fx_qty</f>
        <v>0</v>
      </c>
      <c r="V1190" s="434">
        <f>PV_DATA[[#This Row],[QUANTITY]]*PV_DATA[[#This Row],[WATT]]/1000000</f>
        <v>0</v>
      </c>
      <c r="W1190" s="435">
        <f>PV_DATA[[#This Row],[QUANTITY]]/PV_DATA[[#This Row],[Qty/Pallet]]</f>
        <v>0</v>
      </c>
      <c r="X1190" s="1040">
        <f>PV_DATA[[#This Row],[QUANTITY]]/PV_DATA[[#This Row],[Qty/CT]]</f>
        <v>0</v>
      </c>
      <c r="Y1190" s="431" t="s">
        <v>7027</v>
      </c>
      <c r="Z1190" s="430" t="str">
        <f t="shared" si="27"/>
        <v/>
      </c>
      <c r="AA1190" s="431"/>
      <c r="AB1190" s="441"/>
      <c r="AC1190" s="467" t="str">
        <f>IF(PV_DATA[[#This Row],[Pick- Up Date]]&lt;&gt;"",_xlfn.ISOWEEKNUM(PV_DATA[[#This Row],[Pick- Up Date]]),"")</f>
        <v/>
      </c>
      <c r="AD1190" s="431"/>
      <c r="AE1190" s="431"/>
      <c r="AF1190" s="431" t="s">
        <v>61</v>
      </c>
      <c r="AG1190" s="431" t="s">
        <v>61</v>
      </c>
      <c r="AH1190" s="431" t="s">
        <v>68</v>
      </c>
      <c r="AI1190" s="441"/>
      <c r="AJ1190" s="441"/>
      <c r="AK1190" s="437" t="str">
        <f>IFERROR(IF(VLOOKUP(AT1190,Vessel!A:F,5,FALSE)=0,"",VLOOKUP(AT1190,Vessel!A:F,5,FALSE)),"")</f>
        <v/>
      </c>
      <c r="AL1190" s="441"/>
      <c r="AM1190" s="441"/>
      <c r="AN1190" s="586" t="str">
        <f>IFERROR(IF(VLOOKUP(AT1190,Vessel!A:I,9,FALSE)=0,"",VLOOKUP(AT1190,Vessel!A:I,9,FALSE)),"")</f>
        <v/>
      </c>
      <c r="AO1190" s="431"/>
      <c r="AP1190" s="431"/>
      <c r="AQ1190" s="431"/>
      <c r="AR1190" s="431"/>
      <c r="AS1190" s="431"/>
      <c r="AT1190" s="431"/>
      <c r="AU11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0" s="441"/>
      <c r="AW1190" s="441" t="str" cm="1">
        <f t="array" ref="AW1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441">
        <f>IF(ISERROR(PV_DATA[[#This Row],[New Ark PO status]]),"",_xlfn.XLOOKUP(PV_DATA[[#This Row],[SPTN-PVHK New Ark PO'#]],New_Ark_Data[Purchase order Number],New_Ark_Data[Estimated time of arrival],"",0))</f>
        <v>0</v>
      </c>
      <c r="AZ119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0" s="437" t="str">
        <f>IFERROR(PV_DATA[[#This Row],[ODP ETA Port]]+PV_DATA[[#This Row],[Customs/Leg3 Assumption]],"n/a")</f>
        <v>n/a</v>
      </c>
      <c r="BB1190" s="442" t="e">
        <f>YEAR(PV_DATA[[#This Row],[ETA for New Ark update]])</f>
        <v>#VALUE!</v>
      </c>
      <c r="BC1190" s="431" t="e">
        <f>MONTH(PV_DATA[[#This Row],[ETA for New Ark update]])</f>
        <v>#VALUE!</v>
      </c>
      <c r="BD1190" s="431">
        <f>IFERROR(_xlfn.ISOWEEKNUM(PV_DATA[[#This Row],[ETA for New Ark update]]),0)</f>
        <v>0</v>
      </c>
      <c r="BE1190" s="431">
        <f>_xlfn.XLOOKUP(PV_DATA[[#This Row],[New Ark SKU]],Table9[New Ark SKU],Table9[Total PCS per Pallet],,0)</f>
        <v>36</v>
      </c>
      <c r="BF1190" s="431">
        <f>_xlfn.XLOOKUP(PV_DATA[[#This Row],[New Ark SKU]],Table9[New Ark SKU],Table9[Total PCS per 40HQ Container],,0)</f>
        <v>864</v>
      </c>
      <c r="BG1190" s="431" t="str">
        <f>_xlfn.XLOOKUP(PV_DATA[[#This Row],[New Ark SKU]],Table9[New Ark SKU],Table9[Back Glass],,0)</f>
        <v>Black glazing</v>
      </c>
      <c r="BH1190" s="431" t="str">
        <f>_xlfn.XLOOKUP(PV_DATA[[#This Row],[PORT DESTINATION]],Table12[PORT DESTINATION],Table12[Cosco Line],,0)</f>
        <v>n/a</v>
      </c>
      <c r="BJ1190" s="430"/>
    </row>
    <row r="1191" spans="1:62" ht="10.5">
      <c r="A1191" s="439" t="s">
        <v>5056</v>
      </c>
      <c r="B1191" s="439" t="s">
        <v>111</v>
      </c>
      <c r="C1191" s="439" t="str">
        <f>IFERROR(LEFT(PV_DATA[[#This Row],[TCL REFERENCE]],FIND(".",PV_DATA[[#This Row],[TCL REFERENCE]],1)-1),"Main Line")</f>
        <v>Main Line</v>
      </c>
      <c r="D1191" s="439" t="s">
        <v>63</v>
      </c>
      <c r="E1191" s="439" t="s">
        <v>68</v>
      </c>
      <c r="F1191" s="439" t="str" cm="1">
        <f t="array" ref="F11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1" s="439" t="s">
        <v>68</v>
      </c>
      <c r="H1191" s="713" t="s">
        <v>68</v>
      </c>
      <c r="I1191" s="439" t="s">
        <v>68</v>
      </c>
      <c r="J1191" s="431" t="s">
        <v>68</v>
      </c>
      <c r="K1191" s="431"/>
      <c r="L1191" s="431"/>
      <c r="M1191" s="430" t="s">
        <v>6315</v>
      </c>
      <c r="N1191" s="461" t="s">
        <v>68</v>
      </c>
      <c r="O1191" s="431" t="s">
        <v>4531</v>
      </c>
      <c r="P1191" s="430" t="s">
        <v>5057</v>
      </c>
      <c r="Q1191" s="431" t="s">
        <v>1484</v>
      </c>
      <c r="R1191" s="430" t="str">
        <f>_xlfn.XLOOKUP(PV_DATA[[#This Row],[New Ark SKU]],Table9[New Ark SKU],Table9[Connector],,0)</f>
        <v>H4(Com)</v>
      </c>
      <c r="S1191" s="433" t="str">
        <f>_xlfn.XLOOKUP(PV_DATA[[#This Row],[New Ark SKU]],Table9[New Ark SKU],Table9[Cable],,0)</f>
        <v>+400mm/-200mm</v>
      </c>
      <c r="T1191" s="442">
        <v>725</v>
      </c>
      <c r="U1191" s="1093" cm="1">
        <f t="array" ref="U1191">35046-fx_qty</f>
        <v>0</v>
      </c>
      <c r="V1191" s="444">
        <f>PV_DATA[[#This Row],[QUANTITY]]*PV_DATA[[#This Row],[WATT]]/1000000</f>
        <v>0</v>
      </c>
      <c r="W1191" s="435">
        <f>PV_DATA[[#This Row],[QUANTITY]]/PV_DATA[[#This Row],[Qty/Pallet]]</f>
        <v>0</v>
      </c>
      <c r="X1191" s="1040">
        <f>PV_DATA[[#This Row],[QUANTITY]]/PV_DATA[[#This Row],[Qty/CT]]</f>
        <v>0</v>
      </c>
      <c r="Y1191" s="431" t="s">
        <v>7027</v>
      </c>
      <c r="Z1191" s="430" t="str">
        <f t="shared" si="27"/>
        <v/>
      </c>
      <c r="AA1191" s="431"/>
      <c r="AB1191" s="441"/>
      <c r="AC1191" s="467" t="str">
        <f>IF(PV_DATA[[#This Row],[Pick- Up Date]]&lt;&gt;"",_xlfn.ISOWEEKNUM(PV_DATA[[#This Row],[Pick- Up Date]]),"")</f>
        <v/>
      </c>
      <c r="AD1191" s="466"/>
      <c r="AE1191" s="466"/>
      <c r="AF1191" s="431" t="s">
        <v>122</v>
      </c>
      <c r="AG1191" s="431" t="s">
        <v>123</v>
      </c>
      <c r="AH1191" s="431" t="s">
        <v>68</v>
      </c>
      <c r="AI1191" s="441"/>
      <c r="AJ1191" s="441"/>
      <c r="AK1191" s="437" t="str">
        <f>IFERROR(IF(VLOOKUP(AT1191,Vessel!A:F,5,FALSE)=0,"",VLOOKUP(AT1191,Vessel!A:F,5,FALSE)),"")</f>
        <v/>
      </c>
      <c r="AL1191" s="441"/>
      <c r="AM1191" s="441"/>
      <c r="AN1191" s="586" t="str">
        <f>IFERROR(IF(VLOOKUP(AT1191,Vessel!A:I,9,FALSE)=0,"",VLOOKUP(AT1191,Vessel!A:I,9,FALSE)),"")</f>
        <v/>
      </c>
      <c r="AO1191" s="431"/>
      <c r="AP1191" s="431"/>
      <c r="AQ1191" s="431"/>
      <c r="AR1191" s="431"/>
      <c r="AS1191" s="431"/>
      <c r="AT1191" s="431"/>
      <c r="AU11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1" s="441"/>
      <c r="AW1191" s="441" t="str" cm="1">
        <f t="array" ref="AW1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441">
        <f>IF(ISERROR(PV_DATA[[#This Row],[New Ark PO status]]),"",_xlfn.XLOOKUP(PV_DATA[[#This Row],[SPTN-PVHK New Ark PO'#]],New_Ark_Data[Purchase order Number],New_Ark_Data[Estimated time of arrival],"",0))</f>
        <v>0</v>
      </c>
      <c r="AZ119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1" s="437" t="str">
        <f>IFERROR(PV_DATA[[#This Row],[ODP ETA Port]]+PV_DATA[[#This Row],[Customs/Leg3 Assumption]],"n/a")</f>
        <v>n/a</v>
      </c>
      <c r="BB1191" s="442" t="e">
        <f>YEAR(PV_DATA[[#This Row],[ETA for New Ark update]])</f>
        <v>#VALUE!</v>
      </c>
      <c r="BC1191" s="431" t="e">
        <f>MONTH(PV_DATA[[#This Row],[ETA for New Ark update]])</f>
        <v>#VALUE!</v>
      </c>
      <c r="BD1191" s="431">
        <f>IFERROR(_xlfn.ISOWEEKNUM(PV_DATA[[#This Row],[ETA for New Ark update]]),0)</f>
        <v>0</v>
      </c>
      <c r="BE1191" s="431">
        <f>_xlfn.XLOOKUP(PV_DATA[[#This Row],[New Ark SKU]],Table9[New Ark SKU],Table9[Total PCS per Pallet],,0)</f>
        <v>33</v>
      </c>
      <c r="BF1191" s="431">
        <f>_xlfn.XLOOKUP(PV_DATA[[#This Row],[New Ark SKU]],Table9[New Ark SKU],Table9[Total PCS per 40HQ Container],,0)</f>
        <v>594</v>
      </c>
      <c r="BG1191" s="431" t="str">
        <f>_xlfn.XLOOKUP(PV_DATA[[#This Row],[New Ark SKU]],Table9[New Ark SKU],Table9[Back Glass],,0)</f>
        <v>Transparent</v>
      </c>
      <c r="BH1191" s="431" t="str">
        <f>_xlfn.XLOOKUP(PV_DATA[[#This Row],[PORT DESTINATION]],Table12[PORT DESTINATION],Table12[Cosco Line],,0)</f>
        <v>n/a</v>
      </c>
      <c r="BJ1191" s="430"/>
    </row>
    <row r="1192" spans="1:62" s="431" customFormat="1">
      <c r="A1192" s="439" t="s">
        <v>4834</v>
      </c>
      <c r="B1192" s="439" t="s">
        <v>111</v>
      </c>
      <c r="C1192" s="439" t="str">
        <f>IFERROR(LEFT(PV_DATA[[#This Row],[TCL REFERENCE]],FIND(".",PV_DATA[[#This Row],[TCL REFERENCE]],1)-1),"Main Line")</f>
        <v>Main Line</v>
      </c>
      <c r="D1192" s="439" t="s">
        <v>63</v>
      </c>
      <c r="E1192" s="439" t="s">
        <v>68</v>
      </c>
      <c r="F1192" s="439" t="str" cm="1">
        <f t="array" ref="F11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2" s="439" t="s">
        <v>68</v>
      </c>
      <c r="H1192" s="439" t="s">
        <v>68</v>
      </c>
      <c r="I1192" s="439" t="s">
        <v>68</v>
      </c>
      <c r="J1192" s="431" t="s">
        <v>68</v>
      </c>
      <c r="M1192" s="430" t="s">
        <v>6315</v>
      </c>
      <c r="N1192" s="461" t="s">
        <v>68</v>
      </c>
      <c r="O1192" s="431" t="s">
        <v>4486</v>
      </c>
      <c r="P1192" s="431" t="s">
        <v>4487</v>
      </c>
      <c r="Q1192" s="431" t="s">
        <v>4488</v>
      </c>
      <c r="R1192" s="430" t="str">
        <f>_xlfn.XLOOKUP(PV_DATA[[#This Row],[New Ark SKU]],Table9[New Ark SKU],Table9[Connector],,0)</f>
        <v>EVO2A</v>
      </c>
      <c r="S1192" s="433" t="str">
        <f>_xlfn.XLOOKUP(PV_DATA[[#This Row],[New Ark SKU]],Table9[New Ark SKU],Table9[Cable],,0)</f>
        <v>±1400mm</v>
      </c>
      <c r="T1192" s="442">
        <v>640</v>
      </c>
      <c r="U1192" s="1093" cm="1">
        <f t="array" ref="U1192">6480-fx_qty</f>
        <v>0</v>
      </c>
      <c r="V1192" s="434">
        <f>PV_DATA[[#This Row],[QUANTITY]]*PV_DATA[[#This Row],[WATT]]/1000000</f>
        <v>0</v>
      </c>
      <c r="W1192" s="435">
        <f>PV_DATA[[#This Row],[QUANTITY]]/PV_DATA[[#This Row],[Qty/Pallet]]</f>
        <v>0</v>
      </c>
      <c r="X1192" s="1040">
        <f>PV_DATA[[#This Row],[QUANTITY]]/PV_DATA[[#This Row],[Qty/CT]]</f>
        <v>0</v>
      </c>
      <c r="Y1192" s="430" t="s">
        <v>7027</v>
      </c>
      <c r="Z1192" s="430" t="str">
        <f t="shared" si="27"/>
        <v/>
      </c>
      <c r="AB1192" s="441"/>
      <c r="AC1192" s="467" t="str">
        <f>IF(PV_DATA[[#This Row],[Pick- Up Date]]&lt;&gt;"",_xlfn.ISOWEEKNUM(PV_DATA[[#This Row],[Pick- Up Date]]),"")</f>
        <v/>
      </c>
      <c r="AF1192" s="431" t="s">
        <v>4423</v>
      </c>
      <c r="AG1192" s="431" t="s">
        <v>123</v>
      </c>
      <c r="AH1192" s="431" t="s">
        <v>105</v>
      </c>
      <c r="AI1192" s="441"/>
      <c r="AJ1192" s="441"/>
      <c r="AK1192" s="437" t="str">
        <f>IFERROR(IF(VLOOKUP(AT1192,Vessel!A:F,5,FALSE)=0,"",VLOOKUP(AT1192,Vessel!A:F,5,FALSE)),"")</f>
        <v/>
      </c>
      <c r="AL1192" s="441"/>
      <c r="AM1192" s="441"/>
      <c r="AN1192" s="586" t="str">
        <f>IFERROR(IF(VLOOKUP(AT1192,Vessel!A:I,9,FALSE)=0,"",VLOOKUP(AT1192,Vessel!A:I,9,FALSE)),"")</f>
        <v/>
      </c>
      <c r="AU11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2" s="441" t="str" cm="1">
        <f t="array" ref="AW1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1">
        <f>IF(ISERROR(PV_DATA[[#This Row],[New Ark PO status]]),"",_xlfn.XLOOKUP(PV_DATA[[#This Row],[SPTN-PVHK New Ark PO'#]],New_Ark_Data[Purchase order Number],New_Ark_Data[Estimated time of arrival],"",0))</f>
        <v>0</v>
      </c>
      <c r="AZ119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2" s="437" t="str">
        <f>IFERROR(PV_DATA[[#This Row],[ODP ETA Port]]+PV_DATA[[#This Row],[Customs/Leg3 Assumption]],"n/a")</f>
        <v>n/a</v>
      </c>
      <c r="BB1192" s="442" t="e">
        <f>YEAR(PV_DATA[[#This Row],[ETA for New Ark update]])</f>
        <v>#VALUE!</v>
      </c>
      <c r="BC1192" s="431" t="e">
        <f>MONTH(PV_DATA[[#This Row],[ETA for New Ark update]])</f>
        <v>#VALUE!</v>
      </c>
      <c r="BD1192" s="431">
        <f>IFERROR(_xlfn.ISOWEEKNUM(PV_DATA[[#This Row],[ETA for New Ark update]]),0)</f>
        <v>0</v>
      </c>
      <c r="BE1192" s="431">
        <f>_xlfn.XLOOKUP(PV_DATA[[#This Row],[New Ark SKU]],Table9[New Ark SKU],Table9[Total PCS per Pallet],,0)</f>
        <v>36</v>
      </c>
      <c r="BF1192" s="431">
        <f>_xlfn.XLOOKUP(PV_DATA[[#This Row],[New Ark SKU]],Table9[New Ark SKU],Table9[Total PCS per 40HQ Container],,0)</f>
        <v>720</v>
      </c>
      <c r="BG1192" s="431" t="str">
        <f>_xlfn.XLOOKUP(PV_DATA[[#This Row],[New Ark SKU]],Table9[New Ark SKU],Table9[Back Glass],,0)</f>
        <v>Transparent</v>
      </c>
      <c r="BH1192" s="431" t="str">
        <f>_xlfn.XLOOKUP(PV_DATA[[#This Row],[PORT DESTINATION]],Table12[PORT DESTINATION],Table12[Cosco Line],,0)</f>
        <v>AEU</v>
      </c>
    </row>
    <row r="1193" spans="1:62" s="431" customFormat="1">
      <c r="A1193" s="439" t="s">
        <v>7249</v>
      </c>
      <c r="B1193" s="439" t="s">
        <v>111</v>
      </c>
      <c r="C1193" s="439" t="str">
        <f>IFERROR(LEFT(PV_DATA[[#This Row],[TCL REFERENCE]],FIND(".",PV_DATA[[#This Row],[TCL REFERENCE]],1)-1),"Main Line")</f>
        <v>Main Line</v>
      </c>
      <c r="D1193" s="439" t="s">
        <v>63</v>
      </c>
      <c r="E1193" s="439" t="s">
        <v>68</v>
      </c>
      <c r="F1193" s="439" t="str" cm="1">
        <f t="array" ref="F119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3" s="439" t="s">
        <v>68</v>
      </c>
      <c r="H1193" s="439" t="s">
        <v>68</v>
      </c>
      <c r="I1193" s="439" t="s">
        <v>68</v>
      </c>
      <c r="J1193" s="431" t="s">
        <v>68</v>
      </c>
      <c r="M1193" s="430" t="s">
        <v>6315</v>
      </c>
      <c r="N1193" s="461" t="s">
        <v>68</v>
      </c>
      <c r="O1193" s="431" t="s">
        <v>4486</v>
      </c>
      <c r="P1193" s="431" t="s">
        <v>4520</v>
      </c>
      <c r="Q1193" s="431" t="s">
        <v>4521</v>
      </c>
      <c r="R1193" s="430" t="str">
        <f>_xlfn.XLOOKUP(PV_DATA[[#This Row],[New Ark SKU]],Table9[New Ark SKU],Table9[Connector],,0)</f>
        <v>EVO2A</v>
      </c>
      <c r="S1193" s="433" t="str">
        <f>_xlfn.XLOOKUP(PV_DATA[[#This Row],[New Ark SKU]],Table9[New Ark SKU],Table9[Cable],,0)</f>
        <v>±1400mm</v>
      </c>
      <c r="T1193" s="442">
        <v>645</v>
      </c>
      <c r="U1193" s="1093" cm="1">
        <f t="array" ref="U1193">9360-fx_qty</f>
        <v>0</v>
      </c>
      <c r="V1193" s="434">
        <f>PV_DATA[[#This Row],[QUANTITY]]*PV_DATA[[#This Row],[WATT]]/1000000</f>
        <v>0</v>
      </c>
      <c r="W1193" s="435">
        <f>PV_DATA[[#This Row],[QUANTITY]]/PV_DATA[[#This Row],[Qty/Pallet]]</f>
        <v>0</v>
      </c>
      <c r="X1193" s="1040">
        <f>PV_DATA[[#This Row],[QUANTITY]]/PV_DATA[[#This Row],[Qty/CT]]</f>
        <v>0</v>
      </c>
      <c r="Y1193" s="430" t="s">
        <v>7027</v>
      </c>
      <c r="Z1193" s="430" t="str">
        <f t="shared" si="27"/>
        <v/>
      </c>
      <c r="AB1193" s="441"/>
      <c r="AC1193" s="467" t="str">
        <f>IF(PV_DATA[[#This Row],[Pick- Up Date]]&lt;&gt;"",_xlfn.ISOWEEKNUM(PV_DATA[[#This Row],[Pick- Up Date]]),"")</f>
        <v/>
      </c>
      <c r="AF1193" s="431" t="s">
        <v>4423</v>
      </c>
      <c r="AG1193" s="431" t="s">
        <v>123</v>
      </c>
      <c r="AH1193" s="431" t="s">
        <v>105</v>
      </c>
      <c r="AI1193" s="441"/>
      <c r="AJ1193" s="441"/>
      <c r="AK1193" s="437" t="str">
        <f>IFERROR(IF(VLOOKUP(AT1193,Vessel!A:F,5,FALSE)=0,"",VLOOKUP(AT1193,Vessel!A:F,5,FALSE)),"")</f>
        <v/>
      </c>
      <c r="AL1193" s="441"/>
      <c r="AM1193" s="441"/>
      <c r="AN1193" s="586" t="str">
        <f>IFERROR(IF(VLOOKUP(AT1193,Vessel!A:I,9,FALSE)=0,"",VLOOKUP(AT1193,Vessel!A:I,9,FALSE)),"")</f>
        <v/>
      </c>
      <c r="AU11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3" s="441" t="str" cm="1">
        <f t="array" ref="AW1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1">
        <f>IF(ISERROR(PV_DATA[[#This Row],[New Ark PO status]]),"",_xlfn.XLOOKUP(PV_DATA[[#This Row],[SPTN-PVHK New Ark PO'#]],New_Ark_Data[Purchase order Number],New_Ark_Data[Estimated time of arrival],"",0))</f>
        <v>0</v>
      </c>
      <c r="AZ119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3" s="437" t="str">
        <f>IFERROR(PV_DATA[[#This Row],[ODP ETA Port]]+PV_DATA[[#This Row],[Customs/Leg3 Assumption]],"n/a")</f>
        <v>n/a</v>
      </c>
      <c r="BB1193" s="442" t="e">
        <f>YEAR(PV_DATA[[#This Row],[ETA for New Ark update]])</f>
        <v>#VALUE!</v>
      </c>
      <c r="BC1193" s="431" t="e">
        <f>MONTH(PV_DATA[[#This Row],[ETA for New Ark update]])</f>
        <v>#VALUE!</v>
      </c>
      <c r="BD1193" s="431">
        <f>IFERROR(_xlfn.ISOWEEKNUM(PV_DATA[[#This Row],[ETA for New Ark update]]),0)</f>
        <v>0</v>
      </c>
      <c r="BE1193" s="431">
        <f>_xlfn.XLOOKUP(PV_DATA[[#This Row],[New Ark SKU]],Table9[New Ark SKU],Table9[Total PCS per Pallet],,0)</f>
        <v>36</v>
      </c>
      <c r="BF1193" s="431">
        <f>_xlfn.XLOOKUP(PV_DATA[[#This Row],[New Ark SKU]],Table9[New Ark SKU],Table9[Total PCS per 40HQ Container],,0)</f>
        <v>720</v>
      </c>
      <c r="BG1193" s="431" t="str">
        <f>_xlfn.XLOOKUP(PV_DATA[[#This Row],[New Ark SKU]],Table9[New Ark SKU],Table9[Back Glass],,0)</f>
        <v>Transparent</v>
      </c>
      <c r="BH1193" s="431" t="str">
        <f>_xlfn.XLOOKUP(PV_DATA[[#This Row],[PORT DESTINATION]],Table12[PORT DESTINATION],Table12[Cosco Line],,0)</f>
        <v>AEU</v>
      </c>
    </row>
    <row r="1194" spans="1:62" ht="10.5">
      <c r="A1194" s="439" t="s">
        <v>7250</v>
      </c>
      <c r="B1194" s="439" t="s">
        <v>111</v>
      </c>
      <c r="C1194" s="439" t="str">
        <f>IFERROR(LEFT(PV_DATA[[#This Row],[TCL REFERENCE]],FIND(".",PV_DATA[[#This Row],[TCL REFERENCE]],1)-1),"Main Line")</f>
        <v>Main Line</v>
      </c>
      <c r="D1194" s="439" t="s">
        <v>63</v>
      </c>
      <c r="E1194" s="439" t="s">
        <v>68</v>
      </c>
      <c r="F1194" s="439" t="str" cm="1">
        <f t="array" ref="F11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4" s="439" t="s">
        <v>68</v>
      </c>
      <c r="H1194" s="439" t="s">
        <v>68</v>
      </c>
      <c r="I1194" s="439" t="s">
        <v>68</v>
      </c>
      <c r="J1194" s="431" t="s">
        <v>68</v>
      </c>
      <c r="K1194" s="431"/>
      <c r="L1194" s="431"/>
      <c r="M1194" s="430" t="s">
        <v>6315</v>
      </c>
      <c r="N1194" s="461">
        <v>46191</v>
      </c>
      <c r="O1194" s="431" t="s">
        <v>550</v>
      </c>
      <c r="P1194" s="431" t="s">
        <v>551</v>
      </c>
      <c r="Q1194" s="431" t="s">
        <v>2151</v>
      </c>
      <c r="R1194" s="430" t="str">
        <f>_xlfn.XLOOKUP(PV_DATA[[#This Row],[New Ark SKU]],Table9[New Ark SKU],Table9[Connector],,0)</f>
        <v>EVO2A</v>
      </c>
      <c r="S1194" s="433" t="str">
        <f>_xlfn.XLOOKUP(PV_DATA[[#This Row],[New Ark SKU]],Table9[New Ark SKU],Table9[Cable],,0)</f>
        <v>±1350mm</v>
      </c>
      <c r="T1194" s="442">
        <v>510</v>
      </c>
      <c r="U1194" s="1093" cm="1">
        <f t="array" ref="U1194">7920-fx_qty</f>
        <v>0</v>
      </c>
      <c r="V1194" s="434">
        <f>PV_DATA[[#This Row],[QUANTITY]]*PV_DATA[[#This Row],[WATT]]/1000000</f>
        <v>0</v>
      </c>
      <c r="W1194" s="435">
        <f>PV_DATA[[#This Row],[QUANTITY]]/PV_DATA[[#This Row],[Qty/Pallet]]</f>
        <v>0</v>
      </c>
      <c r="X1194" s="1040">
        <f>PV_DATA[[#This Row],[QUANTITY]]/PV_DATA[[#This Row],[Qty/CT]]</f>
        <v>0</v>
      </c>
      <c r="Y1194" s="431" t="s">
        <v>7027</v>
      </c>
      <c r="Z1194" s="430" t="str">
        <f t="shared" si="27"/>
        <v/>
      </c>
      <c r="AA1194" s="431"/>
      <c r="AB1194" s="441"/>
      <c r="AC1194" s="467" t="str">
        <f>IF(PV_DATA[[#This Row],[Pick- Up Date]]&lt;&gt;"",_xlfn.ISOWEEKNUM(PV_DATA[[#This Row],[Pick- Up Date]]),"")</f>
        <v/>
      </c>
      <c r="AD1194" s="1004"/>
      <c r="AE1194" s="431"/>
      <c r="AF1194" s="431" t="s">
        <v>122</v>
      </c>
      <c r="AG1194" s="431" t="s">
        <v>123</v>
      </c>
      <c r="AH1194" s="431" t="s">
        <v>68</v>
      </c>
      <c r="AI1194" s="441"/>
      <c r="AJ1194" s="441"/>
      <c r="AK1194" s="437" t="str">
        <f>IFERROR(IF(VLOOKUP(AT1194,Vessel!A:F,5,FALSE)=0,"",VLOOKUP(AT1194,Vessel!A:F,5,FALSE)),"")</f>
        <v/>
      </c>
      <c r="AL1194" s="441"/>
      <c r="AM1194" s="441"/>
      <c r="AN1194" s="586" t="str">
        <f>IFERROR(IF(VLOOKUP(AT1194,Vessel!A:I,9,FALSE)=0,"",VLOOKUP(AT1194,Vessel!A:I,9,FALSE)),"")</f>
        <v/>
      </c>
      <c r="AO1194" s="431"/>
      <c r="AP1194" s="431"/>
      <c r="AQ1194" s="431"/>
      <c r="AR1194" s="431"/>
      <c r="AS1194" s="431"/>
      <c r="AT1194" s="431"/>
      <c r="AU11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4" s="441"/>
      <c r="AW1194" s="441" t="str" cm="1">
        <f t="array" ref="AW1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441">
        <f>IF(ISERROR(PV_DATA[[#This Row],[New Ark PO status]]),"",_xlfn.XLOOKUP(PV_DATA[[#This Row],[SPTN-PVHK New Ark PO'#]],New_Ark_Data[Purchase order Number],New_Ark_Data[Estimated time of arrival],"",0))</f>
        <v>0</v>
      </c>
      <c r="AZ119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4" s="437" t="str">
        <f>IFERROR(PV_DATA[[#This Row],[ODP ETA Port]]+PV_DATA[[#This Row],[Customs/Leg3 Assumption]],"n/a")</f>
        <v>n/a</v>
      </c>
      <c r="BB1194" s="442" t="e">
        <f>YEAR(PV_DATA[[#This Row],[ETA for New Ark update]])</f>
        <v>#VALUE!</v>
      </c>
      <c r="BC1194" s="431" t="e">
        <f>MONTH(PV_DATA[[#This Row],[ETA for New Ark update]])</f>
        <v>#VALUE!</v>
      </c>
      <c r="BD1194" s="431">
        <f>IFERROR(_xlfn.ISOWEEKNUM(PV_DATA[[#This Row],[ETA for New Ark update]]),0)</f>
        <v>0</v>
      </c>
      <c r="BE1194" s="431">
        <f>_xlfn.XLOOKUP(PV_DATA[[#This Row],[New Ark SKU]],Table9[New Ark SKU],Table9[Total PCS per Pallet],,0)</f>
        <v>36</v>
      </c>
      <c r="BF1194" s="431">
        <f>_xlfn.XLOOKUP(PV_DATA[[#This Row],[New Ark SKU]],Table9[New Ark SKU],Table9[Total PCS per 40HQ Container],,0)</f>
        <v>792</v>
      </c>
      <c r="BG1194" s="431" t="str">
        <f>_xlfn.XLOOKUP(PV_DATA[[#This Row],[New Ark SKU]],Table9[New Ark SKU],Table9[Back Glass],,0)</f>
        <v>Black glazing</v>
      </c>
      <c r="BH1194" s="431" t="str">
        <f>_xlfn.XLOOKUP(PV_DATA[[#This Row],[PORT DESTINATION]],Table12[PORT DESTINATION],Table12[Cosco Line],,0)</f>
        <v>n/a</v>
      </c>
      <c r="BJ1194" s="430"/>
    </row>
    <row r="1195" spans="1:62" ht="10.5">
      <c r="A1195" s="439" t="s">
        <v>7251</v>
      </c>
      <c r="B1195" s="439" t="s">
        <v>111</v>
      </c>
      <c r="C1195" s="439" t="str">
        <f>IFERROR(LEFT(PV_DATA[[#This Row],[TCL REFERENCE]],FIND(".",PV_DATA[[#This Row],[TCL REFERENCE]],1)-1),"Main Line")</f>
        <v>Main Line</v>
      </c>
      <c r="D1195" s="439" t="s">
        <v>63</v>
      </c>
      <c r="E1195" s="439" t="s">
        <v>68</v>
      </c>
      <c r="F1195" s="439" t="str" cm="1">
        <f t="array" ref="F119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5" s="439" t="s">
        <v>68</v>
      </c>
      <c r="H1195" s="439" t="s">
        <v>68</v>
      </c>
      <c r="I1195" s="439" t="s">
        <v>68</v>
      </c>
      <c r="J1195" s="431" t="s">
        <v>68</v>
      </c>
      <c r="K1195" s="431"/>
      <c r="L1195" s="431"/>
      <c r="M1195" s="430" t="s">
        <v>6315</v>
      </c>
      <c r="N1195" s="461">
        <v>46199</v>
      </c>
      <c r="O1195" s="431" t="s">
        <v>550</v>
      </c>
      <c r="P1195" s="431" t="s">
        <v>2134</v>
      </c>
      <c r="Q1195" s="431" t="s">
        <v>2135</v>
      </c>
      <c r="R1195" s="430" t="str">
        <f>_xlfn.XLOOKUP(PV_DATA[[#This Row],[New Ark SKU]],Table9[New Ark SKU],Table9[Connector],,0)</f>
        <v>EVO2A</v>
      </c>
      <c r="S1195" s="433" t="str">
        <f>_xlfn.XLOOKUP(PV_DATA[[#This Row],[New Ark SKU]],Table9[New Ark SKU],Table9[Cable],,0)</f>
        <v>±1350mm</v>
      </c>
      <c r="T1195" s="442">
        <v>515</v>
      </c>
      <c r="U1195" s="1093" cm="1">
        <f t="array" ref="U1195">11880-fx_qty</f>
        <v>0</v>
      </c>
      <c r="V1195" s="434">
        <f>PV_DATA[[#This Row],[QUANTITY]]*PV_DATA[[#This Row],[WATT]]/1000000</f>
        <v>0</v>
      </c>
      <c r="W1195" s="435">
        <f>PV_DATA[[#This Row],[QUANTITY]]/PV_DATA[[#This Row],[Qty/Pallet]]</f>
        <v>0</v>
      </c>
      <c r="X1195" s="1040">
        <f>PV_DATA[[#This Row],[QUANTITY]]/PV_DATA[[#This Row],[Qty/CT]]</f>
        <v>0</v>
      </c>
      <c r="Y1195" s="431" t="s">
        <v>7027</v>
      </c>
      <c r="Z1195" s="430" t="str">
        <f t="shared" si="27"/>
        <v/>
      </c>
      <c r="AA1195" s="431"/>
      <c r="AB1195" s="441"/>
      <c r="AC1195" s="467" t="str">
        <f>IF(PV_DATA[[#This Row],[Pick- Up Date]]&lt;&gt;"",_xlfn.ISOWEEKNUM(PV_DATA[[#This Row],[Pick- Up Date]]),"")</f>
        <v/>
      </c>
      <c r="AD1195" s="431"/>
      <c r="AE1195" s="431"/>
      <c r="AF1195" s="431" t="s">
        <v>122</v>
      </c>
      <c r="AG1195" s="431" t="s">
        <v>123</v>
      </c>
      <c r="AH1195" s="431" t="s">
        <v>68</v>
      </c>
      <c r="AI1195" s="441"/>
      <c r="AJ1195" s="441"/>
      <c r="AK1195" s="437" t="str">
        <f>IFERROR(IF(VLOOKUP(AT1195,Vessel!A:F,5,FALSE)=0,"",VLOOKUP(AT1195,Vessel!A:F,5,FALSE)),"")</f>
        <v/>
      </c>
      <c r="AL1195" s="441">
        <v>46195</v>
      </c>
      <c r="AM1195" s="441"/>
      <c r="AN1195" s="586" t="str">
        <f>IFERROR(IF(VLOOKUP(AT1195,Vessel!A:I,9,FALSE)=0,"",VLOOKUP(AT1195,Vessel!A:I,9,FALSE)),"")</f>
        <v/>
      </c>
      <c r="AO1195" s="431"/>
      <c r="AP1195" s="431"/>
      <c r="AQ1195" s="431"/>
      <c r="AR1195" s="431"/>
      <c r="AS1195" s="431"/>
      <c r="AT1195" s="431"/>
      <c r="AU11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195" s="441"/>
      <c r="AW1195" s="441" cm="1">
        <f t="array" ref="AW1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19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441">
        <f>IF(ISERROR(PV_DATA[[#This Row],[New Ark PO status]]),"",_xlfn.XLOOKUP(PV_DATA[[#This Row],[SPTN-PVHK New Ark PO'#]],New_Ark_Data[Purchase order Number],New_Ark_Data[Estimated time of arrival],"",0))</f>
        <v>0</v>
      </c>
      <c r="AZ119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5" s="437">
        <f>IFERROR(PV_DATA[[#This Row],[ODP ETA Port]]+PV_DATA[[#This Row],[Customs/Leg3 Assumption]],"n/a")</f>
        <v>46209</v>
      </c>
      <c r="BB1195" s="442">
        <f>YEAR(PV_DATA[[#This Row],[ETA for New Ark update]])</f>
        <v>2026</v>
      </c>
      <c r="BC1195" s="431">
        <f>MONTH(PV_DATA[[#This Row],[ETA for New Ark update]])</f>
        <v>7</v>
      </c>
      <c r="BD1195" s="431">
        <f>IFERROR(_xlfn.ISOWEEKNUM(PV_DATA[[#This Row],[ETA for New Ark update]]),0)</f>
        <v>28</v>
      </c>
      <c r="BE1195" s="431">
        <f>_xlfn.XLOOKUP(PV_DATA[[#This Row],[New Ark SKU]],Table9[New Ark SKU],Table9[Total PCS per Pallet],,0)</f>
        <v>36</v>
      </c>
      <c r="BF1195" s="431">
        <f>_xlfn.XLOOKUP(PV_DATA[[#This Row],[New Ark SKU]],Table9[New Ark SKU],Table9[Total PCS per 40HQ Container],,0)</f>
        <v>792</v>
      </c>
      <c r="BG1195" s="431" t="str">
        <f>_xlfn.XLOOKUP(PV_DATA[[#This Row],[New Ark SKU]],Table9[New Ark SKU],Table9[Back Glass],,0)</f>
        <v>Black glazing</v>
      </c>
      <c r="BH1195" s="431" t="str">
        <f>_xlfn.XLOOKUP(PV_DATA[[#This Row],[PORT DESTINATION]],Table12[PORT DESTINATION],Table12[Cosco Line],,0)</f>
        <v>n/a</v>
      </c>
      <c r="BJ1195" s="430"/>
    </row>
    <row r="1196" spans="1:62" ht="10.5">
      <c r="A1196" s="439" t="s">
        <v>7252</v>
      </c>
      <c r="B1196" s="439" t="s">
        <v>111</v>
      </c>
      <c r="C1196" s="439" t="str">
        <f>IFERROR(LEFT(PV_DATA[[#This Row],[TCL REFERENCE]],FIND(".",PV_DATA[[#This Row],[TCL REFERENCE]],1)-1),"Main Line")</f>
        <v>Main Line</v>
      </c>
      <c r="D1196" s="439" t="s">
        <v>63</v>
      </c>
      <c r="E1196" s="439" t="s">
        <v>68</v>
      </c>
      <c r="F1196" s="439" t="str" cm="1">
        <f t="array" ref="F119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6" s="439" t="s">
        <v>68</v>
      </c>
      <c r="H1196" s="439" t="s">
        <v>68</v>
      </c>
      <c r="I1196" s="439" t="s">
        <v>68</v>
      </c>
      <c r="J1196" s="431" t="s">
        <v>68</v>
      </c>
      <c r="K1196" s="431"/>
      <c r="L1196" s="431"/>
      <c r="M1196" s="430" t="s">
        <v>6315</v>
      </c>
      <c r="N1196" s="461">
        <v>46188</v>
      </c>
      <c r="O1196" s="431" t="s">
        <v>132</v>
      </c>
      <c r="P1196" s="431" t="s">
        <v>189</v>
      </c>
      <c r="Q1196" s="431" t="s">
        <v>190</v>
      </c>
      <c r="R1196" s="430" t="str">
        <f>_xlfn.XLOOKUP(PV_DATA[[#This Row],[New Ark SKU]],Table9[New Ark SKU],Table9[Connector],,0)</f>
        <v>EVO2A</v>
      </c>
      <c r="S1196" s="433" t="str">
        <f>_xlfn.XLOOKUP(PV_DATA[[#This Row],[New Ark SKU]],Table9[New Ark SKU],Table9[Cable],,0)</f>
        <v>±1200mm</v>
      </c>
      <c r="T1196" s="442">
        <v>465</v>
      </c>
      <c r="U1196" s="1093" cm="1">
        <f t="array" ref="U1196">7776-fx_qty</f>
        <v>0</v>
      </c>
      <c r="V1196" s="434">
        <f>PV_DATA[[#This Row],[QUANTITY]]*PV_DATA[[#This Row],[WATT]]/1000000</f>
        <v>0</v>
      </c>
      <c r="W1196" s="435">
        <f>PV_DATA[[#This Row],[QUANTITY]]/PV_DATA[[#This Row],[Qty/Pallet]]</f>
        <v>0</v>
      </c>
      <c r="X1196" s="1040">
        <f>PV_DATA[[#This Row],[QUANTITY]]/PV_DATA[[#This Row],[Qty/CT]]</f>
        <v>0</v>
      </c>
      <c r="Y1196" s="431" t="s">
        <v>7027</v>
      </c>
      <c r="Z1196" s="430" t="str">
        <f t="shared" ref="Z1196:Z1227" si="28">IF(AN1196&lt;&gt;"","COMPLETED",IF(AK1196&lt;&gt;"","IN-TRANSIT",""))</f>
        <v/>
      </c>
      <c r="AA1196" s="431"/>
      <c r="AB1196" s="441"/>
      <c r="AC1196" s="467" t="str">
        <f>IF(PV_DATA[[#This Row],[Pick- Up Date]]&lt;&gt;"",_xlfn.ISOWEEKNUM(PV_DATA[[#This Row],[Pick- Up Date]]),"")</f>
        <v/>
      </c>
      <c r="AD1196" s="431"/>
      <c r="AE1196" s="431"/>
      <c r="AF1196" s="431" t="s">
        <v>122</v>
      </c>
      <c r="AG1196" s="431" t="s">
        <v>123</v>
      </c>
      <c r="AH1196" s="431" t="s">
        <v>68</v>
      </c>
      <c r="AI1196" s="441"/>
      <c r="AJ1196" s="441"/>
      <c r="AK1196" s="437" t="str">
        <f>IFERROR(IF(VLOOKUP(AT1196,Vessel!A:F,5,FALSE)=0,"",VLOOKUP(AT1196,Vessel!A:F,5,FALSE)),"")</f>
        <v/>
      </c>
      <c r="AL1196" s="441"/>
      <c r="AM1196" s="441"/>
      <c r="AN1196" s="586" t="str">
        <f>IFERROR(IF(VLOOKUP(AT1196,Vessel!A:I,9,FALSE)=0,"",VLOOKUP(AT1196,Vessel!A:I,9,FALSE)),"")</f>
        <v/>
      </c>
      <c r="AO1196" s="431"/>
      <c r="AP1196" s="431"/>
      <c r="AQ1196" s="431"/>
      <c r="AR1196" s="431"/>
      <c r="AS1196" s="431"/>
      <c r="AT1196" s="431"/>
      <c r="AU11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6" s="441"/>
      <c r="AW1196" s="441" t="str" cm="1">
        <f t="array" ref="AW1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41">
        <f>IF(ISERROR(PV_DATA[[#This Row],[New Ark PO status]]),"",_xlfn.XLOOKUP(PV_DATA[[#This Row],[SPTN-PVHK New Ark PO'#]],New_Ark_Data[Purchase order Number],New_Ark_Data[Estimated time of arrival],"",0))</f>
        <v>0</v>
      </c>
      <c r="AZ119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6" s="437" t="str">
        <f>IFERROR(PV_DATA[[#This Row],[ODP ETA Port]]+PV_DATA[[#This Row],[Customs/Leg3 Assumption]],"n/a")</f>
        <v>n/a</v>
      </c>
      <c r="BB1196" s="442" t="e">
        <f>YEAR(PV_DATA[[#This Row],[ETA for New Ark update]])</f>
        <v>#VALUE!</v>
      </c>
      <c r="BC1196" s="431" t="e">
        <f>MONTH(PV_DATA[[#This Row],[ETA for New Ark update]])</f>
        <v>#VALUE!</v>
      </c>
      <c r="BD1196" s="431">
        <f>IFERROR(_xlfn.ISOWEEKNUM(PV_DATA[[#This Row],[ETA for New Ark update]]),0)</f>
        <v>0</v>
      </c>
      <c r="BE1196" s="431">
        <f>_xlfn.XLOOKUP(PV_DATA[[#This Row],[New Ark SKU]],Table9[New Ark SKU],Table9[Total PCS per Pallet],,0)</f>
        <v>36</v>
      </c>
      <c r="BF1196" s="431">
        <f>_xlfn.XLOOKUP(PV_DATA[[#This Row],[New Ark SKU]],Table9[New Ark SKU],Table9[Total PCS per 40HQ Container],,0)</f>
        <v>864</v>
      </c>
      <c r="BG1196" s="431" t="str">
        <f>_xlfn.XLOOKUP(PV_DATA[[#This Row],[New Ark SKU]],Table9[New Ark SKU],Table9[Back Glass],,0)</f>
        <v>White glazing</v>
      </c>
      <c r="BH1196" s="431" t="str">
        <f>_xlfn.XLOOKUP(PV_DATA[[#This Row],[PORT DESTINATION]],Table12[PORT DESTINATION],Table12[Cosco Line],,0)</f>
        <v>n/a</v>
      </c>
      <c r="BJ1196" s="430"/>
    </row>
    <row r="1197" spans="1:62" ht="23.25" customHeight="1">
      <c r="A1197" s="439" t="s">
        <v>7253</v>
      </c>
      <c r="B1197" s="439" t="s">
        <v>111</v>
      </c>
      <c r="C1197" s="439" t="str">
        <f>IFERROR(LEFT(PV_DATA[[#This Row],[TCL REFERENCE]],FIND(".",PV_DATA[[#This Row],[TCL REFERENCE]],1)-1),"Main Line")</f>
        <v>Main Line</v>
      </c>
      <c r="D1197" s="439" t="s">
        <v>63</v>
      </c>
      <c r="E1197" s="439" t="s">
        <v>68</v>
      </c>
      <c r="F1197" s="439" t="str" cm="1">
        <f t="array" ref="F119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7" s="439" t="s">
        <v>68</v>
      </c>
      <c r="H1197" s="439" t="s">
        <v>68</v>
      </c>
      <c r="I1197" s="439" t="s">
        <v>68</v>
      </c>
      <c r="J1197" s="431" t="s">
        <v>68</v>
      </c>
      <c r="K1197" s="431"/>
      <c r="L1197" s="431"/>
      <c r="M1197" s="430" t="s">
        <v>6315</v>
      </c>
      <c r="N1197" s="461">
        <v>46188</v>
      </c>
      <c r="O1197" s="431" t="s">
        <v>132</v>
      </c>
      <c r="P1197" s="431" t="s">
        <v>1062</v>
      </c>
      <c r="Q1197" s="431" t="s">
        <v>1063</v>
      </c>
      <c r="R1197" s="430" t="str">
        <f>_xlfn.XLOOKUP(PV_DATA[[#This Row],[New Ark SKU]],Table9[New Ark SKU],Table9[Connector],,0)</f>
        <v>EVO2A</v>
      </c>
      <c r="S1197" s="433" t="str">
        <f>_xlfn.XLOOKUP(PV_DATA[[#This Row],[New Ark SKU]],Table9[New Ark SKU],Table9[Cable],,0)</f>
        <v>±1200mm</v>
      </c>
      <c r="T1197" s="442">
        <v>470</v>
      </c>
      <c r="U1197" s="1093" cm="1">
        <f t="array" ref="U1197">24192-fx_qty</f>
        <v>0</v>
      </c>
      <c r="V1197" s="434">
        <f>PV_DATA[[#This Row],[QUANTITY]]*PV_DATA[[#This Row],[WATT]]/1000000</f>
        <v>0</v>
      </c>
      <c r="W1197" s="435">
        <f>PV_DATA[[#This Row],[QUANTITY]]/PV_DATA[[#This Row],[Qty/Pallet]]</f>
        <v>0</v>
      </c>
      <c r="X1197" s="1040">
        <f>PV_DATA[[#This Row],[QUANTITY]]/PV_DATA[[#This Row],[Qty/CT]]</f>
        <v>0</v>
      </c>
      <c r="Y1197" s="431" t="s">
        <v>7027</v>
      </c>
      <c r="Z1197" s="430" t="str">
        <f t="shared" si="28"/>
        <v/>
      </c>
      <c r="AA1197" s="431"/>
      <c r="AB1197" s="441"/>
      <c r="AC1197" s="467" t="str">
        <f>IF(PV_DATA[[#This Row],[Pick- Up Date]]&lt;&gt;"",_xlfn.ISOWEEKNUM(PV_DATA[[#This Row],[Pick- Up Date]]),"")</f>
        <v/>
      </c>
      <c r="AD1197" s="431"/>
      <c r="AE1197" s="431"/>
      <c r="AF1197" s="431" t="s">
        <v>122</v>
      </c>
      <c r="AG1197" s="431" t="s">
        <v>123</v>
      </c>
      <c r="AH1197" s="431" t="s">
        <v>68</v>
      </c>
      <c r="AI1197" s="441"/>
      <c r="AJ1197" s="441"/>
      <c r="AK1197" s="437" t="str">
        <f>IFERROR(IF(VLOOKUP(AT1197,Vessel!A:F,5,FALSE)=0,"",VLOOKUP(AT1197,Vessel!A:F,5,FALSE)),"")</f>
        <v/>
      </c>
      <c r="AL1197" s="441"/>
      <c r="AM1197" s="441"/>
      <c r="AN1197" s="586" t="str">
        <f>IFERROR(IF(VLOOKUP(AT1197,Vessel!A:I,9,FALSE)=0,"",VLOOKUP(AT1197,Vessel!A:I,9,FALSE)),"")</f>
        <v/>
      </c>
      <c r="AO1197" s="431"/>
      <c r="AP1197" s="431"/>
      <c r="AQ1197" s="431"/>
      <c r="AR1197" s="431"/>
      <c r="AS1197" s="431"/>
      <c r="AT1197" s="431"/>
      <c r="AU11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7" s="441"/>
      <c r="AW1197" s="441" t="str" cm="1">
        <f t="array" ref="AW1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41">
        <f>IF(ISERROR(PV_DATA[[#This Row],[New Ark PO status]]),"",_xlfn.XLOOKUP(PV_DATA[[#This Row],[SPTN-PVHK New Ark PO'#]],New_Ark_Data[Purchase order Number],New_Ark_Data[Estimated time of arrival],"",0))</f>
        <v>0</v>
      </c>
      <c r="AZ119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7" s="437" t="str">
        <f>IFERROR(PV_DATA[[#This Row],[ODP ETA Port]]+PV_DATA[[#This Row],[Customs/Leg3 Assumption]],"n/a")</f>
        <v>n/a</v>
      </c>
      <c r="BB1197" s="442" t="e">
        <f>YEAR(PV_DATA[[#This Row],[ETA for New Ark update]])</f>
        <v>#VALUE!</v>
      </c>
      <c r="BC1197" s="431" t="e">
        <f>MONTH(PV_DATA[[#This Row],[ETA for New Ark update]])</f>
        <v>#VALUE!</v>
      </c>
      <c r="BD1197" s="431">
        <f>IFERROR(_xlfn.ISOWEEKNUM(PV_DATA[[#This Row],[ETA for New Ark update]]),0)</f>
        <v>0</v>
      </c>
      <c r="BE1197" s="431">
        <f>_xlfn.XLOOKUP(PV_DATA[[#This Row],[New Ark SKU]],Table9[New Ark SKU],Table9[Total PCS per Pallet],,0)</f>
        <v>36</v>
      </c>
      <c r="BF1197" s="431">
        <f>_xlfn.XLOOKUP(PV_DATA[[#This Row],[New Ark SKU]],Table9[New Ark SKU],Table9[Total PCS per 40HQ Container],,0)</f>
        <v>864</v>
      </c>
      <c r="BG1197" s="431" t="str">
        <f>_xlfn.XLOOKUP(PV_DATA[[#This Row],[New Ark SKU]],Table9[New Ark SKU],Table9[Back Glass],,0)</f>
        <v>White glazing</v>
      </c>
      <c r="BH1197" s="431" t="str">
        <f>_xlfn.XLOOKUP(PV_DATA[[#This Row],[PORT DESTINATION]],Table12[PORT DESTINATION],Table12[Cosco Line],,0)</f>
        <v>n/a</v>
      </c>
      <c r="BJ1197" s="430"/>
    </row>
    <row r="1198" spans="1:62" ht="10.5">
      <c r="A1198" s="439" t="s">
        <v>7254</v>
      </c>
      <c r="B1198" s="439" t="s">
        <v>5318</v>
      </c>
      <c r="C1198" s="439" t="str">
        <f>IFERROR(LEFT(PV_DATA[[#This Row],[TCL REFERENCE]],FIND(".",PV_DATA[[#This Row],[TCL REFERENCE]],1)-1),"Main Line")</f>
        <v>Main Line</v>
      </c>
      <c r="D1198" s="439" t="s">
        <v>63</v>
      </c>
      <c r="E1198" s="439" t="s">
        <v>68</v>
      </c>
      <c r="F1198" s="439" t="str" cm="1">
        <f t="array" ref="F119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8" s="439" t="s">
        <v>68</v>
      </c>
      <c r="H1198" s="439" t="s">
        <v>68</v>
      </c>
      <c r="I1198" s="439" t="s">
        <v>68</v>
      </c>
      <c r="J1198" s="431" t="s">
        <v>68</v>
      </c>
      <c r="K1198" s="431"/>
      <c r="L1198" s="431"/>
      <c r="M1198" s="430" t="s">
        <v>6315</v>
      </c>
      <c r="N1198" s="461" t="s">
        <v>68</v>
      </c>
      <c r="O1198" s="431" t="s">
        <v>4531</v>
      </c>
      <c r="P1198" s="431" t="s">
        <v>1461</v>
      </c>
      <c r="Q1198" s="431" t="s">
        <v>103</v>
      </c>
      <c r="R1198" s="430" t="str">
        <f>_xlfn.XLOOKUP(PV_DATA[[#This Row],[New Ark SKU]],Table9[New Ark SKU],Table9[Connector],,0)</f>
        <v>EVO2A</v>
      </c>
      <c r="S1198" s="433" t="str">
        <f>_xlfn.XLOOKUP(PV_DATA[[#This Row],[New Ark SKU]],Table9[New Ark SKU],Table9[Cable],,0)</f>
        <v>±1400mm</v>
      </c>
      <c r="T1198" s="442">
        <v>620</v>
      </c>
      <c r="U1198" s="1093" cm="1">
        <f t="array" ref="U1198">6480-fx_qty</f>
        <v>0</v>
      </c>
      <c r="V1198" s="434">
        <f>PV_DATA[[#This Row],[QUANTITY]]*PV_DATA[[#This Row],[WATT]]/1000000</f>
        <v>0</v>
      </c>
      <c r="W1198" s="435">
        <f>PV_DATA[[#This Row],[QUANTITY]]/PV_DATA[[#This Row],[Qty/Pallet]]</f>
        <v>0</v>
      </c>
      <c r="X1198" s="1040">
        <f>PV_DATA[[#This Row],[QUANTITY]]/PV_DATA[[#This Row],[Qty/CT]]</f>
        <v>0</v>
      </c>
      <c r="Y1198" s="431" t="s">
        <v>7027</v>
      </c>
      <c r="Z1198" s="430" t="str">
        <f t="shared" si="28"/>
        <v/>
      </c>
      <c r="AA1198" s="431"/>
      <c r="AB1198" s="441"/>
      <c r="AC1198" s="467" t="str">
        <f>IF(PV_DATA[[#This Row],[Pick- Up Date]]&lt;&gt;"",_xlfn.ISOWEEKNUM(PV_DATA[[#This Row],[Pick- Up Date]]),"")</f>
        <v/>
      </c>
      <c r="AD1198" s="431"/>
      <c r="AE1198" s="431"/>
      <c r="AF1198" s="431" t="s">
        <v>122</v>
      </c>
      <c r="AG1198" s="431" t="s">
        <v>123</v>
      </c>
      <c r="AH1198" s="431" t="s">
        <v>68</v>
      </c>
      <c r="AI1198" s="441"/>
      <c r="AJ1198" s="441"/>
      <c r="AK1198" s="437" t="str">
        <f>IFERROR(IF(VLOOKUP(AT1198,Vessel!A:F,5,FALSE)=0,"",VLOOKUP(AT1198,Vessel!A:F,5,FALSE)),"")</f>
        <v/>
      </c>
      <c r="AL1198" s="441"/>
      <c r="AM1198" s="441"/>
      <c r="AN1198" s="586" t="str">
        <f>IFERROR(IF(VLOOKUP(AT1198,Vessel!A:I,9,FALSE)=0,"",VLOOKUP(AT1198,Vessel!A:I,9,FALSE)),"")</f>
        <v/>
      </c>
      <c r="AO1198" s="431"/>
      <c r="AP1198" s="431"/>
      <c r="AQ1198" s="431"/>
      <c r="AR1198" s="431"/>
      <c r="AS1198" s="431"/>
      <c r="AT1198" s="431"/>
      <c r="AU11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8" s="441"/>
      <c r="AW1198" s="441" t="str" cm="1">
        <f t="array" ref="AW1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41">
        <f>IF(ISERROR(PV_DATA[[#This Row],[New Ark PO status]]),"",_xlfn.XLOOKUP(PV_DATA[[#This Row],[SPTN-PVHK New Ark PO'#]],New_Ark_Data[Purchase order Number],New_Ark_Data[Estimated time of arrival],"",0))</f>
        <v>0</v>
      </c>
      <c r="AZ119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8" s="437" t="str">
        <f>IFERROR(PV_DATA[[#This Row],[ODP ETA Port]]+PV_DATA[[#This Row],[Customs/Leg3 Assumption]],"n/a")</f>
        <v>n/a</v>
      </c>
      <c r="BB1198" s="442" t="e">
        <f>YEAR(PV_DATA[[#This Row],[ETA for New Ark update]])</f>
        <v>#VALUE!</v>
      </c>
      <c r="BC1198" s="431" t="e">
        <f>MONTH(PV_DATA[[#This Row],[ETA for New Ark update]])</f>
        <v>#VALUE!</v>
      </c>
      <c r="BD1198" s="431">
        <f>IFERROR(_xlfn.ISOWEEKNUM(PV_DATA[[#This Row],[ETA for New Ark update]]),0)</f>
        <v>0</v>
      </c>
      <c r="BE1198" s="431">
        <f>_xlfn.XLOOKUP(PV_DATA[[#This Row],[New Ark SKU]],Table9[New Ark SKU],Table9[Total PCS per Pallet],,0)</f>
        <v>36</v>
      </c>
      <c r="BF1198" s="431">
        <f>_xlfn.XLOOKUP(PV_DATA[[#This Row],[New Ark SKU]],Table9[New Ark SKU],Table9[Total PCS per 40HQ Container],,0)</f>
        <v>720</v>
      </c>
      <c r="BG1198" s="431" t="str">
        <f>_xlfn.XLOOKUP(PV_DATA[[#This Row],[New Ark SKU]],Table9[New Ark SKU],Table9[Back Glass],,0)</f>
        <v>Redirection Film</v>
      </c>
      <c r="BH1198" s="431" t="str">
        <f>_xlfn.XLOOKUP(PV_DATA[[#This Row],[PORT DESTINATION]],Table12[PORT DESTINATION],Table12[Cosco Line],,0)</f>
        <v>n/a</v>
      </c>
      <c r="BJ1198" s="430"/>
    </row>
    <row r="1199" spans="1:62" ht="10.5">
      <c r="A1199" s="439" t="s">
        <v>7255</v>
      </c>
      <c r="B1199" s="439" t="s">
        <v>5318</v>
      </c>
      <c r="C1199" s="439" t="str">
        <f>IFERROR(LEFT(PV_DATA[[#This Row],[TCL REFERENCE]],FIND(".",PV_DATA[[#This Row],[TCL REFERENCE]],1)-1),"Main Line")</f>
        <v>Main Line</v>
      </c>
      <c r="D1199" s="439" t="s">
        <v>63</v>
      </c>
      <c r="E1199" s="439" t="s">
        <v>68</v>
      </c>
      <c r="F1199" s="439" t="str" cm="1">
        <f t="array" ref="F11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9" s="439" t="s">
        <v>68</v>
      </c>
      <c r="H1199" s="439" t="s">
        <v>68</v>
      </c>
      <c r="I1199" s="439" t="s">
        <v>68</v>
      </c>
      <c r="J1199" s="431" t="s">
        <v>68</v>
      </c>
      <c r="K1199" s="431"/>
      <c r="L1199" s="431"/>
      <c r="M1199" s="430" t="s">
        <v>6315</v>
      </c>
      <c r="N1199" s="461" t="s">
        <v>68</v>
      </c>
      <c r="O1199" s="431" t="s">
        <v>4531</v>
      </c>
      <c r="P1199" s="431" t="s">
        <v>5102</v>
      </c>
      <c r="Q1199" s="431" t="s">
        <v>103</v>
      </c>
      <c r="R1199" s="430" t="str">
        <f>_xlfn.XLOOKUP(PV_DATA[[#This Row],[New Ark SKU]],Table9[New Ark SKU],Table9[Connector],,0)</f>
        <v>H4(Com)</v>
      </c>
      <c r="S1199" s="433" t="str">
        <f>_xlfn.XLOOKUP(PV_DATA[[#This Row],[New Ark SKU]],Table9[New Ark SKU],Table9[Cable],,0)</f>
        <v>±1400mm</v>
      </c>
      <c r="T1199" s="442">
        <v>620</v>
      </c>
      <c r="U1199" s="1093" cm="1">
        <f t="array" ref="U1199">12960-fx_qty</f>
        <v>0</v>
      </c>
      <c r="V1199" s="434">
        <f>PV_DATA[[#This Row],[QUANTITY]]*PV_DATA[[#This Row],[WATT]]/1000000</f>
        <v>0</v>
      </c>
      <c r="W1199" s="435">
        <f>PV_DATA[[#This Row],[QUANTITY]]/PV_DATA[[#This Row],[Qty/Pallet]]</f>
        <v>0</v>
      </c>
      <c r="X1199" s="1040">
        <f>PV_DATA[[#This Row],[QUANTITY]]/PV_DATA[[#This Row],[Qty/CT]]</f>
        <v>0</v>
      </c>
      <c r="Y1199" s="431" t="s">
        <v>7027</v>
      </c>
      <c r="Z1199" s="430" t="str">
        <f t="shared" si="28"/>
        <v/>
      </c>
      <c r="AA1199" s="431"/>
      <c r="AB1199" s="441"/>
      <c r="AC1199" s="467" t="str">
        <f>IF(PV_DATA[[#This Row],[Pick- Up Date]]&lt;&gt;"",_xlfn.ISOWEEKNUM(PV_DATA[[#This Row],[Pick- Up Date]]),"")</f>
        <v/>
      </c>
      <c r="AD1199" s="431"/>
      <c r="AE1199" s="431"/>
      <c r="AF1199" s="431" t="s">
        <v>122</v>
      </c>
      <c r="AG1199" s="431" t="s">
        <v>123</v>
      </c>
      <c r="AH1199" s="431" t="s">
        <v>68</v>
      </c>
      <c r="AI1199" s="441"/>
      <c r="AJ1199" s="441"/>
      <c r="AK1199" s="437" t="str">
        <f>IFERROR(IF(VLOOKUP(AT1199,Vessel!A:F,5,FALSE)=0,"",VLOOKUP(AT1199,Vessel!A:F,5,FALSE)),"")</f>
        <v/>
      </c>
      <c r="AL1199" s="441"/>
      <c r="AM1199" s="441"/>
      <c r="AN1199" s="586" t="str">
        <f>IFERROR(IF(VLOOKUP(AT1199,Vessel!A:I,9,FALSE)=0,"",VLOOKUP(AT1199,Vessel!A:I,9,FALSE)),"")</f>
        <v/>
      </c>
      <c r="AO1199" s="431"/>
      <c r="AP1199" s="431"/>
      <c r="AQ1199" s="431"/>
      <c r="AR1199" s="431"/>
      <c r="AS1199" s="431"/>
      <c r="AT1199" s="431"/>
      <c r="AU11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9" s="441"/>
      <c r="AW1199" s="441" t="str" cm="1">
        <f t="array" ref="AW1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41">
        <f>IF(ISERROR(PV_DATA[[#This Row],[New Ark PO status]]),"",_xlfn.XLOOKUP(PV_DATA[[#This Row],[SPTN-PVHK New Ark PO'#]],New_Ark_Data[Purchase order Number],New_Ark_Data[Estimated time of arrival],"",0))</f>
        <v>0</v>
      </c>
      <c r="AZ119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9" s="437" t="str">
        <f>IFERROR(PV_DATA[[#This Row],[ODP ETA Port]]+PV_DATA[[#This Row],[Customs/Leg3 Assumption]],"n/a")</f>
        <v>n/a</v>
      </c>
      <c r="BB1199" s="442" t="e">
        <f>YEAR(PV_DATA[[#This Row],[ETA for New Ark update]])</f>
        <v>#VALUE!</v>
      </c>
      <c r="BC1199" s="431" t="e">
        <f>MONTH(PV_DATA[[#This Row],[ETA for New Ark update]])</f>
        <v>#VALUE!</v>
      </c>
      <c r="BD1199" s="431">
        <f>IFERROR(_xlfn.ISOWEEKNUM(PV_DATA[[#This Row],[ETA for New Ark update]]),0)</f>
        <v>0</v>
      </c>
      <c r="BE1199" s="431">
        <f>_xlfn.XLOOKUP(PV_DATA[[#This Row],[New Ark SKU]],Table9[New Ark SKU],Table9[Total PCS per Pallet],,0)</f>
        <v>36</v>
      </c>
      <c r="BF1199" s="431">
        <f>_xlfn.XLOOKUP(PV_DATA[[#This Row],[New Ark SKU]],Table9[New Ark SKU],Table9[Total PCS per 40HQ Container],,0)</f>
        <v>720</v>
      </c>
      <c r="BG1199" s="431" t="str">
        <f>_xlfn.XLOOKUP(PV_DATA[[#This Row],[New Ark SKU]],Table9[New Ark SKU],Table9[Back Glass],,0)</f>
        <v>Transparent</v>
      </c>
      <c r="BH1199" s="431" t="str">
        <f>_xlfn.XLOOKUP(PV_DATA[[#This Row],[PORT DESTINATION]],Table12[PORT DESTINATION],Table12[Cosco Line],,0)</f>
        <v>n/a</v>
      </c>
      <c r="BJ1199" s="430"/>
    </row>
    <row r="1200" spans="1:62" ht="10.5">
      <c r="A1200" s="439" t="s">
        <v>7256</v>
      </c>
      <c r="B1200" s="439" t="s">
        <v>5318</v>
      </c>
      <c r="C1200" s="439" t="str">
        <f>IFERROR(LEFT(PV_DATA[[#This Row],[TCL REFERENCE]],FIND(".",PV_DATA[[#This Row],[TCL REFERENCE]],1)-1),"Main Line")</f>
        <v>Main Line</v>
      </c>
      <c r="D1200" s="439" t="s">
        <v>63</v>
      </c>
      <c r="E1200" s="439" t="s">
        <v>68</v>
      </c>
      <c r="F1200" s="439" t="str" cm="1">
        <f t="array" ref="F12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0" s="439" t="s">
        <v>68</v>
      </c>
      <c r="H1200" s="439" t="s">
        <v>68</v>
      </c>
      <c r="I1200" s="439" t="s">
        <v>68</v>
      </c>
      <c r="J1200" s="431" t="s">
        <v>7247</v>
      </c>
      <c r="K1200" s="431"/>
      <c r="L1200" s="431"/>
      <c r="M1200" s="430" t="s">
        <v>6315</v>
      </c>
      <c r="N1200" s="461"/>
      <c r="O1200" s="431" t="s">
        <v>4531</v>
      </c>
      <c r="P1200" s="431" t="s">
        <v>5090</v>
      </c>
      <c r="Q1200" s="431" t="s">
        <v>330</v>
      </c>
      <c r="R1200" s="430" t="str">
        <f>_xlfn.XLOOKUP(PV_DATA[[#This Row],[New Ark SKU]],Table9[New Ark SKU],Table9[Connector],,0)</f>
        <v>H4(Com)</v>
      </c>
      <c r="S1200" s="433" t="str">
        <f>_xlfn.XLOOKUP(PV_DATA[[#This Row],[New Ark SKU]],Table9[New Ark SKU],Table9[Cable],,0)</f>
        <v>±1400mm</v>
      </c>
      <c r="T1200" s="442">
        <v>625</v>
      </c>
      <c r="U1200" s="1093" cm="1">
        <f t="array" ref="U1200">19440-fx_qty</f>
        <v>0</v>
      </c>
      <c r="V1200" s="434">
        <f>PV_DATA[[#This Row],[QUANTITY]]*PV_DATA[[#This Row],[WATT]]/1000000</f>
        <v>0</v>
      </c>
      <c r="W1200" s="435">
        <f>PV_DATA[[#This Row],[QUANTITY]]/PV_DATA[[#This Row],[Qty/Pallet]]</f>
        <v>0</v>
      </c>
      <c r="X1200" s="1040">
        <f>PV_DATA[[#This Row],[QUANTITY]]/PV_DATA[[#This Row],[Qty/CT]]</f>
        <v>0</v>
      </c>
      <c r="Y1200" s="431" t="s">
        <v>7027</v>
      </c>
      <c r="Z1200" s="430" t="str">
        <f t="shared" si="28"/>
        <v/>
      </c>
      <c r="AA1200" s="431"/>
      <c r="AB1200" s="441"/>
      <c r="AC1200" s="467" t="str">
        <f>IF(PV_DATA[[#This Row],[Pick- Up Date]]&lt;&gt;"",_xlfn.ISOWEEKNUM(PV_DATA[[#This Row],[Pick- Up Date]]),"")</f>
        <v/>
      </c>
      <c r="AD1200" s="431"/>
      <c r="AE1200" s="431"/>
      <c r="AF1200" s="431" t="s">
        <v>122</v>
      </c>
      <c r="AG1200" s="431" t="s">
        <v>123</v>
      </c>
      <c r="AH1200" s="431" t="s">
        <v>68</v>
      </c>
      <c r="AI1200" s="441"/>
      <c r="AJ1200" s="441"/>
      <c r="AK1200" s="437" t="str">
        <f>IFERROR(IF(VLOOKUP(AT1200,Vessel!A:F,5,FALSE)=0,"",VLOOKUP(AT1200,Vessel!A:F,5,FALSE)),"")</f>
        <v/>
      </c>
      <c r="AL1200" s="441"/>
      <c r="AM1200" s="441"/>
      <c r="AN1200" s="586" t="str">
        <f>IFERROR(IF(VLOOKUP(AT1200,Vessel!A:I,9,FALSE)=0,"",VLOOKUP(AT1200,Vessel!A:I,9,FALSE)),"")</f>
        <v/>
      </c>
      <c r="AO1200" s="431"/>
      <c r="AP1200" s="431"/>
      <c r="AQ1200" s="431"/>
      <c r="AR1200" s="431"/>
      <c r="AS1200" s="431"/>
      <c r="AT1200" s="431"/>
      <c r="AU12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0" s="441"/>
      <c r="AW1200" s="441" t="str" cm="1">
        <f t="array" ref="AW1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41">
        <f>IF(ISERROR(PV_DATA[[#This Row],[New Ark PO status]]),"",_xlfn.XLOOKUP(PV_DATA[[#This Row],[SPTN-PVHK New Ark PO'#]],New_Ark_Data[Purchase order Number],New_Ark_Data[Estimated time of arrival],"",0))</f>
        <v>0</v>
      </c>
      <c r="AZ120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0" s="437" t="str">
        <f>IFERROR(PV_DATA[[#This Row],[ODP ETA Port]]+PV_DATA[[#This Row],[Customs/Leg3 Assumption]],"n/a")</f>
        <v>n/a</v>
      </c>
      <c r="BB1200" s="442" t="e">
        <f>YEAR(PV_DATA[[#This Row],[ETA for New Ark update]])</f>
        <v>#VALUE!</v>
      </c>
      <c r="BC1200" s="431" t="e">
        <f>MONTH(PV_DATA[[#This Row],[ETA for New Ark update]])</f>
        <v>#VALUE!</v>
      </c>
      <c r="BD1200" s="431">
        <f>IFERROR(_xlfn.ISOWEEKNUM(PV_DATA[[#This Row],[ETA for New Ark update]]),0)</f>
        <v>0</v>
      </c>
      <c r="BE1200" s="431">
        <f>_xlfn.XLOOKUP(PV_DATA[[#This Row],[New Ark SKU]],Table9[New Ark SKU],Table9[Total PCS per Pallet],,0)</f>
        <v>36</v>
      </c>
      <c r="BF1200" s="431">
        <f>_xlfn.XLOOKUP(PV_DATA[[#This Row],[New Ark SKU]],Table9[New Ark SKU],Table9[Total PCS per 40HQ Container],,0)</f>
        <v>720</v>
      </c>
      <c r="BG1200" s="431" t="str">
        <f>_xlfn.XLOOKUP(PV_DATA[[#This Row],[New Ark SKU]],Table9[New Ark SKU],Table9[Back Glass],,0)</f>
        <v>Transparent</v>
      </c>
      <c r="BH1200" s="431" t="str">
        <f>_xlfn.XLOOKUP(PV_DATA[[#This Row],[PORT DESTINATION]],Table12[PORT DESTINATION],Table12[Cosco Line],,0)</f>
        <v>n/a</v>
      </c>
      <c r="BJ1200" s="430"/>
    </row>
    <row r="1201" spans="1:62" ht="10.5">
      <c r="A1201" s="439" t="s">
        <v>7257</v>
      </c>
      <c r="B1201" s="439" t="s">
        <v>61</v>
      </c>
      <c r="C1201" s="439" t="str">
        <f>IFERROR(LEFT(PV_DATA[[#This Row],[TCL REFERENCE]],FIND(".",PV_DATA[[#This Row],[TCL REFERENCE]],1)-1),"Main Line")</f>
        <v>Main Line</v>
      </c>
      <c r="D1201" s="439" t="s">
        <v>63</v>
      </c>
      <c r="E1201" s="439" t="s">
        <v>68</v>
      </c>
      <c r="F1201" s="439" t="str" cm="1">
        <f t="array" ref="F120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1" s="439" t="s">
        <v>68</v>
      </c>
      <c r="H1201" s="439" t="s">
        <v>68</v>
      </c>
      <c r="I1201" s="439" t="s">
        <v>68</v>
      </c>
      <c r="J1201" s="431" t="s">
        <v>68</v>
      </c>
      <c r="K1201" s="431"/>
      <c r="L1201" s="431"/>
      <c r="M1201" s="430" t="s">
        <v>6315</v>
      </c>
      <c r="N1201" s="461">
        <v>46188</v>
      </c>
      <c r="O1201" s="431" t="s">
        <v>4531</v>
      </c>
      <c r="P1201" s="431" t="s">
        <v>195</v>
      </c>
      <c r="Q1201" s="431" t="s">
        <v>196</v>
      </c>
      <c r="R1201" s="430" t="str">
        <f>_xlfn.XLOOKUP(PV_DATA[[#This Row],[New Ark SKU]],Table9[New Ark SKU],Table9[Connector],,0)</f>
        <v>EVO2A</v>
      </c>
      <c r="S1201" s="433" t="str">
        <f>_xlfn.XLOOKUP(PV_DATA[[#This Row],[New Ark SKU]],Table9[New Ark SKU],Table9[Cable],,0)</f>
        <v>±1200mm</v>
      </c>
      <c r="T1201" s="442">
        <v>450</v>
      </c>
      <c r="U1201" s="1093" cm="1">
        <f t="array" ref="U1201">17784-fx_qty</f>
        <v>0</v>
      </c>
      <c r="V1201" s="448">
        <f>PV_DATA[[#This Row],[QUANTITY]]*PV_DATA[[#This Row],[WATT]]/1000000</f>
        <v>0</v>
      </c>
      <c r="W1201" s="466">
        <f>PV_DATA[[#This Row],[QUANTITY]]/PV_DATA[[#This Row],[Qty/Pallet]]</f>
        <v>0</v>
      </c>
      <c r="X1201" s="1044">
        <f>PV_DATA[[#This Row],[QUANTITY]]/PV_DATA[[#This Row],[Qty/CT]]</f>
        <v>0</v>
      </c>
      <c r="Y1201" s="431" t="s">
        <v>7027</v>
      </c>
      <c r="Z1201" s="430" t="str">
        <f t="shared" si="28"/>
        <v/>
      </c>
      <c r="AA1201" s="431"/>
      <c r="AB1201" s="441"/>
      <c r="AC1201" s="467" t="str">
        <f>IF(PV_DATA[[#This Row],[Pick- Up Date]]&lt;&gt;"",_xlfn.ISOWEEKNUM(PV_DATA[[#This Row],[Pick- Up Date]]),"")</f>
        <v/>
      </c>
      <c r="AD1201" s="431"/>
      <c r="AE1201" s="431"/>
      <c r="AF1201" s="431" t="s">
        <v>61</v>
      </c>
      <c r="AG1201" s="431" t="s">
        <v>61</v>
      </c>
      <c r="AH1201" s="431" t="s">
        <v>68</v>
      </c>
      <c r="AI1201" s="441"/>
      <c r="AJ1201" s="441"/>
      <c r="AK1201" s="437" t="str">
        <f>IFERROR(IF(VLOOKUP(AT1201,Vessel!A:F,5,FALSE)=0,"",VLOOKUP(AT1201,Vessel!A:F,5,FALSE)),"")</f>
        <v/>
      </c>
      <c r="AL1201" s="441"/>
      <c r="AM1201" s="441"/>
      <c r="AN1201" s="586" t="str">
        <f>IFERROR(IF(VLOOKUP(AT1201,Vessel!A:I,9,FALSE)=0,"",VLOOKUP(AT1201,Vessel!A:I,9,FALSE)),"")</f>
        <v/>
      </c>
      <c r="AO1201" s="431"/>
      <c r="AP1201" s="431"/>
      <c r="AQ1201" s="431"/>
      <c r="AR1201" s="431"/>
      <c r="AS1201" s="431"/>
      <c r="AT1201" s="431"/>
      <c r="AU12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1" s="441"/>
      <c r="AW1201" s="441" t="str" cm="1">
        <f t="array" ref="AW1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41">
        <f>IF(ISERROR(PV_DATA[[#This Row],[New Ark PO status]]),"",_xlfn.XLOOKUP(PV_DATA[[#This Row],[SPTN-PVHK New Ark PO'#]],New_Ark_Data[Purchase order Number],New_Ark_Data[Estimated time of arrival],"",0))</f>
        <v>0</v>
      </c>
      <c r="AZ120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1" s="441" t="str">
        <f>IFERROR(PV_DATA[[#This Row],[ODP ETA Port]]+PV_DATA[[#This Row],[Customs/Leg3 Assumption]],"n/a")</f>
        <v>n/a</v>
      </c>
      <c r="BB1201" s="442" t="e">
        <f>YEAR(PV_DATA[[#This Row],[ETA for New Ark update]])</f>
        <v>#VALUE!</v>
      </c>
      <c r="BC1201" s="431" t="e">
        <f>MONTH(PV_DATA[[#This Row],[ETA for New Ark update]])</f>
        <v>#VALUE!</v>
      </c>
      <c r="BD1201" s="431">
        <f>IFERROR(_xlfn.ISOWEEKNUM(PV_DATA[[#This Row],[ETA for New Ark update]]),0)</f>
        <v>0</v>
      </c>
      <c r="BE1201" s="431">
        <f>_xlfn.XLOOKUP(PV_DATA[[#This Row],[New Ark SKU]],Table9[New Ark SKU],Table9[Total PCS per Pallet],,0)</f>
        <v>36</v>
      </c>
      <c r="BF1201" s="431">
        <f>_xlfn.XLOOKUP(PV_DATA[[#This Row],[New Ark SKU]],Table9[New Ark SKU],Table9[Total PCS per 40HQ Container],,0)</f>
        <v>936</v>
      </c>
      <c r="BG1201" s="431" t="str">
        <f>_xlfn.XLOOKUP(PV_DATA[[#This Row],[New Ark SKU]],Table9[New Ark SKU],Table9[Back Glass],,0)</f>
        <v>Black glazing</v>
      </c>
      <c r="BH1201" s="431" t="str">
        <f>_xlfn.XLOOKUP(PV_DATA[[#This Row],[PORT DESTINATION]],Table12[PORT DESTINATION],Table12[Cosco Line],,0)</f>
        <v>n/a</v>
      </c>
      <c r="BJ1201" s="430"/>
    </row>
    <row r="1202" spans="1:62" ht="10.5">
      <c r="A1202" s="439" t="s">
        <v>7258</v>
      </c>
      <c r="B1202" s="439" t="s">
        <v>61</v>
      </c>
      <c r="C1202" s="439" t="str">
        <f>IFERROR(LEFT(PV_DATA[[#This Row],[TCL REFERENCE]],FIND(".",PV_DATA[[#This Row],[TCL REFERENCE]],1)-1),"Main Line")</f>
        <v>Main Line</v>
      </c>
      <c r="D1202" s="439" t="s">
        <v>63</v>
      </c>
      <c r="E1202" s="439" t="s">
        <v>68</v>
      </c>
      <c r="F1202" s="439" t="str" cm="1">
        <f t="array" ref="F12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2" s="439" t="s">
        <v>68</v>
      </c>
      <c r="H1202" s="439" t="s">
        <v>68</v>
      </c>
      <c r="I1202" s="439" t="s">
        <v>68</v>
      </c>
      <c r="J1202" s="431" t="s">
        <v>68</v>
      </c>
      <c r="K1202" s="431"/>
      <c r="L1202" s="431"/>
      <c r="M1202" s="430" t="s">
        <v>6315</v>
      </c>
      <c r="N1202" s="461">
        <v>46188</v>
      </c>
      <c r="O1202" s="431" t="s">
        <v>4531</v>
      </c>
      <c r="P1202" s="431" t="s">
        <v>965</v>
      </c>
      <c r="Q1202" s="431" t="s">
        <v>966</v>
      </c>
      <c r="R1202" s="430" t="str">
        <f>_xlfn.XLOOKUP(PV_DATA[[#This Row],[New Ark SKU]],Table9[New Ark SKU],Table9[Connector],,0)</f>
        <v>EVO2A</v>
      </c>
      <c r="S1202" s="433" t="str">
        <f>_xlfn.XLOOKUP(PV_DATA[[#This Row],[New Ark SKU]],Table9[New Ark SKU],Table9[Cable],,0)</f>
        <v>±1200mm</v>
      </c>
      <c r="T1202" s="442">
        <v>455</v>
      </c>
      <c r="U1202" s="1093" cm="1">
        <f t="array" ref="U1202">4680-fx_qty</f>
        <v>0</v>
      </c>
      <c r="V1202" s="448">
        <f>PV_DATA[[#This Row],[QUANTITY]]*PV_DATA[[#This Row],[WATT]]/1000000</f>
        <v>0</v>
      </c>
      <c r="W1202" s="466">
        <f>PV_DATA[[#This Row],[QUANTITY]]/PV_DATA[[#This Row],[Qty/Pallet]]</f>
        <v>0</v>
      </c>
      <c r="X1202" s="1044">
        <f>PV_DATA[[#This Row],[QUANTITY]]/PV_DATA[[#This Row],[Qty/CT]]</f>
        <v>0</v>
      </c>
      <c r="Y1202" s="431" t="s">
        <v>7027</v>
      </c>
      <c r="Z1202" s="430" t="str">
        <f t="shared" si="28"/>
        <v/>
      </c>
      <c r="AA1202" s="431"/>
      <c r="AB1202" s="441"/>
      <c r="AC1202" s="467" t="str">
        <f>IF(PV_DATA[[#This Row],[Pick- Up Date]]&lt;&gt;"",_xlfn.ISOWEEKNUM(PV_DATA[[#This Row],[Pick- Up Date]]),"")</f>
        <v/>
      </c>
      <c r="AD1202" s="431"/>
      <c r="AE1202" s="431"/>
      <c r="AF1202" s="431" t="s">
        <v>61</v>
      </c>
      <c r="AG1202" s="431" t="s">
        <v>61</v>
      </c>
      <c r="AH1202" s="431" t="s">
        <v>68</v>
      </c>
      <c r="AI1202" s="441"/>
      <c r="AJ1202" s="441"/>
      <c r="AK1202" s="437" t="str">
        <f>IFERROR(IF(VLOOKUP(AT1202,Vessel!A:F,5,FALSE)=0,"",VLOOKUP(AT1202,Vessel!A:F,5,FALSE)),"")</f>
        <v/>
      </c>
      <c r="AL1202" s="441"/>
      <c r="AM1202" s="441"/>
      <c r="AN1202" s="586" t="str">
        <f>IFERROR(IF(VLOOKUP(AT1202,Vessel!A:I,9,FALSE)=0,"",VLOOKUP(AT1202,Vessel!A:I,9,FALSE)),"")</f>
        <v/>
      </c>
      <c r="AO1202" s="431"/>
      <c r="AP1202" s="431"/>
      <c r="AQ1202" s="431"/>
      <c r="AR1202" s="431"/>
      <c r="AS1202" s="431"/>
      <c r="AT1202" s="431"/>
      <c r="AU12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2" s="441"/>
      <c r="AW1202" s="441" t="str" cm="1">
        <f t="array" ref="AW1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41">
        <f>IF(ISERROR(PV_DATA[[#This Row],[New Ark PO status]]),"",_xlfn.XLOOKUP(PV_DATA[[#This Row],[SPTN-PVHK New Ark PO'#]],New_Ark_Data[Purchase order Number],New_Ark_Data[Estimated time of arrival],"",0))</f>
        <v>0</v>
      </c>
      <c r="AZ120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2" s="441" t="str">
        <f>IFERROR(PV_DATA[[#This Row],[ODP ETA Port]]+PV_DATA[[#This Row],[Customs/Leg3 Assumption]],"n/a")</f>
        <v>n/a</v>
      </c>
      <c r="BB1202" s="442" t="e">
        <f>YEAR(PV_DATA[[#This Row],[ETA for New Ark update]])</f>
        <v>#VALUE!</v>
      </c>
      <c r="BC1202" s="431" t="e">
        <f>MONTH(PV_DATA[[#This Row],[ETA for New Ark update]])</f>
        <v>#VALUE!</v>
      </c>
      <c r="BD1202" s="431">
        <f>IFERROR(_xlfn.ISOWEEKNUM(PV_DATA[[#This Row],[ETA for New Ark update]]),0)</f>
        <v>0</v>
      </c>
      <c r="BE1202" s="431">
        <f>_xlfn.XLOOKUP(PV_DATA[[#This Row],[New Ark SKU]],Table9[New Ark SKU],Table9[Total PCS per Pallet],,0)</f>
        <v>36</v>
      </c>
      <c r="BF1202" s="431">
        <f>_xlfn.XLOOKUP(PV_DATA[[#This Row],[New Ark SKU]],Table9[New Ark SKU],Table9[Total PCS per 40HQ Container],,0)</f>
        <v>936</v>
      </c>
      <c r="BG1202" s="431" t="str">
        <f>_xlfn.XLOOKUP(PV_DATA[[#This Row],[New Ark SKU]],Table9[New Ark SKU],Table9[Back Glass],,0)</f>
        <v>Black glazing</v>
      </c>
      <c r="BH1202" s="431" t="str">
        <f>_xlfn.XLOOKUP(PV_DATA[[#This Row],[PORT DESTINATION]],Table12[PORT DESTINATION],Table12[Cosco Line],,0)</f>
        <v>n/a</v>
      </c>
      <c r="BJ1202" s="430"/>
    </row>
    <row r="1203" spans="1:62" ht="10.5">
      <c r="A1203" s="439" t="s">
        <v>7259</v>
      </c>
      <c r="B1203" s="439" t="s">
        <v>1757</v>
      </c>
      <c r="C1203" s="439" t="str">
        <f>IFERROR(LEFT(PV_DATA[[#This Row],[TCL REFERENCE]],FIND(".",PV_DATA[[#This Row],[TCL REFERENCE]],1)-1),"Main Line")</f>
        <v>Main Line</v>
      </c>
      <c r="D1203" s="439" t="s">
        <v>63</v>
      </c>
      <c r="E1203" s="439" t="s">
        <v>68</v>
      </c>
      <c r="F1203" s="439" t="str" cm="1">
        <f t="array" ref="F12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3" s="439" t="s">
        <v>68</v>
      </c>
      <c r="H1203" s="439" t="s">
        <v>68</v>
      </c>
      <c r="I1203" s="439" t="s">
        <v>68</v>
      </c>
      <c r="J1203" s="431" t="s">
        <v>68</v>
      </c>
      <c r="K1203" s="431"/>
      <c r="L1203" s="431"/>
      <c r="M1203" s="430" t="s">
        <v>6315</v>
      </c>
      <c r="N1203" s="461">
        <v>46195</v>
      </c>
      <c r="O1203" s="431" t="s">
        <v>4531</v>
      </c>
      <c r="P1203" s="431" t="s">
        <v>71</v>
      </c>
      <c r="Q1203" s="431" t="s">
        <v>72</v>
      </c>
      <c r="R1203" s="430" t="str">
        <f>_xlfn.XLOOKUP(PV_DATA[[#This Row],[New Ark SKU]],Table9[New Ark SKU],Table9[Connector],,0)</f>
        <v>EVO2A</v>
      </c>
      <c r="S1203" s="433" t="str">
        <f>_xlfn.XLOOKUP(PV_DATA[[#This Row],[New Ark SKU]],Table9[New Ark SKU],Table9[Cable],,0)</f>
        <v>±1200mm</v>
      </c>
      <c r="T1203" s="442">
        <v>500</v>
      </c>
      <c r="U1203" s="1093" cm="1">
        <f t="array" ref="U1203">31968-fx_qty</f>
        <v>0</v>
      </c>
      <c r="V1203" s="448">
        <f>PV_DATA[[#This Row],[QUANTITY]]*PV_DATA[[#This Row],[WATT]]/1000000</f>
        <v>0</v>
      </c>
      <c r="W1203" s="466">
        <f>PV_DATA[[#This Row],[QUANTITY]]/PV_DATA[[#This Row],[Qty/Pallet]]</f>
        <v>0</v>
      </c>
      <c r="X1203" s="1044">
        <f>PV_DATA[[#This Row],[QUANTITY]]/PV_DATA[[#This Row],[Qty/CT]]</f>
        <v>0</v>
      </c>
      <c r="Y1203" s="431" t="s">
        <v>7027</v>
      </c>
      <c r="Z1203" s="430" t="str">
        <f t="shared" si="28"/>
        <v/>
      </c>
      <c r="AA1203" s="431"/>
      <c r="AB1203" s="441"/>
      <c r="AC1203" s="467" t="str">
        <f>IF(PV_DATA[[#This Row],[Pick- Up Date]]&lt;&gt;"",_xlfn.ISOWEEKNUM(PV_DATA[[#This Row],[Pick- Up Date]]),"")</f>
        <v/>
      </c>
      <c r="AD1203" s="431"/>
      <c r="AE1203" s="431"/>
      <c r="AF1203" s="447" t="s">
        <v>1525</v>
      </c>
      <c r="AG1203" s="447" t="s">
        <v>1525</v>
      </c>
      <c r="AH1203" s="431" t="s">
        <v>68</v>
      </c>
      <c r="AI1203" s="441"/>
      <c r="AJ1203" s="441"/>
      <c r="AK1203" s="437" t="str">
        <f>IFERROR(IF(VLOOKUP(AT1203,Vessel!A:F,5,FALSE)=0,"",VLOOKUP(AT1203,Vessel!A:F,5,FALSE)),"")</f>
        <v/>
      </c>
      <c r="AL1203" s="441"/>
      <c r="AM1203" s="441"/>
      <c r="AN1203" s="586" t="str">
        <f>IFERROR(IF(VLOOKUP(AT1203,Vessel!A:I,9,FALSE)=0,"",VLOOKUP(AT1203,Vessel!A:I,9,FALSE)),"")</f>
        <v/>
      </c>
      <c r="AO1203" s="431"/>
      <c r="AP1203" s="431"/>
      <c r="AQ1203" s="431"/>
      <c r="AR1203" s="431"/>
      <c r="AS1203" s="431"/>
      <c r="AT1203" s="431"/>
      <c r="AU12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3" s="441"/>
      <c r="AW1203" s="441" t="str" cm="1">
        <f t="array" ref="AW1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41">
        <f>IF(ISERROR(PV_DATA[[#This Row],[New Ark PO status]]),"",_xlfn.XLOOKUP(PV_DATA[[#This Row],[SPTN-PVHK New Ark PO'#]],New_Ark_Data[Purchase order Number],New_Ark_Data[Estimated time of arrival],"",0))</f>
        <v>0</v>
      </c>
      <c r="AZ120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3" s="441" t="str">
        <f>IFERROR(PV_DATA[[#This Row],[ODP ETA Port]]+PV_DATA[[#This Row],[Customs/Leg3 Assumption]],"n/a")</f>
        <v>n/a</v>
      </c>
      <c r="BB1203" s="442" t="e">
        <f>YEAR(PV_DATA[[#This Row],[ETA for New Ark update]])</f>
        <v>#VALUE!</v>
      </c>
      <c r="BC1203" s="431" t="e">
        <f>MONTH(PV_DATA[[#This Row],[ETA for New Ark update]])</f>
        <v>#VALUE!</v>
      </c>
      <c r="BD1203" s="431">
        <f>IFERROR(_xlfn.ISOWEEKNUM(PV_DATA[[#This Row],[ETA for New Ark update]]),0)</f>
        <v>0</v>
      </c>
      <c r="BE1203" s="431">
        <f>_xlfn.XLOOKUP(PV_DATA[[#This Row],[New Ark SKU]],Table9[New Ark SKU],Table9[Total PCS per Pallet],,0)</f>
        <v>36</v>
      </c>
      <c r="BF1203" s="431">
        <f>_xlfn.XLOOKUP(PV_DATA[[#This Row],[New Ark SKU]],Table9[New Ark SKU],Table9[Total PCS per 40HQ Container],,0)</f>
        <v>864</v>
      </c>
      <c r="BG1203" s="431" t="str">
        <f>_xlfn.XLOOKUP(PV_DATA[[#This Row],[New Ark SKU]],Table9[New Ark SKU],Table9[Back Glass],,0)</f>
        <v>Black glazing</v>
      </c>
      <c r="BH1203" s="431" t="str">
        <f>_xlfn.XLOOKUP(PV_DATA[[#This Row],[PORT DESTINATION]],Table12[PORT DESTINATION],Table12[Cosco Line],,0)</f>
        <v>n/a</v>
      </c>
      <c r="BJ1203" s="430"/>
    </row>
    <row r="1204" spans="1:62" ht="12" customHeight="1">
      <c r="A1204" s="439" t="s">
        <v>7260</v>
      </c>
      <c r="B1204" s="439" t="s">
        <v>1757</v>
      </c>
      <c r="C1204" s="439" t="str">
        <f>IFERROR(LEFT(PV_DATA[[#This Row],[TCL REFERENCE]],FIND(".",PV_DATA[[#This Row],[TCL REFERENCE]],1)-1),"Main Line")</f>
        <v>Main Line</v>
      </c>
      <c r="D1204" s="439" t="s">
        <v>63</v>
      </c>
      <c r="E1204" s="439" t="s">
        <v>68</v>
      </c>
      <c r="F1204" s="439" t="str" cm="1">
        <f t="array" ref="F12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4" s="439" t="s">
        <v>68</v>
      </c>
      <c r="H1204" s="439" t="s">
        <v>68</v>
      </c>
      <c r="I1204" s="439" t="s">
        <v>68</v>
      </c>
      <c r="J1204" s="431" t="s">
        <v>68</v>
      </c>
      <c r="K1204" s="431"/>
      <c r="L1204" s="431"/>
      <c r="M1204" s="430" t="s">
        <v>6315</v>
      </c>
      <c r="N1204" s="461">
        <v>46195</v>
      </c>
      <c r="O1204" s="431" t="s">
        <v>4531</v>
      </c>
      <c r="P1204" s="431" t="s">
        <v>1151</v>
      </c>
      <c r="Q1204" s="431" t="s">
        <v>421</v>
      </c>
      <c r="R1204" s="430" t="str">
        <f>_xlfn.XLOOKUP(PV_DATA[[#This Row],[New Ark SKU]],Table9[New Ark SKU],Table9[Connector],,0)</f>
        <v>EVO2A</v>
      </c>
      <c r="S1204" s="433" t="str">
        <f>_xlfn.XLOOKUP(PV_DATA[[#This Row],[New Ark SKU]],Table9[New Ark SKU],Table9[Cable],,0)</f>
        <v>±1200mm</v>
      </c>
      <c r="T1204" s="442">
        <v>505</v>
      </c>
      <c r="U1204" s="1093" cm="1">
        <f t="array" ref="U1204">47520-fx_qty</f>
        <v>0</v>
      </c>
      <c r="V1204" s="448">
        <f>PV_DATA[[#This Row],[QUANTITY]]*PV_DATA[[#This Row],[WATT]]/1000000</f>
        <v>0</v>
      </c>
      <c r="W1204" s="466">
        <f>PV_DATA[[#This Row],[QUANTITY]]/PV_DATA[[#This Row],[Qty/Pallet]]</f>
        <v>0</v>
      </c>
      <c r="X1204" s="1044">
        <f>PV_DATA[[#This Row],[QUANTITY]]/PV_DATA[[#This Row],[Qty/CT]]</f>
        <v>0</v>
      </c>
      <c r="Y1204" s="431" t="s">
        <v>7027</v>
      </c>
      <c r="Z1204" s="430" t="str">
        <f t="shared" si="28"/>
        <v/>
      </c>
      <c r="AA1204" s="431"/>
      <c r="AB1204" s="441"/>
      <c r="AC1204" s="467" t="str">
        <f>IF(PV_DATA[[#This Row],[Pick- Up Date]]&lt;&gt;"",_xlfn.ISOWEEKNUM(PV_DATA[[#This Row],[Pick- Up Date]]),"")</f>
        <v/>
      </c>
      <c r="AD1204" s="431"/>
      <c r="AE1204" s="431"/>
      <c r="AF1204" s="447" t="s">
        <v>1525</v>
      </c>
      <c r="AG1204" s="447" t="s">
        <v>1525</v>
      </c>
      <c r="AH1204" s="431" t="s">
        <v>68</v>
      </c>
      <c r="AI1204" s="441"/>
      <c r="AJ1204" s="441"/>
      <c r="AK1204" s="437"/>
      <c r="AL1204" s="441"/>
      <c r="AM1204" s="441"/>
      <c r="AN1204" s="586" t="str">
        <f>IFERROR(IF(VLOOKUP(AT1204,Vessel!A:I,9,FALSE)=0,"",VLOOKUP(AT1204,Vessel!A:I,9,FALSE)),"")</f>
        <v/>
      </c>
      <c r="AO1204" s="431"/>
      <c r="AP1204" s="431"/>
      <c r="AQ1204" s="431"/>
      <c r="AR1204" s="431"/>
      <c r="AS1204" s="431"/>
      <c r="AT1204" s="431"/>
      <c r="AU12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4" s="441"/>
      <c r="AW1204" s="441" t="str" cm="1">
        <f t="array" ref="AW1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1">
        <f>IF(ISERROR(PV_DATA[[#This Row],[New Ark PO status]]),"",_xlfn.XLOOKUP(PV_DATA[[#This Row],[SPTN-PVHK New Ark PO'#]],New_Ark_Data[Purchase order Number],New_Ark_Data[Estimated time of arrival],"",0))</f>
        <v>0</v>
      </c>
      <c r="AZ120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4" s="441" t="str">
        <f>IFERROR(PV_DATA[[#This Row],[ODP ETA Port]]+PV_DATA[[#This Row],[Customs/Leg3 Assumption]],"n/a")</f>
        <v>n/a</v>
      </c>
      <c r="BB1204" s="442" t="e">
        <f>YEAR(PV_DATA[[#This Row],[ETA for New Ark update]])</f>
        <v>#VALUE!</v>
      </c>
      <c r="BC1204" s="431" t="e">
        <f>MONTH(PV_DATA[[#This Row],[ETA for New Ark update]])</f>
        <v>#VALUE!</v>
      </c>
      <c r="BD1204" s="431">
        <f>IFERROR(_xlfn.ISOWEEKNUM(PV_DATA[[#This Row],[ETA for New Ark update]]),0)</f>
        <v>0</v>
      </c>
      <c r="BE1204" s="431">
        <f>_xlfn.XLOOKUP(PV_DATA[[#This Row],[New Ark SKU]],Table9[New Ark SKU],Table9[Total PCS per Pallet],,0)</f>
        <v>36</v>
      </c>
      <c r="BF1204" s="431">
        <f>_xlfn.XLOOKUP(PV_DATA[[#This Row],[New Ark SKU]],Table9[New Ark SKU],Table9[Total PCS per 40HQ Container],,0)</f>
        <v>864</v>
      </c>
      <c r="BG1204" s="431" t="str">
        <f>_xlfn.XLOOKUP(PV_DATA[[#This Row],[New Ark SKU]],Table9[New Ark SKU],Table9[Back Glass],,0)</f>
        <v>Black glazing</v>
      </c>
      <c r="BH1204" s="431" t="str">
        <f>_xlfn.XLOOKUP(PV_DATA[[#This Row],[PORT DESTINATION]],Table12[PORT DESTINATION],Table12[Cosco Line],,0)</f>
        <v>n/a</v>
      </c>
      <c r="BJ1204" s="430"/>
    </row>
    <row r="1205" spans="1:62" ht="10.5">
      <c r="A1205" s="439" t="s">
        <v>7261</v>
      </c>
      <c r="B1205" s="439" t="s">
        <v>61</v>
      </c>
      <c r="C1205" s="439" t="str">
        <f>IFERROR(LEFT(PV_DATA[[#This Row],[TCL REFERENCE]],FIND(".",PV_DATA[[#This Row],[TCL REFERENCE]],1)-1),"Main Line")</f>
        <v>Main Line</v>
      </c>
      <c r="D1205" s="439" t="s">
        <v>63</v>
      </c>
      <c r="E1205" s="439" t="s">
        <v>64</v>
      </c>
      <c r="F1205" s="462" t="str" cm="1">
        <f t="array" ref="F1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05" s="439" t="s">
        <v>402</v>
      </c>
      <c r="H1205" s="439" t="s">
        <v>67</v>
      </c>
      <c r="I1205" s="439" t="s">
        <v>689</v>
      </c>
      <c r="J1205" s="431" t="s">
        <v>96</v>
      </c>
      <c r="K1205" s="431"/>
      <c r="L1205" s="431"/>
      <c r="M1205" s="430" t="s">
        <v>6315</v>
      </c>
      <c r="N1205" s="461">
        <v>46209</v>
      </c>
      <c r="O1205" s="431" t="s">
        <v>4531</v>
      </c>
      <c r="P1205" s="431" t="s">
        <v>706</v>
      </c>
      <c r="Q1205" s="431" t="s">
        <v>707</v>
      </c>
      <c r="R1205" s="430" t="str">
        <f>_xlfn.XLOOKUP(PV_DATA[[#This Row],[New Ark SKU]],Table9[New Ark SKU],Table9[Connector],,0)</f>
        <v>EVO2A</v>
      </c>
      <c r="S1205" s="433" t="str">
        <f>_xlfn.XLOOKUP(PV_DATA[[#This Row],[New Ark SKU]],Table9[New Ark SKU],Table9[Cable],,0)</f>
        <v>±1200mm</v>
      </c>
      <c r="T1205" s="442">
        <v>500</v>
      </c>
      <c r="U1205" s="1093" cm="1">
        <f t="array" ref="U1205">15552-fx_qty</f>
        <v>0</v>
      </c>
      <c r="V1205" s="448">
        <f>PV_DATA[[#This Row],[QUANTITY]]*PV_DATA[[#This Row],[WATT]]/1000000</f>
        <v>0</v>
      </c>
      <c r="W1205" s="466">
        <f>PV_DATA[[#This Row],[QUANTITY]]/PV_DATA[[#This Row],[Qty/Pallet]]</f>
        <v>0</v>
      </c>
      <c r="X1205" s="1044">
        <f>PV_DATA[[#This Row],[QUANTITY]]/PV_DATA[[#This Row],[Qty/CT]]</f>
        <v>0</v>
      </c>
      <c r="Y1205" s="431" t="s">
        <v>7027</v>
      </c>
      <c r="Z1205" s="430" t="str">
        <f t="shared" si="28"/>
        <v/>
      </c>
      <c r="AA1205" s="431"/>
      <c r="AB1205" s="441"/>
      <c r="AC1205" s="467" t="str">
        <f>IF(PV_DATA[[#This Row],[Pick- Up Date]]&lt;&gt;"",_xlfn.ISOWEEKNUM(PV_DATA[[#This Row],[Pick- Up Date]]),"")</f>
        <v/>
      </c>
      <c r="AD1205" s="431"/>
      <c r="AE1205" s="431"/>
      <c r="AF1205" s="431" t="s">
        <v>61</v>
      </c>
      <c r="AG1205" s="431" t="s">
        <v>61</v>
      </c>
      <c r="AH1205" s="431" t="s">
        <v>78</v>
      </c>
      <c r="AI1205" s="441"/>
      <c r="AJ1205" s="441"/>
      <c r="AK1205" s="437" t="str">
        <f>IFERROR(IF(VLOOKUP(AT1205,Vessel!A:F,5,FALSE)=0,"",VLOOKUP(AT1205,Vessel!A:F,5,FALSE)),"")</f>
        <v/>
      </c>
      <c r="AL1205" s="441"/>
      <c r="AM1205" s="441"/>
      <c r="AN1205" s="586" t="str">
        <f>IFERROR(IF(VLOOKUP(AT1205,Vessel!A:I,9,FALSE)=0,"",VLOOKUP(AT1205,Vessel!A:I,9,FALSE)),"")</f>
        <v/>
      </c>
      <c r="AO1205" s="431"/>
      <c r="AP1205" s="431"/>
      <c r="AQ1205" s="431"/>
      <c r="AR1205" s="431"/>
      <c r="AS1205" s="431"/>
      <c r="AT1205" s="431"/>
      <c r="AU12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5" s="441"/>
      <c r="AW1205" s="441" cm="1">
        <f t="array" ref="AW1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0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41">
        <f>IF(ISERROR(PV_DATA[[#This Row],[New Ark PO status]]),"",_xlfn.XLOOKUP(PV_DATA[[#This Row],[SPTN-PVHK New Ark PO'#]],New_Ark_Data[Purchase order Number],New_Ark_Data[Estimated time of arrival],"",0))</f>
        <v>0</v>
      </c>
      <c r="AZ120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05" s="441">
        <f>IFERROR(PV_DATA[[#This Row],[ODP ETA Port]]+PV_DATA[[#This Row],[Customs/Leg3 Assumption]],"n/a")</f>
        <v>46349</v>
      </c>
      <c r="BB1205" s="442">
        <f>YEAR(PV_DATA[[#This Row],[ETA for New Ark update]])</f>
        <v>2026</v>
      </c>
      <c r="BC1205" s="431">
        <f>MONTH(PV_DATA[[#This Row],[ETA for New Ark update]])</f>
        <v>11</v>
      </c>
      <c r="BD1205" s="431">
        <f>IFERROR(_xlfn.ISOWEEKNUM(PV_DATA[[#This Row],[ETA for New Ark update]]),0)</f>
        <v>48</v>
      </c>
      <c r="BE1205" s="431">
        <f>_xlfn.XLOOKUP(PV_DATA[[#This Row],[New Ark SKU]],Table9[New Ark SKU],Table9[Total PCS per Pallet],,0)</f>
        <v>36</v>
      </c>
      <c r="BF1205" s="431">
        <f>_xlfn.XLOOKUP(PV_DATA[[#This Row],[New Ark SKU]],Table9[New Ark SKU],Table9[Total PCS per 40HQ Container],,0)</f>
        <v>864</v>
      </c>
      <c r="BG1205" s="431" t="str">
        <f>_xlfn.XLOOKUP(PV_DATA[[#This Row],[New Ark SKU]],Table9[New Ark SKU],Table9[Back Glass],,0)</f>
        <v>Black glazing</v>
      </c>
      <c r="BH1205" s="431" t="str">
        <f>_xlfn.XLOOKUP(PV_DATA[[#This Row],[PORT DESTINATION]],Table12[PORT DESTINATION],Table12[Cosco Line],,0)</f>
        <v>AEM</v>
      </c>
      <c r="BJ1205" s="430"/>
    </row>
    <row r="1206" spans="1:62" ht="12.5">
      <c r="A1206" s="439" t="s">
        <v>7262</v>
      </c>
      <c r="B1206" s="439" t="s">
        <v>61</v>
      </c>
      <c r="C1206" s="439" t="str">
        <f>IFERROR(LEFT(PV_DATA[[#This Row],[TCL REFERENCE]],FIND(".",PV_DATA[[#This Row],[TCL REFERENCE]],1)-1),"Main Line")</f>
        <v>Main Line</v>
      </c>
      <c r="D1206" s="439" t="s">
        <v>63</v>
      </c>
      <c r="E1206" s="439" t="s">
        <v>64</v>
      </c>
      <c r="F1206" s="462" t="str" cm="1">
        <f t="array" ref="F1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06" s="439" t="s">
        <v>402</v>
      </c>
      <c r="H1206" s="439" t="s">
        <v>67</v>
      </c>
      <c r="I1206" s="439" t="s">
        <v>689</v>
      </c>
      <c r="J1206" s="431" t="s">
        <v>96</v>
      </c>
      <c r="K1206" s="431"/>
      <c r="L1206" s="431"/>
      <c r="M1206" s="430" t="s">
        <v>6315</v>
      </c>
      <c r="N1206" s="461">
        <v>46209</v>
      </c>
      <c r="O1206" s="431" t="s">
        <v>4531</v>
      </c>
      <c r="P1206" s="431" t="s">
        <v>691</v>
      </c>
      <c r="Q1206" s="431" t="s">
        <v>692</v>
      </c>
      <c r="R1206" s="430" t="str">
        <f>_xlfn.XLOOKUP(PV_DATA[[#This Row],[New Ark SKU]],Table9[New Ark SKU],Table9[Connector],,0)</f>
        <v>EVO2A</v>
      </c>
      <c r="S1206" s="433" t="str">
        <f>_xlfn.XLOOKUP(PV_DATA[[#This Row],[New Ark SKU]],Table9[New Ark SKU],Table9[Cable],,0)</f>
        <v>±1200mm</v>
      </c>
      <c r="T1206" s="442">
        <v>505</v>
      </c>
      <c r="U1206" s="1093" cm="1">
        <f t="array" ref="U1206">24192-fx_qty</f>
        <v>0</v>
      </c>
      <c r="V1206" s="434">
        <f>PV_DATA[[#This Row],[QUANTITY]]*PV_DATA[[#This Row],[WATT]]/1000000</f>
        <v>0</v>
      </c>
      <c r="W1206" s="466">
        <f>PV_DATA[[#This Row],[QUANTITY]]/PV_DATA[[#This Row],[Qty/Pallet]]</f>
        <v>0</v>
      </c>
      <c r="X1206" s="1044">
        <f>PV_DATA[[#This Row],[QUANTITY]]/PV_DATA[[#This Row],[Qty/CT]]</f>
        <v>0</v>
      </c>
      <c r="Y1206" s="431" t="s">
        <v>7027</v>
      </c>
      <c r="Z1206" s="430" t="str">
        <f t="shared" si="28"/>
        <v/>
      </c>
      <c r="AA1206" s="431"/>
      <c r="AB1206" s="441"/>
      <c r="AC1206" s="467" t="str">
        <f>IF(PV_DATA[[#This Row],[Pick- Up Date]]&lt;&gt;"",_xlfn.ISOWEEKNUM(PV_DATA[[#This Row],[Pick- Up Date]]),"")</f>
        <v/>
      </c>
      <c r="AD1206" s="431"/>
      <c r="AE1206" s="431"/>
      <c r="AF1206" s="431" t="s">
        <v>61</v>
      </c>
      <c r="AG1206" s="431" t="s">
        <v>61</v>
      </c>
      <c r="AH1206" s="431" t="s">
        <v>78</v>
      </c>
      <c r="AI1206" s="441"/>
      <c r="AJ1206" s="441"/>
      <c r="AK1206" s="437" t="str">
        <f>IFERROR(IF(VLOOKUP(AT1206,Vessel!A:F,5,FALSE)=0,"",VLOOKUP(AT1206,Vessel!A:F,5,FALSE)),"")</f>
        <v/>
      </c>
      <c r="AL1206" s="441"/>
      <c r="AM1206" s="441"/>
      <c r="AN1206" s="586" t="str">
        <f>IFERROR(IF(VLOOKUP(AT1206,Vessel!A:I,9,FALSE)=0,"",VLOOKUP(AT1206,Vessel!A:I,9,FALSE)),"")</f>
        <v/>
      </c>
      <c r="AO1206" s="431"/>
      <c r="AP1206" s="431"/>
      <c r="AQ1206" s="431"/>
      <c r="AR1206" s="1281"/>
      <c r="AS1206" s="431"/>
      <c r="AT1206" s="431"/>
      <c r="AU12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6" s="441"/>
      <c r="AW1206" s="441" cm="1">
        <f t="array" ref="AW1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0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41">
        <f>IF(ISERROR(PV_DATA[[#This Row],[New Ark PO status]]),"",_xlfn.XLOOKUP(PV_DATA[[#This Row],[SPTN-PVHK New Ark PO'#]],New_Ark_Data[Purchase order Number],New_Ark_Data[Estimated time of arrival],"",0))</f>
        <v>0</v>
      </c>
      <c r="AZ120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06" s="437">
        <f>IFERROR(PV_DATA[[#This Row],[ODP ETA Port]]+PV_DATA[[#This Row],[Customs/Leg3 Assumption]],"n/a")</f>
        <v>46349</v>
      </c>
      <c r="BB1206" s="442">
        <f>YEAR(PV_DATA[[#This Row],[ETA for New Ark update]])</f>
        <v>2026</v>
      </c>
      <c r="BC1206" s="431">
        <f>MONTH(PV_DATA[[#This Row],[ETA for New Ark update]])</f>
        <v>11</v>
      </c>
      <c r="BD1206" s="431">
        <f>IFERROR(_xlfn.ISOWEEKNUM(PV_DATA[[#This Row],[ETA for New Ark update]]),0)</f>
        <v>48</v>
      </c>
      <c r="BE1206" s="431">
        <f>_xlfn.XLOOKUP(PV_DATA[[#This Row],[New Ark SKU]],Table9[New Ark SKU],Table9[Total PCS per Pallet],,0)</f>
        <v>36</v>
      </c>
      <c r="BF1206" s="431">
        <f>_xlfn.XLOOKUP(PV_DATA[[#This Row],[New Ark SKU]],Table9[New Ark SKU],Table9[Total PCS per 40HQ Container],,0)</f>
        <v>864</v>
      </c>
      <c r="BG1206" s="431" t="str">
        <f>_xlfn.XLOOKUP(PV_DATA[[#This Row],[New Ark SKU]],Table9[New Ark SKU],Table9[Back Glass],,0)</f>
        <v>Black glazing</v>
      </c>
      <c r="BH1206" s="431" t="str">
        <f>_xlfn.XLOOKUP(PV_DATA[[#This Row],[PORT DESTINATION]],Table12[PORT DESTINATION],Table12[Cosco Line],,0)</f>
        <v>AEM</v>
      </c>
      <c r="BJ1206" s="430"/>
    </row>
    <row r="1207" spans="1:62" ht="10.5">
      <c r="A1207" s="439" t="s">
        <v>7263</v>
      </c>
      <c r="B1207" s="439" t="s">
        <v>111</v>
      </c>
      <c r="C1207" s="439" t="str">
        <f>IFERROR(LEFT(PV_DATA[[#This Row],[TCL REFERENCE]],FIND(".",PV_DATA[[#This Row],[TCL REFERENCE]],1)-1),"Main Line")</f>
        <v>Main Line</v>
      </c>
      <c r="D1207" s="439" t="s">
        <v>63</v>
      </c>
      <c r="E1207" s="439" t="s">
        <v>68</v>
      </c>
      <c r="F1207" s="439" t="str" cm="1">
        <f t="array" ref="F12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7" s="439" t="s">
        <v>68</v>
      </c>
      <c r="H1207" s="439" t="s">
        <v>68</v>
      </c>
      <c r="I1207" s="439" t="s">
        <v>689</v>
      </c>
      <c r="J1207" s="431" t="s">
        <v>68</v>
      </c>
      <c r="K1207" s="431"/>
      <c r="L1207" s="431"/>
      <c r="M1207" s="430" t="s">
        <v>6315</v>
      </c>
      <c r="N1207" s="461">
        <v>46202</v>
      </c>
      <c r="O1207" s="431" t="s">
        <v>5379</v>
      </c>
      <c r="P1207" s="430" t="s">
        <v>5400</v>
      </c>
      <c r="Q1207" s="431" t="s">
        <v>5401</v>
      </c>
      <c r="R1207" s="430" t="str">
        <f>_xlfn.XLOOKUP(PV_DATA[[#This Row],[New Ark SKU]],Table9[New Ark SKU],Table9[Connector],,0)</f>
        <v>EVO2A</v>
      </c>
      <c r="S1207" s="433" t="str">
        <f>_xlfn.XLOOKUP(PV_DATA[[#This Row],[New Ark SKU]],Table9[New Ark SKU],Table9[Cable],,0)</f>
        <v>±1200mm</v>
      </c>
      <c r="T1207" s="442">
        <v>465</v>
      </c>
      <c r="U1207" s="1093" cm="1">
        <f t="array" ref="U1207">34632-fx_qty</f>
        <v>0</v>
      </c>
      <c r="V1207" s="448">
        <f>PV_DATA[[#This Row],[QUANTITY]]*PV_DATA[[#This Row],[WATT]]/1000000</f>
        <v>0</v>
      </c>
      <c r="W1207" s="466">
        <f>PV_DATA[[#This Row],[QUANTITY]]/PV_DATA[[#This Row],[Qty/Pallet]]</f>
        <v>0</v>
      </c>
      <c r="X1207" s="1044">
        <f>PV_DATA[[#This Row],[QUANTITY]]/PV_DATA[[#This Row],[Qty/CT]]</f>
        <v>0</v>
      </c>
      <c r="Y1207" s="431" t="s">
        <v>7027</v>
      </c>
      <c r="Z1207" s="430" t="str">
        <f t="shared" si="28"/>
        <v/>
      </c>
      <c r="AA1207" s="431" t="s">
        <v>7264</v>
      </c>
      <c r="AB1207" s="441"/>
      <c r="AC1207" s="467" t="str">
        <f>IF(PV_DATA[[#This Row],[Pick- Up Date]]&lt;&gt;"",_xlfn.ISOWEEKNUM(PV_DATA[[#This Row],[Pick- Up Date]]),"")</f>
        <v/>
      </c>
      <c r="AD1207" s="431"/>
      <c r="AE1207" s="431"/>
      <c r="AF1207" s="431" t="s">
        <v>122</v>
      </c>
      <c r="AG1207" s="431" t="s">
        <v>123</v>
      </c>
      <c r="AH1207" s="431" t="s">
        <v>68</v>
      </c>
      <c r="AI1207" s="441"/>
      <c r="AJ1207" s="441"/>
      <c r="AK1207" s="437" t="str">
        <f>IFERROR(IF(VLOOKUP(AT1207,Vessel!A:F,5,FALSE)=0,"",VLOOKUP(AT1207,Vessel!A:F,5,FALSE)),"")</f>
        <v/>
      </c>
      <c r="AL1207" s="441"/>
      <c r="AM1207" s="441"/>
      <c r="AN1207" s="586" t="str">
        <f>IFERROR(IF(VLOOKUP(AT1207,Vessel!A:I,9,FALSE)=0,"",VLOOKUP(AT1207,Vessel!A:I,9,FALSE)),"")</f>
        <v/>
      </c>
      <c r="AO1207" s="431"/>
      <c r="AP1207" s="431"/>
      <c r="AQ1207" s="445"/>
      <c r="AR1207" s="431"/>
      <c r="AS1207" s="431"/>
      <c r="AT1207" s="431"/>
      <c r="AU12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7" s="431"/>
      <c r="AW1207" s="441" t="str" cm="1">
        <f t="array" ref="AW1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1">
        <f>IF(ISERROR(PV_DATA[[#This Row],[New Ark PO status]]),"",_xlfn.XLOOKUP(PV_DATA[[#This Row],[SPTN-PVHK New Ark PO'#]],New_Ark_Data[Purchase order Number],New_Ark_Data[Estimated time of arrival],"",0))</f>
        <v>0</v>
      </c>
      <c r="AZ120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7" s="441" t="str">
        <f>IFERROR(PV_DATA[[#This Row],[ODP ETA Port]]+PV_DATA[[#This Row],[Customs/Leg3 Assumption]],"n/a")</f>
        <v>n/a</v>
      </c>
      <c r="BB1207" s="442" t="e">
        <f>YEAR(PV_DATA[[#This Row],[ETA for New Ark update]])</f>
        <v>#VALUE!</v>
      </c>
      <c r="BC1207" s="431" t="e">
        <f>MONTH(PV_DATA[[#This Row],[ETA for New Ark update]])</f>
        <v>#VALUE!</v>
      </c>
      <c r="BD1207" s="431">
        <f>IFERROR(_xlfn.ISOWEEKNUM(PV_DATA[[#This Row],[ETA for New Ark update]]),0)</f>
        <v>0</v>
      </c>
      <c r="BE1207" s="431">
        <f>_xlfn.XLOOKUP(PV_DATA[[#This Row],[New Ark SKU]],Table9[New Ark SKU],Table9[Total PCS per Pallet],,0)</f>
        <v>36</v>
      </c>
      <c r="BF1207" s="431">
        <f>_xlfn.XLOOKUP(PV_DATA[[#This Row],[New Ark SKU]],Table9[New Ark SKU],Table9[Total PCS per 40HQ Container],,0)</f>
        <v>936</v>
      </c>
      <c r="BG1207" s="431" t="str">
        <f>_xlfn.XLOOKUP(PV_DATA[[#This Row],[New Ark SKU]],Table9[New Ark SKU],Table9[Back Glass],,0)</f>
        <v>Black glazing</v>
      </c>
      <c r="BH1207" s="431" t="str">
        <f>_xlfn.XLOOKUP(PV_DATA[[#This Row],[PORT DESTINATION]],Table12[PORT DESTINATION],Table12[Cosco Line],,0)</f>
        <v>n/a</v>
      </c>
      <c r="BJ1207" s="430"/>
    </row>
    <row r="1208" spans="1:62" ht="10.5">
      <c r="A1208" s="439" t="s">
        <v>7265</v>
      </c>
      <c r="B1208" s="439" t="s">
        <v>111</v>
      </c>
      <c r="C1208" s="439" t="str">
        <f>IFERROR(LEFT(PV_DATA[[#This Row],[TCL REFERENCE]],FIND(".",PV_DATA[[#This Row],[TCL REFERENCE]],1)-1),"Main Line")</f>
        <v>Main Line</v>
      </c>
      <c r="D1208" s="439" t="s">
        <v>63</v>
      </c>
      <c r="E1208" s="439" t="s">
        <v>68</v>
      </c>
      <c r="F1208" s="439" t="str" cm="1">
        <f t="array" ref="F120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8" s="439" t="s">
        <v>68</v>
      </c>
      <c r="H1208" s="439" t="s">
        <v>68</v>
      </c>
      <c r="I1208" s="439" t="s">
        <v>68</v>
      </c>
      <c r="J1208" s="431" t="s">
        <v>68</v>
      </c>
      <c r="K1208" s="431"/>
      <c r="L1208" s="431"/>
      <c r="M1208" s="430" t="s">
        <v>6315</v>
      </c>
      <c r="N1208" s="461">
        <v>46202</v>
      </c>
      <c r="O1208" s="431" t="s">
        <v>5379</v>
      </c>
      <c r="P1208" s="430" t="s">
        <v>5380</v>
      </c>
      <c r="Q1208" s="431" t="s">
        <v>5381</v>
      </c>
      <c r="R1208" s="430" t="str">
        <f>_xlfn.XLOOKUP(PV_DATA[[#This Row],[New Ark SKU]],Table9[New Ark SKU],Table9[Connector],,0)</f>
        <v>EVO2A</v>
      </c>
      <c r="S1208" s="433" t="str">
        <f>_xlfn.XLOOKUP(PV_DATA[[#This Row],[New Ark SKU]],Table9[New Ark SKU],Table9[Cable],,0)</f>
        <v>±1200mm</v>
      </c>
      <c r="T1208" s="442">
        <v>470</v>
      </c>
      <c r="U1208" s="1093" cm="1">
        <f t="array" ref="U1208">8424-fx_qty</f>
        <v>0</v>
      </c>
      <c r="V1208" s="448">
        <f>PV_DATA[[#This Row],[QUANTITY]]*PV_DATA[[#This Row],[WATT]]/1000000</f>
        <v>0</v>
      </c>
      <c r="W1208" s="466">
        <f>PV_DATA[[#This Row],[QUANTITY]]/PV_DATA[[#This Row],[Qty/Pallet]]</f>
        <v>0</v>
      </c>
      <c r="X1208" s="1044">
        <f>PV_DATA[[#This Row],[QUANTITY]]/PV_DATA[[#This Row],[Qty/CT]]</f>
        <v>0</v>
      </c>
      <c r="Y1208" s="431" t="s">
        <v>7027</v>
      </c>
      <c r="Z1208" s="430" t="str">
        <f t="shared" si="28"/>
        <v/>
      </c>
      <c r="AA1208" s="431"/>
      <c r="AB1208" s="441"/>
      <c r="AC1208" s="467" t="str">
        <f>IF(PV_DATA[[#This Row],[Pick- Up Date]]&lt;&gt;"",_xlfn.ISOWEEKNUM(PV_DATA[[#This Row],[Pick- Up Date]]),"")</f>
        <v/>
      </c>
      <c r="AD1208" s="431"/>
      <c r="AE1208" s="431"/>
      <c r="AF1208" s="431" t="s">
        <v>122</v>
      </c>
      <c r="AG1208" s="431" t="s">
        <v>123</v>
      </c>
      <c r="AH1208" s="431" t="s">
        <v>68</v>
      </c>
      <c r="AI1208" s="441"/>
      <c r="AJ1208" s="441"/>
      <c r="AK1208" s="437" t="str">
        <f>IFERROR(IF(VLOOKUP(AT1208,Vessel!A:F,5,FALSE)=0,"",VLOOKUP(AT1208,Vessel!A:F,5,FALSE)),"")</f>
        <v/>
      </c>
      <c r="AL1208" s="441"/>
      <c r="AM1208" s="441"/>
      <c r="AN1208" s="586" t="str">
        <f>IFERROR(IF(VLOOKUP(AT1208,Vessel!A:I,9,FALSE)=0,"",VLOOKUP(AT1208,Vessel!A:I,9,FALSE)),"")</f>
        <v/>
      </c>
      <c r="AO1208" s="431"/>
      <c r="AP1208" s="431"/>
      <c r="AQ1208" s="445"/>
      <c r="AR1208" s="431"/>
      <c r="AS1208" s="431"/>
      <c r="AT1208" s="431"/>
      <c r="AU12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8" s="431"/>
      <c r="AW1208" s="441" t="str" cm="1">
        <f t="array" ref="AW1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41">
        <f>IF(ISERROR(PV_DATA[[#This Row],[New Ark PO status]]),"",_xlfn.XLOOKUP(PV_DATA[[#This Row],[SPTN-PVHK New Ark PO'#]],New_Ark_Data[Purchase order Number],New_Ark_Data[Estimated time of arrival],"",0))</f>
        <v>0</v>
      </c>
      <c r="AZ120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8" s="441" t="str">
        <f>IFERROR(PV_DATA[[#This Row],[ODP ETA Port]]+PV_DATA[[#This Row],[Customs/Leg3 Assumption]],"n/a")</f>
        <v>n/a</v>
      </c>
      <c r="BB1208" s="442" t="e">
        <f>YEAR(PV_DATA[[#This Row],[ETA for New Ark update]])</f>
        <v>#VALUE!</v>
      </c>
      <c r="BC1208" s="431" t="e">
        <f>MONTH(PV_DATA[[#This Row],[ETA for New Ark update]])</f>
        <v>#VALUE!</v>
      </c>
      <c r="BD1208" s="431">
        <f>IFERROR(_xlfn.ISOWEEKNUM(PV_DATA[[#This Row],[ETA for New Ark update]]),0)</f>
        <v>0</v>
      </c>
      <c r="BE1208" s="431">
        <f>_xlfn.XLOOKUP(PV_DATA[[#This Row],[New Ark SKU]],Table9[New Ark SKU],Table9[Total PCS per Pallet],,0)</f>
        <v>36</v>
      </c>
      <c r="BF1208" s="431">
        <f>_xlfn.XLOOKUP(PV_DATA[[#This Row],[New Ark SKU]],Table9[New Ark SKU],Table9[Total PCS per 40HQ Container],,0)</f>
        <v>936</v>
      </c>
      <c r="BG1208" s="431" t="str">
        <f>_xlfn.XLOOKUP(PV_DATA[[#This Row],[New Ark SKU]],Table9[New Ark SKU],Table9[Back Glass],,0)</f>
        <v>Black glazing</v>
      </c>
      <c r="BH1208" s="431" t="str">
        <f>_xlfn.XLOOKUP(PV_DATA[[#This Row],[PORT DESTINATION]],Table12[PORT DESTINATION],Table12[Cosco Line],,0)</f>
        <v>n/a</v>
      </c>
      <c r="BJ1208" s="430"/>
    </row>
    <row r="1209" spans="1:62" ht="10.5">
      <c r="A1209" s="439" t="s">
        <v>7266</v>
      </c>
      <c r="B1209" s="439" t="s">
        <v>111</v>
      </c>
      <c r="C1209" s="439" t="str">
        <f>IFERROR(LEFT(PV_DATA[[#This Row],[TCL REFERENCE]],FIND(".",PV_DATA[[#This Row],[TCL REFERENCE]],1)-1),"Main Line")</f>
        <v>Main Line</v>
      </c>
      <c r="D1209" s="439" t="s">
        <v>63</v>
      </c>
      <c r="E1209" s="439" t="s">
        <v>68</v>
      </c>
      <c r="F1209" s="439" t="str" cm="1">
        <f t="array" ref="F120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9" s="439" t="s">
        <v>68</v>
      </c>
      <c r="H1209" s="439" t="s">
        <v>68</v>
      </c>
      <c r="I1209" s="439" t="s">
        <v>68</v>
      </c>
      <c r="J1209" s="431" t="s">
        <v>68</v>
      </c>
      <c r="K1209" s="431"/>
      <c r="L1209" s="431"/>
      <c r="M1209" s="430" t="s">
        <v>6315</v>
      </c>
      <c r="N1209" s="461">
        <v>46202</v>
      </c>
      <c r="O1209" s="431" t="s">
        <v>5336</v>
      </c>
      <c r="P1209" s="430" t="s">
        <v>5337</v>
      </c>
      <c r="Q1209" s="431" t="s">
        <v>5338</v>
      </c>
      <c r="R1209" s="430" t="str">
        <f>_xlfn.XLOOKUP(PV_DATA[[#This Row],[New Ark SKU]],Table9[New Ark SKU],Table9[Connector],,0)</f>
        <v>EVO2A</v>
      </c>
      <c r="S1209" s="433" t="str">
        <f>_xlfn.XLOOKUP(PV_DATA[[#This Row],[New Ark SKU]],Table9[New Ark SKU],Table9[Cable],,0)</f>
        <v>±1400mm</v>
      </c>
      <c r="T1209" s="442">
        <v>580</v>
      </c>
      <c r="U1209" s="1101" cm="1">
        <f t="array" ref="U1209">11520-fx_qty</f>
        <v>0</v>
      </c>
      <c r="V1209" s="448">
        <f>PV_DATA[[#This Row],[QUANTITY]]*PV_DATA[[#This Row],[WATT]]/1000000</f>
        <v>0</v>
      </c>
      <c r="W1209" s="466">
        <f>PV_DATA[[#This Row],[QUANTITY]]/PV_DATA[[#This Row],[Qty/Pallet]]</f>
        <v>0</v>
      </c>
      <c r="X1209" s="1044">
        <f>PV_DATA[[#This Row],[QUANTITY]]/PV_DATA[[#This Row],[Qty/CT]]</f>
        <v>0</v>
      </c>
      <c r="Y1209" s="431" t="s">
        <v>7027</v>
      </c>
      <c r="Z1209" s="430" t="str">
        <f t="shared" si="28"/>
        <v/>
      </c>
      <c r="AA1209" s="431" t="s">
        <v>5650</v>
      </c>
      <c r="AB1209" s="441"/>
      <c r="AC1209" s="467" t="str">
        <f>IF(PV_DATA[[#This Row],[Pick- Up Date]]&lt;&gt;"",_xlfn.ISOWEEKNUM(PV_DATA[[#This Row],[Pick- Up Date]]),"")</f>
        <v/>
      </c>
      <c r="AD1209" s="431"/>
      <c r="AE1209" s="431"/>
      <c r="AF1209" s="431" t="s">
        <v>122</v>
      </c>
      <c r="AG1209" s="431" t="s">
        <v>123</v>
      </c>
      <c r="AH1209" s="431" t="s">
        <v>68</v>
      </c>
      <c r="AI1209" s="441"/>
      <c r="AJ1209" s="441"/>
      <c r="AK1209" s="437" t="str">
        <f>IFERROR(IF(VLOOKUP(AT1209,Vessel!A:F,5,FALSE)=0,"",VLOOKUP(AT1209,Vessel!A:F,5,FALSE)),"")</f>
        <v/>
      </c>
      <c r="AL1209" s="441"/>
      <c r="AM1209" s="441"/>
      <c r="AN1209" s="586" t="str">
        <f>IFERROR(IF(VLOOKUP(AT1209,Vessel!A:I,9,FALSE)=0,"",VLOOKUP(AT1209,Vessel!A:I,9,FALSE)),"")</f>
        <v/>
      </c>
      <c r="AO1209" s="431"/>
      <c r="AP1209" s="431"/>
      <c r="AQ1209" s="445"/>
      <c r="AR1209" s="431"/>
      <c r="AS1209" s="431"/>
      <c r="AT1209" s="431"/>
      <c r="AU12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9" s="431"/>
      <c r="AW1209" s="441" t="str" cm="1">
        <f t="array" ref="AW1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1">
        <f>IF(ISERROR(PV_DATA[[#This Row],[New Ark PO status]]),"",_xlfn.XLOOKUP(PV_DATA[[#This Row],[SPTN-PVHK New Ark PO'#]],New_Ark_Data[Purchase order Number],New_Ark_Data[Estimated time of arrival],"",0))</f>
        <v>0</v>
      </c>
      <c r="AZ120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9" s="441" t="str">
        <f>IFERROR(PV_DATA[[#This Row],[ODP ETA Port]]+PV_DATA[[#This Row],[Customs/Leg3 Assumption]],"n/a")</f>
        <v>n/a</v>
      </c>
      <c r="BB1209" s="442" t="e">
        <f>YEAR(PV_DATA[[#This Row],[ETA for New Ark update]])</f>
        <v>#VALUE!</v>
      </c>
      <c r="BC1209" s="431" t="e">
        <f>MONTH(PV_DATA[[#This Row],[ETA for New Ark update]])</f>
        <v>#VALUE!</v>
      </c>
      <c r="BD1209" s="431">
        <f>IFERROR(_xlfn.ISOWEEKNUM(PV_DATA[[#This Row],[ETA for New Ark update]]),0)</f>
        <v>0</v>
      </c>
      <c r="BE1209" s="431">
        <f>_xlfn.XLOOKUP(PV_DATA[[#This Row],[New Ark SKU]],Table9[New Ark SKU],Table9[Total PCS per Pallet],,0)</f>
        <v>36</v>
      </c>
      <c r="BF1209" s="431">
        <f>_xlfn.XLOOKUP(PV_DATA[[#This Row],[New Ark SKU]],Table9[New Ark SKU],Table9[Total PCS per 40HQ Container],,0)</f>
        <v>720</v>
      </c>
      <c r="BG1209" s="431" t="str">
        <f>_xlfn.XLOOKUP(PV_DATA[[#This Row],[New Ark SKU]],Table9[New Ark SKU],Table9[Back Glass],,0)</f>
        <v>Transparent</v>
      </c>
      <c r="BH1209" s="431" t="str">
        <f>_xlfn.XLOOKUP(PV_DATA[[#This Row],[PORT DESTINATION]],Table12[PORT DESTINATION],Table12[Cosco Line],,0)</f>
        <v>n/a</v>
      </c>
      <c r="BJ1209" s="430"/>
    </row>
    <row r="1210" spans="1:62" ht="10.5">
      <c r="A1210" s="439" t="s">
        <v>7267</v>
      </c>
      <c r="B1210" s="439" t="s">
        <v>111</v>
      </c>
      <c r="C1210" s="439" t="str">
        <f>IFERROR(LEFT(PV_DATA[[#This Row],[TCL REFERENCE]],FIND(".",PV_DATA[[#This Row],[TCL REFERENCE]],1)-1),"Main Line")</f>
        <v>Main Line</v>
      </c>
      <c r="D1210" s="439" t="s">
        <v>63</v>
      </c>
      <c r="E1210" s="439" t="s">
        <v>68</v>
      </c>
      <c r="F1210" s="439" t="str" cm="1">
        <f t="array" ref="F121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0" s="439" t="s">
        <v>68</v>
      </c>
      <c r="H1210" s="439" t="s">
        <v>68</v>
      </c>
      <c r="I1210" s="439" t="s">
        <v>68</v>
      </c>
      <c r="J1210" s="431" t="s">
        <v>68</v>
      </c>
      <c r="K1210" s="431"/>
      <c r="L1210" s="431"/>
      <c r="M1210" s="430" t="s">
        <v>6315</v>
      </c>
      <c r="N1210" s="461">
        <v>46202</v>
      </c>
      <c r="O1210" s="431" t="s">
        <v>5336</v>
      </c>
      <c r="P1210" s="430" t="s">
        <v>5555</v>
      </c>
      <c r="Q1210" s="431" t="s">
        <v>5556</v>
      </c>
      <c r="R1210" s="430" t="str">
        <f>_xlfn.XLOOKUP(PV_DATA[[#This Row],[New Ark SKU]],Table9[New Ark SKU],Table9[Connector],,0)</f>
        <v>EVO2A</v>
      </c>
      <c r="S1210" s="433" t="str">
        <f>_xlfn.XLOOKUP(PV_DATA[[#This Row],[New Ark SKU]],Table9[New Ark SKU],Table9[Cable],,0)</f>
        <v>±1400mm</v>
      </c>
      <c r="T1210" s="442">
        <v>585</v>
      </c>
      <c r="U1210" s="1101" cm="1">
        <f t="array" ref="U1210">5760-fx_qty</f>
        <v>0</v>
      </c>
      <c r="V1210" s="448">
        <f>PV_DATA[[#This Row],[QUANTITY]]*PV_DATA[[#This Row],[WATT]]/1000000</f>
        <v>0</v>
      </c>
      <c r="W1210" s="466">
        <f>PV_DATA[[#This Row],[QUANTITY]]/PV_DATA[[#This Row],[Qty/Pallet]]</f>
        <v>0</v>
      </c>
      <c r="X1210" s="1044">
        <f>PV_DATA[[#This Row],[QUANTITY]]/720</f>
        <v>0</v>
      </c>
      <c r="Y1210" s="431" t="s">
        <v>7027</v>
      </c>
      <c r="Z1210" s="430" t="str">
        <f t="shared" si="28"/>
        <v/>
      </c>
      <c r="AA1210" s="431" t="s">
        <v>5650</v>
      </c>
      <c r="AB1210" s="441"/>
      <c r="AC1210" s="467" t="str">
        <f>IF(PV_DATA[[#This Row],[Pick- Up Date]]&lt;&gt;"",_xlfn.ISOWEEKNUM(PV_DATA[[#This Row],[Pick- Up Date]]),"")</f>
        <v/>
      </c>
      <c r="AD1210" s="431"/>
      <c r="AE1210" s="431"/>
      <c r="AF1210" s="431" t="s">
        <v>122</v>
      </c>
      <c r="AG1210" s="431" t="s">
        <v>123</v>
      </c>
      <c r="AH1210" s="431" t="s">
        <v>68</v>
      </c>
      <c r="AI1210" s="441"/>
      <c r="AJ1210" s="441"/>
      <c r="AK1210" s="437" t="str">
        <f>IFERROR(IF(VLOOKUP(AT1210,Vessel!A:F,5,FALSE)=0,"",VLOOKUP(AT1210,Vessel!A:F,5,FALSE)),"")</f>
        <v/>
      </c>
      <c r="AL1210" s="441"/>
      <c r="AM1210" s="441"/>
      <c r="AN1210" s="586" t="str">
        <f>IFERROR(IF(VLOOKUP(AT1210,Vessel!A:I,9,FALSE)=0,"",VLOOKUP(AT1210,Vessel!A:I,9,FALSE)),"")</f>
        <v/>
      </c>
      <c r="AO1210" s="431"/>
      <c r="AP1210" s="431"/>
      <c r="AQ1210" s="445"/>
      <c r="AR1210" s="431"/>
      <c r="AS1210" s="431"/>
      <c r="AT1210" s="431"/>
      <c r="AU12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0" s="431"/>
      <c r="AW1210" s="441" t="str" cm="1">
        <f t="array" ref="AW1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1">
        <f>IF(ISERROR(PV_DATA[[#This Row],[New Ark PO status]]),"",_xlfn.XLOOKUP(PV_DATA[[#This Row],[SPTN-PVHK New Ark PO'#]],New_Ark_Data[Purchase order Number],New_Ark_Data[Estimated time of arrival],"",0))</f>
        <v>0</v>
      </c>
      <c r="AZ121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0" s="441" t="str">
        <f>IFERROR(PV_DATA[[#This Row],[ODP ETA Port]]+PV_DATA[[#This Row],[Customs/Leg3 Assumption]],"n/a")</f>
        <v>n/a</v>
      </c>
      <c r="BB1210" s="442" t="e">
        <f>YEAR(PV_DATA[[#This Row],[ETA for New Ark update]])</f>
        <v>#VALUE!</v>
      </c>
      <c r="BC1210" s="431" t="e">
        <f>MONTH(PV_DATA[[#This Row],[ETA for New Ark update]])</f>
        <v>#VALUE!</v>
      </c>
      <c r="BD1210" s="431">
        <f>IFERROR(_xlfn.ISOWEEKNUM(PV_DATA[[#This Row],[ETA for New Ark update]]),0)</f>
        <v>0</v>
      </c>
      <c r="BE1210" s="431">
        <f>_xlfn.XLOOKUP(PV_DATA[[#This Row],[New Ark SKU]],Table9[New Ark SKU],Table9[Total PCS per Pallet],,0)</f>
        <v>36</v>
      </c>
      <c r="BF1210" s="431">
        <f>_xlfn.XLOOKUP(PV_DATA[[#This Row],[New Ark SKU]],Table9[New Ark SKU],Table9[Total PCS per 40HQ Container],,0)</f>
        <v>720</v>
      </c>
      <c r="BG1210" s="431" t="str">
        <f>_xlfn.XLOOKUP(PV_DATA[[#This Row],[New Ark SKU]],Table9[New Ark SKU],Table9[Back Glass],,0)</f>
        <v>Transparent</v>
      </c>
      <c r="BH1210" s="431" t="str">
        <f>_xlfn.XLOOKUP(PV_DATA[[#This Row],[PORT DESTINATION]],Table12[PORT DESTINATION],Table12[Cosco Line],,0)</f>
        <v>n/a</v>
      </c>
      <c r="BJ1210" s="430"/>
    </row>
    <row r="1211" spans="1:62" ht="10.5">
      <c r="A1211" s="439" t="s">
        <v>7268</v>
      </c>
      <c r="B1211" s="439" t="s">
        <v>61</v>
      </c>
      <c r="C1211" s="439" t="str">
        <f>IFERROR(LEFT(PV_DATA[[#This Row],[TCL REFERENCE]],FIND(".",PV_DATA[[#This Row],[TCL REFERENCE]],1)-1),"Main Line")</f>
        <v>Main Line</v>
      </c>
      <c r="D1211" s="439" t="s">
        <v>63</v>
      </c>
      <c r="E1211" s="439" t="s">
        <v>68</v>
      </c>
      <c r="F1211" s="439" t="str" cm="1">
        <f t="array" ref="F12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1" s="439" t="s">
        <v>68</v>
      </c>
      <c r="H1211" s="439" t="s">
        <v>68</v>
      </c>
      <c r="I1211" s="439" t="s">
        <v>68</v>
      </c>
      <c r="J1211" s="431" t="s">
        <v>68</v>
      </c>
      <c r="K1211" s="431"/>
      <c r="L1211" s="431"/>
      <c r="M1211" s="430" t="s">
        <v>6315</v>
      </c>
      <c r="N1211" s="461">
        <v>46202</v>
      </c>
      <c r="O1211" s="431" t="s">
        <v>284</v>
      </c>
      <c r="P1211" s="484" t="s">
        <v>6159</v>
      </c>
      <c r="Q1211" s="431" t="s">
        <v>1570</v>
      </c>
      <c r="R1211" s="430" t="str">
        <f>_xlfn.XLOOKUP(PV_DATA[[#This Row],[New Ark SKU]],Table9[New Ark SKU],Table9[Connector],,0)</f>
        <v>EVO2A</v>
      </c>
      <c r="S1211" s="433" t="str">
        <f>_xlfn.XLOOKUP(PV_DATA[[#This Row],[New Ark SKU]],Table9[New Ark SKU],Table9[Cable],,0)</f>
        <v>±1400mm</v>
      </c>
      <c r="T1211" s="442">
        <v>650</v>
      </c>
      <c r="U1211" s="1093" cm="1">
        <f t="array" ref="U1211">28800-fx_qty</f>
        <v>0</v>
      </c>
      <c r="V1211" s="448">
        <f>PV_DATA[[#This Row],[QUANTITY]]*PV_DATA[[#This Row],[WATT]]/1000000</f>
        <v>0</v>
      </c>
      <c r="W1211" s="466">
        <f>PV_DATA[[#This Row],[QUANTITY]]/PV_DATA[[#This Row],[Qty/Pallet]]</f>
        <v>0</v>
      </c>
      <c r="X1211" s="1044">
        <f>PV_DATA[[#This Row],[QUANTITY]]/PV_DATA[[#This Row],[Qty/CT]]</f>
        <v>0</v>
      </c>
      <c r="Y1211" s="431" t="s">
        <v>7027</v>
      </c>
      <c r="Z1211" s="430" t="str">
        <f t="shared" si="28"/>
        <v/>
      </c>
      <c r="AA1211" s="431"/>
      <c r="AB1211" s="441"/>
      <c r="AC1211" s="467" t="str">
        <f>IF(PV_DATA[[#This Row],[Pick- Up Date]]&lt;&gt;"",_xlfn.ISOWEEKNUM(PV_DATA[[#This Row],[Pick- Up Date]]),"")</f>
        <v/>
      </c>
      <c r="AD1211" s="431"/>
      <c r="AE1211" s="431"/>
      <c r="AF1211" s="431" t="s">
        <v>61</v>
      </c>
      <c r="AG1211" s="431" t="s">
        <v>61</v>
      </c>
      <c r="AH1211" s="431" t="s">
        <v>68</v>
      </c>
      <c r="AI1211" s="441"/>
      <c r="AJ1211" s="441"/>
      <c r="AK1211" s="437" t="str">
        <f>IFERROR(IF(VLOOKUP(AT1211,Vessel!A:F,5,FALSE)=0,"",VLOOKUP(AT1211,Vessel!A:F,5,FALSE)),"")</f>
        <v/>
      </c>
      <c r="AL1211" s="441"/>
      <c r="AM1211" s="441"/>
      <c r="AN1211" s="586" t="str">
        <f>IFERROR(IF(VLOOKUP(AT1211,Vessel!A:I,9,FALSE)=0,"",VLOOKUP(AT1211,Vessel!A:I,9,FALSE)),"")</f>
        <v/>
      </c>
      <c r="AO1211" s="431"/>
      <c r="AP1211" s="431"/>
      <c r="AQ1211" s="445"/>
      <c r="AR1211" s="431"/>
      <c r="AS1211" s="431"/>
      <c r="AT1211" s="431"/>
      <c r="AU12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1" s="431"/>
      <c r="AW1211" s="441" t="str" cm="1">
        <f t="array" ref="AW1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441">
        <f>IF(ISERROR(PV_DATA[[#This Row],[New Ark PO status]]),"",_xlfn.XLOOKUP(PV_DATA[[#This Row],[SPTN-PVHK New Ark PO'#]],New_Ark_Data[Purchase order Number],New_Ark_Data[Estimated time of arrival],"",0))</f>
        <v>0</v>
      </c>
      <c r="AZ121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1" s="441" t="str">
        <f>IFERROR(PV_DATA[[#This Row],[ODP ETA Port]]+PV_DATA[[#This Row],[Customs/Leg3 Assumption]],"n/a")</f>
        <v>n/a</v>
      </c>
      <c r="BB1211" s="442" t="e">
        <f>YEAR(PV_DATA[[#This Row],[ETA for New Ark update]])</f>
        <v>#VALUE!</v>
      </c>
      <c r="BC1211" s="431" t="e">
        <f>MONTH(PV_DATA[[#This Row],[ETA for New Ark update]])</f>
        <v>#VALUE!</v>
      </c>
      <c r="BD1211" s="431">
        <f>IFERROR(_xlfn.ISOWEEKNUM(PV_DATA[[#This Row],[ETA for New Ark update]]),0)</f>
        <v>0</v>
      </c>
      <c r="BE1211" s="431">
        <f>_xlfn.XLOOKUP(PV_DATA[[#This Row],[New Ark SKU]],Table9[New Ark SKU],Table9[Total PCS per Pallet],,0)</f>
        <v>36</v>
      </c>
      <c r="BF1211" s="431">
        <f>_xlfn.XLOOKUP(PV_DATA[[#This Row],[New Ark SKU]],Table9[New Ark SKU],Table9[Total PCS per 40HQ Container],,0)</f>
        <v>720</v>
      </c>
      <c r="BG1211" s="431" t="str">
        <f>_xlfn.XLOOKUP(PV_DATA[[#This Row],[New Ark SKU]],Table9[New Ark SKU],Table9[Back Glass],,0)</f>
        <v>White glazing</v>
      </c>
      <c r="BH1211" s="431" t="str">
        <f>_xlfn.XLOOKUP(PV_DATA[[#This Row],[PORT DESTINATION]],Table12[PORT DESTINATION],Table12[Cosco Line],,0)</f>
        <v>n/a</v>
      </c>
      <c r="BJ1211" s="430"/>
    </row>
    <row r="1212" spans="1:62" ht="10.5">
      <c r="A1212" s="439" t="s">
        <v>7269</v>
      </c>
      <c r="B1212" s="439" t="s">
        <v>61</v>
      </c>
      <c r="C1212" s="439" t="str">
        <f>IFERROR(LEFT(PV_DATA[[#This Row],[TCL REFERENCE]],FIND(".",PV_DATA[[#This Row],[TCL REFERENCE]],1)-1),"Main Line")</f>
        <v>Main Line</v>
      </c>
      <c r="D1212" s="439" t="s">
        <v>63</v>
      </c>
      <c r="E1212" s="439" t="s">
        <v>68</v>
      </c>
      <c r="F1212" s="439" t="str" cm="1">
        <f t="array" ref="F12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2" s="439" t="s">
        <v>68</v>
      </c>
      <c r="H1212" s="439" t="s">
        <v>68</v>
      </c>
      <c r="I1212" s="439" t="s">
        <v>68</v>
      </c>
      <c r="J1212" s="431" t="s">
        <v>68</v>
      </c>
      <c r="K1212" s="431"/>
      <c r="L1212" s="431"/>
      <c r="M1212" s="430" t="s">
        <v>6315</v>
      </c>
      <c r="N1212" s="461">
        <v>46202</v>
      </c>
      <c r="O1212" s="431" t="s">
        <v>284</v>
      </c>
      <c r="P1212" s="462" t="s">
        <v>5345</v>
      </c>
      <c r="Q1212" s="431" t="s">
        <v>5346</v>
      </c>
      <c r="R1212" s="430" t="str">
        <f>_xlfn.XLOOKUP(PV_DATA[[#This Row],[New Ark SKU]],Table9[New Ark SKU],Table9[Connector],,0)</f>
        <v>EVO2A</v>
      </c>
      <c r="S1212" s="433" t="str">
        <f>_xlfn.XLOOKUP(PV_DATA[[#This Row],[New Ark SKU]],Table9[New Ark SKU],Table9[Cable],,0)</f>
        <v>±1400mm</v>
      </c>
      <c r="T1212" s="442">
        <v>655</v>
      </c>
      <c r="U1212" s="1093" cm="1">
        <f t="array" ref="U1212">3600-fx_qty</f>
        <v>0</v>
      </c>
      <c r="V1212" s="448">
        <f>PV_DATA[[#This Row],[QUANTITY]]*PV_DATA[[#This Row],[WATT]]/1000000</f>
        <v>0</v>
      </c>
      <c r="W1212" s="466">
        <f>PV_DATA[[#This Row],[QUANTITY]]/PV_DATA[[#This Row],[Qty/Pallet]]</f>
        <v>0</v>
      </c>
      <c r="X1212" s="1044">
        <f>PV_DATA[[#This Row],[QUANTITY]]/PV_DATA[[#This Row],[Qty/CT]]</f>
        <v>0</v>
      </c>
      <c r="Y1212" s="431" t="s">
        <v>7027</v>
      </c>
      <c r="Z1212" s="430" t="str">
        <f t="shared" si="28"/>
        <v/>
      </c>
      <c r="AA1212" s="431"/>
      <c r="AB1212" s="441"/>
      <c r="AC1212" s="467" t="str">
        <f>IF(PV_DATA[[#This Row],[Pick- Up Date]]&lt;&gt;"",_xlfn.ISOWEEKNUM(PV_DATA[[#This Row],[Pick- Up Date]]),"")</f>
        <v/>
      </c>
      <c r="AD1212" s="431"/>
      <c r="AE1212" s="431"/>
      <c r="AF1212" s="431" t="s">
        <v>61</v>
      </c>
      <c r="AG1212" s="431" t="s">
        <v>61</v>
      </c>
      <c r="AH1212" s="431" t="s">
        <v>68</v>
      </c>
      <c r="AI1212" s="441"/>
      <c r="AJ1212" s="441"/>
      <c r="AK1212" s="437" t="str">
        <f>IFERROR(IF(VLOOKUP(AT1212,Vessel!A:F,5,FALSE)=0,"",VLOOKUP(AT1212,Vessel!A:F,5,FALSE)),"")</f>
        <v/>
      </c>
      <c r="AL1212" s="441"/>
      <c r="AM1212" s="441"/>
      <c r="AN1212" s="586" t="str">
        <f>IFERROR(IF(VLOOKUP(AT1212,Vessel!A:I,9,FALSE)=0,"",VLOOKUP(AT1212,Vessel!A:I,9,FALSE)),"")</f>
        <v/>
      </c>
      <c r="AO1212" s="431"/>
      <c r="AP1212" s="431"/>
      <c r="AQ1212" s="445"/>
      <c r="AR1212" s="431"/>
      <c r="AS1212" s="431"/>
      <c r="AT1212" s="431"/>
      <c r="AU12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2" s="431"/>
      <c r="AW1212" s="441" t="str" cm="1">
        <f t="array" ref="AW1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2" s="441">
        <f>IF(ISERROR(PV_DATA[[#This Row],[New Ark PO status]]),"",_xlfn.XLOOKUP(PV_DATA[[#This Row],[SPTN-PVHK New Ark PO'#]],New_Ark_Data[Purchase order Number],New_Ark_Data[Estimated time of arrival],"",0))</f>
        <v>0</v>
      </c>
      <c r="AZ121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2" s="441" t="str">
        <f>IFERROR(PV_DATA[[#This Row],[ODP ETA Port]]+PV_DATA[[#This Row],[Customs/Leg3 Assumption]],"n/a")</f>
        <v>n/a</v>
      </c>
      <c r="BB1212" s="442" t="e">
        <f>YEAR(PV_DATA[[#This Row],[ETA for New Ark update]])</f>
        <v>#VALUE!</v>
      </c>
      <c r="BC1212" s="431" t="e">
        <f>MONTH(PV_DATA[[#This Row],[ETA for New Ark update]])</f>
        <v>#VALUE!</v>
      </c>
      <c r="BD1212" s="431">
        <f>IFERROR(_xlfn.ISOWEEKNUM(PV_DATA[[#This Row],[ETA for New Ark update]]),0)</f>
        <v>0</v>
      </c>
      <c r="BE1212" s="431">
        <f>_xlfn.XLOOKUP(PV_DATA[[#This Row],[New Ark SKU]],Table9[New Ark SKU],Table9[Total PCS per Pallet],,0)</f>
        <v>36</v>
      </c>
      <c r="BF1212" s="431">
        <f>_xlfn.XLOOKUP(PV_DATA[[#This Row],[New Ark SKU]],Table9[New Ark SKU],Table9[Total PCS per 40HQ Container],,0)</f>
        <v>720</v>
      </c>
      <c r="BG1212" s="431" t="str">
        <f>_xlfn.XLOOKUP(PV_DATA[[#This Row],[New Ark SKU]],Table9[New Ark SKU],Table9[Back Glass],,0)</f>
        <v>White glazing</v>
      </c>
      <c r="BH1212" s="431" t="str">
        <f>_xlfn.XLOOKUP(PV_DATA[[#This Row],[PORT DESTINATION]],Table12[PORT DESTINATION],Table12[Cosco Line],,0)</f>
        <v>n/a</v>
      </c>
      <c r="BJ1212" s="430"/>
    </row>
    <row r="1213" spans="1:62" ht="10.5">
      <c r="A1213" s="439" t="s">
        <v>7270</v>
      </c>
      <c r="B1213" s="439" t="s">
        <v>111</v>
      </c>
      <c r="C1213" s="439" t="str">
        <f>IFERROR(LEFT(PV_DATA[[#This Row],[TCL REFERENCE]],FIND(".",PV_DATA[[#This Row],[TCL REFERENCE]],1)-1),"Main Line")</f>
        <v>Main Line</v>
      </c>
      <c r="D1213" s="439" t="s">
        <v>63</v>
      </c>
      <c r="E1213" s="439" t="s">
        <v>68</v>
      </c>
      <c r="F1213" s="439" t="str" cm="1">
        <f t="array" ref="F121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3" s="439" t="s">
        <v>68</v>
      </c>
      <c r="H1213" s="439" t="s">
        <v>68</v>
      </c>
      <c r="I1213" s="439" t="s">
        <v>68</v>
      </c>
      <c r="J1213" s="431" t="s">
        <v>68</v>
      </c>
      <c r="K1213" s="431"/>
      <c r="L1213" s="431"/>
      <c r="M1213" s="430" t="s">
        <v>6315</v>
      </c>
      <c r="N1213" s="461">
        <v>46209</v>
      </c>
      <c r="O1213" s="430" t="s">
        <v>70</v>
      </c>
      <c r="P1213" s="430" t="s">
        <v>5749</v>
      </c>
      <c r="Q1213" s="431" t="s">
        <v>1484</v>
      </c>
      <c r="R1213" s="430" t="str">
        <f>_xlfn.XLOOKUP(PV_DATA[[#This Row],[New Ark SKU]],Table9[New Ark SKU],Table9[Connector],,0)</f>
        <v>EVO2A</v>
      </c>
      <c r="S1213" s="433" t="str">
        <f>_xlfn.XLOOKUP(PV_DATA[[#This Row],[New Ark SKU]],Table9[New Ark SKU],Table9[Cable],,0)</f>
        <v>±1400mm</v>
      </c>
      <c r="T1213" s="442">
        <v>725</v>
      </c>
      <c r="U1213" s="1093" cm="1">
        <f t="array" ref="U1213">11880-fx_qty</f>
        <v>0</v>
      </c>
      <c r="V1213" s="448">
        <f>PV_DATA[[#This Row],[QUANTITY]]*PV_DATA[[#This Row],[WATT]]/1000000</f>
        <v>0</v>
      </c>
      <c r="W1213" s="466">
        <f>PV_DATA[[#This Row],[QUANTITY]]/PV_DATA[[#This Row],[Qty/Pallet]]</f>
        <v>0</v>
      </c>
      <c r="X1213" s="1040">
        <f>PV_DATA[[#This Row],[QUANTITY]]/PV_DATA[[#This Row],[Qty/CT]]</f>
        <v>0</v>
      </c>
      <c r="Y1213" s="431" t="s">
        <v>7027</v>
      </c>
      <c r="Z1213" s="430" t="str">
        <f t="shared" si="28"/>
        <v/>
      </c>
      <c r="AA1213" s="431"/>
      <c r="AB1213" s="441"/>
      <c r="AC1213" s="467" t="str">
        <f>IF(PV_DATA[[#This Row],[Pick- Up Date]]&lt;&gt;"",_xlfn.ISOWEEKNUM(PV_DATA[[#This Row],[Pick- Up Date]]),"")</f>
        <v/>
      </c>
      <c r="AD1213" s="431"/>
      <c r="AE1213" s="431"/>
      <c r="AF1213" s="431" t="s">
        <v>122</v>
      </c>
      <c r="AG1213" s="431" t="s">
        <v>123</v>
      </c>
      <c r="AH1213" s="431" t="s">
        <v>68</v>
      </c>
      <c r="AI1213" s="441"/>
      <c r="AJ1213" s="441"/>
      <c r="AK1213" s="437" t="str">
        <f>IFERROR(IF(VLOOKUP(AT1213,Vessel!A:F,5,FALSE)=0,"",VLOOKUP(AT1213,Vessel!A:F,5,FALSE)),"")</f>
        <v/>
      </c>
      <c r="AL1213" s="441"/>
      <c r="AM1213" s="441"/>
      <c r="AN1213" s="586" t="str">
        <f>IFERROR(IF(VLOOKUP(AT1213,Vessel!A:I,9,FALSE)=0,"",VLOOKUP(AT1213,Vessel!A:I,9,FALSE)),"")</f>
        <v/>
      </c>
      <c r="AO1213" s="431"/>
      <c r="AP1213" s="431"/>
      <c r="AQ1213" s="445"/>
      <c r="AR1213" s="431"/>
      <c r="AS1213" s="431"/>
      <c r="AT1213" s="431"/>
      <c r="AU12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3" s="431"/>
      <c r="AW1213" s="441" t="str" cm="1">
        <f t="array" ref="AW1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3" s="441">
        <f>IF(ISERROR(PV_DATA[[#This Row],[New Ark PO status]]),"",_xlfn.XLOOKUP(PV_DATA[[#This Row],[SPTN-PVHK New Ark PO'#]],New_Ark_Data[Purchase order Number],New_Ark_Data[Estimated time of arrival],"",0))</f>
        <v>0</v>
      </c>
      <c r="AZ121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3" s="441" t="str">
        <f>IFERROR(PV_DATA[[#This Row],[ODP ETA Port]]+PV_DATA[[#This Row],[Customs/Leg3 Assumption]],"n/a")</f>
        <v>n/a</v>
      </c>
      <c r="BB1213" s="442" t="e">
        <f>YEAR(PV_DATA[[#This Row],[ETA for New Ark update]])</f>
        <v>#VALUE!</v>
      </c>
      <c r="BC1213" s="431" t="e">
        <f>MONTH(PV_DATA[[#This Row],[ETA for New Ark update]])</f>
        <v>#VALUE!</v>
      </c>
      <c r="BD1213" s="431">
        <f>IFERROR(_xlfn.ISOWEEKNUM(PV_DATA[[#This Row],[ETA for New Ark update]]),0)</f>
        <v>0</v>
      </c>
      <c r="BE1213" s="431">
        <f>_xlfn.XLOOKUP(PV_DATA[[#This Row],[New Ark SKU]],Table9[New Ark SKU],Table9[Total PCS per Pallet],,0)</f>
        <v>33</v>
      </c>
      <c r="BF1213" s="431">
        <f>_xlfn.XLOOKUP(PV_DATA[[#This Row],[New Ark SKU]],Table9[New Ark SKU],Table9[Total PCS per 40HQ Container],,0)</f>
        <v>594</v>
      </c>
      <c r="BG1213" s="431" t="str">
        <f>_xlfn.XLOOKUP(PV_DATA[[#This Row],[New Ark SKU]],Table9[New Ark SKU],Table9[Back Glass],,0)</f>
        <v>Transparent</v>
      </c>
      <c r="BH1213" s="431" t="str">
        <f>_xlfn.XLOOKUP(PV_DATA[[#This Row],[PORT DESTINATION]],Table12[PORT DESTINATION],Table12[Cosco Line],,0)</f>
        <v>n/a</v>
      </c>
      <c r="BJ1213" s="430"/>
    </row>
    <row r="1214" spans="1:62" ht="10.5">
      <c r="A1214" s="439" t="s">
        <v>7271</v>
      </c>
      <c r="B1214" s="439" t="s">
        <v>111</v>
      </c>
      <c r="C1214" s="439" t="str">
        <f>IFERROR(LEFT(PV_DATA[[#This Row],[TCL REFERENCE]],FIND(".",PV_DATA[[#This Row],[TCL REFERENCE]],1)-1),"Main Line")</f>
        <v>Main Line</v>
      </c>
      <c r="D1214" s="439" t="s">
        <v>63</v>
      </c>
      <c r="E1214" s="439" t="s">
        <v>68</v>
      </c>
      <c r="F1214" s="439" t="str" cm="1">
        <f t="array" ref="F121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4" s="439" t="s">
        <v>68</v>
      </c>
      <c r="H1214" s="439" t="s">
        <v>68</v>
      </c>
      <c r="I1214" s="439" t="s">
        <v>68</v>
      </c>
      <c r="J1214" s="431" t="s">
        <v>68</v>
      </c>
      <c r="K1214" s="431"/>
      <c r="L1214" s="431"/>
      <c r="M1214" s="430" t="s">
        <v>6315</v>
      </c>
      <c r="N1214" s="461">
        <v>46209</v>
      </c>
      <c r="O1214" s="430" t="s">
        <v>70</v>
      </c>
      <c r="P1214" s="430" t="s">
        <v>1681</v>
      </c>
      <c r="Q1214" s="431" t="s">
        <v>1682</v>
      </c>
      <c r="R1214" s="430" t="str">
        <f>_xlfn.XLOOKUP(PV_DATA[[#This Row],[New Ark SKU]],Table9[New Ark SKU],Table9[Connector],,0)</f>
        <v>EVO2A</v>
      </c>
      <c r="S1214" s="433" t="str">
        <f>_xlfn.XLOOKUP(PV_DATA[[#This Row],[New Ark SKU]],Table9[New Ark SKU],Table9[Cable],,0)</f>
        <v>±1400mm</v>
      </c>
      <c r="T1214" s="442">
        <v>730</v>
      </c>
      <c r="U1214" s="1093" cm="1">
        <f t="array" ref="U1214">1782-fx_qty</f>
        <v>0</v>
      </c>
      <c r="V1214" s="448">
        <f>PV_DATA[[#This Row],[QUANTITY]]*PV_DATA[[#This Row],[WATT]]/1000000</f>
        <v>0</v>
      </c>
      <c r="W1214" s="466">
        <f>PV_DATA[[#This Row],[QUANTITY]]/PV_DATA[[#This Row],[Qty/Pallet]]</f>
        <v>0</v>
      </c>
      <c r="X1214" s="1040">
        <f>PV_DATA[[#This Row],[QUANTITY]]/PV_DATA[[#This Row],[Qty/CT]]</f>
        <v>0</v>
      </c>
      <c r="Y1214" s="431" t="s">
        <v>7027</v>
      </c>
      <c r="Z1214" s="430" t="str">
        <f t="shared" si="28"/>
        <v/>
      </c>
      <c r="AA1214" s="431"/>
      <c r="AB1214" s="441"/>
      <c r="AC1214" s="467" t="str">
        <f>IF(PV_DATA[[#This Row],[Pick- Up Date]]&lt;&gt;"",_xlfn.ISOWEEKNUM(PV_DATA[[#This Row],[Pick- Up Date]]),"")</f>
        <v/>
      </c>
      <c r="AD1214" s="431"/>
      <c r="AE1214" s="431"/>
      <c r="AF1214" s="431" t="s">
        <v>122</v>
      </c>
      <c r="AG1214" s="431" t="s">
        <v>123</v>
      </c>
      <c r="AH1214" s="431" t="s">
        <v>68</v>
      </c>
      <c r="AI1214" s="441"/>
      <c r="AJ1214" s="441"/>
      <c r="AK1214" s="437" t="str">
        <f>IFERROR(IF(VLOOKUP(AT1214,Vessel!A:F,5,FALSE)=0,"",VLOOKUP(AT1214,Vessel!A:F,5,FALSE)),"")</f>
        <v/>
      </c>
      <c r="AL1214" s="441"/>
      <c r="AM1214" s="441"/>
      <c r="AN1214" s="586" t="str">
        <f>IFERROR(IF(VLOOKUP(AT1214,Vessel!A:I,9,FALSE)=0,"",VLOOKUP(AT1214,Vessel!A:I,9,FALSE)),"")</f>
        <v/>
      </c>
      <c r="AO1214" s="431"/>
      <c r="AP1214" s="431"/>
      <c r="AQ1214" s="445"/>
      <c r="AR1214" s="431"/>
      <c r="AS1214" s="431"/>
      <c r="AT1214" s="431"/>
      <c r="AU12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4" s="431"/>
      <c r="AW1214" s="441" t="str" cm="1">
        <f t="array" ref="AW1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4" s="441">
        <f>IF(ISERROR(PV_DATA[[#This Row],[New Ark PO status]]),"",_xlfn.XLOOKUP(PV_DATA[[#This Row],[SPTN-PVHK New Ark PO'#]],New_Ark_Data[Purchase order Number],New_Ark_Data[Estimated time of arrival],"",0))</f>
        <v>0</v>
      </c>
      <c r="AZ121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4" s="441" t="str">
        <f>IFERROR(PV_DATA[[#This Row],[ODP ETA Port]]+PV_DATA[[#This Row],[Customs/Leg3 Assumption]],"n/a")</f>
        <v>n/a</v>
      </c>
      <c r="BB1214" s="442" t="e">
        <f>YEAR(PV_DATA[[#This Row],[ETA for New Ark update]])</f>
        <v>#VALUE!</v>
      </c>
      <c r="BC1214" s="431" t="e">
        <f>MONTH(PV_DATA[[#This Row],[ETA for New Ark update]])</f>
        <v>#VALUE!</v>
      </c>
      <c r="BD1214" s="431">
        <f>IFERROR(_xlfn.ISOWEEKNUM(PV_DATA[[#This Row],[ETA for New Ark update]]),0)</f>
        <v>0</v>
      </c>
      <c r="BE1214" s="431">
        <f>_xlfn.XLOOKUP(PV_DATA[[#This Row],[New Ark SKU]],Table9[New Ark SKU],Table9[Total PCS per Pallet],,0)</f>
        <v>33</v>
      </c>
      <c r="BF1214" s="431">
        <f>_xlfn.XLOOKUP(PV_DATA[[#This Row],[New Ark SKU]],Table9[New Ark SKU],Table9[Total PCS per 40HQ Container],,0)</f>
        <v>594</v>
      </c>
      <c r="BG1214" s="431" t="str">
        <f>_xlfn.XLOOKUP(PV_DATA[[#This Row],[New Ark SKU]],Table9[New Ark SKU],Table9[Back Glass],,0)</f>
        <v>Transparent</v>
      </c>
      <c r="BH1214" s="431" t="str">
        <f>_xlfn.XLOOKUP(PV_DATA[[#This Row],[PORT DESTINATION]],Table12[PORT DESTINATION],Table12[Cosco Line],,0)</f>
        <v>n/a</v>
      </c>
      <c r="BJ1214" s="430"/>
    </row>
    <row r="1215" spans="1:62" s="431" customFormat="1" ht="10.5">
      <c r="A1215" s="439" t="s">
        <v>7272</v>
      </c>
      <c r="B1215" s="439" t="s">
        <v>111</v>
      </c>
      <c r="C1215" s="439" t="str">
        <f>IFERROR(LEFT(PV_DATA[[#This Row],[TCL REFERENCE]],FIND(".",PV_DATA[[#This Row],[TCL REFERENCE]],1)-1),"Main Line")</f>
        <v>Main Line</v>
      </c>
      <c r="D1215" s="439" t="s">
        <v>63</v>
      </c>
      <c r="E1215" s="439" t="s">
        <v>68</v>
      </c>
      <c r="F1215" s="439" t="str" cm="1">
        <f t="array" ref="F12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5" s="439" t="s">
        <v>68</v>
      </c>
      <c r="H1215" s="439" t="s">
        <v>68</v>
      </c>
      <c r="I1215" s="439" t="s">
        <v>68</v>
      </c>
      <c r="J1215" s="431" t="s">
        <v>68</v>
      </c>
      <c r="M1215" s="430" t="s">
        <v>6315</v>
      </c>
      <c r="N1215" s="461">
        <v>46174</v>
      </c>
      <c r="O1215" s="431" t="s">
        <v>713</v>
      </c>
      <c r="P1215" s="431" t="s">
        <v>7273</v>
      </c>
      <c r="Q1215" s="431" t="s">
        <v>1300</v>
      </c>
      <c r="R1215" s="430" t="str">
        <f>_xlfn.XLOOKUP(PV_DATA[[#This Row],[New Ark SKU]],Table9[New Ark SKU],Table9[Connector],,0)</f>
        <v>EVO2A</v>
      </c>
      <c r="S1215" s="433" t="str">
        <f>_xlfn.XLOOKUP(PV_DATA[[#This Row],[New Ark SKU]],Table9[New Ark SKU],Table9[Cable],,0)</f>
        <v>+350mm/-280mm</v>
      </c>
      <c r="T1215" s="442">
        <v>720</v>
      </c>
      <c r="U1215" s="1093" cm="1">
        <f t="array" ref="U1215">594-fx_qty</f>
        <v>594</v>
      </c>
      <c r="V1215" s="448">
        <f>PV_DATA[[#This Row],[QUANTITY]]*PV_DATA[[#This Row],[WATT]]/1000000</f>
        <v>0.42768</v>
      </c>
      <c r="W1215" s="466">
        <f>PV_DATA[[#This Row],[QUANTITY]]/PV_DATA[[#This Row],[Qty/Pallet]]</f>
        <v>18</v>
      </c>
      <c r="X1215" s="1044">
        <f>PV_DATA[[#This Row],[QUANTITY]]/PV_DATA[[#This Row],[Qty/CT]]</f>
        <v>1</v>
      </c>
      <c r="Y1215" s="431" t="s">
        <v>7027</v>
      </c>
      <c r="Z1215" s="430" t="str">
        <f t="shared" si="28"/>
        <v/>
      </c>
      <c r="AA1215" s="431" t="s">
        <v>4990</v>
      </c>
      <c r="AB1215" s="441"/>
      <c r="AC1215" s="467" t="str">
        <f>IF(PV_DATA[[#This Row],[Pick- Up Date]]&lt;&gt;"",_xlfn.ISOWEEKNUM(PV_DATA[[#This Row],[Pick- Up Date]]),"")</f>
        <v/>
      </c>
      <c r="AF1215" s="431" t="s">
        <v>111</v>
      </c>
      <c r="AG1215" s="431" t="s">
        <v>123</v>
      </c>
      <c r="AH1215" s="431" t="s">
        <v>68</v>
      </c>
      <c r="AI1215" s="441"/>
      <c r="AJ1215" s="441"/>
      <c r="AK1215" s="437" t="str">
        <f>IFERROR(IF(VLOOKUP(AT1215,Vessel!A:F,5,FALSE)=0,"",VLOOKUP(AT1215,Vessel!A:F,5,FALSE)),"")</f>
        <v/>
      </c>
      <c r="AL1215" s="441"/>
      <c r="AM1215" s="441"/>
      <c r="AN1215" s="586" t="str">
        <f>IFERROR(IF(VLOOKUP(AT1215,Vessel!A:I,9,FALSE)=0,"",VLOOKUP(AT1215,Vessel!A:I,9,FALSE)),"")</f>
        <v/>
      </c>
      <c r="AQ1215" s="445"/>
      <c r="AU12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15" s="441" t="str" cm="1">
        <f t="array" ref="AW1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5" s="441">
        <f>IF(ISERROR(PV_DATA[[#This Row],[New Ark PO status]]),"",_xlfn.XLOOKUP(PV_DATA[[#This Row],[SPTN-PVHK New Ark PO'#]],New_Ark_Data[Purchase order Number],New_Ark_Data[Estimated time of arrival],"",0))</f>
        <v>0</v>
      </c>
      <c r="AZ121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5" s="441" t="str">
        <f>IFERROR(PV_DATA[[#This Row],[ODP ETA Port]]+PV_DATA[[#This Row],[Customs/Leg3 Assumption]],"n/a")</f>
        <v>n/a</v>
      </c>
      <c r="BB1215" s="442" t="s">
        <v>6315</v>
      </c>
      <c r="BC1215" s="442" t="s">
        <v>6315</v>
      </c>
      <c r="BD1215" s="431">
        <f>IFERROR(_xlfn.ISOWEEKNUM(PV_DATA[[#This Row],[ETA for New Ark update]]),0)</f>
        <v>0</v>
      </c>
      <c r="BE1215" s="431">
        <f>_xlfn.XLOOKUP(PV_DATA[[#This Row],[New Ark SKU]],Table9[New Ark SKU],Table9[Total PCS per Pallet],,0)</f>
        <v>33</v>
      </c>
      <c r="BF1215" s="431">
        <f>_xlfn.XLOOKUP(PV_DATA[[#This Row],[New Ark SKU]],Table9[New Ark SKU],Table9[Total PCS per 40HQ Container],,0)</f>
        <v>594</v>
      </c>
      <c r="BG1215" s="431" t="str">
        <f>_xlfn.XLOOKUP(PV_DATA[[#This Row],[New Ark SKU]],Table9[New Ark SKU],Table9[Back Glass],,0)</f>
        <v>White glazing</v>
      </c>
      <c r="BH1215" s="431" t="str">
        <f>_xlfn.XLOOKUP(PV_DATA[[#This Row],[PORT DESTINATION]],Table12[PORT DESTINATION],Table12[Cosco Line],,0)</f>
        <v>n/a</v>
      </c>
    </row>
    <row r="1216" spans="1:62" s="431" customFormat="1" ht="10.5">
      <c r="A1216" s="439" t="s">
        <v>7274</v>
      </c>
      <c r="B1216" s="439" t="s">
        <v>111</v>
      </c>
      <c r="C1216" s="439" t="str">
        <f>IFERROR(LEFT(PV_DATA[[#This Row],[TCL REFERENCE]],FIND(".",PV_DATA[[#This Row],[TCL REFERENCE]],1)-1),"Main Line")</f>
        <v>26Jun028</v>
      </c>
      <c r="D1216" s="439" t="s">
        <v>63</v>
      </c>
      <c r="E1216" s="439" t="s">
        <v>144</v>
      </c>
      <c r="F1216" s="439" t="str" cm="1">
        <f t="array" ref="F12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16" s="439" t="s">
        <v>156</v>
      </c>
      <c r="H1216" s="439" t="s">
        <v>941</v>
      </c>
      <c r="I1216" s="439" t="s">
        <v>689</v>
      </c>
      <c r="J1216" s="431" t="s">
        <v>7275</v>
      </c>
      <c r="M1216" s="430" t="s">
        <v>6275</v>
      </c>
      <c r="N1216" s="461">
        <v>46174</v>
      </c>
      <c r="O1216" s="431" t="s">
        <v>132</v>
      </c>
      <c r="P1216" s="431" t="s">
        <v>133</v>
      </c>
      <c r="Q1216" s="431" t="s">
        <v>134</v>
      </c>
      <c r="R1216" s="430" t="str">
        <f>_xlfn.XLOOKUP(PV_DATA[[#This Row],[New Ark SKU]],Table9[New Ark SKU],Table9[Connector],,0)</f>
        <v>EVO2A</v>
      </c>
      <c r="S1216" s="433" t="str">
        <f>_xlfn.XLOOKUP(PV_DATA[[#This Row],[New Ark SKU]],Table9[New Ark SKU],Table9[Cable],,0)</f>
        <v>±1400mm</v>
      </c>
      <c r="T1216" s="442">
        <v>720</v>
      </c>
      <c r="U1216" s="1093">
        <f>594</f>
        <v>594</v>
      </c>
      <c r="V1216" s="448">
        <f>PV_DATA[[#This Row],[QUANTITY]]*PV_DATA[[#This Row],[WATT]]/1000000</f>
        <v>0.42768</v>
      </c>
      <c r="W1216" s="466">
        <f>PV_DATA[[#This Row],[QUANTITY]]/PV_DATA[[#This Row],[Qty/Pallet]]</f>
        <v>18</v>
      </c>
      <c r="X1216" s="1044">
        <f>PV_DATA[[#This Row],[QUANTITY]]/PV_DATA[[#This Row],[Qty/CT]]</f>
        <v>1</v>
      </c>
      <c r="Y1216" s="431" t="s">
        <v>2458</v>
      </c>
      <c r="Z1216" s="430" t="str">
        <f t="shared" si="28"/>
        <v>COMPLETED</v>
      </c>
      <c r="AA1216" s="431" t="s">
        <v>4990</v>
      </c>
      <c r="AB1216" s="441">
        <v>46206</v>
      </c>
      <c r="AC1216" s="467">
        <f>IF(PV_DATA[[#This Row],[Pick- Up Date]]&lt;&gt;"",_xlfn.ISOWEEKNUM(PV_DATA[[#This Row],[Pick- Up Date]]),"")</f>
        <v>27</v>
      </c>
      <c r="AF1216" s="431" t="s">
        <v>122</v>
      </c>
      <c r="AG1216" s="431" t="s">
        <v>123</v>
      </c>
      <c r="AH1216" s="431" t="s">
        <v>68</v>
      </c>
      <c r="AI1216" s="441">
        <v>46211</v>
      </c>
      <c r="AJ1216" s="441">
        <v>46211</v>
      </c>
      <c r="AK1216" s="441">
        <v>46211</v>
      </c>
      <c r="AL1216" s="441">
        <v>46264</v>
      </c>
      <c r="AM1216" s="441"/>
      <c r="AN1216" s="441">
        <v>46265</v>
      </c>
      <c r="AO1216" s="431" t="s">
        <v>156</v>
      </c>
      <c r="AP1216" s="431" t="s">
        <v>7276</v>
      </c>
      <c r="AQ1216" s="445" t="s">
        <v>161</v>
      </c>
      <c r="AR1216" s="431" t="s">
        <v>7277</v>
      </c>
      <c r="AS1216" s="431" t="s">
        <v>7278</v>
      </c>
      <c r="AT1216" s="431" t="s">
        <v>7278</v>
      </c>
      <c r="AU12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216" s="441" cm="1">
        <f t="array" ref="AW1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21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6" s="441">
        <f>IF(ISERROR(PV_DATA[[#This Row],[New Ark PO status]]),"",_xlfn.XLOOKUP(PV_DATA[[#This Row],[SPTN-PVHK New Ark PO'#]],New_Ark_Data[Purchase order Number],New_Ark_Data[Estimated time of arrival],"",0))</f>
        <v>0</v>
      </c>
      <c r="AZ121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16" s="441">
        <f>IFERROR(PV_DATA[[#This Row],[ODP ETA Port]]+PV_DATA[[#This Row],[Customs/Leg3 Assumption]],"n/a")</f>
        <v>46265</v>
      </c>
      <c r="BB1216" s="442">
        <f>YEAR(PV_DATA[[#This Row],[ETA for New Ark update]])</f>
        <v>2026</v>
      </c>
      <c r="BC1216" s="431">
        <f>MONTH(PV_DATA[[#This Row],[ETA for New Ark update]])</f>
        <v>8</v>
      </c>
      <c r="BD1216" s="431">
        <f>IFERROR(_xlfn.ISOWEEKNUM(PV_DATA[[#This Row],[ETA for New Ark update]]),0)</f>
        <v>36</v>
      </c>
      <c r="BE1216" s="431">
        <f>_xlfn.XLOOKUP(PV_DATA[[#This Row],[New Ark SKU]],Table9[New Ark SKU],Table9[Total PCS per Pallet],,0)</f>
        <v>33</v>
      </c>
      <c r="BF1216" s="431">
        <f>_xlfn.XLOOKUP(PV_DATA[[#This Row],[New Ark SKU]],Table9[New Ark SKU],Table9[Total PCS per 40HQ Container],,0)</f>
        <v>594</v>
      </c>
      <c r="BG1216" s="431" t="str">
        <f>_xlfn.XLOOKUP(PV_DATA[[#This Row],[New Ark SKU]],Table9[New Ark SKU],Table9[Back Glass],,0)</f>
        <v>White glazing</v>
      </c>
      <c r="BH1216" s="431" t="str">
        <f>_xlfn.XLOOKUP(PV_DATA[[#This Row],[PORT DESTINATION]],Table12[PORT DESTINATION],Table12[Cosco Line],,0)</f>
        <v>n/a</v>
      </c>
    </row>
    <row r="1217" spans="1:62" s="431" customFormat="1" ht="10.5">
      <c r="A1217" s="439" t="s">
        <v>7279</v>
      </c>
      <c r="B1217" s="439" t="s">
        <v>111</v>
      </c>
      <c r="C1217" s="439" t="str">
        <f>IFERROR(LEFT(PV_DATA[[#This Row],[TCL REFERENCE]],FIND(".",PV_DATA[[#This Row],[TCL REFERENCE]],1)-1),"Main Line")</f>
        <v>26Jun028</v>
      </c>
      <c r="D1217" s="439" t="s">
        <v>63</v>
      </c>
      <c r="E1217" s="439" t="s">
        <v>144</v>
      </c>
      <c r="F1217" s="439" t="str" cm="1">
        <f t="array" ref="F12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17" s="439" t="s">
        <v>156</v>
      </c>
      <c r="H1217" s="439" t="s">
        <v>941</v>
      </c>
      <c r="I1217" s="439" t="s">
        <v>689</v>
      </c>
      <c r="J1217" s="431" t="s">
        <v>7275</v>
      </c>
      <c r="M1217" s="430" t="s">
        <v>6275</v>
      </c>
      <c r="N1217" s="461">
        <v>46174</v>
      </c>
      <c r="O1217" s="431" t="s">
        <v>132</v>
      </c>
      <c r="P1217" s="431" t="s">
        <v>133</v>
      </c>
      <c r="Q1217" s="431" t="s">
        <v>134</v>
      </c>
      <c r="R1217" s="430" t="str">
        <f>_xlfn.XLOOKUP(PV_DATA[[#This Row],[New Ark SKU]],Table9[New Ark SKU],Table9[Connector],,0)</f>
        <v>EVO2A</v>
      </c>
      <c r="S1217" s="433" t="str">
        <f>_xlfn.XLOOKUP(PV_DATA[[#This Row],[New Ark SKU]],Table9[New Ark SKU],Table9[Cable],,0)</f>
        <v>±1400mm</v>
      </c>
      <c r="T1217" s="442">
        <v>720</v>
      </c>
      <c r="U1217" s="1093">
        <f>594</f>
        <v>594</v>
      </c>
      <c r="V1217" s="448">
        <f>PV_DATA[[#This Row],[QUANTITY]]*PV_DATA[[#This Row],[WATT]]/1000000</f>
        <v>0.42768</v>
      </c>
      <c r="W1217" s="466">
        <f>PV_DATA[[#This Row],[QUANTITY]]/PV_DATA[[#This Row],[Qty/Pallet]]</f>
        <v>18</v>
      </c>
      <c r="X1217" s="1044">
        <f>PV_DATA[[#This Row],[QUANTITY]]/PV_DATA[[#This Row],[Qty/CT]]</f>
        <v>1</v>
      </c>
      <c r="Y1217" s="431" t="s">
        <v>2458</v>
      </c>
      <c r="Z1217" s="430" t="str">
        <f t="shared" si="28"/>
        <v>COMPLETED</v>
      </c>
      <c r="AA1217" s="431" t="s">
        <v>4990</v>
      </c>
      <c r="AB1217" s="441">
        <v>46206</v>
      </c>
      <c r="AC1217" s="467">
        <f>IF(PV_DATA[[#This Row],[Pick- Up Date]]&lt;&gt;"",_xlfn.ISOWEEKNUM(PV_DATA[[#This Row],[Pick- Up Date]]),"")</f>
        <v>27</v>
      </c>
      <c r="AF1217" s="431" t="s">
        <v>122</v>
      </c>
      <c r="AG1217" s="431" t="s">
        <v>123</v>
      </c>
      <c r="AH1217" s="431" t="s">
        <v>68</v>
      </c>
      <c r="AI1217" s="441">
        <v>46211</v>
      </c>
      <c r="AJ1217" s="441">
        <v>46211</v>
      </c>
      <c r="AK1217" s="441">
        <v>46211</v>
      </c>
      <c r="AL1217" s="441">
        <v>46264</v>
      </c>
      <c r="AM1217" s="441"/>
      <c r="AN1217" s="441">
        <v>46265</v>
      </c>
      <c r="AO1217" s="431" t="s">
        <v>156</v>
      </c>
      <c r="AP1217" s="431" t="s">
        <v>7276</v>
      </c>
      <c r="AQ1217" s="445" t="s">
        <v>161</v>
      </c>
      <c r="AR1217" s="431" t="s">
        <v>7280</v>
      </c>
      <c r="AS1217" s="431" t="s">
        <v>7281</v>
      </c>
      <c r="AT1217" s="431" t="s">
        <v>7281</v>
      </c>
      <c r="AU12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217" s="441" cm="1">
        <f t="array" ref="AW1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21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7" s="441">
        <f>IF(ISERROR(PV_DATA[[#This Row],[New Ark PO status]]),"",_xlfn.XLOOKUP(PV_DATA[[#This Row],[SPTN-PVHK New Ark PO'#]],New_Ark_Data[Purchase order Number],New_Ark_Data[Estimated time of arrival],"",0))</f>
        <v>0</v>
      </c>
      <c r="AZ121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17" s="441">
        <f>IFERROR(PV_DATA[[#This Row],[ODP ETA Port]]+PV_DATA[[#This Row],[Customs/Leg3 Assumption]],"n/a")</f>
        <v>46265</v>
      </c>
      <c r="BB1217" s="442">
        <f>YEAR(PV_DATA[[#This Row],[ETA for New Ark update]])</f>
        <v>2026</v>
      </c>
      <c r="BC1217" s="431">
        <f>MONTH(PV_DATA[[#This Row],[ETA for New Ark update]])</f>
        <v>8</v>
      </c>
      <c r="BD1217" s="431">
        <f>IFERROR(_xlfn.ISOWEEKNUM(PV_DATA[[#This Row],[ETA for New Ark update]]),0)</f>
        <v>36</v>
      </c>
      <c r="BE1217" s="431">
        <f>_xlfn.XLOOKUP(PV_DATA[[#This Row],[New Ark SKU]],Table9[New Ark SKU],Table9[Total PCS per Pallet],,0)</f>
        <v>33</v>
      </c>
      <c r="BF1217" s="431">
        <f>_xlfn.XLOOKUP(PV_DATA[[#This Row],[New Ark SKU]],Table9[New Ark SKU],Table9[Total PCS per 40HQ Container],,0)</f>
        <v>594</v>
      </c>
      <c r="BG1217" s="431" t="str">
        <f>_xlfn.XLOOKUP(PV_DATA[[#This Row],[New Ark SKU]],Table9[New Ark SKU],Table9[Back Glass],,0)</f>
        <v>White glazing</v>
      </c>
      <c r="BH1217" s="431" t="str">
        <f>_xlfn.XLOOKUP(PV_DATA[[#This Row],[PORT DESTINATION]],Table12[PORT DESTINATION],Table12[Cosco Line],,0)</f>
        <v>n/a</v>
      </c>
    </row>
    <row r="1218" spans="1:62" s="431" customFormat="1" ht="10.5">
      <c r="A1218" s="439" t="s">
        <v>7282</v>
      </c>
      <c r="B1218" s="439" t="s">
        <v>111</v>
      </c>
      <c r="C1218" s="439" t="str">
        <f>IFERROR(LEFT(PV_DATA[[#This Row],[TCL REFERENCE]],FIND(".",PV_DATA[[#This Row],[TCL REFERENCE]],1)-1),"Main Line")</f>
        <v>Main Line</v>
      </c>
      <c r="D1218" s="439" t="s">
        <v>63</v>
      </c>
      <c r="E1218" s="439" t="s">
        <v>144</v>
      </c>
      <c r="F1218" s="439" t="str" cm="1">
        <f t="array" ref="F12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18" s="439" t="s">
        <v>156</v>
      </c>
      <c r="H1218" s="439" t="s">
        <v>941</v>
      </c>
      <c r="I1218" s="439" t="s">
        <v>689</v>
      </c>
      <c r="J1218" s="431" t="s">
        <v>7275</v>
      </c>
      <c r="M1218" s="430" t="s">
        <v>6275</v>
      </c>
      <c r="N1218" s="461">
        <v>46174</v>
      </c>
      <c r="O1218" s="431" t="s">
        <v>70</v>
      </c>
      <c r="P1218" s="431" t="s">
        <v>7283</v>
      </c>
      <c r="Q1218" s="431" t="s">
        <v>103</v>
      </c>
      <c r="R1218" s="430" t="str">
        <f>_xlfn.XLOOKUP(PV_DATA[[#This Row],[New Ark SKU]],Table9[New Ark SKU],Table9[Connector],,0)</f>
        <v>H4(Com)</v>
      </c>
      <c r="S1218" s="433" t="str">
        <f>_xlfn.XLOOKUP(PV_DATA[[#This Row],[New Ark SKU]],Table9[New Ark SKU],Table9[Cable],,0)</f>
        <v>±1400mm</v>
      </c>
      <c r="T1218" s="442">
        <v>620</v>
      </c>
      <c r="U1218" s="1093" cm="1">
        <f t="array" ref="U1218">720-fx_qty</f>
        <v>720</v>
      </c>
      <c r="V1218" s="448">
        <f>PV_DATA[[#This Row],[QUANTITY]]*PV_DATA[[#This Row],[WATT]]/1000000</f>
        <v>0.44640000000000002</v>
      </c>
      <c r="W1218" s="466">
        <f>PV_DATA[[#This Row],[QUANTITY]]/PV_DATA[[#This Row],[Qty/Pallet]]</f>
        <v>20</v>
      </c>
      <c r="X1218" s="1044">
        <f>PV_DATA[[#This Row],[QUANTITY]]/PV_DATA[[#This Row],[Qty/CT]]</f>
        <v>1</v>
      </c>
      <c r="Y1218" s="431" t="s">
        <v>2458</v>
      </c>
      <c r="Z1218" s="430" t="str">
        <f t="shared" si="28"/>
        <v>COMPLETED</v>
      </c>
      <c r="AA1218" s="431" t="s">
        <v>4990</v>
      </c>
      <c r="AB1218" s="441">
        <v>46206</v>
      </c>
      <c r="AC1218" s="467">
        <f>IF(PV_DATA[[#This Row],[Pick- Up Date]]&lt;&gt;"",_xlfn.ISOWEEKNUM(PV_DATA[[#This Row],[Pick- Up Date]]),"")</f>
        <v>27</v>
      </c>
      <c r="AF1218" s="431" t="s">
        <v>122</v>
      </c>
      <c r="AG1218" s="431" t="s">
        <v>123</v>
      </c>
      <c r="AH1218" s="431" t="s">
        <v>68</v>
      </c>
      <c r="AI1218" s="441">
        <v>46211</v>
      </c>
      <c r="AJ1218" s="441">
        <v>46211</v>
      </c>
      <c r="AK1218" s="441">
        <v>46211</v>
      </c>
      <c r="AL1218" s="441">
        <v>46264</v>
      </c>
      <c r="AM1218" s="441"/>
      <c r="AN1218" s="441">
        <v>46265</v>
      </c>
      <c r="AO1218" s="431" t="s">
        <v>156</v>
      </c>
      <c r="AP1218" s="431" t="s">
        <v>7276</v>
      </c>
      <c r="AQ1218" s="445" t="s">
        <v>161</v>
      </c>
      <c r="AR1218" s="431" t="s">
        <v>7280</v>
      </c>
      <c r="AS1218" s="431" t="s">
        <v>7281</v>
      </c>
      <c r="AT1218" s="431" t="s">
        <v>7281</v>
      </c>
      <c r="AU12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218" s="441" cm="1">
        <f t="array" ref="AW1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21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8" s="441">
        <f>IF(ISERROR(PV_DATA[[#This Row],[New Ark PO status]]),"",_xlfn.XLOOKUP(PV_DATA[[#This Row],[SPTN-PVHK New Ark PO'#]],New_Ark_Data[Purchase order Number],New_Ark_Data[Estimated time of arrival],"",0))</f>
        <v>0</v>
      </c>
      <c r="AZ121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18" s="441">
        <f>IFERROR(PV_DATA[[#This Row],[ODP ETA Port]]+PV_DATA[[#This Row],[Customs/Leg3 Assumption]],"n/a")</f>
        <v>46265</v>
      </c>
      <c r="BB1218" s="442">
        <f>YEAR(PV_DATA[[#This Row],[ETA for New Ark update]])</f>
        <v>2026</v>
      </c>
      <c r="BC1218" s="431">
        <f>MONTH(PV_DATA[[#This Row],[ETA for New Ark update]])</f>
        <v>8</v>
      </c>
      <c r="BD1218" s="431">
        <f>IFERROR(_xlfn.ISOWEEKNUM(PV_DATA[[#This Row],[ETA for New Ark update]]),0)</f>
        <v>36</v>
      </c>
      <c r="BE1218" s="431">
        <f>_xlfn.XLOOKUP(PV_DATA[[#This Row],[New Ark SKU]],Table9[New Ark SKU],Table9[Total PCS per Pallet],,0)</f>
        <v>36</v>
      </c>
      <c r="BF1218" s="431">
        <f>_xlfn.XLOOKUP(PV_DATA[[#This Row],[New Ark SKU]],Table9[New Ark SKU],Table9[Total PCS per 40HQ Container],,0)</f>
        <v>720</v>
      </c>
      <c r="BG1218" s="431" t="str">
        <f>_xlfn.XLOOKUP(PV_DATA[[#This Row],[New Ark SKU]],Table9[New Ark SKU],Table9[Back Glass],,0)</f>
        <v>White glazing</v>
      </c>
      <c r="BH1218" s="431" t="str">
        <f>_xlfn.XLOOKUP(PV_DATA[[#This Row],[PORT DESTINATION]],Table12[PORT DESTINATION],Table12[Cosco Line],,0)</f>
        <v>n/a</v>
      </c>
    </row>
    <row r="1219" spans="1:62" s="439" customFormat="1" ht="10.5">
      <c r="A1219" s="727" t="s">
        <v>7284</v>
      </c>
      <c r="B1219" s="726" t="s">
        <v>111</v>
      </c>
      <c r="C1219" s="439" t="str">
        <f>IFERROR(LEFT(PV_DATA[[#This Row],[TCL REFERENCE]],FIND(".",PV_DATA[[#This Row],[TCL REFERENCE]],1)-1),"Main Line")</f>
        <v>26Aug010</v>
      </c>
      <c r="D1219" s="726" t="s">
        <v>113</v>
      </c>
      <c r="E1219" s="439" t="s">
        <v>144</v>
      </c>
      <c r="F1219" s="439" t="str" cm="1">
        <f t="array" ref="F1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19" s="439" t="s">
        <v>402</v>
      </c>
      <c r="H1219" s="719" t="s">
        <v>941</v>
      </c>
      <c r="I1219" s="439" t="s">
        <v>689</v>
      </c>
      <c r="J1219" s="439" t="s">
        <v>7285</v>
      </c>
      <c r="K1219" s="726"/>
      <c r="L1219" s="726"/>
      <c r="M1219" s="439" t="s">
        <v>7286</v>
      </c>
      <c r="N1219" s="1167"/>
      <c r="O1219" s="726" t="s">
        <v>4531</v>
      </c>
      <c r="P1219" s="726" t="s">
        <v>6235</v>
      </c>
      <c r="Q1219" s="726" t="s">
        <v>330</v>
      </c>
      <c r="R1219" s="430" t="str">
        <f>_xlfn.XLOOKUP(PV_DATA[[#This Row],[New Ark SKU]],Table9[New Ark SKU],Table9[Connector],,0)</f>
        <v>H4(Com)</v>
      </c>
      <c r="S1219" s="433" t="str">
        <f>_xlfn.XLOOKUP(PV_DATA[[#This Row],[New Ark SKU]],Table9[New Ark SKU],Table9[Cable],,0)</f>
        <v>+400mm/-200mm</v>
      </c>
      <c r="T1219" s="1168">
        <v>625</v>
      </c>
      <c r="U1219" s="1169">
        <f>720*2</f>
        <v>1440</v>
      </c>
      <c r="V1219" s="1170">
        <f>PV_DATA[[#This Row],[QUANTITY]]*PV_DATA[[#This Row],[WATT]]/1000000</f>
        <v>0.9</v>
      </c>
      <c r="W1219" s="1171">
        <f>PV_DATA[[#This Row],[QUANTITY]]/36</f>
        <v>40</v>
      </c>
      <c r="X1219" s="1177">
        <f>PV_DATA[[#This Row],[QUANTITY]]/PV_DATA[[#This Row],[Qty/CT]]</f>
        <v>2</v>
      </c>
      <c r="Y1219" s="439" t="s">
        <v>2466</v>
      </c>
      <c r="Z1219" s="439" t="str">
        <f t="shared" si="28"/>
        <v>COMPLETED</v>
      </c>
      <c r="AA1219" s="1172">
        <v>46251</v>
      </c>
      <c r="AB1219" s="974">
        <v>46252</v>
      </c>
      <c r="AC1219" s="1173">
        <f>IF(PV_DATA[[#This Row],[Pick- Up Date]]&lt;&gt;"",_xlfn.ISOWEEKNUM(PV_DATA[[#This Row],[Pick- Up Date]]),"")</f>
        <v>34</v>
      </c>
      <c r="AD1219" s="726" t="s">
        <v>7287</v>
      </c>
      <c r="AE1219" s="726"/>
      <c r="AF1219" s="726" t="s">
        <v>1525</v>
      </c>
      <c r="AG1219" s="726" t="s">
        <v>1525</v>
      </c>
      <c r="AH1219" s="439" t="s">
        <v>946</v>
      </c>
      <c r="AI1219" s="974">
        <v>46258</v>
      </c>
      <c r="AJ1219" s="974">
        <v>46263</v>
      </c>
      <c r="AK1219" s="719">
        <v>46263</v>
      </c>
      <c r="AL1219" s="974">
        <v>46261</v>
      </c>
      <c r="AM1219" s="974">
        <v>46268</v>
      </c>
      <c r="AN1219" s="1174">
        <v>46273</v>
      </c>
      <c r="AO1219" s="726" t="s">
        <v>402</v>
      </c>
      <c r="AP1219" s="726" t="s">
        <v>7288</v>
      </c>
      <c r="AQ1219" s="439" t="s">
        <v>161</v>
      </c>
      <c r="AR1219" s="726" t="s">
        <v>7289</v>
      </c>
      <c r="AS1219" s="726">
        <v>275734828</v>
      </c>
      <c r="AT1219" s="439">
        <v>275734828</v>
      </c>
      <c r="AU12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10</v>
      </c>
      <c r="AV1219" s="726"/>
      <c r="AW1219" s="974" cm="1">
        <f t="array" ref="AW1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121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9" s="974" t="str">
        <f>IF(ISERROR(PV_DATA[[#This Row],[New Ark PO status]]),"",_xlfn.XLOOKUP(PV_DATA[[#This Row],[SPTN-PVHK New Ark PO'#]],New_Ark_Data[Purchase order Number],New_Ark_Data[Estimated time of arrival],"",0))</f>
        <v/>
      </c>
      <c r="AZ1219" s="116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19" s="974">
        <f>IFERROR(PV_DATA[[#This Row],[ODP ETA Port]]+PV_DATA[[#This Row],[Customs/Leg3 Assumption]],"n/a")</f>
        <v>46273</v>
      </c>
      <c r="BB1219" s="1168">
        <f>YEAR(PV_DATA[[#This Row],[ETA for New Ark update]])</f>
        <v>2026</v>
      </c>
      <c r="BC1219" s="726">
        <f>MONTH(PV_DATA[[#This Row],[ETA for New Ark update]])</f>
        <v>9</v>
      </c>
      <c r="BD1219" s="726">
        <f>IFERROR(_xlfn.ISOWEEKNUM(PV_DATA[[#This Row],[ETA for New Ark update]]),0)</f>
        <v>37</v>
      </c>
      <c r="BE1219" s="431">
        <f>_xlfn.XLOOKUP(PV_DATA[[#This Row],[New Ark SKU]],Table9[New Ark SKU],Table9[Total PCS per Pallet],,0)</f>
        <v>36</v>
      </c>
      <c r="BF1219" s="431">
        <f>_xlfn.XLOOKUP(PV_DATA[[#This Row],[New Ark SKU]],Table9[New Ark SKU],Table9[Total PCS per 40HQ Container],,0)</f>
        <v>720</v>
      </c>
      <c r="BG1219" s="431" t="str">
        <f>_xlfn.XLOOKUP(PV_DATA[[#This Row],[New Ark SKU]],Table9[New Ark SKU],Table9[Back Glass],,0)</f>
        <v>Redirection Film</v>
      </c>
      <c r="BH1219" s="1175" t="str">
        <f>_xlfn.XLOOKUP(PV_DATA[[#This Row],[PORT DESTINATION]],Table12[PORT DESTINATION],Table12[Cosco Line],,0)</f>
        <v>n/a</v>
      </c>
    </row>
    <row r="1220" spans="1:62" ht="10.5">
      <c r="A1220" s="725" t="s">
        <v>7290</v>
      </c>
      <c r="B1220" s="439" t="s">
        <v>111</v>
      </c>
      <c r="C1220" s="439" t="str">
        <f>IFERROR(LEFT(PV_DATA[[#This Row],[TCL REFERENCE]],FIND(".",PV_DATA[[#This Row],[TCL REFERENCE]],1)-1),"Main Line")</f>
        <v>Main Line</v>
      </c>
      <c r="D1220" s="439" t="s">
        <v>63</v>
      </c>
      <c r="E1220" s="439" t="s">
        <v>68</v>
      </c>
      <c r="F1220" s="439" t="str" cm="1">
        <f t="array" ref="F122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0" s="726" t="s">
        <v>68</v>
      </c>
      <c r="H1220" s="726" t="s">
        <v>68</v>
      </c>
      <c r="I1220" s="431" t="s">
        <v>68</v>
      </c>
      <c r="J1220" s="619" t="s">
        <v>68</v>
      </c>
      <c r="K1220" s="619"/>
      <c r="L1220" s="619"/>
      <c r="M1220" s="619" t="s">
        <v>68</v>
      </c>
      <c r="N1220" s="461">
        <v>46237</v>
      </c>
      <c r="O1220" s="431" t="s">
        <v>5379</v>
      </c>
      <c r="P1220" s="430" t="s">
        <v>5943</v>
      </c>
      <c r="Q1220" s="431" t="s">
        <v>5944</v>
      </c>
      <c r="R1220" s="430" t="str">
        <f>_xlfn.XLOOKUP(PV_DATA[[#This Row],[New Ark SKU]],Table9[New Ark SKU],Table9[Connector],,0)</f>
        <v>EVO2A</v>
      </c>
      <c r="S1220" s="433" t="str">
        <f>_xlfn.XLOOKUP(PV_DATA[[#This Row],[New Ark SKU]],Table9[New Ark SKU],Table9[Cable],,0)</f>
        <v>±1200mm</v>
      </c>
      <c r="T1220" s="442">
        <v>470</v>
      </c>
      <c r="U1220" s="1096" cm="1">
        <f t="array" ref="U1220">5616-fx_qty</f>
        <v>0</v>
      </c>
      <c r="V1220" s="736">
        <f>PV_DATA[[#This Row],[QUANTITY]]*PV_DATA[[#This Row],[WATT]]/1000000</f>
        <v>0</v>
      </c>
      <c r="W1220" s="737">
        <f>PV_DATA[[#This Row],[QUANTITY]]/PV_DATA[[#This Row],[Qty/Pallet]]</f>
        <v>0</v>
      </c>
      <c r="X1220" s="1086">
        <f>PV_DATA[[#This Row],[QUANTITY]]/PV_DATA[[#This Row],[Qty/CT]]</f>
        <v>0</v>
      </c>
      <c r="Y1220" s="447" t="s">
        <v>7027</v>
      </c>
      <c r="Z1220" s="430" t="str">
        <f t="shared" si="28"/>
        <v/>
      </c>
      <c r="AA1220" s="431"/>
      <c r="AB1220" s="441"/>
      <c r="AC1220" s="467" t="str">
        <f>IF(PV_DATA[[#This Row],[Pick- Up Date]]&lt;&gt;"",_xlfn.ISOWEEKNUM(PV_DATA[[#This Row],[Pick- Up Date]]),"")</f>
        <v/>
      </c>
      <c r="AD1220" s="431"/>
      <c r="AE1220" s="431"/>
      <c r="AF1220" s="431" t="s">
        <v>122</v>
      </c>
      <c r="AG1220" s="431" t="s">
        <v>123</v>
      </c>
      <c r="AH1220" s="431" t="s">
        <v>68</v>
      </c>
      <c r="AI1220" s="441"/>
      <c r="AJ1220" s="441"/>
      <c r="AK1220" s="437" t="str">
        <f>IFERROR(IF(VLOOKUP(AT1220,Vessel!A:F,5,FALSE)=0,"",VLOOKUP(AT1220,Vessel!A:F,5,FALSE)),"")</f>
        <v/>
      </c>
      <c r="AL1220" s="441"/>
      <c r="AM1220" s="441"/>
      <c r="AN1220" s="586" t="str">
        <f>IFERROR(IF(VLOOKUP(AT1220,Vessel!A:I,9,FALSE)=0,"",VLOOKUP(AT1220,Vessel!A:I,9,FALSE)),"")</f>
        <v/>
      </c>
      <c r="AO1220" s="431"/>
      <c r="AP1220" s="431"/>
      <c r="AQ1220" s="445"/>
      <c r="AR1220" s="431"/>
      <c r="AS1220" s="431"/>
      <c r="AT1220" s="431"/>
      <c r="AU12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0" s="431"/>
      <c r="AW1220" s="441" t="str" cm="1">
        <f t="array" ref="AW1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0" s="441">
        <f>IF(ISERROR(PV_DATA[[#This Row],[New Ark PO status]]),"",_xlfn.XLOOKUP(PV_DATA[[#This Row],[SPTN-PVHK New Ark PO'#]],New_Ark_Data[Purchase order Number],New_Ark_Data[Estimated time of arrival],"",0))</f>
        <v>0</v>
      </c>
      <c r="AZ122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0" s="441" t="str">
        <f>IFERROR(PV_DATA[[#This Row],[ODP ETA Port]]+PV_DATA[[#This Row],[Customs/Leg3 Assumption]],"n/a")</f>
        <v>n/a</v>
      </c>
      <c r="BB1220" s="442" t="e">
        <f>YEAR(PV_DATA[[#This Row],[ETA for New Ark update]])</f>
        <v>#VALUE!</v>
      </c>
      <c r="BC1220" s="431" t="e">
        <f>MONTH(PV_DATA[[#This Row],[ETA for New Ark update]])</f>
        <v>#VALUE!</v>
      </c>
      <c r="BD1220" s="431">
        <f>IFERROR(_xlfn.ISOWEEKNUM(PV_DATA[[#This Row],[ETA for New Ark update]]),0)</f>
        <v>0</v>
      </c>
      <c r="BE1220" s="431">
        <f>_xlfn.XLOOKUP(PV_DATA[[#This Row],[New Ark SKU]],Table9[New Ark SKU],Table9[Total PCS per Pallet],,0)</f>
        <v>36</v>
      </c>
      <c r="BF1220" s="431">
        <f>_xlfn.XLOOKUP(PV_DATA[[#This Row],[New Ark SKU]],Table9[New Ark SKU],Table9[Total PCS per 40HQ Container],,0)</f>
        <v>936</v>
      </c>
      <c r="BG1220" s="431" t="str">
        <f>_xlfn.XLOOKUP(PV_DATA[[#This Row],[New Ark SKU]],Table9[New Ark SKU],Table9[Back Glass],,0)</f>
        <v>White glazing</v>
      </c>
      <c r="BH1220" s="431" t="str">
        <f>_xlfn.XLOOKUP(PV_DATA[[#This Row],[PORT DESTINATION]],Table12[PORT DESTINATION],Table12[Cosco Line],,0)</f>
        <v>n/a</v>
      </c>
      <c r="BJ1220" s="430"/>
    </row>
    <row r="1221" spans="1:62" ht="10.5">
      <c r="A1221" s="725" t="s">
        <v>7291</v>
      </c>
      <c r="B1221" s="439" t="s">
        <v>111</v>
      </c>
      <c r="C1221" s="439" t="str">
        <f>IFERROR(LEFT(PV_DATA[[#This Row],[TCL REFERENCE]],FIND(".",PV_DATA[[#This Row],[TCL REFERENCE]],1)-1),"Main Line")</f>
        <v>Main Line</v>
      </c>
      <c r="D1221" s="439" t="s">
        <v>63</v>
      </c>
      <c r="E1221" s="439" t="s">
        <v>68</v>
      </c>
      <c r="F1221" s="439" t="str" cm="1">
        <f t="array" ref="F122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1" s="726" t="s">
        <v>68</v>
      </c>
      <c r="H1221" s="726" t="s">
        <v>68</v>
      </c>
      <c r="I1221" s="431" t="s">
        <v>68</v>
      </c>
      <c r="J1221" s="619" t="s">
        <v>68</v>
      </c>
      <c r="K1221" s="619"/>
      <c r="L1221" s="619"/>
      <c r="M1221" s="619" t="s">
        <v>68</v>
      </c>
      <c r="N1221" s="461">
        <v>46234</v>
      </c>
      <c r="O1221" s="431" t="s">
        <v>5379</v>
      </c>
      <c r="P1221" s="430" t="s">
        <v>5735</v>
      </c>
      <c r="Q1221" s="431" t="s">
        <v>5736</v>
      </c>
      <c r="R1221" s="430" t="str">
        <f>_xlfn.XLOOKUP(PV_DATA[[#This Row],[New Ark SKU]],Table9[New Ark SKU],Table9[Connector],,0)</f>
        <v>EVO2A</v>
      </c>
      <c r="S1221" s="433" t="str">
        <f>_xlfn.XLOOKUP(PV_DATA[[#This Row],[New Ark SKU]],Table9[New Ark SKU],Table9[Cable],,0)</f>
        <v>±1200mm</v>
      </c>
      <c r="T1221" s="442">
        <v>475</v>
      </c>
      <c r="U1221" s="1096" cm="1">
        <f t="array" ref="U1221">29016-fx_qty</f>
        <v>0</v>
      </c>
      <c r="V1221" s="736">
        <f>PV_DATA[[#This Row],[QUANTITY]]*PV_DATA[[#This Row],[WATT]]/1000000</f>
        <v>0</v>
      </c>
      <c r="W1221" s="737">
        <f>PV_DATA[[#This Row],[QUANTITY]]/PV_DATA[[#This Row],[Qty/Pallet]]</f>
        <v>0</v>
      </c>
      <c r="X1221" s="1086">
        <f>PV_DATA[[#This Row],[QUANTITY]]/PV_DATA[[#This Row],[Qty/CT]]</f>
        <v>0</v>
      </c>
      <c r="Y1221" s="447" t="s">
        <v>7027</v>
      </c>
      <c r="Z1221" s="430" t="str">
        <f t="shared" si="28"/>
        <v/>
      </c>
      <c r="AA1221" s="431" t="s">
        <v>6307</v>
      </c>
      <c r="AB1221" s="441"/>
      <c r="AC1221" s="467" t="str">
        <f>IF(PV_DATA[[#This Row],[Pick- Up Date]]&lt;&gt;"",_xlfn.ISOWEEKNUM(PV_DATA[[#This Row],[Pick- Up Date]]),"")</f>
        <v/>
      </c>
      <c r="AD1221" s="431"/>
      <c r="AE1221" s="431"/>
      <c r="AF1221" s="431" t="s">
        <v>122</v>
      </c>
      <c r="AG1221" s="431" t="s">
        <v>123</v>
      </c>
      <c r="AH1221" s="431" t="s">
        <v>68</v>
      </c>
      <c r="AI1221" s="441"/>
      <c r="AJ1221" s="441"/>
      <c r="AK1221" s="437" t="str">
        <f>IFERROR(IF(VLOOKUP(AT1221,Vessel!A:F,5,FALSE)=0,"",VLOOKUP(AT1221,Vessel!A:F,5,FALSE)),"")</f>
        <v/>
      </c>
      <c r="AL1221" s="441"/>
      <c r="AM1221" s="441"/>
      <c r="AN1221" s="586" t="str">
        <f>IFERROR(IF(VLOOKUP(AT1221,Vessel!A:I,9,FALSE)=0,"",VLOOKUP(AT1221,Vessel!A:I,9,FALSE)),"")</f>
        <v/>
      </c>
      <c r="AO1221" s="431"/>
      <c r="AP1221" s="431"/>
      <c r="AQ1221" s="445"/>
      <c r="AR1221" s="431"/>
      <c r="AS1221" s="431"/>
      <c r="AT1221" s="431"/>
      <c r="AU12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1" s="431"/>
      <c r="AW1221" s="441" t="str" cm="1">
        <f t="array" ref="AW1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1" s="441">
        <f>IF(ISERROR(PV_DATA[[#This Row],[New Ark PO status]]),"",_xlfn.XLOOKUP(PV_DATA[[#This Row],[SPTN-PVHK New Ark PO'#]],New_Ark_Data[Purchase order Number],New_Ark_Data[Estimated time of arrival],"",0))</f>
        <v>0</v>
      </c>
      <c r="AZ122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1" s="441" t="str">
        <f>IFERROR(PV_DATA[[#This Row],[ODP ETA Port]]+PV_DATA[[#This Row],[Customs/Leg3 Assumption]],"n/a")</f>
        <v>n/a</v>
      </c>
      <c r="BB1221" s="442" t="e">
        <f>YEAR(PV_DATA[[#This Row],[ETA for New Ark update]])</f>
        <v>#VALUE!</v>
      </c>
      <c r="BC1221" s="431" t="e">
        <f>MONTH(PV_DATA[[#This Row],[ETA for New Ark update]])</f>
        <v>#VALUE!</v>
      </c>
      <c r="BD1221" s="431">
        <f>IFERROR(_xlfn.ISOWEEKNUM(PV_DATA[[#This Row],[ETA for New Ark update]]),0)</f>
        <v>0</v>
      </c>
      <c r="BE1221" s="431">
        <f>_xlfn.XLOOKUP(PV_DATA[[#This Row],[New Ark SKU]],Table9[New Ark SKU],Table9[Total PCS per Pallet],,0)</f>
        <v>36</v>
      </c>
      <c r="BF1221" s="431">
        <f>_xlfn.XLOOKUP(PV_DATA[[#This Row],[New Ark SKU]],Table9[New Ark SKU],Table9[Total PCS per 40HQ Container],,0)</f>
        <v>936</v>
      </c>
      <c r="BG1221" s="431" t="str">
        <f>_xlfn.XLOOKUP(PV_DATA[[#This Row],[New Ark SKU]],Table9[New Ark SKU],Table9[Back Glass],,0)</f>
        <v>White glazing</v>
      </c>
      <c r="BH1221" s="431" t="str">
        <f>_xlfn.XLOOKUP(PV_DATA[[#This Row],[PORT DESTINATION]],Table12[PORT DESTINATION],Table12[Cosco Line],,0)</f>
        <v>n/a</v>
      </c>
      <c r="BJ1221" s="430"/>
    </row>
    <row r="1222" spans="1:62" ht="10.5">
      <c r="A1222" s="439" t="s">
        <v>7292</v>
      </c>
      <c r="B1222" s="439" t="s">
        <v>111</v>
      </c>
      <c r="C1222" s="439" t="str">
        <f>IFERROR(LEFT(PV_DATA[[#This Row],[TCL REFERENCE]],FIND(".",PV_DATA[[#This Row],[TCL REFERENCE]],1)-1),"Main Line")</f>
        <v>Main Line</v>
      </c>
      <c r="D1222" s="439" t="s">
        <v>63</v>
      </c>
      <c r="E1222" s="439" t="s">
        <v>68</v>
      </c>
      <c r="F1222" s="439" t="str" cm="1">
        <f t="array" ref="F122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2" s="726" t="s">
        <v>68</v>
      </c>
      <c r="H1222" s="726" t="s">
        <v>68</v>
      </c>
      <c r="I1222" s="431" t="s">
        <v>68</v>
      </c>
      <c r="J1222" s="619" t="s">
        <v>68</v>
      </c>
      <c r="K1222" s="619"/>
      <c r="L1222" s="619"/>
      <c r="M1222" s="619" t="s">
        <v>68</v>
      </c>
      <c r="N1222" s="461">
        <v>46209</v>
      </c>
      <c r="O1222" s="431" t="s">
        <v>550</v>
      </c>
      <c r="P1222" s="430" t="s">
        <v>551</v>
      </c>
      <c r="Q1222" s="431" t="s">
        <v>2151</v>
      </c>
      <c r="R1222" s="430" t="str">
        <f>_xlfn.XLOOKUP(PV_DATA[[#This Row],[New Ark SKU]],Table9[New Ark SKU],Table9[Connector],,0)</f>
        <v>EVO2A</v>
      </c>
      <c r="S1222" s="433" t="str">
        <f>_xlfn.XLOOKUP(PV_DATA[[#This Row],[New Ark SKU]],Table9[New Ark SKU],Table9[Cable],,0)</f>
        <v>±1350mm</v>
      </c>
      <c r="T1222" s="442">
        <v>510</v>
      </c>
      <c r="U1222" s="1093" cm="1">
        <f t="array" ref="U1222">11880-fx_qty</f>
        <v>0</v>
      </c>
      <c r="V1222" s="448">
        <f>PV_DATA[[#This Row],[QUANTITY]]*PV_DATA[[#This Row],[WATT]]/1000000</f>
        <v>0</v>
      </c>
      <c r="W1222" s="466">
        <f>PV_DATA[[#This Row],[QUANTITY]]/PV_DATA[[#This Row],[Qty/Pallet]]</f>
        <v>0</v>
      </c>
      <c r="X1222" s="1044">
        <f>PV_DATA[[#This Row],[QUANTITY]]/PV_DATA[[#This Row],[Qty/CT]]</f>
        <v>0</v>
      </c>
      <c r="Y1222" s="431" t="s">
        <v>7027</v>
      </c>
      <c r="Z1222" s="430" t="str">
        <f t="shared" si="28"/>
        <v/>
      </c>
      <c r="AA1222" s="431"/>
      <c r="AB1222" s="441"/>
      <c r="AC1222" s="467" t="str">
        <f>IF(PV_DATA[[#This Row],[Pick- Up Date]]&lt;&gt;"",_xlfn.ISOWEEKNUM(PV_DATA[[#This Row],[Pick- Up Date]]),"")</f>
        <v/>
      </c>
      <c r="AD1222" s="431"/>
      <c r="AE1222" s="431"/>
      <c r="AF1222" s="431" t="s">
        <v>122</v>
      </c>
      <c r="AG1222" s="431" t="s">
        <v>123</v>
      </c>
      <c r="AH1222" s="431" t="s">
        <v>68</v>
      </c>
      <c r="AI1222" s="441"/>
      <c r="AJ1222" s="441"/>
      <c r="AK1222" s="437" t="str">
        <f>IFERROR(IF(VLOOKUP(AT1222,Vessel!A:F,5,FALSE)=0,"",VLOOKUP(AT1222,Vessel!A:F,5,FALSE)),"")</f>
        <v/>
      </c>
      <c r="AL1222" s="441"/>
      <c r="AM1222" s="441"/>
      <c r="AN1222" s="586" t="str">
        <f>IFERROR(IF(VLOOKUP(AT1222,Vessel!A:I,9,FALSE)=0,"",VLOOKUP(AT1222,Vessel!A:I,9,FALSE)),"")</f>
        <v/>
      </c>
      <c r="AO1222" s="431"/>
      <c r="AP1222" s="431"/>
      <c r="AQ1222" s="445"/>
      <c r="AR1222" s="431"/>
      <c r="AS1222" s="431"/>
      <c r="AT1222" s="431"/>
      <c r="AU12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2" s="431"/>
      <c r="AW1222" s="441" t="str" cm="1">
        <f t="array" ref="AW1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2" s="441">
        <f>IF(ISERROR(PV_DATA[[#This Row],[New Ark PO status]]),"",_xlfn.XLOOKUP(PV_DATA[[#This Row],[SPTN-PVHK New Ark PO'#]],New_Ark_Data[Purchase order Number],New_Ark_Data[Estimated time of arrival],"",0))</f>
        <v>0</v>
      </c>
      <c r="AZ122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2" s="441" t="str">
        <f>IFERROR(PV_DATA[[#This Row],[ODP ETA Port]]+PV_DATA[[#This Row],[Customs/Leg3 Assumption]],"n/a")</f>
        <v>n/a</v>
      </c>
      <c r="BB1222" s="442" t="e">
        <f>YEAR(PV_DATA[[#This Row],[ETA for New Ark update]])</f>
        <v>#VALUE!</v>
      </c>
      <c r="BC1222" s="431" t="e">
        <f>MONTH(PV_DATA[[#This Row],[ETA for New Ark update]])</f>
        <v>#VALUE!</v>
      </c>
      <c r="BD1222" s="431">
        <f>IFERROR(_xlfn.ISOWEEKNUM(PV_DATA[[#This Row],[ETA for New Ark update]]),0)</f>
        <v>0</v>
      </c>
      <c r="BE1222" s="431">
        <f>_xlfn.XLOOKUP(PV_DATA[[#This Row],[New Ark SKU]],Table9[New Ark SKU],Table9[Total PCS per Pallet],,0)</f>
        <v>36</v>
      </c>
      <c r="BF1222" s="431">
        <f>_xlfn.XLOOKUP(PV_DATA[[#This Row],[New Ark SKU]],Table9[New Ark SKU],Table9[Total PCS per 40HQ Container],,0)</f>
        <v>792</v>
      </c>
      <c r="BG1222" s="431" t="str">
        <f>_xlfn.XLOOKUP(PV_DATA[[#This Row],[New Ark SKU]],Table9[New Ark SKU],Table9[Back Glass],,0)</f>
        <v>Black glazing</v>
      </c>
      <c r="BH1222" s="431" t="str">
        <f>_xlfn.XLOOKUP(PV_DATA[[#This Row],[PORT DESTINATION]],Table12[PORT DESTINATION],Table12[Cosco Line],,0)</f>
        <v>n/a</v>
      </c>
      <c r="BJ1222" s="430"/>
    </row>
    <row r="1223" spans="1:62" ht="10.5">
      <c r="A1223" s="439" t="s">
        <v>7293</v>
      </c>
      <c r="B1223" s="439" t="s">
        <v>111</v>
      </c>
      <c r="C1223" s="439" t="str">
        <f>IFERROR(LEFT(PV_DATA[[#This Row],[TCL REFERENCE]],FIND(".",PV_DATA[[#This Row],[TCL REFERENCE]],1)-1),"Main Line")</f>
        <v>Main Line</v>
      </c>
      <c r="D1223" s="439" t="s">
        <v>63</v>
      </c>
      <c r="E1223" s="439" t="s">
        <v>68</v>
      </c>
      <c r="F1223" s="439" t="str" cm="1">
        <f t="array" ref="F12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3" s="726" t="s">
        <v>68</v>
      </c>
      <c r="H1223" s="726" t="s">
        <v>68</v>
      </c>
      <c r="I1223" s="431" t="s">
        <v>68</v>
      </c>
      <c r="J1223" s="619" t="s">
        <v>68</v>
      </c>
      <c r="K1223" s="619"/>
      <c r="L1223" s="619"/>
      <c r="M1223" s="619" t="s">
        <v>68</v>
      </c>
      <c r="N1223" s="461">
        <v>46209</v>
      </c>
      <c r="O1223" s="431" t="s">
        <v>550</v>
      </c>
      <c r="P1223" s="430" t="s">
        <v>2134</v>
      </c>
      <c r="Q1223" s="431" t="s">
        <v>2135</v>
      </c>
      <c r="R1223" s="430" t="str">
        <f>_xlfn.XLOOKUP(PV_DATA[[#This Row],[New Ark SKU]],Table9[New Ark SKU],Table9[Connector],,0)</f>
        <v>EVO2A</v>
      </c>
      <c r="S1223" s="433" t="str">
        <f>_xlfn.XLOOKUP(PV_DATA[[#This Row],[New Ark SKU]],Table9[New Ark SKU],Table9[Cable],,0)</f>
        <v>±1350mm</v>
      </c>
      <c r="T1223" s="442">
        <v>515</v>
      </c>
      <c r="U1223" s="1093" cm="1">
        <f t="array" ref="U1223">27576-fx_qty</f>
        <v>0</v>
      </c>
      <c r="V1223" s="448">
        <f>PV_DATA[[#This Row],[QUANTITY]]*PV_DATA[[#This Row],[WATT]]/1000000</f>
        <v>0</v>
      </c>
      <c r="W1223" s="466">
        <f>PV_DATA[[#This Row],[QUANTITY]]/PV_DATA[[#This Row],[Qty/Pallet]]</f>
        <v>0</v>
      </c>
      <c r="X1223" s="1044">
        <f>PV_DATA[[#This Row],[QUANTITY]]/PV_DATA[[#This Row],[Qty/CT]]</f>
        <v>0</v>
      </c>
      <c r="Y1223" s="431" t="s">
        <v>7027</v>
      </c>
      <c r="Z1223" s="430" t="str">
        <f t="shared" si="28"/>
        <v/>
      </c>
      <c r="AA1223" s="431"/>
      <c r="AB1223" s="441"/>
      <c r="AC1223" s="467" t="str">
        <f>IF(PV_DATA[[#This Row],[Pick- Up Date]]&lt;&gt;"",_xlfn.ISOWEEKNUM(PV_DATA[[#This Row],[Pick- Up Date]]),"")</f>
        <v/>
      </c>
      <c r="AD1223" s="431"/>
      <c r="AE1223" s="431"/>
      <c r="AF1223" s="431" t="s">
        <v>122</v>
      </c>
      <c r="AG1223" s="431" t="s">
        <v>123</v>
      </c>
      <c r="AH1223" s="431" t="s">
        <v>68</v>
      </c>
      <c r="AI1223" s="441"/>
      <c r="AJ1223" s="441"/>
      <c r="AK1223" s="437" t="str">
        <f>IFERROR(IF(VLOOKUP(AT1223,Vessel!A:F,5,FALSE)=0,"",VLOOKUP(AT1223,Vessel!A:F,5,FALSE)),"")</f>
        <v/>
      </c>
      <c r="AL1223" s="441"/>
      <c r="AM1223" s="441"/>
      <c r="AN1223" s="586" t="str">
        <f>IFERROR(IF(VLOOKUP(AT1223,Vessel!A:I,9,FALSE)=0,"",VLOOKUP(AT1223,Vessel!A:I,9,FALSE)),"")</f>
        <v/>
      </c>
      <c r="AO1223" s="431"/>
      <c r="AP1223" s="431"/>
      <c r="AQ1223" s="445"/>
      <c r="AR1223" s="431"/>
      <c r="AS1223" s="431"/>
      <c r="AT1223" s="431"/>
      <c r="AU12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3" s="431"/>
      <c r="AW1223" s="441" t="str" cm="1">
        <f t="array" ref="AW1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3" s="441">
        <f>IF(ISERROR(PV_DATA[[#This Row],[New Ark PO status]]),"",_xlfn.XLOOKUP(PV_DATA[[#This Row],[SPTN-PVHK New Ark PO'#]],New_Ark_Data[Purchase order Number],New_Ark_Data[Estimated time of arrival],"",0))</f>
        <v>0</v>
      </c>
      <c r="AZ122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3" s="441" t="str">
        <f>IFERROR(PV_DATA[[#This Row],[ODP ETA Port]]+PV_DATA[[#This Row],[Customs/Leg3 Assumption]],"n/a")</f>
        <v>n/a</v>
      </c>
      <c r="BB1223" s="442" t="e">
        <f>YEAR(PV_DATA[[#This Row],[ETA for New Ark update]])</f>
        <v>#VALUE!</v>
      </c>
      <c r="BC1223" s="431" t="e">
        <f>MONTH(PV_DATA[[#This Row],[ETA for New Ark update]])</f>
        <v>#VALUE!</v>
      </c>
      <c r="BD1223" s="431">
        <f>IFERROR(_xlfn.ISOWEEKNUM(PV_DATA[[#This Row],[ETA for New Ark update]]),0)</f>
        <v>0</v>
      </c>
      <c r="BE1223" s="431">
        <f>_xlfn.XLOOKUP(PV_DATA[[#This Row],[New Ark SKU]],Table9[New Ark SKU],Table9[Total PCS per Pallet],,0)</f>
        <v>36</v>
      </c>
      <c r="BF1223" s="431">
        <f>_xlfn.XLOOKUP(PV_DATA[[#This Row],[New Ark SKU]],Table9[New Ark SKU],Table9[Total PCS per 40HQ Container],,0)</f>
        <v>792</v>
      </c>
      <c r="BG1223" s="431" t="str">
        <f>_xlfn.XLOOKUP(PV_DATA[[#This Row],[New Ark SKU]],Table9[New Ark SKU],Table9[Back Glass],,0)</f>
        <v>Black glazing</v>
      </c>
      <c r="BH1223" s="431" t="str">
        <f>_xlfn.XLOOKUP(PV_DATA[[#This Row],[PORT DESTINATION]],Table12[PORT DESTINATION],Table12[Cosco Line],,0)</f>
        <v>n/a</v>
      </c>
      <c r="BJ1223" s="430"/>
    </row>
    <row r="1224" spans="1:62" ht="10.5">
      <c r="A1224" s="439" t="s">
        <v>7294</v>
      </c>
      <c r="B1224" s="439" t="s">
        <v>111</v>
      </c>
      <c r="C1224" s="439" t="str">
        <f>IFERROR(LEFT(PV_DATA[[#This Row],[TCL REFERENCE]],FIND(".",PV_DATA[[#This Row],[TCL REFERENCE]],1)-1),"Main Line")</f>
        <v>Main Line</v>
      </c>
      <c r="D1224" s="439" t="s">
        <v>63</v>
      </c>
      <c r="E1224" s="439" t="s">
        <v>68</v>
      </c>
      <c r="F1224" s="439" t="str" cm="1">
        <f t="array" ref="F122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4" s="726" t="s">
        <v>68</v>
      </c>
      <c r="H1224" s="726" t="s">
        <v>68</v>
      </c>
      <c r="I1224" s="431" t="s">
        <v>68</v>
      </c>
      <c r="J1224" s="619" t="s">
        <v>68</v>
      </c>
      <c r="K1224" s="619"/>
      <c r="L1224" s="619"/>
      <c r="M1224" s="619" t="s">
        <v>68</v>
      </c>
      <c r="N1224" s="461">
        <v>46223</v>
      </c>
      <c r="O1224" s="431" t="s">
        <v>132</v>
      </c>
      <c r="P1224" s="430" t="s">
        <v>189</v>
      </c>
      <c r="Q1224" s="431" t="s">
        <v>190</v>
      </c>
      <c r="R1224" s="430" t="str">
        <f>_xlfn.XLOOKUP(PV_DATA[[#This Row],[New Ark SKU]],Table9[New Ark SKU],Table9[Connector],,0)</f>
        <v>EVO2A</v>
      </c>
      <c r="S1224" s="433" t="str">
        <f>_xlfn.XLOOKUP(PV_DATA[[#This Row],[New Ark SKU]],Table9[New Ark SKU],Table9[Cable],,0)</f>
        <v>±1200mm</v>
      </c>
      <c r="T1224" s="442">
        <v>465</v>
      </c>
      <c r="U1224" s="1093" cm="1">
        <f t="array" ref="U1224">5184-fx_qty</f>
        <v>0</v>
      </c>
      <c r="V1224" s="448">
        <f>PV_DATA[[#This Row],[QUANTITY]]*PV_DATA[[#This Row],[WATT]]/1000000</f>
        <v>0</v>
      </c>
      <c r="W1224" s="466">
        <f>PV_DATA[[#This Row],[QUANTITY]]/PV_DATA[[#This Row],[Qty/Pallet]]</f>
        <v>0</v>
      </c>
      <c r="X1224" s="1044">
        <f>PV_DATA[[#This Row],[QUANTITY]]/PV_DATA[[#This Row],[Qty/CT]]</f>
        <v>0</v>
      </c>
      <c r="Y1224" s="431" t="s">
        <v>7027</v>
      </c>
      <c r="Z1224" s="430" t="str">
        <f t="shared" si="28"/>
        <v/>
      </c>
      <c r="AA1224" s="431"/>
      <c r="AB1224" s="441"/>
      <c r="AC1224" s="467" t="str">
        <f>IF(PV_DATA[[#This Row],[Pick- Up Date]]&lt;&gt;"",_xlfn.ISOWEEKNUM(PV_DATA[[#This Row],[Pick- Up Date]]),"")</f>
        <v/>
      </c>
      <c r="AD1224" s="431"/>
      <c r="AE1224" s="431"/>
      <c r="AF1224" s="431" t="s">
        <v>122</v>
      </c>
      <c r="AG1224" s="431" t="s">
        <v>123</v>
      </c>
      <c r="AH1224" s="431" t="s">
        <v>68</v>
      </c>
      <c r="AI1224" s="441"/>
      <c r="AJ1224" s="441"/>
      <c r="AK1224" s="437" t="str">
        <f>IFERROR(IF(VLOOKUP(AT1224,Vessel!A:F,5,FALSE)=0,"",VLOOKUP(AT1224,Vessel!A:F,5,FALSE)),"")</f>
        <v/>
      </c>
      <c r="AL1224" s="441"/>
      <c r="AM1224" s="441"/>
      <c r="AN1224" s="586" t="str">
        <f>IFERROR(IF(VLOOKUP(AT1224,Vessel!A:I,9,FALSE)=0,"",VLOOKUP(AT1224,Vessel!A:I,9,FALSE)),"")</f>
        <v/>
      </c>
      <c r="AO1224" s="431"/>
      <c r="AP1224" s="431"/>
      <c r="AQ1224" s="445"/>
      <c r="AR1224" s="431"/>
      <c r="AS1224" s="431"/>
      <c r="AT1224" s="431"/>
      <c r="AU12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4" s="431"/>
      <c r="AW1224" s="441" t="str" cm="1">
        <f t="array" ref="AW1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4" s="441">
        <f>IF(ISERROR(PV_DATA[[#This Row],[New Ark PO status]]),"",_xlfn.XLOOKUP(PV_DATA[[#This Row],[SPTN-PVHK New Ark PO'#]],New_Ark_Data[Purchase order Number],New_Ark_Data[Estimated time of arrival],"",0))</f>
        <v>0</v>
      </c>
      <c r="AZ122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4" s="441" t="str">
        <f>IFERROR(PV_DATA[[#This Row],[ODP ETA Port]]+PV_DATA[[#This Row],[Customs/Leg3 Assumption]],"n/a")</f>
        <v>n/a</v>
      </c>
      <c r="BB1224" s="442" t="e">
        <f>YEAR(PV_DATA[[#This Row],[ETA for New Ark update]])</f>
        <v>#VALUE!</v>
      </c>
      <c r="BC1224" s="431" t="e">
        <f>MONTH(PV_DATA[[#This Row],[ETA for New Ark update]])</f>
        <v>#VALUE!</v>
      </c>
      <c r="BD1224" s="431">
        <f>IFERROR(_xlfn.ISOWEEKNUM(PV_DATA[[#This Row],[ETA for New Ark update]]),0)</f>
        <v>0</v>
      </c>
      <c r="BE1224" s="431">
        <f>_xlfn.XLOOKUP(PV_DATA[[#This Row],[New Ark SKU]],Table9[New Ark SKU],Table9[Total PCS per Pallet],,0)</f>
        <v>36</v>
      </c>
      <c r="BF1224" s="431">
        <f>_xlfn.XLOOKUP(PV_DATA[[#This Row],[New Ark SKU]],Table9[New Ark SKU],Table9[Total PCS per 40HQ Container],,0)</f>
        <v>864</v>
      </c>
      <c r="BG1224" s="431" t="str">
        <f>_xlfn.XLOOKUP(PV_DATA[[#This Row],[New Ark SKU]],Table9[New Ark SKU],Table9[Back Glass],,0)</f>
        <v>White glazing</v>
      </c>
      <c r="BH1224" s="431" t="str">
        <f>_xlfn.XLOOKUP(PV_DATA[[#This Row],[PORT DESTINATION]],Table12[PORT DESTINATION],Table12[Cosco Line],,0)</f>
        <v>n/a</v>
      </c>
      <c r="BJ1224" s="430"/>
    </row>
    <row r="1225" spans="1:62" s="431" customFormat="1" ht="10.5">
      <c r="A1225" s="439" t="s">
        <v>7295</v>
      </c>
      <c r="B1225" s="439" t="s">
        <v>111</v>
      </c>
      <c r="C1225" s="439" t="str">
        <f>IFERROR(LEFT(PV_DATA[[#This Row],[TCL REFERENCE]],FIND(".",PV_DATA[[#This Row],[TCL REFERENCE]],1)-1),"Main Line")</f>
        <v>Main Line</v>
      </c>
      <c r="D1225" s="439" t="s">
        <v>63</v>
      </c>
      <c r="E1225" s="439" t="s">
        <v>68</v>
      </c>
      <c r="F1225" s="439" t="str" cm="1">
        <f t="array" ref="F12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5" s="726" t="s">
        <v>68</v>
      </c>
      <c r="H1225" s="726" t="s">
        <v>68</v>
      </c>
      <c r="I1225" s="431" t="s">
        <v>68</v>
      </c>
      <c r="J1225" s="619" t="s">
        <v>68</v>
      </c>
      <c r="K1225" s="619"/>
      <c r="L1225" s="619"/>
      <c r="M1225" s="619" t="s">
        <v>68</v>
      </c>
      <c r="N1225" s="461">
        <v>46223</v>
      </c>
      <c r="O1225" s="431" t="s">
        <v>132</v>
      </c>
      <c r="P1225" s="431" t="s">
        <v>1062</v>
      </c>
      <c r="Q1225" s="431" t="s">
        <v>1063</v>
      </c>
      <c r="R1225" s="430" t="str">
        <f>_xlfn.XLOOKUP(PV_DATA[[#This Row],[New Ark SKU]],Table9[New Ark SKU],Table9[Connector],,0)</f>
        <v>EVO2A</v>
      </c>
      <c r="S1225" s="433" t="str">
        <f>_xlfn.XLOOKUP(PV_DATA[[#This Row],[New Ark SKU]],Table9[New Ark SKU],Table9[Cable],,0)</f>
        <v>±1200mm</v>
      </c>
      <c r="T1225" s="442">
        <v>470</v>
      </c>
      <c r="U1225" s="1093" cm="1">
        <f t="array" ref="U1225">16416-fx_qty</f>
        <v>0</v>
      </c>
      <c r="V1225" s="448">
        <f>PV_DATA[[#This Row],[QUANTITY]]*PV_DATA[[#This Row],[WATT]]/1000000</f>
        <v>0</v>
      </c>
      <c r="W1225" s="466">
        <f>PV_DATA[[#This Row],[QUANTITY]]/PV_DATA[[#This Row],[Qty/Pallet]]</f>
        <v>0</v>
      </c>
      <c r="X1225" s="1044">
        <f>PV_DATA[[#This Row],[QUANTITY]]/PV_DATA[[#This Row],[Qty/CT]]</f>
        <v>0</v>
      </c>
      <c r="Y1225" s="431" t="s">
        <v>7027</v>
      </c>
      <c r="Z1225" s="430" t="str">
        <f t="shared" si="28"/>
        <v/>
      </c>
      <c r="AB1225" s="441"/>
      <c r="AC1225" s="467" t="str">
        <f>IF(PV_DATA[[#This Row],[Pick- Up Date]]&lt;&gt;"",_xlfn.ISOWEEKNUM(PV_DATA[[#This Row],[Pick- Up Date]]),"")</f>
        <v/>
      </c>
      <c r="AF1225" s="431" t="s">
        <v>122</v>
      </c>
      <c r="AG1225" s="431" t="s">
        <v>123</v>
      </c>
      <c r="AH1225" s="431" t="s">
        <v>68</v>
      </c>
      <c r="AI1225" s="441"/>
      <c r="AJ1225" s="441"/>
      <c r="AK1225" s="437" t="str">
        <f>IFERROR(IF(VLOOKUP(AT1225,Vessel!A:F,5,FALSE)=0,"",VLOOKUP(AT1225,Vessel!A:F,5,FALSE)),"")</f>
        <v/>
      </c>
      <c r="AL1225" s="441"/>
      <c r="AM1225" s="441"/>
      <c r="AN1225" s="586" t="str">
        <f>IFERROR(IF(VLOOKUP(AT1225,Vessel!A:I,9,FALSE)=0,"",VLOOKUP(AT1225,Vessel!A:I,9,FALSE)),"")</f>
        <v/>
      </c>
      <c r="AQ1225" s="445"/>
      <c r="AU12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25" s="441" t="str" cm="1">
        <f t="array" ref="AW1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5" s="441">
        <f>IF(ISERROR(PV_DATA[[#This Row],[New Ark PO status]]),"",_xlfn.XLOOKUP(PV_DATA[[#This Row],[SPTN-PVHK New Ark PO'#]],New_Ark_Data[Purchase order Number],New_Ark_Data[Estimated time of arrival],"",0))</f>
        <v>0</v>
      </c>
      <c r="AZ122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5" s="441" t="str">
        <f>IFERROR(PV_DATA[[#This Row],[ODP ETA Port]]+PV_DATA[[#This Row],[Customs/Leg3 Assumption]],"n/a")</f>
        <v>n/a</v>
      </c>
      <c r="BB1225" s="442" t="e">
        <f>YEAR(PV_DATA[[#This Row],[ETA for New Ark update]])</f>
        <v>#VALUE!</v>
      </c>
      <c r="BC1225" s="431" t="e">
        <f>MONTH(PV_DATA[[#This Row],[ETA for New Ark update]])</f>
        <v>#VALUE!</v>
      </c>
      <c r="BD1225" s="431">
        <f>IFERROR(_xlfn.ISOWEEKNUM(PV_DATA[[#This Row],[ETA for New Ark update]]),0)</f>
        <v>0</v>
      </c>
      <c r="BE1225" s="431">
        <f>_xlfn.XLOOKUP(PV_DATA[[#This Row],[New Ark SKU]],Table9[New Ark SKU],Table9[Total PCS per Pallet],,0)</f>
        <v>36</v>
      </c>
      <c r="BF1225" s="431">
        <f>_xlfn.XLOOKUP(PV_DATA[[#This Row],[New Ark SKU]],Table9[New Ark SKU],Table9[Total PCS per 40HQ Container],,0)</f>
        <v>864</v>
      </c>
      <c r="BG1225" s="431" t="str">
        <f>_xlfn.XLOOKUP(PV_DATA[[#This Row],[New Ark SKU]],Table9[New Ark SKU],Table9[Back Glass],,0)</f>
        <v>White glazing</v>
      </c>
      <c r="BH1225" s="431" t="str">
        <f>_xlfn.XLOOKUP(PV_DATA[[#This Row],[PORT DESTINATION]],Table12[PORT DESTINATION],Table12[Cosco Line],,0)</f>
        <v>n/a</v>
      </c>
    </row>
    <row r="1226" spans="1:62" ht="10.5">
      <c r="A1226" s="439" t="s">
        <v>7296</v>
      </c>
      <c r="B1226" s="439" t="s">
        <v>5774</v>
      </c>
      <c r="C1226" s="439" t="str">
        <f>IFERROR(LEFT(PV_DATA[[#This Row],[TCL REFERENCE]],FIND(".",PV_DATA[[#This Row],[TCL REFERENCE]],1)-1),"Main Line")</f>
        <v>Main Line</v>
      </c>
      <c r="D1226" s="439" t="s">
        <v>63</v>
      </c>
      <c r="E1226" s="439" t="s">
        <v>68</v>
      </c>
      <c r="F1226" s="439" t="str" cm="1">
        <f t="array" ref="F12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6" s="726" t="s">
        <v>68</v>
      </c>
      <c r="H1226" s="726" t="s">
        <v>68</v>
      </c>
      <c r="I1226" s="431" t="s">
        <v>68</v>
      </c>
      <c r="J1226" s="619" t="s">
        <v>68</v>
      </c>
      <c r="K1226" s="619"/>
      <c r="L1226" s="619"/>
      <c r="M1226" s="619" t="s">
        <v>68</v>
      </c>
      <c r="N1226" s="461">
        <v>46223</v>
      </c>
      <c r="O1226" s="431" t="s">
        <v>4531</v>
      </c>
      <c r="P1226" s="430" t="s">
        <v>195</v>
      </c>
      <c r="Q1226" s="431" t="s">
        <v>196</v>
      </c>
      <c r="R1226" s="430" t="str">
        <f>_xlfn.XLOOKUP(PV_DATA[[#This Row],[New Ark SKU]],Table9[New Ark SKU],Table9[Connector],,0)</f>
        <v>EVO2A</v>
      </c>
      <c r="S1226" s="433" t="str">
        <f>_xlfn.XLOOKUP(PV_DATA[[#This Row],[New Ark SKU]],Table9[New Ark SKU],Table9[Cable],,0)</f>
        <v>±1200mm</v>
      </c>
      <c r="T1226" s="442">
        <v>450</v>
      </c>
      <c r="U1226" s="1093" cm="1">
        <f t="array" ref="U1226">17784-fx_qty</f>
        <v>0</v>
      </c>
      <c r="V1226" s="448">
        <f>PV_DATA[[#This Row],[QUANTITY]]*PV_DATA[[#This Row],[WATT]]/1000000</f>
        <v>0</v>
      </c>
      <c r="W1226" s="466">
        <f>PV_DATA[[#This Row],[QUANTITY]]/PV_DATA[[#This Row],[Qty/Pallet]]</f>
        <v>0</v>
      </c>
      <c r="X1226" s="1044">
        <f>PV_DATA[[#This Row],[QUANTITY]]/PV_DATA[[#This Row],[Qty/CT]]</f>
        <v>0</v>
      </c>
      <c r="Y1226" s="431" t="s">
        <v>7027</v>
      </c>
      <c r="Z1226" s="430" t="str">
        <f t="shared" si="28"/>
        <v/>
      </c>
      <c r="AA1226" s="431" t="s">
        <v>6105</v>
      </c>
      <c r="AB1226" s="441"/>
      <c r="AC1226" s="467" t="str">
        <f>IF(PV_DATA[[#This Row],[Pick- Up Date]]&lt;&gt;"",_xlfn.ISOWEEKNUM(PV_DATA[[#This Row],[Pick- Up Date]]),"")</f>
        <v/>
      </c>
      <c r="AD1226" s="431"/>
      <c r="AE1226" s="431"/>
      <c r="AF1226" s="447" t="s">
        <v>6107</v>
      </c>
      <c r="AG1226" s="447" t="s">
        <v>123</v>
      </c>
      <c r="AH1226" s="431" t="s">
        <v>68</v>
      </c>
      <c r="AI1226" s="441"/>
      <c r="AJ1226" s="441"/>
      <c r="AK1226" s="437" t="str">
        <f>IFERROR(IF(VLOOKUP(AT1226,Vessel!A:F,5,FALSE)=0,"",VLOOKUP(AT1226,Vessel!A:F,5,FALSE)),"")</f>
        <v/>
      </c>
      <c r="AL1226" s="441"/>
      <c r="AM1226" s="441"/>
      <c r="AN1226" s="586" t="str">
        <f>IFERROR(IF(VLOOKUP(AT1226,Vessel!A:I,9,FALSE)=0,"",VLOOKUP(AT1226,Vessel!A:I,9,FALSE)),"")</f>
        <v/>
      </c>
      <c r="AO1226" s="431"/>
      <c r="AP1226" s="431"/>
      <c r="AQ1226" s="445"/>
      <c r="AR1226" s="431"/>
      <c r="AS1226" s="431"/>
      <c r="AT1226" s="431"/>
      <c r="AU12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6" s="431"/>
      <c r="AW1226" s="441" t="str" cm="1">
        <f t="array" ref="AW1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6" s="441">
        <f>IF(ISERROR(PV_DATA[[#This Row],[New Ark PO status]]),"",_xlfn.XLOOKUP(PV_DATA[[#This Row],[SPTN-PVHK New Ark PO'#]],New_Ark_Data[Purchase order Number],New_Ark_Data[Estimated time of arrival],"",0))</f>
        <v>0</v>
      </c>
      <c r="AZ122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6" s="441" t="str">
        <f>IFERROR(PV_DATA[[#This Row],[ODP ETA Port]]+PV_DATA[[#This Row],[Customs/Leg3 Assumption]],"n/a")</f>
        <v>n/a</v>
      </c>
      <c r="BB1226" s="442" t="e">
        <f>YEAR(PV_DATA[[#This Row],[ETA for New Ark update]])</f>
        <v>#VALUE!</v>
      </c>
      <c r="BC1226" s="431" t="e">
        <f>MONTH(PV_DATA[[#This Row],[ETA for New Ark update]])</f>
        <v>#VALUE!</v>
      </c>
      <c r="BD1226" s="431">
        <f>IFERROR(_xlfn.ISOWEEKNUM(PV_DATA[[#This Row],[ETA for New Ark update]]),0)</f>
        <v>0</v>
      </c>
      <c r="BE1226" s="431">
        <f>_xlfn.XLOOKUP(PV_DATA[[#This Row],[New Ark SKU]],Table9[New Ark SKU],Table9[Total PCS per Pallet],,0)</f>
        <v>36</v>
      </c>
      <c r="BF1226" s="431">
        <f>_xlfn.XLOOKUP(PV_DATA[[#This Row],[New Ark SKU]],Table9[New Ark SKU],Table9[Total PCS per 40HQ Container],,0)</f>
        <v>936</v>
      </c>
      <c r="BG1226" s="431" t="str">
        <f>_xlfn.XLOOKUP(PV_DATA[[#This Row],[New Ark SKU]],Table9[New Ark SKU],Table9[Back Glass],,0)</f>
        <v>Black glazing</v>
      </c>
      <c r="BH1226" s="431" t="str">
        <f>_xlfn.XLOOKUP(PV_DATA[[#This Row],[PORT DESTINATION]],Table12[PORT DESTINATION],Table12[Cosco Line],,0)</f>
        <v>n/a</v>
      </c>
      <c r="BJ1226" s="430"/>
    </row>
    <row r="1227" spans="1:62" ht="10.5">
      <c r="A1227" s="439" t="s">
        <v>7297</v>
      </c>
      <c r="B1227" s="439" t="s">
        <v>5774</v>
      </c>
      <c r="C1227" s="439" t="str">
        <f>IFERROR(LEFT(PV_DATA[[#This Row],[TCL REFERENCE]],FIND(".",PV_DATA[[#This Row],[TCL REFERENCE]],1)-1),"Main Line")</f>
        <v>Main Line</v>
      </c>
      <c r="D1227" s="439" t="s">
        <v>63</v>
      </c>
      <c r="E1227" s="439" t="s">
        <v>68</v>
      </c>
      <c r="F1227" s="439" t="str" cm="1">
        <f t="array" ref="F12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7" s="726" t="s">
        <v>68</v>
      </c>
      <c r="H1227" s="726" t="s">
        <v>68</v>
      </c>
      <c r="I1227" s="431" t="s">
        <v>68</v>
      </c>
      <c r="J1227" s="619" t="s">
        <v>68</v>
      </c>
      <c r="K1227" s="619"/>
      <c r="L1227" s="619"/>
      <c r="M1227" s="619" t="s">
        <v>68</v>
      </c>
      <c r="N1227" s="461">
        <v>46223</v>
      </c>
      <c r="O1227" s="431" t="s">
        <v>4531</v>
      </c>
      <c r="P1227" s="430" t="s">
        <v>965</v>
      </c>
      <c r="Q1227" s="431" t="s">
        <v>966</v>
      </c>
      <c r="R1227" s="430" t="str">
        <f>_xlfn.XLOOKUP(PV_DATA[[#This Row],[New Ark SKU]],Table9[New Ark SKU],Table9[Connector],,0)</f>
        <v>EVO2A</v>
      </c>
      <c r="S1227" s="433" t="str">
        <f>_xlfn.XLOOKUP(PV_DATA[[#This Row],[New Ark SKU]],Table9[New Ark SKU],Table9[Cable],,0)</f>
        <v>±1200mm</v>
      </c>
      <c r="T1227" s="442">
        <v>455</v>
      </c>
      <c r="U1227" s="1093" cm="1">
        <f t="array" ref="U1227">4680-fx_qty</f>
        <v>0</v>
      </c>
      <c r="V1227" s="448">
        <f>PV_DATA[[#This Row],[QUANTITY]]*PV_DATA[[#This Row],[WATT]]/1000000</f>
        <v>0</v>
      </c>
      <c r="W1227" s="466">
        <f>PV_DATA[[#This Row],[QUANTITY]]/PV_DATA[[#This Row],[Qty/Pallet]]</f>
        <v>0</v>
      </c>
      <c r="X1227" s="1044">
        <f>PV_DATA[[#This Row],[QUANTITY]]/PV_DATA[[#This Row],[Qty/CT]]</f>
        <v>0</v>
      </c>
      <c r="Y1227" s="431" t="s">
        <v>7027</v>
      </c>
      <c r="Z1227" s="430" t="str">
        <f t="shared" si="28"/>
        <v/>
      </c>
      <c r="AA1227" s="431"/>
      <c r="AB1227" s="441"/>
      <c r="AC1227" s="467" t="str">
        <f>IF(PV_DATA[[#This Row],[Pick- Up Date]]&lt;&gt;"",_xlfn.ISOWEEKNUM(PV_DATA[[#This Row],[Pick- Up Date]]),"")</f>
        <v/>
      </c>
      <c r="AD1227" s="431"/>
      <c r="AE1227" s="431"/>
      <c r="AF1227" s="447" t="s">
        <v>6107</v>
      </c>
      <c r="AG1227" s="447" t="s">
        <v>123</v>
      </c>
      <c r="AH1227" s="431" t="s">
        <v>68</v>
      </c>
      <c r="AI1227" s="441"/>
      <c r="AJ1227" s="441"/>
      <c r="AK1227" s="437" t="str">
        <f>IFERROR(IF(VLOOKUP(AT1227,Vessel!A:F,5,FALSE)=0,"",VLOOKUP(AT1227,Vessel!A:F,5,FALSE)),"")</f>
        <v/>
      </c>
      <c r="AL1227" s="441"/>
      <c r="AM1227" s="441"/>
      <c r="AN1227" s="586" t="str">
        <f>IFERROR(IF(VLOOKUP(AT1227,Vessel!A:I,9,FALSE)=0,"",VLOOKUP(AT1227,Vessel!A:I,9,FALSE)),"")</f>
        <v/>
      </c>
      <c r="AO1227" s="431"/>
      <c r="AP1227" s="431"/>
      <c r="AQ1227" s="445"/>
      <c r="AR1227" s="431"/>
      <c r="AS1227" s="431"/>
      <c r="AT1227" s="431"/>
      <c r="AU12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7" s="431"/>
      <c r="AW1227" s="441" t="str" cm="1">
        <f t="array" ref="AW1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7" s="441">
        <f>IF(ISERROR(PV_DATA[[#This Row],[New Ark PO status]]),"",_xlfn.XLOOKUP(PV_DATA[[#This Row],[SPTN-PVHK New Ark PO'#]],New_Ark_Data[Purchase order Number],New_Ark_Data[Estimated time of arrival],"",0))</f>
        <v>0</v>
      </c>
      <c r="AZ122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7" s="441" t="str">
        <f>IFERROR(PV_DATA[[#This Row],[ODP ETA Port]]+PV_DATA[[#This Row],[Customs/Leg3 Assumption]],"n/a")</f>
        <v>n/a</v>
      </c>
      <c r="BB1227" s="442" t="e">
        <f>YEAR(PV_DATA[[#This Row],[ETA for New Ark update]])</f>
        <v>#VALUE!</v>
      </c>
      <c r="BC1227" s="431" t="e">
        <f>MONTH(PV_DATA[[#This Row],[ETA for New Ark update]])</f>
        <v>#VALUE!</v>
      </c>
      <c r="BD1227" s="431">
        <f>IFERROR(_xlfn.ISOWEEKNUM(PV_DATA[[#This Row],[ETA for New Ark update]]),0)</f>
        <v>0</v>
      </c>
      <c r="BE1227" s="431">
        <f>_xlfn.XLOOKUP(PV_DATA[[#This Row],[New Ark SKU]],Table9[New Ark SKU],Table9[Total PCS per Pallet],,0)</f>
        <v>36</v>
      </c>
      <c r="BF1227" s="431">
        <f>_xlfn.XLOOKUP(PV_DATA[[#This Row],[New Ark SKU]],Table9[New Ark SKU],Table9[Total PCS per 40HQ Container],,0)</f>
        <v>936</v>
      </c>
      <c r="BG1227" s="431" t="str">
        <f>_xlfn.XLOOKUP(PV_DATA[[#This Row],[New Ark SKU]],Table9[New Ark SKU],Table9[Back Glass],,0)</f>
        <v>Black glazing</v>
      </c>
      <c r="BH1227" s="431" t="str">
        <f>_xlfn.XLOOKUP(PV_DATA[[#This Row],[PORT DESTINATION]],Table12[PORT DESTINATION],Table12[Cosco Line],,0)</f>
        <v>n/a</v>
      </c>
      <c r="BJ1227" s="430"/>
    </row>
    <row r="1228" spans="1:62" ht="10.5">
      <c r="A1228" s="439" t="s">
        <v>7298</v>
      </c>
      <c r="B1228" s="439" t="s">
        <v>1757</v>
      </c>
      <c r="C1228" s="439" t="str">
        <f>IFERROR(LEFT(PV_DATA[[#This Row],[TCL REFERENCE]],FIND(".",PV_DATA[[#This Row],[TCL REFERENCE]],1)-1),"Main Line")</f>
        <v>Main Line</v>
      </c>
      <c r="D1228" s="439" t="s">
        <v>63</v>
      </c>
      <c r="E1228" s="439" t="s">
        <v>68</v>
      </c>
      <c r="F1228" s="439" t="str" cm="1">
        <f t="array" ref="F122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8" s="726" t="s">
        <v>68</v>
      </c>
      <c r="H1228" s="726" t="s">
        <v>68</v>
      </c>
      <c r="I1228" s="431" t="s">
        <v>68</v>
      </c>
      <c r="J1228" s="619" t="s">
        <v>68</v>
      </c>
      <c r="K1228" s="619"/>
      <c r="L1228" s="619"/>
      <c r="M1228" s="619" t="s">
        <v>68</v>
      </c>
      <c r="N1228" s="461">
        <v>46209</v>
      </c>
      <c r="O1228" s="431" t="s">
        <v>4531</v>
      </c>
      <c r="P1228" s="430" t="s">
        <v>71</v>
      </c>
      <c r="Q1228" s="431" t="s">
        <v>72</v>
      </c>
      <c r="R1228" s="430" t="str">
        <f>_xlfn.XLOOKUP(PV_DATA[[#This Row],[New Ark SKU]],Table9[New Ark SKU],Table9[Connector],,0)</f>
        <v>EVO2A</v>
      </c>
      <c r="S1228" s="433" t="str">
        <f>_xlfn.XLOOKUP(PV_DATA[[#This Row],[New Ark SKU]],Table9[New Ark SKU],Table9[Cable],,0)</f>
        <v>±1200mm</v>
      </c>
      <c r="T1228" s="442">
        <v>500</v>
      </c>
      <c r="U1228" s="1093" cm="1">
        <f t="array" ref="U1228">27648-fx_qty</f>
        <v>0</v>
      </c>
      <c r="V1228" s="448">
        <f>PV_DATA[[#This Row],[QUANTITY]]*PV_DATA[[#This Row],[WATT]]/1000000</f>
        <v>0</v>
      </c>
      <c r="W1228" s="466">
        <f>PV_DATA[[#This Row],[QUANTITY]]/PV_DATA[[#This Row],[Qty/Pallet]]</f>
        <v>0</v>
      </c>
      <c r="X1228" s="1044">
        <f>PV_DATA[[#This Row],[QUANTITY]]/PV_DATA[[#This Row],[Qty/CT]]</f>
        <v>0</v>
      </c>
      <c r="Y1228" s="431" t="s">
        <v>7027</v>
      </c>
      <c r="Z1228" s="430" t="str">
        <f t="shared" ref="Z1228:Z1256" si="29">IF(AN1228&lt;&gt;"","COMPLETED",IF(AK1228&lt;&gt;"","IN-TRANSIT",""))</f>
        <v/>
      </c>
      <c r="AA1228" s="431"/>
      <c r="AB1228" s="441"/>
      <c r="AC1228" s="467" t="str">
        <f>IF(PV_DATA[[#This Row],[Pick- Up Date]]&lt;&gt;"",_xlfn.ISOWEEKNUM(PV_DATA[[#This Row],[Pick- Up Date]]),"")</f>
        <v/>
      </c>
      <c r="AD1228" s="431"/>
      <c r="AE1228" s="431"/>
      <c r="AF1228" s="447" t="s">
        <v>1525</v>
      </c>
      <c r="AG1228" s="447" t="s">
        <v>1525</v>
      </c>
      <c r="AH1228" s="431" t="s">
        <v>68</v>
      </c>
      <c r="AI1228" s="441"/>
      <c r="AJ1228" s="441"/>
      <c r="AK1228" s="437" t="str">
        <f>IFERROR(IF(VLOOKUP(AT1228,Vessel!A:F,5,FALSE)=0,"",VLOOKUP(AT1228,Vessel!A:F,5,FALSE)),"")</f>
        <v/>
      </c>
      <c r="AL1228" s="441"/>
      <c r="AM1228" s="441"/>
      <c r="AN1228" s="586" t="str">
        <f>IFERROR(IF(VLOOKUP(AT1228,Vessel!A:I,9,FALSE)=0,"",VLOOKUP(AT1228,Vessel!A:I,9,FALSE)),"")</f>
        <v/>
      </c>
      <c r="AO1228" s="431"/>
      <c r="AP1228" s="431"/>
      <c r="AQ1228" s="445"/>
      <c r="AR1228" s="619"/>
      <c r="AS1228" s="431"/>
      <c r="AT1228" s="431"/>
      <c r="AU12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8" s="431"/>
      <c r="AW1228" s="441" t="str" cm="1">
        <f t="array" ref="AW1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8" s="441">
        <f>IF(ISERROR(PV_DATA[[#This Row],[New Ark PO status]]),"",_xlfn.XLOOKUP(PV_DATA[[#This Row],[SPTN-PVHK New Ark PO'#]],New_Ark_Data[Purchase order Number],New_Ark_Data[Estimated time of arrival],"",0))</f>
        <v>0</v>
      </c>
      <c r="AZ122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8" s="441" t="str">
        <f>IFERROR(PV_DATA[[#This Row],[ODP ETA Port]]+PV_DATA[[#This Row],[Customs/Leg3 Assumption]],"n/a")</f>
        <v>n/a</v>
      </c>
      <c r="BB1228" s="442" t="e">
        <f>YEAR(PV_DATA[[#This Row],[ETA for New Ark update]])</f>
        <v>#VALUE!</v>
      </c>
      <c r="BC1228" s="431" t="e">
        <f>MONTH(PV_DATA[[#This Row],[ETA for New Ark update]])</f>
        <v>#VALUE!</v>
      </c>
      <c r="BD1228" s="431">
        <f>IFERROR(_xlfn.ISOWEEKNUM(PV_DATA[[#This Row],[ETA for New Ark update]]),0)</f>
        <v>0</v>
      </c>
      <c r="BE1228" s="431">
        <f>_xlfn.XLOOKUP(PV_DATA[[#This Row],[New Ark SKU]],Table9[New Ark SKU],Table9[Total PCS per Pallet],,0)</f>
        <v>36</v>
      </c>
      <c r="BF1228" s="431">
        <f>_xlfn.XLOOKUP(PV_DATA[[#This Row],[New Ark SKU]],Table9[New Ark SKU],Table9[Total PCS per 40HQ Container],,0)</f>
        <v>864</v>
      </c>
      <c r="BG1228" s="431" t="str">
        <f>_xlfn.XLOOKUP(PV_DATA[[#This Row],[New Ark SKU]],Table9[New Ark SKU],Table9[Back Glass],,0)</f>
        <v>Black glazing</v>
      </c>
      <c r="BH1228" s="431" t="str">
        <f>_xlfn.XLOOKUP(PV_DATA[[#This Row],[PORT DESTINATION]],Table12[PORT DESTINATION],Table12[Cosco Line],,0)</f>
        <v>n/a</v>
      </c>
      <c r="BJ1228" s="430"/>
    </row>
    <row r="1229" spans="1:62" ht="10.5">
      <c r="A1229" s="439" t="s">
        <v>7299</v>
      </c>
      <c r="B1229" s="439" t="s">
        <v>1757</v>
      </c>
      <c r="C1229" s="439" t="str">
        <f>IFERROR(LEFT(PV_DATA[[#This Row],[TCL REFERENCE]],FIND(".",PV_DATA[[#This Row],[TCL REFERENCE]],1)-1),"Main Line")</f>
        <v>Main Line</v>
      </c>
      <c r="D1229" s="439" t="s">
        <v>63</v>
      </c>
      <c r="E1229" s="439" t="s">
        <v>68</v>
      </c>
      <c r="F1229" s="439" t="str" cm="1">
        <f t="array" ref="F122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9" s="726" t="s">
        <v>68</v>
      </c>
      <c r="H1229" s="726" t="s">
        <v>68</v>
      </c>
      <c r="I1229" s="431" t="s">
        <v>68</v>
      </c>
      <c r="J1229" s="619" t="s">
        <v>68</v>
      </c>
      <c r="K1229" s="619"/>
      <c r="L1229" s="619"/>
      <c r="M1229" s="619" t="s">
        <v>68</v>
      </c>
      <c r="N1229" s="461">
        <v>46209</v>
      </c>
      <c r="O1229" s="431" t="s">
        <v>4531</v>
      </c>
      <c r="P1229" s="430" t="s">
        <v>1151</v>
      </c>
      <c r="Q1229" s="431" t="s">
        <v>421</v>
      </c>
      <c r="R1229" s="430" t="str">
        <f>_xlfn.XLOOKUP(PV_DATA[[#This Row],[New Ark SKU]],Table9[New Ark SKU],Table9[Connector],,0)</f>
        <v>EVO2A</v>
      </c>
      <c r="S1229" s="433" t="str">
        <f>_xlfn.XLOOKUP(PV_DATA[[#This Row],[New Ark SKU]],Table9[New Ark SKU],Table9[Cable],,0)</f>
        <v>±1200mm</v>
      </c>
      <c r="T1229" s="442">
        <v>505</v>
      </c>
      <c r="U1229" s="1093" cm="1">
        <f t="array" ref="U1229">12096-fx_qty</f>
        <v>0</v>
      </c>
      <c r="V1229" s="448">
        <f>PV_DATA[[#This Row],[QUANTITY]]*PV_DATA[[#This Row],[WATT]]/1000000</f>
        <v>0</v>
      </c>
      <c r="W1229" s="466">
        <f>PV_DATA[[#This Row],[QUANTITY]]/PV_DATA[[#This Row],[Qty/Pallet]]</f>
        <v>0</v>
      </c>
      <c r="X1229" s="1044">
        <f>PV_DATA[[#This Row],[QUANTITY]]/PV_DATA[[#This Row],[Qty/CT]]</f>
        <v>0</v>
      </c>
      <c r="Y1229" s="431" t="s">
        <v>7027</v>
      </c>
      <c r="Z1229" s="430" t="str">
        <f t="shared" si="29"/>
        <v/>
      </c>
      <c r="AA1229" s="431"/>
      <c r="AB1229" s="441"/>
      <c r="AC1229" s="467" t="str">
        <f>IF(PV_DATA[[#This Row],[Pick- Up Date]]&lt;&gt;"",_xlfn.ISOWEEKNUM(PV_DATA[[#This Row],[Pick- Up Date]]),"")</f>
        <v/>
      </c>
      <c r="AD1229" s="431"/>
      <c r="AE1229" s="431"/>
      <c r="AF1229" s="447" t="s">
        <v>1525</v>
      </c>
      <c r="AG1229" s="447" t="s">
        <v>1525</v>
      </c>
      <c r="AH1229" s="431" t="s">
        <v>68</v>
      </c>
      <c r="AI1229" s="441"/>
      <c r="AJ1229" s="441"/>
      <c r="AK1229" s="437" t="str">
        <f>IFERROR(IF(VLOOKUP(AT1229,Vessel!A:F,5,FALSE)=0,"",VLOOKUP(AT1229,Vessel!A:F,5,FALSE)),"")</f>
        <v/>
      </c>
      <c r="AL1229" s="441"/>
      <c r="AM1229" s="441"/>
      <c r="AN1229" s="586" t="str">
        <f>IFERROR(IF(VLOOKUP(AT1229,Vessel!A:I,9,FALSE)=0,"",VLOOKUP(AT1229,Vessel!A:I,9,FALSE)),"")</f>
        <v/>
      </c>
      <c r="AO1229" s="431"/>
      <c r="AP1229" s="431"/>
      <c r="AQ1229" s="445"/>
      <c r="AR1229" s="431"/>
      <c r="AS1229" s="431"/>
      <c r="AT1229" s="431"/>
      <c r="AU12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9" s="431"/>
      <c r="AW1229" s="441" t="str" cm="1">
        <f t="array" ref="AW1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9" s="441">
        <f>IF(ISERROR(PV_DATA[[#This Row],[New Ark PO status]]),"",_xlfn.XLOOKUP(PV_DATA[[#This Row],[SPTN-PVHK New Ark PO'#]],New_Ark_Data[Purchase order Number],New_Ark_Data[Estimated time of arrival],"",0))</f>
        <v>0</v>
      </c>
      <c r="AZ122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9" s="441" t="str">
        <f>IFERROR(PV_DATA[[#This Row],[ODP ETA Port]]+PV_DATA[[#This Row],[Customs/Leg3 Assumption]],"n/a")</f>
        <v>n/a</v>
      </c>
      <c r="BB1229" s="442" t="e">
        <f>YEAR(PV_DATA[[#This Row],[ETA for New Ark update]])</f>
        <v>#VALUE!</v>
      </c>
      <c r="BC1229" s="431" t="e">
        <f>MONTH(PV_DATA[[#This Row],[ETA for New Ark update]])</f>
        <v>#VALUE!</v>
      </c>
      <c r="BD1229" s="431">
        <f>IFERROR(_xlfn.ISOWEEKNUM(PV_DATA[[#This Row],[ETA for New Ark update]]),0)</f>
        <v>0</v>
      </c>
      <c r="BE1229" s="431">
        <f>_xlfn.XLOOKUP(PV_DATA[[#This Row],[New Ark SKU]],Table9[New Ark SKU],Table9[Total PCS per Pallet],,0)</f>
        <v>36</v>
      </c>
      <c r="BF1229" s="431">
        <f>_xlfn.XLOOKUP(PV_DATA[[#This Row],[New Ark SKU]],Table9[New Ark SKU],Table9[Total PCS per 40HQ Container],,0)</f>
        <v>864</v>
      </c>
      <c r="BG1229" s="431" t="str">
        <f>_xlfn.XLOOKUP(PV_DATA[[#This Row],[New Ark SKU]],Table9[New Ark SKU],Table9[Back Glass],,0)</f>
        <v>Black glazing</v>
      </c>
      <c r="BH1229" s="431" t="str">
        <f>_xlfn.XLOOKUP(PV_DATA[[#This Row],[PORT DESTINATION]],Table12[PORT DESTINATION],Table12[Cosco Line],,0)</f>
        <v>n/a</v>
      </c>
      <c r="BJ1229" s="430"/>
    </row>
    <row r="1230" spans="1:62" ht="10.5">
      <c r="A1230" s="439" t="s">
        <v>7300</v>
      </c>
      <c r="B1230" s="439" t="s">
        <v>111</v>
      </c>
      <c r="C1230" s="439" t="str">
        <f>IFERROR(LEFT(PV_DATA[[#This Row],[TCL REFERENCE]],FIND(".",PV_DATA[[#This Row],[TCL REFERENCE]],1)-1),"Main Line")</f>
        <v>Main Line</v>
      </c>
      <c r="D1230" s="439" t="s">
        <v>63</v>
      </c>
      <c r="E1230" s="439" t="s">
        <v>68</v>
      </c>
      <c r="F1230" s="439" t="str" cm="1">
        <f t="array" ref="F123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0" s="726" t="s">
        <v>68</v>
      </c>
      <c r="H1230" s="726" t="s">
        <v>68</v>
      </c>
      <c r="I1230" s="431" t="s">
        <v>68</v>
      </c>
      <c r="J1230" s="619" t="s">
        <v>68</v>
      </c>
      <c r="K1230" s="619"/>
      <c r="L1230" s="619"/>
      <c r="M1230" s="619" t="s">
        <v>68</v>
      </c>
      <c r="N1230" s="461">
        <v>46251</v>
      </c>
      <c r="O1230" s="431" t="s">
        <v>5379</v>
      </c>
      <c r="P1230" s="430" t="s">
        <v>6678</v>
      </c>
      <c r="Q1230" s="431" t="s">
        <v>6679</v>
      </c>
      <c r="R1230" s="430" t="str">
        <f>_xlfn.XLOOKUP(PV_DATA[[#This Row],[New Ark SKU]],Table9[New Ark SKU],Table9[Connector],,0)</f>
        <v>EVO2A</v>
      </c>
      <c r="S1230" s="433" t="str">
        <f>_xlfn.XLOOKUP(PV_DATA[[#This Row],[New Ark SKU]],Table9[New Ark SKU],Table9[Cable],,0)</f>
        <v>±1200mm</v>
      </c>
      <c r="T1230" s="442">
        <v>475</v>
      </c>
      <c r="U1230" s="1093" cm="1">
        <f t="array" ref="U1230">11520-fx_qty</f>
        <v>288</v>
      </c>
      <c r="V1230" s="448">
        <f>PV_DATA[[#This Row],[QUANTITY]]*PV_DATA[[#This Row],[WATT]]/1000000</f>
        <v>0.1368</v>
      </c>
      <c r="W1230" s="466">
        <f>PV_DATA[[#This Row],[QUANTITY]]/PV_DATA[[#This Row],[Qty/Pallet]]</f>
        <v>8</v>
      </c>
      <c r="X1230" s="1044">
        <f>PV_DATA[[#This Row],[QUANTITY]]/PV_DATA[[#This Row],[Qty/CT]]</f>
        <v>0.30769230769230771</v>
      </c>
      <c r="Y1230" s="431" t="s">
        <v>7027</v>
      </c>
      <c r="Z1230" s="430" t="str">
        <f t="shared" si="29"/>
        <v/>
      </c>
      <c r="AA1230" s="431"/>
      <c r="AB1230" s="441"/>
      <c r="AC1230" s="467" t="str">
        <f>IF(PV_DATA[[#This Row],[Pick- Up Date]]&lt;&gt;"",_xlfn.ISOWEEKNUM(PV_DATA[[#This Row],[Pick- Up Date]]),"")</f>
        <v/>
      </c>
      <c r="AD1230" s="431"/>
      <c r="AE1230" s="431"/>
      <c r="AF1230" s="431" t="s">
        <v>122</v>
      </c>
      <c r="AG1230" s="431" t="s">
        <v>123</v>
      </c>
      <c r="AH1230" s="431" t="s">
        <v>68</v>
      </c>
      <c r="AI1230" s="441"/>
      <c r="AJ1230" s="441"/>
      <c r="AK1230" s="437" t="str">
        <f>IFERROR(IF(VLOOKUP(AT1230,Vessel!A:F,5,FALSE)=0,"",VLOOKUP(AT1230,Vessel!A:F,5,FALSE)),"")</f>
        <v/>
      </c>
      <c r="AL1230" s="441"/>
      <c r="AM1230" s="441"/>
      <c r="AN1230" s="586" t="str">
        <f>IFERROR(IF(VLOOKUP(AT1230,Vessel!A:I,9,FALSE)=0,"",VLOOKUP(AT1230,Vessel!A:I,9,FALSE)),"")</f>
        <v/>
      </c>
      <c r="AO1230" s="431"/>
      <c r="AP1230" s="431"/>
      <c r="AQ1230" s="445"/>
      <c r="AR1230" s="431"/>
      <c r="AS1230" s="431"/>
      <c r="AU12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0" s="431"/>
      <c r="AW1230" s="441" t="str" cm="1">
        <f t="array" ref="AW1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0" s="441">
        <f>IF(ISERROR(PV_DATA[[#This Row],[New Ark PO status]]),"",_xlfn.XLOOKUP(PV_DATA[[#This Row],[SPTN-PVHK New Ark PO'#]],New_Ark_Data[Purchase order Number],New_Ark_Data[Estimated time of arrival],"",0))</f>
        <v>0</v>
      </c>
      <c r="AZ123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0" s="441" t="str">
        <f>IFERROR(PV_DATA[[#This Row],[ODP ETA Port]]+PV_DATA[[#This Row],[Customs/Leg3 Assumption]],"n/a")</f>
        <v>n/a</v>
      </c>
      <c r="BB1230" s="442" t="e">
        <f>YEAR(PV_DATA[[#This Row],[ETA for New Ark update]])</f>
        <v>#VALUE!</v>
      </c>
      <c r="BC1230" s="431" t="e">
        <f>MONTH(PV_DATA[[#This Row],[ETA for New Ark update]])</f>
        <v>#VALUE!</v>
      </c>
      <c r="BD1230" s="431">
        <f>IFERROR(_xlfn.ISOWEEKNUM(PV_DATA[[#This Row],[ETA for New Ark update]]),0)</f>
        <v>0</v>
      </c>
      <c r="BE1230" s="431">
        <f>_xlfn.XLOOKUP(PV_DATA[[#This Row],[New Ark SKU]],Table9[New Ark SKU],Table9[Total PCS per Pallet],,0)</f>
        <v>36</v>
      </c>
      <c r="BF1230" s="431">
        <f>_xlfn.XLOOKUP(PV_DATA[[#This Row],[New Ark SKU]],Table9[New Ark SKU],Table9[Total PCS per 40HQ Container],,0)</f>
        <v>936</v>
      </c>
      <c r="BG1230" s="431" t="str">
        <f>_xlfn.XLOOKUP(PV_DATA[[#This Row],[New Ark SKU]],Table9[New Ark SKU],Table9[Back Glass],,0)</f>
        <v>Black glazing</v>
      </c>
      <c r="BH1230" s="431" t="str">
        <f>_xlfn.XLOOKUP(PV_DATA[[#This Row],[PORT DESTINATION]],Table12[PORT DESTINATION],Table12[Cosco Line],,0)</f>
        <v>n/a</v>
      </c>
      <c r="BJ1230" s="430"/>
    </row>
    <row r="1231" spans="1:62" ht="10.5">
      <c r="A1231" s="462" t="s">
        <v>7301</v>
      </c>
      <c r="B1231" s="462" t="s">
        <v>111</v>
      </c>
      <c r="C1231" s="439" t="str">
        <f>IFERROR(LEFT(PV_DATA[[#This Row],[TCL REFERENCE]],FIND(".",PV_DATA[[#This Row],[TCL REFERENCE]],1)-1),"Main Line")</f>
        <v>Main Line</v>
      </c>
      <c r="D1231" s="462" t="s">
        <v>63</v>
      </c>
      <c r="E1231" s="439" t="s">
        <v>68</v>
      </c>
      <c r="F1231" s="439" t="str" cm="1">
        <f t="array" ref="F12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1" s="726" t="s">
        <v>68</v>
      </c>
      <c r="H1231" s="726" t="s">
        <v>68</v>
      </c>
      <c r="I1231" s="431" t="s">
        <v>68</v>
      </c>
      <c r="J1231" s="619" t="s">
        <v>68</v>
      </c>
      <c r="K1231" s="619"/>
      <c r="L1231" s="619"/>
      <c r="M1231" s="619" t="s">
        <v>68</v>
      </c>
      <c r="N1231" s="461">
        <v>46251</v>
      </c>
      <c r="O1231" s="430" t="s">
        <v>5379</v>
      </c>
      <c r="P1231" s="430" t="s">
        <v>5380</v>
      </c>
      <c r="Q1231" s="430" t="s">
        <v>5381</v>
      </c>
      <c r="R1231" s="430" t="str">
        <f>_xlfn.XLOOKUP(PV_DATA[[#This Row],[New Ark SKU]],Table9[New Ark SKU],Table9[Connector],,0)</f>
        <v>EVO2A</v>
      </c>
      <c r="S1231" s="433" t="str">
        <f>_xlfn.XLOOKUP(PV_DATA[[#This Row],[New Ark SKU]],Table9[New Ark SKU],Table9[Cable],,0)</f>
        <v>±1200mm</v>
      </c>
      <c r="T1231" s="433">
        <v>470</v>
      </c>
      <c r="U1231" s="1088" cm="1">
        <f t="array" ref="U1231">4320-fx_qty</f>
        <v>576</v>
      </c>
      <c r="V1231" s="434">
        <f>PV_DATA[[#This Row],[QUANTITY]]*PV_DATA[[#This Row],[WATT]]/1000000</f>
        <v>0.27072000000000002</v>
      </c>
      <c r="W1231" s="435">
        <f>PV_DATA[[#This Row],[QUANTITY]]/PV_DATA[[#This Row],[Qty/Pallet]]</f>
        <v>16</v>
      </c>
      <c r="X1231" s="1040">
        <f>PV_DATA[[#This Row],[QUANTITY]]/PV_DATA[[#This Row],[Qty/CT]]</f>
        <v>0.61538461538461542</v>
      </c>
      <c r="Y1231" s="430" t="s">
        <v>7027</v>
      </c>
      <c r="Z1231" s="430" t="str">
        <f t="shared" si="29"/>
        <v/>
      </c>
      <c r="AA1231" s="430"/>
      <c r="AB1231" s="437"/>
      <c r="AC1231" s="485" t="str">
        <f>IF(PV_DATA[[#This Row],[Pick- Up Date]]&lt;&gt;"",_xlfn.ISOWEEKNUM(PV_DATA[[#This Row],[Pick- Up Date]]),"")</f>
        <v/>
      </c>
      <c r="AE1231" s="430"/>
      <c r="AF1231" s="430" t="s">
        <v>122</v>
      </c>
      <c r="AG1231" s="430" t="s">
        <v>123</v>
      </c>
      <c r="AH1231" s="431" t="s">
        <v>68</v>
      </c>
      <c r="AI1231" s="437"/>
      <c r="AK1231" s="437" t="str">
        <f>IFERROR(IF(VLOOKUP(AT1231,Vessel!A:F,5,FALSE)=0,"",VLOOKUP(AT1231,Vessel!A:F,5,FALSE)),"")</f>
        <v/>
      </c>
      <c r="AN1231" s="586" t="str">
        <f>IFERROR(IF(VLOOKUP(AT1231,Vessel!A:I,9,FALSE)=0,"",VLOOKUP(AT1231,Vessel!A:I,9,FALSE)),"")</f>
        <v/>
      </c>
      <c r="AR1231" s="430"/>
      <c r="AS1231" s="430"/>
      <c r="AT1231" s="431"/>
      <c r="AU12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31" s="437" t="str" cm="1">
        <f t="array" ref="AW1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1" s="437">
        <f>IF(ISERROR(PV_DATA[[#This Row],[New Ark PO status]]),"",_xlfn.XLOOKUP(PV_DATA[[#This Row],[SPTN-PVHK New Ark PO'#]],New_Ark_Data[Purchase order Number],New_Ark_Data[Estimated time of arrival],"",0))</f>
        <v>0</v>
      </c>
      <c r="AZ1231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1" s="437" t="str">
        <f>IFERROR(PV_DATA[[#This Row],[ODP ETA Port]]+PV_DATA[[#This Row],[Customs/Leg3 Assumption]],"n/a")</f>
        <v>n/a</v>
      </c>
      <c r="BB1231" s="433" t="e">
        <f>YEAR(PV_DATA[[#This Row],[ETA for New Ark update]])</f>
        <v>#VALUE!</v>
      </c>
      <c r="BC1231" s="430" t="e">
        <f>MONTH(PV_DATA[[#This Row],[ETA for New Ark update]])</f>
        <v>#VALUE!</v>
      </c>
      <c r="BD1231" s="430">
        <f>IFERROR(_xlfn.ISOWEEKNUM(PV_DATA[[#This Row],[ETA for New Ark update]]),0)</f>
        <v>0</v>
      </c>
      <c r="BE1231" s="431">
        <f>_xlfn.XLOOKUP(PV_DATA[[#This Row],[New Ark SKU]],Table9[New Ark SKU],Table9[Total PCS per Pallet],,0)</f>
        <v>36</v>
      </c>
      <c r="BF1231" s="431">
        <f>_xlfn.XLOOKUP(PV_DATA[[#This Row],[New Ark SKU]],Table9[New Ark SKU],Table9[Total PCS per 40HQ Container],,0)</f>
        <v>936</v>
      </c>
      <c r="BG1231" s="431" t="str">
        <f>_xlfn.XLOOKUP(PV_DATA[[#This Row],[New Ark SKU]],Table9[New Ark SKU],Table9[Back Glass],,0)</f>
        <v>Black glazing</v>
      </c>
      <c r="BH1231" s="430" t="str">
        <f>_xlfn.XLOOKUP(PV_DATA[[#This Row],[PORT DESTINATION]],Table12[PORT DESTINATION],Table12[Cosco Line],,0)</f>
        <v>n/a</v>
      </c>
      <c r="BJ1231" s="430"/>
    </row>
    <row r="1232" spans="1:62" ht="10.5">
      <c r="A1232" s="462" t="s">
        <v>7302</v>
      </c>
      <c r="B1232" s="462" t="s">
        <v>111</v>
      </c>
      <c r="C1232" s="439" t="str">
        <f>IFERROR(LEFT(PV_DATA[[#This Row],[TCL REFERENCE]],FIND(".",PV_DATA[[#This Row],[TCL REFERENCE]],1)-1),"Main Line")</f>
        <v>Main Line</v>
      </c>
      <c r="D1232" s="462" t="s">
        <v>63</v>
      </c>
      <c r="E1232" s="439" t="s">
        <v>68</v>
      </c>
      <c r="F1232" s="439" t="str" cm="1">
        <f t="array" ref="F12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2" s="726" t="s">
        <v>68</v>
      </c>
      <c r="H1232" s="726" t="s">
        <v>68</v>
      </c>
      <c r="I1232" s="431" t="s">
        <v>68</v>
      </c>
      <c r="J1232" s="619" t="s">
        <v>68</v>
      </c>
      <c r="K1232" s="619"/>
      <c r="L1232" s="619"/>
      <c r="M1232" s="619" t="s">
        <v>68</v>
      </c>
      <c r="N1232" s="461">
        <v>46251</v>
      </c>
      <c r="O1232" s="430" t="s">
        <v>5379</v>
      </c>
      <c r="P1232" s="430" t="s">
        <v>6772</v>
      </c>
      <c r="Q1232" s="430" t="s">
        <v>6773</v>
      </c>
      <c r="R1232" s="430" t="str">
        <f>_xlfn.XLOOKUP(PV_DATA[[#This Row],[New Ark SKU]],Table9[New Ark SKU],Table9[Connector],,0)</f>
        <v>EVO2A</v>
      </c>
      <c r="S1232" s="433" t="str">
        <f>_xlfn.XLOOKUP(PV_DATA[[#This Row],[New Ark SKU]],Table9[New Ark SKU],Table9[Cable],,0)</f>
        <v>±1200mm</v>
      </c>
      <c r="T1232" s="433">
        <v>480</v>
      </c>
      <c r="U1232" s="1088" cm="1">
        <f t="array" ref="U1232">5688-fx_qty</f>
        <v>72</v>
      </c>
      <c r="V1232" s="434">
        <f>PV_DATA[[#This Row],[QUANTITY]]*PV_DATA[[#This Row],[WATT]]/1000000</f>
        <v>3.456E-2</v>
      </c>
      <c r="W1232" s="435">
        <f>PV_DATA[[#This Row],[QUANTITY]]/PV_DATA[[#This Row],[Qty/Pallet]]</f>
        <v>2</v>
      </c>
      <c r="X1232" s="1040">
        <f>PV_DATA[[#This Row],[QUANTITY]]/PV_DATA[[#This Row],[Qty/CT]]</f>
        <v>7.6923076923076927E-2</v>
      </c>
      <c r="Y1232" s="430" t="s">
        <v>7027</v>
      </c>
      <c r="Z1232" s="430" t="str">
        <f t="shared" si="29"/>
        <v/>
      </c>
      <c r="AA1232" s="430"/>
      <c r="AB1232" s="437"/>
      <c r="AC1232" s="485" t="str">
        <f>IF(PV_DATA[[#This Row],[Pick- Up Date]]&lt;&gt;"",_xlfn.ISOWEEKNUM(PV_DATA[[#This Row],[Pick- Up Date]]),"")</f>
        <v/>
      </c>
      <c r="AE1232" s="430"/>
      <c r="AF1232" s="430" t="s">
        <v>122</v>
      </c>
      <c r="AG1232" s="430" t="s">
        <v>123</v>
      </c>
      <c r="AH1232" s="431" t="s">
        <v>68</v>
      </c>
      <c r="AI1232" s="437"/>
      <c r="AK1232" s="437" t="str">
        <f>IFERROR(IF(VLOOKUP(AT1232,Vessel!A:F,5,FALSE)=0,"",VLOOKUP(AT1232,Vessel!A:F,5,FALSE)),"")</f>
        <v/>
      </c>
      <c r="AN1232" s="586" t="str">
        <f>IFERROR(IF(VLOOKUP(AT1232,Vessel!A:I,9,FALSE)=0,"",VLOOKUP(AT1232,Vessel!A:I,9,FALSE)),"")</f>
        <v/>
      </c>
      <c r="AQ1232" s="617"/>
      <c r="AR1232" s="430"/>
      <c r="AS1232" s="430"/>
      <c r="AT1232" s="431"/>
      <c r="AU12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32" s="437" t="str" cm="1">
        <f t="array" ref="AW1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2" s="437">
        <f>IF(ISERROR(PV_DATA[[#This Row],[New Ark PO status]]),"",_xlfn.XLOOKUP(PV_DATA[[#This Row],[SPTN-PVHK New Ark PO'#]],New_Ark_Data[Purchase order Number],New_Ark_Data[Estimated time of arrival],"",0))</f>
        <v>0</v>
      </c>
      <c r="AZ1232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2" s="437" t="str">
        <f>IFERROR(PV_DATA[[#This Row],[ODP ETA Port]]+PV_DATA[[#This Row],[Customs/Leg3 Assumption]],"n/a")</f>
        <v>n/a</v>
      </c>
      <c r="BB1232" s="433" t="e">
        <f>YEAR(PV_DATA[[#This Row],[ETA for New Ark update]])</f>
        <v>#VALUE!</v>
      </c>
      <c r="BC1232" s="430" t="e">
        <f>MONTH(PV_DATA[[#This Row],[ETA for New Ark update]])</f>
        <v>#VALUE!</v>
      </c>
      <c r="BD1232" s="430">
        <f>IFERROR(_xlfn.ISOWEEKNUM(PV_DATA[[#This Row],[ETA for New Ark update]]),0)</f>
        <v>0</v>
      </c>
      <c r="BE1232" s="431">
        <f>_xlfn.XLOOKUP(PV_DATA[[#This Row],[New Ark SKU]],Table9[New Ark SKU],Table9[Total PCS per Pallet],,0)</f>
        <v>36</v>
      </c>
      <c r="BF1232" s="431">
        <f>_xlfn.XLOOKUP(PV_DATA[[#This Row],[New Ark SKU]],Table9[New Ark SKU],Table9[Total PCS per 40HQ Container],,0)</f>
        <v>936</v>
      </c>
      <c r="BG1232" s="431" t="str">
        <f>_xlfn.XLOOKUP(PV_DATA[[#This Row],[New Ark SKU]],Table9[New Ark SKU],Table9[Back Glass],,0)</f>
        <v>Black glazing</v>
      </c>
      <c r="BH1232" s="430" t="str">
        <f>_xlfn.XLOOKUP(PV_DATA[[#This Row],[PORT DESTINATION]],Table12[PORT DESTINATION],Table12[Cosco Line],,0)</f>
        <v>n/a</v>
      </c>
      <c r="BJ1232" s="430"/>
    </row>
    <row r="1233" spans="1:62" ht="10.5">
      <c r="A1233" s="439" t="s">
        <v>7303</v>
      </c>
      <c r="B1233" s="439" t="s">
        <v>61</v>
      </c>
      <c r="C1233" s="439" t="str">
        <f>IFERROR(LEFT(PV_DATA[[#This Row],[TCL REFERENCE]],FIND(".",PV_DATA[[#This Row],[TCL REFERENCE]],1)-1),"Main Line")</f>
        <v>Main Line</v>
      </c>
      <c r="D1233" s="439" t="s">
        <v>63</v>
      </c>
      <c r="E1233" s="439" t="s">
        <v>68</v>
      </c>
      <c r="F1233" s="439" t="str" cm="1">
        <f t="array" ref="F12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3" s="726" t="s">
        <v>68</v>
      </c>
      <c r="H1233" s="726" t="s">
        <v>68</v>
      </c>
      <c r="I1233" s="431" t="s">
        <v>68</v>
      </c>
      <c r="J1233" s="619" t="s">
        <v>68</v>
      </c>
      <c r="K1233" s="619"/>
      <c r="L1233" s="619"/>
      <c r="M1233" s="619" t="s">
        <v>68</v>
      </c>
      <c r="N1233" s="461">
        <v>46209</v>
      </c>
      <c r="O1233" s="431" t="s">
        <v>284</v>
      </c>
      <c r="P1233" s="430" t="s">
        <v>5583</v>
      </c>
      <c r="Q1233" s="431" t="s">
        <v>1570</v>
      </c>
      <c r="R1233" s="430" t="str">
        <f>_xlfn.XLOOKUP(PV_DATA[[#This Row],[New Ark SKU]],Table9[New Ark SKU],Table9[Connector],,0)</f>
        <v>H4(Com)</v>
      </c>
      <c r="S1233" s="433" t="str">
        <f>_xlfn.XLOOKUP(PV_DATA[[#This Row],[New Ark SKU]],Table9[New Ark SKU],Table9[Cable],,0)</f>
        <v>±1400mm</v>
      </c>
      <c r="T1233" s="442">
        <v>650</v>
      </c>
      <c r="U1233" s="1093" cm="1">
        <f t="array" ref="U1233">28080-fx_qty</f>
        <v>0</v>
      </c>
      <c r="V1233" s="448">
        <f>PV_DATA[[#This Row],[QUANTITY]]*PV_DATA[[#This Row],[WATT]]/1000000</f>
        <v>0</v>
      </c>
      <c r="W1233" s="466">
        <f>PV_DATA[[#This Row],[QUANTITY]]/PV_DATA[[#This Row],[Qty/Pallet]]</f>
        <v>0</v>
      </c>
      <c r="X1233" s="1044">
        <f>PV_DATA[[#This Row],[QUANTITY]]/PV_DATA[[#This Row],[Qty/CT]]</f>
        <v>0</v>
      </c>
      <c r="Y1233" s="431" t="s">
        <v>7027</v>
      </c>
      <c r="Z1233" s="430" t="str">
        <f t="shared" si="29"/>
        <v/>
      </c>
      <c r="AA1233" s="431"/>
      <c r="AB1233" s="441"/>
      <c r="AC1233" s="467" t="str">
        <f>IF(PV_DATA[[#This Row],[Pick- Up Date]]&lt;&gt;"",_xlfn.ISOWEEKNUM(PV_DATA[[#This Row],[Pick- Up Date]]),"")</f>
        <v/>
      </c>
      <c r="AD1233" s="484"/>
      <c r="AE1233" s="431"/>
      <c r="AF1233" s="431" t="s">
        <v>61</v>
      </c>
      <c r="AG1233" s="431" t="s">
        <v>61</v>
      </c>
      <c r="AH1233" s="431" t="s">
        <v>68</v>
      </c>
      <c r="AI1233" s="441"/>
      <c r="AJ1233" s="441"/>
      <c r="AK1233" s="437" t="str">
        <f>IFERROR(IF(VLOOKUP(AT1233,Vessel!A:F,5,FALSE)=0,"",VLOOKUP(AT1233,Vessel!A:F,5,FALSE)),"")</f>
        <v/>
      </c>
      <c r="AL1233" s="441"/>
      <c r="AM1233" s="441"/>
      <c r="AN1233" s="586" t="str">
        <f>IFERROR(IF(VLOOKUP(AT1233,Vessel!A:I,9,FALSE)=0,"",VLOOKUP(AT1233,Vessel!A:I,9,FALSE)),"")</f>
        <v/>
      </c>
      <c r="AO1233" s="431"/>
      <c r="AP1233" s="431"/>
      <c r="AQ1233" s="445"/>
      <c r="AR1233" s="431"/>
      <c r="AS1233" s="431"/>
      <c r="AT1233" s="431"/>
      <c r="AU12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3" s="431"/>
      <c r="AW1233" s="441" t="str" cm="1">
        <f t="array" ref="AW1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3" s="441">
        <f>IF(ISERROR(PV_DATA[[#This Row],[New Ark PO status]]),"",_xlfn.XLOOKUP(PV_DATA[[#This Row],[SPTN-PVHK New Ark PO'#]],New_Ark_Data[Purchase order Number],New_Ark_Data[Estimated time of arrival],"",0))</f>
        <v>0</v>
      </c>
      <c r="AZ123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3" s="441" t="str">
        <f>IFERROR(PV_DATA[[#This Row],[ODP ETA Port]]+PV_DATA[[#This Row],[Customs/Leg3 Assumption]],"n/a")</f>
        <v>n/a</v>
      </c>
      <c r="BB1233" s="442" t="e">
        <f>YEAR(PV_DATA[[#This Row],[ETA for New Ark update]])</f>
        <v>#VALUE!</v>
      </c>
      <c r="BC1233" s="431" t="e">
        <f>MONTH(PV_DATA[[#This Row],[ETA for New Ark update]])</f>
        <v>#VALUE!</v>
      </c>
      <c r="BD1233" s="431">
        <f>IFERROR(_xlfn.ISOWEEKNUM(PV_DATA[[#This Row],[ETA for New Ark update]]),0)</f>
        <v>0</v>
      </c>
      <c r="BE1233" s="431">
        <f>_xlfn.XLOOKUP(PV_DATA[[#This Row],[New Ark SKU]],Table9[New Ark SKU],Table9[Total PCS per Pallet],,0)</f>
        <v>36</v>
      </c>
      <c r="BF1233" s="431">
        <f>_xlfn.XLOOKUP(PV_DATA[[#This Row],[New Ark SKU]],Table9[New Ark SKU],Table9[Total PCS per 40HQ Container],,0)</f>
        <v>720</v>
      </c>
      <c r="BG1233" s="431" t="str">
        <f>_xlfn.XLOOKUP(PV_DATA[[#This Row],[New Ark SKU]],Table9[New Ark SKU],Table9[Back Glass],,0)</f>
        <v>White glazing</v>
      </c>
      <c r="BH1233" s="431" t="str">
        <f>_xlfn.XLOOKUP(PV_DATA[[#This Row],[PORT DESTINATION]],Table12[PORT DESTINATION],Table12[Cosco Line],,0)</f>
        <v>n/a</v>
      </c>
      <c r="BJ1233" s="430"/>
    </row>
    <row r="1234" spans="1:62" s="431" customFormat="1" ht="10.5">
      <c r="A1234" s="439" t="s">
        <v>7304</v>
      </c>
      <c r="B1234" s="439" t="s">
        <v>61</v>
      </c>
      <c r="C1234" s="439" t="str">
        <f>IFERROR(LEFT(PV_DATA[[#This Row],[TCL REFERENCE]],FIND(".",PV_DATA[[#This Row],[TCL REFERENCE]],1)-1),"Main Line")</f>
        <v>Main Line</v>
      </c>
      <c r="D1234" s="439" t="s">
        <v>63</v>
      </c>
      <c r="E1234" s="439" t="s">
        <v>68</v>
      </c>
      <c r="F1234" s="439" t="str" cm="1">
        <f t="array" ref="F123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4" s="726" t="s">
        <v>68</v>
      </c>
      <c r="H1234" s="726" t="s">
        <v>68</v>
      </c>
      <c r="I1234" s="431" t="s">
        <v>68</v>
      </c>
      <c r="J1234" s="619" t="s">
        <v>68</v>
      </c>
      <c r="K1234" s="619"/>
      <c r="L1234" s="619"/>
      <c r="M1234" s="619" t="s">
        <v>68</v>
      </c>
      <c r="N1234" s="461">
        <v>46209</v>
      </c>
      <c r="O1234" s="431" t="s">
        <v>284</v>
      </c>
      <c r="P1234" s="439" t="s">
        <v>5496</v>
      </c>
      <c r="Q1234" s="431" t="s">
        <v>5346</v>
      </c>
      <c r="R1234" s="430" t="str">
        <f>_xlfn.XLOOKUP(PV_DATA[[#This Row],[New Ark SKU]],Table9[New Ark SKU],Table9[Connector],,0)</f>
        <v>H4(Com)</v>
      </c>
      <c r="S1234" s="433" t="str">
        <f>_xlfn.XLOOKUP(PV_DATA[[#This Row],[New Ark SKU]],Table9[New Ark SKU],Table9[Cable],,0)</f>
        <v>±1400mm</v>
      </c>
      <c r="T1234" s="442">
        <v>655</v>
      </c>
      <c r="U1234" s="1093" cm="1">
        <f t="array" ref="U1234">2880-fx_qty</f>
        <v>0</v>
      </c>
      <c r="V1234" s="448">
        <f>PV_DATA[[#This Row],[QUANTITY]]*PV_DATA[[#This Row],[WATT]]/1000000</f>
        <v>0</v>
      </c>
      <c r="W1234" s="466">
        <f>PV_DATA[[#This Row],[QUANTITY]]/PV_DATA[[#This Row],[Qty/Pallet]]</f>
        <v>0</v>
      </c>
      <c r="X1234" s="1044">
        <f>PV_DATA[[#This Row],[QUANTITY]]/PV_DATA[[#This Row],[Qty/CT]]</f>
        <v>0</v>
      </c>
      <c r="Y1234" s="431" t="s">
        <v>7027</v>
      </c>
      <c r="Z1234" s="431" t="str">
        <f t="shared" si="29"/>
        <v/>
      </c>
      <c r="AB1234" s="441"/>
      <c r="AC1234" s="467" t="str">
        <f>IF(PV_DATA[[#This Row],[Pick- Up Date]]&lt;&gt;"",_xlfn.ISOWEEKNUM(PV_DATA[[#This Row],[Pick- Up Date]]),"")</f>
        <v/>
      </c>
      <c r="AF1234" s="431" t="s">
        <v>61</v>
      </c>
      <c r="AG1234" s="431" t="s">
        <v>61</v>
      </c>
      <c r="AH1234" s="431" t="s">
        <v>68</v>
      </c>
      <c r="AI1234" s="441"/>
      <c r="AJ1234" s="441"/>
      <c r="AK1234" s="437" t="str">
        <f>IFERROR(IF(VLOOKUP(AT1234,Vessel!A:F,5,FALSE)=0,"",VLOOKUP(AT1234,Vessel!A:F,5,FALSE)),"")</f>
        <v/>
      </c>
      <c r="AL1234" s="441"/>
      <c r="AM1234" s="441"/>
      <c r="AN1234" s="586" t="str">
        <f>IFERROR(IF(VLOOKUP(AT1234,Vessel!A:I,9,FALSE)=0,"",VLOOKUP(AT1234,Vessel!A:I,9,FALSE)),"")</f>
        <v/>
      </c>
      <c r="AQ1234" s="445"/>
      <c r="AU12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34" s="441" t="str" cm="1">
        <f t="array" ref="AW1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4" s="441">
        <f>IF(ISERROR(PV_DATA[[#This Row],[New Ark PO status]]),"",_xlfn.XLOOKUP(PV_DATA[[#This Row],[SPTN-PVHK New Ark PO'#]],New_Ark_Data[Purchase order Number],New_Ark_Data[Estimated time of arrival],"",0))</f>
        <v>0</v>
      </c>
      <c r="AZ123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4" s="441" t="str">
        <f>IFERROR(PV_DATA[[#This Row],[ODP ETA Port]]+PV_DATA[[#This Row],[Customs/Leg3 Assumption]],"n/a")</f>
        <v>n/a</v>
      </c>
      <c r="BB1234" s="442" t="e">
        <f>YEAR(PV_DATA[[#This Row],[ETA for New Ark update]])</f>
        <v>#VALUE!</v>
      </c>
      <c r="BC1234" s="431" t="e">
        <f>MONTH(PV_DATA[[#This Row],[ETA for New Ark update]])</f>
        <v>#VALUE!</v>
      </c>
      <c r="BD1234" s="431">
        <f>IFERROR(_xlfn.ISOWEEKNUM(PV_DATA[[#This Row],[ETA for New Ark update]]),0)</f>
        <v>0</v>
      </c>
      <c r="BE1234" s="431">
        <f>_xlfn.XLOOKUP(PV_DATA[[#This Row],[New Ark SKU]],Table9[New Ark SKU],Table9[Total PCS per Pallet],,0)</f>
        <v>36</v>
      </c>
      <c r="BF1234" s="431">
        <f>_xlfn.XLOOKUP(PV_DATA[[#This Row],[New Ark SKU]],Table9[New Ark SKU],Table9[Total PCS per 40HQ Container],,0)</f>
        <v>720</v>
      </c>
      <c r="BG1234" s="431" t="str">
        <f>_xlfn.XLOOKUP(PV_DATA[[#This Row],[New Ark SKU]],Table9[New Ark SKU],Table9[Back Glass],,0)</f>
        <v>White glazing</v>
      </c>
      <c r="BH1234" s="431" t="str">
        <f>_xlfn.XLOOKUP(PV_DATA[[#This Row],[PORT DESTINATION]],Table12[PORT DESTINATION],Table12[Cosco Line],,0)</f>
        <v>n/a</v>
      </c>
    </row>
    <row r="1235" spans="1:62" ht="10.5">
      <c r="A1235" s="439" t="s">
        <v>7305</v>
      </c>
      <c r="B1235" s="439" t="s">
        <v>111</v>
      </c>
      <c r="C1235" s="726" t="str">
        <f>IFERROR(LEFT(PV_DATA[[#This Row],[TCL REFERENCE]],FIND(".",PV_DATA[[#This Row],[TCL REFERENCE]],1)-1),"Main Line")</f>
        <v>Main Line</v>
      </c>
      <c r="D1235" s="439" t="s">
        <v>63</v>
      </c>
      <c r="E1235" s="439" t="s">
        <v>68</v>
      </c>
      <c r="F1235" s="439" t="str" cm="1">
        <f t="array" ref="F123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5" s="726" t="s">
        <v>68</v>
      </c>
      <c r="H1235" s="726" t="s">
        <v>68</v>
      </c>
      <c r="I1235" s="431" t="s">
        <v>68</v>
      </c>
      <c r="J1235" s="619" t="s">
        <v>68</v>
      </c>
      <c r="K1235" s="619"/>
      <c r="L1235" s="619"/>
      <c r="M1235" s="619" t="s">
        <v>68</v>
      </c>
      <c r="N1235" s="461">
        <v>46234</v>
      </c>
      <c r="O1235" s="431" t="s">
        <v>5379</v>
      </c>
      <c r="P1235" s="430" t="s">
        <v>6281</v>
      </c>
      <c r="Q1235" s="431" t="s">
        <v>6282</v>
      </c>
      <c r="R1235" s="430" t="str">
        <f>_xlfn.XLOOKUP(PV_DATA[[#This Row],[New Ark SKU]],Table9[New Ark SKU],Table9[Connector],,0)</f>
        <v>EVO2A</v>
      </c>
      <c r="S1235" s="433" t="str">
        <f>_xlfn.XLOOKUP(PV_DATA[[#This Row],[New Ark SKU]],Table9[New Ark SKU],Table9[Cable],,0)</f>
        <v>±1200mm</v>
      </c>
      <c r="T1235" s="442">
        <v>480</v>
      </c>
      <c r="U1235" s="1096" cm="1">
        <f t="array" ref="U1235">7488-fx_qty</f>
        <v>0</v>
      </c>
      <c r="V1235" s="736">
        <f>PV_DATA[[#This Row],[QUANTITY]]*PV_DATA[[#This Row],[WATT]]/1000000</f>
        <v>0</v>
      </c>
      <c r="W1235" s="737">
        <f>PV_DATA[[#This Row],[QUANTITY]]/36</f>
        <v>0</v>
      </c>
      <c r="X1235" s="1086">
        <f>PV_DATA[[#This Row],[QUANTITY]]/PV_DATA[[#This Row],[Qty/CT]]</f>
        <v>0</v>
      </c>
      <c r="Y1235" s="447" t="s">
        <v>7027</v>
      </c>
      <c r="Z1235" s="619" t="str">
        <f t="shared" si="29"/>
        <v/>
      </c>
      <c r="AA1235" s="619"/>
      <c r="AB1235" s="626"/>
      <c r="AC1235" s="627" t="str">
        <f>IF(PV_DATA[[#This Row],[Pick- Up Date]]&lt;&gt;"",_xlfn.ISOWEEKNUM(PV_DATA[[#This Row],[Pick- Up Date]]),"")</f>
        <v/>
      </c>
      <c r="AD1235" s="619"/>
      <c r="AE1235" s="619"/>
      <c r="AF1235" s="431" t="s">
        <v>122</v>
      </c>
      <c r="AG1235" s="431" t="s">
        <v>123</v>
      </c>
      <c r="AH1235" s="431" t="s">
        <v>68</v>
      </c>
      <c r="AI1235" s="626"/>
      <c r="AJ1235" s="626"/>
      <c r="AK1235" s="437" t="str">
        <f>IFERROR(IF(VLOOKUP(AT1235,Vessel!A:F,5,FALSE)=0,"",VLOOKUP(AT1235,Vessel!A:F,5,FALSE)),"")</f>
        <v/>
      </c>
      <c r="AL1235" s="626"/>
      <c r="AM1235" s="626"/>
      <c r="AN1235" s="586" t="str">
        <f>IFERROR(IF(VLOOKUP(AT1235,Vessel!A:I,9,FALSE)=0,"",VLOOKUP(AT1235,Vessel!A:I,9,FALSE)),"")</f>
        <v/>
      </c>
      <c r="AO1235" s="619"/>
      <c r="AP1235" s="619"/>
      <c r="AQ1235" s="628"/>
      <c r="AR1235" s="619"/>
      <c r="AS1235" s="619"/>
      <c r="AT1235" s="619"/>
      <c r="AU12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5" s="619"/>
      <c r="AW1235" s="626" t="str" cm="1">
        <f t="array" ref="AW1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5" s="626">
        <f>IF(ISERROR(PV_DATA[[#This Row],[New Ark PO status]]),"",_xlfn.XLOOKUP(PV_DATA[[#This Row],[SPTN-PVHK New Ark PO'#]],New_Ark_Data[Purchase order Number],New_Ark_Data[Estimated time of arrival],"",0))</f>
        <v>0</v>
      </c>
      <c r="AZ1235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5" s="626" t="str">
        <f>IFERROR(PV_DATA[[#This Row],[ODP ETA Port]]+PV_DATA[[#This Row],[Customs/Leg3 Assumption]],"n/a")</f>
        <v>n/a</v>
      </c>
      <c r="BB1235" s="620" t="e">
        <f>YEAR(PV_DATA[[#This Row],[ETA for New Ark update]])</f>
        <v>#VALUE!</v>
      </c>
      <c r="BC1235" s="619" t="e">
        <f>MONTH(PV_DATA[[#This Row],[ETA for New Ark update]])</f>
        <v>#VALUE!</v>
      </c>
      <c r="BD1235" s="619">
        <f>IFERROR(_xlfn.ISOWEEKNUM(PV_DATA[[#This Row],[ETA for New Ark update]]),0)</f>
        <v>0</v>
      </c>
      <c r="BE1235" s="431">
        <f>_xlfn.XLOOKUP(PV_DATA[[#This Row],[New Ark SKU]],Table9[New Ark SKU],Table9[Total PCS per Pallet],,0)</f>
        <v>36</v>
      </c>
      <c r="BF1235" s="431">
        <f>_xlfn.XLOOKUP(PV_DATA[[#This Row],[New Ark SKU]],Table9[New Ark SKU],Table9[Total PCS per 40HQ Container],,0)</f>
        <v>936</v>
      </c>
      <c r="BG1235" s="431" t="str">
        <f>_xlfn.XLOOKUP(PV_DATA[[#This Row],[New Ark SKU]],Table9[New Ark SKU],Table9[Back Glass],,0)</f>
        <v>White glazing</v>
      </c>
      <c r="BH1235" s="629" t="str">
        <f>_xlfn.XLOOKUP(PV_DATA[[#This Row],[PORT DESTINATION]],Table12[PORT DESTINATION],Table12[Cosco Line],,0)</f>
        <v>n/a</v>
      </c>
      <c r="BJ1235" s="430"/>
    </row>
    <row r="1236" spans="1:62" ht="10.5">
      <c r="A1236" s="727" t="s">
        <v>7306</v>
      </c>
      <c r="B1236" s="726" t="s">
        <v>1757</v>
      </c>
      <c r="C1236" s="726" t="str">
        <f>IFERROR(LEFT(PV_DATA[[#This Row],[TCL REFERENCE]],FIND(".",PV_DATA[[#This Row],[TCL REFERENCE]],1)-1),"Main Line")</f>
        <v>Main Line</v>
      </c>
      <c r="D1236" s="439" t="s">
        <v>63</v>
      </c>
      <c r="E1236" s="439" t="s">
        <v>68</v>
      </c>
      <c r="F1236" s="439" t="str" cm="1">
        <f t="array" ref="F12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6" s="726" t="s">
        <v>68</v>
      </c>
      <c r="H1236" s="726" t="s">
        <v>68</v>
      </c>
      <c r="I1236" s="431" t="s">
        <v>68</v>
      </c>
      <c r="J1236" s="619" t="s">
        <v>68</v>
      </c>
      <c r="K1236" s="619"/>
      <c r="L1236" s="619"/>
      <c r="M1236" s="619" t="s">
        <v>68</v>
      </c>
      <c r="N1236" s="461">
        <v>46230</v>
      </c>
      <c r="O1236" s="431" t="s">
        <v>284</v>
      </c>
      <c r="P1236" s="623" t="s">
        <v>5851</v>
      </c>
      <c r="Q1236" s="619" t="s">
        <v>5852</v>
      </c>
      <c r="R1236" s="430" t="str">
        <f>_xlfn.XLOOKUP(PV_DATA[[#This Row],[New Ark SKU]],Table9[New Ark SKU],Table9[Connector],,0)</f>
        <v>EVO2A</v>
      </c>
      <c r="S1236" s="433" t="str">
        <f>_xlfn.XLOOKUP(PV_DATA[[#This Row],[New Ark SKU]],Table9[New Ark SKU],Table9[Cable],,0)</f>
        <v>±1200mm</v>
      </c>
      <c r="T1236" s="620">
        <v>485</v>
      </c>
      <c r="U1236" s="1064" cm="1">
        <f t="array" ref="U1236">14976-fx_qty</f>
        <v>0</v>
      </c>
      <c r="V1236" s="624">
        <f>PV_DATA[[#This Row],[QUANTITY]]*PV_DATA[[#This Row],[WATT]]/1000000</f>
        <v>0</v>
      </c>
      <c r="W1236" s="625">
        <f>PV_DATA[[#This Row],[QUANTITY]]/36</f>
        <v>0</v>
      </c>
      <c r="X1236" s="1044">
        <f>PV_DATA[[#This Row],[QUANTITY]]/PV_DATA[[#This Row],[Qty/CT]]</f>
        <v>0</v>
      </c>
      <c r="Y1236" s="431" t="s">
        <v>7027</v>
      </c>
      <c r="Z1236" s="430" t="str">
        <f t="shared" si="29"/>
        <v/>
      </c>
      <c r="AA1236" s="619"/>
      <c r="AB1236" s="626"/>
      <c r="AC1236" s="627" t="str">
        <f>IF(PV_DATA[[#This Row],[Pick- Up Date]]&lt;&gt;"",_xlfn.ISOWEEKNUM(PV_DATA[[#This Row],[Pick- Up Date]]),"")</f>
        <v/>
      </c>
      <c r="AD1236" s="619"/>
      <c r="AE1236" s="619"/>
      <c r="AF1236" s="619" t="s">
        <v>1525</v>
      </c>
      <c r="AG1236" s="619" t="s">
        <v>5994</v>
      </c>
      <c r="AH1236" s="431" t="s">
        <v>68</v>
      </c>
      <c r="AI1236" s="626"/>
      <c r="AJ1236" s="626"/>
      <c r="AK1236" s="437" t="str">
        <f>IFERROR(IF(VLOOKUP(AT1236,Vessel!A:F,5,FALSE)=0,"",VLOOKUP(AT1236,Vessel!A:F,5,FALSE)),"")</f>
        <v/>
      </c>
      <c r="AL1236" s="626"/>
      <c r="AM1236" s="626"/>
      <c r="AN1236" s="586" t="str">
        <f>IFERROR(IF(VLOOKUP(AT1236,Vessel!A:I,9,FALSE)=0,"",VLOOKUP(AT1236,Vessel!A:I,9,FALSE)),"")</f>
        <v/>
      </c>
      <c r="AO1236" s="619"/>
      <c r="AP1236" s="619"/>
      <c r="AQ1236" s="628"/>
      <c r="AR1236" s="619"/>
      <c r="AS1236" s="619"/>
      <c r="AT1236" s="431"/>
      <c r="AU12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6" s="619"/>
      <c r="AW1236" s="626" t="str" cm="1">
        <f t="array" ref="AW1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6" s="626">
        <f>IF(ISERROR(PV_DATA[[#This Row],[New Ark PO status]]),"",_xlfn.XLOOKUP(PV_DATA[[#This Row],[SPTN-PVHK New Ark PO'#]],New_Ark_Data[Purchase order Number],New_Ark_Data[Estimated time of arrival],"",0))</f>
        <v>0</v>
      </c>
      <c r="AZ1236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6" s="626" t="str">
        <f>IFERROR(PV_DATA[[#This Row],[ODP ETA Port]]+PV_DATA[[#This Row],[Customs/Leg3 Assumption]],"n/a")</f>
        <v>n/a</v>
      </c>
      <c r="BB1236" s="620" t="e">
        <f>YEAR(PV_DATA[[#This Row],[ETA for New Ark update]])</f>
        <v>#VALUE!</v>
      </c>
      <c r="BC1236" s="619" t="e">
        <f>MONTH(PV_DATA[[#This Row],[ETA for New Ark update]])</f>
        <v>#VALUE!</v>
      </c>
      <c r="BD1236" s="619">
        <f>IFERROR(_xlfn.ISOWEEKNUM(PV_DATA[[#This Row],[ETA for New Ark update]]),0)</f>
        <v>0</v>
      </c>
      <c r="BE1236" s="431">
        <f>_xlfn.XLOOKUP(PV_DATA[[#This Row],[New Ark SKU]],Table9[New Ark SKU],Table9[Total PCS per Pallet],,0)</f>
        <v>36</v>
      </c>
      <c r="BF1236" s="431">
        <f>_xlfn.XLOOKUP(PV_DATA[[#This Row],[New Ark SKU]],Table9[New Ark SKU],Table9[Total PCS per 40HQ Container],,0)</f>
        <v>936</v>
      </c>
      <c r="BG1236" s="431" t="str">
        <f>_xlfn.XLOOKUP(PV_DATA[[#This Row],[New Ark SKU]],Table9[New Ark SKU],Table9[Back Glass],,0)</f>
        <v>Black glazing</v>
      </c>
      <c r="BH1236" s="629" t="str">
        <f>_xlfn.XLOOKUP(PV_DATA[[#This Row],[PORT DESTINATION]],Table12[PORT DESTINATION],Table12[Cosco Line],,0)</f>
        <v>n/a</v>
      </c>
      <c r="BJ1236" s="430"/>
    </row>
    <row r="1237" spans="1:62" ht="10.5">
      <c r="A1237" s="727" t="s">
        <v>7307</v>
      </c>
      <c r="B1237" s="726" t="s">
        <v>1757</v>
      </c>
      <c r="C1237" s="726" t="str">
        <f>IFERROR(LEFT(PV_DATA[[#This Row],[TCL REFERENCE]],FIND(".",PV_DATA[[#This Row],[TCL REFERENCE]],1)-1),"Main Line")</f>
        <v>Main Line</v>
      </c>
      <c r="D1237" s="439" t="s">
        <v>63</v>
      </c>
      <c r="E1237" s="439" t="s">
        <v>68</v>
      </c>
      <c r="F1237" s="439" t="str" cm="1">
        <f t="array" ref="F12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7" s="726" t="s">
        <v>68</v>
      </c>
      <c r="H1237" s="726" t="s">
        <v>68</v>
      </c>
      <c r="I1237" s="431" t="s">
        <v>68</v>
      </c>
      <c r="J1237" s="619" t="s">
        <v>68</v>
      </c>
      <c r="K1237" s="619"/>
      <c r="L1237" s="619"/>
      <c r="M1237" s="619" t="s">
        <v>68</v>
      </c>
      <c r="N1237" s="461">
        <v>46230</v>
      </c>
      <c r="O1237" s="431" t="s">
        <v>284</v>
      </c>
      <c r="P1237" s="623" t="s">
        <v>6209</v>
      </c>
      <c r="Q1237" s="619" t="s">
        <v>6210</v>
      </c>
      <c r="R1237" s="430" t="str">
        <f>_xlfn.XLOOKUP(PV_DATA[[#This Row],[New Ark SKU]],Table9[New Ark SKU],Table9[Connector],,0)</f>
        <v>EVO2A</v>
      </c>
      <c r="S1237" s="433" t="str">
        <f>_xlfn.XLOOKUP(PV_DATA[[#This Row],[New Ark SKU]],Table9[New Ark SKU],Table9[Cable],,0)</f>
        <v>±1200mm</v>
      </c>
      <c r="T1237" s="620">
        <v>490</v>
      </c>
      <c r="U1237" s="1064" cm="1">
        <f t="array" ref="U1237">1872-fx_qty</f>
        <v>0</v>
      </c>
      <c r="V1237" s="624">
        <f>PV_DATA[[#This Row],[QUANTITY]]*PV_DATA[[#This Row],[WATT]]/1000000</f>
        <v>0</v>
      </c>
      <c r="W1237" s="625">
        <f>PV_DATA[[#This Row],[QUANTITY]]/36</f>
        <v>0</v>
      </c>
      <c r="X1237" s="1044">
        <f>PV_DATA[[#This Row],[QUANTITY]]/PV_DATA[[#This Row],[Qty/CT]]</f>
        <v>0</v>
      </c>
      <c r="Y1237" s="431" t="s">
        <v>7027</v>
      </c>
      <c r="Z1237" s="430" t="str">
        <f t="shared" si="29"/>
        <v/>
      </c>
      <c r="AA1237" s="619"/>
      <c r="AB1237" s="626"/>
      <c r="AC1237" s="627" t="str">
        <f>IF(PV_DATA[[#This Row],[Pick- Up Date]]&lt;&gt;"",_xlfn.ISOWEEKNUM(PV_DATA[[#This Row],[Pick- Up Date]]),"")</f>
        <v/>
      </c>
      <c r="AD1237" s="619"/>
      <c r="AE1237" s="619"/>
      <c r="AF1237" s="619" t="s">
        <v>1525</v>
      </c>
      <c r="AG1237" s="619" t="s">
        <v>5994</v>
      </c>
      <c r="AH1237" s="431" t="s">
        <v>68</v>
      </c>
      <c r="AI1237" s="626"/>
      <c r="AJ1237" s="437" t="str">
        <f>IFERROR(VLOOKUP(AT1237, Vessel!A:D, 4, FALSE), "")</f>
        <v/>
      </c>
      <c r="AK1237" s="437" t="str">
        <f>IFERROR(IF(VLOOKUP(AT1237,Vessel!A:F,5,FALSE)=0,"",VLOOKUP(AT1237,Vessel!A:F,5,FALSE)),"")</f>
        <v/>
      </c>
      <c r="AL1237" s="626"/>
      <c r="AM1237" s="618" t="str">
        <f>IFERROR(VLOOKUP(AT1237, Vessel!A:H, 8, FALSE), "")</f>
        <v/>
      </c>
      <c r="AN1237" s="586" t="str">
        <f>IFERROR(IF(VLOOKUP(AT1237,Vessel!A:I,9,FALSE)=0,"",VLOOKUP(AT1237,Vessel!A:I,9,FALSE)),"")</f>
        <v/>
      </c>
      <c r="AO1237" s="619"/>
      <c r="AP1237" s="619"/>
      <c r="AQ1237" s="628"/>
      <c r="AR1237" s="619"/>
      <c r="AS1237" s="619"/>
      <c r="AT1237" s="619"/>
      <c r="AU12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7" s="619"/>
      <c r="AW1237" s="626" t="str" cm="1">
        <f t="array" ref="AW1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7" s="626">
        <f>IF(ISERROR(PV_DATA[[#This Row],[New Ark PO status]]),"",_xlfn.XLOOKUP(PV_DATA[[#This Row],[SPTN-PVHK New Ark PO'#]],New_Ark_Data[Purchase order Number],New_Ark_Data[Estimated time of arrival],"",0))</f>
        <v>0</v>
      </c>
      <c r="AZ1237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7" s="626" t="str">
        <f>IFERROR(PV_DATA[[#This Row],[ODP ETA Port]]+PV_DATA[[#This Row],[Customs/Leg3 Assumption]],"n/a")</f>
        <v>n/a</v>
      </c>
      <c r="BB1237" s="620" t="e">
        <f>YEAR(PV_DATA[[#This Row],[ETA for New Ark update]])</f>
        <v>#VALUE!</v>
      </c>
      <c r="BC1237" s="619" t="e">
        <f>MONTH(PV_DATA[[#This Row],[ETA for New Ark update]])</f>
        <v>#VALUE!</v>
      </c>
      <c r="BD1237" s="619">
        <f>IFERROR(_xlfn.ISOWEEKNUM(PV_DATA[[#This Row],[ETA for New Ark update]]),0)</f>
        <v>0</v>
      </c>
      <c r="BE1237" s="431">
        <f>_xlfn.XLOOKUP(PV_DATA[[#This Row],[New Ark SKU]],Table9[New Ark SKU],Table9[Total PCS per Pallet],,0)</f>
        <v>36</v>
      </c>
      <c r="BF1237" s="431">
        <f>_xlfn.XLOOKUP(PV_DATA[[#This Row],[New Ark SKU]],Table9[New Ark SKU],Table9[Total PCS per 40HQ Container],,0)</f>
        <v>936</v>
      </c>
      <c r="BG1237" s="431" t="str">
        <f>_xlfn.XLOOKUP(PV_DATA[[#This Row],[New Ark SKU]],Table9[New Ark SKU],Table9[Back Glass],,0)</f>
        <v>Black glazing</v>
      </c>
      <c r="BH1237" s="629" t="str">
        <f>_xlfn.XLOOKUP(PV_DATA[[#This Row],[PORT DESTINATION]],Table12[PORT DESTINATION],Table12[Cosco Line],,0)</f>
        <v>n/a</v>
      </c>
      <c r="BJ1237" s="430"/>
    </row>
    <row r="1238" spans="1:62" ht="10.5">
      <c r="A1238" s="728" t="s">
        <v>7308</v>
      </c>
      <c r="B1238" s="439" t="s">
        <v>111</v>
      </c>
      <c r="C1238" s="439" t="str">
        <f>IFERROR(LEFT(PV_DATA[[#This Row],[TCL REFERENCE]],FIND(".",PV_DATA[[#This Row],[TCL REFERENCE]],1)-1),"Main Line")</f>
        <v>Main Line</v>
      </c>
      <c r="D1238" s="439" t="s">
        <v>63</v>
      </c>
      <c r="E1238" s="439" t="s">
        <v>68</v>
      </c>
      <c r="F1238" s="439" t="str" cm="1">
        <f t="array" ref="F123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8" s="726" t="s">
        <v>68</v>
      </c>
      <c r="H1238" s="726" t="s">
        <v>68</v>
      </c>
      <c r="I1238" s="431" t="s">
        <v>68</v>
      </c>
      <c r="J1238" s="619" t="s">
        <v>68</v>
      </c>
      <c r="K1238" s="619"/>
      <c r="L1238" s="619"/>
      <c r="M1238" s="619" t="s">
        <v>68</v>
      </c>
      <c r="N1238" s="461">
        <v>46215</v>
      </c>
      <c r="O1238" s="431" t="s">
        <v>550</v>
      </c>
      <c r="P1238" s="430" t="s">
        <v>551</v>
      </c>
      <c r="Q1238" s="431" t="s">
        <v>2151</v>
      </c>
      <c r="R1238" s="430" t="str">
        <f>_xlfn.XLOOKUP(PV_DATA[[#This Row],[New Ark SKU]],Table9[New Ark SKU],Table9[Connector],,0)</f>
        <v>EVO2A</v>
      </c>
      <c r="S1238" s="433" t="str">
        <f>_xlfn.XLOOKUP(PV_DATA[[#This Row],[New Ark SKU]],Table9[New Ark SKU],Table9[Cable],,0)</f>
        <v>±1350mm</v>
      </c>
      <c r="T1238" s="442">
        <v>510</v>
      </c>
      <c r="U1238" s="1093" cm="1">
        <f t="array" ref="U1238">5544-fx_qty</f>
        <v>0</v>
      </c>
      <c r="V1238" s="448">
        <f>PV_DATA[[#This Row],[QUANTITY]]*PV_DATA[[#This Row],[WATT]]/1000000</f>
        <v>0</v>
      </c>
      <c r="W1238" s="466">
        <f>PV_DATA[[#This Row],[QUANTITY]]/PV_DATA[[#This Row],[Qty/Pallet]]</f>
        <v>0</v>
      </c>
      <c r="X1238" s="1044">
        <f>PV_DATA[[#This Row],[QUANTITY]]/PV_DATA[[#This Row],[Qty/CT]]</f>
        <v>0</v>
      </c>
      <c r="Y1238" s="431" t="s">
        <v>7027</v>
      </c>
      <c r="Z1238" s="430" t="str">
        <f t="shared" si="29"/>
        <v/>
      </c>
      <c r="AA1238" s="431"/>
      <c r="AB1238" s="441"/>
      <c r="AC1238" s="467" t="str">
        <f>IF(PV_DATA[[#This Row],[Pick- Up Date]]&lt;&gt;"",_xlfn.ISOWEEKNUM(PV_DATA[[#This Row],[Pick- Up Date]]),"")</f>
        <v/>
      </c>
      <c r="AD1238" s="431"/>
      <c r="AE1238" s="431"/>
      <c r="AF1238" s="431" t="s">
        <v>122</v>
      </c>
      <c r="AG1238" s="431" t="s">
        <v>123</v>
      </c>
      <c r="AH1238" s="431" t="s">
        <v>68</v>
      </c>
      <c r="AI1238" s="441"/>
      <c r="AJ1238" s="437" t="str">
        <f>IFERROR(VLOOKUP(AT1238, Vessel!A:D, 4, FALSE), "")</f>
        <v/>
      </c>
      <c r="AK1238" s="437" t="str">
        <f>IFERROR(IF(VLOOKUP(AT1238,Vessel!A:F,5,FALSE)=0,"",VLOOKUP(AT1238,Vessel!A:F,5,FALSE)),"")</f>
        <v/>
      </c>
      <c r="AL1238" s="441"/>
      <c r="AM1238" s="618" t="str">
        <f>IFERROR(VLOOKUP(AT1238, Vessel!A:H, 8, FALSE), "")</f>
        <v/>
      </c>
      <c r="AN1238" s="586" t="str">
        <f>IFERROR(IF(VLOOKUP(AT1238,Vessel!A:I,9,FALSE)=0,"",VLOOKUP(AT1238,Vessel!A:I,9,FALSE)),"")</f>
        <v/>
      </c>
      <c r="AO1238" s="431"/>
      <c r="AP1238" s="431"/>
      <c r="AQ1238" s="445"/>
      <c r="AR1238" s="431"/>
      <c r="AS1238" s="431"/>
      <c r="AT1238" s="431"/>
      <c r="AU12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8" s="431"/>
      <c r="AW1238" s="441" t="str" cm="1">
        <f t="array" ref="AW1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8" s="441">
        <f>IF(ISERROR(PV_DATA[[#This Row],[New Ark PO status]]),"",_xlfn.XLOOKUP(PV_DATA[[#This Row],[SPTN-PVHK New Ark PO'#]],New_Ark_Data[Purchase order Number],New_Ark_Data[Estimated time of arrival],"",0))</f>
        <v>0</v>
      </c>
      <c r="AZ123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8" s="441" t="str">
        <f>IFERROR(PV_DATA[[#This Row],[ODP ETA Port]]+PV_DATA[[#This Row],[Customs/Leg3 Assumption]],"n/a")</f>
        <v>n/a</v>
      </c>
      <c r="BB1238" s="442" t="e">
        <f>YEAR(PV_DATA[[#This Row],[ETA for New Ark update]])</f>
        <v>#VALUE!</v>
      </c>
      <c r="BC1238" s="431" t="e">
        <f>MONTH(PV_DATA[[#This Row],[ETA for New Ark update]])</f>
        <v>#VALUE!</v>
      </c>
      <c r="BD1238" s="431">
        <f>IFERROR(_xlfn.ISOWEEKNUM(PV_DATA[[#This Row],[ETA for New Ark update]]),0)</f>
        <v>0</v>
      </c>
      <c r="BE1238" s="431">
        <f>_xlfn.XLOOKUP(PV_DATA[[#This Row],[New Ark SKU]],Table9[New Ark SKU],Table9[Total PCS per Pallet],,0)</f>
        <v>36</v>
      </c>
      <c r="BF1238" s="431">
        <f>_xlfn.XLOOKUP(PV_DATA[[#This Row],[New Ark SKU]],Table9[New Ark SKU],Table9[Total PCS per 40HQ Container],,0)</f>
        <v>792</v>
      </c>
      <c r="BG1238" s="431" t="str">
        <f>_xlfn.XLOOKUP(PV_DATA[[#This Row],[New Ark SKU]],Table9[New Ark SKU],Table9[Back Glass],,0)</f>
        <v>Black glazing</v>
      </c>
      <c r="BH1238" s="622" t="str">
        <f>_xlfn.XLOOKUP(PV_DATA[[#This Row],[PORT DESTINATION]],Table12[PORT DESTINATION],Table12[Cosco Line],,0)</f>
        <v>n/a</v>
      </c>
      <c r="BJ1238" s="430"/>
    </row>
    <row r="1239" spans="1:62" ht="10.5">
      <c r="A1239" s="728" t="s">
        <v>7309</v>
      </c>
      <c r="B1239" s="726" t="s">
        <v>111</v>
      </c>
      <c r="C1239" s="439" t="str">
        <f>IFERROR(LEFT(PV_DATA[[#This Row],[TCL REFERENCE]],FIND(".",PV_DATA[[#This Row],[TCL REFERENCE]],1)-1),"Main Line")</f>
        <v>Main Line</v>
      </c>
      <c r="D1239" s="439" t="s">
        <v>63</v>
      </c>
      <c r="E1239" s="439" t="s">
        <v>68</v>
      </c>
      <c r="F1239" s="439" t="str" cm="1">
        <f t="array" ref="F123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9" s="726" t="s">
        <v>68</v>
      </c>
      <c r="H1239" s="726" t="s">
        <v>68</v>
      </c>
      <c r="I1239" s="431" t="s">
        <v>68</v>
      </c>
      <c r="J1239" s="619" t="s">
        <v>68</v>
      </c>
      <c r="K1239" s="619"/>
      <c r="L1239" s="619"/>
      <c r="M1239" s="619" t="s">
        <v>68</v>
      </c>
      <c r="N1239" s="461">
        <v>46215</v>
      </c>
      <c r="O1239" s="619" t="s">
        <v>550</v>
      </c>
      <c r="P1239" s="623" t="s">
        <v>2134</v>
      </c>
      <c r="Q1239" s="619" t="s">
        <v>2135</v>
      </c>
      <c r="R1239" s="430" t="str">
        <f>_xlfn.XLOOKUP(PV_DATA[[#This Row],[New Ark SKU]],Table9[New Ark SKU],Table9[Connector],,0)</f>
        <v>EVO2A</v>
      </c>
      <c r="S1239" s="433" t="str">
        <f>_xlfn.XLOOKUP(PV_DATA[[#This Row],[New Ark SKU]],Table9[New Ark SKU],Table9[Cable],,0)</f>
        <v>±1350mm</v>
      </c>
      <c r="T1239" s="620">
        <v>515</v>
      </c>
      <c r="U1239" s="1064" cm="1">
        <f t="array" ref="U1239">14256-fx_qty</f>
        <v>0</v>
      </c>
      <c r="V1239" s="624">
        <f>PV_DATA[[#This Row],[QUANTITY]]*PV_DATA[[#This Row],[WATT]]/1000000</f>
        <v>0</v>
      </c>
      <c r="W1239" s="625">
        <f>PV_DATA[[#This Row],[QUANTITY]]/PV_DATA[[#This Row],[Qty/Pallet]]</f>
        <v>0</v>
      </c>
      <c r="X1239" s="1044">
        <f>PV_DATA[[#This Row],[QUANTITY]]/PV_DATA[[#This Row],[Qty/CT]]</f>
        <v>0</v>
      </c>
      <c r="Y1239" s="431" t="s">
        <v>7027</v>
      </c>
      <c r="Z1239" s="430" t="str">
        <f t="shared" si="29"/>
        <v/>
      </c>
      <c r="AA1239" s="619"/>
      <c r="AB1239" s="626"/>
      <c r="AC1239" s="627" t="str">
        <f>IF(PV_DATA[[#This Row],[Pick- Up Date]]&lt;&gt;"",_xlfn.ISOWEEKNUM(PV_DATA[[#This Row],[Pick- Up Date]]),"")</f>
        <v/>
      </c>
      <c r="AD1239" s="619"/>
      <c r="AE1239" s="619"/>
      <c r="AF1239" s="619" t="s">
        <v>122</v>
      </c>
      <c r="AG1239" s="619" t="s">
        <v>123</v>
      </c>
      <c r="AH1239" s="431" t="s">
        <v>68</v>
      </c>
      <c r="AI1239" s="626"/>
      <c r="AJ1239" s="437" t="str">
        <f>IFERROR(VLOOKUP(AT1239, Vessel!A:D, 4, FALSE), "")</f>
        <v/>
      </c>
      <c r="AK1239" s="437" t="str">
        <f>IFERROR(IF(VLOOKUP(AT1239,Vessel!A:F,5,FALSE)=0,"",VLOOKUP(AT1239,Vessel!A:F,5,FALSE)),"")</f>
        <v/>
      </c>
      <c r="AL1239" s="626"/>
      <c r="AM1239" s="618" t="str">
        <f>IFERROR(VLOOKUP(AT1239, Vessel!A:H, 8, FALSE), "")</f>
        <v/>
      </c>
      <c r="AN1239" s="586" t="str">
        <f>IFERROR(IF(VLOOKUP(AT1239,Vessel!A:I,9,FALSE)=0,"",VLOOKUP(AT1239,Vessel!A:I,9,FALSE)),"")</f>
        <v/>
      </c>
      <c r="AO1239" s="619"/>
      <c r="AP1239" s="619"/>
      <c r="AQ1239" s="628"/>
      <c r="AR1239" s="619"/>
      <c r="AS1239" s="619"/>
      <c r="AT1239" s="431"/>
      <c r="AU12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9" s="619"/>
      <c r="AW1239" s="626" t="str" cm="1">
        <f t="array" ref="AW1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9" s="626">
        <f>IF(ISERROR(PV_DATA[[#This Row],[New Ark PO status]]),"",_xlfn.XLOOKUP(PV_DATA[[#This Row],[SPTN-PVHK New Ark PO'#]],New_Ark_Data[Purchase order Number],New_Ark_Data[Estimated time of arrival],"",0))</f>
        <v>0</v>
      </c>
      <c r="AZ1239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9" s="626" t="str">
        <f>IFERROR(PV_DATA[[#This Row],[ODP ETA Port]]+PV_DATA[[#This Row],[Customs/Leg3 Assumption]],"n/a")</f>
        <v>n/a</v>
      </c>
      <c r="BB1239" s="442" t="s">
        <v>6315</v>
      </c>
      <c r="BC1239" s="442" t="s">
        <v>6315</v>
      </c>
      <c r="BD1239" s="619">
        <f>IFERROR(_xlfn.ISOWEEKNUM(PV_DATA[[#This Row],[ETA for New Ark update]]),0)</f>
        <v>0</v>
      </c>
      <c r="BE1239" s="431">
        <f>_xlfn.XLOOKUP(PV_DATA[[#This Row],[New Ark SKU]],Table9[New Ark SKU],Table9[Total PCS per Pallet],,0)</f>
        <v>36</v>
      </c>
      <c r="BF1239" s="431">
        <f>_xlfn.XLOOKUP(PV_DATA[[#This Row],[New Ark SKU]],Table9[New Ark SKU],Table9[Total PCS per 40HQ Container],,0)</f>
        <v>792</v>
      </c>
      <c r="BG1239" s="431" t="str">
        <f>_xlfn.XLOOKUP(PV_DATA[[#This Row],[New Ark SKU]],Table9[New Ark SKU],Table9[Back Glass],,0)</f>
        <v>Black glazing</v>
      </c>
      <c r="BH1239" s="629" t="str">
        <f>_xlfn.XLOOKUP(PV_DATA[[#This Row],[PORT DESTINATION]],Table12[PORT DESTINATION],Table12[Cosco Line],,0)</f>
        <v>n/a</v>
      </c>
      <c r="BJ1239" s="430"/>
    </row>
    <row r="1240" spans="1:62" ht="10.5">
      <c r="A1240" s="728" t="s">
        <v>7310</v>
      </c>
      <c r="B1240" s="439" t="s">
        <v>61</v>
      </c>
      <c r="C1240" s="439" t="str">
        <f>IFERROR(LEFT(PV_DATA[[#This Row],[TCL REFERENCE]],FIND(".",PV_DATA[[#This Row],[TCL REFERENCE]],1)-1),"Main Line")</f>
        <v>Main Line</v>
      </c>
      <c r="D1240" s="439" t="s">
        <v>63</v>
      </c>
      <c r="E1240" s="439" t="s">
        <v>68</v>
      </c>
      <c r="F1240" s="439" t="str" cm="1">
        <f t="array" ref="F124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0" s="726" t="s">
        <v>68</v>
      </c>
      <c r="H1240" s="726" t="s">
        <v>68</v>
      </c>
      <c r="I1240" s="431" t="s">
        <v>68</v>
      </c>
      <c r="J1240" s="619" t="s">
        <v>68</v>
      </c>
      <c r="K1240" s="619"/>
      <c r="L1240" s="619"/>
      <c r="M1240" s="619" t="s">
        <v>68</v>
      </c>
      <c r="N1240" s="461">
        <v>46237</v>
      </c>
      <c r="O1240" s="431" t="s">
        <v>4531</v>
      </c>
      <c r="P1240" s="430" t="s">
        <v>71</v>
      </c>
      <c r="Q1240" s="431" t="s">
        <v>72</v>
      </c>
      <c r="R1240" s="430" t="str">
        <f>_xlfn.XLOOKUP(PV_DATA[[#This Row],[New Ark SKU]],Table9[New Ark SKU],Table9[Connector],,0)</f>
        <v>EVO2A</v>
      </c>
      <c r="S1240" s="433" t="str">
        <f>_xlfn.XLOOKUP(PV_DATA[[#This Row],[New Ark SKU]],Table9[New Ark SKU],Table9[Cable],,0)</f>
        <v>±1200mm</v>
      </c>
      <c r="T1240" s="442">
        <v>500</v>
      </c>
      <c r="U1240" s="1093" cm="1">
        <f t="array" ref="U1240">36288-fx_qty</f>
        <v>0</v>
      </c>
      <c r="V1240" s="448">
        <f>PV_DATA[[#This Row],[QUANTITY]]*PV_DATA[[#This Row],[WATT]]/1000000</f>
        <v>0</v>
      </c>
      <c r="W1240" s="466">
        <f>PV_DATA[[#This Row],[QUANTITY]]/PV_DATA[[#This Row],[Qty/Pallet]]</f>
        <v>0</v>
      </c>
      <c r="X1240" s="1044">
        <f>PV_DATA[[#This Row],[QUANTITY]]/PV_DATA[[#This Row],[Qty/CT]]</f>
        <v>0</v>
      </c>
      <c r="Y1240" s="431" t="s">
        <v>7027</v>
      </c>
      <c r="Z1240" s="431" t="str">
        <f t="shared" si="29"/>
        <v/>
      </c>
      <c r="AA1240" s="431"/>
      <c r="AB1240" s="441"/>
      <c r="AC1240" s="467" t="str">
        <f>IF(PV_DATA[[#This Row],[Pick- Up Date]]&lt;&gt;"",_xlfn.ISOWEEKNUM(PV_DATA[[#This Row],[Pick- Up Date]]),"")</f>
        <v/>
      </c>
      <c r="AD1240" s="431"/>
      <c r="AE1240" s="431"/>
      <c r="AF1240" s="447" t="s">
        <v>61</v>
      </c>
      <c r="AG1240" s="447" t="s">
        <v>61</v>
      </c>
      <c r="AH1240" s="431" t="s">
        <v>68</v>
      </c>
      <c r="AI1240" s="441"/>
      <c r="AJ1240" s="437" t="str">
        <f>IFERROR(VLOOKUP(AT1240, Vessel!A:D, 4, FALSE), "")</f>
        <v/>
      </c>
      <c r="AK1240" s="437" t="str">
        <f>IFERROR(IF(VLOOKUP(AT1240,Vessel!A:F,5,FALSE)=0,"",VLOOKUP(AT1240,Vessel!A:F,5,FALSE)),"")</f>
        <v/>
      </c>
      <c r="AL1240" s="441"/>
      <c r="AM1240" s="618" t="str">
        <f>IFERROR(VLOOKUP(AT1240, Vessel!A:H, 8, FALSE), "")</f>
        <v/>
      </c>
      <c r="AN1240" s="586" t="str">
        <f>IFERROR(IF(VLOOKUP(AT1240,Vessel!A:I,9,FALSE)=0,"",VLOOKUP(AT1240,Vessel!A:I,9,FALSE)),"")</f>
        <v/>
      </c>
      <c r="AO1240" s="431"/>
      <c r="AP1240" s="431"/>
      <c r="AQ1240" s="445"/>
      <c r="AR1240" s="431"/>
      <c r="AS1240" s="431"/>
      <c r="AT1240" s="431"/>
      <c r="AU12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0" s="431"/>
      <c r="AW1240" s="441" t="str" cm="1">
        <f t="array" ref="AW1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0" s="441">
        <f>IF(ISERROR(PV_DATA[[#This Row],[New Ark PO status]]),"",_xlfn.XLOOKUP(PV_DATA[[#This Row],[SPTN-PVHK New Ark PO'#]],New_Ark_Data[Purchase order Number],New_Ark_Data[Estimated time of arrival],"",0))</f>
        <v>0</v>
      </c>
      <c r="AZ124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0" s="441" t="str">
        <f>IFERROR(PV_DATA[[#This Row],[ODP ETA Port]]+PV_DATA[[#This Row],[Customs/Leg3 Assumption]],"n/a")</f>
        <v>n/a</v>
      </c>
      <c r="BB1240" s="442" t="s">
        <v>6315</v>
      </c>
      <c r="BC1240" s="442" t="s">
        <v>6315</v>
      </c>
      <c r="BD1240" s="431">
        <f>IFERROR(_xlfn.ISOWEEKNUM(PV_DATA[[#This Row],[ETA for New Ark update]]),0)</f>
        <v>0</v>
      </c>
      <c r="BE1240" s="431">
        <f>_xlfn.XLOOKUP(PV_DATA[[#This Row],[New Ark SKU]],Table9[New Ark SKU],Table9[Total PCS per Pallet],,0)</f>
        <v>36</v>
      </c>
      <c r="BF1240" s="431">
        <f>_xlfn.XLOOKUP(PV_DATA[[#This Row],[New Ark SKU]],Table9[New Ark SKU],Table9[Total PCS per 40HQ Container],,0)</f>
        <v>864</v>
      </c>
      <c r="BG1240" s="431" t="str">
        <f>_xlfn.XLOOKUP(PV_DATA[[#This Row],[New Ark SKU]],Table9[New Ark SKU],Table9[Back Glass],,0)</f>
        <v>Black glazing</v>
      </c>
      <c r="BH1240" s="622" t="str">
        <f>_xlfn.XLOOKUP(PV_DATA[[#This Row],[PORT DESTINATION]],Table12[PORT DESTINATION],Table12[Cosco Line],,0)</f>
        <v>n/a</v>
      </c>
      <c r="BJ1240" s="430"/>
    </row>
    <row r="1241" spans="1:62" s="431" customFormat="1" ht="10.5">
      <c r="A1241" s="728" t="s">
        <v>7311</v>
      </c>
      <c r="B1241" s="439" t="s">
        <v>61</v>
      </c>
      <c r="C1241" s="439" t="str">
        <f>IFERROR(LEFT(PV_DATA[[#This Row],[TCL REFERENCE]],FIND(".",PV_DATA[[#This Row],[TCL REFERENCE]],1)-1),"Main Line")</f>
        <v>Main Line</v>
      </c>
      <c r="D1241" s="439" t="s">
        <v>63</v>
      </c>
      <c r="E1241" s="439" t="s">
        <v>68</v>
      </c>
      <c r="F1241" s="439" t="str" cm="1">
        <f t="array" ref="F124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1" s="726" t="s">
        <v>68</v>
      </c>
      <c r="H1241" s="726" t="s">
        <v>68</v>
      </c>
      <c r="I1241" s="431" t="s">
        <v>68</v>
      </c>
      <c r="J1241" s="619" t="s">
        <v>68</v>
      </c>
      <c r="K1241" s="619"/>
      <c r="L1241" s="619"/>
      <c r="M1241" s="619" t="s">
        <v>68</v>
      </c>
      <c r="N1241" s="461">
        <v>46237</v>
      </c>
      <c r="O1241" s="431" t="s">
        <v>4531</v>
      </c>
      <c r="P1241" s="431" t="s">
        <v>1151</v>
      </c>
      <c r="Q1241" s="431" t="s">
        <v>421</v>
      </c>
      <c r="R1241" s="430" t="str">
        <f>_xlfn.XLOOKUP(PV_DATA[[#This Row],[New Ark SKU]],Table9[New Ark SKU],Table9[Connector],,0)</f>
        <v>EVO2A</v>
      </c>
      <c r="S1241" s="433" t="str">
        <f>_xlfn.XLOOKUP(PV_DATA[[#This Row],[New Ark SKU]],Table9[New Ark SKU],Table9[Cable],,0)</f>
        <v>±1200mm</v>
      </c>
      <c r="T1241" s="442">
        <v>505</v>
      </c>
      <c r="U1241" s="1093" cm="1">
        <f t="array" ref="U1241">23328-fx_qty</f>
        <v>0</v>
      </c>
      <c r="V1241" s="448">
        <f>PV_DATA[[#This Row],[QUANTITY]]*PV_DATA[[#This Row],[WATT]]/1000000</f>
        <v>0</v>
      </c>
      <c r="W1241" s="466">
        <f>PV_DATA[[#This Row],[QUANTITY]]/PV_DATA[[#This Row],[Qty/Pallet]]</f>
        <v>0</v>
      </c>
      <c r="X1241" s="1044">
        <f>PV_DATA[[#This Row],[QUANTITY]]/PV_DATA[[#This Row],[Qty/CT]]</f>
        <v>0</v>
      </c>
      <c r="Y1241" s="431" t="s">
        <v>7027</v>
      </c>
      <c r="Z1241" s="431" t="str">
        <f t="shared" si="29"/>
        <v/>
      </c>
      <c r="AA1241" s="431" t="s">
        <v>6416</v>
      </c>
      <c r="AB1241" s="441"/>
      <c r="AC1241" s="467" t="str">
        <f>IF(PV_DATA[[#This Row],[Pick- Up Date]]&lt;&gt;"",_xlfn.ISOWEEKNUM(PV_DATA[[#This Row],[Pick- Up Date]]),"")</f>
        <v/>
      </c>
      <c r="AF1241" s="447" t="s">
        <v>61</v>
      </c>
      <c r="AG1241" s="447" t="s">
        <v>61</v>
      </c>
      <c r="AH1241" s="431" t="s">
        <v>68</v>
      </c>
      <c r="AI1241" s="441"/>
      <c r="AJ1241" s="437" t="str">
        <f>IFERROR(VLOOKUP(AT1241, Vessel!A:D, 4, FALSE), "")</f>
        <v/>
      </c>
      <c r="AK1241" s="437" t="str">
        <f>IFERROR(IF(VLOOKUP(AT1241,Vessel!A:F,5,FALSE)=0,"",VLOOKUP(AT1241,Vessel!A:F,5,FALSE)),"")</f>
        <v/>
      </c>
      <c r="AL1241" s="441"/>
      <c r="AM1241" s="618" t="str">
        <f>IFERROR(VLOOKUP(AT1241, Vessel!A:H, 8, FALSE), "")</f>
        <v/>
      </c>
      <c r="AN1241" s="586" t="str">
        <f>IFERROR(IF(VLOOKUP(AT1241,Vessel!A:I,9,FALSE)=0,"",VLOOKUP(AT1241,Vessel!A:I,9,FALSE)),"")</f>
        <v/>
      </c>
      <c r="AQ1241" s="445"/>
      <c r="AU12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41" s="441" t="str" cm="1">
        <f t="array" ref="AW1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1" s="441">
        <f>IF(ISERROR(PV_DATA[[#This Row],[New Ark PO status]]),"",_xlfn.XLOOKUP(PV_DATA[[#This Row],[SPTN-PVHK New Ark PO'#]],New_Ark_Data[Purchase order Number],New_Ark_Data[Estimated time of arrival],"",0))</f>
        <v>0</v>
      </c>
      <c r="AZ124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1" s="441" t="str">
        <f>IFERROR(PV_DATA[[#This Row],[ODP ETA Port]]+PV_DATA[[#This Row],[Customs/Leg3 Assumption]],"n/a")</f>
        <v>n/a</v>
      </c>
      <c r="BB1241" s="442" t="s">
        <v>6315</v>
      </c>
      <c r="BC1241" s="442" t="s">
        <v>6315</v>
      </c>
      <c r="BD1241" s="431">
        <f>IFERROR(_xlfn.ISOWEEKNUM(PV_DATA[[#This Row],[ETA for New Ark update]]),0)</f>
        <v>0</v>
      </c>
      <c r="BE1241" s="431">
        <f>_xlfn.XLOOKUP(PV_DATA[[#This Row],[New Ark SKU]],Table9[New Ark SKU],Table9[Total PCS per Pallet],,0)</f>
        <v>36</v>
      </c>
      <c r="BF1241" s="431">
        <f>_xlfn.XLOOKUP(PV_DATA[[#This Row],[New Ark SKU]],Table9[New Ark SKU],Table9[Total PCS per 40HQ Container],,0)</f>
        <v>864</v>
      </c>
      <c r="BG1241" s="431" t="str">
        <f>_xlfn.XLOOKUP(PV_DATA[[#This Row],[New Ark SKU]],Table9[New Ark SKU],Table9[Back Glass],,0)</f>
        <v>Black glazing</v>
      </c>
      <c r="BH1241" s="622" t="str">
        <f>_xlfn.XLOOKUP(PV_DATA[[#This Row],[PORT DESTINATION]],Table12[PORT DESTINATION],Table12[Cosco Line],,0)</f>
        <v>n/a</v>
      </c>
    </row>
    <row r="1242" spans="1:62" s="431" customFormat="1" ht="10.5">
      <c r="A1242" s="728" t="s">
        <v>7312</v>
      </c>
      <c r="B1242" s="439" t="s">
        <v>61</v>
      </c>
      <c r="C1242" s="439" t="str">
        <f>IFERROR(LEFT(PV_DATA[[#This Row],[TCL REFERENCE]],FIND(".",PV_DATA[[#This Row],[TCL REFERENCE]],1)-1),"Main Line")</f>
        <v>26Aug004</v>
      </c>
      <c r="D1242" s="439" t="s">
        <v>63</v>
      </c>
      <c r="E1242" s="439" t="s">
        <v>68</v>
      </c>
      <c r="F1242" s="439" t="str" cm="1">
        <f t="array" ref="F124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2" s="439" t="s">
        <v>68</v>
      </c>
      <c r="H1242" s="439" t="s">
        <v>68</v>
      </c>
      <c r="I1242" s="439" t="s">
        <v>68</v>
      </c>
      <c r="J1242" s="431" t="s">
        <v>68</v>
      </c>
      <c r="M1242" s="430" t="s">
        <v>6536</v>
      </c>
      <c r="N1242" s="461">
        <v>46237</v>
      </c>
      <c r="O1242" s="431" t="s">
        <v>4531</v>
      </c>
      <c r="P1242" s="431" t="s">
        <v>1151</v>
      </c>
      <c r="Q1242" s="431" t="s">
        <v>421</v>
      </c>
      <c r="R1242" s="430" t="str">
        <f>_xlfn.XLOOKUP(PV_DATA[[#This Row],[New Ark SKU]],Table9[New Ark SKU],Table9[Connector],,0)</f>
        <v>EVO2A</v>
      </c>
      <c r="S1242" s="433" t="str">
        <f>_xlfn.XLOOKUP(PV_DATA[[#This Row],[New Ark SKU]],Table9[New Ark SKU],Table9[Cable],,0)</f>
        <v>±1200mm</v>
      </c>
      <c r="T1242" s="442">
        <v>505</v>
      </c>
      <c r="U1242" s="1093">
        <f>864</f>
        <v>864</v>
      </c>
      <c r="V1242" s="448">
        <f>PV_DATA[[#This Row],[QUANTITY]]*PV_DATA[[#This Row],[WATT]]/1000000</f>
        <v>0.43631999999999999</v>
      </c>
      <c r="W1242" s="466">
        <f>PV_DATA[[#This Row],[QUANTITY]]/PV_DATA[[#This Row],[Qty/Pallet]]</f>
        <v>24</v>
      </c>
      <c r="X1242" s="1044">
        <f>PV_DATA[[#This Row],[QUANTITY]]/PV_DATA[[#This Row],[Qty/CT]]</f>
        <v>1</v>
      </c>
      <c r="Y1242" s="431" t="s">
        <v>2472</v>
      </c>
      <c r="Z1242" s="431" t="str">
        <f t="shared" si="29"/>
        <v/>
      </c>
      <c r="AA1242" s="431" t="s">
        <v>6416</v>
      </c>
      <c r="AB1242" s="441"/>
      <c r="AC1242" s="467" t="str">
        <f>IF(PV_DATA[[#This Row],[Pick- Up Date]]&lt;&gt;"",_xlfn.ISOWEEKNUM(PV_DATA[[#This Row],[Pick- Up Date]]),"")</f>
        <v/>
      </c>
      <c r="AF1242" s="447" t="s">
        <v>61</v>
      </c>
      <c r="AG1242" s="447" t="s">
        <v>61</v>
      </c>
      <c r="AH1242" s="431" t="s">
        <v>105</v>
      </c>
      <c r="AI1242" s="441"/>
      <c r="AJ1242" s="437" t="str">
        <f>IFERROR(VLOOKUP(AT1242, Vessel!A:D, 4, FALSE), "")</f>
        <v/>
      </c>
      <c r="AK1242" s="437" t="str">
        <f>IFERROR(IF(VLOOKUP(AT1242,Vessel!A:F,5,FALSE)=0,"",VLOOKUP(AT1242,Vessel!A:F,5,FALSE)),"")</f>
        <v/>
      </c>
      <c r="AL1242" s="441"/>
      <c r="AM1242" s="618" t="str">
        <f>IFERROR(VLOOKUP(AT1242, Vessel!A:H, 8, FALSE), "")</f>
        <v/>
      </c>
      <c r="AN1242" s="586" t="str">
        <f>IFERROR(IF(VLOOKUP(AT1242,Vessel!A:I,9,FALSE)=0,"",VLOOKUP(AT1242,Vessel!A:I,9,FALSE)),"")</f>
        <v/>
      </c>
      <c r="AQ1242" s="445"/>
      <c r="AU12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42" s="441" t="str" cm="1">
        <f t="array" ref="AW1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2" s="441">
        <f>IF(ISERROR(PV_DATA[[#This Row],[New Ark PO status]]),"",_xlfn.XLOOKUP(PV_DATA[[#This Row],[SPTN-PVHK New Ark PO'#]],New_Ark_Data[Purchase order Number],New_Ark_Data[Estimated time of arrival],"",0))</f>
        <v>0</v>
      </c>
      <c r="AZ124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2" s="441" t="str">
        <f>IFERROR(PV_DATA[[#This Row],[ODP ETA Port]]+PV_DATA[[#This Row],[Customs/Leg3 Assumption]],"n/a")</f>
        <v>n/a</v>
      </c>
      <c r="BB1242" s="442" t="s">
        <v>6536</v>
      </c>
      <c r="BC1242" s="442" t="s">
        <v>6536</v>
      </c>
      <c r="BD1242" s="431">
        <f>IFERROR(_xlfn.ISOWEEKNUM(PV_DATA[[#This Row],[ETA for New Ark update]]),0)</f>
        <v>0</v>
      </c>
      <c r="BE1242" s="431">
        <f>_xlfn.XLOOKUP(PV_DATA[[#This Row],[New Ark SKU]],Table9[New Ark SKU],Table9[Total PCS per Pallet],,0)</f>
        <v>36</v>
      </c>
      <c r="BF1242" s="431">
        <f>_xlfn.XLOOKUP(PV_DATA[[#This Row],[New Ark SKU]],Table9[New Ark SKU],Table9[Total PCS per 40HQ Container],,0)</f>
        <v>864</v>
      </c>
      <c r="BG1242" s="431" t="str">
        <f>_xlfn.XLOOKUP(PV_DATA[[#This Row],[New Ark SKU]],Table9[New Ark SKU],Table9[Back Glass],,0)</f>
        <v>Black glazing</v>
      </c>
      <c r="BH1242" s="622" t="str">
        <f>_xlfn.XLOOKUP(PV_DATA[[#This Row],[PORT DESTINATION]],Table12[PORT DESTINATION],Table12[Cosco Line],,0)</f>
        <v>AEU</v>
      </c>
    </row>
    <row r="1243" spans="1:62" ht="10.5">
      <c r="A1243" s="729" t="s">
        <v>7313</v>
      </c>
      <c r="B1243" s="462" t="s">
        <v>61</v>
      </c>
      <c r="C1243" s="439" t="str">
        <f>IFERROR(LEFT(PV_DATA[[#This Row],[TCL REFERENCE]],FIND(".",PV_DATA[[#This Row],[TCL REFERENCE]],1)-1),"Main Line")</f>
        <v>Main Line</v>
      </c>
      <c r="D1243" s="462" t="s">
        <v>63</v>
      </c>
      <c r="E1243" s="439" t="s">
        <v>68</v>
      </c>
      <c r="F1243" s="439" t="str" cm="1">
        <f t="array" ref="F124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3" s="726" t="s">
        <v>68</v>
      </c>
      <c r="H1243" s="726" t="s">
        <v>68</v>
      </c>
      <c r="I1243" s="431" t="s">
        <v>68</v>
      </c>
      <c r="J1243" s="619" t="s">
        <v>68</v>
      </c>
      <c r="K1243" s="619"/>
      <c r="L1243" s="619"/>
      <c r="M1243" s="619" t="s">
        <v>68</v>
      </c>
      <c r="N1243" s="432">
        <v>46258</v>
      </c>
      <c r="O1243" s="430" t="s">
        <v>4531</v>
      </c>
      <c r="P1243" s="430" t="s">
        <v>691</v>
      </c>
      <c r="Q1243" s="430" t="s">
        <v>692</v>
      </c>
      <c r="R1243" s="430" t="str">
        <f>_xlfn.XLOOKUP(PV_DATA[[#This Row],[New Ark SKU]],Table9[New Ark SKU],Table9[Connector],,0)</f>
        <v>EVO2A</v>
      </c>
      <c r="S1243" s="433" t="str">
        <f>_xlfn.XLOOKUP(PV_DATA[[#This Row],[New Ark SKU]],Table9[New Ark SKU],Table9[Cable],,0)</f>
        <v>±1200mm</v>
      </c>
      <c r="T1243" s="433">
        <v>505</v>
      </c>
      <c r="U1243" s="1088" cm="1">
        <f t="array" ref="U1243">15552-fx_qty</f>
        <v>0</v>
      </c>
      <c r="V1243" s="434">
        <f>PV_DATA[[#This Row],[QUANTITY]]*PV_DATA[[#This Row],[WATT]]/1000000</f>
        <v>0</v>
      </c>
      <c r="W1243" s="435">
        <f>PV_DATA[[#This Row],[QUANTITY]]/PV_DATA[[#This Row],[Qty/Pallet]]</f>
        <v>0</v>
      </c>
      <c r="X1243" s="1040">
        <f>PV_DATA[[#This Row],[QUANTITY]]/PV_DATA[[#This Row],[Qty/CT]]</f>
        <v>0</v>
      </c>
      <c r="Y1243" s="430" t="s">
        <v>7027</v>
      </c>
      <c r="Z1243" s="430" t="str">
        <f t="shared" si="29"/>
        <v/>
      </c>
      <c r="AA1243" s="430"/>
      <c r="AB1243" s="437"/>
      <c r="AC1243" s="485" t="str">
        <f>IF(PV_DATA[[#This Row],[Pick- Up Date]]&lt;&gt;"",_xlfn.ISOWEEKNUM(PV_DATA[[#This Row],[Pick- Up Date]]),"")</f>
        <v/>
      </c>
      <c r="AE1243" s="430"/>
      <c r="AF1243" s="430" t="s">
        <v>77</v>
      </c>
      <c r="AG1243" s="430" t="s">
        <v>61</v>
      </c>
      <c r="AH1243" s="430" t="s">
        <v>68</v>
      </c>
      <c r="AI1243" s="437"/>
      <c r="AJ1243" s="437" t="str">
        <f>IFERROR(VLOOKUP(AT1243, Vessel!A:D, 4, FALSE), "")</f>
        <v/>
      </c>
      <c r="AK1243" s="437" t="str">
        <f>IFERROR(IF(VLOOKUP(AT1243,Vessel!A:F,5,FALSE)=0,"",VLOOKUP(AT1243,Vessel!A:F,5,FALSE)),"")</f>
        <v/>
      </c>
      <c r="AM1243" s="618" t="str">
        <f>IFERROR(VLOOKUP(AT1243, Vessel!A:H, 8, FALSE), "")</f>
        <v/>
      </c>
      <c r="AN1243" s="586" t="str">
        <f>IFERROR(IF(VLOOKUP(AT1243,Vessel!A:I,9,FALSE)=0,"",VLOOKUP(AT1243,Vessel!A:I,9,FALSE)),"")</f>
        <v/>
      </c>
      <c r="AR1243" s="430"/>
      <c r="AS1243" s="430"/>
      <c r="AU12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43" s="437" t="str" cm="1">
        <f t="array" ref="AW1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3" s="437">
        <f>IF(ISERROR(PV_DATA[[#This Row],[New Ark PO status]]),"",_xlfn.XLOOKUP(PV_DATA[[#This Row],[SPTN-PVHK New Ark PO'#]],New_Ark_Data[Purchase order Number],New_Ark_Data[Estimated time of arrival],"",0))</f>
        <v>0</v>
      </c>
      <c r="AZ1243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3" s="437" t="str">
        <f>IFERROR(PV_DATA[[#This Row],[ODP ETA Port]]+PV_DATA[[#This Row],[Customs/Leg3 Assumption]],"n/a")</f>
        <v>n/a</v>
      </c>
      <c r="BB1243" s="433" t="e">
        <f>YEAR(PV_DATA[[#This Row],[ETA for New Ark update]])</f>
        <v>#VALUE!</v>
      </c>
      <c r="BC1243" s="430" t="e">
        <f>MONTH(PV_DATA[[#This Row],[ETA for New Ark update]])</f>
        <v>#VALUE!</v>
      </c>
      <c r="BD1243" s="430">
        <f>IFERROR(_xlfn.ISOWEEKNUM(PV_DATA[[#This Row],[ETA for New Ark update]]),0)</f>
        <v>0</v>
      </c>
      <c r="BE1243" s="431">
        <f>_xlfn.XLOOKUP(PV_DATA[[#This Row],[New Ark SKU]],Table9[New Ark SKU],Table9[Total PCS per Pallet],,0)</f>
        <v>36</v>
      </c>
      <c r="BF1243" s="431">
        <f>_xlfn.XLOOKUP(PV_DATA[[#This Row],[New Ark SKU]],Table9[New Ark SKU],Table9[Total PCS per 40HQ Container],,0)</f>
        <v>864</v>
      </c>
      <c r="BG1243" s="431" t="str">
        <f>_xlfn.XLOOKUP(PV_DATA[[#This Row],[New Ark SKU]],Table9[New Ark SKU],Table9[Back Glass],,0)</f>
        <v>Black glazing</v>
      </c>
      <c r="BH1243" s="610" t="str">
        <f>_xlfn.XLOOKUP(PV_DATA[[#This Row],[PORT DESTINATION]],Table12[PORT DESTINATION],Table12[Cosco Line],,0)</f>
        <v>n/a</v>
      </c>
      <c r="BJ1243" s="430"/>
    </row>
    <row r="1244" spans="1:62" ht="10.5">
      <c r="A1244" s="728" t="s">
        <v>7314</v>
      </c>
      <c r="B1244" s="439" t="s">
        <v>1757</v>
      </c>
      <c r="C1244" s="439" t="str">
        <f>IFERROR(LEFT(PV_DATA[[#This Row],[TCL REFERENCE]],FIND(".",PV_DATA[[#This Row],[TCL REFERENCE]],1)-1),"Main Line")</f>
        <v>Main Line</v>
      </c>
      <c r="D1244" s="439" t="s">
        <v>63</v>
      </c>
      <c r="E1244" s="439" t="s">
        <v>68</v>
      </c>
      <c r="F1244" s="439" t="str" cm="1">
        <f t="array" ref="F124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4" s="726" t="s">
        <v>68</v>
      </c>
      <c r="H1244" s="726" t="s">
        <v>68</v>
      </c>
      <c r="I1244" s="431" t="s">
        <v>68</v>
      </c>
      <c r="J1244" s="619" t="s">
        <v>68</v>
      </c>
      <c r="K1244" s="619"/>
      <c r="L1244" s="619"/>
      <c r="M1244" s="619" t="s">
        <v>68</v>
      </c>
      <c r="N1244" s="432">
        <v>46258</v>
      </c>
      <c r="O1244" s="431" t="s">
        <v>284</v>
      </c>
      <c r="P1244" s="430" t="s">
        <v>5851</v>
      </c>
      <c r="Q1244" s="431" t="s">
        <v>5852</v>
      </c>
      <c r="R1244" s="430" t="str">
        <f>_xlfn.XLOOKUP(PV_DATA[[#This Row],[New Ark SKU]],Table9[New Ark SKU],Table9[Connector],,0)</f>
        <v>EVO2A</v>
      </c>
      <c r="S1244" s="433" t="str">
        <f>_xlfn.XLOOKUP(PV_DATA[[#This Row],[New Ark SKU]],Table9[New Ark SKU],Table9[Cable],,0)</f>
        <v>±1200mm</v>
      </c>
      <c r="T1244" s="442">
        <v>485</v>
      </c>
      <c r="U1244" s="1093" cm="1">
        <f t="array" ref="U1244">44928-fx_qty</f>
        <v>0</v>
      </c>
      <c r="V1244" s="448">
        <f>PV_DATA[[#This Row],[QUANTITY]]*PV_DATA[[#This Row],[WATT]]/1000000</f>
        <v>0</v>
      </c>
      <c r="W1244" s="625">
        <f>PV_DATA[[#This Row],[QUANTITY]]/36</f>
        <v>0</v>
      </c>
      <c r="X1244" s="1044">
        <f>PV_DATA[[#This Row],[QUANTITY]]/PV_DATA[[#This Row],[Qty/CT]]</f>
        <v>0</v>
      </c>
      <c r="Y1244" s="431" t="s">
        <v>7027</v>
      </c>
      <c r="Z1244" s="430" t="str">
        <f t="shared" si="29"/>
        <v/>
      </c>
      <c r="AA1244" s="431"/>
      <c r="AB1244" s="441"/>
      <c r="AC1244" s="467" t="str">
        <f>IF(PV_DATA[[#This Row],[Pick- Up Date]]&lt;&gt;"",_xlfn.ISOWEEKNUM(PV_DATA[[#This Row],[Pick- Up Date]]),"")</f>
        <v/>
      </c>
      <c r="AD1244" s="431"/>
      <c r="AE1244" s="431"/>
      <c r="AF1244" s="431" t="s">
        <v>1525</v>
      </c>
      <c r="AG1244" s="431" t="s">
        <v>5994</v>
      </c>
      <c r="AH1244" s="431" t="s">
        <v>68</v>
      </c>
      <c r="AI1244" s="441"/>
      <c r="AJ1244" s="437" t="str">
        <f>IFERROR(VLOOKUP(AT1244, Vessel!A:D, 4, FALSE), "")</f>
        <v/>
      </c>
      <c r="AK1244" s="437" t="str">
        <f>IFERROR(IF(VLOOKUP(AT1244,Vessel!A:F,5,FALSE)=0,"",VLOOKUP(AT1244,Vessel!A:F,5,FALSE)),"")</f>
        <v/>
      </c>
      <c r="AL1244" s="441"/>
      <c r="AM1244" s="618" t="str">
        <f>IFERROR(VLOOKUP(AT1244, Vessel!A:H, 8, FALSE), "")</f>
        <v/>
      </c>
      <c r="AN1244" s="586" t="str">
        <f>IFERROR(IF(VLOOKUP(AT1244,Vessel!A:I,9,FALSE)=0,"",VLOOKUP(AT1244,Vessel!A:I,9,FALSE)),"")</f>
        <v/>
      </c>
      <c r="AO1244" s="431"/>
      <c r="AP1244" s="431"/>
      <c r="AQ1244" s="445"/>
      <c r="AR1244" s="431"/>
      <c r="AS1244" s="431"/>
      <c r="AT1244" s="431"/>
      <c r="AU12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4" s="431"/>
      <c r="AW1244" s="441" t="str" cm="1">
        <f t="array" ref="AW1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4" s="441">
        <f>IF(ISERROR(PV_DATA[[#This Row],[New Ark PO status]]),"",_xlfn.XLOOKUP(PV_DATA[[#This Row],[SPTN-PVHK New Ark PO'#]],New_Ark_Data[Purchase order Number],New_Ark_Data[Estimated time of arrival],"",0))</f>
        <v>0</v>
      </c>
      <c r="AZ124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4" s="441" t="str">
        <f>IFERROR(PV_DATA[[#This Row],[ODP ETA Port]]+PV_DATA[[#This Row],[Customs/Leg3 Assumption]],"n/a")</f>
        <v>n/a</v>
      </c>
      <c r="BB1244" s="442" t="e">
        <f>YEAR(PV_DATA[[#This Row],[ETA for New Ark update]])</f>
        <v>#VALUE!</v>
      </c>
      <c r="BC1244" s="431" t="e">
        <f>MONTH(PV_DATA[[#This Row],[ETA for New Ark update]])</f>
        <v>#VALUE!</v>
      </c>
      <c r="BD1244" s="431">
        <f>IFERROR(_xlfn.ISOWEEKNUM(PV_DATA[[#This Row],[ETA for New Ark update]]),0)</f>
        <v>0</v>
      </c>
      <c r="BE1244" s="431">
        <f>_xlfn.XLOOKUP(PV_DATA[[#This Row],[New Ark SKU]],Table9[New Ark SKU],Table9[Total PCS per Pallet],,0)</f>
        <v>36</v>
      </c>
      <c r="BF1244" s="431">
        <f>_xlfn.XLOOKUP(PV_DATA[[#This Row],[New Ark SKU]],Table9[New Ark SKU],Table9[Total PCS per 40HQ Container],,0)</f>
        <v>936</v>
      </c>
      <c r="BG1244" s="431" t="str">
        <f>_xlfn.XLOOKUP(PV_DATA[[#This Row],[New Ark SKU]],Table9[New Ark SKU],Table9[Back Glass],,0)</f>
        <v>Black glazing</v>
      </c>
      <c r="BH1244" s="622" t="str">
        <f>_xlfn.XLOOKUP(PV_DATA[[#This Row],[PORT DESTINATION]],Table12[PORT DESTINATION],Table12[Cosco Line],,0)</f>
        <v>n/a</v>
      </c>
      <c r="BJ1244" s="430"/>
    </row>
    <row r="1245" spans="1:62" ht="10.5">
      <c r="A1245" s="728" t="s">
        <v>7315</v>
      </c>
      <c r="B1245" s="439" t="s">
        <v>1757</v>
      </c>
      <c r="C1245" s="439" t="str">
        <f>IFERROR(LEFT(PV_DATA[[#This Row],[TCL REFERENCE]],FIND(".",PV_DATA[[#This Row],[TCL REFERENCE]],1)-1),"Main Line")</f>
        <v>Main Line</v>
      </c>
      <c r="D1245" s="439" t="s">
        <v>63</v>
      </c>
      <c r="E1245" s="439" t="s">
        <v>68</v>
      </c>
      <c r="F1245" s="439" t="str" cm="1">
        <f t="array" ref="F124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5" s="726" t="s">
        <v>68</v>
      </c>
      <c r="H1245" s="726" t="s">
        <v>68</v>
      </c>
      <c r="I1245" s="431" t="s">
        <v>68</v>
      </c>
      <c r="J1245" s="619" t="s">
        <v>68</v>
      </c>
      <c r="K1245" s="619"/>
      <c r="L1245" s="619"/>
      <c r="M1245" s="619" t="s">
        <v>68</v>
      </c>
      <c r="N1245" s="432" t="s">
        <v>6202</v>
      </c>
      <c r="O1245" s="431" t="s">
        <v>284</v>
      </c>
      <c r="P1245" s="430" t="s">
        <v>6209</v>
      </c>
      <c r="Q1245" s="431" t="s">
        <v>6210</v>
      </c>
      <c r="R1245" s="430" t="str">
        <f>_xlfn.XLOOKUP(PV_DATA[[#This Row],[New Ark SKU]],Table9[New Ark SKU],Table9[Connector],,0)</f>
        <v>EVO2A</v>
      </c>
      <c r="S1245" s="433" t="str">
        <f>_xlfn.XLOOKUP(PV_DATA[[#This Row],[New Ark SKU]],Table9[New Ark SKU],Table9[Cable],,0)</f>
        <v>±1200mm</v>
      </c>
      <c r="T1245" s="442">
        <v>490</v>
      </c>
      <c r="U1245" s="1093" cm="1">
        <f t="array" ref="U1245">6552-fx_qty</f>
        <v>0</v>
      </c>
      <c r="V1245" s="448">
        <f>PV_DATA[[#This Row],[QUANTITY]]*PV_DATA[[#This Row],[WATT]]/1000000</f>
        <v>0</v>
      </c>
      <c r="W1245" s="625">
        <f>PV_DATA[[#This Row],[QUANTITY]]/36</f>
        <v>0</v>
      </c>
      <c r="X1245" s="1044">
        <f>PV_DATA[[#This Row],[QUANTITY]]/PV_DATA[[#This Row],[Qty/CT]]</f>
        <v>0</v>
      </c>
      <c r="Y1245" s="431" t="s">
        <v>7027</v>
      </c>
      <c r="Z1245" s="430" t="str">
        <f t="shared" si="29"/>
        <v/>
      </c>
      <c r="AA1245" s="431"/>
      <c r="AB1245" s="441"/>
      <c r="AC1245" s="467" t="str">
        <f>IF(PV_DATA[[#This Row],[Pick- Up Date]]&lt;&gt;"",_xlfn.ISOWEEKNUM(PV_DATA[[#This Row],[Pick- Up Date]]),"")</f>
        <v/>
      </c>
      <c r="AD1245" s="431"/>
      <c r="AE1245" s="431"/>
      <c r="AF1245" s="431" t="s">
        <v>1525</v>
      </c>
      <c r="AG1245" s="431" t="s">
        <v>5994</v>
      </c>
      <c r="AH1245" s="431" t="s">
        <v>68</v>
      </c>
      <c r="AI1245" s="441"/>
      <c r="AJ1245" s="437" t="str">
        <f>IFERROR(VLOOKUP(AT1245, Vessel!A:D, 4, FALSE), "")</f>
        <v/>
      </c>
      <c r="AK1245" s="437" t="str">
        <f>IFERROR(IF(VLOOKUP(AT1245,Vessel!A:F,5,FALSE)=0,"",VLOOKUP(AT1245,Vessel!A:F,5,FALSE)),"")</f>
        <v/>
      </c>
      <c r="AL1245" s="441"/>
      <c r="AM1245" s="441"/>
      <c r="AN1245" s="586" t="str">
        <f>IFERROR(IF(VLOOKUP(AT1245,Vessel!A:I,9,FALSE)=0,"",VLOOKUP(AT1245,Vessel!A:I,9,FALSE)),"")</f>
        <v/>
      </c>
      <c r="AO1245" s="431"/>
      <c r="AP1245" s="431"/>
      <c r="AQ1245" s="445"/>
      <c r="AR1245" s="431"/>
      <c r="AS1245" s="431"/>
      <c r="AT1245" s="431"/>
      <c r="AU12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5" s="431"/>
      <c r="AW1245" s="441" t="str" cm="1">
        <f t="array" ref="AW1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5" s="441">
        <f>IF(ISERROR(PV_DATA[[#This Row],[New Ark PO status]]),"",_xlfn.XLOOKUP(PV_DATA[[#This Row],[SPTN-PVHK New Ark PO'#]],New_Ark_Data[Purchase order Number],New_Ark_Data[Estimated time of arrival],"",0))</f>
        <v>0</v>
      </c>
      <c r="AZ124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5" s="441" t="str">
        <f>IFERROR(PV_DATA[[#This Row],[ODP ETA Port]]+PV_DATA[[#This Row],[Customs/Leg3 Assumption]],"n/a")</f>
        <v>n/a</v>
      </c>
      <c r="BB1245" s="442" t="e">
        <f>YEAR(PV_DATA[[#This Row],[ETA for New Ark update]])</f>
        <v>#VALUE!</v>
      </c>
      <c r="BC1245" s="431" t="e">
        <f>MONTH(PV_DATA[[#This Row],[ETA for New Ark update]])</f>
        <v>#VALUE!</v>
      </c>
      <c r="BD1245" s="431">
        <f>IFERROR(_xlfn.ISOWEEKNUM(PV_DATA[[#This Row],[ETA for New Ark update]]),0)</f>
        <v>0</v>
      </c>
      <c r="BE1245" s="431">
        <f>_xlfn.XLOOKUP(PV_DATA[[#This Row],[New Ark SKU]],Table9[New Ark SKU],Table9[Total PCS per Pallet],,0)</f>
        <v>36</v>
      </c>
      <c r="BF1245" s="431">
        <f>_xlfn.XLOOKUP(PV_DATA[[#This Row],[New Ark SKU]],Table9[New Ark SKU],Table9[Total PCS per 40HQ Container],,0)</f>
        <v>936</v>
      </c>
      <c r="BG1245" s="431" t="str">
        <f>_xlfn.XLOOKUP(PV_DATA[[#This Row],[New Ark SKU]],Table9[New Ark SKU],Table9[Back Glass],,0)</f>
        <v>Black glazing</v>
      </c>
      <c r="BH1245" s="622" t="str">
        <f>_xlfn.XLOOKUP(PV_DATA[[#This Row],[PORT DESTINATION]],Table12[PORT DESTINATION],Table12[Cosco Line],,0)</f>
        <v>n/a</v>
      </c>
      <c r="BJ1245" s="430"/>
    </row>
    <row r="1246" spans="1:62" ht="10.5">
      <c r="A1246" s="727" t="s">
        <v>7316</v>
      </c>
      <c r="B1246" s="726" t="s">
        <v>111</v>
      </c>
      <c r="C1246" s="439" t="str">
        <f>IFERROR(LEFT(PV_DATA[[#This Row],[TCL REFERENCE]],FIND(".",PV_DATA[[#This Row],[TCL REFERENCE]],1)-1),"Main Line")</f>
        <v>Main Line</v>
      </c>
      <c r="D1246" s="726" t="s">
        <v>113</v>
      </c>
      <c r="E1246" s="439" t="s">
        <v>68</v>
      </c>
      <c r="F1246" s="439" t="str" cm="1">
        <f t="array" ref="F124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6" s="726" t="s">
        <v>68</v>
      </c>
      <c r="H1246" s="726" t="s">
        <v>68</v>
      </c>
      <c r="I1246" s="431" t="s">
        <v>68</v>
      </c>
      <c r="J1246" s="619" t="s">
        <v>68</v>
      </c>
      <c r="K1246" s="619"/>
      <c r="L1246" s="619"/>
      <c r="M1246" s="619" t="s">
        <v>68</v>
      </c>
      <c r="N1246" s="630"/>
      <c r="O1246" s="619" t="s">
        <v>4531</v>
      </c>
      <c r="P1246" s="623" t="s">
        <v>6235</v>
      </c>
      <c r="Q1246" s="619" t="s">
        <v>330</v>
      </c>
      <c r="R1246" s="430" t="str">
        <f>_xlfn.XLOOKUP(PV_DATA[[#This Row],[New Ark SKU]],Table9[New Ark SKU],Table9[Connector],,0)</f>
        <v>H4(Com)</v>
      </c>
      <c r="S1246" s="433" t="str">
        <f>_xlfn.XLOOKUP(PV_DATA[[#This Row],[New Ark SKU]],Table9[New Ark SKU],Table9[Cable],,0)</f>
        <v>+400mm/-200mm</v>
      </c>
      <c r="T1246" s="620">
        <v>625</v>
      </c>
      <c r="U1246" s="1093" cm="1">
        <f t="array" ref="U1246">84240-fx_qty</f>
        <v>0</v>
      </c>
      <c r="V1246" s="624">
        <f>PV_DATA[[#This Row],[QUANTITY]]*PV_DATA[[#This Row],[WATT]]/1000000</f>
        <v>0</v>
      </c>
      <c r="W1246" s="466">
        <f>PV_DATA[[#This Row],[QUANTITY]]/36</f>
        <v>0</v>
      </c>
      <c r="X1246" s="1047">
        <f>PV_DATA[[#This Row],[QUANTITY]]/PV_DATA[[#This Row],[Qty/CT]]</f>
        <v>0</v>
      </c>
      <c r="Y1246" s="431" t="s">
        <v>7027</v>
      </c>
      <c r="Z1246" s="430" t="str">
        <f t="shared" si="29"/>
        <v/>
      </c>
      <c r="AA1246" s="619"/>
      <c r="AB1246" s="626"/>
      <c r="AC1246" s="627" t="str">
        <f>IF(PV_DATA[[#This Row],[Pick- Up Date]]&lt;&gt;"",_xlfn.ISOWEEKNUM(PV_DATA[[#This Row],[Pick- Up Date]]),"")</f>
        <v/>
      </c>
      <c r="AD1246" s="619"/>
      <c r="AE1246" s="619"/>
      <c r="AF1246" s="619" t="s">
        <v>122</v>
      </c>
      <c r="AG1246" s="619" t="s">
        <v>122</v>
      </c>
      <c r="AH1246" s="430" t="s">
        <v>68</v>
      </c>
      <c r="AI1246" s="626"/>
      <c r="AJ1246" s="437" t="str">
        <f>IFERROR(VLOOKUP(AT1246, Vessel!A:D, 4, FALSE), "")</f>
        <v/>
      </c>
      <c r="AK1246" s="437" t="str">
        <f>IFERROR(IF(VLOOKUP(AT1246,Vessel!A:F,5,FALSE)=0,"",VLOOKUP(AT1246,Vessel!A:F,5,FALSE)),"")</f>
        <v/>
      </c>
      <c r="AL1246" s="626"/>
      <c r="AM1246" s="626"/>
      <c r="AN1246" s="586" t="str">
        <f>IFERROR(IF(VLOOKUP(AT1246,Vessel!A:I,9,FALSE)=0,"",VLOOKUP(AT1246,Vessel!A:I,9,FALSE)),"")</f>
        <v/>
      </c>
      <c r="AO1246" s="619"/>
      <c r="AP1246" s="619"/>
      <c r="AQ1246" s="628"/>
      <c r="AR1246" s="619"/>
      <c r="AS1246" s="619"/>
      <c r="AT1246" s="431"/>
      <c r="AU12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6" s="619"/>
      <c r="AW1246" s="626" t="str" cm="1">
        <f t="array" ref="AW1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6" s="626">
        <f>IF(ISERROR(PV_DATA[[#This Row],[New Ark PO status]]),"",_xlfn.XLOOKUP(PV_DATA[[#This Row],[SPTN-PVHK New Ark PO'#]],New_Ark_Data[Purchase order Number],New_Ark_Data[Estimated time of arrival],"",0))</f>
        <v>0</v>
      </c>
      <c r="AZ1246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6" s="626" t="str">
        <f>IFERROR(PV_DATA[[#This Row],[ODP ETA Port]]+PV_DATA[[#This Row],[Customs/Leg3 Assumption]],"n/a")</f>
        <v>n/a</v>
      </c>
      <c r="BB1246" s="442" t="s">
        <v>6315</v>
      </c>
      <c r="BC1246" s="442" t="s">
        <v>6315</v>
      </c>
      <c r="BD1246" s="619">
        <f>IFERROR(_xlfn.ISOWEEKNUM(PV_DATA[[#This Row],[ETA for New Ark update]]),0)</f>
        <v>0</v>
      </c>
      <c r="BE1246" s="431">
        <f>_xlfn.XLOOKUP(PV_DATA[[#This Row],[New Ark SKU]],Table9[New Ark SKU],Table9[Total PCS per Pallet],,0)</f>
        <v>36</v>
      </c>
      <c r="BF1246" s="431">
        <f>_xlfn.XLOOKUP(PV_DATA[[#This Row],[New Ark SKU]],Table9[New Ark SKU],Table9[Total PCS per 40HQ Container],,0)</f>
        <v>720</v>
      </c>
      <c r="BG1246" s="431" t="str">
        <f>_xlfn.XLOOKUP(PV_DATA[[#This Row],[New Ark SKU]],Table9[New Ark SKU],Table9[Back Glass],,0)</f>
        <v>Redirection Film</v>
      </c>
      <c r="BH1246" s="629" t="str">
        <f>_xlfn.XLOOKUP(PV_DATA[[#This Row],[PORT DESTINATION]],Table12[PORT DESTINATION],Table12[Cosco Line],,0)</f>
        <v>n/a</v>
      </c>
      <c r="BJ1246" s="430"/>
    </row>
    <row r="1247" spans="1:62" ht="10.5">
      <c r="A1247" s="727" t="s">
        <v>7317</v>
      </c>
      <c r="B1247" s="726" t="s">
        <v>111</v>
      </c>
      <c r="C1247" s="439" t="str">
        <f>IFERROR(LEFT(PV_DATA[[#This Row],[TCL REFERENCE]],FIND(".",PV_DATA[[#This Row],[TCL REFERENCE]],1)-1),"Main Line")</f>
        <v>26Aug010</v>
      </c>
      <c r="D1247" s="726" t="s">
        <v>113</v>
      </c>
      <c r="E1247" s="439" t="s">
        <v>68</v>
      </c>
      <c r="F1247" s="439" t="str" cm="1">
        <f t="array" ref="F124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7" s="439" t="s">
        <v>402</v>
      </c>
      <c r="H1247" s="439" t="s">
        <v>67</v>
      </c>
      <c r="I1247" s="439" t="s">
        <v>689</v>
      </c>
      <c r="J1247" s="431" t="s">
        <v>96</v>
      </c>
      <c r="K1247" s="619"/>
      <c r="L1247" s="619"/>
      <c r="M1247" s="431" t="s">
        <v>68</v>
      </c>
      <c r="N1247" s="630"/>
      <c r="O1247" s="619" t="s">
        <v>4531</v>
      </c>
      <c r="P1247" s="623" t="s">
        <v>6235</v>
      </c>
      <c r="Q1247" s="619" t="s">
        <v>330</v>
      </c>
      <c r="R1247" s="430" t="str">
        <f>_xlfn.XLOOKUP(PV_DATA[[#This Row],[New Ark SKU]],Table9[New Ark SKU],Table9[Connector],,0)</f>
        <v>H4(Com)</v>
      </c>
      <c r="S1247" s="433" t="str">
        <f>_xlfn.XLOOKUP(PV_DATA[[#This Row],[New Ark SKU]],Table9[New Ark SKU],Table9[Cable],,0)</f>
        <v>+400mm/-200mm</v>
      </c>
      <c r="T1247" s="620">
        <v>625</v>
      </c>
      <c r="U1247" s="1093">
        <f>720*4</f>
        <v>2880</v>
      </c>
      <c r="V1247" s="624">
        <f>PV_DATA[[#This Row],[QUANTITY]]*PV_DATA[[#This Row],[WATT]]/1000000</f>
        <v>1.8</v>
      </c>
      <c r="W1247" s="466">
        <f>PV_DATA[[#This Row],[QUANTITY]]/36</f>
        <v>80</v>
      </c>
      <c r="X1247" s="1047">
        <f>PV_DATA[[#This Row],[QUANTITY]]/PV_DATA[[#This Row],[Qty/CT]]</f>
        <v>4</v>
      </c>
      <c r="Y1247" s="431" t="s">
        <v>7027</v>
      </c>
      <c r="Z1247" s="430" t="str">
        <f t="shared" si="29"/>
        <v/>
      </c>
      <c r="AA1247" s="619" t="s">
        <v>5853</v>
      </c>
      <c r="AB1247" s="626"/>
      <c r="AC1247" s="627" t="str">
        <f>IF(PV_DATA[[#This Row],[Pick- Up Date]]&lt;&gt;"",_xlfn.ISOWEEKNUM(PV_DATA[[#This Row],[Pick- Up Date]]),"")</f>
        <v/>
      </c>
      <c r="AD1247" s="619"/>
      <c r="AE1247" s="619"/>
      <c r="AF1247" s="619" t="s">
        <v>122</v>
      </c>
      <c r="AG1247" s="619" t="s">
        <v>122</v>
      </c>
      <c r="AH1247" s="431" t="s">
        <v>68</v>
      </c>
      <c r="AI1247" s="626"/>
      <c r="AJ1247" s="437" t="str">
        <f>IFERROR(VLOOKUP(AT1247, Vessel!A:D, 4, FALSE), "")</f>
        <v/>
      </c>
      <c r="AK1247" s="437" t="str">
        <f>IFERROR(IF(VLOOKUP(AT1247,Vessel!A:F,5,FALSE)=0,"",VLOOKUP(AT1247,Vessel!A:F,5,FALSE)),"")</f>
        <v/>
      </c>
      <c r="AL1247" s="626"/>
      <c r="AM1247" s="626"/>
      <c r="AN1247" s="586" t="str">
        <f>IFERROR(IF(VLOOKUP(AT1247,Vessel!A:I,9,FALSE)=0,"",VLOOKUP(AT1247,Vessel!A:I,9,FALSE)),"")</f>
        <v/>
      </c>
      <c r="AO1247" s="619"/>
      <c r="AP1247" s="619"/>
      <c r="AQ1247" s="628"/>
      <c r="AR1247" s="619"/>
      <c r="AS1247" s="619"/>
      <c r="AT1247" s="431"/>
      <c r="AU12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7" s="619"/>
      <c r="AW1247" s="626" cm="1">
        <f t="array" ref="AW1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4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7" s="626">
        <f>IF(ISERROR(PV_DATA[[#This Row],[New Ark PO status]]),"",_xlfn.XLOOKUP(PV_DATA[[#This Row],[SPTN-PVHK New Ark PO'#]],New_Ark_Data[Purchase order Number],New_Ark_Data[Estimated time of arrival],"",0))</f>
        <v>0</v>
      </c>
      <c r="AZ1247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7" s="626">
        <f>IFERROR(PV_DATA[[#This Row],[ODP ETA Port]]+PV_DATA[[#This Row],[Customs/Leg3 Assumption]],"n/a")</f>
        <v>46355</v>
      </c>
      <c r="BB1247" s="442" t="s">
        <v>6536</v>
      </c>
      <c r="BC1247" s="442" t="s">
        <v>6536</v>
      </c>
      <c r="BD1247" s="619">
        <f>IFERROR(_xlfn.ISOWEEKNUM(PV_DATA[[#This Row],[ETA for New Ark update]]),0)</f>
        <v>48</v>
      </c>
      <c r="BE1247" s="431">
        <f>_xlfn.XLOOKUP(PV_DATA[[#This Row],[New Ark SKU]],Table9[New Ark SKU],Table9[Total PCS per Pallet],,0)</f>
        <v>36</v>
      </c>
      <c r="BF1247" s="431">
        <f>_xlfn.XLOOKUP(PV_DATA[[#This Row],[New Ark SKU]],Table9[New Ark SKU],Table9[Total PCS per 40HQ Container],,0)</f>
        <v>720</v>
      </c>
      <c r="BG1247" s="431" t="str">
        <f>_xlfn.XLOOKUP(PV_DATA[[#This Row],[New Ark SKU]],Table9[New Ark SKU],Table9[Back Glass],,0)</f>
        <v>Redirection Film</v>
      </c>
      <c r="BH1247" s="629" t="str">
        <f>_xlfn.XLOOKUP(PV_DATA[[#This Row],[PORT DESTINATION]],Table12[PORT DESTINATION],Table12[Cosco Line],,0)</f>
        <v>n/a</v>
      </c>
      <c r="BJ1247" s="430"/>
    </row>
    <row r="1248" spans="1:62" ht="10.5">
      <c r="A1248" s="727" t="s">
        <v>7318</v>
      </c>
      <c r="B1248" s="726" t="s">
        <v>111</v>
      </c>
      <c r="C1248" s="439" t="str">
        <f>IFERROR(LEFT(PV_DATA[[#This Row],[TCL REFERENCE]],FIND(".",PV_DATA[[#This Row],[TCL REFERENCE]],1)-1),"Main Line")</f>
        <v>Main Line</v>
      </c>
      <c r="D1248" s="726" t="s">
        <v>113</v>
      </c>
      <c r="E1248" s="439" t="s">
        <v>68</v>
      </c>
      <c r="F1248" s="439" t="str" cm="1">
        <f t="array" ref="F124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8" s="726" t="s">
        <v>68</v>
      </c>
      <c r="H1248" s="726" t="s">
        <v>68</v>
      </c>
      <c r="I1248" s="431" t="s">
        <v>68</v>
      </c>
      <c r="J1248" s="619" t="s">
        <v>68</v>
      </c>
      <c r="K1248" s="619"/>
      <c r="L1248" s="619"/>
      <c r="M1248" s="619" t="s">
        <v>68</v>
      </c>
      <c r="N1248" s="630"/>
      <c r="O1248" s="619" t="s">
        <v>4531</v>
      </c>
      <c r="P1248" s="623" t="s">
        <v>6461</v>
      </c>
      <c r="Q1248" s="619" t="s">
        <v>4598</v>
      </c>
      <c r="R1248" s="430" t="str">
        <f>_xlfn.XLOOKUP(PV_DATA[[#This Row],[New Ark SKU]],Table9[New Ark SKU],Table9[Connector],,0)</f>
        <v>H4(Com)</v>
      </c>
      <c r="S1248" s="433" t="str">
        <f>_xlfn.XLOOKUP(PV_DATA[[#This Row],[New Ark SKU]],Table9[New Ark SKU],Table9[Cable],,0)</f>
        <v>+400mm/-200mm</v>
      </c>
      <c r="T1248" s="620">
        <v>630</v>
      </c>
      <c r="U1248" s="1093" cm="1">
        <f t="array" ref="U1248">29520-fx_qty</f>
        <v>0</v>
      </c>
      <c r="V1248" s="624">
        <f>PV_DATA[[#This Row],[QUANTITY]]*PV_DATA[[#This Row],[WATT]]/1000000</f>
        <v>0</v>
      </c>
      <c r="W1248" s="466">
        <f>PV_DATA[[#This Row],[QUANTITY]]/36</f>
        <v>0</v>
      </c>
      <c r="X1248" s="1047">
        <f>PV_DATA[[#This Row],[QUANTITY]]/PV_DATA[[#This Row],[Qty/CT]]</f>
        <v>0</v>
      </c>
      <c r="Y1248" s="431" t="s">
        <v>7027</v>
      </c>
      <c r="Z1248" s="430" t="str">
        <f t="shared" si="29"/>
        <v/>
      </c>
      <c r="AA1248" s="619"/>
      <c r="AB1248" s="626"/>
      <c r="AC1248" s="627" t="str">
        <f>IF(PV_DATA[[#This Row],[Pick- Up Date]]&lt;&gt;"",_xlfn.ISOWEEKNUM(PV_DATA[[#This Row],[Pick- Up Date]]),"")</f>
        <v/>
      </c>
      <c r="AD1248" s="619"/>
      <c r="AE1248" s="619"/>
      <c r="AF1248" s="619" t="s">
        <v>122</v>
      </c>
      <c r="AG1248" s="619" t="s">
        <v>122</v>
      </c>
      <c r="AH1248" s="430" t="s">
        <v>68</v>
      </c>
      <c r="AI1248" s="626"/>
      <c r="AJ1248" s="437" t="str">
        <f>IFERROR(VLOOKUP(AT1248, Vessel!A:D, 4, FALSE), "")</f>
        <v/>
      </c>
      <c r="AK1248" s="437" t="str">
        <f>IFERROR(IF(VLOOKUP(AT1248,Vessel!A:F,5,FALSE)=0,"",VLOOKUP(AT1248,Vessel!A:F,5,FALSE)),"")</f>
        <v/>
      </c>
      <c r="AL1248" s="626"/>
      <c r="AM1248" s="626"/>
      <c r="AN1248" s="586" t="str">
        <f>IFERROR(IF(VLOOKUP(AT1248,Vessel!A:I,9,FALSE)=0,"",VLOOKUP(AT1248,Vessel!A:I,9,FALSE)),"")</f>
        <v/>
      </c>
      <c r="AO1248" s="619"/>
      <c r="AP1248" s="619"/>
      <c r="AQ1248" s="628"/>
      <c r="AR1248" s="619"/>
      <c r="AS1248" s="619"/>
      <c r="AT1248" s="431"/>
      <c r="AU12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8" s="619"/>
      <c r="AW1248" s="626" t="str" cm="1">
        <f t="array" ref="AW1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8" s="626">
        <f>IF(ISERROR(PV_DATA[[#This Row],[New Ark PO status]]),"",_xlfn.XLOOKUP(PV_DATA[[#This Row],[SPTN-PVHK New Ark PO'#]],New_Ark_Data[Purchase order Number],New_Ark_Data[Estimated time of arrival],"",0))</f>
        <v>0</v>
      </c>
      <c r="AZ1248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8" s="626" t="str">
        <f>IFERROR(PV_DATA[[#This Row],[ODP ETA Port]]+PV_DATA[[#This Row],[Customs/Leg3 Assumption]],"n/a")</f>
        <v>n/a</v>
      </c>
      <c r="BB1248" s="620" t="e">
        <f>YEAR(PV_DATA[[#This Row],[ETA for New Ark update]])</f>
        <v>#VALUE!</v>
      </c>
      <c r="BC1248" s="619" t="e">
        <f>MONTH(PV_DATA[[#This Row],[ETA for New Ark update]])</f>
        <v>#VALUE!</v>
      </c>
      <c r="BD1248" s="619">
        <f>IFERROR(_xlfn.ISOWEEKNUM(PV_DATA[[#This Row],[ETA for New Ark update]]),0)</f>
        <v>0</v>
      </c>
      <c r="BE1248" s="431">
        <f>_xlfn.XLOOKUP(PV_DATA[[#This Row],[New Ark SKU]],Table9[New Ark SKU],Table9[Total PCS per Pallet],,0)</f>
        <v>36</v>
      </c>
      <c r="BF1248" s="431">
        <f>_xlfn.XLOOKUP(PV_DATA[[#This Row],[New Ark SKU]],Table9[New Ark SKU],Table9[Total PCS per 40HQ Container],,0)</f>
        <v>720</v>
      </c>
      <c r="BG1248" s="431" t="str">
        <f>_xlfn.XLOOKUP(PV_DATA[[#This Row],[New Ark SKU]],Table9[New Ark SKU],Table9[Back Glass],,0)</f>
        <v>Redirection Film</v>
      </c>
      <c r="BH1248" s="629" t="str">
        <f>_xlfn.XLOOKUP(PV_DATA[[#This Row],[PORT DESTINATION]],Table12[PORT DESTINATION],Table12[Cosco Line],,0)</f>
        <v>n/a</v>
      </c>
      <c r="BJ1248" s="430"/>
    </row>
    <row r="1249" spans="1:62" ht="10.5">
      <c r="A1249" s="727" t="s">
        <v>7319</v>
      </c>
      <c r="B1249" s="726" t="s">
        <v>111</v>
      </c>
      <c r="C1249" s="439" t="str">
        <f>IFERROR(LEFT(PV_DATA[[#This Row],[TCL REFERENCE]],FIND(".",PV_DATA[[#This Row],[TCL REFERENCE]],1)-1),"Main Line")</f>
        <v>26Aug025</v>
      </c>
      <c r="D1249" s="726" t="s">
        <v>113</v>
      </c>
      <c r="E1249" s="439" t="s">
        <v>68</v>
      </c>
      <c r="F1249" s="439" t="str" cm="1">
        <f t="array" ref="F124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9" s="439" t="s">
        <v>68</v>
      </c>
      <c r="H1249" s="439" t="s">
        <v>68</v>
      </c>
      <c r="I1249" s="439" t="s">
        <v>68</v>
      </c>
      <c r="J1249" s="431" t="s">
        <v>68</v>
      </c>
      <c r="K1249" s="619"/>
      <c r="L1249" s="619"/>
      <c r="M1249" s="431" t="s">
        <v>68</v>
      </c>
      <c r="N1249" s="630"/>
      <c r="O1249" s="619" t="s">
        <v>4531</v>
      </c>
      <c r="P1249" s="623" t="s">
        <v>6461</v>
      </c>
      <c r="Q1249" s="619" t="s">
        <v>4598</v>
      </c>
      <c r="R1249" s="430" t="str">
        <f>_xlfn.XLOOKUP(PV_DATA[[#This Row],[New Ark SKU]],Table9[New Ark SKU],Table9[Connector],,0)</f>
        <v>H4(Com)</v>
      </c>
      <c r="S1249" s="433" t="str">
        <f>_xlfn.XLOOKUP(PV_DATA[[#This Row],[New Ark SKU]],Table9[New Ark SKU],Table9[Cable],,0)</f>
        <v>+400mm/-200mm</v>
      </c>
      <c r="T1249" s="620">
        <v>630</v>
      </c>
      <c r="U1249" s="1093">
        <f>720*9</f>
        <v>6480</v>
      </c>
      <c r="V1249" s="624">
        <f>PV_DATA[[#This Row],[QUANTITY]]*PV_DATA[[#This Row],[WATT]]/1000000</f>
        <v>4.0823999999999998</v>
      </c>
      <c r="W1249" s="466">
        <f>PV_DATA[[#This Row],[QUANTITY]]/36</f>
        <v>180</v>
      </c>
      <c r="X1249" s="1047">
        <f>PV_DATA[[#This Row],[QUANTITY]]/PV_DATA[[#This Row],[Qty/CT]]</f>
        <v>9</v>
      </c>
      <c r="Y1249" s="431" t="s">
        <v>2473</v>
      </c>
      <c r="Z1249" s="430" t="str">
        <f t="shared" si="29"/>
        <v/>
      </c>
      <c r="AA1249" s="619" t="s">
        <v>7320</v>
      </c>
      <c r="AB1249" s="626"/>
      <c r="AC1249" s="627" t="str">
        <f>IF(PV_DATA[[#This Row],[Pick- Up Date]]&lt;&gt;"",_xlfn.ISOWEEKNUM(PV_DATA[[#This Row],[Pick- Up Date]]),"")</f>
        <v/>
      </c>
      <c r="AD1249" s="619"/>
      <c r="AE1249" s="619"/>
      <c r="AF1249" s="619" t="s">
        <v>122</v>
      </c>
      <c r="AG1249" s="619" t="s">
        <v>122</v>
      </c>
      <c r="AH1249" s="430" t="s">
        <v>68</v>
      </c>
      <c r="AI1249" s="626"/>
      <c r="AJ1249" s="437" t="str">
        <f>IFERROR(VLOOKUP(AT1249, Vessel!A:D, 4, FALSE), "")</f>
        <v/>
      </c>
      <c r="AK1249" s="437" t="str">
        <f>IFERROR(IF(VLOOKUP(AT1249,Vessel!A:F,5,FALSE)=0,"",VLOOKUP(AT1249,Vessel!A:F,5,FALSE)),"")</f>
        <v/>
      </c>
      <c r="AL1249" s="626"/>
      <c r="AM1249" s="626"/>
      <c r="AN1249" s="586" t="str">
        <f>IFERROR(IF(VLOOKUP(AT1249,Vessel!A:I,9,FALSE)=0,"",VLOOKUP(AT1249,Vessel!A:I,9,FALSE)),"")</f>
        <v/>
      </c>
      <c r="AO1249" s="619"/>
      <c r="AP1249" s="619"/>
      <c r="AQ1249" s="628"/>
      <c r="AR1249" s="619"/>
      <c r="AS1249" s="619"/>
      <c r="AT1249" s="431"/>
      <c r="AU12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9" s="619"/>
      <c r="AW1249" s="626" t="str" cm="1">
        <f t="array" ref="AW1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9" s="626">
        <f>IF(ISERROR(PV_DATA[[#This Row],[New Ark PO status]]),"",_xlfn.XLOOKUP(PV_DATA[[#This Row],[SPTN-PVHK New Ark PO'#]],New_Ark_Data[Purchase order Number],New_Ark_Data[Estimated time of arrival],"",0))</f>
        <v>0</v>
      </c>
      <c r="AZ1249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9" s="626" t="str">
        <f>IFERROR(PV_DATA[[#This Row],[ODP ETA Port]]+PV_DATA[[#This Row],[Customs/Leg3 Assumption]],"n/a")</f>
        <v>n/a</v>
      </c>
      <c r="BB1249" s="620" t="e">
        <f>YEAR(PV_DATA[[#This Row],[ETA for New Ark update]])</f>
        <v>#VALUE!</v>
      </c>
      <c r="BC1249" s="619" t="e">
        <f>MONTH(PV_DATA[[#This Row],[ETA for New Ark update]])</f>
        <v>#VALUE!</v>
      </c>
      <c r="BD1249" s="619">
        <f>IFERROR(_xlfn.ISOWEEKNUM(PV_DATA[[#This Row],[ETA for New Ark update]]),0)</f>
        <v>0</v>
      </c>
      <c r="BE1249" s="431">
        <f>_xlfn.XLOOKUP(PV_DATA[[#This Row],[New Ark SKU]],Table9[New Ark SKU],Table9[Total PCS per Pallet],,0)</f>
        <v>36</v>
      </c>
      <c r="BF1249" s="431">
        <f>_xlfn.XLOOKUP(PV_DATA[[#This Row],[New Ark SKU]],Table9[New Ark SKU],Table9[Total PCS per 40HQ Container],,0)</f>
        <v>720</v>
      </c>
      <c r="BG1249" s="431" t="str">
        <f>_xlfn.XLOOKUP(PV_DATA[[#This Row],[New Ark SKU]],Table9[New Ark SKU],Table9[Back Glass],,0)</f>
        <v>Redirection Film</v>
      </c>
      <c r="BH1249" s="629" t="str">
        <f>_xlfn.XLOOKUP(PV_DATA[[#This Row],[PORT DESTINATION]],Table12[PORT DESTINATION],Table12[Cosco Line],,0)</f>
        <v>n/a</v>
      </c>
      <c r="BJ1249" s="430"/>
    </row>
    <row r="1250" spans="1:62" ht="10.5">
      <c r="A1250" s="727" t="s">
        <v>7321</v>
      </c>
      <c r="B1250" s="439" t="s">
        <v>61</v>
      </c>
      <c r="C1250" s="439" t="str">
        <f>IFERROR(LEFT(PV_DATA[[#This Row],[TCL REFERENCE]],FIND(".",PV_DATA[[#This Row],[TCL REFERENCE]],1)-1),"Main Line")</f>
        <v>Main Line</v>
      </c>
      <c r="D1250" s="726" t="s">
        <v>113</v>
      </c>
      <c r="E1250" s="439" t="s">
        <v>144</v>
      </c>
      <c r="F1250" s="439" t="str" cm="1">
        <f t="array" ref="F1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50" s="439" t="s">
        <v>156</v>
      </c>
      <c r="H1250" s="439" t="s">
        <v>670</v>
      </c>
      <c r="I1250" s="439" t="s">
        <v>1395</v>
      </c>
      <c r="J1250" s="439" t="s">
        <v>670</v>
      </c>
      <c r="K1250" s="431" t="s">
        <v>6720</v>
      </c>
      <c r="L1250" s="431"/>
      <c r="M1250" s="450" t="s">
        <v>840</v>
      </c>
      <c r="N1250" s="461"/>
      <c r="O1250" s="431" t="s">
        <v>284</v>
      </c>
      <c r="P1250" s="430" t="s">
        <v>6721</v>
      </c>
      <c r="Q1250" s="431" t="s">
        <v>1570</v>
      </c>
      <c r="R1250" s="430" t="str">
        <f>_xlfn.XLOOKUP(PV_DATA[[#This Row],[New Ark SKU]],Table9[New Ark SKU],Table9[Connector],,0)</f>
        <v>H4(Com)</v>
      </c>
      <c r="S1250" s="433" t="str">
        <f>_xlfn.XLOOKUP(PV_DATA[[#This Row],[New Ark SKU]],Table9[New Ark SKU],Table9[Cable],,0)</f>
        <v>+400mm/-200mm</v>
      </c>
      <c r="T1250" s="442">
        <v>650</v>
      </c>
      <c r="U1250" s="1093" cm="1">
        <f t="array" ref="U1250">36000-fx_qty</f>
        <v>0</v>
      </c>
      <c r="V1250" s="448">
        <f>PV_DATA[[#This Row],[QUANTITY]]*PV_DATA[[#This Row],[WATT]]/1000000</f>
        <v>0</v>
      </c>
      <c r="W1250" s="466">
        <f>PV_DATA[[#This Row],[QUANTITY]]/PV_DATA[[#This Row],[Qty/Pallet]]</f>
        <v>0</v>
      </c>
      <c r="X1250" s="1044">
        <f>PV_DATA[[#This Row],[QUANTITY]]/PV_DATA[[#This Row],[Qty/CT]]</f>
        <v>0</v>
      </c>
      <c r="Y1250" s="431" t="s">
        <v>7027</v>
      </c>
      <c r="Z1250" s="431" t="str">
        <f t="shared" si="29"/>
        <v/>
      </c>
      <c r="AA1250" s="661"/>
      <c r="AB1250" s="441"/>
      <c r="AC1250" s="467" t="str">
        <f>IF(PV_DATA[[#This Row],[Pick- Up Date]]&lt;&gt;"",_xlfn.ISOWEEKNUM(PV_DATA[[#This Row],[Pick- Up Date]]),"")</f>
        <v/>
      </c>
      <c r="AD1250" s="431"/>
      <c r="AE1250" s="431"/>
      <c r="AF1250" s="431" t="s">
        <v>77</v>
      </c>
      <c r="AG1250" s="431" t="s">
        <v>77</v>
      </c>
      <c r="AH1250" s="430" t="s">
        <v>105</v>
      </c>
      <c r="AI1250" s="441"/>
      <c r="AJ1250" s="437" t="str">
        <f>IFERROR(VLOOKUP(AT1250, Vessel!A:D, 4, FALSE), "")</f>
        <v/>
      </c>
      <c r="AK1250" s="437" t="str">
        <f>IFERROR(IF(VLOOKUP(AT1250,Vessel!A:F,5,FALSE)=0,"",VLOOKUP(AT1250,Vessel!A:F,5,FALSE)),"")</f>
        <v/>
      </c>
      <c r="AL1250" s="441"/>
      <c r="AM1250" s="441"/>
      <c r="AN1250" s="586" t="str">
        <f>IFERROR(IF(VLOOKUP(AT1250,Vessel!A:I,9,FALSE)=0,"",VLOOKUP(AT1250,Vessel!A:I,9,FALSE)),"")</f>
        <v/>
      </c>
      <c r="AO1250" s="431"/>
      <c r="AP1250" s="431"/>
      <c r="AQ1250" s="445"/>
      <c r="AR1250" s="431"/>
      <c r="AS1250" s="431"/>
      <c r="AT1250" s="431"/>
      <c r="AU12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0" s="431"/>
      <c r="AW1250" s="441" t="str" cm="1">
        <f t="array" ref="AW1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0" s="441">
        <f>IF(ISERROR(PV_DATA[[#This Row],[New Ark PO status]]),"",_xlfn.XLOOKUP(PV_DATA[[#This Row],[SPTN-PVHK New Ark PO'#]],New_Ark_Data[Purchase order Number],New_Ark_Data[Estimated time of arrival],"",0))</f>
        <v>0</v>
      </c>
      <c r="AZ125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50" s="441" t="str">
        <f>IFERROR(PV_DATA[[#This Row],[ODP ETA Port]]+PV_DATA[[#This Row],[Customs/Leg3 Assumption]],"n/a")</f>
        <v>n/a</v>
      </c>
      <c r="BB1250" s="442" t="s">
        <v>6315</v>
      </c>
      <c r="BC1250" s="442" t="s">
        <v>6315</v>
      </c>
      <c r="BD1250" s="431">
        <f>IFERROR(_xlfn.ISOWEEKNUM(PV_DATA[[#This Row],[ETA for New Ark update]]),0)</f>
        <v>0</v>
      </c>
      <c r="BE1250" s="431">
        <f>_xlfn.XLOOKUP(PV_DATA[[#This Row],[New Ark SKU]],Table9[New Ark SKU],Table9[Total PCS per Pallet],,0)</f>
        <v>36</v>
      </c>
      <c r="BF1250" s="431">
        <f>_xlfn.XLOOKUP(PV_DATA[[#This Row],[New Ark SKU]],Table9[New Ark SKU],Table9[Total PCS per 40HQ Container],,0)</f>
        <v>720</v>
      </c>
      <c r="BG1250" s="431" t="str">
        <f>_xlfn.XLOOKUP(PV_DATA[[#This Row],[New Ark SKU]],Table9[New Ark SKU],Table9[Back Glass],,0)</f>
        <v>White glazing</v>
      </c>
      <c r="BH1250" s="622" t="str">
        <f>_xlfn.XLOOKUP(PV_DATA[[#This Row],[PORT DESTINATION]],Table12[PORT DESTINATION],Table12[Cosco Line],,0)</f>
        <v>AEU</v>
      </c>
      <c r="BJ1250" s="430"/>
    </row>
    <row r="1251" spans="1:62" ht="13.5" customHeight="1">
      <c r="A1251" s="728" t="s">
        <v>7322</v>
      </c>
      <c r="B1251" s="439" t="s">
        <v>111</v>
      </c>
      <c r="C1251" s="439" t="str">
        <f>IFERROR(LEFT(PV_DATA[[#This Row],[TCL REFERENCE]],FIND(".",PV_DATA[[#This Row],[TCL REFERENCE]],1)-1),"Main Line")</f>
        <v>Main Line</v>
      </c>
      <c r="D1251" s="439" t="s">
        <v>63</v>
      </c>
      <c r="E1251" s="439" t="s">
        <v>68</v>
      </c>
      <c r="F1251" s="439" t="str" cm="1">
        <f t="array" ref="F125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1" s="439" t="s">
        <v>68</v>
      </c>
      <c r="H1251" s="439" t="s">
        <v>68</v>
      </c>
      <c r="I1251" s="439" t="s">
        <v>68</v>
      </c>
      <c r="J1251" s="430" t="s">
        <v>68</v>
      </c>
      <c r="K1251" s="431"/>
      <c r="L1251" s="431"/>
      <c r="M1251" s="431" t="s">
        <v>68</v>
      </c>
      <c r="N1251" s="461">
        <v>46285</v>
      </c>
      <c r="O1251" s="431" t="s">
        <v>550</v>
      </c>
      <c r="P1251" s="430" t="s">
        <v>551</v>
      </c>
      <c r="Q1251" s="431" t="s">
        <v>2151</v>
      </c>
      <c r="R1251" s="430" t="str">
        <f>_xlfn.XLOOKUP(PV_DATA[[#This Row],[New Ark SKU]],Table9[New Ark SKU],Table9[Connector],,0)</f>
        <v>EVO2A</v>
      </c>
      <c r="S1251" s="433" t="str">
        <f>_xlfn.XLOOKUP(PV_DATA[[#This Row],[New Ark SKU]],Table9[New Ark SKU],Table9[Cable],,0)</f>
        <v>±1350mm</v>
      </c>
      <c r="T1251" s="442">
        <v>510</v>
      </c>
      <c r="U1251" s="1093" cm="1">
        <f t="array" ref="U1251">23760-fx_qty</f>
        <v>0</v>
      </c>
      <c r="V1251" s="448">
        <f>PV_DATA[[#This Row],[QUANTITY]]*PV_DATA[[#This Row],[WATT]]/1000000</f>
        <v>0</v>
      </c>
      <c r="W1251" s="466">
        <f>PV_DATA[[#This Row],[QUANTITY]]/PV_DATA[[#This Row],[Qty/Pallet]]</f>
        <v>0</v>
      </c>
      <c r="X1251" s="1044">
        <f>PV_DATA[[#This Row],[QUANTITY]]/PV_DATA[[#This Row],[Qty/CT]]</f>
        <v>0</v>
      </c>
      <c r="Y1251" s="431" t="s">
        <v>7027</v>
      </c>
      <c r="Z1251" s="430" t="str">
        <f t="shared" si="29"/>
        <v/>
      </c>
      <c r="AA1251" s="431"/>
      <c r="AB1251" s="441"/>
      <c r="AC1251" s="467" t="str">
        <f>IF(PV_DATA[[#This Row],[Pick- Up Date]]&lt;&gt;"",_xlfn.ISOWEEKNUM(PV_DATA[[#This Row],[Pick- Up Date]]),"")</f>
        <v/>
      </c>
      <c r="AD1251" s="431"/>
      <c r="AE1251" s="431"/>
      <c r="AF1251" s="431" t="s">
        <v>122</v>
      </c>
      <c r="AG1251" s="431" t="s">
        <v>122</v>
      </c>
      <c r="AH1251" s="431" t="s">
        <v>68</v>
      </c>
      <c r="AI1251" s="441"/>
      <c r="AJ1251" s="437" t="str">
        <f>IFERROR(VLOOKUP(AT1251, Vessel!A:D, 4, FALSE), "")</f>
        <v/>
      </c>
      <c r="AK1251" s="437" t="str">
        <f>IFERROR(IF(VLOOKUP(AT1251,Vessel!A:F,5,FALSE)=0,"",VLOOKUP(AT1251,Vessel!A:F,5,FALSE)),"")</f>
        <v/>
      </c>
      <c r="AL1251" s="441"/>
      <c r="AM1251" s="441"/>
      <c r="AN1251" s="586" t="str">
        <f>IFERROR(IF(VLOOKUP(AT1251,Vessel!A:I,9,FALSE)=0,"",VLOOKUP(AT1251,Vessel!A:I,9,FALSE)),"")</f>
        <v/>
      </c>
      <c r="AO1251" s="431"/>
      <c r="AP1251" s="431"/>
      <c r="AQ1251" s="445"/>
      <c r="AR1251" s="431"/>
      <c r="AS1251" s="431"/>
      <c r="AT1251" s="431"/>
      <c r="AU12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1" s="431"/>
      <c r="AW1251" s="441" t="str" cm="1">
        <f t="array" ref="AW1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1" s="441">
        <f>IF(ISERROR(PV_DATA[[#This Row],[New Ark PO status]]),"",_xlfn.XLOOKUP(PV_DATA[[#This Row],[SPTN-PVHK New Ark PO'#]],New_Ark_Data[Purchase order Number],New_Ark_Data[Estimated time of arrival],"",0))</f>
        <v>0</v>
      </c>
      <c r="AZ125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1" s="441" t="str">
        <f>IFERROR(PV_DATA[[#This Row],[ODP ETA Port]]+PV_DATA[[#This Row],[Customs/Leg3 Assumption]],"n/a")</f>
        <v>n/a</v>
      </c>
      <c r="BB1251" s="442" t="s">
        <v>6315</v>
      </c>
      <c r="BC1251" s="442" t="s">
        <v>6315</v>
      </c>
      <c r="BD1251" s="431">
        <f>IFERROR(_xlfn.ISOWEEKNUM(PV_DATA[[#This Row],[ETA for New Ark update]]),0)</f>
        <v>0</v>
      </c>
      <c r="BE1251" s="431">
        <f>_xlfn.XLOOKUP(PV_DATA[[#This Row],[New Ark SKU]],Table9[New Ark SKU],Table9[Total PCS per Pallet],,0)</f>
        <v>36</v>
      </c>
      <c r="BF1251" s="431">
        <f>_xlfn.XLOOKUP(PV_DATA[[#This Row],[New Ark SKU]],Table9[New Ark SKU],Table9[Total PCS per 40HQ Container],,0)</f>
        <v>792</v>
      </c>
      <c r="BG1251" s="431" t="str">
        <f>_xlfn.XLOOKUP(PV_DATA[[#This Row],[New Ark SKU]],Table9[New Ark SKU],Table9[Back Glass],,0)</f>
        <v>Black glazing</v>
      </c>
      <c r="BH1251" s="622" t="str">
        <f>_xlfn.XLOOKUP(PV_DATA[[#This Row],[PORT DESTINATION]],Table12[PORT DESTINATION],Table12[Cosco Line],,0)</f>
        <v>n/a</v>
      </c>
      <c r="BJ1251" s="430"/>
    </row>
    <row r="1252" spans="1:62" ht="13.5" customHeight="1">
      <c r="A1252" s="728" t="s">
        <v>7323</v>
      </c>
      <c r="B1252" s="439" t="s">
        <v>111</v>
      </c>
      <c r="C1252" s="439" t="str">
        <f>IFERROR(LEFT(PV_DATA[[#This Row],[TCL REFERENCE]],FIND(".",PV_DATA[[#This Row],[TCL REFERENCE]],1)-1),"Main Line")</f>
        <v>26Aug015</v>
      </c>
      <c r="D1252" s="439" t="s">
        <v>63</v>
      </c>
      <c r="E1252" s="439" t="s">
        <v>64</v>
      </c>
      <c r="F1252" s="439" t="str" cm="1">
        <f t="array" ref="F12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52" s="439" t="s">
        <v>402</v>
      </c>
      <c r="H1252" s="439" t="s">
        <v>67</v>
      </c>
      <c r="I1252" s="439" t="s">
        <v>689</v>
      </c>
      <c r="J1252" s="430" t="s">
        <v>96</v>
      </c>
      <c r="K1252" s="431"/>
      <c r="L1252" s="431"/>
      <c r="M1252" s="431" t="s">
        <v>68</v>
      </c>
      <c r="N1252" s="461">
        <v>46285</v>
      </c>
      <c r="O1252" s="431" t="s">
        <v>550</v>
      </c>
      <c r="P1252" s="430" t="s">
        <v>551</v>
      </c>
      <c r="Q1252" s="431" t="s">
        <v>2151</v>
      </c>
      <c r="R1252" s="430" t="str">
        <f>_xlfn.XLOOKUP(PV_DATA[[#This Row],[New Ark SKU]],Table9[New Ark SKU],Table9[Connector],,0)</f>
        <v>EVO2A</v>
      </c>
      <c r="S1252" s="433" t="str">
        <f>_xlfn.XLOOKUP(PV_DATA[[#This Row],[New Ark SKU]],Table9[New Ark SKU],Table9[Cable],,0)</f>
        <v>±1350mm</v>
      </c>
      <c r="T1252" s="442">
        <v>510</v>
      </c>
      <c r="U1252" s="1093">
        <v>792</v>
      </c>
      <c r="V1252" s="448">
        <f>PV_DATA[[#This Row],[QUANTITY]]*PV_DATA[[#This Row],[WATT]]/1000000</f>
        <v>0.40392</v>
      </c>
      <c r="W1252" s="466">
        <f>PV_DATA[[#This Row],[QUANTITY]]/PV_DATA[[#This Row],[Qty/Pallet]]</f>
        <v>22</v>
      </c>
      <c r="X1252" s="1044">
        <f>PV_DATA[[#This Row],[QUANTITY]]/PV_DATA[[#This Row],[Qty/CT]]</f>
        <v>1</v>
      </c>
      <c r="Y1252" s="431" t="s">
        <v>2474</v>
      </c>
      <c r="Z1252" s="430" t="str">
        <f t="shared" si="29"/>
        <v/>
      </c>
      <c r="AA1252" s="661"/>
      <c r="AB1252" s="441"/>
      <c r="AC1252" s="467" t="str">
        <f>IF(PV_DATA[[#This Row],[Pick- Up Date]]&lt;&gt;"",_xlfn.ISOWEEKNUM(PV_DATA[[#This Row],[Pick- Up Date]]),"")</f>
        <v/>
      </c>
      <c r="AD1252" s="431"/>
      <c r="AE1252" s="431"/>
      <c r="AF1252" s="431" t="s">
        <v>122</v>
      </c>
      <c r="AG1252" s="431" t="s">
        <v>122</v>
      </c>
      <c r="AH1252" s="431" t="s">
        <v>78</v>
      </c>
      <c r="AI1252" s="441"/>
      <c r="AJ1252" s="437" t="str">
        <f>IFERROR(VLOOKUP(AT1252, Vessel!A:D, 4, FALSE), "")</f>
        <v/>
      </c>
      <c r="AK1252" s="437" t="str">
        <f>IFERROR(IF(VLOOKUP(AT1252,Vessel!A:F,5,FALSE)=0,"",VLOOKUP(AT1252,Vessel!A:F,5,FALSE)),"")</f>
        <v/>
      </c>
      <c r="AL1252" s="441"/>
      <c r="AM1252" s="441"/>
      <c r="AN1252" s="586" t="str">
        <f>IFERROR(IF(VLOOKUP(AT1252,Vessel!A:I,9,FALSE)=0,"",VLOOKUP(AT1252,Vessel!A:I,9,FALSE)),"")</f>
        <v/>
      </c>
      <c r="AO1252" s="431"/>
      <c r="AP1252" s="431"/>
      <c r="AQ1252" s="445"/>
      <c r="AR1252" s="431"/>
      <c r="AS1252" s="431"/>
      <c r="AT1252" s="431"/>
      <c r="AU12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2" s="431"/>
      <c r="AW1252" s="441" cm="1">
        <f t="array" ref="AW1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5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2" s="441">
        <f>IF(ISERROR(PV_DATA[[#This Row],[New Ark PO status]]),"",_xlfn.XLOOKUP(PV_DATA[[#This Row],[SPTN-PVHK New Ark PO'#]],New_Ark_Data[Purchase order Number],New_Ark_Data[Estimated time of arrival],"",0))</f>
        <v>0</v>
      </c>
      <c r="AZ125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52" s="441">
        <f>IFERROR(PV_DATA[[#This Row],[ODP ETA Port]]+PV_DATA[[#This Row],[Customs/Leg3 Assumption]],"n/a")</f>
        <v>46386</v>
      </c>
      <c r="BB1252" s="442" t="s">
        <v>6536</v>
      </c>
      <c r="BC1252" s="442" t="s">
        <v>6536</v>
      </c>
      <c r="BD1252" s="431">
        <f>IFERROR(_xlfn.ISOWEEKNUM(PV_DATA[[#This Row],[ETA for New Ark update]]),0)</f>
        <v>53</v>
      </c>
      <c r="BE1252" s="431">
        <f>_xlfn.XLOOKUP(PV_DATA[[#This Row],[New Ark SKU]],Table9[New Ark SKU],Table9[Total PCS per Pallet],,0)</f>
        <v>36</v>
      </c>
      <c r="BF1252" s="431">
        <f>_xlfn.XLOOKUP(PV_DATA[[#This Row],[New Ark SKU]],Table9[New Ark SKU],Table9[Total PCS per 40HQ Container],,0)</f>
        <v>792</v>
      </c>
      <c r="BG1252" s="431" t="str">
        <f>_xlfn.XLOOKUP(PV_DATA[[#This Row],[New Ark SKU]],Table9[New Ark SKU],Table9[Back Glass],,0)</f>
        <v>Black glazing</v>
      </c>
      <c r="BH1252" s="622" t="str">
        <f>_xlfn.XLOOKUP(PV_DATA[[#This Row],[PORT DESTINATION]],Table12[PORT DESTINATION],Table12[Cosco Line],,0)</f>
        <v>AEM</v>
      </c>
      <c r="BJ1252" s="430"/>
    </row>
    <row r="1253" spans="1:62" ht="13.5" customHeight="1">
      <c r="A1253" s="728" t="s">
        <v>7324</v>
      </c>
      <c r="B1253" s="439" t="s">
        <v>111</v>
      </c>
      <c r="C1253" s="439" t="str">
        <f>IFERROR(LEFT(PV_DATA[[#This Row],[TCL REFERENCE]],FIND(".",PV_DATA[[#This Row],[TCL REFERENCE]],1)-1),"Main Line")</f>
        <v>26Aug015</v>
      </c>
      <c r="D1253" s="439" t="s">
        <v>63</v>
      </c>
      <c r="E1253" s="439" t="s">
        <v>64</v>
      </c>
      <c r="F1253" s="439" t="str" cm="1">
        <f t="array" ref="F12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53" s="439" t="s">
        <v>402</v>
      </c>
      <c r="H1253" s="439" t="s">
        <v>67</v>
      </c>
      <c r="I1253" s="439" t="s">
        <v>689</v>
      </c>
      <c r="J1253" s="430" t="s">
        <v>96</v>
      </c>
      <c r="K1253" s="431"/>
      <c r="L1253" s="431"/>
      <c r="M1253" s="431" t="s">
        <v>68</v>
      </c>
      <c r="N1253" s="461">
        <v>46285</v>
      </c>
      <c r="O1253" s="431" t="s">
        <v>550</v>
      </c>
      <c r="P1253" s="430" t="s">
        <v>551</v>
      </c>
      <c r="Q1253" s="431" t="s">
        <v>2151</v>
      </c>
      <c r="R1253" s="430" t="str">
        <f>_xlfn.XLOOKUP(PV_DATA[[#This Row],[New Ark SKU]],Table9[New Ark SKU],Table9[Connector],,0)</f>
        <v>EVO2A</v>
      </c>
      <c r="S1253" s="433" t="str">
        <f>_xlfn.XLOOKUP(PV_DATA[[#This Row],[New Ark SKU]],Table9[New Ark SKU],Table9[Cable],,0)</f>
        <v>±1350mm</v>
      </c>
      <c r="T1253" s="442">
        <v>510</v>
      </c>
      <c r="U1253" s="1093">
        <v>792</v>
      </c>
      <c r="V1253" s="448">
        <f>PV_DATA[[#This Row],[QUANTITY]]*PV_DATA[[#This Row],[WATT]]/1000000</f>
        <v>0.40392</v>
      </c>
      <c r="W1253" s="466">
        <f>PV_DATA[[#This Row],[QUANTITY]]/PV_DATA[[#This Row],[Qty/Pallet]]</f>
        <v>22</v>
      </c>
      <c r="X1253" s="1044">
        <f>PV_DATA[[#This Row],[QUANTITY]]/PV_DATA[[#This Row],[Qty/CT]]</f>
        <v>1</v>
      </c>
      <c r="Y1253" s="431" t="s">
        <v>2474</v>
      </c>
      <c r="Z1253" s="430" t="str">
        <f t="shared" ref="Z1253" si="30">IF(AN1253&lt;&gt;"","COMPLETED",IF(AK1253&lt;&gt;"","IN-TRANSIT",""))</f>
        <v/>
      </c>
      <c r="AA1253" s="661"/>
      <c r="AB1253" s="441"/>
      <c r="AC1253" s="467" t="str">
        <f>IF(PV_DATA[[#This Row],[Pick- Up Date]]&lt;&gt;"",_xlfn.ISOWEEKNUM(PV_DATA[[#This Row],[Pick- Up Date]]),"")</f>
        <v/>
      </c>
      <c r="AD1253" s="431"/>
      <c r="AE1253" s="431"/>
      <c r="AF1253" s="431" t="s">
        <v>122</v>
      </c>
      <c r="AG1253" s="431" t="s">
        <v>122</v>
      </c>
      <c r="AH1253" s="431" t="s">
        <v>78</v>
      </c>
      <c r="AI1253" s="441"/>
      <c r="AJ1253" s="437" t="str">
        <f>IFERROR(VLOOKUP(AT1253, Vessel!A:D, 4, FALSE), "")</f>
        <v/>
      </c>
      <c r="AK1253" s="437" t="str">
        <f>IFERROR(IF(VLOOKUP(AT1253,Vessel!A:F,5,FALSE)=0,"",VLOOKUP(AT1253,Vessel!A:F,5,FALSE)),"")</f>
        <v/>
      </c>
      <c r="AL1253" s="441"/>
      <c r="AM1253" s="441"/>
      <c r="AN1253" s="586" t="str">
        <f>IFERROR(IF(VLOOKUP(AT1253,Vessel!A:I,9,FALSE)=0,"",VLOOKUP(AT1253,Vessel!A:I,9,FALSE)),"")</f>
        <v/>
      </c>
      <c r="AO1253" s="431"/>
      <c r="AP1253" s="431"/>
      <c r="AQ1253" s="445"/>
      <c r="AR1253" s="431"/>
      <c r="AS1253" s="431"/>
      <c r="AT1253" s="431"/>
      <c r="AU12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3" s="431"/>
      <c r="AW1253" s="441" cm="1">
        <f t="array" ref="AW1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5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3" s="441">
        <f>IF(ISERROR(PV_DATA[[#This Row],[New Ark PO status]]),"",_xlfn.XLOOKUP(PV_DATA[[#This Row],[SPTN-PVHK New Ark PO'#]],New_Ark_Data[Purchase order Number],New_Ark_Data[Estimated time of arrival],"",0))</f>
        <v>0</v>
      </c>
      <c r="AZ125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53" s="441">
        <f>IFERROR(PV_DATA[[#This Row],[ODP ETA Port]]+PV_DATA[[#This Row],[Customs/Leg3 Assumption]],"n/a")</f>
        <v>46386</v>
      </c>
      <c r="BB1253" s="442" t="s">
        <v>6536</v>
      </c>
      <c r="BC1253" s="442" t="s">
        <v>6536</v>
      </c>
      <c r="BD1253" s="431">
        <f>IFERROR(_xlfn.ISOWEEKNUM(PV_DATA[[#This Row],[ETA for New Ark update]]),0)</f>
        <v>53</v>
      </c>
      <c r="BE1253" s="431">
        <f>_xlfn.XLOOKUP(PV_DATA[[#This Row],[New Ark SKU]],Table9[New Ark SKU],Table9[Total PCS per Pallet],,0)</f>
        <v>36</v>
      </c>
      <c r="BF1253" s="431">
        <f>_xlfn.XLOOKUP(PV_DATA[[#This Row],[New Ark SKU]],Table9[New Ark SKU],Table9[Total PCS per 40HQ Container],,0)</f>
        <v>792</v>
      </c>
      <c r="BG1253" s="431" t="str">
        <f>_xlfn.XLOOKUP(PV_DATA[[#This Row],[New Ark SKU]],Table9[New Ark SKU],Table9[Back Glass],,0)</f>
        <v>Black glazing</v>
      </c>
      <c r="BH1253" s="622" t="str">
        <f>_xlfn.XLOOKUP(PV_DATA[[#This Row],[PORT DESTINATION]],Table12[PORT DESTINATION],Table12[Cosco Line],,0)</f>
        <v>AEM</v>
      </c>
      <c r="BJ1253" s="430"/>
    </row>
    <row r="1254" spans="1:62" ht="13.5" customHeight="1">
      <c r="A1254" s="728" t="s">
        <v>7325</v>
      </c>
      <c r="B1254" s="439" t="s">
        <v>111</v>
      </c>
      <c r="C1254" s="439" t="str">
        <f>IFERROR(LEFT(PV_DATA[[#This Row],[TCL REFERENCE]],FIND(".",PV_DATA[[#This Row],[TCL REFERENCE]],1)-1),"Main Line")</f>
        <v>26Aug015</v>
      </c>
      <c r="D1254" s="439" t="s">
        <v>63</v>
      </c>
      <c r="E1254" s="439" t="s">
        <v>64</v>
      </c>
      <c r="F1254" s="439" t="str" cm="1">
        <f t="array" ref="F1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54" s="439" t="s">
        <v>402</v>
      </c>
      <c r="H1254" s="439" t="s">
        <v>67</v>
      </c>
      <c r="I1254" s="439" t="s">
        <v>689</v>
      </c>
      <c r="J1254" s="430" t="s">
        <v>96</v>
      </c>
      <c r="K1254" s="431"/>
      <c r="L1254" s="431"/>
      <c r="M1254" s="431" t="s">
        <v>68</v>
      </c>
      <c r="N1254" s="461">
        <v>46285</v>
      </c>
      <c r="O1254" s="431" t="s">
        <v>550</v>
      </c>
      <c r="P1254" s="430" t="s">
        <v>551</v>
      </c>
      <c r="Q1254" s="431" t="s">
        <v>2151</v>
      </c>
      <c r="R1254" s="430" t="str">
        <f>_xlfn.XLOOKUP(PV_DATA[[#This Row],[New Ark SKU]],Table9[New Ark SKU],Table9[Connector],,0)</f>
        <v>EVO2A</v>
      </c>
      <c r="S1254" s="433" t="str">
        <f>_xlfn.XLOOKUP(PV_DATA[[#This Row],[New Ark SKU]],Table9[New Ark SKU],Table9[Cable],,0)</f>
        <v>±1350mm</v>
      </c>
      <c r="T1254" s="442">
        <v>510</v>
      </c>
      <c r="U1254" s="1093">
        <v>792</v>
      </c>
      <c r="V1254" s="448">
        <f>PV_DATA[[#This Row],[QUANTITY]]*PV_DATA[[#This Row],[WATT]]/1000000</f>
        <v>0.40392</v>
      </c>
      <c r="W1254" s="466">
        <f>PV_DATA[[#This Row],[QUANTITY]]/PV_DATA[[#This Row],[Qty/Pallet]]</f>
        <v>22</v>
      </c>
      <c r="X1254" s="1044">
        <f>PV_DATA[[#This Row],[QUANTITY]]/PV_DATA[[#This Row],[Qty/CT]]</f>
        <v>1</v>
      </c>
      <c r="Y1254" s="431" t="s">
        <v>2472</v>
      </c>
      <c r="Z1254" s="430" t="str">
        <f t="shared" si="29"/>
        <v/>
      </c>
      <c r="AA1254" s="661">
        <v>46295</v>
      </c>
      <c r="AB1254" s="441"/>
      <c r="AC1254" s="467" t="str">
        <f>IF(PV_DATA[[#This Row],[Pick- Up Date]]&lt;&gt;"",_xlfn.ISOWEEKNUM(PV_DATA[[#This Row],[Pick- Up Date]]),"")</f>
        <v/>
      </c>
      <c r="AD1254" s="431"/>
      <c r="AE1254" s="431"/>
      <c r="AF1254" s="431" t="s">
        <v>5994</v>
      </c>
      <c r="AG1254" s="431" t="s">
        <v>5994</v>
      </c>
      <c r="AH1254" s="431" t="s">
        <v>78</v>
      </c>
      <c r="AI1254" s="441">
        <v>46312</v>
      </c>
      <c r="AJ1254" s="437" t="str">
        <f>IFERROR(VLOOKUP(AT1254, Vessel!A:D, 4, FALSE), "")</f>
        <v/>
      </c>
      <c r="AK1254" s="437" t="str">
        <f>IFERROR(IF(VLOOKUP(AT1254,Vessel!A:F,5,FALSE)=0,"",VLOOKUP(AT1254,Vessel!A:F,5,FALSE)),"")</f>
        <v/>
      </c>
      <c r="AL1254" s="441">
        <v>46363</v>
      </c>
      <c r="AM1254" s="1309"/>
      <c r="AN1254" s="586" t="str">
        <f>IFERROR(IF(VLOOKUP(AT1254,Vessel!A:I,9,FALSE)=0,"",VLOOKUP(AT1254,Vessel!A:I,9,FALSE)),"")</f>
        <v/>
      </c>
      <c r="AO1254" s="431"/>
      <c r="AP1254" s="431" t="s">
        <v>7147</v>
      </c>
      <c r="AQ1254" s="430" t="s">
        <v>80</v>
      </c>
      <c r="AR1254" s="431" t="s">
        <v>7326</v>
      </c>
      <c r="AS1254" s="431" t="s">
        <v>7327</v>
      </c>
      <c r="AT1254" s="431" t="s">
        <v>7327</v>
      </c>
      <c r="AU12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1254" s="431"/>
      <c r="AW1254" s="441" cm="1">
        <f t="array" ref="AW1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</v>
      </c>
      <c r="AX125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4" s="441">
        <f>IF(ISERROR(PV_DATA[[#This Row],[New Ark PO status]]),"",_xlfn.XLOOKUP(PV_DATA[[#This Row],[SPTN-PVHK New Ark PO'#]],New_Ark_Data[Purchase order Number],New_Ark_Data[Estimated time of arrival],"",0))</f>
        <v>0</v>
      </c>
      <c r="AZ125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54" s="441">
        <f>IFERROR(PV_DATA[[#This Row],[ODP ETA Port]]+PV_DATA[[#This Row],[Customs/Leg3 Assumption]],"n/a")</f>
        <v>46371</v>
      </c>
      <c r="BB1254" s="442" t="s">
        <v>6536</v>
      </c>
      <c r="BC1254" s="442" t="s">
        <v>6536</v>
      </c>
      <c r="BD1254" s="431">
        <f>IFERROR(_xlfn.ISOWEEKNUM(PV_DATA[[#This Row],[ETA for New Ark update]]),0)</f>
        <v>51</v>
      </c>
      <c r="BE1254" s="431">
        <f>_xlfn.XLOOKUP(PV_DATA[[#This Row],[New Ark SKU]],Table9[New Ark SKU],Table9[Total PCS per Pallet],,0)</f>
        <v>36</v>
      </c>
      <c r="BF1254" s="431">
        <f>_xlfn.XLOOKUP(PV_DATA[[#This Row],[New Ark SKU]],Table9[New Ark SKU],Table9[Total PCS per 40HQ Container],,0)</f>
        <v>792</v>
      </c>
      <c r="BG1254" s="431" t="str">
        <f>_xlfn.XLOOKUP(PV_DATA[[#This Row],[New Ark SKU]],Table9[New Ark SKU],Table9[Back Glass],,0)</f>
        <v>Black glazing</v>
      </c>
      <c r="BH1254" s="622" t="str">
        <f>_xlfn.XLOOKUP(PV_DATA[[#This Row],[PORT DESTINATION]],Table12[PORT DESTINATION],Table12[Cosco Line],,0)</f>
        <v>AEM</v>
      </c>
      <c r="BJ1254" s="430"/>
    </row>
    <row r="1255" spans="1:62" ht="13.5" customHeight="1">
      <c r="A1255" s="728" t="s">
        <v>7328</v>
      </c>
      <c r="B1255" s="439" t="s">
        <v>111</v>
      </c>
      <c r="C1255" s="439" t="str">
        <f>IFERROR(LEFT(PV_DATA[[#This Row],[TCL REFERENCE]],FIND(".",PV_DATA[[#This Row],[TCL REFERENCE]],1)-1),"Main Line")</f>
        <v>Main Line</v>
      </c>
      <c r="D1255" s="439" t="s">
        <v>63</v>
      </c>
      <c r="E1255" s="439" t="s">
        <v>68</v>
      </c>
      <c r="F1255" s="439" t="str" cm="1">
        <f t="array" ref="F125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5" s="439" t="s">
        <v>68</v>
      </c>
      <c r="H1255" s="439" t="s">
        <v>68</v>
      </c>
      <c r="I1255" s="439" t="s">
        <v>68</v>
      </c>
      <c r="J1255" s="430" t="s">
        <v>68</v>
      </c>
      <c r="K1255" s="431"/>
      <c r="L1255" s="431"/>
      <c r="M1255" s="431" t="s">
        <v>68</v>
      </c>
      <c r="N1255" s="461">
        <v>46282</v>
      </c>
      <c r="O1255" s="431" t="s">
        <v>550</v>
      </c>
      <c r="P1255" s="430" t="s">
        <v>2134</v>
      </c>
      <c r="Q1255" s="431" t="s">
        <v>2135</v>
      </c>
      <c r="R1255" s="430" t="str">
        <f>_xlfn.XLOOKUP(PV_DATA[[#This Row],[New Ark SKU]],Table9[New Ark SKU],Table9[Connector],,0)</f>
        <v>EVO2A</v>
      </c>
      <c r="S1255" s="433" t="str">
        <f>_xlfn.XLOOKUP(PV_DATA[[#This Row],[New Ark SKU]],Table9[New Ark SKU],Table9[Cable],,0)</f>
        <v>±1350mm</v>
      </c>
      <c r="T1255" s="442">
        <v>515</v>
      </c>
      <c r="U1255" s="1093" cm="1">
        <f t="array" ref="U1255">34848-fx_qty</f>
        <v>0</v>
      </c>
      <c r="V1255" s="448">
        <f>PV_DATA[[#This Row],[QUANTITY]]*PV_DATA[[#This Row],[WATT]]/1000000</f>
        <v>0</v>
      </c>
      <c r="W1255" s="466">
        <f>PV_DATA[[#This Row],[QUANTITY]]/PV_DATA[[#This Row],[Qty/Pallet]]</f>
        <v>0</v>
      </c>
      <c r="X1255" s="1044">
        <f>PV_DATA[[#This Row],[QUANTITY]]/PV_DATA[[#This Row],[Qty/CT]]</f>
        <v>0</v>
      </c>
      <c r="Y1255" s="431" t="s">
        <v>7027</v>
      </c>
      <c r="Z1255" s="430" t="str">
        <f t="shared" si="29"/>
        <v/>
      </c>
      <c r="AA1255" s="431"/>
      <c r="AB1255" s="441"/>
      <c r="AC1255" s="467" t="str">
        <f>IF(PV_DATA[[#This Row],[Pick- Up Date]]&lt;&gt;"",_xlfn.ISOWEEKNUM(PV_DATA[[#This Row],[Pick- Up Date]]),"")</f>
        <v/>
      </c>
      <c r="AD1255" s="431"/>
      <c r="AE1255" s="431"/>
      <c r="AF1255" s="431" t="s">
        <v>122</v>
      </c>
      <c r="AG1255" s="431" t="s">
        <v>122</v>
      </c>
      <c r="AH1255" s="431" t="s">
        <v>68</v>
      </c>
      <c r="AI1255" s="441"/>
      <c r="AJ1255" s="437" t="str">
        <f>IFERROR(VLOOKUP(AT1255, Vessel!A:D, 4, FALSE), "")</f>
        <v/>
      </c>
      <c r="AK1255" s="437" t="str">
        <f>IFERROR(IF(VLOOKUP(AT1255,Vessel!A:F,5,FALSE)=0,"",VLOOKUP(AT1255,Vessel!A:F,5,FALSE)),"")</f>
        <v/>
      </c>
      <c r="AL1255" s="441"/>
      <c r="AM1255" s="441"/>
      <c r="AN1255" s="586" t="str">
        <f>IFERROR(IF(VLOOKUP(AT1255,Vessel!A:I,9,FALSE)=0,"",VLOOKUP(AT1255,Vessel!A:I,9,FALSE)),"")</f>
        <v/>
      </c>
      <c r="AO1255" s="431"/>
      <c r="AP1255" s="431"/>
      <c r="AQ1255" s="445"/>
      <c r="AR1255" s="431"/>
      <c r="AS1255" s="431"/>
      <c r="AT1255" s="431"/>
      <c r="AU12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5" s="431"/>
      <c r="AW1255" s="441" t="str" cm="1">
        <f t="array" ref="AW1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5" s="441">
        <f>IF(ISERROR(PV_DATA[[#This Row],[New Ark PO status]]),"",_xlfn.XLOOKUP(PV_DATA[[#This Row],[SPTN-PVHK New Ark PO'#]],New_Ark_Data[Purchase order Number],New_Ark_Data[Estimated time of arrival],"",0))</f>
        <v>0</v>
      </c>
      <c r="AZ125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5" s="441" t="str">
        <f>IFERROR(PV_DATA[[#This Row],[ODP ETA Port]]+PV_DATA[[#This Row],[Customs/Leg3 Assumption]],"n/a")</f>
        <v>n/a</v>
      </c>
      <c r="BB1255" s="442" t="s">
        <v>6315</v>
      </c>
      <c r="BC1255" s="442" t="s">
        <v>6315</v>
      </c>
      <c r="BD1255" s="431">
        <f>IFERROR(_xlfn.ISOWEEKNUM(PV_DATA[[#This Row],[ETA for New Ark update]]),0)</f>
        <v>0</v>
      </c>
      <c r="BE1255" s="431">
        <f>_xlfn.XLOOKUP(PV_DATA[[#This Row],[New Ark SKU]],Table9[New Ark SKU],Table9[Total PCS per Pallet],,0)</f>
        <v>36</v>
      </c>
      <c r="BF1255" s="431">
        <f>_xlfn.XLOOKUP(PV_DATA[[#This Row],[New Ark SKU]],Table9[New Ark SKU],Table9[Total PCS per 40HQ Container],,0)</f>
        <v>792</v>
      </c>
      <c r="BG1255" s="431" t="str">
        <f>_xlfn.XLOOKUP(PV_DATA[[#This Row],[New Ark SKU]],Table9[New Ark SKU],Table9[Back Glass],,0)</f>
        <v>Black glazing</v>
      </c>
      <c r="BH1255" s="622" t="str">
        <f>_xlfn.XLOOKUP(PV_DATA[[#This Row],[PORT DESTINATION]],Table12[PORT DESTINATION],Table12[Cosco Line],,0)</f>
        <v>n/a</v>
      </c>
      <c r="BJ1255" s="430"/>
    </row>
    <row r="1256" spans="1:62" ht="13.5" customHeight="1">
      <c r="A1256" s="728" t="s">
        <v>7329</v>
      </c>
      <c r="B1256" s="439" t="s">
        <v>111</v>
      </c>
      <c r="C1256" s="439" t="str">
        <f>IFERROR(LEFT(PV_DATA[[#This Row],[TCL REFERENCE]],FIND(".",PV_DATA[[#This Row],[TCL REFERENCE]],1)-1),"Main Line")</f>
        <v>26Aug016</v>
      </c>
      <c r="D1256" s="439" t="s">
        <v>63</v>
      </c>
      <c r="E1256" s="439" t="s">
        <v>64</v>
      </c>
      <c r="F1256" s="439" t="str" cm="1">
        <f t="array" ref="F1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56" s="439" t="s">
        <v>402</v>
      </c>
      <c r="H1256" s="439" t="s">
        <v>311</v>
      </c>
      <c r="I1256" s="439" t="s">
        <v>689</v>
      </c>
      <c r="J1256" s="430" t="s">
        <v>96</v>
      </c>
      <c r="K1256" s="431"/>
      <c r="L1256" s="431"/>
      <c r="M1256" s="431" t="s">
        <v>68</v>
      </c>
      <c r="N1256" s="461">
        <v>46282</v>
      </c>
      <c r="O1256" s="431" t="s">
        <v>550</v>
      </c>
      <c r="P1256" s="430" t="s">
        <v>2134</v>
      </c>
      <c r="Q1256" s="431" t="s">
        <v>2135</v>
      </c>
      <c r="R1256" s="430" t="str">
        <f>_xlfn.XLOOKUP(PV_DATA[[#This Row],[New Ark SKU]],Table9[New Ark SKU],Table9[Connector],,0)</f>
        <v>EVO2A</v>
      </c>
      <c r="S1256" s="433" t="str">
        <f>_xlfn.XLOOKUP(PV_DATA[[#This Row],[New Ark SKU]],Table9[New Ark SKU],Table9[Cable],,0)</f>
        <v>±1350mm</v>
      </c>
      <c r="T1256" s="442">
        <v>515</v>
      </c>
      <c r="U1256" s="1093">
        <f>792*5</f>
        <v>3960</v>
      </c>
      <c r="V1256" s="448">
        <f>PV_DATA[[#This Row],[QUANTITY]]*PV_DATA[[#This Row],[WATT]]/1000000</f>
        <v>2.0394000000000001</v>
      </c>
      <c r="W1256" s="466">
        <f>PV_DATA[[#This Row],[QUANTITY]]/PV_DATA[[#This Row],[Qty/Pallet]]</f>
        <v>110</v>
      </c>
      <c r="X1256" s="1044">
        <f>PV_DATA[[#This Row],[QUANTITY]]/PV_DATA[[#This Row],[Qty/CT]]</f>
        <v>5</v>
      </c>
      <c r="Y1256" s="431" t="s">
        <v>2475</v>
      </c>
      <c r="Z1256" s="430" t="str">
        <f t="shared" si="29"/>
        <v/>
      </c>
      <c r="AA1256" s="661"/>
      <c r="AB1256" s="441"/>
      <c r="AC1256" s="467" t="str">
        <f>IF(PV_DATA[[#This Row],[Pick- Up Date]]&lt;&gt;"",_xlfn.ISOWEEKNUM(PV_DATA[[#This Row],[Pick- Up Date]]),"")</f>
        <v/>
      </c>
      <c r="AD1256" s="431"/>
      <c r="AE1256" s="431"/>
      <c r="AF1256" s="431" t="s">
        <v>122</v>
      </c>
      <c r="AG1256" s="431" t="s">
        <v>122</v>
      </c>
      <c r="AH1256" s="431" t="s">
        <v>314</v>
      </c>
      <c r="AI1256" s="441"/>
      <c r="AK1256" s="437"/>
      <c r="AL1256" s="441"/>
      <c r="AN1256" s="586"/>
      <c r="AO1256" s="431"/>
      <c r="AP1256" s="431"/>
      <c r="AQ1256" s="430"/>
      <c r="AR1256" s="431"/>
      <c r="AS1256" s="431"/>
      <c r="AT1256" s="431"/>
      <c r="AU12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6" s="431"/>
      <c r="AW1256" s="441" cm="1">
        <f t="array" ref="AW1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5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6" s="441">
        <f>IF(ISERROR(PV_DATA[[#This Row],[New Ark PO status]]),"",_xlfn.XLOOKUP(PV_DATA[[#This Row],[SPTN-PVHK New Ark PO'#]],New_Ark_Data[Purchase order Number],New_Ark_Data[Estimated time of arrival],"",0))</f>
        <v>0</v>
      </c>
      <c r="AZ125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56" s="441">
        <f>IFERROR(PV_DATA[[#This Row],[ODP ETA Port]]+PV_DATA[[#This Row],[Customs/Leg3 Assumption]],"n/a")</f>
        <v>46395</v>
      </c>
      <c r="BB1256" s="442" t="s">
        <v>6536</v>
      </c>
      <c r="BC1256" s="442" t="s">
        <v>6536</v>
      </c>
      <c r="BD1256" s="431">
        <f>IFERROR(_xlfn.ISOWEEKNUM(PV_DATA[[#This Row],[ETA for New Ark update]]),0)</f>
        <v>1</v>
      </c>
      <c r="BE1256" s="431">
        <f>_xlfn.XLOOKUP(PV_DATA[[#This Row],[New Ark SKU]],Table9[New Ark SKU],Table9[Total PCS per Pallet],,0)</f>
        <v>36</v>
      </c>
      <c r="BF1256" s="431">
        <f>_xlfn.XLOOKUP(PV_DATA[[#This Row],[New Ark SKU]],Table9[New Ark SKU],Table9[Total PCS per 40HQ Container],,0)</f>
        <v>792</v>
      </c>
      <c r="BG1256" s="431" t="str">
        <f>_xlfn.XLOOKUP(PV_DATA[[#This Row],[New Ark SKU]],Table9[New Ark SKU],Table9[Back Glass],,0)</f>
        <v>Black glazing</v>
      </c>
      <c r="BH1256" s="622" t="str">
        <f>_xlfn.XLOOKUP(PV_DATA[[#This Row],[PORT DESTINATION]],Table12[PORT DESTINATION],Table12[Cosco Line],,0)</f>
        <v>AEM</v>
      </c>
      <c r="BJ1256" s="430"/>
    </row>
    <row r="1257" spans="1:62" ht="10.5">
      <c r="A1257" s="728" t="s">
        <v>7330</v>
      </c>
      <c r="B1257" s="439" t="s">
        <v>111</v>
      </c>
      <c r="C1257" s="439" t="str">
        <f>IFERROR(LEFT(PV_DATA[[#This Row],[TCL REFERENCE]],FIND(".",PV_DATA[[#This Row],[TCL REFERENCE]],1)-1),"Main Line")</f>
        <v>Main Line</v>
      </c>
      <c r="D1257" s="439" t="s">
        <v>63</v>
      </c>
      <c r="E1257" s="439" t="s">
        <v>68</v>
      </c>
      <c r="F1257" s="439" t="str" cm="1">
        <f t="array" ref="F125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7" s="439" t="s">
        <v>68</v>
      </c>
      <c r="H1257" s="439" t="s">
        <v>68</v>
      </c>
      <c r="I1257" s="439" t="s">
        <v>68</v>
      </c>
      <c r="J1257" s="430" t="s">
        <v>68</v>
      </c>
      <c r="K1257" s="431"/>
      <c r="L1257" s="431"/>
      <c r="M1257" s="431" t="s">
        <v>68</v>
      </c>
      <c r="N1257" s="461">
        <v>46305</v>
      </c>
      <c r="O1257" s="431" t="s">
        <v>170</v>
      </c>
      <c r="P1257" s="431" t="s">
        <v>171</v>
      </c>
      <c r="Q1257" s="431" t="s">
        <v>1731</v>
      </c>
      <c r="R1257" s="430" t="str">
        <f>_xlfn.XLOOKUP(PV_DATA[[#This Row],[New Ark SKU]],Table9[New Ark SKU],Table9[Connector],,0)</f>
        <v>EVO2A</v>
      </c>
      <c r="S1257" s="433" t="str">
        <f>_xlfn.XLOOKUP(PV_DATA[[#This Row],[New Ark SKU]],Table9[New Ark SKU],Table9[Cable],,0)</f>
        <v>±1400mm</v>
      </c>
      <c r="T1257" s="442">
        <v>555</v>
      </c>
      <c r="U1257" s="1093" cm="1">
        <f t="array" ref="U1257">14520-fx_qty</f>
        <v>0</v>
      </c>
      <c r="V1257" s="448">
        <f>PV_DATA[[#This Row],[QUANTITY]]*PV_DATA[[#This Row],[WATT]]/1000000</f>
        <v>0</v>
      </c>
      <c r="W1257" s="466">
        <f>PV_DATA[[#This Row],[QUANTITY]]/PV_DATA[[#This Row],[Qty/Pallet]]</f>
        <v>0</v>
      </c>
      <c r="X1257" s="1044">
        <f>PV_DATA[[#This Row],[QUANTITY]]/PV_DATA[[#This Row],[Qty/CT]]</f>
        <v>0</v>
      </c>
      <c r="Y1257" s="431" t="s">
        <v>7027</v>
      </c>
      <c r="Z1257" s="430"/>
      <c r="AA1257" s="431"/>
      <c r="AB1257" s="441"/>
      <c r="AC1257" s="467"/>
      <c r="AD1257" s="431"/>
      <c r="AE1257" s="431"/>
      <c r="AF1257" s="431" t="s">
        <v>122</v>
      </c>
      <c r="AG1257" s="431" t="s">
        <v>123</v>
      </c>
      <c r="AH1257" s="431" t="s">
        <v>68</v>
      </c>
      <c r="AI1257" s="441"/>
      <c r="AJ1257" s="437" t="str">
        <f>IFERROR(VLOOKUP(AT1257, Vessel!A:D, 4, FALSE), "")</f>
        <v/>
      </c>
      <c r="AK1257" s="437" t="str">
        <f>IFERROR(IF(VLOOKUP(AT1257,Vessel!A:F,5,FALSE)=0,"",VLOOKUP(AT1257,Vessel!A:F,5,FALSE)),"")</f>
        <v/>
      </c>
      <c r="AL1257" s="441"/>
      <c r="AM1257" s="441"/>
      <c r="AO1257" s="431"/>
      <c r="AP1257" s="431"/>
      <c r="AQ1257" s="431"/>
      <c r="AR1257" s="431"/>
      <c r="AS1257" s="431"/>
      <c r="AT1257" s="431"/>
      <c r="AU12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7" s="441"/>
      <c r="AW1257" s="441" t="str" cm="1">
        <f t="array" ref="AW1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7" s="441">
        <f>IF(ISERROR(PV_DATA[[#This Row],[New Ark PO status]]),"",_xlfn.XLOOKUP(PV_DATA[[#This Row],[SPTN-PVHK New Ark PO'#]],New_Ark_Data[Purchase order Number],New_Ark_Data[Estimated time of arrival],"",0))</f>
        <v>0</v>
      </c>
      <c r="AZ125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7" s="441" t="str">
        <f>IFERROR(PV_DATA[[#This Row],[ODP ETA Port]]+PV_DATA[[#This Row],[Customs/Leg3 Assumption]],"n/a")</f>
        <v>n/a</v>
      </c>
      <c r="BB1257" s="442" t="e">
        <f>YEAR(PV_DATA[[#This Row],[ETA for New Ark update]])</f>
        <v>#VALUE!</v>
      </c>
      <c r="BC1257" s="431" t="e">
        <f>MONTH(PV_DATA[[#This Row],[ETA for New Ark update]])</f>
        <v>#VALUE!</v>
      </c>
      <c r="BD1257" s="431">
        <f>IFERROR(_xlfn.ISOWEEKNUM(PV_DATA[[#This Row],[ETA for New Ark update]]),0)</f>
        <v>0</v>
      </c>
      <c r="BE1257" s="431">
        <f>_xlfn.XLOOKUP(PV_DATA[[#This Row],[New Ark SKU]],Table9[New Ark SKU],Table9[Total PCS per Pallet],,0)</f>
        <v>33</v>
      </c>
      <c r="BF1257" s="431">
        <f>_xlfn.XLOOKUP(PV_DATA[[#This Row],[New Ark SKU]],Table9[New Ark SKU],Table9[Total PCS per 40HQ Container],,0)</f>
        <v>660</v>
      </c>
      <c r="BG1257" s="431" t="str">
        <f>_xlfn.XLOOKUP(PV_DATA[[#This Row],[New Ark SKU]],Table9[New Ark SKU],Table9[Back Glass],,0)</f>
        <v>White glazing</v>
      </c>
      <c r="BH1257" s="431" t="str">
        <f>_xlfn.XLOOKUP(PV_DATA[[#This Row],[PORT DESTINATION]],Table12[PORT DESTINATION],Table12[Cosco Line],,0)</f>
        <v>n/a</v>
      </c>
      <c r="BJ1257" s="430"/>
    </row>
    <row r="1258" spans="1:62" ht="10.5">
      <c r="A1258" s="728" t="s">
        <v>7331</v>
      </c>
      <c r="B1258" s="439" t="s">
        <v>111</v>
      </c>
      <c r="C1258" s="439" t="str">
        <f>IFERROR(LEFT(PV_DATA[[#This Row],[TCL REFERENCE]],FIND(".",PV_DATA[[#This Row],[TCL REFERENCE]],1)-1),"Main Line")</f>
        <v>26Aug017</v>
      </c>
      <c r="D1258" s="439" t="s">
        <v>63</v>
      </c>
      <c r="E1258" s="439" t="s">
        <v>64</v>
      </c>
      <c r="F1258" s="439" t="str" cm="1">
        <f t="array" ref="F1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58" s="439" t="s">
        <v>402</v>
      </c>
      <c r="H1258" s="439" t="s">
        <v>311</v>
      </c>
      <c r="I1258" s="439" t="s">
        <v>689</v>
      </c>
      <c r="J1258" s="430" t="s">
        <v>96</v>
      </c>
      <c r="K1258" s="431"/>
      <c r="L1258" s="431"/>
      <c r="M1258" s="431"/>
      <c r="N1258" s="461">
        <v>46305</v>
      </c>
      <c r="O1258" s="431" t="s">
        <v>170</v>
      </c>
      <c r="P1258" s="431" t="s">
        <v>171</v>
      </c>
      <c r="Q1258" s="431" t="s">
        <v>1731</v>
      </c>
      <c r="R1258" s="430" t="str">
        <f>_xlfn.XLOOKUP(PV_DATA[[#This Row],[New Ark SKU]],Table9[New Ark SKU],Table9[Connector],,0)</f>
        <v>EVO2A</v>
      </c>
      <c r="S1258" s="433" t="str">
        <f>_xlfn.XLOOKUP(PV_DATA[[#This Row],[New Ark SKU]],Table9[New Ark SKU],Table9[Cable],,0)</f>
        <v>±1400mm</v>
      </c>
      <c r="T1258" s="442">
        <v>555</v>
      </c>
      <c r="U1258" s="1093">
        <f>660*6</f>
        <v>3960</v>
      </c>
      <c r="V1258" s="448">
        <f>PV_DATA[[#This Row],[QUANTITY]]*PV_DATA[[#This Row],[WATT]]/1000000</f>
        <v>2.1978</v>
      </c>
      <c r="W1258" s="466">
        <f>PV_DATA[[#This Row],[QUANTITY]]/PV_DATA[[#This Row],[Qty/Pallet]]</f>
        <v>120</v>
      </c>
      <c r="X1258" s="1044">
        <f>PV_DATA[[#This Row],[QUANTITY]]/PV_DATA[[#This Row],[Qty/CT]]</f>
        <v>6</v>
      </c>
      <c r="Y1258" s="431" t="s">
        <v>2474</v>
      </c>
      <c r="Z1258" s="430"/>
      <c r="AA1258" s="431"/>
      <c r="AB1258" s="441"/>
      <c r="AC1258" s="467"/>
      <c r="AD1258" s="431"/>
      <c r="AE1258" s="431"/>
      <c r="AF1258" s="431" t="s">
        <v>122</v>
      </c>
      <c r="AG1258" s="431" t="s">
        <v>123</v>
      </c>
      <c r="AH1258" s="431" t="s">
        <v>314</v>
      </c>
      <c r="AI1258" s="441"/>
      <c r="AJ1258" s="437" t="str">
        <f>IFERROR(VLOOKUP(AT1258, Vessel!A:D, 4, FALSE), "")</f>
        <v/>
      </c>
      <c r="AK1258" s="437" t="str">
        <f>IFERROR(IF(VLOOKUP(AT1258,Vessel!A:F,5,FALSE)=0,"",VLOOKUP(AT1258,Vessel!A:F,5,FALSE)),"")</f>
        <v/>
      </c>
      <c r="AL1258" s="441"/>
      <c r="AM1258" s="441"/>
      <c r="AO1258" s="431"/>
      <c r="AP1258" s="431"/>
      <c r="AQ1258" s="431"/>
      <c r="AR1258" s="431"/>
      <c r="AS1258" s="431"/>
      <c r="AT1258" s="431"/>
      <c r="AU12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8" s="441"/>
      <c r="AW1258" s="441" cm="1">
        <f t="array" ref="AW1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5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8" s="441">
        <f>IF(ISERROR(PV_DATA[[#This Row],[New Ark PO status]]),"",_xlfn.XLOOKUP(PV_DATA[[#This Row],[SPTN-PVHK New Ark PO'#]],New_Ark_Data[Purchase order Number],New_Ark_Data[Estimated time of arrival],"",0))</f>
        <v>0</v>
      </c>
      <c r="AZ125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58" s="441">
        <f>IFERROR(PV_DATA[[#This Row],[ODP ETA Port]]+PV_DATA[[#This Row],[Customs/Leg3 Assumption]],"n/a")</f>
        <v>46388</v>
      </c>
      <c r="BB1258" s="442">
        <f>YEAR(PV_DATA[[#This Row],[ETA for New Ark update]])</f>
        <v>2027</v>
      </c>
      <c r="BC1258" s="431">
        <f>MONTH(PV_DATA[[#This Row],[ETA for New Ark update]])</f>
        <v>1</v>
      </c>
      <c r="BD1258" s="431">
        <f>IFERROR(_xlfn.ISOWEEKNUM(PV_DATA[[#This Row],[ETA for New Ark update]]),0)</f>
        <v>53</v>
      </c>
      <c r="BE1258" s="431">
        <f>_xlfn.XLOOKUP(PV_DATA[[#This Row],[New Ark SKU]],Table9[New Ark SKU],Table9[Total PCS per Pallet],,0)</f>
        <v>33</v>
      </c>
      <c r="BF1258" s="431">
        <f>_xlfn.XLOOKUP(PV_DATA[[#This Row],[New Ark SKU]],Table9[New Ark SKU],Table9[Total PCS per 40HQ Container],,0)</f>
        <v>660</v>
      </c>
      <c r="BG1258" s="431" t="str">
        <f>_xlfn.XLOOKUP(PV_DATA[[#This Row],[New Ark SKU]],Table9[New Ark SKU],Table9[Back Glass],,0)</f>
        <v>White glazing</v>
      </c>
      <c r="BH1258" s="431" t="str">
        <f>_xlfn.XLOOKUP(PV_DATA[[#This Row],[PORT DESTINATION]],Table12[PORT DESTINATION],Table12[Cosco Line],,0)</f>
        <v>AEM</v>
      </c>
      <c r="BJ1258" s="430"/>
    </row>
    <row r="1259" spans="1:62" ht="10.5">
      <c r="A1259" s="728" t="s">
        <v>7332</v>
      </c>
      <c r="B1259" s="439" t="s">
        <v>111</v>
      </c>
      <c r="C1259" s="439" t="str">
        <f>IFERROR(LEFT(PV_DATA[[#This Row],[TCL REFERENCE]],FIND(".",PV_DATA[[#This Row],[TCL REFERENCE]],1)-1),"Main Line")</f>
        <v>Main Line</v>
      </c>
      <c r="D1259" s="439" t="s">
        <v>63</v>
      </c>
      <c r="E1259" s="439" t="s">
        <v>68</v>
      </c>
      <c r="F1259" s="439" t="str" cm="1">
        <f t="array" ref="F125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9" s="439" t="s">
        <v>68</v>
      </c>
      <c r="H1259" s="439" t="s">
        <v>68</v>
      </c>
      <c r="I1259" s="439" t="s">
        <v>68</v>
      </c>
      <c r="J1259" s="430" t="s">
        <v>68</v>
      </c>
      <c r="K1259" s="431"/>
      <c r="L1259" s="431"/>
      <c r="M1259" s="431" t="s">
        <v>68</v>
      </c>
      <c r="N1259" s="461">
        <v>46298</v>
      </c>
      <c r="O1259" s="431" t="s">
        <v>170</v>
      </c>
      <c r="P1259" s="431" t="s">
        <v>1977</v>
      </c>
      <c r="Q1259" s="431" t="s">
        <v>1978</v>
      </c>
      <c r="R1259" s="430" t="str">
        <f>_xlfn.XLOOKUP(PV_DATA[[#This Row],[New Ark SKU]],Table9[New Ark SKU],Table9[Connector],,0)</f>
        <v>EVO2A</v>
      </c>
      <c r="S1259" s="433" t="str">
        <f>_xlfn.XLOOKUP(PV_DATA[[#This Row],[New Ark SKU]],Table9[New Ark SKU],Table9[Cable],,0)</f>
        <v>±1400mm</v>
      </c>
      <c r="T1259" s="442">
        <v>560</v>
      </c>
      <c r="U1259" s="1093" cm="1">
        <f t="array" ref="U1259">21780-fx_qty</f>
        <v>0</v>
      </c>
      <c r="V1259" s="448">
        <f>PV_DATA[[#This Row],[QUANTITY]]*PV_DATA[[#This Row],[WATT]]/1000000</f>
        <v>0</v>
      </c>
      <c r="W1259" s="466">
        <f>PV_DATA[[#This Row],[QUANTITY]]/PV_DATA[[#This Row],[Qty/Pallet]]</f>
        <v>0</v>
      </c>
      <c r="X1259" s="1044">
        <f>PV_DATA[[#This Row],[QUANTITY]]/PV_DATA[[#This Row],[Qty/CT]]</f>
        <v>0</v>
      </c>
      <c r="Y1259" s="431" t="s">
        <v>7027</v>
      </c>
      <c r="Z1259" s="430"/>
      <c r="AA1259" s="431"/>
      <c r="AB1259" s="441"/>
      <c r="AC1259" s="445"/>
      <c r="AD1259" s="431"/>
      <c r="AE1259" s="431"/>
      <c r="AF1259" s="431" t="s">
        <v>122</v>
      </c>
      <c r="AG1259" s="431" t="s">
        <v>123</v>
      </c>
      <c r="AH1259" s="431" t="s">
        <v>68</v>
      </c>
      <c r="AI1259" s="441"/>
      <c r="AJ1259" s="437" t="str">
        <f>IFERROR(VLOOKUP(AT1259, Vessel!A:D, 4, FALSE), "")</f>
        <v/>
      </c>
      <c r="AK1259" s="437" t="str">
        <f>IFERROR(IF(VLOOKUP(AT1259,Vessel!A:F,5,FALSE)=0,"",VLOOKUP(AT1259,Vessel!A:F,5,FALSE)),"")</f>
        <v/>
      </c>
      <c r="AL1259" s="441"/>
      <c r="AM1259" s="441"/>
      <c r="AO1259" s="441"/>
      <c r="AP1259" s="431"/>
      <c r="AQ1259" s="431"/>
      <c r="AR1259" s="431"/>
      <c r="AS1259" s="431"/>
      <c r="AT1259" s="431"/>
      <c r="AU12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59" s="431"/>
      <c r="AW1259" s="441" t="str" cm="1">
        <f t="array" ref="AW1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5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59" s="441">
        <f>IF(ISERROR(PV_DATA[[#This Row],[New Ark PO status]]),"",_xlfn.XLOOKUP(PV_DATA[[#This Row],[SPTN-PVHK New Ark PO'#]],New_Ark_Data[Purchase order Number],New_Ark_Data[Estimated time of arrival],"",0))</f>
        <v>0</v>
      </c>
      <c r="AZ125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9" s="437" t="str">
        <f>IFERROR(PV_DATA[[#This Row],[ODP ETA Port]]+PV_DATA[[#This Row],[Customs/Leg3 Assumption]],"n/a")</f>
        <v>n/a</v>
      </c>
      <c r="BB1259" s="442" t="e">
        <f>YEAR(PV_DATA[[#This Row],[ETA for New Ark update]])</f>
        <v>#VALUE!</v>
      </c>
      <c r="BC1259" s="431" t="e">
        <f>MONTH(PV_DATA[[#This Row],[ETA for New Ark update]])</f>
        <v>#VALUE!</v>
      </c>
      <c r="BD1259" s="431">
        <f>IFERROR(_xlfn.ISOWEEKNUM(PV_DATA[[#This Row],[ETA for New Ark update]]),0)</f>
        <v>0</v>
      </c>
      <c r="BE1259" s="431">
        <f>_xlfn.XLOOKUP(PV_DATA[[#This Row],[New Ark SKU]],Table9[New Ark SKU],Table9[Total PCS per Pallet],,0)</f>
        <v>33</v>
      </c>
      <c r="BF1259" s="431">
        <f>_xlfn.XLOOKUP(PV_DATA[[#This Row],[New Ark SKU]],Table9[New Ark SKU],Table9[Total PCS per 40HQ Container],,0)</f>
        <v>660</v>
      </c>
      <c r="BG1259" s="431" t="str">
        <f>_xlfn.XLOOKUP(PV_DATA[[#This Row],[New Ark SKU]],Table9[New Ark SKU],Table9[Back Glass],,0)</f>
        <v>White glazing</v>
      </c>
      <c r="BH1259" s="431" t="str">
        <f>_xlfn.XLOOKUP(PV_DATA[[#This Row],[PORT DESTINATION]],Table12[PORT DESTINATION],Table12[Cosco Line],,0)</f>
        <v>n/a</v>
      </c>
      <c r="BJ1259" s="430"/>
    </row>
    <row r="1260" spans="1:62" ht="10.5" customHeight="1">
      <c r="A1260" s="728" t="s">
        <v>7333</v>
      </c>
      <c r="B1260" s="439" t="s">
        <v>111</v>
      </c>
      <c r="C1260" s="439" t="str">
        <f>IFERROR(LEFT(PV_DATA[[#This Row],[TCL REFERENCE]],FIND(".",PV_DATA[[#This Row],[TCL REFERENCE]],1)-1),"Main Line")</f>
        <v>26Aug018</v>
      </c>
      <c r="D1260" s="439" t="s">
        <v>63</v>
      </c>
      <c r="E1260" s="439" t="s">
        <v>64</v>
      </c>
      <c r="F1260" s="439" t="str" cm="1">
        <f t="array" ref="F1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60" s="439" t="s">
        <v>402</v>
      </c>
      <c r="H1260" s="439" t="s">
        <v>311</v>
      </c>
      <c r="I1260" s="439" t="s">
        <v>689</v>
      </c>
      <c r="J1260" s="430" t="s">
        <v>96</v>
      </c>
      <c r="K1260" s="431"/>
      <c r="L1260" s="431"/>
      <c r="M1260" s="431"/>
      <c r="N1260" s="461">
        <v>46305</v>
      </c>
      <c r="O1260" s="431" t="s">
        <v>170</v>
      </c>
      <c r="P1260" s="431" t="s">
        <v>1977</v>
      </c>
      <c r="Q1260" s="431" t="s">
        <v>1978</v>
      </c>
      <c r="R1260" s="430" t="str">
        <f>_xlfn.XLOOKUP(PV_DATA[[#This Row],[New Ark SKU]],Table9[New Ark SKU],Table9[Connector],,0)</f>
        <v>EVO2A</v>
      </c>
      <c r="S1260" s="433" t="str">
        <f>_xlfn.XLOOKUP(PV_DATA[[#This Row],[New Ark SKU]],Table9[New Ark SKU],Table9[Cable],,0)</f>
        <v>±1400mm</v>
      </c>
      <c r="T1260" s="442">
        <v>560</v>
      </c>
      <c r="U1260" s="1093">
        <v>5280</v>
      </c>
      <c r="V1260" s="448">
        <f>PV_DATA[[#This Row],[QUANTITY]]*PV_DATA[[#This Row],[WATT]]/1000000</f>
        <v>2.9567999999999999</v>
      </c>
      <c r="W1260" s="466">
        <f>PV_DATA[[#This Row],[QUANTITY]]/PV_DATA[[#This Row],[Qty/Pallet]]</f>
        <v>160</v>
      </c>
      <c r="X1260" s="1044">
        <f>PV_DATA[[#This Row],[QUANTITY]]/PV_DATA[[#This Row],[Qty/CT]]</f>
        <v>8</v>
      </c>
      <c r="Y1260" s="431" t="s">
        <v>7334</v>
      </c>
      <c r="Z1260" s="430"/>
      <c r="AA1260" s="431" t="s">
        <v>7335</v>
      </c>
      <c r="AB1260" s="441"/>
      <c r="AC1260" s="467"/>
      <c r="AD1260" s="431"/>
      <c r="AE1260" s="431"/>
      <c r="AF1260" s="431" t="s">
        <v>122</v>
      </c>
      <c r="AG1260" s="431" t="s">
        <v>123</v>
      </c>
      <c r="AH1260" s="431" t="s">
        <v>105</v>
      </c>
      <c r="AI1260" s="441"/>
      <c r="AJ1260" s="437" t="str">
        <f>IFERROR(VLOOKUP(AT1260, Vessel!A:D, 4, FALSE), "")</f>
        <v/>
      </c>
      <c r="AK1260" s="437" t="str">
        <f>IFERROR(IF(VLOOKUP(AT1260,Vessel!A:F,5,FALSE)=0,"",VLOOKUP(AT1260,Vessel!A:F,5,FALSE)),"")</f>
        <v/>
      </c>
      <c r="AL1260" s="441"/>
      <c r="AM1260" s="441"/>
      <c r="AO1260" s="431"/>
      <c r="AP1260" s="431"/>
      <c r="AQ1260" s="431"/>
      <c r="AR1260" s="431"/>
      <c r="AS1260" s="431"/>
      <c r="AT1260" s="431"/>
      <c r="AU12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60" s="441"/>
      <c r="AW1260" s="441" cm="1">
        <f t="array" ref="AW1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6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0" s="441">
        <f>IF(ISERROR(PV_DATA[[#This Row],[New Ark PO status]]),"",_xlfn.XLOOKUP(PV_DATA[[#This Row],[SPTN-PVHK New Ark PO'#]],New_Ark_Data[Purchase order Number],New_Ark_Data[Estimated time of arrival],"",0))</f>
        <v>0</v>
      </c>
      <c r="AZ12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60" s="441">
        <f>IFERROR(PV_DATA[[#This Row],[ODP ETA Port]]+PV_DATA[[#This Row],[Customs/Leg3 Assumption]],"n/a")</f>
        <v>46395</v>
      </c>
      <c r="BB1260" s="442">
        <f>YEAR(PV_DATA[[#This Row],[ETA for New Ark update]])</f>
        <v>2027</v>
      </c>
      <c r="BC1260" s="431">
        <f>MONTH(PV_DATA[[#This Row],[ETA for New Ark update]])</f>
        <v>1</v>
      </c>
      <c r="BD1260" s="431">
        <f>IFERROR(_xlfn.ISOWEEKNUM(PV_DATA[[#This Row],[ETA for New Ark update]]),0)</f>
        <v>1</v>
      </c>
      <c r="BE1260" s="431">
        <f>_xlfn.XLOOKUP(PV_DATA[[#This Row],[New Ark SKU]],Table9[New Ark SKU],Table9[Total PCS per Pallet],,0)</f>
        <v>33</v>
      </c>
      <c r="BF1260" s="431">
        <f>_xlfn.XLOOKUP(PV_DATA[[#This Row],[New Ark SKU]],Table9[New Ark SKU],Table9[Total PCS per 40HQ Container],,0)</f>
        <v>660</v>
      </c>
      <c r="BG1260" s="431" t="str">
        <f>_xlfn.XLOOKUP(PV_DATA[[#This Row],[New Ark SKU]],Table9[New Ark SKU],Table9[Back Glass],,0)</f>
        <v>White glazing</v>
      </c>
      <c r="BH1260" s="431" t="str">
        <f>_xlfn.XLOOKUP(PV_DATA[[#This Row],[PORT DESTINATION]],Table12[PORT DESTINATION],Table12[Cosco Line],,0)</f>
        <v>AEU</v>
      </c>
      <c r="BJ1260" s="430"/>
    </row>
    <row r="1261" spans="1:62" ht="10.5">
      <c r="A1261" s="728" t="s">
        <v>7336</v>
      </c>
      <c r="B1261" s="439" t="s">
        <v>111</v>
      </c>
      <c r="C1261" s="439" t="str">
        <f>IFERROR(LEFT(PV_DATA[[#This Row],[TCL REFERENCE]],FIND(".",PV_DATA[[#This Row],[TCL REFERENCE]],1)-1),"Main Line")</f>
        <v>26Aug018</v>
      </c>
      <c r="D1261" s="439" t="s">
        <v>63</v>
      </c>
      <c r="E1261" s="439" t="s">
        <v>64</v>
      </c>
      <c r="F1261" s="439" t="str" cm="1">
        <f t="array" ref="F1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61" s="439" t="s">
        <v>402</v>
      </c>
      <c r="H1261" s="439" t="s">
        <v>311</v>
      </c>
      <c r="I1261" s="439" t="s">
        <v>689</v>
      </c>
      <c r="J1261" s="430" t="s">
        <v>96</v>
      </c>
      <c r="K1261" s="431"/>
      <c r="L1261" s="431"/>
      <c r="M1261" s="431"/>
      <c r="N1261" s="461">
        <v>46305</v>
      </c>
      <c r="O1261" s="431" t="s">
        <v>170</v>
      </c>
      <c r="P1261" s="431" t="s">
        <v>1977</v>
      </c>
      <c r="Q1261" s="431" t="s">
        <v>1978</v>
      </c>
      <c r="R1261" s="430" t="str">
        <f>_xlfn.XLOOKUP(PV_DATA[[#This Row],[New Ark SKU]],Table9[New Ark SKU],Table9[Connector],,0)</f>
        <v>EVO2A</v>
      </c>
      <c r="S1261" s="433" t="str">
        <f>_xlfn.XLOOKUP(PV_DATA[[#This Row],[New Ark SKU]],Table9[New Ark SKU],Table9[Cable],,0)</f>
        <v>±1400mm</v>
      </c>
      <c r="T1261" s="442">
        <v>560</v>
      </c>
      <c r="U1261" s="1093">
        <f>660*4</f>
        <v>2640</v>
      </c>
      <c r="V1261" s="448">
        <f>PV_DATA[[#This Row],[QUANTITY]]*PV_DATA[[#This Row],[WATT]]/1000000</f>
        <v>1.4783999999999999</v>
      </c>
      <c r="W1261" s="466">
        <f>PV_DATA[[#This Row],[QUANTITY]]/PV_DATA[[#This Row],[Qty/Pallet]]</f>
        <v>80</v>
      </c>
      <c r="X1261" s="1044">
        <f>PV_DATA[[#This Row],[QUANTITY]]/PV_DATA[[#This Row],[Qty/CT]]</f>
        <v>4</v>
      </c>
      <c r="Y1261" s="431" t="s">
        <v>7334</v>
      </c>
      <c r="Z1261" s="430"/>
      <c r="AA1261" s="431"/>
      <c r="AB1261" s="441"/>
      <c r="AC1261" s="467"/>
      <c r="AD1261" s="431"/>
      <c r="AE1261" s="431"/>
      <c r="AF1261" s="431" t="s">
        <v>122</v>
      </c>
      <c r="AG1261" s="431" t="s">
        <v>123</v>
      </c>
      <c r="AH1261" s="431" t="s">
        <v>1561</v>
      </c>
      <c r="AI1261" s="441"/>
      <c r="AJ1261" s="437" t="str">
        <f>IFERROR(VLOOKUP(AT1261, Vessel!A:D, 4, FALSE), "")</f>
        <v/>
      </c>
      <c r="AK1261" s="437" t="str">
        <f>IFERROR(IF(VLOOKUP(AT1261,Vessel!A:F,5,FALSE)=0,"",VLOOKUP(AT1261,Vessel!A:F,5,FALSE)),"")</f>
        <v/>
      </c>
      <c r="AL1261" s="441"/>
      <c r="AM1261" s="441"/>
      <c r="AO1261" s="431"/>
      <c r="AP1261" s="431"/>
      <c r="AQ1261" s="431"/>
      <c r="AR1261" s="431"/>
      <c r="AS1261" s="431"/>
      <c r="AT1261" s="431"/>
      <c r="AU12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61" s="441"/>
      <c r="AW1261" s="441" cm="1">
        <f t="array" ref="AW1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46392</v>
      </c>
      <c r="AX126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1" s="441">
        <f>IF(ISERROR(PV_DATA[[#This Row],[New Ark PO status]]),"",_xlfn.XLOOKUP(PV_DATA[[#This Row],[SPTN-PVHK New Ark PO'#]],New_Ark_Data[Purchase order Number],New_Ark_Data[Estimated time of arrival],"",0))</f>
        <v>0</v>
      </c>
      <c r="AZ126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61" s="441">
        <f>IFERROR(PV_DATA[[#This Row],[ODP ETA Port]]+PV_DATA[[#This Row],[Customs/Leg3 Assumption]],"n/a")</f>
        <v>46402</v>
      </c>
      <c r="BB1261" s="442">
        <f>YEAR(PV_DATA[[#This Row],[ETA for New Ark update]])</f>
        <v>2027</v>
      </c>
      <c r="BC1261" s="431">
        <f>MONTH(PV_DATA[[#This Row],[ETA for New Ark update]])</f>
        <v>1</v>
      </c>
      <c r="BD1261" s="431">
        <f>IFERROR(_xlfn.ISOWEEKNUM(PV_DATA[[#This Row],[ETA for New Ark update]]),0)</f>
        <v>2</v>
      </c>
      <c r="BE1261" s="431">
        <f>_xlfn.XLOOKUP(PV_DATA[[#This Row],[New Ark SKU]],Table9[New Ark SKU],Table9[Total PCS per Pallet],,0)</f>
        <v>33</v>
      </c>
      <c r="BF1261" s="431">
        <f>_xlfn.XLOOKUP(PV_DATA[[#This Row],[New Ark SKU]],Table9[New Ark SKU],Table9[Total PCS per 40HQ Container],,0)</f>
        <v>660</v>
      </c>
      <c r="BG1261" s="431" t="str">
        <f>_xlfn.XLOOKUP(PV_DATA[[#This Row],[New Ark SKU]],Table9[New Ark SKU],Table9[Back Glass],,0)</f>
        <v>White glazing</v>
      </c>
      <c r="BH1261" s="431" t="str">
        <f>_xlfn.XLOOKUP(PV_DATA[[#This Row],[PORT DESTINATION]],Table12[PORT DESTINATION],Table12[Cosco Line],,0)</f>
        <v>AEM</v>
      </c>
      <c r="BJ1261" s="430"/>
    </row>
    <row r="1262" spans="1:62" ht="10.5">
      <c r="A1262" s="728" t="s">
        <v>7337</v>
      </c>
      <c r="B1262" s="439" t="s">
        <v>111</v>
      </c>
      <c r="C1262" s="439" t="str">
        <f>IFERROR(LEFT(PV_DATA[[#This Row],[TCL REFERENCE]],FIND(".",PV_DATA[[#This Row],[TCL REFERENCE]],1)-1),"Main Line")</f>
        <v>26Aug018</v>
      </c>
      <c r="D1262" s="439" t="s">
        <v>63</v>
      </c>
      <c r="E1262" s="439" t="s">
        <v>64</v>
      </c>
      <c r="F1262" s="439" t="str" cm="1">
        <f t="array" ref="F1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62" s="439" t="s">
        <v>402</v>
      </c>
      <c r="H1262" s="439" t="s">
        <v>311</v>
      </c>
      <c r="I1262" s="439" t="s">
        <v>689</v>
      </c>
      <c r="J1262" s="430" t="s">
        <v>96</v>
      </c>
      <c r="K1262" s="431"/>
      <c r="L1262" s="431"/>
      <c r="M1262" s="431"/>
      <c r="N1262" s="461">
        <v>46305</v>
      </c>
      <c r="O1262" s="431" t="s">
        <v>170</v>
      </c>
      <c r="P1262" s="431" t="s">
        <v>1977</v>
      </c>
      <c r="Q1262" s="431" t="s">
        <v>1978</v>
      </c>
      <c r="R1262" s="430" t="str">
        <f>_xlfn.XLOOKUP(PV_DATA[[#This Row],[New Ark SKU]],Table9[New Ark SKU],Table9[Connector],,0)</f>
        <v>EVO2A</v>
      </c>
      <c r="S1262" s="433" t="str">
        <f>_xlfn.XLOOKUP(PV_DATA[[#This Row],[New Ark SKU]],Table9[New Ark SKU],Table9[Cable],,0)</f>
        <v>±1400mm</v>
      </c>
      <c r="T1262" s="442">
        <v>560</v>
      </c>
      <c r="U1262" s="1093">
        <f>660*6</f>
        <v>3960</v>
      </c>
      <c r="V1262" s="448">
        <f>PV_DATA[[#This Row],[QUANTITY]]*PV_DATA[[#This Row],[WATT]]/1000000</f>
        <v>2.2176</v>
      </c>
      <c r="W1262" s="466">
        <f>PV_DATA[[#This Row],[QUANTITY]]/PV_DATA[[#This Row],[Qty/Pallet]]</f>
        <v>120</v>
      </c>
      <c r="X1262" s="1044">
        <f>PV_DATA[[#This Row],[QUANTITY]]/PV_DATA[[#This Row],[Qty/CT]]</f>
        <v>6</v>
      </c>
      <c r="Y1262" s="431" t="s">
        <v>2475</v>
      </c>
      <c r="Z1262" s="430"/>
      <c r="AA1262" s="431"/>
      <c r="AB1262" s="441"/>
      <c r="AC1262" s="467"/>
      <c r="AD1262" s="431"/>
      <c r="AE1262" s="431"/>
      <c r="AF1262" s="431" t="s">
        <v>122</v>
      </c>
      <c r="AG1262" s="431" t="s">
        <v>123</v>
      </c>
      <c r="AH1262" s="431" t="s">
        <v>314</v>
      </c>
      <c r="AI1262" s="441"/>
      <c r="AJ1262" s="437" t="str">
        <f>IFERROR(VLOOKUP(AT1262, Vessel!A:D, 4, FALSE), "")</f>
        <v/>
      </c>
      <c r="AK1262" s="437" t="str">
        <f>IFERROR(IF(VLOOKUP(AT1262,Vessel!A:F,5,FALSE)=0,"",VLOOKUP(AT1262,Vessel!A:F,5,FALSE)),"")</f>
        <v/>
      </c>
      <c r="AL1262" s="441"/>
      <c r="AM1262" s="441"/>
      <c r="AO1262" s="431"/>
      <c r="AP1262" s="431"/>
      <c r="AQ1262" s="431"/>
      <c r="AR1262" s="431"/>
      <c r="AS1262" s="431"/>
      <c r="AT1262" s="431"/>
      <c r="AU12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62" s="441"/>
      <c r="AW1262" s="441" cm="1">
        <f t="array" ref="AW1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6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2" s="441">
        <f>IF(ISERROR(PV_DATA[[#This Row],[New Ark PO status]]),"",_xlfn.XLOOKUP(PV_DATA[[#This Row],[SPTN-PVHK New Ark PO'#]],New_Ark_Data[Purchase order Number],New_Ark_Data[Estimated time of arrival],"",0))</f>
        <v>0</v>
      </c>
      <c r="AZ126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62" s="441">
        <f>IFERROR(PV_DATA[[#This Row],[ODP ETA Port]]+PV_DATA[[#This Row],[Customs/Leg3 Assumption]],"n/a")</f>
        <v>46395</v>
      </c>
      <c r="BB1262" s="442">
        <f>YEAR(PV_DATA[[#This Row],[ETA for New Ark update]])</f>
        <v>2027</v>
      </c>
      <c r="BC1262" s="431">
        <f>MONTH(PV_DATA[[#This Row],[ETA for New Ark update]])</f>
        <v>1</v>
      </c>
      <c r="BD1262" s="431">
        <f>IFERROR(_xlfn.ISOWEEKNUM(PV_DATA[[#This Row],[ETA for New Ark update]]),0)</f>
        <v>1</v>
      </c>
      <c r="BE1262" s="431">
        <f>_xlfn.XLOOKUP(PV_DATA[[#This Row],[New Ark SKU]],Table9[New Ark SKU],Table9[Total PCS per Pallet],,0)</f>
        <v>33</v>
      </c>
      <c r="BF1262" s="431">
        <f>_xlfn.XLOOKUP(PV_DATA[[#This Row],[New Ark SKU]],Table9[New Ark SKU],Table9[Total PCS per 40HQ Container],,0)</f>
        <v>660</v>
      </c>
      <c r="BG1262" s="431" t="str">
        <f>_xlfn.XLOOKUP(PV_DATA[[#This Row],[New Ark SKU]],Table9[New Ark SKU],Table9[Back Glass],,0)</f>
        <v>White glazing</v>
      </c>
      <c r="BH1262" s="431" t="str">
        <f>_xlfn.XLOOKUP(PV_DATA[[#This Row],[PORT DESTINATION]],Table12[PORT DESTINATION],Table12[Cosco Line],,0)</f>
        <v>AEM</v>
      </c>
      <c r="BJ1262" s="430"/>
    </row>
    <row r="1263" spans="1:62" ht="10.5">
      <c r="A1263" s="728" t="s">
        <v>7338</v>
      </c>
      <c r="B1263" s="439" t="s">
        <v>111</v>
      </c>
      <c r="C1263" s="439" t="str">
        <f>IFERROR(LEFT(PV_DATA[[#This Row],[TCL REFERENCE]],FIND(".",PV_DATA[[#This Row],[TCL REFERENCE]],1)-1),"Main Line")</f>
        <v>26Aug018</v>
      </c>
      <c r="D1263" s="439" t="s">
        <v>63</v>
      </c>
      <c r="E1263" s="439" t="s">
        <v>64</v>
      </c>
      <c r="F1263" s="439" t="str" cm="1">
        <f t="array" ref="F1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63" s="439" t="s">
        <v>402</v>
      </c>
      <c r="H1263" s="439" t="s">
        <v>311</v>
      </c>
      <c r="I1263" s="439" t="s">
        <v>689</v>
      </c>
      <c r="J1263" s="430" t="s">
        <v>96</v>
      </c>
      <c r="K1263" s="431"/>
      <c r="L1263" s="431"/>
      <c r="M1263" s="431"/>
      <c r="N1263" s="461">
        <v>46305</v>
      </c>
      <c r="O1263" s="431" t="s">
        <v>170</v>
      </c>
      <c r="P1263" s="431" t="s">
        <v>1977</v>
      </c>
      <c r="Q1263" s="431" t="s">
        <v>1978</v>
      </c>
      <c r="R1263" s="430" t="str">
        <f>_xlfn.XLOOKUP(PV_DATA[[#This Row],[New Ark SKU]],Table9[New Ark SKU],Table9[Connector],,0)</f>
        <v>EVO2A</v>
      </c>
      <c r="S1263" s="433" t="str">
        <f>_xlfn.XLOOKUP(PV_DATA[[#This Row],[New Ark SKU]],Table9[New Ark SKU],Table9[Cable],,0)</f>
        <v>±1400mm</v>
      </c>
      <c r="T1263" s="442">
        <v>560</v>
      </c>
      <c r="U1263" s="1093">
        <f>660*6</f>
        <v>3960</v>
      </c>
      <c r="V1263" s="448">
        <f>PV_DATA[[#This Row],[QUANTITY]]*PV_DATA[[#This Row],[WATT]]/1000000</f>
        <v>2.2176</v>
      </c>
      <c r="W1263" s="466">
        <f>PV_DATA[[#This Row],[QUANTITY]]/PV_DATA[[#This Row],[Qty/Pallet]]</f>
        <v>120</v>
      </c>
      <c r="X1263" s="1044">
        <f>PV_DATA[[#This Row],[QUANTITY]]/PV_DATA[[#This Row],[Qty/CT]]</f>
        <v>6</v>
      </c>
      <c r="Y1263" s="431" t="s">
        <v>7339</v>
      </c>
      <c r="Z1263" s="430"/>
      <c r="AA1263" s="431"/>
      <c r="AB1263" s="441"/>
      <c r="AC1263" s="467"/>
      <c r="AD1263" s="431"/>
      <c r="AE1263" s="431"/>
      <c r="AF1263" s="431" t="s">
        <v>122</v>
      </c>
      <c r="AG1263" s="431" t="s">
        <v>123</v>
      </c>
      <c r="AH1263" s="431" t="s">
        <v>314</v>
      </c>
      <c r="AI1263" s="441"/>
      <c r="AJ1263" s="437" t="str">
        <f>IFERROR(VLOOKUP(AT1263, Vessel!A:D, 4, FALSE), "")</f>
        <v/>
      </c>
      <c r="AK1263" s="437" t="str">
        <f>IFERROR(IF(VLOOKUP(AT1263,Vessel!A:F,5,FALSE)=0,"",VLOOKUP(AT1263,Vessel!A:F,5,FALSE)),"")</f>
        <v/>
      </c>
      <c r="AL1263" s="441"/>
      <c r="AM1263" s="441"/>
      <c r="AO1263" s="431"/>
      <c r="AP1263" s="431"/>
      <c r="AQ1263" s="431"/>
      <c r="AR1263" s="431"/>
      <c r="AS1263" s="431"/>
      <c r="AT1263" s="431"/>
      <c r="AU12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63" s="441"/>
      <c r="AW1263" s="441" cm="1">
        <f t="array" ref="AW1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46399</v>
      </c>
      <c r="AX126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3" s="441">
        <f>IF(ISERROR(PV_DATA[[#This Row],[New Ark PO status]]),"",_xlfn.XLOOKUP(PV_DATA[[#This Row],[SPTN-PVHK New Ark PO'#]],New_Ark_Data[Purchase order Number],New_Ark_Data[Estimated time of arrival],"",0))</f>
        <v>0</v>
      </c>
      <c r="AZ126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63" s="441">
        <f>IFERROR(PV_DATA[[#This Row],[ODP ETA Port]]+PV_DATA[[#This Row],[Customs/Leg3 Assumption]],"n/a")</f>
        <v>46409</v>
      </c>
      <c r="BB1263" s="442">
        <f>YEAR(PV_DATA[[#This Row],[ETA for New Ark update]])</f>
        <v>2027</v>
      </c>
      <c r="BC1263" s="431">
        <f>MONTH(PV_DATA[[#This Row],[ETA for New Ark update]])</f>
        <v>1</v>
      </c>
      <c r="BD1263" s="431">
        <f>IFERROR(_xlfn.ISOWEEKNUM(PV_DATA[[#This Row],[ETA for New Ark update]]),0)</f>
        <v>3</v>
      </c>
      <c r="BE1263" s="431">
        <f>_xlfn.XLOOKUP(PV_DATA[[#This Row],[New Ark SKU]],Table9[New Ark SKU],Table9[Total PCS per Pallet],,0)</f>
        <v>33</v>
      </c>
      <c r="BF1263" s="431">
        <f>_xlfn.XLOOKUP(PV_DATA[[#This Row],[New Ark SKU]],Table9[New Ark SKU],Table9[Total PCS per 40HQ Container],,0)</f>
        <v>660</v>
      </c>
      <c r="BG1263" s="431" t="str">
        <f>_xlfn.XLOOKUP(PV_DATA[[#This Row],[New Ark SKU]],Table9[New Ark SKU],Table9[Back Glass],,0)</f>
        <v>White glazing</v>
      </c>
      <c r="BH1263" s="431" t="str">
        <f>_xlfn.XLOOKUP(PV_DATA[[#This Row],[PORT DESTINATION]],Table12[PORT DESTINATION],Table12[Cosco Line],,0)</f>
        <v>AEM</v>
      </c>
      <c r="BJ1263" s="430"/>
    </row>
    <row r="1264" spans="1:62" ht="10.5">
      <c r="A1264" s="728" t="s">
        <v>7340</v>
      </c>
      <c r="B1264" s="439" t="s">
        <v>111</v>
      </c>
      <c r="C1264" s="439" t="str">
        <f>IFERROR(LEFT(PV_DATA[[#This Row],[TCL REFERENCE]],FIND(".",PV_DATA[[#This Row],[TCL REFERENCE]],1)-1),"Main Line")</f>
        <v>Main Line</v>
      </c>
      <c r="D1264" s="439" t="s">
        <v>63</v>
      </c>
      <c r="E1264" s="439" t="s">
        <v>68</v>
      </c>
      <c r="F1264" s="439" t="str" cm="1">
        <f t="array" ref="F126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4" s="726" t="s">
        <v>68</v>
      </c>
      <c r="H1264" s="726" t="s">
        <v>68</v>
      </c>
      <c r="I1264" s="431" t="s">
        <v>68</v>
      </c>
      <c r="J1264" s="619" t="s">
        <v>68</v>
      </c>
      <c r="K1264" s="619"/>
      <c r="L1264" s="619"/>
      <c r="M1264" s="619" t="s">
        <v>68</v>
      </c>
      <c r="N1264" s="461">
        <v>46238</v>
      </c>
      <c r="O1264" s="431" t="s">
        <v>132</v>
      </c>
      <c r="P1264" s="431" t="s">
        <v>189</v>
      </c>
      <c r="Q1264" s="431" t="s">
        <v>190</v>
      </c>
      <c r="R1264" s="430" t="str">
        <f>_xlfn.XLOOKUP(PV_DATA[[#This Row],[New Ark SKU]],Table9[New Ark SKU],Table9[Connector],,0)</f>
        <v>EVO2A</v>
      </c>
      <c r="S1264" s="433" t="str">
        <f>_xlfn.XLOOKUP(PV_DATA[[#This Row],[New Ark SKU]],Table9[New Ark SKU],Table9[Cable],,0)</f>
        <v>±1200mm</v>
      </c>
      <c r="T1264" s="442">
        <v>465</v>
      </c>
      <c r="U1264" s="1093" cm="1">
        <f t="array" ref="U1264">5184-fx_qty</f>
        <v>0</v>
      </c>
      <c r="V1264" s="444">
        <f>PV_DATA[[#This Row],[QUANTITY]]*PV_DATA[[#This Row],[WATT]]/1000000</f>
        <v>0</v>
      </c>
      <c r="W1264" s="466">
        <f>PV_DATA[[#This Row],[QUANTITY]]/PV_DATA[[#This Row],[Qty/Pallet]]</f>
        <v>0</v>
      </c>
      <c r="X1264" s="1044">
        <f>PV_DATA[[#This Row],[QUANTITY]]/PV_DATA[[#This Row],[Qty/CT]]</f>
        <v>0</v>
      </c>
      <c r="Y1264" s="431" t="s">
        <v>7027</v>
      </c>
      <c r="Z1264" s="430"/>
      <c r="AA1264" s="430" t="s">
        <v>5853</v>
      </c>
      <c r="AB1264" s="441"/>
      <c r="AC1264" s="467"/>
      <c r="AD1264" s="431"/>
      <c r="AE1264" s="431"/>
      <c r="AF1264" s="431" t="s">
        <v>122</v>
      </c>
      <c r="AG1264" s="431" t="s">
        <v>123</v>
      </c>
      <c r="AH1264" s="431" t="s">
        <v>68</v>
      </c>
      <c r="AI1264" s="441"/>
      <c r="AJ1264" s="437" t="str">
        <f>IFERROR(VLOOKUP(AT1264, Vessel!A:D, 4, FALSE), "")</f>
        <v/>
      </c>
      <c r="AK1264" s="437" t="str">
        <f>IFERROR(IF(VLOOKUP(AT1264,Vessel!A:F,5,FALSE)=0,"",VLOOKUP(AT1264,Vessel!A:F,5,FALSE)),"")</f>
        <v/>
      </c>
      <c r="AL1264" s="441"/>
      <c r="AM1264" s="441"/>
      <c r="AO1264" s="431"/>
      <c r="AP1264" s="431"/>
      <c r="AQ1264" s="431"/>
      <c r="AR1264" s="431"/>
      <c r="AS1264" s="431"/>
      <c r="AT1264" s="431"/>
      <c r="AU12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64" s="441"/>
      <c r="AW1264" s="441" t="str" cm="1">
        <f t="array" ref="AW1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4" s="441">
        <f>IF(ISERROR(PV_DATA[[#This Row],[New Ark PO status]]),"",_xlfn.XLOOKUP(PV_DATA[[#This Row],[SPTN-PVHK New Ark PO'#]],New_Ark_Data[Purchase order Number],New_Ark_Data[Estimated time of arrival],"",0))</f>
        <v>0</v>
      </c>
      <c r="AZ126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4" s="441" t="str">
        <f>IFERROR(PV_DATA[[#This Row],[ODP ETA Port]]+PV_DATA[[#This Row],[Customs/Leg3 Assumption]],"n/a")</f>
        <v>n/a</v>
      </c>
      <c r="BB1264" s="442" t="e">
        <f>YEAR(PV_DATA[[#This Row],[ETA for New Ark update]])</f>
        <v>#VALUE!</v>
      </c>
      <c r="BC1264" s="431" t="e">
        <f>MONTH(PV_DATA[[#This Row],[ETA for New Ark update]])</f>
        <v>#VALUE!</v>
      </c>
      <c r="BD1264" s="431">
        <f>IFERROR(_xlfn.ISOWEEKNUM(PV_DATA[[#This Row],[ETA for New Ark update]]),0)</f>
        <v>0</v>
      </c>
      <c r="BE1264" s="431">
        <f>_xlfn.XLOOKUP(PV_DATA[[#This Row],[New Ark SKU]],Table9[New Ark SKU],Table9[Total PCS per Pallet],,0)</f>
        <v>36</v>
      </c>
      <c r="BF1264" s="431">
        <f>_xlfn.XLOOKUP(PV_DATA[[#This Row],[New Ark SKU]],Table9[New Ark SKU],Table9[Total PCS per 40HQ Container],,0)</f>
        <v>864</v>
      </c>
      <c r="BG1264" s="431" t="str">
        <f>_xlfn.XLOOKUP(PV_DATA[[#This Row],[New Ark SKU]],Table9[New Ark SKU],Table9[Back Glass],,0)</f>
        <v>White glazing</v>
      </c>
      <c r="BH1264" s="431" t="str">
        <f>_xlfn.XLOOKUP(PV_DATA[[#This Row],[PORT DESTINATION]],Table12[PORT DESTINATION],Table12[Cosco Line],,0)</f>
        <v>n/a</v>
      </c>
      <c r="BJ1264" s="430"/>
    </row>
    <row r="1265" spans="1:91" ht="10.5">
      <c r="A1265" s="728" t="s">
        <v>7341</v>
      </c>
      <c r="B1265" s="462" t="s">
        <v>111</v>
      </c>
      <c r="C1265" s="462" t="str">
        <f>IFERROR(LEFT(PV_DATA[[#This Row],[TCL REFERENCE]],FIND(".",PV_DATA[[#This Row],[TCL REFERENCE]],1)-1),"Main Line")</f>
        <v>Main Line</v>
      </c>
      <c r="D1265" s="462" t="s">
        <v>63</v>
      </c>
      <c r="E1265" s="439" t="s">
        <v>68</v>
      </c>
      <c r="F1265" s="439" t="str" cm="1">
        <f t="array" ref="F126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5" s="726" t="s">
        <v>68</v>
      </c>
      <c r="H1265" s="726" t="s">
        <v>68</v>
      </c>
      <c r="I1265" s="431" t="s">
        <v>68</v>
      </c>
      <c r="J1265" s="619" t="s">
        <v>68</v>
      </c>
      <c r="K1265" s="619"/>
      <c r="L1265" s="619"/>
      <c r="M1265" s="619" t="s">
        <v>68</v>
      </c>
      <c r="N1265" s="461">
        <v>46238</v>
      </c>
      <c r="O1265" s="430" t="s">
        <v>132</v>
      </c>
      <c r="P1265" s="430" t="s">
        <v>1062</v>
      </c>
      <c r="Q1265" s="430" t="s">
        <v>1063</v>
      </c>
      <c r="R1265" s="430" t="str">
        <f>_xlfn.XLOOKUP(PV_DATA[[#This Row],[New Ark SKU]],Table9[New Ark SKU],Table9[Connector],,0)</f>
        <v>EVO2A</v>
      </c>
      <c r="S1265" s="433" t="str">
        <f>_xlfn.XLOOKUP(PV_DATA[[#This Row],[New Ark SKU]],Table9[New Ark SKU],Table9[Cable],,0)</f>
        <v>±1200mm</v>
      </c>
      <c r="T1265" s="433">
        <v>470</v>
      </c>
      <c r="U1265" s="1088" cm="1">
        <f t="array" ref="U1265">16416-fx_qty</f>
        <v>0</v>
      </c>
      <c r="V1265" s="434">
        <f>PV_DATA[[#This Row],[QUANTITY]]*PV_DATA[[#This Row],[WATT]]/1000000</f>
        <v>0</v>
      </c>
      <c r="W1265" s="435">
        <f>PV_DATA[[#This Row],[QUANTITY]]/PV_DATA[[#This Row],[Qty/Pallet]]</f>
        <v>0</v>
      </c>
      <c r="X1265" s="1040">
        <f>PV_DATA[[#This Row],[QUANTITY]]/PV_DATA[[#This Row],[Qty/CT]]</f>
        <v>0</v>
      </c>
      <c r="Y1265" s="431" t="s">
        <v>7027</v>
      </c>
      <c r="Z1265" s="430"/>
      <c r="AA1265" s="430" t="s">
        <v>5853</v>
      </c>
      <c r="AB1265" s="437"/>
      <c r="AC1265" s="617"/>
      <c r="AD1265" s="439"/>
      <c r="AE1265" s="430"/>
      <c r="AF1265" s="430" t="s">
        <v>122</v>
      </c>
      <c r="AG1265" s="430" t="s">
        <v>123</v>
      </c>
      <c r="AH1265" s="431" t="s">
        <v>68</v>
      </c>
      <c r="AI1265" s="437"/>
      <c r="AJ1265" s="437" t="str">
        <f>IFERROR(VLOOKUP(AT1265, Vessel!A:D, 4, FALSE), "")</f>
        <v/>
      </c>
      <c r="AK1265" s="437" t="str">
        <f>IFERROR(IF(VLOOKUP(AT1265,Vessel!A:F,5,FALSE)=0,"",VLOOKUP(AT1265,Vessel!A:F,5,FALSE)),"")</f>
        <v/>
      </c>
      <c r="AN1265" s="437"/>
      <c r="AQ1265" s="430"/>
      <c r="AR1265" s="430"/>
      <c r="AS1265" s="430"/>
      <c r="AU12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65" s="437" t="str" cm="1">
        <f t="array" ref="AW1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5" s="437">
        <f>IF(ISERROR(PV_DATA[[#This Row],[New Ark PO status]]),"",_xlfn.XLOOKUP(PV_DATA[[#This Row],[SPTN-PVHK New Ark PO'#]],New_Ark_Data[Purchase order Number],New_Ark_Data[Estimated time of arrival],"",0))</f>
        <v>0</v>
      </c>
      <c r="AZ126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5" s="437" t="str">
        <f>IFERROR(PV_DATA[[#This Row],[ODP ETA Port]]+PV_DATA[[#This Row],[Customs/Leg3 Assumption]],"n/a")</f>
        <v>n/a</v>
      </c>
      <c r="BB1265" s="433" t="e">
        <f>YEAR(PV_DATA[[#This Row],[ETA for New Ark update]])</f>
        <v>#VALUE!</v>
      </c>
      <c r="BC1265" s="430" t="e">
        <f>MONTH(PV_DATA[[#This Row],[ETA for New Ark update]])</f>
        <v>#VALUE!</v>
      </c>
      <c r="BD1265" s="430">
        <f>IFERROR(_xlfn.ISOWEEKNUM(PV_DATA[[#This Row],[ETA for New Ark update]]),0)</f>
        <v>0</v>
      </c>
      <c r="BE1265" s="431">
        <f>_xlfn.XLOOKUP(PV_DATA[[#This Row],[New Ark SKU]],Table9[New Ark SKU],Table9[Total PCS per Pallet],,0)</f>
        <v>36</v>
      </c>
      <c r="BF1265" s="431">
        <f>_xlfn.XLOOKUP(PV_DATA[[#This Row],[New Ark SKU]],Table9[New Ark SKU],Table9[Total PCS per 40HQ Container],,0)</f>
        <v>864</v>
      </c>
      <c r="BG1265" s="431" t="str">
        <f>_xlfn.XLOOKUP(PV_DATA[[#This Row],[New Ark SKU]],Table9[New Ark SKU],Table9[Back Glass],,0)</f>
        <v>White glazing</v>
      </c>
      <c r="BH1265" s="431" t="str">
        <f>_xlfn.XLOOKUP(PV_DATA[[#This Row],[PORT DESTINATION]],Table12[PORT DESTINATION],Table12[Cosco Line],,0)</f>
        <v>n/a</v>
      </c>
      <c r="BJ1265" s="430"/>
    </row>
    <row r="1266" spans="1:91" s="475" customFormat="1" ht="10.5">
      <c r="A1266" s="728" t="s">
        <v>7342</v>
      </c>
      <c r="B1266" s="439" t="s">
        <v>61</v>
      </c>
      <c r="C1266" s="439" t="str">
        <f>IFERROR(LEFT(PV_DATA[[#This Row],[TCL REFERENCE]],FIND(".",PV_DATA[[#This Row],[TCL REFERENCE]],1)-1),"Main Line")</f>
        <v>26Aug021</v>
      </c>
      <c r="D1266" s="439" t="s">
        <v>63</v>
      </c>
      <c r="E1266" s="439" t="s">
        <v>64</v>
      </c>
      <c r="F1266" s="439" t="str" cm="1">
        <f t="array" ref="F1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66" s="439" t="s">
        <v>402</v>
      </c>
      <c r="H1266" s="439" t="s">
        <v>67</v>
      </c>
      <c r="I1266" s="439" t="s">
        <v>689</v>
      </c>
      <c r="J1266" s="431" t="s">
        <v>96</v>
      </c>
      <c r="K1266" s="431"/>
      <c r="L1266" s="431"/>
      <c r="M1266" s="431" t="s">
        <v>68</v>
      </c>
      <c r="N1266" s="461">
        <v>46272</v>
      </c>
      <c r="O1266" s="431" t="s">
        <v>4531</v>
      </c>
      <c r="P1266" s="430" t="s">
        <v>71</v>
      </c>
      <c r="Q1266" s="431" t="s">
        <v>72</v>
      </c>
      <c r="R1266" s="430" t="str">
        <f>_xlfn.XLOOKUP(PV_DATA[[#This Row],[New Ark SKU]],Table9[New Ark SKU],Table9[Connector],,0)</f>
        <v>EVO2A</v>
      </c>
      <c r="S1266" s="433" t="str">
        <f>_xlfn.XLOOKUP(PV_DATA[[#This Row],[New Ark SKU]],Table9[New Ark SKU],Table9[Cable],,0)</f>
        <v>±1200mm</v>
      </c>
      <c r="T1266" s="442">
        <v>500</v>
      </c>
      <c r="U1266" s="1093">
        <f>864*8</f>
        <v>6912</v>
      </c>
      <c r="V1266" s="448">
        <f>PV_DATA[[#This Row],[QUANTITY]]*PV_DATA[[#This Row],[WATT]]/1000000</f>
        <v>3.456</v>
      </c>
      <c r="W1266" s="466">
        <f>PV_DATA[[#This Row],[QUANTITY]]/PV_DATA[[#This Row],[Qty/Pallet]]</f>
        <v>192</v>
      </c>
      <c r="X1266" s="1044">
        <f>PV_DATA[[#This Row],[QUANTITY]]/PV_DATA[[#This Row],[Qty/CT]]</f>
        <v>8</v>
      </c>
      <c r="Y1266" s="431" t="s">
        <v>2474</v>
      </c>
      <c r="Z1266" s="430" t="str">
        <f t="shared" ref="Z1266" si="31">IF(AN1266&lt;&gt;"","COMPLETED",IF(AK1266&lt;&gt;"","IN-TRANSIT",""))</f>
        <v/>
      </c>
      <c r="AA1266" s="545" t="s">
        <v>5853</v>
      </c>
      <c r="AB1266" s="441"/>
      <c r="AC1266" s="467" t="str">
        <f>IF(PV_DATA[[#This Row],[Pick- Up Date]]&lt;&gt;"",_xlfn.ISOWEEKNUM(PV_DATA[[#This Row],[Pick- Up Date]]),"")</f>
        <v/>
      </c>
      <c r="AD1266" s="431"/>
      <c r="AE1266" s="431"/>
      <c r="AF1266" s="447" t="s">
        <v>61</v>
      </c>
      <c r="AG1266" s="447" t="s">
        <v>61</v>
      </c>
      <c r="AH1266" s="431" t="s">
        <v>105</v>
      </c>
      <c r="AI1266" s="441"/>
      <c r="AJ1266" s="437"/>
      <c r="AK1266" s="437"/>
      <c r="AL1266" s="441"/>
      <c r="AM1266" s="441"/>
      <c r="AN1266" s="586"/>
      <c r="AO1266" s="431"/>
      <c r="AP1266" s="431"/>
      <c r="AQ1266" s="445"/>
      <c r="AR1266" s="431"/>
      <c r="AS1266" s="431"/>
      <c r="AT1266" s="431"/>
      <c r="AU12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66" s="431"/>
      <c r="AW1266" s="441" cm="1">
        <f t="array" ref="AW1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6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6" s="441">
        <f>IF(ISERROR(PV_DATA[[#This Row],[New Ark PO status]]),"",_xlfn.XLOOKUP(PV_DATA[[#This Row],[SPTN-PVHK New Ark PO'#]],New_Ark_Data[Purchase order Number],New_Ark_Data[Estimated time of arrival],"",0))</f>
        <v>0</v>
      </c>
      <c r="AZ12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66" s="441">
        <f>IFERROR(PV_DATA[[#This Row],[ODP ETA Port]]+PV_DATA[[#This Row],[Customs/Leg3 Assumption]],"n/a")</f>
        <v>46402</v>
      </c>
      <c r="BB1266" s="442" t="s">
        <v>6315</v>
      </c>
      <c r="BC1266" s="442" t="s">
        <v>6315</v>
      </c>
      <c r="BD1266" s="431">
        <f>IFERROR(_xlfn.ISOWEEKNUM(PV_DATA[[#This Row],[ETA for New Ark update]]),0)</f>
        <v>2</v>
      </c>
      <c r="BE1266" s="431">
        <f>_xlfn.XLOOKUP(PV_DATA[[#This Row],[New Ark SKU]],Table9[New Ark SKU],Table9[Total PCS per Pallet],,0)</f>
        <v>36</v>
      </c>
      <c r="BF1266" s="431">
        <f>_xlfn.XLOOKUP(PV_DATA[[#This Row],[New Ark SKU]],Table9[New Ark SKU],Table9[Total PCS per 40HQ Container],,0)</f>
        <v>864</v>
      </c>
      <c r="BG1266" s="431" t="str">
        <f>_xlfn.XLOOKUP(PV_DATA[[#This Row],[New Ark SKU]],Table9[New Ark SKU],Table9[Back Glass],,0)</f>
        <v>Black glazing</v>
      </c>
      <c r="BH1266" s="622" t="str">
        <f>_xlfn.XLOOKUP(PV_DATA[[#This Row],[PORT DESTINATION]],Table12[PORT DESTINATION],Table12[Cosco Line],,0)</f>
        <v>AEU</v>
      </c>
      <c r="BI1266" s="430"/>
      <c r="BJ1266" s="430"/>
      <c r="BK1266" s="430"/>
      <c r="BL1266" s="430"/>
      <c r="BM1266" s="430"/>
      <c r="BN1266" s="430"/>
      <c r="BO1266" s="430"/>
      <c r="BP1266" s="430"/>
      <c r="BQ1266" s="430"/>
      <c r="BR1266" s="430"/>
      <c r="BS1266" s="430"/>
      <c r="BT1266" s="430"/>
      <c r="BU1266" s="430"/>
      <c r="BV1266" s="430"/>
      <c r="BW1266" s="430"/>
      <c r="BX1266" s="430"/>
      <c r="BY1266" s="430"/>
      <c r="BZ1266" s="430"/>
      <c r="CA1266" s="430"/>
      <c r="CB1266" s="430"/>
      <c r="CC1266" s="430"/>
      <c r="CD1266" s="430"/>
      <c r="CE1266" s="430"/>
      <c r="CF1266" s="430"/>
      <c r="CG1266" s="430"/>
      <c r="CH1266" s="430"/>
      <c r="CI1266" s="430"/>
      <c r="CJ1266" s="430"/>
      <c r="CK1266" s="430"/>
      <c r="CL1266" s="430"/>
      <c r="CM1266" s="430"/>
    </row>
    <row r="1267" spans="1:91" ht="13.5" customHeight="1">
      <c r="A1267" s="728" t="s">
        <v>7343</v>
      </c>
      <c r="B1267" s="439" t="s">
        <v>61</v>
      </c>
      <c r="C1267" s="439" t="str">
        <f>IFERROR(LEFT(PV_DATA[[#This Row],[TCL REFERENCE]],FIND(".",PV_DATA[[#This Row],[TCL REFERENCE]],1)-1),"Main Line")</f>
        <v>Main Line</v>
      </c>
      <c r="D1267" s="439" t="s">
        <v>63</v>
      </c>
      <c r="E1267" s="439" t="s">
        <v>68</v>
      </c>
      <c r="F1267" s="439" t="str" cm="1">
        <f t="array" ref="F126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7" s="726" t="s">
        <v>68</v>
      </c>
      <c r="H1267" s="726" t="s">
        <v>68</v>
      </c>
      <c r="I1267" s="431" t="s">
        <v>68</v>
      </c>
      <c r="J1267" s="619" t="s">
        <v>68</v>
      </c>
      <c r="K1267" s="619"/>
      <c r="L1267" s="619"/>
      <c r="M1267" s="619" t="s">
        <v>68</v>
      </c>
      <c r="N1267" s="461">
        <v>46272</v>
      </c>
      <c r="O1267" s="431" t="s">
        <v>4531</v>
      </c>
      <c r="P1267" s="430" t="s">
        <v>71</v>
      </c>
      <c r="Q1267" s="431" t="s">
        <v>72</v>
      </c>
      <c r="R1267" s="430" t="str">
        <f>_xlfn.XLOOKUP(PV_DATA[[#This Row],[New Ark SKU]],Table9[New Ark SKU],Table9[Connector],,0)</f>
        <v>EVO2A</v>
      </c>
      <c r="S1267" s="433" t="str">
        <f>_xlfn.XLOOKUP(PV_DATA[[#This Row],[New Ark SKU]],Table9[New Ark SKU],Table9[Cable],,0)</f>
        <v>±1200mm</v>
      </c>
      <c r="T1267" s="442">
        <v>500</v>
      </c>
      <c r="U1267" s="1093" cm="1">
        <f t="array" ref="U1267">19872-fx_qty</f>
        <v>5184</v>
      </c>
      <c r="V1267" s="448">
        <f>PV_DATA[[#This Row],[QUANTITY]]*PV_DATA[[#This Row],[WATT]]/1000000</f>
        <v>2.5920000000000001</v>
      </c>
      <c r="W1267" s="466">
        <f>PV_DATA[[#This Row],[QUANTITY]]/PV_DATA[[#This Row],[Qty/Pallet]]</f>
        <v>144</v>
      </c>
      <c r="X1267" s="1044">
        <f>PV_DATA[[#This Row],[QUANTITY]]/PV_DATA[[#This Row],[Qty/CT]]</f>
        <v>6</v>
      </c>
      <c r="Y1267" s="431" t="s">
        <v>7027</v>
      </c>
      <c r="Z1267" s="430" t="str">
        <f t="shared" ref="Z1267:Z1272" si="32">IF(AN1267&lt;&gt;"","COMPLETED",IF(AK1267&lt;&gt;"","IN-TRANSIT",""))</f>
        <v/>
      </c>
      <c r="AA1267" s="431"/>
      <c r="AB1267" s="441"/>
      <c r="AC1267" s="467" t="str">
        <f>IF(PV_DATA[[#This Row],[Pick- Up Date]]&lt;&gt;"",_xlfn.ISOWEEKNUM(PV_DATA[[#This Row],[Pick- Up Date]]),"")</f>
        <v/>
      </c>
      <c r="AD1267" s="431"/>
      <c r="AE1267" s="431"/>
      <c r="AF1267" s="447" t="s">
        <v>61</v>
      </c>
      <c r="AG1267" s="447" t="s">
        <v>61</v>
      </c>
      <c r="AH1267" s="431" t="s">
        <v>68</v>
      </c>
      <c r="AI1267" s="441"/>
      <c r="AJ1267" s="437" t="str">
        <f>IFERROR(VLOOKUP(AT1267, Vessel!A:D, 4, FALSE), "")</f>
        <v/>
      </c>
      <c r="AK1267" s="437" t="str">
        <f>IFERROR(IF(VLOOKUP(AT1267,Vessel!A:F,5,FALSE)=0,"",VLOOKUP(AT1267,Vessel!A:F,5,FALSE)),"")</f>
        <v/>
      </c>
      <c r="AL1267" s="441"/>
      <c r="AM1267" s="441"/>
      <c r="AN1267" s="586" t="str">
        <f>IFERROR(IF(VLOOKUP(AT1267,Vessel!A:I,9,FALSE)=0,"",VLOOKUP(AT1267,Vessel!A:I,9,FALSE)),"")</f>
        <v/>
      </c>
      <c r="AO1267" s="431"/>
      <c r="AP1267" s="431"/>
      <c r="AQ1267" s="445"/>
      <c r="AR1267" s="431"/>
      <c r="AS1267" s="431"/>
      <c r="AT1267" s="431"/>
      <c r="AU12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67" s="431"/>
      <c r="AW1267" s="441" t="str" cm="1">
        <f t="array" ref="AW1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7" s="441">
        <f>IF(ISERROR(PV_DATA[[#This Row],[New Ark PO status]]),"",_xlfn.XLOOKUP(PV_DATA[[#This Row],[SPTN-PVHK New Ark PO'#]],New_Ark_Data[Purchase order Number],New_Ark_Data[Estimated time of arrival],"",0))</f>
        <v>0</v>
      </c>
      <c r="AZ126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7" s="441" t="str">
        <f>IFERROR(PV_DATA[[#This Row],[ODP ETA Port]]+PV_DATA[[#This Row],[Customs/Leg3 Assumption]],"n/a")</f>
        <v>n/a</v>
      </c>
      <c r="BB1267" s="442" t="s">
        <v>6315</v>
      </c>
      <c r="BC1267" s="442" t="s">
        <v>6315</v>
      </c>
      <c r="BD1267" s="431">
        <f>IFERROR(_xlfn.ISOWEEKNUM(PV_DATA[[#This Row],[ETA for New Ark update]]),0)</f>
        <v>0</v>
      </c>
      <c r="BE1267" s="431">
        <f>_xlfn.XLOOKUP(PV_DATA[[#This Row],[New Ark SKU]],Table9[New Ark SKU],Table9[Total PCS per Pallet],,0)</f>
        <v>36</v>
      </c>
      <c r="BF1267" s="431">
        <f>_xlfn.XLOOKUP(PV_DATA[[#This Row],[New Ark SKU]],Table9[New Ark SKU],Table9[Total PCS per 40HQ Container],,0)</f>
        <v>864</v>
      </c>
      <c r="BG1267" s="431" t="str">
        <f>_xlfn.XLOOKUP(PV_DATA[[#This Row],[New Ark SKU]],Table9[New Ark SKU],Table9[Back Glass],,0)</f>
        <v>Black glazing</v>
      </c>
      <c r="BH1267" s="622" t="str">
        <f>_xlfn.XLOOKUP(PV_DATA[[#This Row],[PORT DESTINATION]],Table12[PORT DESTINATION],Table12[Cosco Line],,0)</f>
        <v>n/a</v>
      </c>
      <c r="BJ1267" s="430"/>
    </row>
    <row r="1268" spans="1:91" ht="13.5" customHeight="1">
      <c r="A1268" s="728" t="s">
        <v>7344</v>
      </c>
      <c r="B1268" s="439" t="s">
        <v>61</v>
      </c>
      <c r="C1268" s="439" t="str">
        <f>IFERROR(LEFT(PV_DATA[[#This Row],[TCL REFERENCE]],FIND(".",PV_DATA[[#This Row],[TCL REFERENCE]],1)-1),"Main Line")</f>
        <v>Main Line</v>
      </c>
      <c r="D1268" s="439" t="s">
        <v>63</v>
      </c>
      <c r="E1268" s="439" t="s">
        <v>68</v>
      </c>
      <c r="F1268" s="439" t="str" cm="1">
        <f t="array" ref="F126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8" s="726" t="s">
        <v>68</v>
      </c>
      <c r="H1268" s="726" t="s">
        <v>68</v>
      </c>
      <c r="I1268" s="431" t="s">
        <v>68</v>
      </c>
      <c r="J1268" s="619" t="s">
        <v>68</v>
      </c>
      <c r="K1268" s="619"/>
      <c r="L1268" s="619"/>
      <c r="M1268" s="619" t="s">
        <v>68</v>
      </c>
      <c r="N1268" s="461">
        <v>46272</v>
      </c>
      <c r="O1268" s="431" t="s">
        <v>4531</v>
      </c>
      <c r="P1268" s="430" t="s">
        <v>1151</v>
      </c>
      <c r="Q1268" s="431" t="s">
        <v>421</v>
      </c>
      <c r="R1268" s="430" t="str">
        <f>_xlfn.XLOOKUP(PV_DATA[[#This Row],[New Ark SKU]],Table9[New Ark SKU],Table9[Connector],,0)</f>
        <v>EVO2A</v>
      </c>
      <c r="S1268" s="433" t="str">
        <f>_xlfn.XLOOKUP(PV_DATA[[#This Row],[New Ark SKU]],Table9[New Ark SKU],Table9[Cable],,0)</f>
        <v>±1200mm</v>
      </c>
      <c r="T1268" s="442">
        <v>505</v>
      </c>
      <c r="U1268" s="1089" cm="1">
        <f t="array" ref="U1268">13824-fx_qty</f>
        <v>2592</v>
      </c>
      <c r="V1268" s="448">
        <f>PV_DATA[[#This Row],[QUANTITY]]*PV_DATA[[#This Row],[WATT]]/1000000</f>
        <v>1.3089599999999999</v>
      </c>
      <c r="W1268" s="466">
        <f>PV_DATA[[#This Row],[QUANTITY]]/PV_DATA[[#This Row],[Qty/Pallet]]</f>
        <v>72</v>
      </c>
      <c r="X1268" s="1044">
        <f>PV_DATA[[#This Row],[QUANTITY]]/PV_DATA[[#This Row],[Qty/CT]]</f>
        <v>3</v>
      </c>
      <c r="Y1268" s="431" t="s">
        <v>7027</v>
      </c>
      <c r="Z1268" s="430" t="str">
        <f t="shared" si="32"/>
        <v/>
      </c>
      <c r="AA1268" s="431" t="s">
        <v>5853</v>
      </c>
      <c r="AB1268" s="441"/>
      <c r="AC1268" s="467" t="str">
        <f>IF(PV_DATA[[#This Row],[Pick- Up Date]]&lt;&gt;"",_xlfn.ISOWEEKNUM(PV_DATA[[#This Row],[Pick- Up Date]]),"")</f>
        <v/>
      </c>
      <c r="AD1268" s="431"/>
      <c r="AE1268" s="431"/>
      <c r="AF1268" s="447" t="s">
        <v>61</v>
      </c>
      <c r="AG1268" s="447" t="s">
        <v>61</v>
      </c>
      <c r="AH1268" s="431" t="s">
        <v>68</v>
      </c>
      <c r="AI1268" s="441"/>
      <c r="AJ1268" s="437" t="str">
        <f>IFERROR(VLOOKUP(AT1268, Vessel!A:D, 4, FALSE), "")</f>
        <v/>
      </c>
      <c r="AK1268" s="437" t="str">
        <f>IFERROR(IF(VLOOKUP(AT1268,Vessel!A:F,5,FALSE)=0,"",VLOOKUP(AT1268,Vessel!A:F,5,FALSE)),"")</f>
        <v/>
      </c>
      <c r="AL1268" s="441"/>
      <c r="AM1268" s="441"/>
      <c r="AN1268" s="586" t="str">
        <f>IFERROR(IF(VLOOKUP(AT1268,Vessel!A:I,9,FALSE)=0,"",VLOOKUP(AT1268,Vessel!A:I,9,FALSE)),"")</f>
        <v/>
      </c>
      <c r="AO1268" s="431"/>
      <c r="AP1268" s="431" t="s">
        <v>7345</v>
      </c>
      <c r="AQ1268" s="445"/>
      <c r="AR1268" s="431"/>
      <c r="AS1268" s="431"/>
      <c r="AT1268" s="431"/>
      <c r="AU12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68" s="431"/>
      <c r="AW1268" s="441" t="str" cm="1">
        <f t="array" ref="AW1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8" s="441">
        <f>IF(ISERROR(PV_DATA[[#This Row],[New Ark PO status]]),"",_xlfn.XLOOKUP(PV_DATA[[#This Row],[SPTN-PVHK New Ark PO'#]],New_Ark_Data[Purchase order Number],New_Ark_Data[Estimated time of arrival],"",0))</f>
        <v>0</v>
      </c>
      <c r="AZ126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8" s="441" t="str">
        <f>IFERROR(PV_DATA[[#This Row],[ODP ETA Port]]+PV_DATA[[#This Row],[Customs/Leg3 Assumption]],"n/a")</f>
        <v>n/a</v>
      </c>
      <c r="BB1268" s="442" t="s">
        <v>6315</v>
      </c>
      <c r="BC1268" s="442" t="s">
        <v>6315</v>
      </c>
      <c r="BD1268" s="431">
        <f>IFERROR(_xlfn.ISOWEEKNUM(PV_DATA[[#This Row],[ETA for New Ark update]]),0)</f>
        <v>0</v>
      </c>
      <c r="BE1268" s="431">
        <f>_xlfn.XLOOKUP(PV_DATA[[#This Row],[New Ark SKU]],Table9[New Ark SKU],Table9[Total PCS per Pallet],,0)</f>
        <v>36</v>
      </c>
      <c r="BF1268" s="431">
        <f>_xlfn.XLOOKUP(PV_DATA[[#This Row],[New Ark SKU]],Table9[New Ark SKU],Table9[Total PCS per 40HQ Container],,0)</f>
        <v>864</v>
      </c>
      <c r="BG1268" s="431" t="str">
        <f>_xlfn.XLOOKUP(PV_DATA[[#This Row],[New Ark SKU]],Table9[New Ark SKU],Table9[Back Glass],,0)</f>
        <v>Black glazing</v>
      </c>
      <c r="BH1268" s="622" t="str">
        <f>_xlfn.XLOOKUP(PV_DATA[[#This Row],[PORT DESTINATION]],Table12[PORT DESTINATION],Table12[Cosco Line],,0)</f>
        <v>n/a</v>
      </c>
      <c r="BJ1268" s="430"/>
    </row>
    <row r="1269" spans="1:91" s="450" customFormat="1" ht="13.5" customHeight="1">
      <c r="A1269" s="724" t="s">
        <v>7346</v>
      </c>
      <c r="B1269" s="446" t="s">
        <v>61</v>
      </c>
      <c r="C1269" s="446" t="str">
        <f>IFERROR(LEFT(PV_DATA[[#This Row],[TCL REFERENCE]],FIND(".",PV_DATA[[#This Row],[TCL REFERENCE]],1)-1),"Main Line")</f>
        <v>Main Line</v>
      </c>
      <c r="D1269" s="446" t="s">
        <v>63</v>
      </c>
      <c r="E1269" s="446" t="s">
        <v>68</v>
      </c>
      <c r="F1269" s="446" t="str" cm="1">
        <f t="array" ref="F126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9" s="446" t="s">
        <v>68</v>
      </c>
      <c r="H1269" s="446" t="s">
        <v>68</v>
      </c>
      <c r="I1269" s="446" t="s">
        <v>68</v>
      </c>
      <c r="J1269" s="450" t="s">
        <v>68</v>
      </c>
      <c r="M1269" s="450" t="s">
        <v>68</v>
      </c>
      <c r="N1269" s="451">
        <v>46279</v>
      </c>
      <c r="O1269" s="450" t="s">
        <v>4531</v>
      </c>
      <c r="P1269" s="450" t="s">
        <v>7037</v>
      </c>
      <c r="Q1269" s="450" t="s">
        <v>7038</v>
      </c>
      <c r="R1269" s="430" t="str">
        <f>_xlfn.XLOOKUP(PV_DATA[[#This Row],[New Ark SKU]],Table9[New Ark SKU],Table9[Connector],,0)</f>
        <v>EVO2A</v>
      </c>
      <c r="S1269" s="433" t="str">
        <f>_xlfn.XLOOKUP(PV_DATA[[#This Row],[New Ark SKU]],Table9[New Ark SKU],Table9[Cable],,0)</f>
        <v>±1200mm</v>
      </c>
      <c r="T1269" s="452">
        <v>505</v>
      </c>
      <c r="U1269" s="1089" cm="1">
        <f t="array" ref="U1269">864*30-fx_qty</f>
        <v>10368</v>
      </c>
      <c r="V1269" s="453">
        <f>PV_DATA[[#This Row],[QUANTITY]]*PV_DATA[[#This Row],[WATT]]/1000000</f>
        <v>5.2358399999999996</v>
      </c>
      <c r="W1269" s="454">
        <f>PV_DATA[[#This Row],[QUANTITY]]/PV_DATA[[#This Row],[Qty/Pallet]]</f>
        <v>288</v>
      </c>
      <c r="X1269" s="1045">
        <f>PV_DATA[[#This Row],[QUANTITY]]/PV_DATA[[#This Row],[Qty/CT]]</f>
        <v>12</v>
      </c>
      <c r="Y1269" s="450" t="s">
        <v>7027</v>
      </c>
      <c r="Z1269" s="450" t="str">
        <f t="shared" si="32"/>
        <v/>
      </c>
      <c r="AB1269" s="455"/>
      <c r="AC1269" s="471" t="str">
        <f>IF(PV_DATA[[#This Row],[Pick- Up Date]]&lt;&gt;"",_xlfn.ISOWEEKNUM(PV_DATA[[#This Row],[Pick- Up Date]]),"")</f>
        <v/>
      </c>
      <c r="AF1269" s="447" t="s">
        <v>61</v>
      </c>
      <c r="AG1269" s="447" t="s">
        <v>61</v>
      </c>
      <c r="AH1269" s="450" t="s">
        <v>68</v>
      </c>
      <c r="AI1269" s="455"/>
      <c r="AJ1269" s="455" t="str">
        <f>IFERROR(VLOOKUP(AT1269, Vessel!A:D, 4, FALSE), "")</f>
        <v/>
      </c>
      <c r="AK1269" s="455" t="str">
        <f>IFERROR(IF(VLOOKUP(AT1269,Vessel!A:F,5,FALSE)=0,"",VLOOKUP(AT1269,Vessel!A:F,5,FALSE)),"")</f>
        <v/>
      </c>
      <c r="AL1269" s="455"/>
      <c r="AM1269" s="455"/>
      <c r="AN1269" s="587" t="str">
        <f>IFERROR(IF(VLOOKUP(AT1269,Vessel!A:I,9,FALSE)=0,"",VLOOKUP(AT1269,Vessel!A:I,9,FALSE)),"")</f>
        <v/>
      </c>
      <c r="AQ1269" s="456"/>
      <c r="AU12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69" s="455" t="str" cm="1">
        <f t="array" ref="AW1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6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69" s="455">
        <f>IF(ISERROR(PV_DATA[[#This Row],[New Ark PO status]]),"",_xlfn.XLOOKUP(PV_DATA[[#This Row],[SPTN-PVHK New Ark PO'#]],New_Ark_Data[Purchase order Number],New_Ark_Data[Estimated time of arrival],"",0))</f>
        <v>0</v>
      </c>
      <c r="AZ1269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9" s="455" t="str">
        <f>IFERROR(PV_DATA[[#This Row],[ODP ETA Port]]+PV_DATA[[#This Row],[Customs/Leg3 Assumption]],"n/a")</f>
        <v>n/a</v>
      </c>
      <c r="BB1269" s="442" t="s">
        <v>6315</v>
      </c>
      <c r="BC1269" s="442" t="s">
        <v>6315</v>
      </c>
      <c r="BD1269" s="450">
        <f>IFERROR(_xlfn.ISOWEEKNUM(PV_DATA[[#This Row],[ETA for New Ark update]]),0)</f>
        <v>0</v>
      </c>
      <c r="BE1269" s="431">
        <f>_xlfn.XLOOKUP(PV_DATA[[#This Row],[New Ark SKU]],Table9[New Ark SKU],Table9[Total PCS per Pallet],,0)</f>
        <v>36</v>
      </c>
      <c r="BF1269" s="431">
        <f>_xlfn.XLOOKUP(PV_DATA[[#This Row],[New Ark SKU]],Table9[New Ark SKU],Table9[Total PCS per 40HQ Container],,0)</f>
        <v>864</v>
      </c>
      <c r="BG1269" s="431" t="str">
        <f>_xlfn.XLOOKUP(PV_DATA[[#This Row],[New Ark SKU]],Table9[New Ark SKU],Table9[Back Glass],,0)</f>
        <v>Black glazing</v>
      </c>
      <c r="BH1269" s="731" t="str">
        <f>_xlfn.XLOOKUP(PV_DATA[[#This Row],[PORT DESTINATION]],Table12[PORT DESTINATION],Table12[Cosco Line],,0)</f>
        <v>n/a</v>
      </c>
    </row>
    <row r="1270" spans="1:91" s="450" customFormat="1" ht="13.5" customHeight="1">
      <c r="A1270" s="728" t="s">
        <v>7347</v>
      </c>
      <c r="B1270" s="439" t="s">
        <v>61</v>
      </c>
      <c r="C1270" s="439" t="str">
        <f>IFERROR(LEFT(PV_DATA[[#This Row],[TCL REFERENCE]],FIND(".",PV_DATA[[#This Row],[TCL REFERENCE]],1)-1),"Main Line")</f>
        <v>26Aug024</v>
      </c>
      <c r="D1270" s="439" t="s">
        <v>63</v>
      </c>
      <c r="E1270" s="446" t="s">
        <v>64</v>
      </c>
      <c r="F1270" s="446" t="str" cm="1">
        <f t="array" ref="F1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70" s="446" t="s">
        <v>402</v>
      </c>
      <c r="H1270" s="446" t="s">
        <v>451</v>
      </c>
      <c r="I1270" s="446" t="s">
        <v>882</v>
      </c>
      <c r="J1270" s="450" t="s">
        <v>7036</v>
      </c>
      <c r="K1270" s="431"/>
      <c r="L1270" s="431"/>
      <c r="M1270" s="431" t="s">
        <v>68</v>
      </c>
      <c r="N1270" s="461">
        <v>46279</v>
      </c>
      <c r="O1270" s="431" t="s">
        <v>4531</v>
      </c>
      <c r="P1270" s="450" t="s">
        <v>7037</v>
      </c>
      <c r="Q1270" s="431" t="s">
        <v>7038</v>
      </c>
      <c r="R1270" s="430" t="str">
        <f>_xlfn.XLOOKUP(PV_DATA[[#This Row],[New Ark SKU]],Table9[New Ark SKU],Table9[Connector],,0)</f>
        <v>EVO2A</v>
      </c>
      <c r="S1270" s="433" t="str">
        <f>_xlfn.XLOOKUP(PV_DATA[[#This Row],[New Ark SKU]],Table9[New Ark SKU],Table9[Cable],,0)</f>
        <v>±1200mm</v>
      </c>
      <c r="T1270" s="442">
        <v>505</v>
      </c>
      <c r="U1270" s="1093">
        <v>2592</v>
      </c>
      <c r="V1270" s="448">
        <f>PV_DATA[[#This Row],[QUANTITY]]*PV_DATA[[#This Row],[WATT]]/1000000</f>
        <v>1.3089599999999999</v>
      </c>
      <c r="W1270" s="466">
        <f>PV_DATA[[#This Row],[QUANTITY]]/PV_DATA[[#This Row],[Qty/Pallet]]</f>
        <v>72</v>
      </c>
      <c r="X1270" s="1044">
        <f>PV_DATA[[#This Row],[QUANTITY]]/PV_DATA[[#This Row],[Qty/CT]]</f>
        <v>3</v>
      </c>
      <c r="Y1270" s="431" t="s">
        <v>2469</v>
      </c>
      <c r="Z1270" s="431" t="str">
        <f>IF(AN1270&lt;&gt;"","COMPLETED",IF(AK1270&lt;&gt;"","IN-TRANSIT",""))</f>
        <v/>
      </c>
      <c r="AA1270" s="431" t="s">
        <v>7039</v>
      </c>
      <c r="AB1270" s="441"/>
      <c r="AC1270" s="467" t="str">
        <f>IF(PV_DATA[[#This Row],[Pick- Up Date]]&lt;&gt;"",_xlfn.ISOWEEKNUM(PV_DATA[[#This Row],[Pick- Up Date]]),"")</f>
        <v/>
      </c>
      <c r="AD1270" s="431"/>
      <c r="AE1270" s="431"/>
      <c r="AF1270" s="431" t="s">
        <v>61</v>
      </c>
      <c r="AG1270" s="431" t="s">
        <v>61</v>
      </c>
      <c r="AH1270" s="431" t="s">
        <v>456</v>
      </c>
      <c r="AI1270" s="441"/>
      <c r="AJ1270" s="441" t="str">
        <f>IFERROR(VLOOKUP(AT1270, Vessel!A:D, 4, FALSE), "")</f>
        <v/>
      </c>
      <c r="AK1270" s="441" t="str">
        <f>IFERROR(IF(VLOOKUP(AT1270,Vessel!A:F,5,FALSE)=0,"",VLOOKUP(AT1270,Vessel!A:F,5,FALSE)),"")</f>
        <v/>
      </c>
      <c r="AL1270" s="441"/>
      <c r="AM1270" s="441"/>
      <c r="AN1270" s="586" t="str">
        <f>IFERROR(IF(VLOOKUP(AT1270,Vessel!A:I,9,FALSE)=0,"",VLOOKUP(AT1270,Vessel!A:I,9,FALSE)),"")</f>
        <v/>
      </c>
      <c r="AO1270" s="431"/>
      <c r="AP1270" s="431"/>
      <c r="AQ1270" s="445"/>
      <c r="AR1270" s="431"/>
      <c r="AS1270" s="431"/>
      <c r="AT1270" s="431"/>
      <c r="AU12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70" s="431"/>
      <c r="AW1270" s="441" cm="1">
        <f t="array" ref="AW1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7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0" s="441">
        <f>IF(ISERROR(PV_DATA[[#This Row],[New Ark PO status]]),"",_xlfn.XLOOKUP(PV_DATA[[#This Row],[SPTN-PVHK New Ark PO'#]],New_Ark_Data[Purchase order Number],New_Ark_Data[Estimated time of arrival],"",0))</f>
        <v>0</v>
      </c>
      <c r="AZ127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70" s="441">
        <f>IFERROR(PV_DATA[[#This Row],[ODP ETA Port]]+PV_DATA[[#This Row],[Customs/Leg3 Assumption]],"n/a")</f>
        <v>46360</v>
      </c>
      <c r="BB1270" s="442" t="s">
        <v>6536</v>
      </c>
      <c r="BC1270" s="431" t="s">
        <v>6536</v>
      </c>
      <c r="BD1270" s="431">
        <f>IFERROR(_xlfn.ISOWEEKNUM(PV_DATA[[#This Row],[ETA for New Ark update]]),0)</f>
        <v>49</v>
      </c>
      <c r="BE1270" s="431">
        <f>_xlfn.XLOOKUP(PV_DATA[[#This Row],[New Ark SKU]],Table9[New Ark SKU],Table9[Total PCS per Pallet],,0)</f>
        <v>36</v>
      </c>
      <c r="BF1270" s="431">
        <f>_xlfn.XLOOKUP(PV_DATA[[#This Row],[New Ark SKU]],Table9[New Ark SKU],Table9[Total PCS per 40HQ Container],,0)</f>
        <v>864</v>
      </c>
      <c r="BG1270" s="431" t="str">
        <f>_xlfn.XLOOKUP(PV_DATA[[#This Row],[New Ark SKU]],Table9[New Ark SKU],Table9[Back Glass],,0)</f>
        <v>Black glazing</v>
      </c>
      <c r="BH1270" s="622" t="str">
        <f>_xlfn.XLOOKUP(PV_DATA[[#This Row],[PORT DESTINATION]],Table12[PORT DESTINATION],Table12[Cosco Line],,0)</f>
        <v>AEU</v>
      </c>
    </row>
    <row r="1271" spans="1:91" s="450" customFormat="1" ht="13.5" customHeight="1">
      <c r="A1271" s="728" t="s">
        <v>7348</v>
      </c>
      <c r="B1271" s="439" t="s">
        <v>61</v>
      </c>
      <c r="C1271" s="439" t="str">
        <f>IFERROR(LEFT(PV_DATA[[#This Row],[TCL REFERENCE]],FIND(".",PV_DATA[[#This Row],[TCL REFERENCE]],1)-1),"Main Line")</f>
        <v>26Aug024</v>
      </c>
      <c r="D1271" s="439" t="s">
        <v>63</v>
      </c>
      <c r="E1271" s="446" t="s">
        <v>64</v>
      </c>
      <c r="F1271" s="446" t="str" cm="1">
        <f t="array" ref="F1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71" s="446" t="s">
        <v>402</v>
      </c>
      <c r="H1271" s="446" t="s">
        <v>451</v>
      </c>
      <c r="I1271" s="446" t="s">
        <v>882</v>
      </c>
      <c r="J1271" s="450" t="s">
        <v>7036</v>
      </c>
      <c r="K1271" s="431"/>
      <c r="L1271" s="431"/>
      <c r="M1271" s="431" t="s">
        <v>68</v>
      </c>
      <c r="N1271" s="461">
        <v>46279</v>
      </c>
      <c r="O1271" s="431" t="s">
        <v>4531</v>
      </c>
      <c r="P1271" s="450" t="s">
        <v>7037</v>
      </c>
      <c r="Q1271" s="431" t="s">
        <v>7038</v>
      </c>
      <c r="R1271" s="430" t="str">
        <f>_xlfn.XLOOKUP(PV_DATA[[#This Row],[New Ark SKU]],Table9[New Ark SKU],Table9[Connector],,0)</f>
        <v>EVO2A</v>
      </c>
      <c r="S1271" s="433" t="str">
        <f>_xlfn.XLOOKUP(PV_DATA[[#This Row],[New Ark SKU]],Table9[New Ark SKU],Table9[Cable],,0)</f>
        <v>±1200mm</v>
      </c>
      <c r="T1271" s="442">
        <v>505</v>
      </c>
      <c r="U1271" s="1093">
        <f>864*4</f>
        <v>3456</v>
      </c>
      <c r="V1271" s="448">
        <f>PV_DATA[[#This Row],[QUANTITY]]*PV_DATA[[#This Row],[WATT]]/1000000</f>
        <v>1.7452799999999999</v>
      </c>
      <c r="W1271" s="466">
        <f>PV_DATA[[#This Row],[QUANTITY]]/PV_DATA[[#This Row],[Qty/Pallet]]</f>
        <v>96</v>
      </c>
      <c r="X1271" s="1044">
        <f>PV_DATA[[#This Row],[QUANTITY]]/PV_DATA[[#This Row],[Qty/CT]]</f>
        <v>4</v>
      </c>
      <c r="Y1271" s="431" t="s">
        <v>2472</v>
      </c>
      <c r="Z1271" s="431" t="str">
        <f t="shared" si="32"/>
        <v/>
      </c>
      <c r="AA1271" s="431" t="s">
        <v>7349</v>
      </c>
      <c r="AB1271" s="441"/>
      <c r="AC1271" s="467" t="str">
        <f>IF(PV_DATA[[#This Row],[Pick- Up Date]]&lt;&gt;"",_xlfn.ISOWEEKNUM(PV_DATA[[#This Row],[Pick- Up Date]]),"")</f>
        <v/>
      </c>
      <c r="AD1271" s="431"/>
      <c r="AE1271" s="431"/>
      <c r="AF1271" s="431" t="s">
        <v>61</v>
      </c>
      <c r="AG1271" s="431" t="s">
        <v>61</v>
      </c>
      <c r="AH1271" s="431" t="s">
        <v>456</v>
      </c>
      <c r="AI1271" s="441"/>
      <c r="AJ1271" s="441" t="str">
        <f>IFERROR(VLOOKUP(AT1271, Vessel!A:D, 4, FALSE), "")</f>
        <v/>
      </c>
      <c r="AK1271" s="441" t="str">
        <f>IFERROR(IF(VLOOKUP(AT1271,Vessel!A:F,5,FALSE)=0,"",VLOOKUP(AT1271,Vessel!A:F,5,FALSE)),"")</f>
        <v/>
      </c>
      <c r="AL1271" s="441"/>
      <c r="AM1271" s="441"/>
      <c r="AN1271" s="586" t="str">
        <f>IFERROR(IF(VLOOKUP(AT1271,Vessel!A:I,9,FALSE)=0,"",VLOOKUP(AT1271,Vessel!A:I,9,FALSE)),"")</f>
        <v/>
      </c>
      <c r="AO1271" s="431"/>
      <c r="AP1271" s="431"/>
      <c r="AQ1271" s="445"/>
      <c r="AR1271" s="431"/>
      <c r="AS1271" s="431"/>
      <c r="AT1271" s="431"/>
      <c r="AU12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71" s="431"/>
      <c r="AW1271" s="441" cm="1">
        <f t="array" ref="AW1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7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1" s="441">
        <f>IF(ISERROR(PV_DATA[[#This Row],[New Ark PO status]]),"",_xlfn.XLOOKUP(PV_DATA[[#This Row],[SPTN-PVHK New Ark PO'#]],New_Ark_Data[Purchase order Number],New_Ark_Data[Estimated time of arrival],"",0))</f>
        <v>0</v>
      </c>
      <c r="AZ127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71" s="441">
        <f>IFERROR(PV_DATA[[#This Row],[ODP ETA Port]]+PV_DATA[[#This Row],[Customs/Leg3 Assumption]],"n/a")</f>
        <v>46381</v>
      </c>
      <c r="BB1271" s="442" t="s">
        <v>6536</v>
      </c>
      <c r="BC1271" s="431" t="s">
        <v>6536</v>
      </c>
      <c r="BD1271" s="431">
        <f>IFERROR(_xlfn.ISOWEEKNUM(PV_DATA[[#This Row],[ETA for New Ark update]]),0)</f>
        <v>52</v>
      </c>
      <c r="BE1271" s="431">
        <f>_xlfn.XLOOKUP(PV_DATA[[#This Row],[New Ark SKU]],Table9[New Ark SKU],Table9[Total PCS per Pallet],,0)</f>
        <v>36</v>
      </c>
      <c r="BF1271" s="431">
        <f>_xlfn.XLOOKUP(PV_DATA[[#This Row],[New Ark SKU]],Table9[New Ark SKU],Table9[Total PCS per 40HQ Container],,0)</f>
        <v>864</v>
      </c>
      <c r="BG1271" s="431" t="str">
        <f>_xlfn.XLOOKUP(PV_DATA[[#This Row],[New Ark SKU]],Table9[New Ark SKU],Table9[Back Glass],,0)</f>
        <v>Black glazing</v>
      </c>
      <c r="BH1271" s="622" t="str">
        <f>_xlfn.XLOOKUP(PV_DATA[[#This Row],[PORT DESTINATION]],Table12[PORT DESTINATION],Table12[Cosco Line],,0)</f>
        <v>AEU</v>
      </c>
    </row>
    <row r="1272" spans="1:91" s="450" customFormat="1" ht="13.5" customHeight="1">
      <c r="A1272" s="727" t="s">
        <v>7350</v>
      </c>
      <c r="B1272" s="726" t="s">
        <v>61</v>
      </c>
      <c r="C1272" s="726" t="str">
        <f>IFERROR(LEFT(PV_DATA[[#This Row],[TCL REFERENCE]],FIND(".",PV_DATA[[#This Row],[TCL REFERENCE]],1)-1),"Main Line")</f>
        <v>26Aug024</v>
      </c>
      <c r="D1272" s="726" t="s">
        <v>63</v>
      </c>
      <c r="E1272" s="446" t="s">
        <v>64</v>
      </c>
      <c r="F1272" s="446" t="str" cm="1">
        <f t="array" ref="F1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72" s="446" t="s">
        <v>402</v>
      </c>
      <c r="H1272" s="446" t="s">
        <v>451</v>
      </c>
      <c r="I1272" s="446" t="s">
        <v>882</v>
      </c>
      <c r="J1272" s="450" t="s">
        <v>7036</v>
      </c>
      <c r="K1272" s="619"/>
      <c r="L1272" s="619"/>
      <c r="M1272" s="619" t="s">
        <v>68</v>
      </c>
      <c r="N1272" s="630">
        <v>46279</v>
      </c>
      <c r="O1272" s="619" t="s">
        <v>4531</v>
      </c>
      <c r="P1272" s="1024" t="s">
        <v>7037</v>
      </c>
      <c r="Q1272" s="619" t="s">
        <v>7038</v>
      </c>
      <c r="R1272" s="430" t="str">
        <f>_xlfn.XLOOKUP(PV_DATA[[#This Row],[New Ark SKU]],Table9[New Ark SKU],Table9[Connector],,0)</f>
        <v>EVO2A</v>
      </c>
      <c r="S1272" s="433" t="str">
        <f>_xlfn.XLOOKUP(PV_DATA[[#This Row],[New Ark SKU]],Table9[New Ark SKU],Table9[Cable],,0)</f>
        <v>±1200mm</v>
      </c>
      <c r="T1272" s="620">
        <v>505</v>
      </c>
      <c r="U1272" s="1093">
        <f>864*4</f>
        <v>3456</v>
      </c>
      <c r="V1272" s="624">
        <f>PV_DATA[[#This Row],[QUANTITY]]*PV_DATA[[#This Row],[WATT]]/1000000</f>
        <v>1.7452799999999999</v>
      </c>
      <c r="W1272" s="625">
        <f>PV_DATA[[#This Row],[QUANTITY]]/PV_DATA[[#This Row],[Qty/Pallet]]</f>
        <v>96</v>
      </c>
      <c r="X1272" s="1047">
        <f>PV_DATA[[#This Row],[QUANTITY]]/PV_DATA[[#This Row],[Qty/CT]]</f>
        <v>4</v>
      </c>
      <c r="Y1272" s="431" t="s">
        <v>2475</v>
      </c>
      <c r="Z1272" s="619" t="str">
        <f t="shared" si="32"/>
        <v/>
      </c>
      <c r="AA1272" s="619" t="s">
        <v>7351</v>
      </c>
      <c r="AB1272" s="626"/>
      <c r="AC1272" s="627" t="str">
        <f>IF(PV_DATA[[#This Row],[Pick- Up Date]]&lt;&gt;"",_xlfn.ISOWEEKNUM(PV_DATA[[#This Row],[Pick- Up Date]]),"")</f>
        <v/>
      </c>
      <c r="AD1272" s="619"/>
      <c r="AE1272" s="619"/>
      <c r="AF1272" s="619" t="s">
        <v>61</v>
      </c>
      <c r="AG1272" s="619" t="s">
        <v>61</v>
      </c>
      <c r="AH1272" s="431" t="s">
        <v>456</v>
      </c>
      <c r="AI1272" s="626"/>
      <c r="AJ1272" s="626" t="str">
        <f>IFERROR(VLOOKUP(AT1272, Vessel!A:D, 4, FALSE), "")</f>
        <v/>
      </c>
      <c r="AK1272" s="626" t="str">
        <f>IFERROR(IF(VLOOKUP(AT1272,Vessel!A:F,5,FALSE)=0,"",VLOOKUP(AT1272,Vessel!A:F,5,FALSE)),"")</f>
        <v/>
      </c>
      <c r="AL1272" s="626"/>
      <c r="AM1272" s="626"/>
      <c r="AN1272" s="984" t="str">
        <f>IFERROR(IF(VLOOKUP(AT1272,Vessel!A:I,9,FALSE)=0,"",VLOOKUP(AT1272,Vessel!A:I,9,FALSE)),"")</f>
        <v/>
      </c>
      <c r="AO1272" s="619"/>
      <c r="AP1272" s="619"/>
      <c r="AQ1272" s="628"/>
      <c r="AR1272" s="619"/>
      <c r="AS1272" s="619"/>
      <c r="AT1272" s="619"/>
      <c r="AU12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72" s="619"/>
      <c r="AW1272" s="626" cm="1">
        <f t="array" ref="AW1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7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2" s="626">
        <f>IF(ISERROR(PV_DATA[[#This Row],[New Ark PO status]]),"",_xlfn.XLOOKUP(PV_DATA[[#This Row],[SPTN-PVHK New Ark PO'#]],New_Ark_Data[Purchase order Number],New_Ark_Data[Estimated time of arrival],"",0))</f>
        <v>0</v>
      </c>
      <c r="AZ1272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72" s="626">
        <f>IFERROR(PV_DATA[[#This Row],[ODP ETA Port]]+PV_DATA[[#This Row],[Customs/Leg3 Assumption]],"n/a")</f>
        <v>46402</v>
      </c>
      <c r="BB1272" s="620" t="s">
        <v>6536</v>
      </c>
      <c r="BC1272" s="619" t="s">
        <v>6536</v>
      </c>
      <c r="BD1272" s="619">
        <f>IFERROR(_xlfn.ISOWEEKNUM(PV_DATA[[#This Row],[ETA for New Ark update]]),0)</f>
        <v>2</v>
      </c>
      <c r="BE1272" s="431">
        <f>_xlfn.XLOOKUP(PV_DATA[[#This Row],[New Ark SKU]],Table9[New Ark SKU],Table9[Total PCS per Pallet],,0)</f>
        <v>36</v>
      </c>
      <c r="BF1272" s="431">
        <f>_xlfn.XLOOKUP(PV_DATA[[#This Row],[New Ark SKU]],Table9[New Ark SKU],Table9[Total PCS per 40HQ Container],,0)</f>
        <v>864</v>
      </c>
      <c r="BG1272" s="431" t="str">
        <f>_xlfn.XLOOKUP(PV_DATA[[#This Row],[New Ark SKU]],Table9[New Ark SKU],Table9[Back Glass],,0)</f>
        <v>Black glazing</v>
      </c>
      <c r="BH1272" s="629" t="str">
        <f>_xlfn.XLOOKUP(PV_DATA[[#This Row],[PORT DESTINATION]],Table12[PORT DESTINATION],Table12[Cosco Line],,0)</f>
        <v>AEU</v>
      </c>
    </row>
    <row r="1273" spans="1:91" s="450" customFormat="1" ht="13.5" customHeight="1">
      <c r="A1273" s="727" t="s">
        <v>7352</v>
      </c>
      <c r="B1273" s="726" t="s">
        <v>61</v>
      </c>
      <c r="C1273" s="726" t="str">
        <f>IFERROR(LEFT(PV_DATA[[#This Row],[TCL REFERENCE]],FIND(".",PV_DATA[[#This Row],[TCL REFERENCE]],1)-1),"Main Line")</f>
        <v>26Aug024</v>
      </c>
      <c r="D1273" s="726" t="s">
        <v>63</v>
      </c>
      <c r="E1273" s="726" t="s">
        <v>64</v>
      </c>
      <c r="F1273" s="726" t="str" cm="1">
        <f t="array" ref="F1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73" s="726" t="s">
        <v>402</v>
      </c>
      <c r="H1273" s="726" t="s">
        <v>451</v>
      </c>
      <c r="I1273" s="726" t="s">
        <v>882</v>
      </c>
      <c r="J1273" s="619" t="s">
        <v>7036</v>
      </c>
      <c r="K1273" s="619"/>
      <c r="L1273" s="619"/>
      <c r="M1273" s="619" t="s">
        <v>68</v>
      </c>
      <c r="N1273" s="630">
        <v>46279</v>
      </c>
      <c r="O1273" s="619" t="s">
        <v>4531</v>
      </c>
      <c r="P1273" s="1024" t="s">
        <v>7037</v>
      </c>
      <c r="Q1273" s="619" t="s">
        <v>7038</v>
      </c>
      <c r="R1273" s="430" t="str">
        <f>_xlfn.XLOOKUP(PV_DATA[[#This Row],[New Ark SKU]],Table9[New Ark SKU],Table9[Connector],,0)</f>
        <v>EVO2A</v>
      </c>
      <c r="S1273" s="433" t="str">
        <f>_xlfn.XLOOKUP(PV_DATA[[#This Row],[New Ark SKU]],Table9[New Ark SKU],Table9[Cable],,0)</f>
        <v>±1200mm</v>
      </c>
      <c r="T1273" s="620">
        <v>505</v>
      </c>
      <c r="U1273" s="1064">
        <f>864*4</f>
        <v>3456</v>
      </c>
      <c r="V1273" s="624">
        <f>PV_DATA[[#This Row],[QUANTITY]]*PV_DATA[[#This Row],[WATT]]/1000000</f>
        <v>1.7452799999999999</v>
      </c>
      <c r="W1273" s="625">
        <f>PV_DATA[[#This Row],[QUANTITY]]/PV_DATA[[#This Row],[Qty/Pallet]]</f>
        <v>96</v>
      </c>
      <c r="X1273" s="1047">
        <f>PV_DATA[[#This Row],[QUANTITY]]/PV_DATA[[#This Row],[Qty/CT]]</f>
        <v>4</v>
      </c>
      <c r="Y1273" s="619" t="s">
        <v>7339</v>
      </c>
      <c r="Z1273" s="619" t="str">
        <f t="shared" ref="Z1273" si="33">IF(AN1273&lt;&gt;"","COMPLETED",IF(AK1273&lt;&gt;"","IN-TRANSIT",""))</f>
        <v/>
      </c>
      <c r="AA1273" s="619" t="s">
        <v>7353</v>
      </c>
      <c r="AB1273" s="626"/>
      <c r="AC1273" s="627" t="str">
        <f>IF(PV_DATA[[#This Row],[Pick- Up Date]]&lt;&gt;"",_xlfn.ISOWEEKNUM(PV_DATA[[#This Row],[Pick- Up Date]]),"")</f>
        <v/>
      </c>
      <c r="AD1273" s="619"/>
      <c r="AE1273" s="619"/>
      <c r="AF1273" s="619" t="s">
        <v>61</v>
      </c>
      <c r="AG1273" s="619" t="s">
        <v>61</v>
      </c>
      <c r="AH1273" s="619" t="s">
        <v>456</v>
      </c>
      <c r="AI1273" s="626"/>
      <c r="AJ1273" s="626" t="str">
        <f>IFERROR(VLOOKUP(AT1273, Vessel!A:D, 4, FALSE), "")</f>
        <v/>
      </c>
      <c r="AK1273" s="626" t="str">
        <f>IFERROR(IF(VLOOKUP(AT1273,Vessel!A:F,5,FALSE)=0,"",VLOOKUP(AT1273,Vessel!A:F,5,FALSE)),"")</f>
        <v/>
      </c>
      <c r="AL1273" s="626"/>
      <c r="AM1273" s="626"/>
      <c r="AN1273" s="984" t="str">
        <f>IFERROR(IF(VLOOKUP(AT1273,Vessel!A:I,9,FALSE)=0,"",VLOOKUP(AT1273,Vessel!A:I,9,FALSE)),"")</f>
        <v/>
      </c>
      <c r="AO1273" s="619"/>
      <c r="AP1273" s="619"/>
      <c r="AQ1273" s="628"/>
      <c r="AR1273" s="619"/>
      <c r="AS1273" s="619"/>
      <c r="AT1273" s="619"/>
      <c r="AU1273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73" s="619"/>
      <c r="AW1273" s="626" cm="1">
        <f t="array" ref="AW1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27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3" s="626">
        <f>IF(ISERROR(PV_DATA[[#This Row],[New Ark PO status]]),"",_xlfn.XLOOKUP(PV_DATA[[#This Row],[SPTN-PVHK New Ark PO'#]],New_Ark_Data[Purchase order Number],New_Ark_Data[Estimated time of arrival],"",0))</f>
        <v>0</v>
      </c>
      <c r="AZ1273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73" s="626">
        <f>IFERROR(PV_DATA[[#This Row],[ODP ETA Port]]+PV_DATA[[#This Row],[Customs/Leg3 Assumption]],"n/a")</f>
        <v>46416</v>
      </c>
      <c r="BB1273" s="620" t="s">
        <v>6536</v>
      </c>
      <c r="BC1273" s="619" t="s">
        <v>6536</v>
      </c>
      <c r="BD1273" s="619">
        <f>IFERROR(_xlfn.ISOWEEKNUM(PV_DATA[[#This Row],[ETA for New Ark update]]),0)</f>
        <v>4</v>
      </c>
      <c r="BE1273" s="431">
        <f>_xlfn.XLOOKUP(PV_DATA[[#This Row],[New Ark SKU]],Table9[New Ark SKU],Table9[Total PCS per Pallet],,0)</f>
        <v>36</v>
      </c>
      <c r="BF1273" s="431">
        <f>_xlfn.XLOOKUP(PV_DATA[[#This Row],[New Ark SKU]],Table9[New Ark SKU],Table9[Total PCS per 40HQ Container],,0)</f>
        <v>864</v>
      </c>
      <c r="BG1273" s="431" t="str">
        <f>_xlfn.XLOOKUP(PV_DATA[[#This Row],[New Ark SKU]],Table9[New Ark SKU],Table9[Back Glass],,0)</f>
        <v>Black glazing</v>
      </c>
      <c r="BH1273" s="629" t="str">
        <f>_xlfn.XLOOKUP(PV_DATA[[#This Row],[PORT DESTINATION]],Table12[PORT DESTINATION],Table12[Cosco Line],,0)</f>
        <v>AEU</v>
      </c>
    </row>
    <row r="1274" spans="1:91">
      <c r="A1274" s="1274" t="s">
        <v>7354</v>
      </c>
      <c r="B1274" s="726" t="s">
        <v>111</v>
      </c>
      <c r="C1274" s="726" t="str">
        <f>IFERROR(LEFT(PV_DATA[[#This Row],[TCL REFERENCE]],FIND(".",PV_DATA[[#This Row],[TCL REFERENCE]],1)-1),"Main Line")</f>
        <v>Main Line</v>
      </c>
      <c r="D1274" s="726" t="s">
        <v>63</v>
      </c>
      <c r="E1274" s="439" t="s">
        <v>68</v>
      </c>
      <c r="F1274" s="439" t="str" cm="1">
        <f t="array" ref="F127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4" s="726" t="s">
        <v>68</v>
      </c>
      <c r="H1274" s="726" t="s">
        <v>68</v>
      </c>
      <c r="I1274" s="431" t="s">
        <v>68</v>
      </c>
      <c r="J1274" s="619" t="s">
        <v>68</v>
      </c>
      <c r="K1274" s="619"/>
      <c r="L1274" s="619"/>
      <c r="M1274" s="619" t="s">
        <v>68</v>
      </c>
      <c r="N1274" s="630">
        <v>46328</v>
      </c>
      <c r="O1274" s="619" t="s">
        <v>4531</v>
      </c>
      <c r="P1274" s="623" t="s">
        <v>7355</v>
      </c>
      <c r="Q1274" s="619" t="s">
        <v>4598</v>
      </c>
      <c r="R1274" s="430" t="str">
        <f>_xlfn.XLOOKUP(PV_DATA[[#This Row],[New Ark SKU]],Table9[New Ark SKU],Table9[Connector],,0)</f>
        <v>H4(Com)</v>
      </c>
      <c r="S1274" s="433" t="str">
        <f>_xlfn.XLOOKUP(PV_DATA[[#This Row],[New Ark SKU]],Table9[New Ark SKU],Table9[Cable],,0)</f>
        <v>±1400mm</v>
      </c>
      <c r="T1274" s="620">
        <v>630</v>
      </c>
      <c r="U1274" s="1064" cm="1">
        <f t="array" ref="U1274">720*18-fx_qty</f>
        <v>12960</v>
      </c>
      <c r="V1274" s="624">
        <f>PV_DATA[[#This Row],[QUANTITY]]*PV_DATA[[#This Row],[WATT]]/1000000</f>
        <v>8.1647999999999996</v>
      </c>
      <c r="W1274" s="625">
        <f>PV_DATA[[#This Row],[QUANTITY]]/PV_DATA[[#This Row],[Qty/Pallet]]</f>
        <v>360</v>
      </c>
      <c r="X1274" s="1047">
        <f>PV_DATA[[#This Row],[QUANTITY]]/PV_DATA[[#This Row],[Qty/CT]]</f>
        <v>18</v>
      </c>
      <c r="Y1274" s="431" t="s">
        <v>7027</v>
      </c>
      <c r="Z1274" s="1275" t="str">
        <f t="shared" ref="Z1274:Z1316" si="34">IF(AN1274&lt;&gt;"","COMPLETED",IF(AK1274&lt;&gt;"","IN-TRANSIT",""))</f>
        <v/>
      </c>
      <c r="AA1274" s="619"/>
      <c r="AB1274" s="626"/>
      <c r="AC1274" s="627" t="str">
        <f>IF(PV_DATA[[#This Row],[Pick- Up Date]]&lt;&gt;"",_xlfn.ISOWEEKNUM(PV_DATA[[#This Row],[Pick- Up Date]]),"")</f>
        <v/>
      </c>
      <c r="AD1274" s="619"/>
      <c r="AE1274" s="620"/>
      <c r="AF1274" s="430" t="s">
        <v>122</v>
      </c>
      <c r="AG1274" s="430" t="s">
        <v>123</v>
      </c>
      <c r="AH1274" s="625"/>
      <c r="AI1274" s="626"/>
      <c r="AJ1274" s="626"/>
      <c r="AK1274" s="626"/>
      <c r="AL1274" s="626"/>
      <c r="AM1274" s="626"/>
      <c r="AN1274" s="626"/>
      <c r="AO1274" s="619"/>
      <c r="AP1274" s="619"/>
      <c r="AQ1274" s="628"/>
      <c r="AR1274" s="619"/>
      <c r="AS1274" s="619"/>
      <c r="AT1274" s="619"/>
      <c r="AU1274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74" s="619"/>
      <c r="AW1274" s="626" t="str" cm="1">
        <f t="array" ref="AW1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7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4" s="626">
        <f>IF(ISERROR(PV_DATA[[#This Row],[New Ark PO status]]),"",_xlfn.XLOOKUP(PV_DATA[[#This Row],[SPTN-PVHK New Ark PO'#]],New_Ark_Data[Purchase order Number],New_Ark_Data[Estimated time of arrival],"",0))</f>
        <v>0</v>
      </c>
      <c r="AZ1274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74" s="626" t="str">
        <f>IFERROR(PV_DATA[[#This Row],[ODP ETA Port]]+PV_DATA[[#This Row],[Customs/Leg3 Assumption]],"n/a")</f>
        <v>n/a</v>
      </c>
      <c r="BB1274" s="620" t="e">
        <f>YEAR(PV_DATA[[#This Row],[ETA for New Ark update]])</f>
        <v>#VALUE!</v>
      </c>
      <c r="BC1274" s="619" t="e">
        <f>MONTH(PV_DATA[[#This Row],[ETA for New Ark update]])</f>
        <v>#VALUE!</v>
      </c>
      <c r="BD1274" s="619">
        <f>IFERROR(_xlfn.ISOWEEKNUM(PV_DATA[[#This Row],[ETA for New Ark update]]),0)</f>
        <v>0</v>
      </c>
      <c r="BE1274" s="431">
        <f>_xlfn.XLOOKUP(PV_DATA[[#This Row],[New Ark SKU]],Table9[New Ark SKU],Table9[Total PCS per Pallet],,0)</f>
        <v>36</v>
      </c>
      <c r="BF1274" s="431">
        <f>_xlfn.XLOOKUP(PV_DATA[[#This Row],[New Ark SKU]],Table9[New Ark SKU],Table9[Total PCS per 40HQ Container],,0)</f>
        <v>720</v>
      </c>
      <c r="BG1274" s="431" t="str">
        <f>_xlfn.XLOOKUP(PV_DATA[[#This Row],[New Ark SKU]],Table9[New Ark SKU],Table9[Back Glass],,0)</f>
        <v>White glazing</v>
      </c>
      <c r="BH1274" s="629">
        <f>_xlfn.XLOOKUP(PV_DATA[[#This Row],[PORT DESTINATION]],Table12[PORT DESTINATION],Table12[Cosco Line],,0)</f>
        <v>0</v>
      </c>
    </row>
    <row r="1275" spans="1:91">
      <c r="A1275" s="1274" t="s">
        <v>7356</v>
      </c>
      <c r="B1275" s="726" t="s">
        <v>111</v>
      </c>
      <c r="C1275" s="726" t="str">
        <f>IFERROR(LEFT(PV_DATA[[#This Row],[TCL REFERENCE]],FIND(".",PV_DATA[[#This Row],[TCL REFERENCE]],1)-1),"Main Line")</f>
        <v>Main Line</v>
      </c>
      <c r="D1275" s="726" t="s">
        <v>63</v>
      </c>
      <c r="E1275" s="439" t="s">
        <v>68</v>
      </c>
      <c r="F1275" s="439" t="str" cm="1">
        <f t="array" ref="F127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5" s="726" t="s">
        <v>68</v>
      </c>
      <c r="H1275" s="726" t="s">
        <v>68</v>
      </c>
      <c r="I1275" s="431" t="s">
        <v>68</v>
      </c>
      <c r="J1275" s="619" t="s">
        <v>68</v>
      </c>
      <c r="K1275" s="619"/>
      <c r="L1275" s="619"/>
      <c r="M1275" s="619" t="s">
        <v>68</v>
      </c>
      <c r="N1275" s="630">
        <v>46328</v>
      </c>
      <c r="O1275" s="619" t="s">
        <v>4531</v>
      </c>
      <c r="P1275" s="623" t="s">
        <v>7357</v>
      </c>
      <c r="Q1275" s="619" t="s">
        <v>7358</v>
      </c>
      <c r="R1275" s="430" t="str">
        <f>_xlfn.XLOOKUP(PV_DATA[[#This Row],[New Ark SKU]],Table9[New Ark SKU],Table9[Connector],,0)</f>
        <v>H4(Com)</v>
      </c>
      <c r="S1275" s="433" t="str">
        <f>_xlfn.XLOOKUP(PV_DATA[[#This Row],[New Ark SKU]],Table9[New Ark SKU],Table9[Cable],,0)</f>
        <v>±1400mm</v>
      </c>
      <c r="T1275" s="620">
        <v>635</v>
      </c>
      <c r="U1275" s="1064" cm="1">
        <f t="array" ref="U1275">2880-fx_qty</f>
        <v>2880</v>
      </c>
      <c r="V1275" s="624">
        <f>PV_DATA[[#This Row],[QUANTITY]]*PV_DATA[[#This Row],[WATT]]/1000000</f>
        <v>1.8288</v>
      </c>
      <c r="W1275" s="625">
        <f>PV_DATA[[#This Row],[QUANTITY]]/PV_DATA[[#This Row],[Qty/Pallet]]</f>
        <v>80</v>
      </c>
      <c r="X1275" s="1047">
        <f>PV_DATA[[#This Row],[QUANTITY]]/PV_DATA[[#This Row],[Qty/CT]]</f>
        <v>4</v>
      </c>
      <c r="Y1275" s="431" t="s">
        <v>7027</v>
      </c>
      <c r="Z1275" s="1275" t="str">
        <f t="shared" si="34"/>
        <v/>
      </c>
      <c r="AA1275" s="619"/>
      <c r="AB1275" s="626"/>
      <c r="AC1275" s="627" t="str">
        <f>IF(PV_DATA[[#This Row],[Pick- Up Date]]&lt;&gt;"",_xlfn.ISOWEEKNUM(PV_DATA[[#This Row],[Pick- Up Date]]),"")</f>
        <v/>
      </c>
      <c r="AD1275" s="619"/>
      <c r="AE1275" s="620"/>
      <c r="AF1275" s="430" t="s">
        <v>122</v>
      </c>
      <c r="AG1275" s="430" t="s">
        <v>123</v>
      </c>
      <c r="AH1275" s="625"/>
      <c r="AI1275" s="626"/>
      <c r="AJ1275" s="626"/>
      <c r="AK1275" s="626"/>
      <c r="AL1275" s="626"/>
      <c r="AM1275" s="626"/>
      <c r="AN1275" s="626"/>
      <c r="AO1275" s="619"/>
      <c r="AP1275" s="619"/>
      <c r="AQ1275" s="628"/>
      <c r="AR1275" s="619"/>
      <c r="AS1275" s="619"/>
      <c r="AT1275" s="619"/>
      <c r="AU1275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75" s="619"/>
      <c r="AW1275" s="626" t="str" cm="1">
        <f t="array" ref="AW1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7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5" s="626">
        <f>IF(ISERROR(PV_DATA[[#This Row],[New Ark PO status]]),"",_xlfn.XLOOKUP(PV_DATA[[#This Row],[SPTN-PVHK New Ark PO'#]],New_Ark_Data[Purchase order Number],New_Ark_Data[Estimated time of arrival],"",0))</f>
        <v>0</v>
      </c>
      <c r="AZ1275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75" s="626" t="str">
        <f>IFERROR(PV_DATA[[#This Row],[ODP ETA Port]]+PV_DATA[[#This Row],[Customs/Leg3 Assumption]],"n/a")</f>
        <v>n/a</v>
      </c>
      <c r="BB1275" s="620" t="e">
        <f>YEAR(PV_DATA[[#This Row],[ETA for New Ark update]])</f>
        <v>#VALUE!</v>
      </c>
      <c r="BC1275" s="619" t="e">
        <f>MONTH(PV_DATA[[#This Row],[ETA for New Ark update]])</f>
        <v>#VALUE!</v>
      </c>
      <c r="BD1275" s="619">
        <f>IFERROR(_xlfn.ISOWEEKNUM(PV_DATA[[#This Row],[ETA for New Ark update]]),0)</f>
        <v>0</v>
      </c>
      <c r="BE1275" s="431">
        <f>_xlfn.XLOOKUP(PV_DATA[[#This Row],[New Ark SKU]],Table9[New Ark SKU],Table9[Total PCS per Pallet],,0)</f>
        <v>36</v>
      </c>
      <c r="BF1275" s="431">
        <f>_xlfn.XLOOKUP(PV_DATA[[#This Row],[New Ark SKU]],Table9[New Ark SKU],Table9[Total PCS per 40HQ Container],,0)</f>
        <v>720</v>
      </c>
      <c r="BG1275" s="431" t="str">
        <f>_xlfn.XLOOKUP(PV_DATA[[#This Row],[New Ark SKU]],Table9[New Ark SKU],Table9[Back Glass],,0)</f>
        <v>White glazing</v>
      </c>
      <c r="BH1275" s="629">
        <f>_xlfn.XLOOKUP(PV_DATA[[#This Row],[PORT DESTINATION]],Table12[PORT DESTINATION],Table12[Cosco Line],,0)</f>
        <v>0</v>
      </c>
    </row>
    <row r="1276" spans="1:91" s="450" customFormat="1">
      <c r="A1276" s="1284" t="s">
        <v>7359</v>
      </c>
      <c r="B1276" s="1285" t="s">
        <v>111</v>
      </c>
      <c r="C1276" s="446" t="str">
        <f>IFERROR(LEFT(PV_DATA[[#This Row],[TCL REFERENCE]],FIND(".",PV_DATA[[#This Row],[TCL REFERENCE]],1)-1),"Main Line")</f>
        <v>Main Line</v>
      </c>
      <c r="D1276" s="1285" t="s">
        <v>63</v>
      </c>
      <c r="E1276" s="439" t="s">
        <v>68</v>
      </c>
      <c r="F1276" s="439" t="str" cm="1">
        <f t="array" ref="F127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76" s="726" t="s">
        <v>68</v>
      </c>
      <c r="H1276" s="726" t="s">
        <v>68</v>
      </c>
      <c r="I1276" s="431" t="s">
        <v>68</v>
      </c>
      <c r="J1276" s="619" t="s">
        <v>68</v>
      </c>
      <c r="K1276" s="619"/>
      <c r="L1276" s="619"/>
      <c r="M1276" s="619" t="s">
        <v>68</v>
      </c>
      <c r="N1276" s="451">
        <v>46321</v>
      </c>
      <c r="O1276" s="1024" t="s">
        <v>4531</v>
      </c>
      <c r="P1276" s="450" t="s">
        <v>7360</v>
      </c>
      <c r="Q1276" s="450" t="s">
        <v>1484</v>
      </c>
      <c r="R1276" s="430" t="str">
        <f>_xlfn.XLOOKUP(PV_DATA[[#This Row],[New Ark SKU]],Table9[New Ark SKU],Table9[Connector],,0)</f>
        <v>H4(Com)</v>
      </c>
      <c r="S1276" s="433" t="str">
        <f>_xlfn.XLOOKUP(PV_DATA[[#This Row],[New Ark SKU]],Table9[New Ark SKU],Table9[Cable],,0)</f>
        <v>±1400mm</v>
      </c>
      <c r="T1276" s="452">
        <v>725</v>
      </c>
      <c r="U1276" s="1089" cm="1">
        <f t="array" ref="U1276">48114-fx_qty</f>
        <v>35640</v>
      </c>
      <c r="V1276" s="453">
        <f>PV_DATA[[#This Row],[QUANTITY]]*PV_DATA[[#This Row],[WATT]]/1000000</f>
        <v>25.838999999999999</v>
      </c>
      <c r="W1276" s="454">
        <f>PV_DATA[[#This Row],[QUANTITY]]/PV_DATA[[#This Row],[Qty/Pallet]]</f>
        <v>990</v>
      </c>
      <c r="X1276" s="1286">
        <f>PV_DATA[[#This Row],[QUANTITY]]/PV_DATA[[#This Row],[Qty/CT]]</f>
        <v>49.5</v>
      </c>
      <c r="Y1276" s="450" t="s">
        <v>7027</v>
      </c>
      <c r="Z1276" s="1287" t="str">
        <f t="shared" si="34"/>
        <v/>
      </c>
      <c r="AB1276" s="455"/>
      <c r="AC1276" s="471" t="str">
        <f>IF(PV_DATA[[#This Row],[Pick- Up Date]]&lt;&gt;"",_xlfn.ISOWEEKNUM(PV_DATA[[#This Row],[Pick- Up Date]]),"")</f>
        <v/>
      </c>
      <c r="AE1276" s="452"/>
      <c r="AF1276" s="450" t="s">
        <v>122</v>
      </c>
      <c r="AG1276" s="450" t="s">
        <v>123</v>
      </c>
      <c r="AH1276" s="454"/>
      <c r="AI1276" s="455"/>
      <c r="AJ1276" s="455"/>
      <c r="AK1276" s="455"/>
      <c r="AL1276" s="455"/>
      <c r="AM1276" s="455"/>
      <c r="AN1276" s="455"/>
      <c r="AQ1276" s="456"/>
      <c r="AU1276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76" s="455" t="str" cm="1">
        <f t="array" ref="AW1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7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6" s="455">
        <f>IF(ISERROR(PV_DATA[[#This Row],[New Ark PO status]]),"",_xlfn.XLOOKUP(PV_DATA[[#This Row],[SPTN-PVHK New Ark PO'#]],New_Ark_Data[Purchase order Number],New_Ark_Data[Estimated time of arrival],"",0))</f>
        <v>0</v>
      </c>
      <c r="AZ1276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76" s="455" t="str">
        <f>IFERROR(PV_DATA[[#This Row],[ODP ETA Port]]+PV_DATA[[#This Row],[Customs/Leg3 Assumption]],"n/a")</f>
        <v>n/a</v>
      </c>
      <c r="BB1276" s="452" t="e">
        <f>YEAR(PV_DATA[[#This Row],[ETA for New Ark update]])</f>
        <v>#VALUE!</v>
      </c>
      <c r="BC1276" s="450" t="e">
        <f>MONTH(PV_DATA[[#This Row],[ETA for New Ark update]])</f>
        <v>#VALUE!</v>
      </c>
      <c r="BD1276" s="450">
        <f>IFERROR(_xlfn.ISOWEEKNUM(PV_DATA[[#This Row],[ETA for New Ark update]]),0)</f>
        <v>0</v>
      </c>
      <c r="BE1276" s="431">
        <f>_xlfn.XLOOKUP(PV_DATA[[#This Row],[New Ark SKU]],Table9[New Ark SKU],Table9[Total PCS per Pallet],,0)</f>
        <v>36</v>
      </c>
      <c r="BF1276" s="431">
        <f>_xlfn.XLOOKUP(PV_DATA[[#This Row],[New Ark SKU]],Table9[New Ark SKU],Table9[Total PCS per 40HQ Container],,0)</f>
        <v>720</v>
      </c>
      <c r="BG1276" s="431" t="str">
        <f>_xlfn.XLOOKUP(PV_DATA[[#This Row],[New Ark SKU]],Table9[New Ark SKU],Table9[Back Glass],,0)</f>
        <v>Redirection Film</v>
      </c>
      <c r="BH1276" s="731">
        <f>_xlfn.XLOOKUP(PV_DATA[[#This Row],[PORT DESTINATION]],Table12[PORT DESTINATION],Table12[Cosco Line],,0)</f>
        <v>0</v>
      </c>
      <c r="BJ1276" s="1288"/>
    </row>
    <row r="1277" spans="1:91" s="450" customFormat="1">
      <c r="A1277" s="1284" t="s">
        <v>7361</v>
      </c>
      <c r="B1277" s="1285" t="s">
        <v>111</v>
      </c>
      <c r="C1277" s="446" t="str">
        <f>IFERROR(LEFT(PV_DATA[[#This Row],[TCL REFERENCE]],FIND(".",PV_DATA[[#This Row],[TCL REFERENCE]],1)-1),"Main Line")</f>
        <v>26Oct003</v>
      </c>
      <c r="D1277" s="1285" t="s">
        <v>63</v>
      </c>
      <c r="E1277" s="446" t="s">
        <v>64</v>
      </c>
      <c r="F1277" s="446" t="str" cm="1">
        <f t="array" ref="F12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77" s="1285" t="s">
        <v>402</v>
      </c>
      <c r="H1277" s="446" t="s">
        <v>115</v>
      </c>
      <c r="I1277" s="1285" t="s">
        <v>1395</v>
      </c>
      <c r="J1277" s="450" t="s">
        <v>96</v>
      </c>
      <c r="M1277" s="1024" t="s">
        <v>68</v>
      </c>
      <c r="N1277" s="451">
        <v>46321</v>
      </c>
      <c r="O1277" s="1024" t="s">
        <v>4531</v>
      </c>
      <c r="P1277" s="450" t="s">
        <v>7360</v>
      </c>
      <c r="Q1277" s="450" t="s">
        <v>1484</v>
      </c>
      <c r="R1277" s="430" t="str">
        <f>_xlfn.XLOOKUP(PV_DATA[[#This Row],[New Ark SKU]],Table9[New Ark SKU],Table9[Connector],,0)</f>
        <v>H4(Com)</v>
      </c>
      <c r="S1277" s="433" t="str">
        <f>_xlfn.XLOOKUP(PV_DATA[[#This Row],[New Ark SKU]],Table9[New Ark SKU],Table9[Cable],,0)</f>
        <v>±1400mm</v>
      </c>
      <c r="T1277" s="452">
        <v>725</v>
      </c>
      <c r="U1277" s="1089">
        <f>594*3</f>
        <v>1782</v>
      </c>
      <c r="V1277" s="453">
        <f>PV_DATA[[#This Row],[QUANTITY]]*PV_DATA[[#This Row],[WATT]]/1000000</f>
        <v>1.2919499999999999</v>
      </c>
      <c r="W1277" s="454">
        <f>PV_DATA[[#This Row],[QUANTITY]]/PV_DATA[[#This Row],[Qty/Pallet]]</f>
        <v>49.5</v>
      </c>
      <c r="X1277" s="1286">
        <f>PV_DATA[[#This Row],[QUANTITY]]/PV_DATA[[#This Row],[Qty/CT]]</f>
        <v>2.4750000000000001</v>
      </c>
      <c r="Y1277" s="450" t="s">
        <v>2475</v>
      </c>
      <c r="Z1277" s="1287" t="str">
        <f t="shared" ref="Z1277" si="35">IF(AN1277&lt;&gt;"","COMPLETED",IF(AK1277&lt;&gt;"","IN-TRANSIT",""))</f>
        <v/>
      </c>
      <c r="AA1277" s="450" t="s">
        <v>7224</v>
      </c>
      <c r="AB1277" s="455"/>
      <c r="AC1277" s="471" t="str">
        <f>IF(PV_DATA[[#This Row],[Pick- Up Date]]&lt;&gt;"",_xlfn.ISOWEEKNUM(PV_DATA[[#This Row],[Pick- Up Date]]),"")</f>
        <v/>
      </c>
      <c r="AE1277" s="452"/>
      <c r="AF1277" s="450" t="s">
        <v>122</v>
      </c>
      <c r="AG1277" s="450" t="s">
        <v>123</v>
      </c>
      <c r="AH1277" s="1024" t="s">
        <v>124</v>
      </c>
      <c r="AI1277" s="455"/>
      <c r="AJ1277" s="455"/>
      <c r="AK1277" s="455"/>
      <c r="AL1277" s="455"/>
      <c r="AM1277" s="455"/>
      <c r="AN1277" s="455"/>
      <c r="AQ1277" s="456"/>
      <c r="AU1277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77" s="455" cm="1">
        <f t="array" ref="AW1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7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7" s="455">
        <f>IF(ISERROR(PV_DATA[[#This Row],[New Ark PO status]]),"",_xlfn.XLOOKUP(PV_DATA[[#This Row],[SPTN-PVHK New Ark PO'#]],New_Ark_Data[Purchase order Number],New_Ark_Data[Estimated time of arrival],"",0))</f>
        <v>0</v>
      </c>
      <c r="AZ1277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77" s="455">
        <f>IFERROR(PV_DATA[[#This Row],[ODP ETA Port]]+PV_DATA[[#This Row],[Customs/Leg3 Assumption]],"n/a")</f>
        <v>46390</v>
      </c>
      <c r="BB1277" s="452">
        <f>YEAR(PV_DATA[[#This Row],[ETA for New Ark update]])</f>
        <v>2027</v>
      </c>
      <c r="BC1277" s="450">
        <f>MONTH(PV_DATA[[#This Row],[ETA for New Ark update]])</f>
        <v>1</v>
      </c>
      <c r="BD1277" s="450">
        <f>IFERROR(_xlfn.ISOWEEKNUM(PV_DATA[[#This Row],[ETA for New Ark update]]),0)</f>
        <v>53</v>
      </c>
      <c r="BE1277" s="431">
        <f>_xlfn.XLOOKUP(PV_DATA[[#This Row],[New Ark SKU]],Table9[New Ark SKU],Table9[Total PCS per Pallet],,0)</f>
        <v>36</v>
      </c>
      <c r="BF1277" s="431">
        <f>_xlfn.XLOOKUP(PV_DATA[[#This Row],[New Ark SKU]],Table9[New Ark SKU],Table9[Total PCS per 40HQ Container],,0)</f>
        <v>720</v>
      </c>
      <c r="BG1277" s="431" t="str">
        <f>_xlfn.XLOOKUP(PV_DATA[[#This Row],[New Ark SKU]],Table9[New Ark SKU],Table9[Back Glass],,0)</f>
        <v>Redirection Film</v>
      </c>
      <c r="BH1277" s="731" t="str">
        <f>_xlfn.XLOOKUP(PV_DATA[[#This Row],[PORT DESTINATION]],Table12[PORT DESTINATION],Table12[Cosco Line],,0)</f>
        <v>AEM</v>
      </c>
      <c r="BJ1277" s="1288"/>
    </row>
    <row r="1278" spans="1:91" s="450" customFormat="1">
      <c r="A1278" s="1284" t="s">
        <v>7362</v>
      </c>
      <c r="B1278" s="1285" t="s">
        <v>111</v>
      </c>
      <c r="C1278" s="446" t="str">
        <f>IFERROR(LEFT(PV_DATA[[#This Row],[TCL REFERENCE]],FIND(".",PV_DATA[[#This Row],[TCL REFERENCE]],1)-1),"Main Line")</f>
        <v>26Oct003</v>
      </c>
      <c r="D1278" s="1285" t="s">
        <v>63</v>
      </c>
      <c r="E1278" s="446" t="s">
        <v>64</v>
      </c>
      <c r="F1278" s="446" t="str" cm="1">
        <f t="array" ref="F1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78" s="1285" t="s">
        <v>402</v>
      </c>
      <c r="H1278" s="446" t="s">
        <v>115</v>
      </c>
      <c r="I1278" s="1285" t="s">
        <v>1395</v>
      </c>
      <c r="J1278" s="450" t="s">
        <v>96</v>
      </c>
      <c r="M1278" s="1024" t="s">
        <v>68</v>
      </c>
      <c r="N1278" s="451">
        <v>46321</v>
      </c>
      <c r="O1278" s="1024" t="s">
        <v>4531</v>
      </c>
      <c r="P1278" s="450" t="s">
        <v>7360</v>
      </c>
      <c r="Q1278" s="450" t="s">
        <v>1484</v>
      </c>
      <c r="R1278" s="430" t="str">
        <f>_xlfn.XLOOKUP(PV_DATA[[#This Row],[New Ark SKU]],Table9[New Ark SKU],Table9[Connector],,0)</f>
        <v>H4(Com)</v>
      </c>
      <c r="S1278" s="433" t="str">
        <f>_xlfn.XLOOKUP(PV_DATA[[#This Row],[New Ark SKU]],Table9[New Ark SKU],Table9[Cable],,0)</f>
        <v>±1400mm</v>
      </c>
      <c r="T1278" s="452">
        <v>725</v>
      </c>
      <c r="U1278" s="1089">
        <f>594*2</f>
        <v>1188</v>
      </c>
      <c r="V1278" s="453">
        <f>PV_DATA[[#This Row],[QUANTITY]]*PV_DATA[[#This Row],[WATT]]/1000000</f>
        <v>0.86129999999999995</v>
      </c>
      <c r="W1278" s="454">
        <f>PV_DATA[[#This Row],[QUANTITY]]/PV_DATA[[#This Row],[Qty/Pallet]]</f>
        <v>33</v>
      </c>
      <c r="X1278" s="1286">
        <f>PV_DATA[[#This Row],[QUANTITY]]/PV_DATA[[#This Row],[Qty/CT]]</f>
        <v>1.65</v>
      </c>
      <c r="Y1278" s="450" t="s">
        <v>2474</v>
      </c>
      <c r="Z1278" s="1287" t="str">
        <f t="shared" ref="Z1278" si="36">IF(AN1278&lt;&gt;"","COMPLETED",IF(AK1278&lt;&gt;"","IN-TRANSIT",""))</f>
        <v/>
      </c>
      <c r="AA1278" s="450" t="s">
        <v>7224</v>
      </c>
      <c r="AB1278" s="455"/>
      <c r="AC1278" s="471" t="str">
        <f>IF(PV_DATA[[#This Row],[Pick- Up Date]]&lt;&gt;"",_xlfn.ISOWEEKNUM(PV_DATA[[#This Row],[Pick- Up Date]]),"")</f>
        <v/>
      </c>
      <c r="AE1278" s="452"/>
      <c r="AF1278" s="450" t="s">
        <v>122</v>
      </c>
      <c r="AG1278" s="450" t="s">
        <v>123</v>
      </c>
      <c r="AH1278" s="1024" t="s">
        <v>124</v>
      </c>
      <c r="AI1278" s="455"/>
      <c r="AJ1278" s="455"/>
      <c r="AK1278" s="455"/>
      <c r="AL1278" s="455"/>
      <c r="AM1278" s="455"/>
      <c r="AN1278" s="455"/>
      <c r="AQ1278" s="456"/>
      <c r="AU1278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78" s="455" cm="1">
        <f t="array" ref="AW1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7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8" s="455">
        <f>IF(ISERROR(PV_DATA[[#This Row],[New Ark PO status]]),"",_xlfn.XLOOKUP(PV_DATA[[#This Row],[SPTN-PVHK New Ark PO'#]],New_Ark_Data[Purchase order Number],New_Ark_Data[Estimated time of arrival],"",0))</f>
        <v>0</v>
      </c>
      <c r="AZ1278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78" s="455">
        <f>IFERROR(PV_DATA[[#This Row],[ODP ETA Port]]+PV_DATA[[#This Row],[Customs/Leg3 Assumption]],"n/a")</f>
        <v>46383</v>
      </c>
      <c r="BB1278" s="452">
        <f>YEAR(PV_DATA[[#This Row],[ETA for New Ark update]])</f>
        <v>2026</v>
      </c>
      <c r="BC1278" s="450">
        <f>MONTH(PV_DATA[[#This Row],[ETA for New Ark update]])</f>
        <v>12</v>
      </c>
      <c r="BD1278" s="450">
        <f>IFERROR(_xlfn.ISOWEEKNUM(PV_DATA[[#This Row],[ETA for New Ark update]]),0)</f>
        <v>52</v>
      </c>
      <c r="BE1278" s="431">
        <f>_xlfn.XLOOKUP(PV_DATA[[#This Row],[New Ark SKU]],Table9[New Ark SKU],Table9[Total PCS per Pallet],,0)</f>
        <v>36</v>
      </c>
      <c r="BF1278" s="431">
        <f>_xlfn.XLOOKUP(PV_DATA[[#This Row],[New Ark SKU]],Table9[New Ark SKU],Table9[Total PCS per 40HQ Container],,0)</f>
        <v>720</v>
      </c>
      <c r="BG1278" s="431" t="str">
        <f>_xlfn.XLOOKUP(PV_DATA[[#This Row],[New Ark SKU]],Table9[New Ark SKU],Table9[Back Glass],,0)</f>
        <v>Redirection Film</v>
      </c>
      <c r="BH1278" s="731" t="str">
        <f>_xlfn.XLOOKUP(PV_DATA[[#This Row],[PORT DESTINATION]],Table12[PORT DESTINATION],Table12[Cosco Line],,0)</f>
        <v>AEM</v>
      </c>
      <c r="BJ1278" s="1288"/>
    </row>
    <row r="1279" spans="1:91" s="450" customFormat="1">
      <c r="A1279" s="1284" t="s">
        <v>7363</v>
      </c>
      <c r="B1279" s="1285" t="s">
        <v>111</v>
      </c>
      <c r="C1279" s="446" t="str">
        <f>IFERROR(LEFT(PV_DATA[[#This Row],[TCL REFERENCE]],FIND(".",PV_DATA[[#This Row],[TCL REFERENCE]],1)-1),"Main Line")</f>
        <v>26Oct003</v>
      </c>
      <c r="D1279" s="1285" t="s">
        <v>63</v>
      </c>
      <c r="E1279" s="446" t="s">
        <v>64</v>
      </c>
      <c r="F1279" s="446" t="str" cm="1">
        <f t="array" ref="F1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79" s="1285" t="s">
        <v>402</v>
      </c>
      <c r="H1279" s="446" t="s">
        <v>115</v>
      </c>
      <c r="I1279" s="1285" t="s">
        <v>882</v>
      </c>
      <c r="J1279" s="450" t="s">
        <v>96</v>
      </c>
      <c r="M1279" s="1024" t="s">
        <v>68</v>
      </c>
      <c r="N1279" s="451">
        <v>46321</v>
      </c>
      <c r="O1279" s="1024" t="s">
        <v>4531</v>
      </c>
      <c r="P1279" s="450" t="s">
        <v>7360</v>
      </c>
      <c r="Q1279" s="450" t="s">
        <v>1484</v>
      </c>
      <c r="R1279" s="430" t="str">
        <f>_xlfn.XLOOKUP(PV_DATA[[#This Row],[New Ark SKU]],Table9[New Ark SKU],Table9[Connector],,0)</f>
        <v>H4(Com)</v>
      </c>
      <c r="S1279" s="433" t="str">
        <f>_xlfn.XLOOKUP(PV_DATA[[#This Row],[New Ark SKU]],Table9[New Ark SKU],Table9[Cable],,0)</f>
        <v>±1400mm</v>
      </c>
      <c r="T1279" s="452">
        <v>725</v>
      </c>
      <c r="U1279" s="1089">
        <f t="shared" ref="U1279" si="37">594*2</f>
        <v>1188</v>
      </c>
      <c r="V1279" s="453">
        <f>PV_DATA[[#This Row],[QUANTITY]]*PV_DATA[[#This Row],[WATT]]/1000000</f>
        <v>0.86129999999999995</v>
      </c>
      <c r="W1279" s="454">
        <f>PV_DATA[[#This Row],[QUANTITY]]/PV_DATA[[#This Row],[Qty/Pallet]]</f>
        <v>33</v>
      </c>
      <c r="X1279" s="1286">
        <f>PV_DATA[[#This Row],[QUANTITY]]/PV_DATA[[#This Row],[Qty/CT]]</f>
        <v>1.65</v>
      </c>
      <c r="Y1279" s="450" t="s">
        <v>7334</v>
      </c>
      <c r="Z1279" s="1287" t="str">
        <f t="shared" ref="Z1279:Z1281" si="38">IF(AN1279&lt;&gt;"","COMPLETED",IF(AK1279&lt;&gt;"","IN-TRANSIT",""))</f>
        <v/>
      </c>
      <c r="AA1279" s="450" t="s">
        <v>7224</v>
      </c>
      <c r="AB1279" s="455"/>
      <c r="AC1279" s="471" t="str">
        <f>IF(PV_DATA[[#This Row],[Pick- Up Date]]&lt;&gt;"",_xlfn.ISOWEEKNUM(PV_DATA[[#This Row],[Pick- Up Date]]),"")</f>
        <v/>
      </c>
      <c r="AE1279" s="452"/>
      <c r="AF1279" s="450" t="s">
        <v>122</v>
      </c>
      <c r="AG1279" s="450" t="s">
        <v>123</v>
      </c>
      <c r="AH1279" s="1024" t="s">
        <v>124</v>
      </c>
      <c r="AI1279" s="455"/>
      <c r="AJ1279" s="455"/>
      <c r="AK1279" s="455"/>
      <c r="AL1279" s="455"/>
      <c r="AM1279" s="455"/>
      <c r="AN1279" s="455"/>
      <c r="AQ1279" s="456"/>
      <c r="AU1279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79" s="455" cm="1">
        <f t="array" ref="AW1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7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79" s="455">
        <f>IF(ISERROR(PV_DATA[[#This Row],[New Ark PO status]]),"",_xlfn.XLOOKUP(PV_DATA[[#This Row],[SPTN-PVHK New Ark PO'#]],New_Ark_Data[Purchase order Number],New_Ark_Data[Estimated time of arrival],"",0))</f>
        <v>0</v>
      </c>
      <c r="AZ1279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79" s="455">
        <f>IFERROR(PV_DATA[[#This Row],[ODP ETA Port]]+PV_DATA[[#This Row],[Customs/Leg3 Assumption]],"n/a")</f>
        <v>46397</v>
      </c>
      <c r="BB1279" s="452">
        <f>YEAR(PV_DATA[[#This Row],[ETA for New Ark update]])</f>
        <v>2027</v>
      </c>
      <c r="BC1279" s="450">
        <f>MONTH(PV_DATA[[#This Row],[ETA for New Ark update]])</f>
        <v>1</v>
      </c>
      <c r="BD1279" s="450">
        <f>IFERROR(_xlfn.ISOWEEKNUM(PV_DATA[[#This Row],[ETA for New Ark update]]),0)</f>
        <v>1</v>
      </c>
      <c r="BE1279" s="431">
        <f>_xlfn.XLOOKUP(PV_DATA[[#This Row],[New Ark SKU]],Table9[New Ark SKU],Table9[Total PCS per Pallet],,0)</f>
        <v>36</v>
      </c>
      <c r="BF1279" s="431">
        <f>_xlfn.XLOOKUP(PV_DATA[[#This Row],[New Ark SKU]],Table9[New Ark SKU],Table9[Total PCS per 40HQ Container],,0)</f>
        <v>720</v>
      </c>
      <c r="BG1279" s="431" t="str">
        <f>_xlfn.XLOOKUP(PV_DATA[[#This Row],[New Ark SKU]],Table9[New Ark SKU],Table9[Back Glass],,0)</f>
        <v>Redirection Film</v>
      </c>
      <c r="BH1279" s="731" t="str">
        <f>_xlfn.XLOOKUP(PV_DATA[[#This Row],[PORT DESTINATION]],Table12[PORT DESTINATION],Table12[Cosco Line],,0)</f>
        <v>AEM</v>
      </c>
      <c r="BJ1279" s="1288"/>
    </row>
    <row r="1280" spans="1:91" s="450" customFormat="1">
      <c r="A1280" s="1284" t="s">
        <v>7364</v>
      </c>
      <c r="B1280" s="1285" t="s">
        <v>111</v>
      </c>
      <c r="C1280" s="446" t="str">
        <f>IFERROR(LEFT(PV_DATA[[#This Row],[TCL REFERENCE]],FIND(".",PV_DATA[[#This Row],[TCL REFERENCE]],1)-1),"Main Line")</f>
        <v>26Oct003</v>
      </c>
      <c r="D1280" s="1285" t="s">
        <v>63</v>
      </c>
      <c r="E1280" s="446" t="s">
        <v>64</v>
      </c>
      <c r="F1280" s="446" t="str" cm="1">
        <f t="array" ref="F12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0" s="1285" t="s">
        <v>402</v>
      </c>
      <c r="H1280" s="446" t="s">
        <v>115</v>
      </c>
      <c r="I1280" s="1285" t="s">
        <v>689</v>
      </c>
      <c r="J1280" s="450" t="s">
        <v>96</v>
      </c>
      <c r="M1280" s="1024" t="s">
        <v>68</v>
      </c>
      <c r="N1280" s="451">
        <v>46321</v>
      </c>
      <c r="O1280" s="1024" t="s">
        <v>4531</v>
      </c>
      <c r="P1280" s="450" t="s">
        <v>7360</v>
      </c>
      <c r="Q1280" s="450" t="s">
        <v>1484</v>
      </c>
      <c r="R1280" s="430" t="str">
        <f>_xlfn.XLOOKUP(PV_DATA[[#This Row],[New Ark SKU]],Table9[New Ark SKU],Table9[Connector],,0)</f>
        <v>H4(Com)</v>
      </c>
      <c r="S1280" s="433" t="str">
        <f>_xlfn.XLOOKUP(PV_DATA[[#This Row],[New Ark SKU]],Table9[New Ark SKU],Table9[Cable],,0)</f>
        <v>±1400mm</v>
      </c>
      <c r="T1280" s="452">
        <v>725</v>
      </c>
      <c r="U1280" s="1089">
        <f>594*5</f>
        <v>2970</v>
      </c>
      <c r="V1280" s="453">
        <f>PV_DATA[[#This Row],[QUANTITY]]*PV_DATA[[#This Row],[WATT]]/1000000</f>
        <v>2.1532499999999999</v>
      </c>
      <c r="W1280" s="454">
        <f>PV_DATA[[#This Row],[QUANTITY]]/PV_DATA[[#This Row],[Qty/Pallet]]</f>
        <v>82.5</v>
      </c>
      <c r="X1280" s="1286">
        <f>PV_DATA[[#This Row],[QUANTITY]]/PV_DATA[[#This Row],[Qty/CT]]</f>
        <v>4.125</v>
      </c>
      <c r="Y1280" s="450" t="s">
        <v>7365</v>
      </c>
      <c r="Z1280" s="1287" t="str">
        <f t="shared" si="38"/>
        <v/>
      </c>
      <c r="AA1280" s="450" t="s">
        <v>7366</v>
      </c>
      <c r="AB1280" s="455"/>
      <c r="AC1280" s="471" t="str">
        <f>IF(PV_DATA[[#This Row],[Pick- Up Date]]&lt;&gt;"",_xlfn.ISOWEEKNUM(PV_DATA[[#This Row],[Pick- Up Date]]),"")</f>
        <v/>
      </c>
      <c r="AE1280" s="452"/>
      <c r="AF1280" s="450" t="s">
        <v>122</v>
      </c>
      <c r="AG1280" s="450" t="s">
        <v>123</v>
      </c>
      <c r="AH1280" s="1024" t="s">
        <v>124</v>
      </c>
      <c r="AI1280" s="455"/>
      <c r="AJ1280" s="455"/>
      <c r="AK1280" s="455"/>
      <c r="AL1280" s="455"/>
      <c r="AM1280" s="455"/>
      <c r="AN1280" s="455"/>
      <c r="AQ1280" s="456"/>
      <c r="AU1280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80" s="455" cm="1">
        <f t="array" ref="AW1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46402</v>
      </c>
      <c r="AX128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0" s="455">
        <f>IF(ISERROR(PV_DATA[[#This Row],[New Ark PO status]]),"",_xlfn.XLOOKUP(PV_DATA[[#This Row],[SPTN-PVHK New Ark PO'#]],New_Ark_Data[Purchase order Number],New_Ark_Data[Estimated time of arrival],"",0))</f>
        <v>0</v>
      </c>
      <c r="AZ1280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0" s="455">
        <f>IFERROR(PV_DATA[[#This Row],[ODP ETA Port]]+PV_DATA[[#This Row],[Customs/Leg3 Assumption]],"n/a")</f>
        <v>46411</v>
      </c>
      <c r="BB1280" s="452">
        <f>YEAR(PV_DATA[[#This Row],[ETA for New Ark update]])</f>
        <v>2027</v>
      </c>
      <c r="BC1280" s="450">
        <f>MONTH(PV_DATA[[#This Row],[ETA for New Ark update]])</f>
        <v>1</v>
      </c>
      <c r="BD1280" s="450">
        <f>IFERROR(_xlfn.ISOWEEKNUM(PV_DATA[[#This Row],[ETA for New Ark update]]),0)</f>
        <v>3</v>
      </c>
      <c r="BE1280" s="431">
        <f>_xlfn.XLOOKUP(PV_DATA[[#This Row],[New Ark SKU]],Table9[New Ark SKU],Table9[Total PCS per Pallet],,0)</f>
        <v>36</v>
      </c>
      <c r="BF1280" s="431">
        <f>_xlfn.XLOOKUP(PV_DATA[[#This Row],[New Ark SKU]],Table9[New Ark SKU],Table9[Total PCS per 40HQ Container],,0)</f>
        <v>720</v>
      </c>
      <c r="BG1280" s="431" t="str">
        <f>_xlfn.XLOOKUP(PV_DATA[[#This Row],[New Ark SKU]],Table9[New Ark SKU],Table9[Back Glass],,0)</f>
        <v>Redirection Film</v>
      </c>
      <c r="BH1280" s="731" t="str">
        <f>_xlfn.XLOOKUP(PV_DATA[[#This Row],[PORT DESTINATION]],Table12[PORT DESTINATION],Table12[Cosco Line],,0)</f>
        <v>AEM</v>
      </c>
      <c r="BJ1280" s="1288"/>
    </row>
    <row r="1281" spans="1:62" s="450" customFormat="1">
      <c r="A1281" s="1284" t="s">
        <v>7367</v>
      </c>
      <c r="B1281" s="1285" t="s">
        <v>111</v>
      </c>
      <c r="C1281" s="446" t="str">
        <f>IFERROR(LEFT(PV_DATA[[#This Row],[TCL REFERENCE]],FIND(".",PV_DATA[[#This Row],[TCL REFERENCE]],1)-1),"Main Line")</f>
        <v>26Oct003</v>
      </c>
      <c r="D1281" s="1285" t="s">
        <v>63</v>
      </c>
      <c r="E1281" s="446" t="s">
        <v>64</v>
      </c>
      <c r="F1281" s="446" t="str" cm="1">
        <f t="array" ref="F12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1" s="1285" t="s">
        <v>402</v>
      </c>
      <c r="H1281" s="446" t="s">
        <v>115</v>
      </c>
      <c r="I1281" s="1285" t="s">
        <v>689</v>
      </c>
      <c r="J1281" s="450" t="s">
        <v>96</v>
      </c>
      <c r="M1281" s="1024" t="s">
        <v>68</v>
      </c>
      <c r="N1281" s="451">
        <v>46321</v>
      </c>
      <c r="O1281" s="1024" t="s">
        <v>4531</v>
      </c>
      <c r="P1281" s="450" t="s">
        <v>7360</v>
      </c>
      <c r="Q1281" s="450" t="s">
        <v>1484</v>
      </c>
      <c r="R1281" s="430" t="str">
        <f>_xlfn.XLOOKUP(PV_DATA[[#This Row],[New Ark SKU]],Table9[New Ark SKU],Table9[Connector],,0)</f>
        <v>H4(Com)</v>
      </c>
      <c r="S1281" s="433" t="str">
        <f>_xlfn.XLOOKUP(PV_DATA[[#This Row],[New Ark SKU]],Table9[New Ark SKU],Table9[Cable],,0)</f>
        <v>±1400mm</v>
      </c>
      <c r="T1281" s="452">
        <v>725</v>
      </c>
      <c r="U1281" s="1089">
        <f>594*5</f>
        <v>2970</v>
      </c>
      <c r="V1281" s="453">
        <f>PV_DATA[[#This Row],[QUANTITY]]*PV_DATA[[#This Row],[WATT]]/1000000</f>
        <v>2.1532499999999999</v>
      </c>
      <c r="W1281" s="454">
        <f>PV_DATA[[#This Row],[QUANTITY]]/PV_DATA[[#This Row],[Qty/Pallet]]</f>
        <v>82.5</v>
      </c>
      <c r="X1281" s="1286">
        <f>PV_DATA[[#This Row],[QUANTITY]]/PV_DATA[[#This Row],[Qty/CT]]</f>
        <v>4.125</v>
      </c>
      <c r="Y1281" s="450" t="s">
        <v>7368</v>
      </c>
      <c r="Z1281" s="1287" t="str">
        <f t="shared" si="38"/>
        <v/>
      </c>
      <c r="AA1281" s="450" t="s">
        <v>7366</v>
      </c>
      <c r="AB1281" s="455"/>
      <c r="AC1281" s="471" t="str">
        <f>IF(PV_DATA[[#This Row],[Pick- Up Date]]&lt;&gt;"",_xlfn.ISOWEEKNUM(PV_DATA[[#This Row],[Pick- Up Date]]),"")</f>
        <v/>
      </c>
      <c r="AE1281" s="452"/>
      <c r="AF1281" s="450" t="s">
        <v>122</v>
      </c>
      <c r="AG1281" s="450" t="s">
        <v>123</v>
      </c>
      <c r="AH1281" s="1024" t="s">
        <v>124</v>
      </c>
      <c r="AI1281" s="455"/>
      <c r="AJ1281" s="455"/>
      <c r="AK1281" s="455"/>
      <c r="AL1281" s="455"/>
      <c r="AM1281" s="455"/>
      <c r="AN1281" s="455"/>
      <c r="AQ1281" s="456"/>
      <c r="AU1281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81" s="455" cm="1">
        <f t="array" ref="AW1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28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1" s="455">
        <f>IF(ISERROR(PV_DATA[[#This Row],[New Ark PO status]]),"",_xlfn.XLOOKUP(PV_DATA[[#This Row],[SPTN-PVHK New Ark PO'#]],New_Ark_Data[Purchase order Number],New_Ark_Data[Estimated time of arrival],"",0))</f>
        <v>0</v>
      </c>
      <c r="AZ1281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1" s="455">
        <f>IFERROR(PV_DATA[[#This Row],[ODP ETA Port]]+PV_DATA[[#This Row],[Customs/Leg3 Assumption]],"n/a")</f>
        <v>9</v>
      </c>
      <c r="BB1281" s="452">
        <f>YEAR(PV_DATA[[#This Row],[ETA for New Ark update]])</f>
        <v>1900</v>
      </c>
      <c r="BC1281" s="450">
        <f>MONTH(PV_DATA[[#This Row],[ETA for New Ark update]])</f>
        <v>1</v>
      </c>
      <c r="BD1281" s="450">
        <f>IFERROR(_xlfn.ISOWEEKNUM(PV_DATA[[#This Row],[ETA for New Ark update]]),0)</f>
        <v>2</v>
      </c>
      <c r="BE1281" s="431">
        <f>_xlfn.XLOOKUP(PV_DATA[[#This Row],[New Ark SKU]],Table9[New Ark SKU],Table9[Total PCS per Pallet],,0)</f>
        <v>36</v>
      </c>
      <c r="BF1281" s="431">
        <f>_xlfn.XLOOKUP(PV_DATA[[#This Row],[New Ark SKU]],Table9[New Ark SKU],Table9[Total PCS per 40HQ Container],,0)</f>
        <v>720</v>
      </c>
      <c r="BG1281" s="431" t="str">
        <f>_xlfn.XLOOKUP(PV_DATA[[#This Row],[New Ark SKU]],Table9[New Ark SKU],Table9[Back Glass],,0)</f>
        <v>Redirection Film</v>
      </c>
      <c r="BH1281" s="731" t="str">
        <f>_xlfn.XLOOKUP(PV_DATA[[#This Row],[PORT DESTINATION]],Table12[PORT DESTINATION],Table12[Cosco Line],,0)</f>
        <v>AEM</v>
      </c>
      <c r="BJ1281" s="1288"/>
    </row>
    <row r="1282" spans="1:62" s="450" customFormat="1">
      <c r="A1282" s="1284" t="s">
        <v>7369</v>
      </c>
      <c r="B1282" s="1285" t="s">
        <v>111</v>
      </c>
      <c r="C1282" s="446" t="str">
        <f>IFERROR(LEFT(PV_DATA[[#This Row],[TCL REFERENCE]],FIND(".",PV_DATA[[#This Row],[TCL REFERENCE]],1)-1),"Main Line")</f>
        <v>26Oct003</v>
      </c>
      <c r="D1282" s="1285" t="s">
        <v>63</v>
      </c>
      <c r="E1282" s="446" t="s">
        <v>64</v>
      </c>
      <c r="F1282" s="446" t="str" cm="1">
        <f t="array" ref="F12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2" s="1285" t="s">
        <v>402</v>
      </c>
      <c r="H1282" s="446" t="s">
        <v>115</v>
      </c>
      <c r="I1282" s="1285" t="s">
        <v>689</v>
      </c>
      <c r="J1282" s="450" t="s">
        <v>96</v>
      </c>
      <c r="M1282" s="1024" t="s">
        <v>68</v>
      </c>
      <c r="N1282" s="451">
        <v>46321</v>
      </c>
      <c r="O1282" s="1024" t="s">
        <v>4531</v>
      </c>
      <c r="P1282" s="450" t="s">
        <v>7360</v>
      </c>
      <c r="Q1282" s="450" t="s">
        <v>1484</v>
      </c>
      <c r="R1282" s="430" t="str">
        <f>_xlfn.XLOOKUP(PV_DATA[[#This Row],[New Ark SKU]],Table9[New Ark SKU],Table9[Connector],,0)</f>
        <v>H4(Com)</v>
      </c>
      <c r="S1282" s="433" t="str">
        <f>_xlfn.XLOOKUP(PV_DATA[[#This Row],[New Ark SKU]],Table9[New Ark SKU],Table9[Cable],,0)</f>
        <v>±1400mm</v>
      </c>
      <c r="T1282" s="452">
        <v>725</v>
      </c>
      <c r="U1282" s="1089">
        <f>594*4</f>
        <v>2376</v>
      </c>
      <c r="V1282" s="453">
        <f>PV_DATA[[#This Row],[QUANTITY]]*PV_DATA[[#This Row],[WATT]]/1000000</f>
        <v>1.7225999999999999</v>
      </c>
      <c r="W1282" s="454">
        <f>PV_DATA[[#This Row],[QUANTITY]]/PV_DATA[[#This Row],[Qty/Pallet]]</f>
        <v>66</v>
      </c>
      <c r="X1282" s="1286">
        <f>PV_DATA[[#This Row],[QUANTITY]]/PV_DATA[[#This Row],[Qty/CT]]</f>
        <v>3.3</v>
      </c>
      <c r="Y1282" s="450" t="s">
        <v>7370</v>
      </c>
      <c r="Z1282" s="1287" t="str">
        <f t="shared" ref="Z1282" si="39">IF(AN1282&lt;&gt;"","COMPLETED",IF(AK1282&lt;&gt;"","IN-TRANSIT",""))</f>
        <v/>
      </c>
      <c r="AA1282" s="450" t="s">
        <v>7366</v>
      </c>
      <c r="AB1282" s="455"/>
      <c r="AC1282" s="471" t="str">
        <f>IF(PV_DATA[[#This Row],[Pick- Up Date]]&lt;&gt;"",_xlfn.ISOWEEKNUM(PV_DATA[[#This Row],[Pick- Up Date]]),"")</f>
        <v/>
      </c>
      <c r="AE1282" s="452"/>
      <c r="AF1282" s="450" t="s">
        <v>122</v>
      </c>
      <c r="AG1282" s="450" t="s">
        <v>123</v>
      </c>
      <c r="AH1282" s="1024" t="s">
        <v>124</v>
      </c>
      <c r="AI1282" s="455"/>
      <c r="AJ1282" s="455"/>
      <c r="AK1282" s="455"/>
      <c r="AL1282" s="455"/>
      <c r="AM1282" s="455"/>
      <c r="AN1282" s="455"/>
      <c r="AQ1282" s="456"/>
      <c r="AU1282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82" s="455" cm="1">
        <f t="array" ref="AW1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46423</v>
      </c>
      <c r="AX128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2" s="455">
        <f>IF(ISERROR(PV_DATA[[#This Row],[New Ark PO status]]),"",_xlfn.XLOOKUP(PV_DATA[[#This Row],[SPTN-PVHK New Ark PO'#]],New_Ark_Data[Purchase order Number],New_Ark_Data[Estimated time of arrival],"",0))</f>
        <v>0</v>
      </c>
      <c r="AZ128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2" s="455">
        <f>IFERROR(PV_DATA[[#This Row],[ODP ETA Port]]+PV_DATA[[#This Row],[Customs/Leg3 Assumption]],"n/a")</f>
        <v>46432</v>
      </c>
      <c r="BB1282" s="452">
        <f>YEAR(PV_DATA[[#This Row],[ETA for New Ark update]])</f>
        <v>2027</v>
      </c>
      <c r="BC1282" s="450">
        <f>MONTH(PV_DATA[[#This Row],[ETA for New Ark update]])</f>
        <v>2</v>
      </c>
      <c r="BD1282" s="450">
        <f>IFERROR(_xlfn.ISOWEEKNUM(PV_DATA[[#This Row],[ETA for New Ark update]]),0)</f>
        <v>6</v>
      </c>
      <c r="BE1282" s="431">
        <f>_xlfn.XLOOKUP(PV_DATA[[#This Row],[New Ark SKU]],Table9[New Ark SKU],Table9[Total PCS per Pallet],,0)</f>
        <v>36</v>
      </c>
      <c r="BF1282" s="431">
        <f>_xlfn.XLOOKUP(PV_DATA[[#This Row],[New Ark SKU]],Table9[New Ark SKU],Table9[Total PCS per 40HQ Container],,0)</f>
        <v>720</v>
      </c>
      <c r="BG1282" s="431" t="str">
        <f>_xlfn.XLOOKUP(PV_DATA[[#This Row],[New Ark SKU]],Table9[New Ark SKU],Table9[Back Glass],,0)</f>
        <v>Redirection Film</v>
      </c>
      <c r="BH1282" s="731" t="str">
        <f>_xlfn.XLOOKUP(PV_DATA[[#This Row],[PORT DESTINATION]],Table12[PORT DESTINATION],Table12[Cosco Line],,0)</f>
        <v>AEM</v>
      </c>
      <c r="BJ1282" s="1288"/>
    </row>
    <row r="1283" spans="1:62" s="450" customFormat="1">
      <c r="A1283" s="1284" t="s">
        <v>7371</v>
      </c>
      <c r="B1283" s="1285" t="s">
        <v>111</v>
      </c>
      <c r="C1283" s="446" t="str">
        <f>IFERROR(LEFT(PV_DATA[[#This Row],[TCL REFERENCE]],FIND(".",PV_DATA[[#This Row],[TCL REFERENCE]],1)-1),"Main Line")</f>
        <v>Main Line</v>
      </c>
      <c r="D1283" s="1285" t="s">
        <v>63</v>
      </c>
      <c r="E1283" s="439" t="s">
        <v>68</v>
      </c>
      <c r="F1283" s="439" t="str" cm="1">
        <f t="array" ref="F128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83" s="726" t="s">
        <v>68</v>
      </c>
      <c r="H1283" s="726" t="s">
        <v>68</v>
      </c>
      <c r="I1283" s="431" t="s">
        <v>68</v>
      </c>
      <c r="J1283" s="619" t="s">
        <v>68</v>
      </c>
      <c r="K1283" s="619"/>
      <c r="L1283" s="619"/>
      <c r="M1283" s="619" t="s">
        <v>68</v>
      </c>
      <c r="N1283" s="451">
        <v>46321</v>
      </c>
      <c r="O1283" s="1024" t="s">
        <v>4531</v>
      </c>
      <c r="P1283" s="450" t="s">
        <v>7372</v>
      </c>
      <c r="Q1283" s="450" t="s">
        <v>1682</v>
      </c>
      <c r="R1283" s="430" t="str">
        <f>_xlfn.XLOOKUP(PV_DATA[[#This Row],[New Ark SKU]],Table9[New Ark SKU],Table9[Connector],,0)</f>
        <v>H4(Com)</v>
      </c>
      <c r="S1283" s="433" t="str">
        <f>_xlfn.XLOOKUP(PV_DATA[[#This Row],[New Ark SKU]],Table9[New Ark SKU],Table9[Cable],,0)</f>
        <v>±1400mm</v>
      </c>
      <c r="T1283" s="452">
        <v>730</v>
      </c>
      <c r="U1283" s="1089" cm="1">
        <f t="array" ref="U1283">48114-fx_qty</f>
        <v>33858</v>
      </c>
      <c r="V1283" s="453">
        <f>PV_DATA[[#This Row],[QUANTITY]]*PV_DATA[[#This Row],[WATT]]/1000000</f>
        <v>24.716339999999999</v>
      </c>
      <c r="W1283" s="454">
        <f>PV_DATA[[#This Row],[QUANTITY]]/PV_DATA[[#This Row],[Qty/Pallet]]</f>
        <v>940.5</v>
      </c>
      <c r="X1283" s="1286">
        <f>PV_DATA[[#This Row],[QUANTITY]]/PV_DATA[[#This Row],[Qty/CT]]</f>
        <v>47.024999999999999</v>
      </c>
      <c r="Y1283" s="450" t="s">
        <v>7027</v>
      </c>
      <c r="Z1283" s="1287" t="str">
        <f t="shared" si="34"/>
        <v/>
      </c>
      <c r="AB1283" s="455"/>
      <c r="AC1283" s="471" t="str">
        <f>IF(PV_DATA[[#This Row],[Pick- Up Date]]&lt;&gt;"",_xlfn.ISOWEEKNUM(PV_DATA[[#This Row],[Pick- Up Date]]),"")</f>
        <v/>
      </c>
      <c r="AE1283" s="452"/>
      <c r="AF1283" s="450" t="s">
        <v>122</v>
      </c>
      <c r="AG1283" s="450" t="s">
        <v>123</v>
      </c>
      <c r="AH1283" s="454"/>
      <c r="AI1283" s="455"/>
      <c r="AJ1283" s="455"/>
      <c r="AK1283" s="455"/>
      <c r="AL1283" s="455"/>
      <c r="AM1283" s="455"/>
      <c r="AN1283" s="455"/>
      <c r="AQ1283" s="456"/>
      <c r="AU1283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83" s="455" t="str" cm="1">
        <f t="array" ref="AW1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8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3" s="455">
        <f>IF(ISERROR(PV_DATA[[#This Row],[New Ark PO status]]),"",_xlfn.XLOOKUP(PV_DATA[[#This Row],[SPTN-PVHK New Ark PO'#]],New_Ark_Data[Purchase order Number],New_Ark_Data[Estimated time of arrival],"",0))</f>
        <v>0</v>
      </c>
      <c r="AZ1283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83" s="455" t="str">
        <f>IFERROR(PV_DATA[[#This Row],[ODP ETA Port]]+PV_DATA[[#This Row],[Customs/Leg3 Assumption]],"n/a")</f>
        <v>n/a</v>
      </c>
      <c r="BB1283" s="452" t="e">
        <f>YEAR(PV_DATA[[#This Row],[ETA for New Ark update]])</f>
        <v>#VALUE!</v>
      </c>
      <c r="BC1283" s="450" t="e">
        <f>MONTH(PV_DATA[[#This Row],[ETA for New Ark update]])</f>
        <v>#VALUE!</v>
      </c>
      <c r="BD1283" s="450">
        <f>IFERROR(_xlfn.ISOWEEKNUM(PV_DATA[[#This Row],[ETA for New Ark update]]),0)</f>
        <v>0</v>
      </c>
      <c r="BE1283" s="431">
        <f>_xlfn.XLOOKUP(PV_DATA[[#This Row],[New Ark SKU]],Table9[New Ark SKU],Table9[Total PCS per Pallet],,0)</f>
        <v>36</v>
      </c>
      <c r="BF1283" s="431">
        <f>_xlfn.XLOOKUP(PV_DATA[[#This Row],[New Ark SKU]],Table9[New Ark SKU],Table9[Total PCS per 40HQ Container],,0)</f>
        <v>720</v>
      </c>
      <c r="BG1283" s="431" t="str">
        <f>_xlfn.XLOOKUP(PV_DATA[[#This Row],[New Ark SKU]],Table9[New Ark SKU],Table9[Back Glass],,0)</f>
        <v>Redirection Film</v>
      </c>
      <c r="BH1283" s="731">
        <f>_xlfn.XLOOKUP(PV_DATA[[#This Row],[PORT DESTINATION]],Table12[PORT DESTINATION],Table12[Cosco Line],,0)</f>
        <v>0</v>
      </c>
      <c r="BJ1283" s="1288"/>
    </row>
    <row r="1284" spans="1:62" s="450" customFormat="1">
      <c r="A1284" s="1284" t="s">
        <v>7373</v>
      </c>
      <c r="B1284" s="1285" t="s">
        <v>111</v>
      </c>
      <c r="C1284" s="446" t="str">
        <f>IFERROR(LEFT(PV_DATA[[#This Row],[TCL REFERENCE]],FIND(".",PV_DATA[[#This Row],[TCL REFERENCE]],1)-1),"Main Line")</f>
        <v>26Oct004</v>
      </c>
      <c r="D1284" s="1285" t="s">
        <v>63</v>
      </c>
      <c r="E1284" s="446" t="s">
        <v>64</v>
      </c>
      <c r="F1284" s="446" t="str" cm="1">
        <f t="array" ref="F1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4" s="1285" t="s">
        <v>402</v>
      </c>
      <c r="H1284" s="446" t="s">
        <v>115</v>
      </c>
      <c r="I1284" s="1285" t="s">
        <v>1395</v>
      </c>
      <c r="J1284" s="450" t="s">
        <v>96</v>
      </c>
      <c r="M1284" s="1024" t="s">
        <v>68</v>
      </c>
      <c r="N1284" s="451">
        <v>46321</v>
      </c>
      <c r="O1284" s="1024" t="s">
        <v>4531</v>
      </c>
      <c r="P1284" s="450" t="s">
        <v>7372</v>
      </c>
      <c r="Q1284" s="450" t="s">
        <v>1682</v>
      </c>
      <c r="R1284" s="430" t="str">
        <f>_xlfn.XLOOKUP(PV_DATA[[#This Row],[New Ark SKU]],Table9[New Ark SKU],Table9[Connector],,0)</f>
        <v>H4(Com)</v>
      </c>
      <c r="S1284" s="433" t="str">
        <f>_xlfn.XLOOKUP(PV_DATA[[#This Row],[New Ark SKU]],Table9[New Ark SKU],Table9[Cable],,0)</f>
        <v>±1400mm</v>
      </c>
      <c r="T1284" s="452">
        <v>730</v>
      </c>
      <c r="U1284" s="1089">
        <f>594*1</f>
        <v>594</v>
      </c>
      <c r="V1284" s="453">
        <f>PV_DATA[[#This Row],[QUANTITY]]*PV_DATA[[#This Row],[WATT]]/1000000</f>
        <v>0.43362000000000001</v>
      </c>
      <c r="W1284" s="454">
        <f>PV_DATA[[#This Row],[QUANTITY]]/PV_DATA[[#This Row],[Qty/Pallet]]</f>
        <v>16.5</v>
      </c>
      <c r="X1284" s="1286">
        <f>PV_DATA[[#This Row],[QUANTITY]]/PV_DATA[[#This Row],[Qty/CT]]</f>
        <v>0.82499999999999996</v>
      </c>
      <c r="Y1284" s="450" t="s">
        <v>2474</v>
      </c>
      <c r="Z1284" s="1287" t="str">
        <f t="shared" ref="Z1284" si="40">IF(AN1284&lt;&gt;"","COMPLETED",IF(AK1284&lt;&gt;"","IN-TRANSIT",""))</f>
        <v/>
      </c>
      <c r="AA1284" s="450" t="s">
        <v>7224</v>
      </c>
      <c r="AB1284" s="455"/>
      <c r="AC1284" s="471" t="str">
        <f>IF(PV_DATA[[#This Row],[Pick- Up Date]]&lt;&gt;"",_xlfn.ISOWEEKNUM(PV_DATA[[#This Row],[Pick- Up Date]]),"")</f>
        <v/>
      </c>
      <c r="AE1284" s="452"/>
      <c r="AF1284" s="450" t="s">
        <v>122</v>
      </c>
      <c r="AG1284" s="450" t="s">
        <v>5994</v>
      </c>
      <c r="AH1284" s="1024" t="s">
        <v>124</v>
      </c>
      <c r="AI1284" s="455"/>
      <c r="AJ1284" s="455"/>
      <c r="AK1284" s="455"/>
      <c r="AL1284" s="455"/>
      <c r="AM1284" s="455"/>
      <c r="AN1284" s="455"/>
      <c r="AQ1284" s="456"/>
      <c r="AU1284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84" s="455" cm="1">
        <f t="array" ref="AW1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8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4" s="455">
        <f>IF(ISERROR(PV_DATA[[#This Row],[New Ark PO status]]),"",_xlfn.XLOOKUP(PV_DATA[[#This Row],[SPTN-PVHK New Ark PO'#]],New_Ark_Data[Purchase order Number],New_Ark_Data[Estimated time of arrival],"",0))</f>
        <v>0</v>
      </c>
      <c r="AZ1284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4" s="455">
        <f>IFERROR(PV_DATA[[#This Row],[ODP ETA Port]]+PV_DATA[[#This Row],[Customs/Leg3 Assumption]],"n/a")</f>
        <v>46383</v>
      </c>
      <c r="BB1284" s="452">
        <f>YEAR(PV_DATA[[#This Row],[ETA for New Ark update]])</f>
        <v>2026</v>
      </c>
      <c r="BC1284" s="450">
        <f>MONTH(PV_DATA[[#This Row],[ETA for New Ark update]])</f>
        <v>12</v>
      </c>
      <c r="BD1284" s="450">
        <f>IFERROR(_xlfn.ISOWEEKNUM(PV_DATA[[#This Row],[ETA for New Ark update]]),0)</f>
        <v>52</v>
      </c>
      <c r="BE1284" s="431">
        <f>_xlfn.XLOOKUP(PV_DATA[[#This Row],[New Ark SKU]],Table9[New Ark SKU],Table9[Total PCS per Pallet],,0)</f>
        <v>36</v>
      </c>
      <c r="BF1284" s="431">
        <f>_xlfn.XLOOKUP(PV_DATA[[#This Row],[New Ark SKU]],Table9[New Ark SKU],Table9[Total PCS per 40HQ Container],,0)</f>
        <v>720</v>
      </c>
      <c r="BG1284" s="431" t="str">
        <f>_xlfn.XLOOKUP(PV_DATA[[#This Row],[New Ark SKU]],Table9[New Ark SKU],Table9[Back Glass],,0)</f>
        <v>Redirection Film</v>
      </c>
      <c r="BH1284" s="731" t="str">
        <f>_xlfn.XLOOKUP(PV_DATA[[#This Row],[PORT DESTINATION]],Table12[PORT DESTINATION],Table12[Cosco Line],,0)</f>
        <v>AEM</v>
      </c>
      <c r="BJ1284" s="1288"/>
    </row>
    <row r="1285" spans="1:62" s="450" customFormat="1">
      <c r="A1285" s="1284" t="s">
        <v>7374</v>
      </c>
      <c r="B1285" s="1285" t="s">
        <v>111</v>
      </c>
      <c r="C1285" s="446" t="str">
        <f>IFERROR(LEFT(PV_DATA[[#This Row],[TCL REFERENCE]],FIND(".",PV_DATA[[#This Row],[TCL REFERENCE]],1)-1),"Main Line")</f>
        <v>26Oct004</v>
      </c>
      <c r="D1285" s="1285" t="s">
        <v>63</v>
      </c>
      <c r="E1285" s="446" t="s">
        <v>64</v>
      </c>
      <c r="F1285" s="446" t="str" cm="1">
        <f t="array" ref="F1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5" s="1285" t="s">
        <v>402</v>
      </c>
      <c r="H1285" s="446" t="s">
        <v>115</v>
      </c>
      <c r="I1285" s="1285" t="s">
        <v>1395</v>
      </c>
      <c r="J1285" s="450" t="s">
        <v>96</v>
      </c>
      <c r="M1285" s="1024" t="s">
        <v>68</v>
      </c>
      <c r="N1285" s="451">
        <v>46321</v>
      </c>
      <c r="O1285" s="1024" t="s">
        <v>4531</v>
      </c>
      <c r="P1285" s="450" t="s">
        <v>7372</v>
      </c>
      <c r="Q1285" s="450" t="s">
        <v>1682</v>
      </c>
      <c r="R1285" s="430" t="str">
        <f>_xlfn.XLOOKUP(PV_DATA[[#This Row],[New Ark SKU]],Table9[New Ark SKU],Table9[Connector],,0)</f>
        <v>H4(Com)</v>
      </c>
      <c r="S1285" s="433" t="str">
        <f>_xlfn.XLOOKUP(PV_DATA[[#This Row],[New Ark SKU]],Table9[New Ark SKU],Table9[Cable],,0)</f>
        <v>±1400mm</v>
      </c>
      <c r="T1285" s="452">
        <v>730</v>
      </c>
      <c r="U1285" s="1089">
        <f>594*2</f>
        <v>1188</v>
      </c>
      <c r="V1285" s="453">
        <f>PV_DATA[[#This Row],[QUANTITY]]*PV_DATA[[#This Row],[WATT]]/1000000</f>
        <v>0.86724000000000001</v>
      </c>
      <c r="W1285" s="454">
        <f>PV_DATA[[#This Row],[QUANTITY]]/PV_DATA[[#This Row],[Qty/Pallet]]</f>
        <v>33</v>
      </c>
      <c r="X1285" s="1286">
        <f>PV_DATA[[#This Row],[QUANTITY]]/PV_DATA[[#This Row],[Qty/CT]]</f>
        <v>1.65</v>
      </c>
      <c r="Y1285" s="450" t="s">
        <v>2475</v>
      </c>
      <c r="Z1285" s="1287" t="str">
        <f t="shared" ref="Z1285:Z1286" si="41">IF(AN1285&lt;&gt;"","COMPLETED",IF(AK1285&lt;&gt;"","IN-TRANSIT",""))</f>
        <v/>
      </c>
      <c r="AA1285" s="450" t="s">
        <v>7224</v>
      </c>
      <c r="AB1285" s="455"/>
      <c r="AC1285" s="471" t="str">
        <f>IF(PV_DATA[[#This Row],[Pick- Up Date]]&lt;&gt;"",_xlfn.ISOWEEKNUM(PV_DATA[[#This Row],[Pick- Up Date]]),"")</f>
        <v/>
      </c>
      <c r="AE1285" s="452"/>
      <c r="AF1285" s="450" t="s">
        <v>122</v>
      </c>
      <c r="AG1285" s="450" t="s">
        <v>123</v>
      </c>
      <c r="AH1285" s="1024" t="s">
        <v>124</v>
      </c>
      <c r="AI1285" s="455"/>
      <c r="AJ1285" s="455"/>
      <c r="AK1285" s="455"/>
      <c r="AL1285" s="455"/>
      <c r="AM1285" s="455"/>
      <c r="AN1285" s="455"/>
      <c r="AQ1285" s="456"/>
      <c r="AU1285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85" s="455" cm="1">
        <f t="array" ref="AW1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8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5" s="455">
        <f>IF(ISERROR(PV_DATA[[#This Row],[New Ark PO status]]),"",_xlfn.XLOOKUP(PV_DATA[[#This Row],[SPTN-PVHK New Ark PO'#]],New_Ark_Data[Purchase order Number],New_Ark_Data[Estimated time of arrival],"",0))</f>
        <v>0</v>
      </c>
      <c r="AZ128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5" s="455">
        <f>IFERROR(PV_DATA[[#This Row],[ODP ETA Port]]+PV_DATA[[#This Row],[Customs/Leg3 Assumption]],"n/a")</f>
        <v>46390</v>
      </c>
      <c r="BB1285" s="452">
        <f>YEAR(PV_DATA[[#This Row],[ETA for New Ark update]])</f>
        <v>2027</v>
      </c>
      <c r="BC1285" s="450">
        <f>MONTH(PV_DATA[[#This Row],[ETA for New Ark update]])</f>
        <v>1</v>
      </c>
      <c r="BD1285" s="450">
        <f>IFERROR(_xlfn.ISOWEEKNUM(PV_DATA[[#This Row],[ETA for New Ark update]]),0)</f>
        <v>53</v>
      </c>
      <c r="BE1285" s="431">
        <f>_xlfn.XLOOKUP(PV_DATA[[#This Row],[New Ark SKU]],Table9[New Ark SKU],Table9[Total PCS per Pallet],,0)</f>
        <v>36</v>
      </c>
      <c r="BF1285" s="431">
        <f>_xlfn.XLOOKUP(PV_DATA[[#This Row],[New Ark SKU]],Table9[New Ark SKU],Table9[Total PCS per 40HQ Container],,0)</f>
        <v>720</v>
      </c>
      <c r="BG1285" s="431" t="str">
        <f>_xlfn.XLOOKUP(PV_DATA[[#This Row],[New Ark SKU]],Table9[New Ark SKU],Table9[Back Glass],,0)</f>
        <v>Redirection Film</v>
      </c>
      <c r="BH1285" s="731" t="str">
        <f>_xlfn.XLOOKUP(PV_DATA[[#This Row],[PORT DESTINATION]],Table12[PORT DESTINATION],Table12[Cosco Line],,0)</f>
        <v>AEM</v>
      </c>
      <c r="BJ1285" s="1288"/>
    </row>
    <row r="1286" spans="1:62" s="450" customFormat="1">
      <c r="A1286" s="1284" t="s">
        <v>7375</v>
      </c>
      <c r="B1286" s="1285" t="s">
        <v>111</v>
      </c>
      <c r="C1286" s="446" t="str">
        <f>IFERROR(LEFT(PV_DATA[[#This Row],[TCL REFERENCE]],FIND(".",PV_DATA[[#This Row],[TCL REFERENCE]],1)-1),"Main Line")</f>
        <v>26Oct004</v>
      </c>
      <c r="D1286" s="1285" t="s">
        <v>63</v>
      </c>
      <c r="E1286" s="446" t="s">
        <v>64</v>
      </c>
      <c r="F1286" s="446" t="str" cm="1">
        <f t="array" ref="F1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6" s="1285" t="s">
        <v>402</v>
      </c>
      <c r="H1286" s="446" t="s">
        <v>115</v>
      </c>
      <c r="I1286" s="1285" t="s">
        <v>1395</v>
      </c>
      <c r="J1286" s="450" t="s">
        <v>96</v>
      </c>
      <c r="M1286" s="1024" t="s">
        <v>68</v>
      </c>
      <c r="N1286" s="451">
        <v>46321</v>
      </c>
      <c r="O1286" s="1024" t="s">
        <v>4531</v>
      </c>
      <c r="P1286" s="450" t="s">
        <v>7372</v>
      </c>
      <c r="Q1286" s="450" t="s">
        <v>1682</v>
      </c>
      <c r="R1286" s="430" t="str">
        <f>_xlfn.XLOOKUP(PV_DATA[[#This Row],[New Ark SKU]],Table9[New Ark SKU],Table9[Connector],,0)</f>
        <v>H4(Com)</v>
      </c>
      <c r="S1286" s="433" t="str">
        <f>_xlfn.XLOOKUP(PV_DATA[[#This Row],[New Ark SKU]],Table9[New Ark SKU],Table9[Cable],,0)</f>
        <v>±1400mm</v>
      </c>
      <c r="T1286" s="452">
        <v>730</v>
      </c>
      <c r="U1286" s="1089">
        <f>594*3</f>
        <v>1782</v>
      </c>
      <c r="V1286" s="453">
        <f>PV_DATA[[#This Row],[QUANTITY]]*PV_DATA[[#This Row],[WATT]]/1000000</f>
        <v>1.3008599999999999</v>
      </c>
      <c r="W1286" s="454">
        <f>PV_DATA[[#This Row],[QUANTITY]]/PV_DATA[[#This Row],[Qty/Pallet]]</f>
        <v>49.5</v>
      </c>
      <c r="X1286" s="1286">
        <f>PV_DATA[[#This Row],[QUANTITY]]/PV_DATA[[#This Row],[Qty/CT]]</f>
        <v>2.4750000000000001</v>
      </c>
      <c r="Y1286" s="450" t="s">
        <v>2475</v>
      </c>
      <c r="Z1286" s="1287" t="str">
        <f t="shared" si="41"/>
        <v/>
      </c>
      <c r="AA1286" s="450" t="s">
        <v>7224</v>
      </c>
      <c r="AB1286" s="455"/>
      <c r="AC1286" s="471" t="str">
        <f>IF(PV_DATA[[#This Row],[Pick- Up Date]]&lt;&gt;"",_xlfn.ISOWEEKNUM(PV_DATA[[#This Row],[Pick- Up Date]]),"")</f>
        <v/>
      </c>
      <c r="AE1286" s="452"/>
      <c r="AF1286" s="450" t="s">
        <v>122</v>
      </c>
      <c r="AG1286" s="450" t="s">
        <v>123</v>
      </c>
      <c r="AH1286" s="1024" t="s">
        <v>124</v>
      </c>
      <c r="AI1286" s="455"/>
      <c r="AJ1286" s="455"/>
      <c r="AK1286" s="455"/>
      <c r="AL1286" s="455"/>
      <c r="AM1286" s="455"/>
      <c r="AN1286" s="455"/>
      <c r="AQ1286" s="456"/>
      <c r="AU1286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86" s="455" cm="1">
        <f t="array" ref="AW1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8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6" s="455">
        <f>IF(ISERROR(PV_DATA[[#This Row],[New Ark PO status]]),"",_xlfn.XLOOKUP(PV_DATA[[#This Row],[SPTN-PVHK New Ark PO'#]],New_Ark_Data[Purchase order Number],New_Ark_Data[Estimated time of arrival],"",0))</f>
        <v>0</v>
      </c>
      <c r="AZ1286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6" s="455">
        <f>IFERROR(PV_DATA[[#This Row],[ODP ETA Port]]+PV_DATA[[#This Row],[Customs/Leg3 Assumption]],"n/a")</f>
        <v>46390</v>
      </c>
      <c r="BB1286" s="452">
        <f>YEAR(PV_DATA[[#This Row],[ETA for New Ark update]])</f>
        <v>2027</v>
      </c>
      <c r="BC1286" s="450">
        <f>MONTH(PV_DATA[[#This Row],[ETA for New Ark update]])</f>
        <v>1</v>
      </c>
      <c r="BD1286" s="450">
        <f>IFERROR(_xlfn.ISOWEEKNUM(PV_DATA[[#This Row],[ETA for New Ark update]]),0)</f>
        <v>53</v>
      </c>
      <c r="BE1286" s="431">
        <f>_xlfn.XLOOKUP(PV_DATA[[#This Row],[New Ark SKU]],Table9[New Ark SKU],Table9[Total PCS per Pallet],,0)</f>
        <v>36</v>
      </c>
      <c r="BF1286" s="431">
        <f>_xlfn.XLOOKUP(PV_DATA[[#This Row],[New Ark SKU]],Table9[New Ark SKU],Table9[Total PCS per 40HQ Container],,0)</f>
        <v>720</v>
      </c>
      <c r="BG1286" s="431" t="str">
        <f>_xlfn.XLOOKUP(PV_DATA[[#This Row],[New Ark SKU]],Table9[New Ark SKU],Table9[Back Glass],,0)</f>
        <v>Redirection Film</v>
      </c>
      <c r="BH1286" s="731" t="str">
        <f>_xlfn.XLOOKUP(PV_DATA[[#This Row],[PORT DESTINATION]],Table12[PORT DESTINATION],Table12[Cosco Line],,0)</f>
        <v>AEM</v>
      </c>
      <c r="BJ1286" s="1288"/>
    </row>
    <row r="1287" spans="1:62" s="450" customFormat="1">
      <c r="A1287" s="1284" t="s">
        <v>7376</v>
      </c>
      <c r="B1287" s="1285" t="s">
        <v>111</v>
      </c>
      <c r="C1287" s="446" t="str">
        <f>IFERROR(LEFT(PV_DATA[[#This Row],[TCL REFERENCE]],FIND(".",PV_DATA[[#This Row],[TCL REFERENCE]],1)-1),"Main Line")</f>
        <v>26Oct004</v>
      </c>
      <c r="D1287" s="1285" t="s">
        <v>63</v>
      </c>
      <c r="E1287" s="446" t="s">
        <v>64</v>
      </c>
      <c r="F1287" s="446" t="str" cm="1">
        <f t="array" ref="F1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7" s="1285" t="s">
        <v>402</v>
      </c>
      <c r="H1287" s="446" t="s">
        <v>115</v>
      </c>
      <c r="I1287" s="1285" t="s">
        <v>689</v>
      </c>
      <c r="J1287" s="450" t="s">
        <v>96</v>
      </c>
      <c r="M1287" s="1024" t="s">
        <v>68</v>
      </c>
      <c r="N1287" s="451">
        <v>46321</v>
      </c>
      <c r="O1287" s="1024" t="s">
        <v>4531</v>
      </c>
      <c r="P1287" s="450" t="s">
        <v>7372</v>
      </c>
      <c r="Q1287" s="450" t="s">
        <v>1682</v>
      </c>
      <c r="R1287" s="430" t="str">
        <f>_xlfn.XLOOKUP(PV_DATA[[#This Row],[New Ark SKU]],Table9[New Ark SKU],Table9[Connector],,0)</f>
        <v>H4(Com)</v>
      </c>
      <c r="S1287" s="433" t="str">
        <f>_xlfn.XLOOKUP(PV_DATA[[#This Row],[New Ark SKU]],Table9[New Ark SKU],Table9[Cable],,0)</f>
        <v>±1400mm</v>
      </c>
      <c r="T1287" s="452">
        <v>730</v>
      </c>
      <c r="U1287" s="1089">
        <f>594*3</f>
        <v>1782</v>
      </c>
      <c r="V1287" s="453">
        <f>PV_DATA[[#This Row],[QUANTITY]]*PV_DATA[[#This Row],[WATT]]/1000000</f>
        <v>1.3008599999999999</v>
      </c>
      <c r="W1287" s="454">
        <f>PV_DATA[[#This Row],[QUANTITY]]/PV_DATA[[#This Row],[Qty/Pallet]]</f>
        <v>49.5</v>
      </c>
      <c r="X1287" s="1286">
        <f>PV_DATA[[#This Row],[QUANTITY]]/PV_DATA[[#This Row],[Qty/CT]]</f>
        <v>2.4750000000000001</v>
      </c>
      <c r="Y1287" s="450" t="s">
        <v>7334</v>
      </c>
      <c r="Z1287" s="1287" t="str">
        <f t="shared" ref="Z1287:Z1289" si="42">IF(AN1287&lt;&gt;"","COMPLETED",IF(AK1287&lt;&gt;"","IN-TRANSIT",""))</f>
        <v/>
      </c>
      <c r="AA1287" s="450" t="s">
        <v>7224</v>
      </c>
      <c r="AB1287" s="455"/>
      <c r="AC1287" s="471" t="str">
        <f>IF(PV_DATA[[#This Row],[Pick- Up Date]]&lt;&gt;"",_xlfn.ISOWEEKNUM(PV_DATA[[#This Row],[Pick- Up Date]]),"")</f>
        <v/>
      </c>
      <c r="AE1287" s="452"/>
      <c r="AF1287" s="450" t="s">
        <v>122</v>
      </c>
      <c r="AG1287" s="450" t="s">
        <v>123</v>
      </c>
      <c r="AH1287" s="1024" t="s">
        <v>124</v>
      </c>
      <c r="AI1287" s="455"/>
      <c r="AJ1287" s="455"/>
      <c r="AK1287" s="455"/>
      <c r="AL1287" s="455"/>
      <c r="AM1287" s="455"/>
      <c r="AN1287" s="455"/>
      <c r="AQ1287" s="456"/>
      <c r="AU1287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87" s="455" cm="1">
        <f t="array" ref="AW1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8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7" s="455">
        <f>IF(ISERROR(PV_DATA[[#This Row],[New Ark PO status]]),"",_xlfn.XLOOKUP(PV_DATA[[#This Row],[SPTN-PVHK New Ark PO'#]],New_Ark_Data[Purchase order Number],New_Ark_Data[Estimated time of arrival],"",0))</f>
        <v>0</v>
      </c>
      <c r="AZ1287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7" s="455">
        <f>IFERROR(PV_DATA[[#This Row],[ODP ETA Port]]+PV_DATA[[#This Row],[Customs/Leg3 Assumption]],"n/a")</f>
        <v>46397</v>
      </c>
      <c r="BB1287" s="452">
        <f>YEAR(PV_DATA[[#This Row],[ETA for New Ark update]])</f>
        <v>2027</v>
      </c>
      <c r="BC1287" s="450">
        <f>MONTH(PV_DATA[[#This Row],[ETA for New Ark update]])</f>
        <v>1</v>
      </c>
      <c r="BD1287" s="450">
        <f>IFERROR(_xlfn.ISOWEEKNUM(PV_DATA[[#This Row],[ETA for New Ark update]]),0)</f>
        <v>1</v>
      </c>
      <c r="BE1287" s="431">
        <f>_xlfn.XLOOKUP(PV_DATA[[#This Row],[New Ark SKU]],Table9[New Ark SKU],Table9[Total PCS per Pallet],,0)</f>
        <v>36</v>
      </c>
      <c r="BF1287" s="431">
        <f>_xlfn.XLOOKUP(PV_DATA[[#This Row],[New Ark SKU]],Table9[New Ark SKU],Table9[Total PCS per 40HQ Container],,0)</f>
        <v>720</v>
      </c>
      <c r="BG1287" s="431" t="str">
        <f>_xlfn.XLOOKUP(PV_DATA[[#This Row],[New Ark SKU]],Table9[New Ark SKU],Table9[Back Glass],,0)</f>
        <v>Redirection Film</v>
      </c>
      <c r="BH1287" s="731" t="str">
        <f>_xlfn.XLOOKUP(PV_DATA[[#This Row],[PORT DESTINATION]],Table12[PORT DESTINATION],Table12[Cosco Line],,0)</f>
        <v>AEM</v>
      </c>
      <c r="BJ1287" s="1288"/>
    </row>
    <row r="1288" spans="1:62" s="450" customFormat="1">
      <c r="A1288" s="1284" t="s">
        <v>7377</v>
      </c>
      <c r="B1288" s="1285" t="s">
        <v>111</v>
      </c>
      <c r="C1288" s="446" t="str">
        <f>IFERROR(LEFT(PV_DATA[[#This Row],[TCL REFERENCE]],FIND(".",PV_DATA[[#This Row],[TCL REFERENCE]],1)-1),"Main Line")</f>
        <v>26Oct004</v>
      </c>
      <c r="D1288" s="1285" t="s">
        <v>63</v>
      </c>
      <c r="E1288" s="446" t="s">
        <v>64</v>
      </c>
      <c r="F1288" s="446" t="str" cm="1">
        <f t="array" ref="F1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8" s="1285" t="s">
        <v>402</v>
      </c>
      <c r="H1288" s="446" t="s">
        <v>115</v>
      </c>
      <c r="I1288" s="1285" t="s">
        <v>689</v>
      </c>
      <c r="J1288" s="450" t="s">
        <v>96</v>
      </c>
      <c r="M1288" s="1024" t="s">
        <v>68</v>
      </c>
      <c r="N1288" s="451">
        <v>46321</v>
      </c>
      <c r="O1288" s="1024" t="s">
        <v>4531</v>
      </c>
      <c r="P1288" s="450" t="s">
        <v>7372</v>
      </c>
      <c r="Q1288" s="450" t="s">
        <v>1682</v>
      </c>
      <c r="R1288" s="430" t="str">
        <f>_xlfn.XLOOKUP(PV_DATA[[#This Row],[New Ark SKU]],Table9[New Ark SKU],Table9[Connector],,0)</f>
        <v>H4(Com)</v>
      </c>
      <c r="S1288" s="433" t="str">
        <f>_xlfn.XLOOKUP(PV_DATA[[#This Row],[New Ark SKU]],Table9[New Ark SKU],Table9[Cable],,0)</f>
        <v>±1400mm</v>
      </c>
      <c r="T1288" s="452">
        <v>730</v>
      </c>
      <c r="U1288" s="1089">
        <f>594*5</f>
        <v>2970</v>
      </c>
      <c r="V1288" s="453">
        <f>PV_DATA[[#This Row],[QUANTITY]]*PV_DATA[[#This Row],[WATT]]/1000000</f>
        <v>2.1680999999999999</v>
      </c>
      <c r="W1288" s="454">
        <f>PV_DATA[[#This Row],[QUANTITY]]/PV_DATA[[#This Row],[Qty/Pallet]]</f>
        <v>82.5</v>
      </c>
      <c r="X1288" s="1286">
        <f>PV_DATA[[#This Row],[QUANTITY]]/PV_DATA[[#This Row],[Qty/CT]]</f>
        <v>4.125</v>
      </c>
      <c r="Y1288" s="450" t="s">
        <v>7334</v>
      </c>
      <c r="Z1288" s="1287" t="str">
        <f t="shared" si="42"/>
        <v/>
      </c>
      <c r="AA1288" s="450" t="s">
        <v>7366</v>
      </c>
      <c r="AB1288" s="455"/>
      <c r="AC1288" s="471" t="str">
        <f>IF(PV_DATA[[#This Row],[Pick- Up Date]]&lt;&gt;"",_xlfn.ISOWEEKNUM(PV_DATA[[#This Row],[Pick- Up Date]]),"")</f>
        <v/>
      </c>
      <c r="AE1288" s="452"/>
      <c r="AF1288" s="450" t="s">
        <v>122</v>
      </c>
      <c r="AG1288" s="450" t="s">
        <v>123</v>
      </c>
      <c r="AH1288" s="1024" t="s">
        <v>124</v>
      </c>
      <c r="AI1288" s="455"/>
      <c r="AJ1288" s="455"/>
      <c r="AK1288" s="455"/>
      <c r="AL1288" s="455"/>
      <c r="AM1288" s="455"/>
      <c r="AN1288" s="455"/>
      <c r="AQ1288" s="456"/>
      <c r="AU1288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88" s="455" cm="1">
        <f t="array" ref="AW1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8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8" s="455">
        <f>IF(ISERROR(PV_DATA[[#This Row],[New Ark PO status]]),"",_xlfn.XLOOKUP(PV_DATA[[#This Row],[SPTN-PVHK New Ark PO'#]],New_Ark_Data[Purchase order Number],New_Ark_Data[Estimated time of arrival],"",0))</f>
        <v>0</v>
      </c>
      <c r="AZ1288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8" s="455">
        <f>IFERROR(PV_DATA[[#This Row],[ODP ETA Port]]+PV_DATA[[#This Row],[Customs/Leg3 Assumption]],"n/a")</f>
        <v>46397</v>
      </c>
      <c r="BB1288" s="452">
        <f>YEAR(PV_DATA[[#This Row],[ETA for New Ark update]])</f>
        <v>2027</v>
      </c>
      <c r="BC1288" s="450">
        <f>MONTH(PV_DATA[[#This Row],[ETA for New Ark update]])</f>
        <v>1</v>
      </c>
      <c r="BD1288" s="450">
        <f>IFERROR(_xlfn.ISOWEEKNUM(PV_DATA[[#This Row],[ETA for New Ark update]]),0)</f>
        <v>1</v>
      </c>
      <c r="BE1288" s="431">
        <f>_xlfn.XLOOKUP(PV_DATA[[#This Row],[New Ark SKU]],Table9[New Ark SKU],Table9[Total PCS per Pallet],,0)</f>
        <v>36</v>
      </c>
      <c r="BF1288" s="431">
        <f>_xlfn.XLOOKUP(PV_DATA[[#This Row],[New Ark SKU]],Table9[New Ark SKU],Table9[Total PCS per 40HQ Container],,0)</f>
        <v>720</v>
      </c>
      <c r="BG1288" s="431" t="str">
        <f>_xlfn.XLOOKUP(PV_DATA[[#This Row],[New Ark SKU]],Table9[New Ark SKU],Table9[Back Glass],,0)</f>
        <v>Redirection Film</v>
      </c>
      <c r="BH1288" s="731" t="str">
        <f>_xlfn.XLOOKUP(PV_DATA[[#This Row],[PORT DESTINATION]],Table12[PORT DESTINATION],Table12[Cosco Line],,0)</f>
        <v>AEM</v>
      </c>
      <c r="BJ1288" s="1288"/>
    </row>
    <row r="1289" spans="1:62" s="450" customFormat="1">
      <c r="A1289" s="1284" t="s">
        <v>7378</v>
      </c>
      <c r="B1289" s="1285" t="s">
        <v>111</v>
      </c>
      <c r="C1289" s="446" t="str">
        <f>IFERROR(LEFT(PV_DATA[[#This Row],[TCL REFERENCE]],FIND(".",PV_DATA[[#This Row],[TCL REFERENCE]],1)-1),"Main Line")</f>
        <v>26Oct004</v>
      </c>
      <c r="D1289" s="1285" t="s">
        <v>63</v>
      </c>
      <c r="E1289" s="446" t="s">
        <v>64</v>
      </c>
      <c r="F1289" s="446" t="str" cm="1">
        <f t="array" ref="F12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89" s="1285" t="s">
        <v>402</v>
      </c>
      <c r="H1289" s="446" t="s">
        <v>115</v>
      </c>
      <c r="I1289" s="1285" t="s">
        <v>689</v>
      </c>
      <c r="J1289" s="450" t="s">
        <v>96</v>
      </c>
      <c r="M1289" s="1024" t="s">
        <v>68</v>
      </c>
      <c r="N1289" s="451">
        <v>46321</v>
      </c>
      <c r="O1289" s="1024" t="s">
        <v>4531</v>
      </c>
      <c r="P1289" s="450" t="s">
        <v>7372</v>
      </c>
      <c r="Q1289" s="450" t="s">
        <v>1682</v>
      </c>
      <c r="R1289" s="430" t="str">
        <f>_xlfn.XLOOKUP(PV_DATA[[#This Row],[New Ark SKU]],Table9[New Ark SKU],Table9[Connector],,0)</f>
        <v>H4(Com)</v>
      </c>
      <c r="S1289" s="433" t="str">
        <f>_xlfn.XLOOKUP(PV_DATA[[#This Row],[New Ark SKU]],Table9[New Ark SKU],Table9[Cable],,0)</f>
        <v>±1400mm</v>
      </c>
      <c r="T1289" s="452">
        <v>730</v>
      </c>
      <c r="U1289" s="1089">
        <f>594*5</f>
        <v>2970</v>
      </c>
      <c r="V1289" s="453">
        <f>PV_DATA[[#This Row],[QUANTITY]]*PV_DATA[[#This Row],[WATT]]/1000000</f>
        <v>2.1680999999999999</v>
      </c>
      <c r="W1289" s="454">
        <f>PV_DATA[[#This Row],[QUANTITY]]/PV_DATA[[#This Row],[Qty/Pallet]]</f>
        <v>82.5</v>
      </c>
      <c r="X1289" s="1286">
        <f>PV_DATA[[#This Row],[QUANTITY]]/PV_DATA[[#This Row],[Qty/CT]]</f>
        <v>4.125</v>
      </c>
      <c r="Y1289" s="450" t="s">
        <v>7379</v>
      </c>
      <c r="Z1289" s="1287" t="str">
        <f t="shared" si="42"/>
        <v/>
      </c>
      <c r="AA1289" s="450" t="s">
        <v>7366</v>
      </c>
      <c r="AB1289" s="455"/>
      <c r="AC1289" s="471" t="str">
        <f>IF(PV_DATA[[#This Row],[Pick- Up Date]]&lt;&gt;"",_xlfn.ISOWEEKNUM(PV_DATA[[#This Row],[Pick- Up Date]]),"")</f>
        <v/>
      </c>
      <c r="AE1289" s="452"/>
      <c r="AF1289" s="450" t="s">
        <v>122</v>
      </c>
      <c r="AG1289" s="450" t="s">
        <v>123</v>
      </c>
      <c r="AH1289" s="1024" t="s">
        <v>124</v>
      </c>
      <c r="AI1289" s="455"/>
      <c r="AJ1289" s="455"/>
      <c r="AK1289" s="455"/>
      <c r="AL1289" s="455"/>
      <c r="AM1289" s="455"/>
      <c r="AN1289" s="455"/>
      <c r="AQ1289" s="456"/>
      <c r="AU1289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89" s="455" cm="1">
        <f t="array" ref="AW1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28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89" s="455">
        <f>IF(ISERROR(PV_DATA[[#This Row],[New Ark PO status]]),"",_xlfn.XLOOKUP(PV_DATA[[#This Row],[SPTN-PVHK New Ark PO'#]],New_Ark_Data[Purchase order Number],New_Ark_Data[Estimated time of arrival],"",0))</f>
        <v>0</v>
      </c>
      <c r="AZ1289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89" s="455">
        <f>IFERROR(PV_DATA[[#This Row],[ODP ETA Port]]+PV_DATA[[#This Row],[Customs/Leg3 Assumption]],"n/a")</f>
        <v>46418</v>
      </c>
      <c r="BB1289" s="452">
        <f>YEAR(PV_DATA[[#This Row],[ETA for New Ark update]])</f>
        <v>2027</v>
      </c>
      <c r="BC1289" s="450">
        <f>MONTH(PV_DATA[[#This Row],[ETA for New Ark update]])</f>
        <v>1</v>
      </c>
      <c r="BD1289" s="450">
        <f>IFERROR(_xlfn.ISOWEEKNUM(PV_DATA[[#This Row],[ETA for New Ark update]]),0)</f>
        <v>4</v>
      </c>
      <c r="BE1289" s="431">
        <f>_xlfn.XLOOKUP(PV_DATA[[#This Row],[New Ark SKU]],Table9[New Ark SKU],Table9[Total PCS per Pallet],,0)</f>
        <v>36</v>
      </c>
      <c r="BF1289" s="431">
        <f>_xlfn.XLOOKUP(PV_DATA[[#This Row],[New Ark SKU]],Table9[New Ark SKU],Table9[Total PCS per 40HQ Container],,0)</f>
        <v>720</v>
      </c>
      <c r="BG1289" s="431" t="str">
        <f>_xlfn.XLOOKUP(PV_DATA[[#This Row],[New Ark SKU]],Table9[New Ark SKU],Table9[Back Glass],,0)</f>
        <v>Redirection Film</v>
      </c>
      <c r="BH1289" s="731" t="str">
        <f>_xlfn.XLOOKUP(PV_DATA[[#This Row],[PORT DESTINATION]],Table12[PORT DESTINATION],Table12[Cosco Line],,0)</f>
        <v>AEM</v>
      </c>
      <c r="BJ1289" s="1288"/>
    </row>
    <row r="1290" spans="1:62" s="450" customFormat="1">
      <c r="A1290" s="1284" t="s">
        <v>7380</v>
      </c>
      <c r="B1290" s="1285" t="s">
        <v>111</v>
      </c>
      <c r="C1290" s="446" t="str">
        <f>IFERROR(LEFT(PV_DATA[[#This Row],[TCL REFERENCE]],FIND(".",PV_DATA[[#This Row],[TCL REFERENCE]],1)-1),"Main Line")</f>
        <v>26Oct004</v>
      </c>
      <c r="D1290" s="1285" t="s">
        <v>63</v>
      </c>
      <c r="E1290" s="446" t="s">
        <v>64</v>
      </c>
      <c r="F1290" s="446" t="str" cm="1">
        <f t="array" ref="F12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90" s="1285" t="s">
        <v>402</v>
      </c>
      <c r="H1290" s="446" t="s">
        <v>115</v>
      </c>
      <c r="I1290" s="1285" t="s">
        <v>689</v>
      </c>
      <c r="J1290" s="450" t="s">
        <v>96</v>
      </c>
      <c r="M1290" s="1024" t="s">
        <v>68</v>
      </c>
      <c r="N1290" s="451">
        <v>46321</v>
      </c>
      <c r="O1290" s="1024" t="s">
        <v>4531</v>
      </c>
      <c r="P1290" s="450" t="s">
        <v>7372</v>
      </c>
      <c r="Q1290" s="450" t="s">
        <v>1682</v>
      </c>
      <c r="R1290" s="430" t="str">
        <f>_xlfn.XLOOKUP(PV_DATA[[#This Row],[New Ark SKU]],Table9[New Ark SKU],Table9[Connector],,0)</f>
        <v>H4(Com)</v>
      </c>
      <c r="S1290" s="433" t="str">
        <f>_xlfn.XLOOKUP(PV_DATA[[#This Row],[New Ark SKU]],Table9[New Ark SKU],Table9[Cable],,0)</f>
        <v>±1400mm</v>
      </c>
      <c r="T1290" s="452">
        <v>730</v>
      </c>
      <c r="U1290" s="1089">
        <f>594*5</f>
        <v>2970</v>
      </c>
      <c r="V1290" s="453">
        <f>PV_DATA[[#This Row],[QUANTITY]]*PV_DATA[[#This Row],[WATT]]/1000000</f>
        <v>2.1680999999999999</v>
      </c>
      <c r="W1290" s="454">
        <f>PV_DATA[[#This Row],[QUANTITY]]/PV_DATA[[#This Row],[Qty/Pallet]]</f>
        <v>82.5</v>
      </c>
      <c r="X1290" s="1286">
        <f>PV_DATA[[#This Row],[QUANTITY]]/PV_DATA[[#This Row],[Qty/CT]]</f>
        <v>4.125</v>
      </c>
      <c r="Y1290" s="450" t="s">
        <v>7381</v>
      </c>
      <c r="Z1290" s="1287" t="str">
        <f t="shared" ref="Z1290" si="43">IF(AN1290&lt;&gt;"","COMPLETED",IF(AK1290&lt;&gt;"","IN-TRANSIT",""))</f>
        <v/>
      </c>
      <c r="AA1290" s="450" t="s">
        <v>7366</v>
      </c>
      <c r="AB1290" s="455"/>
      <c r="AC1290" s="471" t="str">
        <f>IF(PV_DATA[[#This Row],[Pick- Up Date]]&lt;&gt;"",_xlfn.ISOWEEKNUM(PV_DATA[[#This Row],[Pick- Up Date]]),"")</f>
        <v/>
      </c>
      <c r="AE1290" s="452"/>
      <c r="AF1290" s="450" t="s">
        <v>122</v>
      </c>
      <c r="AG1290" s="450" t="s">
        <v>123</v>
      </c>
      <c r="AH1290" s="1024" t="s">
        <v>124</v>
      </c>
      <c r="AI1290" s="455"/>
      <c r="AJ1290" s="455"/>
      <c r="AK1290" s="455"/>
      <c r="AL1290" s="455"/>
      <c r="AM1290" s="455"/>
      <c r="AN1290" s="455"/>
      <c r="AQ1290" s="456"/>
      <c r="AU1290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90" s="455" cm="1">
        <f t="array" ref="AW1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46430</v>
      </c>
      <c r="AX129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0" s="455">
        <f>IF(ISERROR(PV_DATA[[#This Row],[New Ark PO status]]),"",_xlfn.XLOOKUP(PV_DATA[[#This Row],[SPTN-PVHK New Ark PO'#]],New_Ark_Data[Purchase order Number],New_Ark_Data[Estimated time of arrival],"",0))</f>
        <v>0</v>
      </c>
      <c r="AZ1290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90" s="455">
        <f>IFERROR(PV_DATA[[#This Row],[ODP ETA Port]]+PV_DATA[[#This Row],[Customs/Leg3 Assumption]],"n/a")</f>
        <v>46439</v>
      </c>
      <c r="BB1290" s="452">
        <f>YEAR(PV_DATA[[#This Row],[ETA for New Ark update]])</f>
        <v>2027</v>
      </c>
      <c r="BC1290" s="450">
        <f>MONTH(PV_DATA[[#This Row],[ETA for New Ark update]])</f>
        <v>2</v>
      </c>
      <c r="BD1290" s="450">
        <f>IFERROR(_xlfn.ISOWEEKNUM(PV_DATA[[#This Row],[ETA for New Ark update]]),0)</f>
        <v>7</v>
      </c>
      <c r="BE1290" s="431">
        <f>_xlfn.XLOOKUP(PV_DATA[[#This Row],[New Ark SKU]],Table9[New Ark SKU],Table9[Total PCS per Pallet],,0)</f>
        <v>36</v>
      </c>
      <c r="BF1290" s="431">
        <f>_xlfn.XLOOKUP(PV_DATA[[#This Row],[New Ark SKU]],Table9[New Ark SKU],Table9[Total PCS per 40HQ Container],,0)</f>
        <v>720</v>
      </c>
      <c r="BG1290" s="431" t="str">
        <f>_xlfn.XLOOKUP(PV_DATA[[#This Row],[New Ark SKU]],Table9[New Ark SKU],Table9[Back Glass],,0)</f>
        <v>Redirection Film</v>
      </c>
      <c r="BH1290" s="731" t="str">
        <f>_xlfn.XLOOKUP(PV_DATA[[#This Row],[PORT DESTINATION]],Table12[PORT DESTINATION],Table12[Cosco Line],,0)</f>
        <v>AEM</v>
      </c>
      <c r="BJ1290" s="1288"/>
    </row>
    <row r="1291" spans="1:62">
      <c r="A1291" s="1276" t="s">
        <v>7382</v>
      </c>
      <c r="B1291" s="726" t="s">
        <v>61</v>
      </c>
      <c r="C1291" s="439" t="str">
        <f>IFERROR(LEFT(PV_DATA[[#This Row],[TCL REFERENCE]],FIND(".",PV_DATA[[#This Row],[TCL REFERENCE]],1)-1),"Main Line")</f>
        <v>Main Line</v>
      </c>
      <c r="D1291" s="726" t="s">
        <v>63</v>
      </c>
      <c r="E1291" s="439" t="s">
        <v>68</v>
      </c>
      <c r="F1291" s="439" t="str" cm="1">
        <f t="array" ref="F12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91" s="726" t="s">
        <v>68</v>
      </c>
      <c r="H1291" s="726" t="s">
        <v>68</v>
      </c>
      <c r="I1291" s="431" t="s">
        <v>68</v>
      </c>
      <c r="J1291" s="619" t="s">
        <v>68</v>
      </c>
      <c r="K1291" s="619"/>
      <c r="L1291" s="619"/>
      <c r="M1291" s="619" t="s">
        <v>68</v>
      </c>
      <c r="N1291" s="461">
        <v>46317</v>
      </c>
      <c r="O1291" s="619" t="s">
        <v>4531</v>
      </c>
      <c r="P1291" s="430" t="s">
        <v>71</v>
      </c>
      <c r="Q1291" s="431" t="s">
        <v>72</v>
      </c>
      <c r="R1291" s="430" t="str">
        <f>_xlfn.XLOOKUP(PV_DATA[[#This Row],[New Ark SKU]],Table9[New Ark SKU],Table9[Connector],,0)</f>
        <v>EVO2A</v>
      </c>
      <c r="S1291" s="433" t="str">
        <f>_xlfn.XLOOKUP(PV_DATA[[#This Row],[New Ark SKU]],Table9[New Ark SKU],Table9[Cable],,0)</f>
        <v>±1200mm</v>
      </c>
      <c r="T1291" s="442">
        <v>500</v>
      </c>
      <c r="U1291" s="1093" cm="1">
        <f t="array" ref="U1291">23328-fx_qty</f>
        <v>23328</v>
      </c>
      <c r="V1291" s="448">
        <f>PV_DATA[[#This Row],[QUANTITY]]*PV_DATA[[#This Row],[WATT]]/1000000</f>
        <v>11.664</v>
      </c>
      <c r="W1291" s="466">
        <f>PV_DATA[[#This Row],[QUANTITY]]/PV_DATA[[#This Row],[Qty/Pallet]]</f>
        <v>648</v>
      </c>
      <c r="X1291" s="1047">
        <f>PV_DATA[[#This Row],[QUANTITY]]/PV_DATA[[#This Row],[Qty/CT]]</f>
        <v>27</v>
      </c>
      <c r="Y1291" s="431" t="s">
        <v>7027</v>
      </c>
      <c r="Z1291" s="1277" t="str">
        <f t="shared" si="34"/>
        <v/>
      </c>
      <c r="AA1291" s="431"/>
      <c r="AB1291" s="441"/>
      <c r="AC1291" s="467" t="str">
        <f>IF(PV_DATA[[#This Row],[Pick- Up Date]]&lt;&gt;"",_xlfn.ISOWEEKNUM(PV_DATA[[#This Row],[Pick- Up Date]]),"")</f>
        <v/>
      </c>
      <c r="AD1291" s="431"/>
      <c r="AE1291" s="442"/>
      <c r="AF1291" s="619" t="s">
        <v>61</v>
      </c>
      <c r="AG1291" s="619" t="s">
        <v>61</v>
      </c>
      <c r="AH1291" s="466"/>
      <c r="AI1291" s="441"/>
      <c r="AJ1291" s="441"/>
      <c r="AK1291" s="441"/>
      <c r="AL1291" s="441"/>
      <c r="AM1291" s="441"/>
      <c r="AO1291" s="431"/>
      <c r="AP1291" s="431"/>
      <c r="AQ1291" s="445"/>
      <c r="AR1291" s="431"/>
      <c r="AS1291" s="431"/>
      <c r="AT1291" s="431"/>
      <c r="AU1291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91" s="431"/>
      <c r="AW1291" s="441" t="str" cm="1">
        <f t="array" ref="AW1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9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1" s="441">
        <f>IF(ISERROR(PV_DATA[[#This Row],[New Ark PO status]]),"",_xlfn.XLOOKUP(PV_DATA[[#This Row],[SPTN-PVHK New Ark PO'#]],New_Ark_Data[Purchase order Number],New_Ark_Data[Estimated time of arrival],"",0))</f>
        <v>0</v>
      </c>
      <c r="AZ129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91" s="441" t="str">
        <f>IFERROR(PV_DATA[[#This Row],[ODP ETA Port]]+PV_DATA[[#This Row],[Customs/Leg3 Assumption]],"n/a")</f>
        <v>n/a</v>
      </c>
      <c r="BB1291" s="442" t="e">
        <f>YEAR(PV_DATA[[#This Row],[ETA for New Ark update]])</f>
        <v>#VALUE!</v>
      </c>
      <c r="BC1291" s="431" t="e">
        <f>MONTH(PV_DATA[[#This Row],[ETA for New Ark update]])</f>
        <v>#VALUE!</v>
      </c>
      <c r="BD1291" s="431">
        <f>IFERROR(_xlfn.ISOWEEKNUM(PV_DATA[[#This Row],[ETA for New Ark update]]),0)</f>
        <v>0</v>
      </c>
      <c r="BE1291" s="431">
        <f>_xlfn.XLOOKUP(PV_DATA[[#This Row],[New Ark SKU]],Table9[New Ark SKU],Table9[Total PCS per Pallet],,0)</f>
        <v>36</v>
      </c>
      <c r="BF1291" s="431">
        <f>_xlfn.XLOOKUP(PV_DATA[[#This Row],[New Ark SKU]],Table9[New Ark SKU],Table9[Total PCS per 40HQ Container],,0)</f>
        <v>864</v>
      </c>
      <c r="BG1291" s="431" t="str">
        <f>_xlfn.XLOOKUP(PV_DATA[[#This Row],[New Ark SKU]],Table9[New Ark SKU],Table9[Back Glass],,0)</f>
        <v>Black glazing</v>
      </c>
      <c r="BH1291" s="622">
        <f>_xlfn.XLOOKUP(PV_DATA[[#This Row],[PORT DESTINATION]],Table12[PORT DESTINATION],Table12[Cosco Line],,0)</f>
        <v>0</v>
      </c>
    </row>
    <row r="1292" spans="1:62">
      <c r="A1292" s="1276" t="s">
        <v>7383</v>
      </c>
      <c r="B1292" s="726" t="s">
        <v>61</v>
      </c>
      <c r="C1292" s="439" t="str">
        <f>IFERROR(LEFT(PV_DATA[[#This Row],[TCL REFERENCE]],FIND(".",PV_DATA[[#This Row],[TCL REFERENCE]],1)-1),"Main Line")</f>
        <v>Main Line</v>
      </c>
      <c r="D1292" s="726" t="s">
        <v>63</v>
      </c>
      <c r="E1292" s="439" t="s">
        <v>68</v>
      </c>
      <c r="F1292" s="439" t="str" cm="1">
        <f t="array" ref="F12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92" s="726" t="s">
        <v>68</v>
      </c>
      <c r="H1292" s="726" t="s">
        <v>68</v>
      </c>
      <c r="I1292" s="431" t="s">
        <v>68</v>
      </c>
      <c r="J1292" s="619" t="s">
        <v>68</v>
      </c>
      <c r="K1292" s="619"/>
      <c r="L1292" s="619"/>
      <c r="M1292" s="619" t="s">
        <v>68</v>
      </c>
      <c r="N1292" s="461">
        <v>46317</v>
      </c>
      <c r="O1292" s="619" t="s">
        <v>4531</v>
      </c>
      <c r="P1292" s="430" t="s">
        <v>1151</v>
      </c>
      <c r="Q1292" s="431" t="s">
        <v>421</v>
      </c>
      <c r="R1292" s="430" t="str">
        <f>_xlfn.XLOOKUP(PV_DATA[[#This Row],[New Ark SKU]],Table9[New Ark SKU],Table9[Connector],,0)</f>
        <v>EVO2A</v>
      </c>
      <c r="S1292" s="433" t="str">
        <f>_xlfn.XLOOKUP(PV_DATA[[#This Row],[New Ark SKU]],Table9[New Ark SKU],Table9[Cable],,0)</f>
        <v>±1200mm</v>
      </c>
      <c r="T1292" s="442">
        <v>505</v>
      </c>
      <c r="U1292" s="1093" cm="1">
        <f t="array" ref="U1292">16416-fx_qty</f>
        <v>16416</v>
      </c>
      <c r="V1292" s="448">
        <f>PV_DATA[[#This Row],[QUANTITY]]*PV_DATA[[#This Row],[WATT]]/1000000</f>
        <v>8.2900799999999997</v>
      </c>
      <c r="W1292" s="466">
        <f>PV_DATA[[#This Row],[QUANTITY]]/PV_DATA[[#This Row],[Qty/Pallet]]</f>
        <v>456</v>
      </c>
      <c r="X1292" s="1047">
        <f>PV_DATA[[#This Row],[QUANTITY]]/PV_DATA[[#This Row],[Qty/CT]]</f>
        <v>19</v>
      </c>
      <c r="Y1292" s="431" t="s">
        <v>7027</v>
      </c>
      <c r="Z1292" s="1277" t="str">
        <f t="shared" si="34"/>
        <v/>
      </c>
      <c r="AA1292" s="431"/>
      <c r="AB1292" s="441"/>
      <c r="AC1292" s="467" t="str">
        <f>IF(PV_DATA[[#This Row],[Pick- Up Date]]&lt;&gt;"",_xlfn.ISOWEEKNUM(PV_DATA[[#This Row],[Pick- Up Date]]),"")</f>
        <v/>
      </c>
      <c r="AD1292" s="431"/>
      <c r="AE1292" s="442"/>
      <c r="AF1292" s="619" t="s">
        <v>61</v>
      </c>
      <c r="AG1292" s="619" t="s">
        <v>61</v>
      </c>
      <c r="AH1292" s="466"/>
      <c r="AI1292" s="441"/>
      <c r="AJ1292" s="441"/>
      <c r="AK1292" s="441"/>
      <c r="AL1292" s="441"/>
      <c r="AM1292" s="441"/>
      <c r="AO1292" s="431"/>
      <c r="AP1292" s="431"/>
      <c r="AQ1292" s="445"/>
      <c r="AR1292" s="431"/>
      <c r="AS1292" s="431"/>
      <c r="AT1292" s="431"/>
      <c r="AU1292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92" s="431"/>
      <c r="AW1292" s="441" t="str" cm="1">
        <f t="array" ref="AW1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9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2" s="441">
        <f>IF(ISERROR(PV_DATA[[#This Row],[New Ark PO status]]),"",_xlfn.XLOOKUP(PV_DATA[[#This Row],[SPTN-PVHK New Ark PO'#]],New_Ark_Data[Purchase order Number],New_Ark_Data[Estimated time of arrival],"",0))</f>
        <v>0</v>
      </c>
      <c r="AZ129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92" s="441" t="str">
        <f>IFERROR(PV_DATA[[#This Row],[ODP ETA Port]]+PV_DATA[[#This Row],[Customs/Leg3 Assumption]],"n/a")</f>
        <v>n/a</v>
      </c>
      <c r="BB1292" s="442" t="e">
        <f>YEAR(PV_DATA[[#This Row],[ETA for New Ark update]])</f>
        <v>#VALUE!</v>
      </c>
      <c r="BC1292" s="431" t="e">
        <f>MONTH(PV_DATA[[#This Row],[ETA for New Ark update]])</f>
        <v>#VALUE!</v>
      </c>
      <c r="BD1292" s="431">
        <f>IFERROR(_xlfn.ISOWEEKNUM(PV_DATA[[#This Row],[ETA for New Ark update]]),0)</f>
        <v>0</v>
      </c>
      <c r="BE1292" s="431">
        <f>_xlfn.XLOOKUP(PV_DATA[[#This Row],[New Ark SKU]],Table9[New Ark SKU],Table9[Total PCS per Pallet],,0)</f>
        <v>36</v>
      </c>
      <c r="BF1292" s="431">
        <f>_xlfn.XLOOKUP(PV_DATA[[#This Row],[New Ark SKU]],Table9[New Ark SKU],Table9[Total PCS per 40HQ Container],,0)</f>
        <v>864</v>
      </c>
      <c r="BG1292" s="431" t="str">
        <f>_xlfn.XLOOKUP(PV_DATA[[#This Row],[New Ark SKU]],Table9[New Ark SKU],Table9[Back Glass],,0)</f>
        <v>Black glazing</v>
      </c>
      <c r="BH1292" s="622">
        <f>_xlfn.XLOOKUP(PV_DATA[[#This Row],[PORT DESTINATION]],Table12[PORT DESTINATION],Table12[Cosco Line],,0)</f>
        <v>0</v>
      </c>
    </row>
    <row r="1293" spans="1:62">
      <c r="A1293" s="1276" t="s">
        <v>7384</v>
      </c>
      <c r="B1293" s="726" t="s">
        <v>1757</v>
      </c>
      <c r="C1293" s="726" t="str">
        <f>IFERROR(LEFT(PV_DATA[[#This Row],[TCL REFERENCE]],FIND(".",PV_DATA[[#This Row],[TCL REFERENCE]],1)-1),"Main Line")</f>
        <v>Main Line</v>
      </c>
      <c r="D1293" s="726" t="s">
        <v>63</v>
      </c>
      <c r="E1293" s="439" t="s">
        <v>68</v>
      </c>
      <c r="F1293" s="439" t="str" cm="1">
        <f t="array" ref="F129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93" s="726" t="s">
        <v>68</v>
      </c>
      <c r="H1293" s="726" t="s">
        <v>68</v>
      </c>
      <c r="I1293" s="431" t="s">
        <v>68</v>
      </c>
      <c r="J1293" s="619" t="s">
        <v>68</v>
      </c>
      <c r="K1293" s="619"/>
      <c r="L1293" s="619"/>
      <c r="M1293" s="619" t="s">
        <v>68</v>
      </c>
      <c r="N1293" s="630"/>
      <c r="O1293" s="619" t="s">
        <v>284</v>
      </c>
      <c r="P1293" s="623" t="s">
        <v>7191</v>
      </c>
      <c r="Q1293" s="619" t="s">
        <v>7192</v>
      </c>
      <c r="R1293" s="430" t="str">
        <f>_xlfn.XLOOKUP(PV_DATA[[#This Row],[New Ark SKU]],Table9[New Ark SKU],Table9[Connector],,0)</f>
        <v>EVO2A</v>
      </c>
      <c r="S1293" s="433" t="str">
        <f>_xlfn.XLOOKUP(PV_DATA[[#This Row],[New Ark SKU]],Table9[New Ark SKU],Table9[Cable],,0)</f>
        <v>±1200mm</v>
      </c>
      <c r="T1293" s="620">
        <v>490</v>
      </c>
      <c r="U1293" s="1064" cm="1">
        <f t="array" ref="U1293">936*33-fx_qty</f>
        <v>0</v>
      </c>
      <c r="V1293" s="624">
        <f>PV_DATA[[#This Row],[QUANTITY]]*PV_DATA[[#This Row],[WATT]]/1000000</f>
        <v>0</v>
      </c>
      <c r="W1293" s="625">
        <f>PV_DATA[[#This Row],[QUANTITY]]/PV_DATA[[#This Row],[Qty/Pallet]]</f>
        <v>0</v>
      </c>
      <c r="X1293" s="1047">
        <f>PV_DATA[[#This Row],[QUANTITY]]/PV_DATA[[#This Row],[Qty/CT]]</f>
        <v>0</v>
      </c>
      <c r="Y1293" s="431" t="s">
        <v>7027</v>
      </c>
      <c r="Z1293" s="1275" t="str">
        <f t="shared" si="34"/>
        <v/>
      </c>
      <c r="AA1293" s="619"/>
      <c r="AB1293" s="626"/>
      <c r="AC1293" s="627" t="str">
        <f>IF(PV_DATA[[#This Row],[Pick- Up Date]]&lt;&gt;"",_xlfn.ISOWEEKNUM(PV_DATA[[#This Row],[Pick- Up Date]]),"")</f>
        <v/>
      </c>
      <c r="AD1293" s="619"/>
      <c r="AE1293" s="620"/>
      <c r="AF1293" s="430" t="s">
        <v>122</v>
      </c>
      <c r="AG1293" s="430" t="s">
        <v>123</v>
      </c>
      <c r="AH1293" s="431" t="s">
        <v>68</v>
      </c>
      <c r="AI1293" s="626"/>
      <c r="AJ1293" s="626"/>
      <c r="AK1293" s="626"/>
      <c r="AL1293" s="626"/>
      <c r="AM1293" s="626"/>
      <c r="AN1293" s="626"/>
      <c r="AO1293" s="619"/>
      <c r="AP1293" s="619"/>
      <c r="AQ1293" s="628"/>
      <c r="AR1293" s="619"/>
      <c r="AS1293" s="619"/>
      <c r="AT1293" s="619"/>
      <c r="AU1293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93" s="619"/>
      <c r="AW1293" s="626" t="str" cm="1">
        <f t="array" ref="AW1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9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3" s="626">
        <f>IF(ISERROR(PV_DATA[[#This Row],[New Ark PO status]]),"",_xlfn.XLOOKUP(PV_DATA[[#This Row],[SPTN-PVHK New Ark PO'#]],New_Ark_Data[Purchase order Number],New_Ark_Data[Estimated time of arrival],"",0))</f>
        <v>0</v>
      </c>
      <c r="AZ1293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93" s="626" t="str">
        <f>IFERROR(PV_DATA[[#This Row],[ODP ETA Port]]+PV_DATA[[#This Row],[Customs/Leg3 Assumption]],"n/a")</f>
        <v>n/a</v>
      </c>
      <c r="BB1293" s="620" t="e">
        <f>YEAR(PV_DATA[[#This Row],[ETA for New Ark update]])</f>
        <v>#VALUE!</v>
      </c>
      <c r="BC1293" s="619" t="e">
        <f>MONTH(PV_DATA[[#This Row],[ETA for New Ark update]])</f>
        <v>#VALUE!</v>
      </c>
      <c r="BD1293" s="619">
        <f>IFERROR(_xlfn.ISOWEEKNUM(PV_DATA[[#This Row],[ETA for New Ark update]]),0)</f>
        <v>0</v>
      </c>
      <c r="BE1293" s="431">
        <f>_xlfn.XLOOKUP(PV_DATA[[#This Row],[New Ark SKU]],Table9[New Ark SKU],Table9[Total PCS per Pallet],,0)</f>
        <v>36</v>
      </c>
      <c r="BF1293" s="431">
        <f>_xlfn.XLOOKUP(PV_DATA[[#This Row],[New Ark SKU]],Table9[New Ark SKU],Table9[Total PCS per 40HQ Container],,0)</f>
        <v>936</v>
      </c>
      <c r="BG1293" s="431" t="str">
        <f>_xlfn.XLOOKUP(PV_DATA[[#This Row],[New Ark SKU]],Table9[New Ark SKU],Table9[Back Glass],,0)</f>
        <v>Black glazing</v>
      </c>
      <c r="BH1293" s="629" t="str">
        <f>_xlfn.XLOOKUP(PV_DATA[[#This Row],[PORT DESTINATION]],Table12[PORT DESTINATION],Table12[Cosco Line],,0)</f>
        <v>n/a</v>
      </c>
    </row>
    <row r="1294" spans="1:62">
      <c r="A1294" s="1276" t="s">
        <v>7385</v>
      </c>
      <c r="B1294" s="726" t="s">
        <v>1757</v>
      </c>
      <c r="C1294" s="726" t="str">
        <f>IFERROR(LEFT(PV_DATA[[#This Row],[TCL REFERENCE]],FIND(".",PV_DATA[[#This Row],[TCL REFERENCE]],1)-1),"Main Line")</f>
        <v>26Oct007</v>
      </c>
      <c r="D1294" s="726" t="s">
        <v>63</v>
      </c>
      <c r="E1294" s="439" t="s">
        <v>64</v>
      </c>
      <c r="F1294" s="439" t="str" cm="1">
        <f t="array" ref="F1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94" s="726" t="s">
        <v>402</v>
      </c>
      <c r="H1294" s="462" t="s">
        <v>67</v>
      </c>
      <c r="I1294" s="462" t="s">
        <v>882</v>
      </c>
      <c r="J1294" s="431" t="s">
        <v>96</v>
      </c>
      <c r="K1294" s="619"/>
      <c r="L1294" s="619"/>
      <c r="M1294" s="431" t="s">
        <v>68</v>
      </c>
      <c r="N1294" s="630"/>
      <c r="O1294" s="619" t="s">
        <v>284</v>
      </c>
      <c r="P1294" s="623" t="s">
        <v>7191</v>
      </c>
      <c r="Q1294" s="619" t="s">
        <v>7192</v>
      </c>
      <c r="R1294" s="430" t="str">
        <f>_xlfn.XLOOKUP(PV_DATA[[#This Row],[New Ark SKU]],Table9[New Ark SKU],Table9[Connector],,0)</f>
        <v>EVO2A</v>
      </c>
      <c r="S1294" s="433" t="str">
        <f>_xlfn.XLOOKUP(PV_DATA[[#This Row],[New Ark SKU]],Table9[New Ark SKU],Table9[Cable],,0)</f>
        <v>±1200mm</v>
      </c>
      <c r="T1294" s="620">
        <v>490</v>
      </c>
      <c r="U1294" s="1064">
        <f>936*4</f>
        <v>3744</v>
      </c>
      <c r="V1294" s="624">
        <f>PV_DATA[[#This Row],[QUANTITY]]*PV_DATA[[#This Row],[WATT]]/1000000</f>
        <v>1.83456</v>
      </c>
      <c r="W1294" s="625">
        <f>PV_DATA[[#This Row],[QUANTITY]]/PV_DATA[[#This Row],[Qty/Pallet]]</f>
        <v>104</v>
      </c>
      <c r="X1294" s="1047">
        <f>PV_DATA[[#This Row],[QUANTITY]]/PV_DATA[[#This Row],[Qty/CT]]</f>
        <v>4</v>
      </c>
      <c r="Y1294" s="431" t="s">
        <v>2474</v>
      </c>
      <c r="Z1294" s="1275" t="str">
        <f t="shared" si="34"/>
        <v/>
      </c>
      <c r="AA1294" s="619"/>
      <c r="AB1294" s="626"/>
      <c r="AC1294" s="627" t="str">
        <f>IF(PV_DATA[[#This Row],[Pick- Up Date]]&lt;&gt;"",_xlfn.ISOWEEKNUM(PV_DATA[[#This Row],[Pick- Up Date]]),"")</f>
        <v/>
      </c>
      <c r="AD1294" s="619"/>
      <c r="AE1294" s="620"/>
      <c r="AF1294" s="430" t="s">
        <v>122</v>
      </c>
      <c r="AG1294" s="430" t="s">
        <v>123</v>
      </c>
      <c r="AH1294" s="431" t="s">
        <v>105</v>
      </c>
      <c r="AI1294" s="626"/>
      <c r="AJ1294" s="626"/>
      <c r="AK1294" s="626"/>
      <c r="AL1294" s="626"/>
      <c r="AM1294" s="626"/>
      <c r="AN1294" s="626"/>
      <c r="AO1294" s="619"/>
      <c r="AP1294" s="619"/>
      <c r="AQ1294" s="628"/>
      <c r="AR1294" s="619"/>
      <c r="AS1294" s="619"/>
      <c r="AT1294" s="619"/>
      <c r="AU1294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94" s="619"/>
      <c r="AW1294" s="626" cm="1">
        <f t="array" ref="AW1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9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4" s="626">
        <f>IF(ISERROR(PV_DATA[[#This Row],[New Ark PO status]]),"",_xlfn.XLOOKUP(PV_DATA[[#This Row],[SPTN-PVHK New Ark PO'#]],New_Ark_Data[Purchase order Number],New_Ark_Data[Estimated time of arrival],"",0))</f>
        <v>0</v>
      </c>
      <c r="AZ1294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94" s="626">
        <f>IFERROR(PV_DATA[[#This Row],[ODP ETA Port]]+PV_DATA[[#This Row],[Customs/Leg3 Assumption]],"n/a")</f>
        <v>46381</v>
      </c>
      <c r="BB1294" s="620">
        <f>YEAR(PV_DATA[[#This Row],[ETA for New Ark update]])</f>
        <v>2026</v>
      </c>
      <c r="BC1294" s="619">
        <f>MONTH(PV_DATA[[#This Row],[ETA for New Ark update]])</f>
        <v>12</v>
      </c>
      <c r="BD1294" s="619">
        <f>IFERROR(_xlfn.ISOWEEKNUM(PV_DATA[[#This Row],[ETA for New Ark update]]),0)</f>
        <v>52</v>
      </c>
      <c r="BE1294" s="431">
        <f>_xlfn.XLOOKUP(PV_DATA[[#This Row],[New Ark SKU]],Table9[New Ark SKU],Table9[Total PCS per Pallet],,0)</f>
        <v>36</v>
      </c>
      <c r="BF1294" s="431">
        <f>_xlfn.XLOOKUP(PV_DATA[[#This Row],[New Ark SKU]],Table9[New Ark SKU],Table9[Total PCS per 40HQ Container],,0)</f>
        <v>936</v>
      </c>
      <c r="BG1294" s="431" t="str">
        <f>_xlfn.XLOOKUP(PV_DATA[[#This Row],[New Ark SKU]],Table9[New Ark SKU],Table9[Back Glass],,0)</f>
        <v>Black glazing</v>
      </c>
      <c r="BH1294" s="629" t="str">
        <f>_xlfn.XLOOKUP(PV_DATA[[#This Row],[PORT DESTINATION]],Table12[PORT DESTINATION],Table12[Cosco Line],,0)</f>
        <v>AEU</v>
      </c>
    </row>
    <row r="1295" spans="1:62">
      <c r="A1295" s="1276" t="s">
        <v>7386</v>
      </c>
      <c r="B1295" s="726" t="s">
        <v>1757</v>
      </c>
      <c r="C1295" s="726" t="str">
        <f>IFERROR(LEFT(PV_DATA[[#This Row],[TCL REFERENCE]],FIND(".",PV_DATA[[#This Row],[TCL REFERENCE]],1)-1),"Main Line")</f>
        <v>26Oct007</v>
      </c>
      <c r="D1295" s="726" t="s">
        <v>63</v>
      </c>
      <c r="E1295" s="439" t="s">
        <v>144</v>
      </c>
      <c r="F1295" s="439" t="str" cm="1">
        <f t="array" ref="F12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95" s="726" t="s">
        <v>402</v>
      </c>
      <c r="H1295" s="462" t="s">
        <v>538</v>
      </c>
      <c r="I1295" s="462" t="s">
        <v>822</v>
      </c>
      <c r="J1295" s="462" t="s">
        <v>538</v>
      </c>
      <c r="K1295" s="619" t="s">
        <v>7387</v>
      </c>
      <c r="L1295" s="619">
        <v>1</v>
      </c>
      <c r="M1295" s="431" t="s">
        <v>7388</v>
      </c>
      <c r="N1295" s="630"/>
      <c r="O1295" s="619" t="s">
        <v>284</v>
      </c>
      <c r="P1295" s="623" t="s">
        <v>7191</v>
      </c>
      <c r="Q1295" s="619" t="s">
        <v>7192</v>
      </c>
      <c r="R1295" s="430" t="str">
        <f>_xlfn.XLOOKUP(PV_DATA[[#This Row],[New Ark SKU]],Table9[New Ark SKU],Table9[Connector],,0)</f>
        <v>EVO2A</v>
      </c>
      <c r="S1295" s="433" t="str">
        <f>_xlfn.XLOOKUP(PV_DATA[[#This Row],[New Ark SKU]],Table9[New Ark SKU],Table9[Cable],,0)</f>
        <v>±1200mm</v>
      </c>
      <c r="T1295" s="620">
        <v>490</v>
      </c>
      <c r="U1295" s="1064">
        <f>936*10</f>
        <v>9360</v>
      </c>
      <c r="V1295" s="624">
        <f>PV_DATA[[#This Row],[QUANTITY]]*PV_DATA[[#This Row],[WATT]]/1000000</f>
        <v>4.5864000000000003</v>
      </c>
      <c r="W1295" s="625">
        <f>PV_DATA[[#This Row],[QUANTITY]]/PV_DATA[[#This Row],[Qty/Pallet]]</f>
        <v>260</v>
      </c>
      <c r="X1295" s="1047">
        <f>PV_DATA[[#This Row],[QUANTITY]]/PV_DATA[[#This Row],[Qty/CT]]</f>
        <v>10</v>
      </c>
      <c r="Y1295" s="431" t="s">
        <v>2474</v>
      </c>
      <c r="Z1295" s="1275" t="str">
        <f t="shared" si="34"/>
        <v/>
      </c>
      <c r="AA1295" s="855"/>
      <c r="AB1295" s="626"/>
      <c r="AC1295" s="627" t="str">
        <f>IF(PV_DATA[[#This Row],[Pick- Up Date]]&lt;&gt;"",_xlfn.ISOWEEKNUM(PV_DATA[[#This Row],[Pick- Up Date]]),"")</f>
        <v/>
      </c>
      <c r="AD1295" s="619"/>
      <c r="AE1295" s="620"/>
      <c r="AF1295" s="430" t="s">
        <v>122</v>
      </c>
      <c r="AG1295" s="430" t="s">
        <v>123</v>
      </c>
      <c r="AH1295" s="431" t="s">
        <v>541</v>
      </c>
      <c r="AI1295" s="626"/>
      <c r="AJ1295" s="626"/>
      <c r="AK1295" s="626"/>
      <c r="AL1295" s="626"/>
      <c r="AM1295" s="626"/>
      <c r="AN1295" s="626"/>
      <c r="AO1295" s="619"/>
      <c r="AP1295" s="619"/>
      <c r="AQ1295" s="628"/>
      <c r="AR1295" s="619"/>
      <c r="AS1295" s="619"/>
      <c r="AT1295" s="619"/>
      <c r="AU1295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95" s="619"/>
      <c r="AW1295" s="626" cm="1">
        <f t="array" ref="AW1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9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5" s="626">
        <f>IF(ISERROR(PV_DATA[[#This Row],[New Ark PO status]]),"",_xlfn.XLOOKUP(PV_DATA[[#This Row],[SPTN-PVHK New Ark PO'#]],New_Ark_Data[Purchase order Number],New_Ark_Data[Estimated time of arrival],"",0))</f>
        <v>0</v>
      </c>
      <c r="AZ1295" s="62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95" s="626">
        <f>IFERROR(PV_DATA[[#This Row],[ODP ETA Port]]+PV_DATA[[#This Row],[Customs/Leg3 Assumption]],"n/a")</f>
        <v>46374</v>
      </c>
      <c r="BB1295" s="620">
        <f>YEAR(PV_DATA[[#This Row],[ETA for New Ark update]])</f>
        <v>2026</v>
      </c>
      <c r="BC1295" s="619">
        <f>MONTH(PV_DATA[[#This Row],[ETA for New Ark update]])</f>
        <v>12</v>
      </c>
      <c r="BD1295" s="619">
        <f>IFERROR(_xlfn.ISOWEEKNUM(PV_DATA[[#This Row],[ETA for New Ark update]]),0)</f>
        <v>51</v>
      </c>
      <c r="BE1295" s="431">
        <f>_xlfn.XLOOKUP(PV_DATA[[#This Row],[New Ark SKU]],Table9[New Ark SKU],Table9[Total PCS per Pallet],,0)</f>
        <v>36</v>
      </c>
      <c r="BF1295" s="431">
        <f>_xlfn.XLOOKUP(PV_DATA[[#This Row],[New Ark SKU]],Table9[New Ark SKU],Table9[Total PCS per 40HQ Container],,0)</f>
        <v>936</v>
      </c>
      <c r="BG1295" s="431" t="str">
        <f>_xlfn.XLOOKUP(PV_DATA[[#This Row],[New Ark SKU]],Table9[New Ark SKU],Table9[Back Glass],,0)</f>
        <v>Black glazing</v>
      </c>
      <c r="BH1295" s="629" t="str">
        <f>_xlfn.XLOOKUP(PV_DATA[[#This Row],[PORT DESTINATION]],Table12[PORT DESTINATION],Table12[Cosco Line],,0)</f>
        <v>AEU</v>
      </c>
    </row>
    <row r="1296" spans="1:62">
      <c r="A1296" s="1276" t="s">
        <v>7229</v>
      </c>
      <c r="B1296" s="726" t="s">
        <v>1757</v>
      </c>
      <c r="C1296" s="726" t="str">
        <f>IFERROR(LEFT(PV_DATA[[#This Row],[TCL REFERENCE]],FIND(".",PV_DATA[[#This Row],[TCL REFERENCE]],1)-1),"Main Line")</f>
        <v>Main Line</v>
      </c>
      <c r="D1296" s="726" t="s">
        <v>63</v>
      </c>
      <c r="E1296" s="439" t="s">
        <v>68</v>
      </c>
      <c r="F1296" s="439" t="str" cm="1">
        <f t="array" ref="F129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96" s="726"/>
      <c r="H1296" s="726"/>
      <c r="I1296" s="726"/>
      <c r="J1296" s="619"/>
      <c r="K1296" s="619"/>
      <c r="L1296" s="619"/>
      <c r="M1296" s="619"/>
      <c r="N1296" s="630"/>
      <c r="O1296" s="619" t="s">
        <v>284</v>
      </c>
      <c r="P1296" s="623" t="s">
        <v>5851</v>
      </c>
      <c r="Q1296" s="619" t="s">
        <v>5852</v>
      </c>
      <c r="R1296" s="430" t="str">
        <f>_xlfn.XLOOKUP(PV_DATA[[#This Row],[New Ark SKU]],Table9[New Ark SKU],Table9[Connector],,0)</f>
        <v>EVO2A</v>
      </c>
      <c r="S1296" s="433" t="str">
        <f>_xlfn.XLOOKUP(PV_DATA[[#This Row],[New Ark SKU]],Table9[New Ark SKU],Table9[Cable],,0)</f>
        <v>±1200mm</v>
      </c>
      <c r="T1296" s="620">
        <v>485</v>
      </c>
      <c r="U1296" s="1064" cm="1">
        <f t="array" ref="U1296">936*192-fx_qty</f>
        <v>99216</v>
      </c>
      <c r="V1296" s="624">
        <f>PV_DATA[[#This Row],[QUANTITY]]*PV_DATA[[#This Row],[WATT]]/1000000</f>
        <v>48.119759999999999</v>
      </c>
      <c r="W1296" s="625">
        <f>PV_DATA[[#This Row],[QUANTITY]]/PV_DATA[[#This Row],[Qty/Pallet]]</f>
        <v>2756</v>
      </c>
      <c r="X1296" s="1047">
        <f>PV_DATA[[#This Row],[QUANTITY]]/PV_DATA[[#This Row],[Qty/CT]]</f>
        <v>106</v>
      </c>
      <c r="Y1296" s="431" t="s">
        <v>7027</v>
      </c>
      <c r="Z1296" s="1275" t="str">
        <f t="shared" si="34"/>
        <v/>
      </c>
      <c r="AA1296" s="619"/>
      <c r="AB1296" s="626"/>
      <c r="AC1296" s="627" t="str">
        <f>IF(PV_DATA[[#This Row],[Pick- Up Date]]&lt;&gt;"",_xlfn.ISOWEEKNUM(PV_DATA[[#This Row],[Pick- Up Date]]),"")</f>
        <v/>
      </c>
      <c r="AD1296" s="619"/>
      <c r="AE1296" s="620"/>
      <c r="AF1296" s="430" t="s">
        <v>122</v>
      </c>
      <c r="AG1296" s="430" t="s">
        <v>123</v>
      </c>
      <c r="AH1296" s="431" t="s">
        <v>68</v>
      </c>
      <c r="AI1296" s="626"/>
      <c r="AJ1296" s="626"/>
      <c r="AK1296" s="626"/>
      <c r="AL1296" s="626"/>
      <c r="AM1296" s="626"/>
      <c r="AN1296" s="626"/>
      <c r="AO1296" s="619"/>
      <c r="AP1296" s="619"/>
      <c r="AQ1296" s="628"/>
      <c r="AR1296" s="619"/>
      <c r="AS1296" s="619"/>
      <c r="AT1296" s="619"/>
      <c r="AU1296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96" s="619"/>
      <c r="AW1296" s="626" cm="1">
        <f t="array" ref="AW1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9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6" s="626">
        <f>IF(ISERROR(PV_DATA[[#This Row],[New Ark PO status]]),"",_xlfn.XLOOKUP(PV_DATA[[#This Row],[SPTN-PVHK New Ark PO'#]],New_Ark_Data[Purchase order Number],New_Ark_Data[Estimated time of arrival],"",0))</f>
        <v>0</v>
      </c>
      <c r="AZ1296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96" s="626">
        <f>IFERROR(PV_DATA[[#This Row],[ODP ETA Port]]+PV_DATA[[#This Row],[Customs/Leg3 Assumption]],"n/a")</f>
        <v>46355</v>
      </c>
      <c r="BB1296" s="620">
        <f>YEAR(PV_DATA[[#This Row],[ETA for New Ark update]])</f>
        <v>2026</v>
      </c>
      <c r="BC1296" s="619">
        <f>MONTH(PV_DATA[[#This Row],[ETA for New Ark update]])</f>
        <v>11</v>
      </c>
      <c r="BD1296" s="619">
        <f>IFERROR(_xlfn.ISOWEEKNUM(PV_DATA[[#This Row],[ETA for New Ark update]]),0)</f>
        <v>48</v>
      </c>
      <c r="BE1296" s="431">
        <f>_xlfn.XLOOKUP(PV_DATA[[#This Row],[New Ark SKU]],Table9[New Ark SKU],Table9[Total PCS per Pallet],,0)</f>
        <v>36</v>
      </c>
      <c r="BF1296" s="431">
        <f>_xlfn.XLOOKUP(PV_DATA[[#This Row],[New Ark SKU]],Table9[New Ark SKU],Table9[Total PCS per 40HQ Container],,0)</f>
        <v>936</v>
      </c>
      <c r="BG1296" s="431" t="str">
        <f>_xlfn.XLOOKUP(PV_DATA[[#This Row],[New Ark SKU]],Table9[New Ark SKU],Table9[Back Glass],,0)</f>
        <v>Black glazing</v>
      </c>
      <c r="BH1296" s="629" t="str">
        <f>_xlfn.XLOOKUP(PV_DATA[[#This Row],[PORT DESTINATION]],Table12[PORT DESTINATION],Table12[Cosco Line],,0)</f>
        <v>n/a</v>
      </c>
    </row>
    <row r="1297" spans="1:60">
      <c r="A1297" s="1276" t="s">
        <v>7389</v>
      </c>
      <c r="B1297" s="726" t="s">
        <v>1757</v>
      </c>
      <c r="C1297" s="726" t="str">
        <f>IFERROR(LEFT(PV_DATA[[#This Row],[TCL REFERENCE]],FIND(".",PV_DATA[[#This Row],[TCL REFERENCE]],1)-1),"Main Line")</f>
        <v>26Oct009</v>
      </c>
      <c r="D1297" s="726" t="s">
        <v>63</v>
      </c>
      <c r="E1297" s="439" t="s">
        <v>64</v>
      </c>
      <c r="F1297" s="439" t="str" cm="1">
        <f t="array" ref="F1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97" s="726" t="s">
        <v>402</v>
      </c>
      <c r="H1297" s="726" t="s">
        <v>67</v>
      </c>
      <c r="I1297" s="431" t="s">
        <v>689</v>
      </c>
      <c r="J1297" s="431" t="s">
        <v>96</v>
      </c>
      <c r="K1297" s="619"/>
      <c r="L1297" s="619"/>
      <c r="M1297" s="430" t="s">
        <v>6315</v>
      </c>
      <c r="N1297" s="630"/>
      <c r="O1297" s="619" t="s">
        <v>284</v>
      </c>
      <c r="P1297" s="623" t="s">
        <v>5851</v>
      </c>
      <c r="Q1297" s="619" t="s">
        <v>5852</v>
      </c>
      <c r="R1297" s="430" t="str">
        <f>_xlfn.XLOOKUP(PV_DATA[[#This Row],[New Ark SKU]],Table9[New Ark SKU],Table9[Connector],,0)</f>
        <v>EVO2A</v>
      </c>
      <c r="S1297" s="433" t="str">
        <f>_xlfn.XLOOKUP(PV_DATA[[#This Row],[New Ark SKU]],Table9[New Ark SKU],Table9[Cable],,0)</f>
        <v>±1200mm</v>
      </c>
      <c r="T1297" s="620">
        <v>485</v>
      </c>
      <c r="U1297" s="1064">
        <f>936*5</f>
        <v>4680</v>
      </c>
      <c r="V1297" s="624">
        <f>PV_DATA[[#This Row],[QUANTITY]]*PV_DATA[[#This Row],[WATT]]/1000000</f>
        <v>2.2698</v>
      </c>
      <c r="W1297" s="625">
        <f>PV_DATA[[#This Row],[QUANTITY]]/PV_DATA[[#This Row],[Qty/Pallet]]</f>
        <v>130</v>
      </c>
      <c r="X1297" s="1047">
        <f>PV_DATA[[#This Row],[QUANTITY]]/PV_DATA[[#This Row],[Qty/CT]]</f>
        <v>5</v>
      </c>
      <c r="Y1297" s="431" t="s">
        <v>2474</v>
      </c>
      <c r="Z1297" s="1275" t="str">
        <f t="shared" ref="Z1297:Z1298" si="44">IF(AN1297&lt;&gt;"","COMPLETED",IF(AK1297&lt;&gt;"","IN-TRANSIT",""))</f>
        <v/>
      </c>
      <c r="AA1297" s="619"/>
      <c r="AB1297" s="626"/>
      <c r="AC1297" s="627" t="str">
        <f>IF(PV_DATA[[#This Row],[Pick- Up Date]]&lt;&gt;"",_xlfn.ISOWEEKNUM(PV_DATA[[#This Row],[Pick- Up Date]]),"")</f>
        <v/>
      </c>
      <c r="AD1297" s="619"/>
      <c r="AE1297" s="620"/>
      <c r="AF1297" s="430" t="s">
        <v>122</v>
      </c>
      <c r="AG1297" s="430" t="s">
        <v>5994</v>
      </c>
      <c r="AH1297" s="431" t="s">
        <v>105</v>
      </c>
      <c r="AI1297" s="626"/>
      <c r="AJ1297" s="626"/>
      <c r="AK1297" s="626"/>
      <c r="AL1297" s="626"/>
      <c r="AM1297" s="626"/>
      <c r="AN1297" s="626"/>
      <c r="AO1297" s="619"/>
      <c r="AP1297" s="619"/>
      <c r="AQ1297" s="628"/>
      <c r="AR1297" s="619"/>
      <c r="AS1297" s="619"/>
      <c r="AT1297" s="619"/>
      <c r="AU1297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97" s="619"/>
      <c r="AW1297" s="626" cm="1">
        <f t="array" ref="AW1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9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7" s="626">
        <f>IF(ISERROR(PV_DATA[[#This Row],[New Ark PO status]]),"",_xlfn.XLOOKUP(PV_DATA[[#This Row],[SPTN-PVHK New Ark PO'#]],New_Ark_Data[Purchase order Number],New_Ark_Data[Estimated time of arrival],"",0))</f>
        <v>0</v>
      </c>
      <c r="AZ1297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97" s="626">
        <f>IFERROR(PV_DATA[[#This Row],[ODP ETA Port]]+PV_DATA[[#This Row],[Customs/Leg3 Assumption]],"n/a")</f>
        <v>46381</v>
      </c>
      <c r="BB1297" s="620">
        <f>YEAR(PV_DATA[[#This Row],[ETA for New Ark update]])</f>
        <v>2026</v>
      </c>
      <c r="BC1297" s="619">
        <f>MONTH(PV_DATA[[#This Row],[ETA for New Ark update]])</f>
        <v>12</v>
      </c>
      <c r="BD1297" s="619">
        <f>IFERROR(_xlfn.ISOWEEKNUM(PV_DATA[[#This Row],[ETA for New Ark update]]),0)</f>
        <v>52</v>
      </c>
      <c r="BE1297" s="431">
        <f>_xlfn.XLOOKUP(PV_DATA[[#This Row],[New Ark SKU]],Table9[New Ark SKU],Table9[Total PCS per Pallet],,0)</f>
        <v>36</v>
      </c>
      <c r="BF1297" s="431">
        <f>_xlfn.XLOOKUP(PV_DATA[[#This Row],[New Ark SKU]],Table9[New Ark SKU],Table9[Total PCS per 40HQ Container],,0)</f>
        <v>936</v>
      </c>
      <c r="BG1297" s="431" t="str">
        <f>_xlfn.XLOOKUP(PV_DATA[[#This Row],[New Ark SKU]],Table9[New Ark SKU],Table9[Back Glass],,0)</f>
        <v>Black glazing</v>
      </c>
      <c r="BH1297" s="629" t="str">
        <f>_xlfn.XLOOKUP(PV_DATA[[#This Row],[PORT DESTINATION]],Table12[PORT DESTINATION],Table12[Cosco Line],,0)</f>
        <v>AEU</v>
      </c>
    </row>
    <row r="1298" spans="1:60">
      <c r="A1298" s="1276" t="s">
        <v>7390</v>
      </c>
      <c r="B1298" s="726" t="s">
        <v>1757</v>
      </c>
      <c r="C1298" s="726" t="str">
        <f>IFERROR(LEFT(PV_DATA[[#This Row],[TCL REFERENCE]],FIND(".",PV_DATA[[#This Row],[TCL REFERENCE]],1)-1),"Main Line")</f>
        <v>26Oct009</v>
      </c>
      <c r="D1298" s="726" t="s">
        <v>63</v>
      </c>
      <c r="E1298" s="439" t="s">
        <v>64</v>
      </c>
      <c r="F1298" s="439" t="str" cm="1">
        <f t="array" ref="F1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98" s="726" t="s">
        <v>402</v>
      </c>
      <c r="H1298" s="726" t="s">
        <v>67</v>
      </c>
      <c r="I1298" s="431" t="s">
        <v>689</v>
      </c>
      <c r="J1298" s="431" t="s">
        <v>96</v>
      </c>
      <c r="K1298" s="619"/>
      <c r="L1298" s="619"/>
      <c r="M1298" s="430" t="s">
        <v>6315</v>
      </c>
      <c r="N1298" s="630"/>
      <c r="O1298" s="619" t="s">
        <v>284</v>
      </c>
      <c r="P1298" s="623" t="s">
        <v>5851</v>
      </c>
      <c r="Q1298" s="619" t="s">
        <v>5852</v>
      </c>
      <c r="R1298" s="430" t="str">
        <f>_xlfn.XLOOKUP(PV_DATA[[#This Row],[New Ark SKU]],Table9[New Ark SKU],Table9[Connector],,0)</f>
        <v>EVO2A</v>
      </c>
      <c r="S1298" s="433" t="str">
        <f>_xlfn.XLOOKUP(PV_DATA[[#This Row],[New Ark SKU]],Table9[New Ark SKU],Table9[Cable],,0)</f>
        <v>±1200mm</v>
      </c>
      <c r="T1298" s="620">
        <v>485</v>
      </c>
      <c r="U1298" s="1064">
        <f>936*3</f>
        <v>2808</v>
      </c>
      <c r="V1298" s="624">
        <f>PV_DATA[[#This Row],[QUANTITY]]*PV_DATA[[#This Row],[WATT]]/1000000</f>
        <v>1.36188</v>
      </c>
      <c r="W1298" s="625">
        <f>PV_DATA[[#This Row],[QUANTITY]]/PV_DATA[[#This Row],[Qty/Pallet]]</f>
        <v>78</v>
      </c>
      <c r="X1298" s="1047">
        <f>PV_DATA[[#This Row],[QUANTITY]]/PV_DATA[[#This Row],[Qty/CT]]</f>
        <v>3</v>
      </c>
      <c r="Y1298" s="431" t="s">
        <v>2474</v>
      </c>
      <c r="Z1298" s="1275" t="str">
        <f t="shared" si="44"/>
        <v/>
      </c>
      <c r="AA1298" s="619"/>
      <c r="AB1298" s="626"/>
      <c r="AC1298" s="627" t="str">
        <f>IF(PV_DATA[[#This Row],[Pick- Up Date]]&lt;&gt;"",_xlfn.ISOWEEKNUM(PV_DATA[[#This Row],[Pick- Up Date]]),"")</f>
        <v/>
      </c>
      <c r="AD1298" s="619"/>
      <c r="AE1298" s="620"/>
      <c r="AF1298" s="430" t="s">
        <v>122</v>
      </c>
      <c r="AG1298" s="430" t="s">
        <v>5994</v>
      </c>
      <c r="AH1298" s="431" t="s">
        <v>105</v>
      </c>
      <c r="AI1298" s="626"/>
      <c r="AJ1298" s="626"/>
      <c r="AK1298" s="626"/>
      <c r="AL1298" s="626"/>
      <c r="AM1298" s="626"/>
      <c r="AN1298" s="626"/>
      <c r="AO1298" s="619"/>
      <c r="AP1298" s="619"/>
      <c r="AQ1298" s="628"/>
      <c r="AR1298" s="619"/>
      <c r="AS1298" s="619"/>
      <c r="AT1298" s="619"/>
      <c r="AU1298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98" s="619"/>
      <c r="AW1298" s="626" cm="1">
        <f t="array" ref="AW1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9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8" s="626">
        <f>IF(ISERROR(PV_DATA[[#This Row],[New Ark PO status]]),"",_xlfn.XLOOKUP(PV_DATA[[#This Row],[SPTN-PVHK New Ark PO'#]],New_Ark_Data[Purchase order Number],New_Ark_Data[Estimated time of arrival],"",0))</f>
        <v>0</v>
      </c>
      <c r="AZ1298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98" s="626">
        <f>IFERROR(PV_DATA[[#This Row],[ODP ETA Port]]+PV_DATA[[#This Row],[Customs/Leg3 Assumption]],"n/a")</f>
        <v>46381</v>
      </c>
      <c r="BB1298" s="620">
        <f>YEAR(PV_DATA[[#This Row],[ETA for New Ark update]])</f>
        <v>2026</v>
      </c>
      <c r="BC1298" s="619">
        <f>MONTH(PV_DATA[[#This Row],[ETA for New Ark update]])</f>
        <v>12</v>
      </c>
      <c r="BD1298" s="619">
        <f>IFERROR(_xlfn.ISOWEEKNUM(PV_DATA[[#This Row],[ETA for New Ark update]]),0)</f>
        <v>52</v>
      </c>
      <c r="BE1298" s="431">
        <f>_xlfn.XLOOKUP(PV_DATA[[#This Row],[New Ark SKU]],Table9[New Ark SKU],Table9[Total PCS per Pallet],,0)</f>
        <v>36</v>
      </c>
      <c r="BF1298" s="431">
        <f>_xlfn.XLOOKUP(PV_DATA[[#This Row],[New Ark SKU]],Table9[New Ark SKU],Table9[Total PCS per 40HQ Container],,0)</f>
        <v>936</v>
      </c>
      <c r="BG1298" s="431" t="str">
        <f>_xlfn.XLOOKUP(PV_DATA[[#This Row],[New Ark SKU]],Table9[New Ark SKU],Table9[Back Glass],,0)</f>
        <v>Black glazing</v>
      </c>
      <c r="BH1298" s="629" t="str">
        <f>_xlfn.XLOOKUP(PV_DATA[[#This Row],[PORT DESTINATION]],Table12[PORT DESTINATION],Table12[Cosco Line],,0)</f>
        <v>AEU</v>
      </c>
    </row>
    <row r="1299" spans="1:60">
      <c r="A1299" s="1276" t="s">
        <v>7391</v>
      </c>
      <c r="B1299" s="726" t="s">
        <v>1757</v>
      </c>
      <c r="C1299" s="726" t="str">
        <f>IFERROR(LEFT(PV_DATA[[#This Row],[TCL REFERENCE]],FIND(".",PV_DATA[[#This Row],[TCL REFERENCE]],1)-1),"Main Line")</f>
        <v>26Oct009</v>
      </c>
      <c r="D1299" s="726" t="s">
        <v>63</v>
      </c>
      <c r="E1299" s="439" t="s">
        <v>64</v>
      </c>
      <c r="F1299" s="439" t="str" cm="1">
        <f t="array" ref="F1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99" s="726" t="s">
        <v>402</v>
      </c>
      <c r="H1299" s="462" t="s">
        <v>67</v>
      </c>
      <c r="I1299" s="726" t="s">
        <v>882</v>
      </c>
      <c r="J1299" s="431" t="s">
        <v>96</v>
      </c>
      <c r="K1299" s="619"/>
      <c r="L1299" s="619"/>
      <c r="M1299" s="431" t="s">
        <v>68</v>
      </c>
      <c r="N1299" s="630"/>
      <c r="O1299" s="619" t="s">
        <v>284</v>
      </c>
      <c r="P1299" s="623" t="s">
        <v>5851</v>
      </c>
      <c r="Q1299" s="619" t="s">
        <v>5852</v>
      </c>
      <c r="R1299" s="430" t="str">
        <f>_xlfn.XLOOKUP(PV_DATA[[#This Row],[New Ark SKU]],Table9[New Ark SKU],Table9[Connector],,0)</f>
        <v>EVO2A</v>
      </c>
      <c r="S1299" s="433" t="str">
        <f>_xlfn.XLOOKUP(PV_DATA[[#This Row],[New Ark SKU]],Table9[New Ark SKU],Table9[Cable],,0)</f>
        <v>±1200mm</v>
      </c>
      <c r="T1299" s="620">
        <v>485</v>
      </c>
      <c r="U1299" s="1064">
        <f>936*11</f>
        <v>10296</v>
      </c>
      <c r="V1299" s="624">
        <f>PV_DATA[[#This Row],[QUANTITY]]*PV_DATA[[#This Row],[WATT]]/1000000</f>
        <v>4.9935600000000004</v>
      </c>
      <c r="W1299" s="625">
        <f>PV_DATA[[#This Row],[QUANTITY]]/PV_DATA[[#This Row],[Qty/Pallet]]</f>
        <v>286</v>
      </c>
      <c r="X1299" s="1047">
        <f>PV_DATA[[#This Row],[QUANTITY]]/PV_DATA[[#This Row],[Qty/CT]]</f>
        <v>11</v>
      </c>
      <c r="Y1299" s="431" t="s">
        <v>2474</v>
      </c>
      <c r="Z1299" s="1275" t="str">
        <f t="shared" ref="Z1299:Z1300" si="45">IF(AN1299&lt;&gt;"","COMPLETED",IF(AK1299&lt;&gt;"","IN-TRANSIT",""))</f>
        <v/>
      </c>
      <c r="AA1299" s="619"/>
      <c r="AB1299" s="626"/>
      <c r="AC1299" s="627" t="str">
        <f>IF(PV_DATA[[#This Row],[Pick- Up Date]]&lt;&gt;"",_xlfn.ISOWEEKNUM(PV_DATA[[#This Row],[Pick- Up Date]]),"")</f>
        <v/>
      </c>
      <c r="AD1299" s="619"/>
      <c r="AE1299" s="620"/>
      <c r="AF1299" s="430" t="s">
        <v>122</v>
      </c>
      <c r="AG1299" s="430" t="s">
        <v>123</v>
      </c>
      <c r="AH1299" s="431" t="s">
        <v>105</v>
      </c>
      <c r="AI1299" s="626"/>
      <c r="AJ1299" s="626"/>
      <c r="AK1299" s="626"/>
      <c r="AL1299" s="626"/>
      <c r="AM1299" s="626"/>
      <c r="AN1299" s="626"/>
      <c r="AO1299" s="619"/>
      <c r="AP1299" s="619"/>
      <c r="AQ1299" s="628"/>
      <c r="AR1299" s="619"/>
      <c r="AS1299" s="619"/>
      <c r="AT1299" s="619"/>
      <c r="AU1299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99" s="619"/>
      <c r="AW1299" s="626" cm="1">
        <f t="array" ref="AW1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9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99" s="626">
        <f>IF(ISERROR(PV_DATA[[#This Row],[New Ark PO status]]),"",_xlfn.XLOOKUP(PV_DATA[[#This Row],[SPTN-PVHK New Ark PO'#]],New_Ark_Data[Purchase order Number],New_Ark_Data[Estimated time of arrival],"",0))</f>
        <v>0</v>
      </c>
      <c r="AZ1299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99" s="626">
        <f>IFERROR(PV_DATA[[#This Row],[ODP ETA Port]]+PV_DATA[[#This Row],[Customs/Leg3 Assumption]],"n/a")</f>
        <v>46381</v>
      </c>
      <c r="BB1299" s="620">
        <f>YEAR(PV_DATA[[#This Row],[ETA for New Ark update]])</f>
        <v>2026</v>
      </c>
      <c r="BC1299" s="619">
        <f>MONTH(PV_DATA[[#This Row],[ETA for New Ark update]])</f>
        <v>12</v>
      </c>
      <c r="BD1299" s="619">
        <f>IFERROR(_xlfn.ISOWEEKNUM(PV_DATA[[#This Row],[ETA for New Ark update]]),0)</f>
        <v>52</v>
      </c>
      <c r="BE1299" s="431">
        <f>_xlfn.XLOOKUP(PV_DATA[[#This Row],[New Ark SKU]],Table9[New Ark SKU],Table9[Total PCS per Pallet],,0)</f>
        <v>36</v>
      </c>
      <c r="BF1299" s="431">
        <f>_xlfn.XLOOKUP(PV_DATA[[#This Row],[New Ark SKU]],Table9[New Ark SKU],Table9[Total PCS per 40HQ Container],,0)</f>
        <v>936</v>
      </c>
      <c r="BG1299" s="431" t="str">
        <f>_xlfn.XLOOKUP(PV_DATA[[#This Row],[New Ark SKU]],Table9[New Ark SKU],Table9[Back Glass],,0)</f>
        <v>Black glazing</v>
      </c>
      <c r="BH1299" s="629" t="str">
        <f>_xlfn.XLOOKUP(PV_DATA[[#This Row],[PORT DESTINATION]],Table12[PORT DESTINATION],Table12[Cosco Line],,0)</f>
        <v>AEU</v>
      </c>
    </row>
    <row r="1300" spans="1:60">
      <c r="A1300" s="1276" t="s">
        <v>7392</v>
      </c>
      <c r="B1300" s="726" t="s">
        <v>1757</v>
      </c>
      <c r="C1300" s="726" t="str">
        <f>IFERROR(LEFT(PV_DATA[[#This Row],[TCL REFERENCE]],FIND(".",PV_DATA[[#This Row],[TCL REFERENCE]],1)-1),"Main Line")</f>
        <v>26Oct009</v>
      </c>
      <c r="D1300" s="726" t="s">
        <v>63</v>
      </c>
      <c r="E1300" s="439" t="s">
        <v>64</v>
      </c>
      <c r="F1300" s="439" t="str" cm="1">
        <f t="array" ref="F1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00" s="726" t="s">
        <v>402</v>
      </c>
      <c r="H1300" s="462" t="s">
        <v>67</v>
      </c>
      <c r="I1300" s="726" t="s">
        <v>882</v>
      </c>
      <c r="J1300" s="431" t="s">
        <v>96</v>
      </c>
      <c r="K1300" s="619"/>
      <c r="L1300" s="619"/>
      <c r="M1300" s="431" t="s">
        <v>68</v>
      </c>
      <c r="N1300" s="630"/>
      <c r="O1300" s="619" t="s">
        <v>284</v>
      </c>
      <c r="P1300" s="623" t="s">
        <v>5851</v>
      </c>
      <c r="Q1300" s="619" t="s">
        <v>5852</v>
      </c>
      <c r="R1300" s="430" t="str">
        <f>_xlfn.XLOOKUP(PV_DATA[[#This Row],[New Ark SKU]],Table9[New Ark SKU],Table9[Connector],,0)</f>
        <v>EVO2A</v>
      </c>
      <c r="S1300" s="433" t="str">
        <f>_xlfn.XLOOKUP(PV_DATA[[#This Row],[New Ark SKU]],Table9[New Ark SKU],Table9[Cable],,0)</f>
        <v>±1200mm</v>
      </c>
      <c r="T1300" s="620">
        <v>485</v>
      </c>
      <c r="U1300" s="1064">
        <f>936*8</f>
        <v>7488</v>
      </c>
      <c r="V1300" s="624">
        <f>PV_DATA[[#This Row],[QUANTITY]]*PV_DATA[[#This Row],[WATT]]/1000000</f>
        <v>3.6316799999999998</v>
      </c>
      <c r="W1300" s="625">
        <f>PV_DATA[[#This Row],[QUANTITY]]/PV_DATA[[#This Row],[Qty/Pallet]]</f>
        <v>208</v>
      </c>
      <c r="X1300" s="1047">
        <f>PV_DATA[[#This Row],[QUANTITY]]/PV_DATA[[#This Row],[Qty/CT]]</f>
        <v>8</v>
      </c>
      <c r="Y1300" s="431" t="s">
        <v>2474</v>
      </c>
      <c r="Z1300" s="1275" t="str">
        <f t="shared" si="45"/>
        <v/>
      </c>
      <c r="AA1300" s="619"/>
      <c r="AB1300" s="626"/>
      <c r="AC1300" s="627" t="str">
        <f>IF(PV_DATA[[#This Row],[Pick- Up Date]]&lt;&gt;"",_xlfn.ISOWEEKNUM(PV_DATA[[#This Row],[Pick- Up Date]]),"")</f>
        <v/>
      </c>
      <c r="AD1300" s="619"/>
      <c r="AE1300" s="620"/>
      <c r="AF1300" s="430" t="s">
        <v>122</v>
      </c>
      <c r="AG1300" s="430" t="s">
        <v>123</v>
      </c>
      <c r="AH1300" s="431" t="s">
        <v>105</v>
      </c>
      <c r="AI1300" s="626"/>
      <c r="AJ1300" s="626"/>
      <c r="AK1300" s="626"/>
      <c r="AL1300" s="626"/>
      <c r="AM1300" s="626"/>
      <c r="AN1300" s="626"/>
      <c r="AO1300" s="619"/>
      <c r="AP1300" s="619"/>
      <c r="AQ1300" s="628"/>
      <c r="AR1300" s="619"/>
      <c r="AS1300" s="619"/>
      <c r="AT1300" s="619"/>
      <c r="AU1300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00" s="619"/>
      <c r="AW1300" s="626" cm="1">
        <f t="array" ref="AW1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30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0" s="626">
        <f>IF(ISERROR(PV_DATA[[#This Row],[New Ark PO status]]),"",_xlfn.XLOOKUP(PV_DATA[[#This Row],[SPTN-PVHK New Ark PO'#]],New_Ark_Data[Purchase order Number],New_Ark_Data[Estimated time of arrival],"",0))</f>
        <v>0</v>
      </c>
      <c r="AZ1300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0" s="626">
        <f>IFERROR(PV_DATA[[#This Row],[ODP ETA Port]]+PV_DATA[[#This Row],[Customs/Leg3 Assumption]],"n/a")</f>
        <v>46381</v>
      </c>
      <c r="BB1300" s="620">
        <f>YEAR(PV_DATA[[#This Row],[ETA for New Ark update]])</f>
        <v>2026</v>
      </c>
      <c r="BC1300" s="619">
        <f>MONTH(PV_DATA[[#This Row],[ETA for New Ark update]])</f>
        <v>12</v>
      </c>
      <c r="BD1300" s="619">
        <f>IFERROR(_xlfn.ISOWEEKNUM(PV_DATA[[#This Row],[ETA for New Ark update]]),0)</f>
        <v>52</v>
      </c>
      <c r="BE1300" s="431">
        <f>_xlfn.XLOOKUP(PV_DATA[[#This Row],[New Ark SKU]],Table9[New Ark SKU],Table9[Total PCS per Pallet],,0)</f>
        <v>36</v>
      </c>
      <c r="BF1300" s="431">
        <f>_xlfn.XLOOKUP(PV_DATA[[#This Row],[New Ark SKU]],Table9[New Ark SKU],Table9[Total PCS per 40HQ Container],,0)</f>
        <v>936</v>
      </c>
      <c r="BG1300" s="431" t="str">
        <f>_xlfn.XLOOKUP(PV_DATA[[#This Row],[New Ark SKU]],Table9[New Ark SKU],Table9[Back Glass],,0)</f>
        <v>Black glazing</v>
      </c>
      <c r="BH1300" s="629" t="str">
        <f>_xlfn.XLOOKUP(PV_DATA[[#This Row],[PORT DESTINATION]],Table12[PORT DESTINATION],Table12[Cosco Line],,0)</f>
        <v>AEU</v>
      </c>
    </row>
    <row r="1301" spans="1:60">
      <c r="A1301" s="1276" t="s">
        <v>7393</v>
      </c>
      <c r="B1301" s="726" t="s">
        <v>1757</v>
      </c>
      <c r="C1301" s="726" t="str">
        <f>IFERROR(LEFT(PV_DATA[[#This Row],[TCL REFERENCE]],FIND(".",PV_DATA[[#This Row],[TCL REFERENCE]],1)-1),"Main Line")</f>
        <v>26Oct009</v>
      </c>
      <c r="D1301" s="726" t="s">
        <v>63</v>
      </c>
      <c r="E1301" s="439" t="s">
        <v>64</v>
      </c>
      <c r="F1301" s="439" t="str" cm="1">
        <f t="array" ref="F1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01" s="726" t="s">
        <v>402</v>
      </c>
      <c r="H1301" s="726" t="s">
        <v>67</v>
      </c>
      <c r="I1301" s="431" t="s">
        <v>689</v>
      </c>
      <c r="J1301" s="431" t="s">
        <v>96</v>
      </c>
      <c r="K1301" s="431"/>
      <c r="L1301" s="431"/>
      <c r="M1301" s="619" t="s">
        <v>68</v>
      </c>
      <c r="N1301" s="630"/>
      <c r="O1301" s="619" t="s">
        <v>284</v>
      </c>
      <c r="P1301" s="623" t="s">
        <v>5851</v>
      </c>
      <c r="Q1301" s="619" t="s">
        <v>5852</v>
      </c>
      <c r="R1301" s="430" t="str">
        <f>_xlfn.XLOOKUP(PV_DATA[[#This Row],[New Ark SKU]],Table9[New Ark SKU],Table9[Connector],,0)</f>
        <v>EVO2A</v>
      </c>
      <c r="S1301" s="433" t="str">
        <f>_xlfn.XLOOKUP(PV_DATA[[#This Row],[New Ark SKU]],Table9[New Ark SKU],Table9[Cable],,0)</f>
        <v>±1200mm</v>
      </c>
      <c r="T1301" s="620">
        <v>485</v>
      </c>
      <c r="U1301" s="1064">
        <f>936*11</f>
        <v>10296</v>
      </c>
      <c r="V1301" s="624">
        <f>PV_DATA[[#This Row],[QUANTITY]]*PV_DATA[[#This Row],[WATT]]/1000000</f>
        <v>4.9935600000000004</v>
      </c>
      <c r="W1301" s="625">
        <f>PV_DATA[[#This Row],[QUANTITY]]/PV_DATA[[#This Row],[Qty/Pallet]]</f>
        <v>286</v>
      </c>
      <c r="X1301" s="1047">
        <f>PV_DATA[[#This Row],[QUANTITY]]/PV_DATA[[#This Row],[Qty/CT]]</f>
        <v>11</v>
      </c>
      <c r="Y1301" s="431" t="s">
        <v>2475</v>
      </c>
      <c r="Z1301" s="1275" t="str">
        <f t="shared" ref="Z1301:Z1302" si="46">IF(AN1301&lt;&gt;"","COMPLETED",IF(AK1301&lt;&gt;"","IN-TRANSIT",""))</f>
        <v/>
      </c>
      <c r="AA1301" s="619"/>
      <c r="AB1301" s="626"/>
      <c r="AC1301" s="627" t="str">
        <f>IF(PV_DATA[[#This Row],[Pick- Up Date]]&lt;&gt;"",_xlfn.ISOWEEKNUM(PV_DATA[[#This Row],[Pick- Up Date]]),"")</f>
        <v/>
      </c>
      <c r="AD1301" s="619"/>
      <c r="AE1301" s="620"/>
      <c r="AF1301" s="430" t="s">
        <v>122</v>
      </c>
      <c r="AG1301" s="430" t="s">
        <v>123</v>
      </c>
      <c r="AH1301" s="431" t="s">
        <v>105</v>
      </c>
      <c r="AI1301" s="626"/>
      <c r="AJ1301" s="626"/>
      <c r="AK1301" s="626"/>
      <c r="AL1301" s="626"/>
      <c r="AM1301" s="626"/>
      <c r="AN1301" s="626"/>
      <c r="AO1301" s="619"/>
      <c r="AP1301" s="619"/>
      <c r="AQ1301" s="628"/>
      <c r="AR1301" s="619"/>
      <c r="AS1301" s="619"/>
      <c r="AT1301" s="619"/>
      <c r="AU1301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01" s="619"/>
      <c r="AW1301" s="626" cm="1">
        <f t="array" ref="AW1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0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1" s="626">
        <f>IF(ISERROR(PV_DATA[[#This Row],[New Ark PO status]]),"",_xlfn.XLOOKUP(PV_DATA[[#This Row],[SPTN-PVHK New Ark PO'#]],New_Ark_Data[Purchase order Number],New_Ark_Data[Estimated time of arrival],"",0))</f>
        <v>0</v>
      </c>
      <c r="AZ1301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1" s="626">
        <f>IFERROR(PV_DATA[[#This Row],[ODP ETA Port]]+PV_DATA[[#This Row],[Customs/Leg3 Assumption]],"n/a")</f>
        <v>46388</v>
      </c>
      <c r="BB1301" s="620">
        <f>YEAR(PV_DATA[[#This Row],[ETA for New Ark update]])</f>
        <v>2027</v>
      </c>
      <c r="BC1301" s="619">
        <f>MONTH(PV_DATA[[#This Row],[ETA for New Ark update]])</f>
        <v>1</v>
      </c>
      <c r="BD1301" s="619">
        <f>IFERROR(_xlfn.ISOWEEKNUM(PV_DATA[[#This Row],[ETA for New Ark update]]),0)</f>
        <v>53</v>
      </c>
      <c r="BE1301" s="431">
        <f>_xlfn.XLOOKUP(PV_DATA[[#This Row],[New Ark SKU]],Table9[New Ark SKU],Table9[Total PCS per Pallet],,0)</f>
        <v>36</v>
      </c>
      <c r="BF1301" s="431">
        <f>_xlfn.XLOOKUP(PV_DATA[[#This Row],[New Ark SKU]],Table9[New Ark SKU],Table9[Total PCS per 40HQ Container],,0)</f>
        <v>936</v>
      </c>
      <c r="BG1301" s="431" t="str">
        <f>_xlfn.XLOOKUP(PV_DATA[[#This Row],[New Ark SKU]],Table9[New Ark SKU],Table9[Back Glass],,0)</f>
        <v>Black glazing</v>
      </c>
      <c r="BH1301" s="629" t="str">
        <f>_xlfn.XLOOKUP(PV_DATA[[#This Row],[PORT DESTINATION]],Table12[PORT DESTINATION],Table12[Cosco Line],,0)</f>
        <v>AEU</v>
      </c>
    </row>
    <row r="1302" spans="1:60">
      <c r="A1302" s="1276" t="s">
        <v>7394</v>
      </c>
      <c r="B1302" s="726" t="s">
        <v>1757</v>
      </c>
      <c r="C1302" s="726" t="str">
        <f>IFERROR(LEFT(PV_DATA[[#This Row],[TCL REFERENCE]],FIND(".",PV_DATA[[#This Row],[TCL REFERENCE]],1)-1),"Main Line")</f>
        <v>26Oct009</v>
      </c>
      <c r="D1302" s="726" t="s">
        <v>63</v>
      </c>
      <c r="E1302" s="439" t="s">
        <v>64</v>
      </c>
      <c r="F1302" s="439" t="str" cm="1">
        <f t="array" ref="F1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02" s="726" t="s">
        <v>402</v>
      </c>
      <c r="H1302" s="726" t="s">
        <v>67</v>
      </c>
      <c r="I1302" s="431" t="s">
        <v>689</v>
      </c>
      <c r="J1302" s="431" t="s">
        <v>96</v>
      </c>
      <c r="K1302" s="431"/>
      <c r="L1302" s="431"/>
      <c r="M1302" s="619" t="s">
        <v>68</v>
      </c>
      <c r="N1302" s="630"/>
      <c r="O1302" s="619" t="s">
        <v>284</v>
      </c>
      <c r="P1302" s="623" t="s">
        <v>5851</v>
      </c>
      <c r="Q1302" s="619" t="s">
        <v>5852</v>
      </c>
      <c r="R1302" s="430" t="str">
        <f>_xlfn.XLOOKUP(PV_DATA[[#This Row],[New Ark SKU]],Table9[New Ark SKU],Table9[Connector],,0)</f>
        <v>EVO2A</v>
      </c>
      <c r="S1302" s="433" t="str">
        <f>_xlfn.XLOOKUP(PV_DATA[[#This Row],[New Ark SKU]],Table9[New Ark SKU],Table9[Cable],,0)</f>
        <v>±1200mm</v>
      </c>
      <c r="T1302" s="620">
        <v>485</v>
      </c>
      <c r="U1302" s="1064">
        <f>936*5</f>
        <v>4680</v>
      </c>
      <c r="V1302" s="624">
        <f>PV_DATA[[#This Row],[QUANTITY]]*PV_DATA[[#This Row],[WATT]]/1000000</f>
        <v>2.2698</v>
      </c>
      <c r="W1302" s="625">
        <f>PV_DATA[[#This Row],[QUANTITY]]/PV_DATA[[#This Row],[Qty/Pallet]]</f>
        <v>130</v>
      </c>
      <c r="X1302" s="1047">
        <f>PV_DATA[[#This Row],[QUANTITY]]/PV_DATA[[#This Row],[Qty/CT]]</f>
        <v>5</v>
      </c>
      <c r="Y1302" s="431" t="s">
        <v>2475</v>
      </c>
      <c r="Z1302" s="1275" t="str">
        <f t="shared" si="46"/>
        <v/>
      </c>
      <c r="AA1302" s="619"/>
      <c r="AB1302" s="626"/>
      <c r="AC1302" s="627" t="str">
        <f>IF(PV_DATA[[#This Row],[Pick- Up Date]]&lt;&gt;"",_xlfn.ISOWEEKNUM(PV_DATA[[#This Row],[Pick- Up Date]]),"")</f>
        <v/>
      </c>
      <c r="AD1302" s="619"/>
      <c r="AE1302" s="620"/>
      <c r="AF1302" s="430" t="s">
        <v>122</v>
      </c>
      <c r="AG1302" s="430" t="s">
        <v>5994</v>
      </c>
      <c r="AH1302" s="431" t="s">
        <v>105</v>
      </c>
      <c r="AI1302" s="626"/>
      <c r="AJ1302" s="626"/>
      <c r="AK1302" s="626"/>
      <c r="AL1302" s="626"/>
      <c r="AM1302" s="626"/>
      <c r="AN1302" s="626"/>
      <c r="AO1302" s="619"/>
      <c r="AP1302" s="619"/>
      <c r="AQ1302" s="628"/>
      <c r="AR1302" s="619"/>
      <c r="AS1302" s="619"/>
      <c r="AT1302" s="619"/>
      <c r="AU1302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02" s="619"/>
      <c r="AW1302" s="626" cm="1">
        <f t="array" ref="AW1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0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2" s="626">
        <f>IF(ISERROR(PV_DATA[[#This Row],[New Ark PO status]]),"",_xlfn.XLOOKUP(PV_DATA[[#This Row],[SPTN-PVHK New Ark PO'#]],New_Ark_Data[Purchase order Number],New_Ark_Data[Estimated time of arrival],"",0))</f>
        <v>0</v>
      </c>
      <c r="AZ1302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2" s="626">
        <f>IFERROR(PV_DATA[[#This Row],[ODP ETA Port]]+PV_DATA[[#This Row],[Customs/Leg3 Assumption]],"n/a")</f>
        <v>46388</v>
      </c>
      <c r="BB1302" s="620">
        <f>YEAR(PV_DATA[[#This Row],[ETA for New Ark update]])</f>
        <v>2027</v>
      </c>
      <c r="BC1302" s="619">
        <f>MONTH(PV_DATA[[#This Row],[ETA for New Ark update]])</f>
        <v>1</v>
      </c>
      <c r="BD1302" s="619">
        <f>IFERROR(_xlfn.ISOWEEKNUM(PV_DATA[[#This Row],[ETA for New Ark update]]),0)</f>
        <v>53</v>
      </c>
      <c r="BE1302" s="431">
        <f>_xlfn.XLOOKUP(PV_DATA[[#This Row],[New Ark SKU]],Table9[New Ark SKU],Table9[Total PCS per Pallet],,0)</f>
        <v>36</v>
      </c>
      <c r="BF1302" s="431">
        <f>_xlfn.XLOOKUP(PV_DATA[[#This Row],[New Ark SKU]],Table9[New Ark SKU],Table9[Total PCS per 40HQ Container],,0)</f>
        <v>936</v>
      </c>
      <c r="BG1302" s="431" t="str">
        <f>_xlfn.XLOOKUP(PV_DATA[[#This Row],[New Ark SKU]],Table9[New Ark SKU],Table9[Back Glass],,0)</f>
        <v>Black glazing</v>
      </c>
      <c r="BH1302" s="629" t="str">
        <f>_xlfn.XLOOKUP(PV_DATA[[#This Row],[PORT DESTINATION]],Table12[PORT DESTINATION],Table12[Cosco Line],,0)</f>
        <v>AEU</v>
      </c>
    </row>
    <row r="1303" spans="1:60">
      <c r="A1303" s="1276" t="s">
        <v>7395</v>
      </c>
      <c r="B1303" s="726" t="s">
        <v>1757</v>
      </c>
      <c r="C1303" s="726" t="str">
        <f>IFERROR(LEFT(PV_DATA[[#This Row],[TCL REFERENCE]],FIND(".",PV_DATA[[#This Row],[TCL REFERENCE]],1)-1),"Main Line")</f>
        <v>Main Line</v>
      </c>
      <c r="D1303" s="726" t="s">
        <v>63</v>
      </c>
      <c r="E1303" s="439" t="s">
        <v>68</v>
      </c>
      <c r="F1303" s="439" t="str" cm="1">
        <f t="array" ref="F13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03" s="726" t="s">
        <v>68</v>
      </c>
      <c r="H1303" s="726" t="s">
        <v>68</v>
      </c>
      <c r="I1303" s="431" t="s">
        <v>68</v>
      </c>
      <c r="J1303" s="619" t="s">
        <v>68</v>
      </c>
      <c r="K1303" s="619"/>
      <c r="L1303" s="619"/>
      <c r="M1303" s="619" t="s">
        <v>68</v>
      </c>
      <c r="N1303" s="630"/>
      <c r="O1303" s="619" t="s">
        <v>284</v>
      </c>
      <c r="P1303" s="623" t="s">
        <v>6209</v>
      </c>
      <c r="Q1303" s="619" t="s">
        <v>6210</v>
      </c>
      <c r="R1303" s="430" t="str">
        <f>_xlfn.XLOOKUP(PV_DATA[[#This Row],[New Ark SKU]],Table9[New Ark SKU],Table9[Connector],,0)</f>
        <v>EVO2A</v>
      </c>
      <c r="S1303" s="433" t="str">
        <f>_xlfn.XLOOKUP(PV_DATA[[#This Row],[New Ark SKU]],Table9[New Ark SKU],Table9[Cable],,0)</f>
        <v>±1200mm</v>
      </c>
      <c r="T1303" s="620">
        <v>490</v>
      </c>
      <c r="U1303" s="1064" cm="1">
        <f t="array" ref="U1303">936*15-fx_qty</f>
        <v>936</v>
      </c>
      <c r="V1303" s="624">
        <f>PV_DATA[[#This Row],[QUANTITY]]*PV_DATA[[#This Row],[WATT]]/1000000</f>
        <v>0.45863999999999999</v>
      </c>
      <c r="W1303" s="625">
        <f>PV_DATA[[#This Row],[QUANTITY]]/PV_DATA[[#This Row],[Qty/Pallet]]</f>
        <v>26</v>
      </c>
      <c r="X1303" s="1047">
        <f>PV_DATA[[#This Row],[QUANTITY]]/PV_DATA[[#This Row],[Qty/CT]]</f>
        <v>1</v>
      </c>
      <c r="Y1303" s="431" t="s">
        <v>7027</v>
      </c>
      <c r="Z1303" s="1275" t="str">
        <f t="shared" ref="Z1303" si="47">IF(AN1303&lt;&gt;"","COMPLETED",IF(AK1303&lt;&gt;"","IN-TRANSIT",""))</f>
        <v/>
      </c>
      <c r="AA1303" s="619"/>
      <c r="AB1303" s="626"/>
      <c r="AC1303" s="627" t="str">
        <f>IF(PV_DATA[[#This Row],[Pick- Up Date]]&lt;&gt;"",_xlfn.ISOWEEKNUM(PV_DATA[[#This Row],[Pick- Up Date]]),"")</f>
        <v/>
      </c>
      <c r="AD1303" s="619"/>
      <c r="AE1303" s="620"/>
      <c r="AF1303" s="430" t="s">
        <v>122</v>
      </c>
      <c r="AG1303" s="430" t="s">
        <v>123</v>
      </c>
      <c r="AH1303" s="431" t="s">
        <v>68</v>
      </c>
      <c r="AI1303" s="626"/>
      <c r="AJ1303" s="626"/>
      <c r="AK1303" s="626"/>
      <c r="AL1303" s="626"/>
      <c r="AM1303" s="626"/>
      <c r="AN1303" s="626"/>
      <c r="AO1303" s="619"/>
      <c r="AP1303" s="619"/>
      <c r="AQ1303" s="628"/>
      <c r="AR1303" s="619"/>
      <c r="AS1303" s="619"/>
      <c r="AT1303" s="619"/>
      <c r="AU1303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03" s="619"/>
      <c r="AW1303" s="626" t="str" cm="1">
        <f t="array" ref="AW1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0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3" s="626">
        <f>IF(ISERROR(PV_DATA[[#This Row],[New Ark PO status]]),"",_xlfn.XLOOKUP(PV_DATA[[#This Row],[SPTN-PVHK New Ark PO'#]],New_Ark_Data[Purchase order Number],New_Ark_Data[Estimated time of arrival],"",0))</f>
        <v>0</v>
      </c>
      <c r="AZ1303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03" s="626" t="str">
        <f>IFERROR(PV_DATA[[#This Row],[ODP ETA Port]]+PV_DATA[[#This Row],[Customs/Leg3 Assumption]],"n/a")</f>
        <v>n/a</v>
      </c>
      <c r="BB1303" s="620" t="e">
        <f>YEAR(PV_DATA[[#This Row],[ETA for New Ark update]])</f>
        <v>#VALUE!</v>
      </c>
      <c r="BC1303" s="619" t="e">
        <f>MONTH(PV_DATA[[#This Row],[ETA for New Ark update]])</f>
        <v>#VALUE!</v>
      </c>
      <c r="BD1303" s="619">
        <f>IFERROR(_xlfn.ISOWEEKNUM(PV_DATA[[#This Row],[ETA for New Ark update]]),0)</f>
        <v>0</v>
      </c>
      <c r="BE1303" s="431">
        <f>_xlfn.XLOOKUP(PV_DATA[[#This Row],[New Ark SKU]],Table9[New Ark SKU],Table9[Total PCS per Pallet],,0)</f>
        <v>36</v>
      </c>
      <c r="BF1303" s="431">
        <f>_xlfn.XLOOKUP(PV_DATA[[#This Row],[New Ark SKU]],Table9[New Ark SKU],Table9[Total PCS per 40HQ Container],,0)</f>
        <v>936</v>
      </c>
      <c r="BG1303" s="431" t="str">
        <f>_xlfn.XLOOKUP(PV_DATA[[#This Row],[New Ark SKU]],Table9[New Ark SKU],Table9[Back Glass],,0)</f>
        <v>Black glazing</v>
      </c>
      <c r="BH1303" s="629" t="str">
        <f>_xlfn.XLOOKUP(PV_DATA[[#This Row],[PORT DESTINATION]],Table12[PORT DESTINATION],Table12[Cosco Line],,0)</f>
        <v>n/a</v>
      </c>
    </row>
    <row r="1304" spans="1:60">
      <c r="A1304" s="1276" t="s">
        <v>7396</v>
      </c>
      <c r="B1304" s="726" t="s">
        <v>1757</v>
      </c>
      <c r="C1304" s="726" t="str">
        <f>IFERROR(LEFT(PV_DATA[[#This Row],[TCL REFERENCE]],FIND(".",PV_DATA[[#This Row],[TCL REFERENCE]],1)-1),"Main Line")</f>
        <v>26Oct010</v>
      </c>
      <c r="D1304" s="726" t="s">
        <v>63</v>
      </c>
      <c r="E1304" s="439" t="s">
        <v>64</v>
      </c>
      <c r="F1304" s="439" t="str" cm="1">
        <f t="array" ref="F1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304" s="726" t="s">
        <v>402</v>
      </c>
      <c r="H1304" s="726" t="s">
        <v>451</v>
      </c>
      <c r="I1304" s="726" t="s">
        <v>1395</v>
      </c>
      <c r="J1304" s="431" t="s">
        <v>96</v>
      </c>
      <c r="K1304" s="619"/>
      <c r="L1304" s="619"/>
      <c r="M1304" s="619" t="s">
        <v>68</v>
      </c>
      <c r="N1304" s="630"/>
      <c r="O1304" s="619" t="s">
        <v>284</v>
      </c>
      <c r="P1304" s="623" t="s">
        <v>6209</v>
      </c>
      <c r="Q1304" s="619" t="s">
        <v>6210</v>
      </c>
      <c r="R1304" s="430" t="str">
        <f>_xlfn.XLOOKUP(PV_DATA[[#This Row],[New Ark SKU]],Table9[New Ark SKU],Table9[Connector],,0)</f>
        <v>EVO2A</v>
      </c>
      <c r="S1304" s="433" t="str">
        <f>_xlfn.XLOOKUP(PV_DATA[[#This Row],[New Ark SKU]],Table9[New Ark SKU],Table9[Cable],,0)</f>
        <v>±1200mm</v>
      </c>
      <c r="T1304" s="620">
        <v>490</v>
      </c>
      <c r="U1304" s="1064">
        <f>936*3</f>
        <v>2808</v>
      </c>
      <c r="V1304" s="624">
        <f>PV_DATA[[#This Row],[QUANTITY]]*PV_DATA[[#This Row],[WATT]]/1000000</f>
        <v>1.37592</v>
      </c>
      <c r="W1304" s="625">
        <f>PV_DATA[[#This Row],[QUANTITY]]/PV_DATA[[#This Row],[Qty/Pallet]]</f>
        <v>78</v>
      </c>
      <c r="X1304" s="1047">
        <f>PV_DATA[[#This Row],[QUANTITY]]/PV_DATA[[#This Row],[Qty/CT]]</f>
        <v>3</v>
      </c>
      <c r="Y1304" s="431" t="s">
        <v>2475</v>
      </c>
      <c r="Z1304" s="1275" t="str">
        <f>IF(AN1304&lt;&gt;"","COMPLETED",IF(AK1304&lt;&gt;"","IN-TRANSIT",""))</f>
        <v/>
      </c>
      <c r="AA1304" s="619"/>
      <c r="AB1304" s="626"/>
      <c r="AC1304" s="627" t="str">
        <f>IF(PV_DATA[[#This Row],[Pick- Up Date]]&lt;&gt;"",_xlfn.ISOWEEKNUM(PV_DATA[[#This Row],[Pick- Up Date]]),"")</f>
        <v/>
      </c>
      <c r="AD1304" s="619"/>
      <c r="AE1304" s="620"/>
      <c r="AF1304" s="430" t="s">
        <v>122</v>
      </c>
      <c r="AG1304" s="430" t="s">
        <v>123</v>
      </c>
      <c r="AH1304" s="431" t="s">
        <v>456</v>
      </c>
      <c r="AI1304" s="626"/>
      <c r="AJ1304" s="626"/>
      <c r="AK1304" s="626"/>
      <c r="AL1304" s="626"/>
      <c r="AM1304" s="626"/>
      <c r="AN1304" s="626"/>
      <c r="AO1304" s="619"/>
      <c r="AP1304" s="619"/>
      <c r="AQ1304" s="628"/>
      <c r="AR1304" s="619"/>
      <c r="AS1304" s="619"/>
      <c r="AT1304" s="619"/>
      <c r="AU1304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04" s="619"/>
      <c r="AW1304" s="626" cm="1">
        <f t="array" ref="AW1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0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4" s="626">
        <f>IF(ISERROR(PV_DATA[[#This Row],[New Ark PO status]]),"",_xlfn.XLOOKUP(PV_DATA[[#This Row],[SPTN-PVHK New Ark PO'#]],New_Ark_Data[Purchase order Number],New_Ark_Data[Estimated time of arrival],"",0))</f>
        <v>0</v>
      </c>
      <c r="AZ1304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4" s="626">
        <f>IFERROR(PV_DATA[[#This Row],[ODP ETA Port]]+PV_DATA[[#This Row],[Customs/Leg3 Assumption]],"n/a")</f>
        <v>46388</v>
      </c>
      <c r="BB1304" s="620">
        <f>YEAR(PV_DATA[[#This Row],[ETA for New Ark update]])</f>
        <v>2027</v>
      </c>
      <c r="BC1304" s="619">
        <f>MONTH(PV_DATA[[#This Row],[ETA for New Ark update]])</f>
        <v>1</v>
      </c>
      <c r="BD1304" s="619">
        <f>IFERROR(_xlfn.ISOWEEKNUM(PV_DATA[[#This Row],[ETA for New Ark update]]),0)</f>
        <v>53</v>
      </c>
      <c r="BE1304" s="431">
        <f>_xlfn.XLOOKUP(PV_DATA[[#This Row],[New Ark SKU]],Table9[New Ark SKU],Table9[Total PCS per Pallet],,0)</f>
        <v>36</v>
      </c>
      <c r="BF1304" s="431">
        <f>_xlfn.XLOOKUP(PV_DATA[[#This Row],[New Ark SKU]],Table9[New Ark SKU],Table9[Total PCS per 40HQ Container],,0)</f>
        <v>936</v>
      </c>
      <c r="BG1304" s="431" t="str">
        <f>_xlfn.XLOOKUP(PV_DATA[[#This Row],[New Ark SKU]],Table9[New Ark SKU],Table9[Back Glass],,0)</f>
        <v>Black glazing</v>
      </c>
      <c r="BH1304" s="629" t="str">
        <f>_xlfn.XLOOKUP(PV_DATA[[#This Row],[PORT DESTINATION]],Table12[PORT DESTINATION],Table12[Cosco Line],,0)</f>
        <v>AEU</v>
      </c>
    </row>
    <row r="1305" spans="1:60">
      <c r="A1305" s="1276" t="s">
        <v>7397</v>
      </c>
      <c r="B1305" s="726" t="s">
        <v>1757</v>
      </c>
      <c r="C1305" s="726" t="str">
        <f>IFERROR(LEFT(PV_DATA[[#This Row],[TCL REFERENCE]],FIND(".",PV_DATA[[#This Row],[TCL REFERENCE]],1)-1),"Main Line")</f>
        <v>26Oct010</v>
      </c>
      <c r="D1305" s="726" t="s">
        <v>63</v>
      </c>
      <c r="E1305" s="439" t="s">
        <v>64</v>
      </c>
      <c r="F1305" s="439" t="str" cm="1">
        <f t="array" ref="F1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05" s="726" t="s">
        <v>402</v>
      </c>
      <c r="H1305" s="726" t="s">
        <v>67</v>
      </c>
      <c r="I1305" s="431" t="s">
        <v>1395</v>
      </c>
      <c r="J1305" s="431" t="s">
        <v>96</v>
      </c>
      <c r="K1305" s="431"/>
      <c r="L1305" s="431"/>
      <c r="M1305" s="619" t="s">
        <v>68</v>
      </c>
      <c r="N1305" s="630"/>
      <c r="O1305" s="619" t="s">
        <v>284</v>
      </c>
      <c r="P1305" s="623" t="s">
        <v>6209</v>
      </c>
      <c r="Q1305" s="619" t="s">
        <v>6210</v>
      </c>
      <c r="R1305" s="430" t="str">
        <f>_xlfn.XLOOKUP(PV_DATA[[#This Row],[New Ark SKU]],Table9[New Ark SKU],Table9[Connector],,0)</f>
        <v>EVO2A</v>
      </c>
      <c r="S1305" s="433" t="str">
        <f>_xlfn.XLOOKUP(PV_DATA[[#This Row],[New Ark SKU]],Table9[New Ark SKU],Table9[Cable],,0)</f>
        <v>±1200mm</v>
      </c>
      <c r="T1305" s="620">
        <v>490</v>
      </c>
      <c r="U1305" s="1064">
        <f>936*5</f>
        <v>4680</v>
      </c>
      <c r="V1305" s="624">
        <f>PV_DATA[[#This Row],[QUANTITY]]*PV_DATA[[#This Row],[WATT]]/1000000</f>
        <v>2.2932000000000001</v>
      </c>
      <c r="W1305" s="625">
        <f>PV_DATA[[#This Row],[QUANTITY]]/PV_DATA[[#This Row],[Qty/Pallet]]</f>
        <v>130</v>
      </c>
      <c r="X1305" s="1047">
        <f>PV_DATA[[#This Row],[QUANTITY]]/PV_DATA[[#This Row],[Qty/CT]]</f>
        <v>5</v>
      </c>
      <c r="Y1305" s="431" t="s">
        <v>2475</v>
      </c>
      <c r="Z1305" s="1275" t="str">
        <f>IF(AN1305&lt;&gt;"","COMPLETED",IF(AK1305&lt;&gt;"","IN-TRANSIT",""))</f>
        <v/>
      </c>
      <c r="AA1305" s="619"/>
      <c r="AB1305" s="626"/>
      <c r="AC1305" s="627" t="str">
        <f>IF(PV_DATA[[#This Row],[Pick- Up Date]]&lt;&gt;"",_xlfn.ISOWEEKNUM(PV_DATA[[#This Row],[Pick- Up Date]]),"")</f>
        <v/>
      </c>
      <c r="AD1305" s="619"/>
      <c r="AE1305" s="620"/>
      <c r="AF1305" s="430" t="s">
        <v>122</v>
      </c>
      <c r="AG1305" s="430" t="s">
        <v>123</v>
      </c>
      <c r="AH1305" s="431" t="s">
        <v>105</v>
      </c>
      <c r="AI1305" s="626"/>
      <c r="AJ1305" s="626"/>
      <c r="AK1305" s="626"/>
      <c r="AL1305" s="626"/>
      <c r="AM1305" s="626"/>
      <c r="AN1305" s="626"/>
      <c r="AO1305" s="619"/>
      <c r="AP1305" s="619"/>
      <c r="AQ1305" s="628"/>
      <c r="AR1305" s="619"/>
      <c r="AS1305" s="619"/>
      <c r="AT1305" s="619"/>
      <c r="AU1305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05" s="619"/>
      <c r="AW1305" s="626" cm="1">
        <f t="array" ref="AW1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0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5" s="626">
        <f>IF(ISERROR(PV_DATA[[#This Row],[New Ark PO status]]),"",_xlfn.XLOOKUP(PV_DATA[[#This Row],[SPTN-PVHK New Ark PO'#]],New_Ark_Data[Purchase order Number],New_Ark_Data[Estimated time of arrival],"",0))</f>
        <v>0</v>
      </c>
      <c r="AZ1305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5" s="626">
        <f>IFERROR(PV_DATA[[#This Row],[ODP ETA Port]]+PV_DATA[[#This Row],[Customs/Leg3 Assumption]],"n/a")</f>
        <v>46388</v>
      </c>
      <c r="BB1305" s="620">
        <f>YEAR(PV_DATA[[#This Row],[ETA for New Ark update]])</f>
        <v>2027</v>
      </c>
      <c r="BC1305" s="619">
        <f>MONTH(PV_DATA[[#This Row],[ETA for New Ark update]])</f>
        <v>1</v>
      </c>
      <c r="BD1305" s="619">
        <f>IFERROR(_xlfn.ISOWEEKNUM(PV_DATA[[#This Row],[ETA for New Ark update]]),0)</f>
        <v>53</v>
      </c>
      <c r="BE1305" s="431">
        <f>_xlfn.XLOOKUP(PV_DATA[[#This Row],[New Ark SKU]],Table9[New Ark SKU],Table9[Total PCS per Pallet],,0)</f>
        <v>36</v>
      </c>
      <c r="BF1305" s="431">
        <f>_xlfn.XLOOKUP(PV_DATA[[#This Row],[New Ark SKU]],Table9[New Ark SKU],Table9[Total PCS per 40HQ Container],,0)</f>
        <v>936</v>
      </c>
      <c r="BG1305" s="431" t="str">
        <f>_xlfn.XLOOKUP(PV_DATA[[#This Row],[New Ark SKU]],Table9[New Ark SKU],Table9[Back Glass],,0)</f>
        <v>Black glazing</v>
      </c>
      <c r="BH1305" s="629" t="str">
        <f>_xlfn.XLOOKUP(PV_DATA[[#This Row],[PORT DESTINATION]],Table12[PORT DESTINATION],Table12[Cosco Line],,0)</f>
        <v>AEU</v>
      </c>
    </row>
    <row r="1306" spans="1:60">
      <c r="A1306" s="1276" t="s">
        <v>7398</v>
      </c>
      <c r="B1306" s="439" t="s">
        <v>111</v>
      </c>
      <c r="C1306" s="439" t="str">
        <f>IFERROR(LEFT(PV_DATA[[#This Row],[TCL REFERENCE]],FIND(".",PV_DATA[[#This Row],[TCL REFERENCE]],1)-1),"Main Line")</f>
        <v>Main Line</v>
      </c>
      <c r="D1306" s="726" t="s">
        <v>63</v>
      </c>
      <c r="E1306" s="439" t="s">
        <v>68</v>
      </c>
      <c r="F1306" s="439" t="str" cm="1">
        <f t="array" ref="F130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06" s="726" t="s">
        <v>68</v>
      </c>
      <c r="H1306" s="726" t="s">
        <v>68</v>
      </c>
      <c r="I1306" s="431" t="s">
        <v>68</v>
      </c>
      <c r="J1306" s="619" t="s">
        <v>68</v>
      </c>
      <c r="K1306" s="619"/>
      <c r="L1306" s="619"/>
      <c r="M1306" s="619" t="s">
        <v>68</v>
      </c>
      <c r="N1306" s="461">
        <v>46321</v>
      </c>
      <c r="O1306" s="431" t="s">
        <v>5379</v>
      </c>
      <c r="P1306" s="430" t="s">
        <v>6772</v>
      </c>
      <c r="Q1306" s="431" t="s">
        <v>6773</v>
      </c>
      <c r="R1306" s="430" t="str">
        <f>_xlfn.XLOOKUP(PV_DATA[[#This Row],[New Ark SKU]],Table9[New Ark SKU],Table9[Connector],,0)</f>
        <v>EVO2A</v>
      </c>
      <c r="S1306" s="433" t="str">
        <f>_xlfn.XLOOKUP(PV_DATA[[#This Row],[New Ark SKU]],Table9[New Ark SKU],Table9[Cable],,0)</f>
        <v>±1200mm</v>
      </c>
      <c r="T1306" s="442">
        <v>480</v>
      </c>
      <c r="U1306" s="1093" cm="1">
        <f t="array" ref="U1306">16848-fx_qty</f>
        <v>3744</v>
      </c>
      <c r="V1306" s="448">
        <f>PV_DATA[[#This Row],[QUANTITY]]*PV_DATA[[#This Row],[WATT]]/1000000</f>
        <v>1.7971200000000001</v>
      </c>
      <c r="W1306" s="466">
        <f>PV_DATA[[#This Row],[QUANTITY]]/PV_DATA[[#This Row],[Qty/Pallet]]</f>
        <v>104</v>
      </c>
      <c r="X1306" s="1047">
        <f>PV_DATA[[#This Row],[QUANTITY]]/PV_DATA[[#This Row],[Qty/CT]]</f>
        <v>4</v>
      </c>
      <c r="Y1306" s="431" t="s">
        <v>7027</v>
      </c>
      <c r="Z1306" s="1277" t="str">
        <f t="shared" si="34"/>
        <v/>
      </c>
      <c r="AA1306" s="431"/>
      <c r="AB1306" s="441"/>
      <c r="AC1306" s="467" t="str">
        <f>IF(PV_DATA[[#This Row],[Pick- Up Date]]&lt;&gt;"",_xlfn.ISOWEEKNUM(PV_DATA[[#This Row],[Pick- Up Date]]),"")</f>
        <v/>
      </c>
      <c r="AD1306" s="431"/>
      <c r="AE1306" s="442"/>
      <c r="AF1306" s="430" t="s">
        <v>122</v>
      </c>
      <c r="AG1306" s="430" t="s">
        <v>123</v>
      </c>
      <c r="AH1306" s="431" t="s">
        <v>68</v>
      </c>
      <c r="AI1306" s="441"/>
      <c r="AJ1306" s="441"/>
      <c r="AK1306" s="441"/>
      <c r="AL1306" s="441"/>
      <c r="AM1306" s="441"/>
      <c r="AO1306" s="431"/>
      <c r="AP1306" s="431"/>
      <c r="AQ1306" s="445"/>
      <c r="AR1306" s="431"/>
      <c r="AS1306" s="431"/>
      <c r="AT1306" s="431"/>
      <c r="AU1306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06" s="431"/>
      <c r="AW1306" s="441" t="str" cm="1">
        <f t="array" ref="AW1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0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6" s="441">
        <f>IF(ISERROR(PV_DATA[[#This Row],[New Ark PO status]]),"",_xlfn.XLOOKUP(PV_DATA[[#This Row],[SPTN-PVHK New Ark PO'#]],New_Ark_Data[Purchase order Number],New_Ark_Data[Estimated time of arrival],"",0))</f>
        <v>0</v>
      </c>
      <c r="AZ130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06" s="441" t="str">
        <f>IFERROR(PV_DATA[[#This Row],[ODP ETA Port]]+PV_DATA[[#This Row],[Customs/Leg3 Assumption]],"n/a")</f>
        <v>n/a</v>
      </c>
      <c r="BB1306" s="442" t="e">
        <f>YEAR(PV_DATA[[#This Row],[ETA for New Ark update]])</f>
        <v>#VALUE!</v>
      </c>
      <c r="BC1306" s="431" t="e">
        <f>MONTH(PV_DATA[[#This Row],[ETA for New Ark update]])</f>
        <v>#VALUE!</v>
      </c>
      <c r="BD1306" s="431">
        <f>IFERROR(_xlfn.ISOWEEKNUM(PV_DATA[[#This Row],[ETA for New Ark update]]),0)</f>
        <v>0</v>
      </c>
      <c r="BE1306" s="431">
        <f>_xlfn.XLOOKUP(PV_DATA[[#This Row],[New Ark SKU]],Table9[New Ark SKU],Table9[Total PCS per Pallet],,0)</f>
        <v>36</v>
      </c>
      <c r="BF1306" s="431">
        <f>_xlfn.XLOOKUP(PV_DATA[[#This Row],[New Ark SKU]],Table9[New Ark SKU],Table9[Total PCS per 40HQ Container],,0)</f>
        <v>936</v>
      </c>
      <c r="BG1306" s="431" t="str">
        <f>_xlfn.XLOOKUP(PV_DATA[[#This Row],[New Ark SKU]],Table9[New Ark SKU],Table9[Back Glass],,0)</f>
        <v>Black glazing</v>
      </c>
      <c r="BH1306" s="622" t="str">
        <f>_xlfn.XLOOKUP(PV_DATA[[#This Row],[PORT DESTINATION]],Table12[PORT DESTINATION],Table12[Cosco Line],,0)</f>
        <v>n/a</v>
      </c>
    </row>
    <row r="1307" spans="1:60">
      <c r="A1307" s="1276" t="s">
        <v>7399</v>
      </c>
      <c r="B1307" s="439" t="s">
        <v>111</v>
      </c>
      <c r="C1307" s="439" t="str">
        <f>IFERROR(LEFT(PV_DATA[[#This Row],[TCL REFERENCE]],FIND(".",PV_DATA[[#This Row],[TCL REFERENCE]],1)-1),"Main Line")</f>
        <v>26Oct012</v>
      </c>
      <c r="D1307" s="726" t="s">
        <v>63</v>
      </c>
      <c r="E1307" s="439" t="s">
        <v>64</v>
      </c>
      <c r="F1307" s="439" t="str" cm="1">
        <f t="array" ref="F1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307" s="726" t="s">
        <v>402</v>
      </c>
      <c r="H1307" s="726" t="s">
        <v>451</v>
      </c>
      <c r="I1307" s="431" t="s">
        <v>689</v>
      </c>
      <c r="J1307" s="431" t="s">
        <v>96</v>
      </c>
      <c r="K1307" s="431"/>
      <c r="L1307" s="431"/>
      <c r="M1307" s="619" t="s">
        <v>68</v>
      </c>
      <c r="N1307" s="461">
        <v>46321</v>
      </c>
      <c r="O1307" s="431" t="s">
        <v>5379</v>
      </c>
      <c r="P1307" s="430" t="s">
        <v>6772</v>
      </c>
      <c r="Q1307" s="431" t="s">
        <v>6773</v>
      </c>
      <c r="R1307" s="430" t="str">
        <f>_xlfn.XLOOKUP(PV_DATA[[#This Row],[New Ark SKU]],Table9[New Ark SKU],Table9[Connector],,0)</f>
        <v>EVO2A</v>
      </c>
      <c r="S1307" s="433" t="str">
        <f>_xlfn.XLOOKUP(PV_DATA[[#This Row],[New Ark SKU]],Table9[New Ark SKU],Table9[Cable],,0)</f>
        <v>±1200mm</v>
      </c>
      <c r="T1307" s="442">
        <v>480</v>
      </c>
      <c r="U1307" s="1093">
        <f>936*2</f>
        <v>1872</v>
      </c>
      <c r="V1307" s="448">
        <f>PV_DATA[[#This Row],[QUANTITY]]*PV_DATA[[#This Row],[WATT]]/1000000</f>
        <v>0.89856000000000003</v>
      </c>
      <c r="W1307" s="466">
        <f>PV_DATA[[#This Row],[QUANTITY]]/PV_DATA[[#This Row],[Qty/Pallet]]</f>
        <v>52</v>
      </c>
      <c r="X1307" s="1047">
        <f>PV_DATA[[#This Row],[QUANTITY]]/PV_DATA[[#This Row],[Qty/CT]]</f>
        <v>2</v>
      </c>
      <c r="Y1307" s="431" t="s">
        <v>2475</v>
      </c>
      <c r="Z1307" s="1277" t="str">
        <f>IF(AN1307&lt;&gt;"","COMPLETED",IF(AK1307&lt;&gt;"","IN-TRANSIT",""))</f>
        <v/>
      </c>
      <c r="AA1307" s="431"/>
      <c r="AB1307" s="441"/>
      <c r="AC1307" s="467" t="str">
        <f>IF(PV_DATA[[#This Row],[Pick- Up Date]]&lt;&gt;"",_xlfn.ISOWEEKNUM(PV_DATA[[#This Row],[Pick- Up Date]]),"")</f>
        <v/>
      </c>
      <c r="AD1307" s="431"/>
      <c r="AE1307" s="442"/>
      <c r="AF1307" s="430" t="s">
        <v>122</v>
      </c>
      <c r="AG1307" s="430" t="s">
        <v>123</v>
      </c>
      <c r="AH1307" s="431" t="s">
        <v>456</v>
      </c>
      <c r="AI1307" s="441"/>
      <c r="AJ1307" s="441"/>
      <c r="AK1307" s="441"/>
      <c r="AL1307" s="441"/>
      <c r="AM1307" s="441"/>
      <c r="AO1307" s="431"/>
      <c r="AP1307" s="431"/>
      <c r="AQ1307" s="445"/>
      <c r="AR1307" s="431"/>
      <c r="AS1307" s="431"/>
      <c r="AT1307" s="431"/>
      <c r="AU1307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07" s="431"/>
      <c r="AW1307" s="441" cm="1">
        <f t="array" ref="AW1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0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7" s="441">
        <f>IF(ISERROR(PV_DATA[[#This Row],[New Ark PO status]]),"",_xlfn.XLOOKUP(PV_DATA[[#This Row],[SPTN-PVHK New Ark PO'#]],New_Ark_Data[Purchase order Number],New_Ark_Data[Estimated time of arrival],"",0))</f>
        <v>0</v>
      </c>
      <c r="AZ130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7" s="441">
        <f>IFERROR(PV_DATA[[#This Row],[ODP ETA Port]]+PV_DATA[[#This Row],[Customs/Leg3 Assumption]],"n/a")</f>
        <v>46388</v>
      </c>
      <c r="BB1307" s="442">
        <f>YEAR(PV_DATA[[#This Row],[ETA for New Ark update]])</f>
        <v>2027</v>
      </c>
      <c r="BC1307" s="431">
        <f>MONTH(PV_DATA[[#This Row],[ETA for New Ark update]])</f>
        <v>1</v>
      </c>
      <c r="BD1307" s="431">
        <f>IFERROR(_xlfn.ISOWEEKNUM(PV_DATA[[#This Row],[ETA for New Ark update]]),0)</f>
        <v>53</v>
      </c>
      <c r="BE1307" s="431">
        <f>_xlfn.XLOOKUP(PV_DATA[[#This Row],[New Ark SKU]],Table9[New Ark SKU],Table9[Total PCS per Pallet],,0)</f>
        <v>36</v>
      </c>
      <c r="BF1307" s="431">
        <f>_xlfn.XLOOKUP(PV_DATA[[#This Row],[New Ark SKU]],Table9[New Ark SKU],Table9[Total PCS per 40HQ Container],,0)</f>
        <v>936</v>
      </c>
      <c r="BG1307" s="431" t="str">
        <f>_xlfn.XLOOKUP(PV_DATA[[#This Row],[New Ark SKU]],Table9[New Ark SKU],Table9[Back Glass],,0)</f>
        <v>Black glazing</v>
      </c>
      <c r="BH1307" s="622" t="str">
        <f>_xlfn.XLOOKUP(PV_DATA[[#This Row],[PORT DESTINATION]],Table12[PORT DESTINATION],Table12[Cosco Line],,0)</f>
        <v>AEU</v>
      </c>
    </row>
    <row r="1308" spans="1:60">
      <c r="A1308" s="1276" t="s">
        <v>7400</v>
      </c>
      <c r="B1308" s="439" t="s">
        <v>111</v>
      </c>
      <c r="C1308" s="439" t="str">
        <f>IFERROR(LEFT(PV_DATA[[#This Row],[TCL REFERENCE]],FIND(".",PV_DATA[[#This Row],[TCL REFERENCE]],1)-1),"Main Line")</f>
        <v>26Oct012</v>
      </c>
      <c r="D1308" s="726" t="s">
        <v>63</v>
      </c>
      <c r="E1308" s="439" t="s">
        <v>64</v>
      </c>
      <c r="F1308" s="439" t="str" cm="1">
        <f t="array" ref="F13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08" s="726" t="s">
        <v>402</v>
      </c>
      <c r="H1308" s="726" t="s">
        <v>67</v>
      </c>
      <c r="I1308" s="431" t="s">
        <v>689</v>
      </c>
      <c r="J1308" s="431" t="s">
        <v>96</v>
      </c>
      <c r="K1308" s="431"/>
      <c r="L1308" s="431"/>
      <c r="M1308" s="619" t="s">
        <v>68</v>
      </c>
      <c r="N1308" s="461">
        <v>46321</v>
      </c>
      <c r="O1308" s="431" t="s">
        <v>5379</v>
      </c>
      <c r="P1308" s="430" t="s">
        <v>6772</v>
      </c>
      <c r="Q1308" s="431" t="s">
        <v>6773</v>
      </c>
      <c r="R1308" s="430" t="str">
        <f>_xlfn.XLOOKUP(PV_DATA[[#This Row],[New Ark SKU]],Table9[New Ark SKU],Table9[Connector],,0)</f>
        <v>EVO2A</v>
      </c>
      <c r="S1308" s="433" t="str">
        <f>_xlfn.XLOOKUP(PV_DATA[[#This Row],[New Ark SKU]],Table9[New Ark SKU],Table9[Cable],,0)</f>
        <v>±1200mm</v>
      </c>
      <c r="T1308" s="442">
        <v>480</v>
      </c>
      <c r="U1308" s="1093">
        <f>936*8</f>
        <v>7488</v>
      </c>
      <c r="V1308" s="448">
        <f>PV_DATA[[#This Row],[QUANTITY]]*PV_DATA[[#This Row],[WATT]]/1000000</f>
        <v>3.5942400000000001</v>
      </c>
      <c r="W1308" s="466">
        <f>PV_DATA[[#This Row],[QUANTITY]]/PV_DATA[[#This Row],[Qty/Pallet]]</f>
        <v>208</v>
      </c>
      <c r="X1308" s="1047">
        <f>PV_DATA[[#This Row],[QUANTITY]]/PV_DATA[[#This Row],[Qty/CT]]</f>
        <v>8</v>
      </c>
      <c r="Y1308" s="431" t="s">
        <v>2475</v>
      </c>
      <c r="Z1308" s="1277" t="str">
        <f>IF(AN1308&lt;&gt;"","COMPLETED",IF(AK1308&lt;&gt;"","IN-TRANSIT",""))</f>
        <v/>
      </c>
      <c r="AA1308" s="431"/>
      <c r="AB1308" s="441"/>
      <c r="AC1308" s="467" t="str">
        <f>IF(PV_DATA[[#This Row],[Pick- Up Date]]&lt;&gt;"",_xlfn.ISOWEEKNUM(PV_DATA[[#This Row],[Pick- Up Date]]),"")</f>
        <v/>
      </c>
      <c r="AD1308" s="431"/>
      <c r="AE1308" s="442"/>
      <c r="AF1308" s="430" t="s">
        <v>122</v>
      </c>
      <c r="AG1308" s="430" t="s">
        <v>123</v>
      </c>
      <c r="AH1308" s="431" t="s">
        <v>105</v>
      </c>
      <c r="AI1308" s="441"/>
      <c r="AJ1308" s="441"/>
      <c r="AK1308" s="441"/>
      <c r="AL1308" s="441"/>
      <c r="AM1308" s="441"/>
      <c r="AO1308" s="431"/>
      <c r="AP1308" s="431"/>
      <c r="AQ1308" s="445"/>
      <c r="AR1308" s="431"/>
      <c r="AS1308" s="431"/>
      <c r="AT1308" s="431"/>
      <c r="AU1308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08" s="431"/>
      <c r="AW1308" s="441" cm="1">
        <f t="array" ref="AW1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0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8" s="441">
        <f>IF(ISERROR(PV_DATA[[#This Row],[New Ark PO status]]),"",_xlfn.XLOOKUP(PV_DATA[[#This Row],[SPTN-PVHK New Ark PO'#]],New_Ark_Data[Purchase order Number],New_Ark_Data[Estimated time of arrival],"",0))</f>
        <v>0</v>
      </c>
      <c r="AZ130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8" s="441">
        <f>IFERROR(PV_DATA[[#This Row],[ODP ETA Port]]+PV_DATA[[#This Row],[Customs/Leg3 Assumption]],"n/a")</f>
        <v>46388</v>
      </c>
      <c r="BB1308" s="442">
        <f>YEAR(PV_DATA[[#This Row],[ETA for New Ark update]])</f>
        <v>2027</v>
      </c>
      <c r="BC1308" s="431">
        <f>MONTH(PV_DATA[[#This Row],[ETA for New Ark update]])</f>
        <v>1</v>
      </c>
      <c r="BD1308" s="431">
        <f>IFERROR(_xlfn.ISOWEEKNUM(PV_DATA[[#This Row],[ETA for New Ark update]]),0)</f>
        <v>53</v>
      </c>
      <c r="BE1308" s="431">
        <f>_xlfn.XLOOKUP(PV_DATA[[#This Row],[New Ark SKU]],Table9[New Ark SKU],Table9[Total PCS per Pallet],,0)</f>
        <v>36</v>
      </c>
      <c r="BF1308" s="431">
        <f>_xlfn.XLOOKUP(PV_DATA[[#This Row],[New Ark SKU]],Table9[New Ark SKU],Table9[Total PCS per 40HQ Container],,0)</f>
        <v>936</v>
      </c>
      <c r="BG1308" s="431" t="str">
        <f>_xlfn.XLOOKUP(PV_DATA[[#This Row],[New Ark SKU]],Table9[New Ark SKU],Table9[Back Glass],,0)</f>
        <v>Black glazing</v>
      </c>
      <c r="BH1308" s="622" t="str">
        <f>_xlfn.XLOOKUP(PV_DATA[[#This Row],[PORT DESTINATION]],Table12[PORT DESTINATION],Table12[Cosco Line],,0)</f>
        <v>AEU</v>
      </c>
    </row>
    <row r="1309" spans="1:60">
      <c r="A1309" s="1276" t="s">
        <v>7401</v>
      </c>
      <c r="B1309" s="439" t="s">
        <v>111</v>
      </c>
      <c r="C1309" s="439" t="str">
        <f>IFERROR(LEFT(PV_DATA[[#This Row],[TCL REFERENCE]],FIND(".",PV_DATA[[#This Row],[TCL REFERENCE]],1)-1),"Main Line")</f>
        <v>26Oct012</v>
      </c>
      <c r="D1309" s="726" t="s">
        <v>63</v>
      </c>
      <c r="E1309" s="439" t="s">
        <v>64</v>
      </c>
      <c r="F1309" s="439" t="str" cm="1">
        <f t="array" ref="F13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09" s="726" t="s">
        <v>402</v>
      </c>
      <c r="H1309" s="726" t="s">
        <v>67</v>
      </c>
      <c r="I1309" s="431" t="s">
        <v>689</v>
      </c>
      <c r="J1309" s="431" t="s">
        <v>96</v>
      </c>
      <c r="K1309" s="431"/>
      <c r="L1309" s="431"/>
      <c r="M1309" s="619" t="s">
        <v>68</v>
      </c>
      <c r="N1309" s="461">
        <v>46321</v>
      </c>
      <c r="O1309" s="431" t="s">
        <v>5379</v>
      </c>
      <c r="P1309" s="430" t="s">
        <v>6772</v>
      </c>
      <c r="Q1309" s="431" t="s">
        <v>6773</v>
      </c>
      <c r="R1309" s="430" t="str">
        <f>_xlfn.XLOOKUP(PV_DATA[[#This Row],[New Ark SKU]],Table9[New Ark SKU],Table9[Connector],,0)</f>
        <v>EVO2A</v>
      </c>
      <c r="S1309" s="433" t="str">
        <f>_xlfn.XLOOKUP(PV_DATA[[#This Row],[New Ark SKU]],Table9[New Ark SKU],Table9[Cable],,0)</f>
        <v>±1200mm</v>
      </c>
      <c r="T1309" s="442">
        <v>480</v>
      </c>
      <c r="U1309" s="1093">
        <f>936*4</f>
        <v>3744</v>
      </c>
      <c r="V1309" s="448">
        <f>PV_DATA[[#This Row],[QUANTITY]]*PV_DATA[[#This Row],[WATT]]/1000000</f>
        <v>1.7971200000000001</v>
      </c>
      <c r="W1309" s="466">
        <f>PV_DATA[[#This Row],[QUANTITY]]/PV_DATA[[#This Row],[Qty/Pallet]]</f>
        <v>104</v>
      </c>
      <c r="X1309" s="1047">
        <f>PV_DATA[[#This Row],[QUANTITY]]/PV_DATA[[#This Row],[Qty/CT]]</f>
        <v>4</v>
      </c>
      <c r="Y1309" s="431" t="s">
        <v>7334</v>
      </c>
      <c r="Z1309" s="1277" t="str">
        <f>IF(AN1309&lt;&gt;"","COMPLETED",IF(AK1309&lt;&gt;"","IN-TRANSIT",""))</f>
        <v/>
      </c>
      <c r="AA1309" s="431"/>
      <c r="AB1309" s="441"/>
      <c r="AC1309" s="467" t="str">
        <f>IF(PV_DATA[[#This Row],[Pick- Up Date]]&lt;&gt;"",_xlfn.ISOWEEKNUM(PV_DATA[[#This Row],[Pick- Up Date]]),"")</f>
        <v/>
      </c>
      <c r="AD1309" s="431"/>
      <c r="AE1309" s="442"/>
      <c r="AF1309" s="430" t="s">
        <v>122</v>
      </c>
      <c r="AG1309" s="430" t="s">
        <v>123</v>
      </c>
      <c r="AH1309" s="431" t="s">
        <v>105</v>
      </c>
      <c r="AI1309" s="441"/>
      <c r="AJ1309" s="441"/>
      <c r="AK1309" s="441"/>
      <c r="AL1309" s="441"/>
      <c r="AM1309" s="441"/>
      <c r="AO1309" s="431"/>
      <c r="AP1309" s="431"/>
      <c r="AQ1309" s="445"/>
      <c r="AR1309" s="431"/>
      <c r="AS1309" s="431"/>
      <c r="AT1309" s="431"/>
      <c r="AU1309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09" s="431"/>
      <c r="AW1309" s="441" cm="1">
        <f t="array" ref="AW1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30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09" s="441">
        <f>IF(ISERROR(PV_DATA[[#This Row],[New Ark PO status]]),"",_xlfn.XLOOKUP(PV_DATA[[#This Row],[SPTN-PVHK New Ark PO'#]],New_Ark_Data[Purchase order Number],New_Ark_Data[Estimated time of arrival],"",0))</f>
        <v>0</v>
      </c>
      <c r="AZ130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09" s="441">
        <f>IFERROR(PV_DATA[[#This Row],[ODP ETA Port]]+PV_DATA[[#This Row],[Customs/Leg3 Assumption]],"n/a")</f>
        <v>46395</v>
      </c>
      <c r="BB1309" s="442">
        <f>YEAR(PV_DATA[[#This Row],[ETA for New Ark update]])</f>
        <v>2027</v>
      </c>
      <c r="BC1309" s="431">
        <f>MONTH(PV_DATA[[#This Row],[ETA for New Ark update]])</f>
        <v>1</v>
      </c>
      <c r="BD1309" s="431">
        <f>IFERROR(_xlfn.ISOWEEKNUM(PV_DATA[[#This Row],[ETA for New Ark update]]),0)</f>
        <v>1</v>
      </c>
      <c r="BE1309" s="431">
        <f>_xlfn.XLOOKUP(PV_DATA[[#This Row],[New Ark SKU]],Table9[New Ark SKU],Table9[Total PCS per Pallet],,0)</f>
        <v>36</v>
      </c>
      <c r="BF1309" s="431">
        <f>_xlfn.XLOOKUP(PV_DATA[[#This Row],[New Ark SKU]],Table9[New Ark SKU],Table9[Total PCS per 40HQ Container],,0)</f>
        <v>936</v>
      </c>
      <c r="BG1309" s="431" t="str">
        <f>_xlfn.XLOOKUP(PV_DATA[[#This Row],[New Ark SKU]],Table9[New Ark SKU],Table9[Back Glass],,0)</f>
        <v>Black glazing</v>
      </c>
      <c r="BH1309" s="622" t="str">
        <f>_xlfn.XLOOKUP(PV_DATA[[#This Row],[PORT DESTINATION]],Table12[PORT DESTINATION],Table12[Cosco Line],,0)</f>
        <v>AEU</v>
      </c>
    </row>
    <row r="1310" spans="1:60">
      <c r="A1310" s="1276" t="s">
        <v>7402</v>
      </c>
      <c r="B1310" s="439" t="s">
        <v>111</v>
      </c>
      <c r="C1310" s="726" t="str">
        <f>IFERROR(LEFT(PV_DATA[[#This Row],[TCL REFERENCE]],FIND(".",PV_DATA[[#This Row],[TCL REFERENCE]],1)-1),"Main Line")</f>
        <v>Main Line</v>
      </c>
      <c r="D1310" s="726" t="s">
        <v>63</v>
      </c>
      <c r="E1310" s="439" t="s">
        <v>68</v>
      </c>
      <c r="F1310" s="439" t="str" cm="1">
        <f t="array" ref="F131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10" s="726" t="s">
        <v>68</v>
      </c>
      <c r="H1310" s="726" t="s">
        <v>68</v>
      </c>
      <c r="I1310" s="431" t="s">
        <v>68</v>
      </c>
      <c r="J1310" s="619" t="s">
        <v>68</v>
      </c>
      <c r="K1310" s="619"/>
      <c r="L1310" s="619"/>
      <c r="M1310" s="619" t="s">
        <v>68</v>
      </c>
      <c r="N1310" s="461">
        <v>46321</v>
      </c>
      <c r="O1310" s="431" t="s">
        <v>5379</v>
      </c>
      <c r="P1310" s="623" t="s">
        <v>7403</v>
      </c>
      <c r="Q1310" s="619" t="s">
        <v>7404</v>
      </c>
      <c r="R1310" s="430" t="str">
        <f>_xlfn.XLOOKUP(PV_DATA[[#This Row],[New Ark SKU]],Table9[New Ark SKU],Table9[Connector],,0)</f>
        <v>EVO2A</v>
      </c>
      <c r="S1310" s="433" t="str">
        <f>_xlfn.XLOOKUP(PV_DATA[[#This Row],[New Ark SKU]],Table9[New Ark SKU],Table9[Cable],,0)</f>
        <v>±1200mm</v>
      </c>
      <c r="T1310" s="620">
        <v>485</v>
      </c>
      <c r="U1310" s="1064" cm="1">
        <f t="array" ref="U1310">25272-fx_qty</f>
        <v>17784</v>
      </c>
      <c r="V1310" s="624">
        <f>PV_DATA[[#This Row],[QUANTITY]]*PV_DATA[[#This Row],[WATT]]/1000000</f>
        <v>8.6252399999999998</v>
      </c>
      <c r="W1310" s="625">
        <f>PV_DATA[[#This Row],[QUANTITY]]/PV_DATA[[#This Row],[Qty/Pallet]]</f>
        <v>494</v>
      </c>
      <c r="X1310" s="1047">
        <f>PV_DATA[[#This Row],[QUANTITY]]/PV_DATA[[#This Row],[Qty/CT]]</f>
        <v>19</v>
      </c>
      <c r="Y1310" s="431" t="s">
        <v>7027</v>
      </c>
      <c r="Z1310" s="1275" t="str">
        <f>IF(AN1310&lt;&gt;"","COMPLETED",IF(AK1310&lt;&gt;"","IN-TRANSIT",""))</f>
        <v/>
      </c>
      <c r="AA1310" s="619"/>
      <c r="AB1310" s="626"/>
      <c r="AC1310" s="627" t="str">
        <f>IF(PV_DATA[[#This Row],[Pick- Up Date]]&lt;&gt;"",_xlfn.ISOWEEKNUM(PV_DATA[[#This Row],[Pick- Up Date]]),"")</f>
        <v/>
      </c>
      <c r="AD1310" s="619"/>
      <c r="AE1310" s="620"/>
      <c r="AF1310" s="430" t="s">
        <v>122</v>
      </c>
      <c r="AG1310" s="430" t="s">
        <v>123</v>
      </c>
      <c r="AH1310" s="431" t="s">
        <v>68</v>
      </c>
      <c r="AI1310" s="626"/>
      <c r="AJ1310" s="626"/>
      <c r="AK1310" s="626"/>
      <c r="AL1310" s="626"/>
      <c r="AM1310" s="626"/>
      <c r="AN1310" s="626"/>
      <c r="AO1310" s="619"/>
      <c r="AP1310" s="619"/>
      <c r="AQ1310" s="628"/>
      <c r="AR1310" s="619"/>
      <c r="AS1310" s="619"/>
      <c r="AT1310" s="619"/>
      <c r="AU1310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10" s="619"/>
      <c r="AW1310" s="626" t="str" cm="1">
        <f t="array" ref="AW1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10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0" s="626">
        <f>IF(ISERROR(PV_DATA[[#This Row],[New Ark PO status]]),"",_xlfn.XLOOKUP(PV_DATA[[#This Row],[SPTN-PVHK New Ark PO'#]],New_Ark_Data[Purchase order Number],New_Ark_Data[Estimated time of arrival],"",0))</f>
        <v>0</v>
      </c>
      <c r="AZ1310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10" s="626" t="str">
        <f>IFERROR(PV_DATA[[#This Row],[ODP ETA Port]]+PV_DATA[[#This Row],[Customs/Leg3 Assumption]],"n/a")</f>
        <v>n/a</v>
      </c>
      <c r="BB1310" s="620" t="e">
        <f>YEAR(PV_DATA[[#This Row],[ETA for New Ark update]])</f>
        <v>#VALUE!</v>
      </c>
      <c r="BC1310" s="619" t="e">
        <f>MONTH(PV_DATA[[#This Row],[ETA for New Ark update]])</f>
        <v>#VALUE!</v>
      </c>
      <c r="BD1310" s="619">
        <f>IFERROR(_xlfn.ISOWEEKNUM(PV_DATA[[#This Row],[ETA for New Ark update]]),0)</f>
        <v>0</v>
      </c>
      <c r="BE1310" s="431">
        <f>_xlfn.XLOOKUP(PV_DATA[[#This Row],[New Ark SKU]],Table9[New Ark SKU],Table9[Total PCS per Pallet],,0)</f>
        <v>36</v>
      </c>
      <c r="BF1310" s="431">
        <f>_xlfn.XLOOKUP(PV_DATA[[#This Row],[New Ark SKU]],Table9[New Ark SKU],Table9[Total PCS per 40HQ Container],,0)</f>
        <v>936</v>
      </c>
      <c r="BG1310" s="431" t="str">
        <f>_xlfn.XLOOKUP(PV_DATA[[#This Row],[New Ark SKU]],Table9[New Ark SKU],Table9[Back Glass],,0)</f>
        <v>Black glazing</v>
      </c>
      <c r="BH1310" s="629" t="str">
        <f>_xlfn.XLOOKUP(PV_DATA[[#This Row],[PORT DESTINATION]],Table12[PORT DESTINATION],Table12[Cosco Line],,0)</f>
        <v>n/a</v>
      </c>
    </row>
    <row r="1311" spans="1:60">
      <c r="A1311" s="1276" t="s">
        <v>7405</v>
      </c>
      <c r="B1311" s="726" t="s">
        <v>1757</v>
      </c>
      <c r="C1311" s="726" t="str">
        <f>IFERROR(LEFT(PV_DATA[[#This Row],[TCL REFERENCE]],FIND(".",PV_DATA[[#This Row],[TCL REFERENCE]],1)-1),"Main Line")</f>
        <v>26Oct009</v>
      </c>
      <c r="D1311" s="726" t="s">
        <v>63</v>
      </c>
      <c r="E1311" s="439" t="s">
        <v>64</v>
      </c>
      <c r="F1311" s="439" t="str" cm="1">
        <f t="array" ref="F1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11" s="726" t="s">
        <v>402</v>
      </c>
      <c r="H1311" s="726" t="s">
        <v>67</v>
      </c>
      <c r="I1311" s="431" t="s">
        <v>689</v>
      </c>
      <c r="J1311" s="431" t="s">
        <v>96</v>
      </c>
      <c r="K1311" s="431"/>
      <c r="L1311" s="431"/>
      <c r="M1311" s="619" t="s">
        <v>68</v>
      </c>
      <c r="N1311" s="630"/>
      <c r="O1311" s="619" t="s">
        <v>284</v>
      </c>
      <c r="P1311" s="623" t="s">
        <v>5851</v>
      </c>
      <c r="Q1311" s="619" t="s">
        <v>5852</v>
      </c>
      <c r="R1311" s="430" t="str">
        <f>_xlfn.XLOOKUP(PV_DATA[[#This Row],[New Ark SKU]],Table9[New Ark SKU],Table9[Connector],,0)</f>
        <v>EVO2A</v>
      </c>
      <c r="S1311" s="433" t="str">
        <f>_xlfn.XLOOKUP(PV_DATA[[#This Row],[New Ark SKU]],Table9[New Ark SKU],Table9[Cable],,0)</f>
        <v>±1200mm</v>
      </c>
      <c r="T1311" s="620">
        <v>485</v>
      </c>
      <c r="U1311" s="1064">
        <f>936*3</f>
        <v>2808</v>
      </c>
      <c r="V1311" s="624">
        <f>PV_DATA[[#This Row],[QUANTITY]]*PV_DATA[[#This Row],[WATT]]/1000000</f>
        <v>1.36188</v>
      </c>
      <c r="W1311" s="625">
        <f>PV_DATA[[#This Row],[QUANTITY]]/PV_DATA[[#This Row],[Qty/Pallet]]</f>
        <v>78</v>
      </c>
      <c r="X1311" s="1047">
        <f>PV_DATA[[#This Row],[QUANTITY]]/PV_DATA[[#This Row],[Qty/CT]]</f>
        <v>3</v>
      </c>
      <c r="Y1311" s="431" t="s">
        <v>2475</v>
      </c>
      <c r="Z1311" s="1275" t="str">
        <f t="shared" ref="Z1311" si="48">IF(AN1311&lt;&gt;"","COMPLETED",IF(AK1311&lt;&gt;"","IN-TRANSIT",""))</f>
        <v/>
      </c>
      <c r="AA1311" s="619"/>
      <c r="AB1311" s="626"/>
      <c r="AC1311" s="627" t="str">
        <f>IF(PV_DATA[[#This Row],[Pick- Up Date]]&lt;&gt;"",_xlfn.ISOWEEKNUM(PV_DATA[[#This Row],[Pick- Up Date]]),"")</f>
        <v/>
      </c>
      <c r="AD1311" s="619"/>
      <c r="AE1311" s="620"/>
      <c r="AF1311" s="430" t="s">
        <v>122</v>
      </c>
      <c r="AG1311" s="430" t="s">
        <v>5994</v>
      </c>
      <c r="AH1311" s="431" t="s">
        <v>105</v>
      </c>
      <c r="AI1311" s="626"/>
      <c r="AJ1311" s="626"/>
      <c r="AK1311" s="626"/>
      <c r="AL1311" s="626"/>
      <c r="AM1311" s="626"/>
      <c r="AN1311" s="626"/>
      <c r="AO1311" s="619"/>
      <c r="AP1311" s="619"/>
      <c r="AQ1311" s="628"/>
      <c r="AR1311" s="619"/>
      <c r="AS1311" s="619"/>
      <c r="AT1311" s="619"/>
      <c r="AU1311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11" s="619"/>
      <c r="AW1311" s="626" cm="1">
        <f t="array" ref="AW1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311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1" s="626">
        <f>IF(ISERROR(PV_DATA[[#This Row],[New Ark PO status]]),"",_xlfn.XLOOKUP(PV_DATA[[#This Row],[SPTN-PVHK New Ark PO'#]],New_Ark_Data[Purchase order Number],New_Ark_Data[Estimated time of arrival],"",0))</f>
        <v>0</v>
      </c>
      <c r="AZ1311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11" s="626">
        <f>IFERROR(PV_DATA[[#This Row],[ODP ETA Port]]+PV_DATA[[#This Row],[Customs/Leg3 Assumption]],"n/a")</f>
        <v>46388</v>
      </c>
      <c r="BB1311" s="620">
        <f>YEAR(PV_DATA[[#This Row],[ETA for New Ark update]])</f>
        <v>2027</v>
      </c>
      <c r="BC1311" s="619">
        <f>MONTH(PV_DATA[[#This Row],[ETA for New Ark update]])</f>
        <v>1</v>
      </c>
      <c r="BD1311" s="619">
        <f>IFERROR(_xlfn.ISOWEEKNUM(PV_DATA[[#This Row],[ETA for New Ark update]]),0)</f>
        <v>53</v>
      </c>
      <c r="BE1311" s="431">
        <f>_xlfn.XLOOKUP(PV_DATA[[#This Row],[New Ark SKU]],Table9[New Ark SKU],Table9[Total PCS per Pallet],,0)</f>
        <v>36</v>
      </c>
      <c r="BF1311" s="431">
        <f>_xlfn.XLOOKUP(PV_DATA[[#This Row],[New Ark SKU]],Table9[New Ark SKU],Table9[Total PCS per 40HQ Container],,0)</f>
        <v>936</v>
      </c>
      <c r="BG1311" s="431" t="str">
        <f>_xlfn.XLOOKUP(PV_DATA[[#This Row],[New Ark SKU]],Table9[New Ark SKU],Table9[Back Glass],,0)</f>
        <v>Black glazing</v>
      </c>
      <c r="BH1311" s="629" t="str">
        <f>_xlfn.XLOOKUP(PV_DATA[[#This Row],[PORT DESTINATION]],Table12[PORT DESTINATION],Table12[Cosco Line],,0)</f>
        <v>AEU</v>
      </c>
    </row>
    <row r="1312" spans="1:60">
      <c r="A1312" s="1276" t="s">
        <v>7406</v>
      </c>
      <c r="B1312" s="439" t="s">
        <v>111</v>
      </c>
      <c r="C1312" s="726" t="str">
        <f>IFERROR(LEFT(PV_DATA[[#This Row],[TCL REFERENCE]],FIND(".",PV_DATA[[#This Row],[TCL REFERENCE]],1)-1),"Main Line")</f>
        <v>26Oct013</v>
      </c>
      <c r="D1312" s="726" t="s">
        <v>63</v>
      </c>
      <c r="E1312" s="439" t="s">
        <v>64</v>
      </c>
      <c r="F1312" s="439" t="str" cm="1">
        <f t="array" ref="F1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12" s="726" t="s">
        <v>402</v>
      </c>
      <c r="H1312" s="726" t="s">
        <v>67</v>
      </c>
      <c r="I1312" s="431" t="s">
        <v>689</v>
      </c>
      <c r="J1312" s="431" t="s">
        <v>96</v>
      </c>
      <c r="K1312" s="431"/>
      <c r="L1312" s="431"/>
      <c r="M1312" s="619" t="s">
        <v>68</v>
      </c>
      <c r="N1312" s="461">
        <v>46321</v>
      </c>
      <c r="O1312" s="431" t="s">
        <v>5379</v>
      </c>
      <c r="P1312" s="623" t="s">
        <v>7403</v>
      </c>
      <c r="Q1312" s="619" t="s">
        <v>7404</v>
      </c>
      <c r="R1312" s="430" t="str">
        <f>_xlfn.XLOOKUP(PV_DATA[[#This Row],[New Ark SKU]],Table9[New Ark SKU],Table9[Connector],,0)</f>
        <v>EVO2A</v>
      </c>
      <c r="S1312" s="433" t="str">
        <f>_xlfn.XLOOKUP(PV_DATA[[#This Row],[New Ark SKU]],Table9[New Ark SKU],Table9[Cable],,0)</f>
        <v>±1200mm</v>
      </c>
      <c r="T1312" s="620">
        <v>485</v>
      </c>
      <c r="U1312" s="1093">
        <f>936*4</f>
        <v>3744</v>
      </c>
      <c r="V1312" s="624">
        <f>PV_DATA[[#This Row],[QUANTITY]]*PV_DATA[[#This Row],[WATT]]/1000000</f>
        <v>1.8158399999999999</v>
      </c>
      <c r="W1312" s="625">
        <f>PV_DATA[[#This Row],[QUANTITY]]/PV_DATA[[#This Row],[Qty/Pallet]]</f>
        <v>104</v>
      </c>
      <c r="X1312" s="1047">
        <f>PV_DATA[[#This Row],[QUANTITY]]/PV_DATA[[#This Row],[Qty/CT]]</f>
        <v>4</v>
      </c>
      <c r="Y1312" s="431" t="s">
        <v>7339</v>
      </c>
      <c r="Z1312" s="1275" t="str">
        <f>IF(AN1312&lt;&gt;"","COMPLETED",IF(AK1312&lt;&gt;"","IN-TRANSIT",""))</f>
        <v/>
      </c>
      <c r="AA1312" s="619"/>
      <c r="AB1312" s="626"/>
      <c r="AC1312" s="627" t="str">
        <f>IF(PV_DATA[[#This Row],[Pick- Up Date]]&lt;&gt;"",_xlfn.ISOWEEKNUM(PV_DATA[[#This Row],[Pick- Up Date]]),"")</f>
        <v/>
      </c>
      <c r="AD1312" s="619"/>
      <c r="AE1312" s="620"/>
      <c r="AF1312" s="430" t="s">
        <v>122</v>
      </c>
      <c r="AG1312" s="430" t="s">
        <v>123</v>
      </c>
      <c r="AH1312" s="431" t="s">
        <v>105</v>
      </c>
      <c r="AI1312" s="626"/>
      <c r="AJ1312" s="626"/>
      <c r="AK1312" s="626"/>
      <c r="AL1312" s="626"/>
      <c r="AM1312" s="626"/>
      <c r="AN1312" s="626"/>
      <c r="AO1312" s="619"/>
      <c r="AP1312" s="619"/>
      <c r="AQ1312" s="628"/>
      <c r="AR1312" s="619"/>
      <c r="AS1312" s="619"/>
      <c r="AT1312" s="619"/>
      <c r="AU1312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12" s="619"/>
      <c r="AW1312" s="626" cm="1">
        <f t="array" ref="AW1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312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2" s="626">
        <f>IF(ISERROR(PV_DATA[[#This Row],[New Ark PO status]]),"",_xlfn.XLOOKUP(PV_DATA[[#This Row],[SPTN-PVHK New Ark PO'#]],New_Ark_Data[Purchase order Number],New_Ark_Data[Estimated time of arrival],"",0))</f>
        <v>0</v>
      </c>
      <c r="AZ1312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12" s="626">
        <f>IFERROR(PV_DATA[[#This Row],[ODP ETA Port]]+PV_DATA[[#This Row],[Customs/Leg3 Assumption]],"n/a")</f>
        <v>46402</v>
      </c>
      <c r="BB1312" s="620">
        <f>YEAR(PV_DATA[[#This Row],[ETA for New Ark update]])</f>
        <v>2027</v>
      </c>
      <c r="BC1312" s="619">
        <f>MONTH(PV_DATA[[#This Row],[ETA for New Ark update]])</f>
        <v>1</v>
      </c>
      <c r="BD1312" s="619">
        <f>IFERROR(_xlfn.ISOWEEKNUM(PV_DATA[[#This Row],[ETA for New Ark update]]),0)</f>
        <v>2</v>
      </c>
      <c r="BE1312" s="431">
        <f>_xlfn.XLOOKUP(PV_DATA[[#This Row],[New Ark SKU]],Table9[New Ark SKU],Table9[Total PCS per Pallet],,0)</f>
        <v>36</v>
      </c>
      <c r="BF1312" s="431">
        <f>_xlfn.XLOOKUP(PV_DATA[[#This Row],[New Ark SKU]],Table9[New Ark SKU],Table9[Total PCS per 40HQ Container],,0)</f>
        <v>936</v>
      </c>
      <c r="BG1312" s="431" t="str">
        <f>_xlfn.XLOOKUP(PV_DATA[[#This Row],[New Ark SKU]],Table9[New Ark SKU],Table9[Back Glass],,0)</f>
        <v>Black glazing</v>
      </c>
      <c r="BH1312" s="629" t="str">
        <f>_xlfn.XLOOKUP(PV_DATA[[#This Row],[PORT DESTINATION]],Table12[PORT DESTINATION],Table12[Cosco Line],,0)</f>
        <v>AEU</v>
      </c>
    </row>
    <row r="1313" spans="1:60">
      <c r="A1313" s="1276" t="s">
        <v>7407</v>
      </c>
      <c r="B1313" s="439" t="s">
        <v>111</v>
      </c>
      <c r="C1313" s="726" t="str">
        <f>IFERROR(LEFT(PV_DATA[[#This Row],[TCL REFERENCE]],FIND(".",PV_DATA[[#This Row],[TCL REFERENCE]],1)-1),"Main Line")</f>
        <v>26Oct013</v>
      </c>
      <c r="D1313" s="726" t="s">
        <v>63</v>
      </c>
      <c r="E1313" s="439" t="s">
        <v>64</v>
      </c>
      <c r="F1313" s="439" t="str" cm="1">
        <f t="array" ref="F1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313" s="726" t="s">
        <v>402</v>
      </c>
      <c r="H1313" s="726" t="s">
        <v>67</v>
      </c>
      <c r="I1313" s="431" t="s">
        <v>689</v>
      </c>
      <c r="J1313" s="431" t="s">
        <v>96</v>
      </c>
      <c r="K1313" s="431"/>
      <c r="L1313" s="431"/>
      <c r="M1313" s="619" t="s">
        <v>68</v>
      </c>
      <c r="N1313" s="461">
        <v>46321</v>
      </c>
      <c r="O1313" s="431" t="s">
        <v>5379</v>
      </c>
      <c r="P1313" s="623" t="s">
        <v>7403</v>
      </c>
      <c r="Q1313" s="619" t="s">
        <v>7404</v>
      </c>
      <c r="R1313" s="430" t="str">
        <f>_xlfn.XLOOKUP(PV_DATA[[#This Row],[New Ark SKU]],Table9[New Ark SKU],Table9[Connector],,0)</f>
        <v>EVO2A</v>
      </c>
      <c r="S1313" s="433" t="str">
        <f>_xlfn.XLOOKUP(PV_DATA[[#This Row],[New Ark SKU]],Table9[New Ark SKU],Table9[Cable],,0)</f>
        <v>±1200mm</v>
      </c>
      <c r="T1313" s="620">
        <v>485</v>
      </c>
      <c r="U1313" s="1093">
        <f>936*4</f>
        <v>3744</v>
      </c>
      <c r="V1313" s="624">
        <f>PV_DATA[[#This Row],[QUANTITY]]*PV_DATA[[#This Row],[WATT]]/1000000</f>
        <v>1.8158399999999999</v>
      </c>
      <c r="W1313" s="625">
        <f>PV_DATA[[#This Row],[QUANTITY]]/PV_DATA[[#This Row],[Qty/Pallet]]</f>
        <v>104</v>
      </c>
      <c r="X1313" s="1047">
        <f>PV_DATA[[#This Row],[QUANTITY]]/PV_DATA[[#This Row],[Qty/CT]]</f>
        <v>4</v>
      </c>
      <c r="Y1313" s="431" t="s">
        <v>7365</v>
      </c>
      <c r="Z1313" s="1275" t="str">
        <f>IF(AN1313&lt;&gt;"","COMPLETED",IF(AK1313&lt;&gt;"","IN-TRANSIT",""))</f>
        <v/>
      </c>
      <c r="AA1313" s="619"/>
      <c r="AB1313" s="626"/>
      <c r="AC1313" s="627" t="str">
        <f>IF(PV_DATA[[#This Row],[Pick- Up Date]]&lt;&gt;"",_xlfn.ISOWEEKNUM(PV_DATA[[#This Row],[Pick- Up Date]]),"")</f>
        <v/>
      </c>
      <c r="AD1313" s="619"/>
      <c r="AE1313" s="620"/>
      <c r="AF1313" s="430" t="s">
        <v>122</v>
      </c>
      <c r="AG1313" s="430" t="s">
        <v>123</v>
      </c>
      <c r="AH1313" s="431" t="s">
        <v>105</v>
      </c>
      <c r="AI1313" s="626"/>
      <c r="AJ1313" s="626"/>
      <c r="AK1313" s="626"/>
      <c r="AL1313" s="626"/>
      <c r="AM1313" s="626"/>
      <c r="AN1313" s="626"/>
      <c r="AO1313" s="619"/>
      <c r="AP1313" s="619"/>
      <c r="AQ1313" s="628"/>
      <c r="AR1313" s="619"/>
      <c r="AS1313" s="619"/>
      <c r="AT1313" s="619"/>
      <c r="AU1313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13" s="619"/>
      <c r="AW1313" s="626" cm="1">
        <f t="array" ref="AW1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46402</v>
      </c>
      <c r="AX1313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3" s="626">
        <f>IF(ISERROR(PV_DATA[[#This Row],[New Ark PO status]]),"",_xlfn.XLOOKUP(PV_DATA[[#This Row],[SPTN-PVHK New Ark PO'#]],New_Ark_Data[Purchase order Number],New_Ark_Data[Estimated time of arrival],"",0))</f>
        <v>0</v>
      </c>
      <c r="AZ1313" s="62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313" s="626">
        <f>IFERROR(PV_DATA[[#This Row],[ODP ETA Port]]+PV_DATA[[#This Row],[Customs/Leg3 Assumption]],"n/a")</f>
        <v>46409</v>
      </c>
      <c r="BB1313" s="620">
        <f>YEAR(PV_DATA[[#This Row],[ETA for New Ark update]])</f>
        <v>2027</v>
      </c>
      <c r="BC1313" s="619">
        <f>MONTH(PV_DATA[[#This Row],[ETA for New Ark update]])</f>
        <v>1</v>
      </c>
      <c r="BD1313" s="619">
        <f>IFERROR(_xlfn.ISOWEEKNUM(PV_DATA[[#This Row],[ETA for New Ark update]]),0)</f>
        <v>3</v>
      </c>
      <c r="BE1313" s="431">
        <f>_xlfn.XLOOKUP(PV_DATA[[#This Row],[New Ark SKU]],Table9[New Ark SKU],Table9[Total PCS per Pallet],,0)</f>
        <v>36</v>
      </c>
      <c r="BF1313" s="431">
        <f>_xlfn.XLOOKUP(PV_DATA[[#This Row],[New Ark SKU]],Table9[New Ark SKU],Table9[Total PCS per 40HQ Container],,0)</f>
        <v>936</v>
      </c>
      <c r="BG1313" s="431" t="str">
        <f>_xlfn.XLOOKUP(PV_DATA[[#This Row],[New Ark SKU]],Table9[New Ark SKU],Table9[Back Glass],,0)</f>
        <v>Black glazing</v>
      </c>
      <c r="BH1313" s="629" t="str">
        <f>_xlfn.XLOOKUP(PV_DATA[[#This Row],[PORT DESTINATION]],Table12[PORT DESTINATION],Table12[Cosco Line],,0)</f>
        <v>AEU</v>
      </c>
    </row>
    <row r="1314" spans="1:60">
      <c r="A1314" s="1276" t="s">
        <v>7408</v>
      </c>
      <c r="B1314" s="439" t="s">
        <v>111</v>
      </c>
      <c r="C1314" s="439" t="str">
        <f>IFERROR(LEFT(PV_DATA[[#This Row],[TCL REFERENCE]],FIND(".",PV_DATA[[#This Row],[TCL REFERENCE]],1)-1),"Main Line")</f>
        <v>Main Line</v>
      </c>
      <c r="D1314" s="726" t="s">
        <v>63</v>
      </c>
      <c r="E1314" s="439" t="s">
        <v>68</v>
      </c>
      <c r="F1314" s="439" t="str" cm="1">
        <f t="array" ref="F131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14" s="726" t="s">
        <v>68</v>
      </c>
      <c r="H1314" s="726" t="s">
        <v>68</v>
      </c>
      <c r="I1314" s="431" t="s">
        <v>68</v>
      </c>
      <c r="J1314" s="619" t="s">
        <v>68</v>
      </c>
      <c r="K1314" s="619"/>
      <c r="L1314" s="619"/>
      <c r="M1314" s="619" t="s">
        <v>68</v>
      </c>
      <c r="N1314" s="630">
        <v>46292</v>
      </c>
      <c r="O1314" s="431" t="s">
        <v>5379</v>
      </c>
      <c r="P1314" s="430" t="s">
        <v>7217</v>
      </c>
      <c r="Q1314" s="431" t="s">
        <v>7218</v>
      </c>
      <c r="R1314" s="430" t="str">
        <f>_xlfn.XLOOKUP(PV_DATA[[#This Row],[New Ark SKU]],Table9[New Ark SKU],Table9[Connector],,0)</f>
        <v>EVO2A</v>
      </c>
      <c r="S1314" s="433" t="str">
        <f>_xlfn.XLOOKUP(PV_DATA[[#This Row],[New Ark SKU]],Table9[New Ark SKU],Table9[Cable],,0)</f>
        <v>±1200mm</v>
      </c>
      <c r="T1314" s="442">
        <v>480</v>
      </c>
      <c r="U1314" s="1093" cm="1">
        <f t="array" ref="U1314">936*9-fx_qty</f>
        <v>0</v>
      </c>
      <c r="V1314" s="448">
        <f>PV_DATA[[#This Row],[QUANTITY]]*PV_DATA[[#This Row],[WATT]]/1000000</f>
        <v>0</v>
      </c>
      <c r="W1314" s="466">
        <f>PV_DATA[[#This Row],[QUANTITY]]/PV_DATA[[#This Row],[Qty/Pallet]]</f>
        <v>0</v>
      </c>
      <c r="X1314" s="1047">
        <f>PV_DATA[[#This Row],[QUANTITY]]/PV_DATA[[#This Row],[Qty/CT]]</f>
        <v>0</v>
      </c>
      <c r="Y1314" s="431" t="s">
        <v>7027</v>
      </c>
      <c r="Z1314" s="1277" t="str">
        <f t="shared" si="34"/>
        <v/>
      </c>
      <c r="AA1314" s="431"/>
      <c r="AB1314" s="441"/>
      <c r="AC1314" s="467" t="str">
        <f>IF(PV_DATA[[#This Row],[Pick- Up Date]]&lt;&gt;"",_xlfn.ISOWEEKNUM(PV_DATA[[#This Row],[Pick- Up Date]]),"")</f>
        <v/>
      </c>
      <c r="AD1314" s="431"/>
      <c r="AE1314" s="442"/>
      <c r="AF1314" s="430" t="s">
        <v>122</v>
      </c>
      <c r="AG1314" s="430" t="s">
        <v>123</v>
      </c>
      <c r="AH1314" s="466"/>
      <c r="AI1314" s="441"/>
      <c r="AJ1314" s="441"/>
      <c r="AK1314" s="441"/>
      <c r="AL1314" s="441"/>
      <c r="AM1314" s="441"/>
      <c r="AO1314" s="431"/>
      <c r="AP1314" s="431"/>
      <c r="AQ1314" s="445"/>
      <c r="AR1314" s="431"/>
      <c r="AS1314" s="431"/>
      <c r="AT1314" s="431"/>
      <c r="AU1314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14" s="431"/>
      <c r="AW1314" s="441" t="str" cm="1">
        <f t="array" ref="AW1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14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4" s="441">
        <f>IF(ISERROR(PV_DATA[[#This Row],[New Ark PO status]]),"",_xlfn.XLOOKUP(PV_DATA[[#This Row],[SPTN-PVHK New Ark PO'#]],New_Ark_Data[Purchase order Number],New_Ark_Data[Estimated time of arrival],"",0))</f>
        <v>0</v>
      </c>
      <c r="AZ131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14" s="441" t="str">
        <f>IFERROR(PV_DATA[[#This Row],[ODP ETA Port]]+PV_DATA[[#This Row],[Customs/Leg3 Assumption]],"n/a")</f>
        <v>n/a</v>
      </c>
      <c r="BB1314" s="442" t="e">
        <f>YEAR(PV_DATA[[#This Row],[ETA for New Ark update]])</f>
        <v>#VALUE!</v>
      </c>
      <c r="BC1314" s="431" t="e">
        <f>MONTH(PV_DATA[[#This Row],[ETA for New Ark update]])</f>
        <v>#VALUE!</v>
      </c>
      <c r="BD1314" s="431">
        <f>IFERROR(_xlfn.ISOWEEKNUM(PV_DATA[[#This Row],[ETA for New Ark update]]),0)</f>
        <v>0</v>
      </c>
      <c r="BE1314" s="431">
        <f>_xlfn.XLOOKUP(PV_DATA[[#This Row],[New Ark SKU]],Table9[New Ark SKU],Table9[Total PCS per Pallet],,0)</f>
        <v>36</v>
      </c>
      <c r="BF1314" s="431">
        <f>_xlfn.XLOOKUP(PV_DATA[[#This Row],[New Ark SKU]],Table9[New Ark SKU],Table9[Total PCS per 40HQ Container],,0)</f>
        <v>936</v>
      </c>
      <c r="BG1314" s="431" t="str">
        <f>_xlfn.XLOOKUP(PV_DATA[[#This Row],[New Ark SKU]],Table9[New Ark SKU],Table9[Back Glass],,0)</f>
        <v>White glazing</v>
      </c>
      <c r="BH1314" s="622">
        <f>_xlfn.XLOOKUP(PV_DATA[[#This Row],[PORT DESTINATION]],Table12[PORT DESTINATION],Table12[Cosco Line],,0)</f>
        <v>0</v>
      </c>
    </row>
    <row r="1315" spans="1:60">
      <c r="A1315" s="1276" t="s">
        <v>7409</v>
      </c>
      <c r="B1315" s="439" t="s">
        <v>111</v>
      </c>
      <c r="C1315" s="439" t="str">
        <f>IFERROR(LEFT(PV_DATA[[#This Row],[TCL REFERENCE]],FIND(".",PV_DATA[[#This Row],[TCL REFERENCE]],1)-1),"Main Line")</f>
        <v>26Oct014</v>
      </c>
      <c r="D1315" s="726" t="s">
        <v>63</v>
      </c>
      <c r="E1315" s="439" t="s">
        <v>64</v>
      </c>
      <c r="F1315" s="439" t="str" cm="1">
        <f t="array" ref="F1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15" s="726" t="s">
        <v>402</v>
      </c>
      <c r="H1315" s="726" t="s">
        <v>67</v>
      </c>
      <c r="I1315" s="431" t="s">
        <v>689</v>
      </c>
      <c r="J1315" s="431" t="s">
        <v>96</v>
      </c>
      <c r="K1315" s="431"/>
      <c r="L1315" s="431"/>
      <c r="M1315" s="619" t="s">
        <v>68</v>
      </c>
      <c r="N1315" s="630">
        <v>46292</v>
      </c>
      <c r="O1315" s="431" t="s">
        <v>5379</v>
      </c>
      <c r="P1315" s="430" t="s">
        <v>7217</v>
      </c>
      <c r="Q1315" s="431" t="s">
        <v>7218</v>
      </c>
      <c r="R1315" s="430" t="str">
        <f>_xlfn.XLOOKUP(PV_DATA[[#This Row],[New Ark SKU]],Table9[New Ark SKU],Table9[Connector],,0)</f>
        <v>EVO2A</v>
      </c>
      <c r="S1315" s="433" t="str">
        <f>_xlfn.XLOOKUP(PV_DATA[[#This Row],[New Ark SKU]],Table9[New Ark SKU],Table9[Cable],,0)</f>
        <v>±1200mm</v>
      </c>
      <c r="T1315" s="442">
        <v>480</v>
      </c>
      <c r="U1315" s="1093">
        <f>936*5</f>
        <v>4680</v>
      </c>
      <c r="V1315" s="448">
        <f>PV_DATA[[#This Row],[QUANTITY]]*PV_DATA[[#This Row],[WATT]]/1000000</f>
        <v>2.2464</v>
      </c>
      <c r="W1315" s="466">
        <f>PV_DATA[[#This Row],[QUANTITY]]/PV_DATA[[#This Row],[Qty/Pallet]]</f>
        <v>130</v>
      </c>
      <c r="X1315" s="1047">
        <f>PV_DATA[[#This Row],[QUANTITY]]/PV_DATA[[#This Row],[Qty/CT]]</f>
        <v>5</v>
      </c>
      <c r="Y1315" s="431" t="s">
        <v>2475</v>
      </c>
      <c r="Z1315" s="1277" t="str">
        <f t="shared" ref="Z1315" si="49">IF(AN1315&lt;&gt;"","COMPLETED",IF(AK1315&lt;&gt;"","IN-TRANSIT",""))</f>
        <v/>
      </c>
      <c r="AA1315" s="431"/>
      <c r="AB1315" s="441"/>
      <c r="AC1315" s="467" t="str">
        <f>IF(PV_DATA[[#This Row],[Pick- Up Date]]&lt;&gt;"",_xlfn.ISOWEEKNUM(PV_DATA[[#This Row],[Pick- Up Date]]),"")</f>
        <v/>
      </c>
      <c r="AD1315" s="431"/>
      <c r="AE1315" s="442"/>
      <c r="AF1315" s="430" t="s">
        <v>122</v>
      </c>
      <c r="AG1315" s="430" t="s">
        <v>123</v>
      </c>
      <c r="AH1315" s="431" t="s">
        <v>78</v>
      </c>
      <c r="AI1315" s="441"/>
      <c r="AJ1315" s="441"/>
      <c r="AK1315" s="441"/>
      <c r="AL1315" s="441"/>
      <c r="AM1315" s="441"/>
      <c r="AO1315" s="431"/>
      <c r="AP1315" s="431"/>
      <c r="AQ1315" s="445"/>
      <c r="AR1315" s="431"/>
      <c r="AS1315" s="431"/>
      <c r="AT1315" s="431"/>
      <c r="AU1315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15" s="431"/>
      <c r="AW1315" s="441" cm="1">
        <f t="array" ref="AW1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315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5" s="441">
        <f>IF(ISERROR(PV_DATA[[#This Row],[New Ark PO status]]),"",_xlfn.XLOOKUP(PV_DATA[[#This Row],[SPTN-PVHK New Ark PO'#]],New_Ark_Data[Purchase order Number],New_Ark_Data[Estimated time of arrival],"",0))</f>
        <v>0</v>
      </c>
      <c r="AZ131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15" s="441">
        <f>IFERROR(PV_DATA[[#This Row],[ODP ETA Port]]+PV_DATA[[#This Row],[Customs/Leg3 Assumption]],"n/a")</f>
        <v>46393</v>
      </c>
      <c r="BB1315" s="442">
        <f>YEAR(PV_DATA[[#This Row],[ETA for New Ark update]])</f>
        <v>2027</v>
      </c>
      <c r="BC1315" s="431">
        <f>MONTH(PV_DATA[[#This Row],[ETA for New Ark update]])</f>
        <v>1</v>
      </c>
      <c r="BD1315" s="431">
        <f>IFERROR(_xlfn.ISOWEEKNUM(PV_DATA[[#This Row],[ETA for New Ark update]]),0)</f>
        <v>1</v>
      </c>
      <c r="BE1315" s="431">
        <f>_xlfn.XLOOKUP(PV_DATA[[#This Row],[New Ark SKU]],Table9[New Ark SKU],Table9[Total PCS per Pallet],,0)</f>
        <v>36</v>
      </c>
      <c r="BF1315" s="431">
        <f>_xlfn.XLOOKUP(PV_DATA[[#This Row],[New Ark SKU]],Table9[New Ark SKU],Table9[Total PCS per 40HQ Container],,0)</f>
        <v>936</v>
      </c>
      <c r="BG1315" s="431" t="str">
        <f>_xlfn.XLOOKUP(PV_DATA[[#This Row],[New Ark SKU]],Table9[New Ark SKU],Table9[Back Glass],,0)</f>
        <v>White glazing</v>
      </c>
      <c r="BH1315" s="622" t="str">
        <f>_xlfn.XLOOKUP(PV_DATA[[#This Row],[PORT DESTINATION]],Table12[PORT DESTINATION],Table12[Cosco Line],,0)</f>
        <v>AEM</v>
      </c>
    </row>
    <row r="1316" spans="1:60">
      <c r="A1316" s="1276" t="s">
        <v>7410</v>
      </c>
      <c r="B1316" s="439" t="s">
        <v>111</v>
      </c>
      <c r="C1316" s="726" t="str">
        <f>IFERROR(LEFT(PV_DATA[[#This Row],[TCL REFERENCE]],FIND(".",PV_DATA[[#This Row],[TCL REFERENCE]],1)-1),"Main Line")</f>
        <v>Main Line</v>
      </c>
      <c r="D1316" s="726" t="s">
        <v>63</v>
      </c>
      <c r="E1316" s="439" t="s">
        <v>68</v>
      </c>
      <c r="F1316" s="439" t="str" cm="1">
        <f t="array" ref="F131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16" s="726"/>
      <c r="H1316" s="726"/>
      <c r="I1316" s="726"/>
      <c r="J1316" s="619"/>
      <c r="K1316" s="619"/>
      <c r="L1316" s="619"/>
      <c r="M1316" s="619"/>
      <c r="N1316" s="630">
        <v>46292</v>
      </c>
      <c r="O1316" s="431" t="s">
        <v>5379</v>
      </c>
      <c r="P1316" s="623" t="s">
        <v>7411</v>
      </c>
      <c r="Q1316" s="619" t="s">
        <v>7412</v>
      </c>
      <c r="R1316" s="430" t="str">
        <f>_xlfn.XLOOKUP(PV_DATA[[#This Row],[New Ark SKU]],Table9[New Ark SKU],Table9[Connector],,0)</f>
        <v>EVO2A</v>
      </c>
      <c r="S1316" s="433" t="str">
        <f>_xlfn.XLOOKUP(PV_DATA[[#This Row],[New Ark SKU]],Table9[New Ark SKU],Table9[Cable],,0)</f>
        <v>±1200mm</v>
      </c>
      <c r="T1316" s="620">
        <v>485</v>
      </c>
      <c r="U1316" s="1064" cm="1">
        <f t="array" ref="U1316">936*7-fx_qty</f>
        <v>0</v>
      </c>
      <c r="V1316" s="624">
        <f>PV_DATA[[#This Row],[QUANTITY]]*PV_DATA[[#This Row],[WATT]]/1000000</f>
        <v>0</v>
      </c>
      <c r="W1316" s="625">
        <f>PV_DATA[[#This Row],[QUANTITY]]/PV_DATA[[#This Row],[Qty/Pallet]]</f>
        <v>0</v>
      </c>
      <c r="X1316" s="1047">
        <f>PV_DATA[[#This Row],[QUANTITY]]/PV_DATA[[#This Row],[Qty/CT]]</f>
        <v>0</v>
      </c>
      <c r="Y1316" s="431" t="s">
        <v>7027</v>
      </c>
      <c r="Z1316" s="1275" t="str">
        <f t="shared" si="34"/>
        <v/>
      </c>
      <c r="AA1316" s="619"/>
      <c r="AB1316" s="626"/>
      <c r="AC1316" s="627" t="str">
        <f>IF(PV_DATA[[#This Row],[Pick- Up Date]]&lt;&gt;"",_xlfn.ISOWEEKNUM(PV_DATA[[#This Row],[Pick- Up Date]]),"")</f>
        <v/>
      </c>
      <c r="AD1316" s="619"/>
      <c r="AE1316" s="620"/>
      <c r="AF1316" s="430" t="s">
        <v>122</v>
      </c>
      <c r="AG1316" s="430" t="s">
        <v>123</v>
      </c>
      <c r="AH1316" s="625"/>
      <c r="AI1316" s="626"/>
      <c r="AJ1316" s="626"/>
      <c r="AK1316" s="626"/>
      <c r="AL1316" s="626"/>
      <c r="AM1316" s="626"/>
      <c r="AN1316" s="626"/>
      <c r="AO1316" s="619"/>
      <c r="AP1316" s="619"/>
      <c r="AQ1316" s="628"/>
      <c r="AR1316" s="619"/>
      <c r="AS1316" s="619"/>
      <c r="AT1316" s="619"/>
      <c r="AU1316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16" s="619"/>
      <c r="AW1316" s="626" cm="1">
        <f t="array" ref="AW1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316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6" s="626">
        <f>IF(ISERROR(PV_DATA[[#This Row],[New Ark PO status]]),"",_xlfn.XLOOKUP(PV_DATA[[#This Row],[SPTN-PVHK New Ark PO'#]],New_Ark_Data[Purchase order Number],New_Ark_Data[Estimated time of arrival],"",0))</f>
        <v>0</v>
      </c>
      <c r="AZ1316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16" s="626">
        <f>IFERROR(PV_DATA[[#This Row],[ODP ETA Port]]+PV_DATA[[#This Row],[Customs/Leg3 Assumption]],"n/a")</f>
        <v>46355</v>
      </c>
      <c r="BB1316" s="620">
        <f>YEAR(PV_DATA[[#This Row],[ETA for New Ark update]])</f>
        <v>2026</v>
      </c>
      <c r="BC1316" s="619">
        <f>MONTH(PV_DATA[[#This Row],[ETA for New Ark update]])</f>
        <v>11</v>
      </c>
      <c r="BD1316" s="619">
        <f>IFERROR(_xlfn.ISOWEEKNUM(PV_DATA[[#This Row],[ETA for New Ark update]]),0)</f>
        <v>48</v>
      </c>
      <c r="BE1316" s="431">
        <f>_xlfn.XLOOKUP(PV_DATA[[#This Row],[New Ark SKU]],Table9[New Ark SKU],Table9[Total PCS per Pallet],,0)</f>
        <v>36</v>
      </c>
      <c r="BF1316" s="431">
        <f>_xlfn.XLOOKUP(PV_DATA[[#This Row],[New Ark SKU]],Table9[New Ark SKU],Table9[Total PCS per 40HQ Container],,0)</f>
        <v>936</v>
      </c>
      <c r="BG1316" s="431" t="str">
        <f>_xlfn.XLOOKUP(PV_DATA[[#This Row],[New Ark SKU]],Table9[New Ark SKU],Table9[Back Glass],,0)</f>
        <v>White glazing</v>
      </c>
      <c r="BH1316" s="629">
        <f>_xlfn.XLOOKUP(PV_DATA[[#This Row],[PORT DESTINATION]],Table12[PORT DESTINATION],Table12[Cosco Line],,0)</f>
        <v>0</v>
      </c>
    </row>
    <row r="1317" spans="1:60">
      <c r="A1317" s="1276" t="s">
        <v>7413</v>
      </c>
      <c r="B1317" s="439" t="s">
        <v>111</v>
      </c>
      <c r="C1317" s="726" t="str">
        <f>IFERROR(LEFT(PV_DATA[[#This Row],[TCL REFERENCE]],FIND(".",PV_DATA[[#This Row],[TCL REFERENCE]],1)-1),"Main Line")</f>
        <v>26Oct015</v>
      </c>
      <c r="D1317" s="439" t="s">
        <v>63</v>
      </c>
      <c r="E1317" s="439" t="s">
        <v>64</v>
      </c>
      <c r="F1317" s="439" t="str" cm="1">
        <f t="array" ref="F1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17" s="726" t="s">
        <v>402</v>
      </c>
      <c r="H1317" s="726" t="s">
        <v>67</v>
      </c>
      <c r="I1317" s="431" t="s">
        <v>689</v>
      </c>
      <c r="J1317" s="431" t="s">
        <v>96</v>
      </c>
      <c r="K1317" s="431"/>
      <c r="L1317" s="431"/>
      <c r="M1317" s="619" t="s">
        <v>68</v>
      </c>
      <c r="N1317" s="461">
        <v>46292</v>
      </c>
      <c r="O1317" s="431" t="s">
        <v>5379</v>
      </c>
      <c r="P1317" s="430" t="s">
        <v>7411</v>
      </c>
      <c r="Q1317" s="431" t="s">
        <v>7412</v>
      </c>
      <c r="R1317" s="430" t="str">
        <f>_xlfn.XLOOKUP(PV_DATA[[#This Row],[New Ark SKU]],Table9[New Ark SKU],Table9[Connector],,0)</f>
        <v>EVO2A</v>
      </c>
      <c r="S1317" s="433" t="str">
        <f>_xlfn.XLOOKUP(PV_DATA[[#This Row],[New Ark SKU]],Table9[New Ark SKU],Table9[Cable],,0)</f>
        <v>±1200mm</v>
      </c>
      <c r="T1317" s="442">
        <v>485</v>
      </c>
      <c r="U1317" s="1093">
        <f>936*4</f>
        <v>3744</v>
      </c>
      <c r="V1317" s="448">
        <f>PV_DATA[[#This Row],[QUANTITY]]*PV_DATA[[#This Row],[WATT]]/1000000</f>
        <v>1.8158399999999999</v>
      </c>
      <c r="W1317" s="466">
        <f>PV_DATA[[#This Row],[QUANTITY]]/PV_DATA[[#This Row],[Qty/Pallet]]</f>
        <v>104</v>
      </c>
      <c r="X1317" s="1044">
        <f>PV_DATA[[#This Row],[QUANTITY]]/PV_DATA[[#This Row],[Qty/CT]]</f>
        <v>4</v>
      </c>
      <c r="Y1317" s="431" t="s">
        <v>2472</v>
      </c>
      <c r="Z1317" s="1277" t="str">
        <f t="shared" ref="Z1317:Z1318" si="50">IF(AN1317&lt;&gt;"","COMPLETED",IF(AK1317&lt;&gt;"","IN-TRANSIT",""))</f>
        <v/>
      </c>
      <c r="AA1317" s="431"/>
      <c r="AB1317" s="441"/>
      <c r="AC1317" s="467" t="str">
        <f>IF(PV_DATA[[#This Row],[Pick- Up Date]]&lt;&gt;"",_xlfn.ISOWEEKNUM(PV_DATA[[#This Row],[Pick- Up Date]]),"")</f>
        <v/>
      </c>
      <c r="AD1317" s="431"/>
      <c r="AE1317" s="442"/>
      <c r="AF1317" s="431" t="s">
        <v>122</v>
      </c>
      <c r="AG1317" s="431" t="s">
        <v>123</v>
      </c>
      <c r="AH1317" s="431" t="s">
        <v>78</v>
      </c>
      <c r="AI1317" s="441"/>
      <c r="AJ1317" s="441"/>
      <c r="AK1317" s="441"/>
      <c r="AL1317" s="441"/>
      <c r="AM1317" s="441"/>
      <c r="AO1317" s="431"/>
      <c r="AP1317" s="431"/>
      <c r="AQ1317" s="445"/>
      <c r="AR1317" s="431"/>
      <c r="AS1317" s="431"/>
      <c r="AT1317" s="431"/>
      <c r="AU1317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17" s="431"/>
      <c r="AW1317" s="441" cm="1">
        <f t="array" ref="AW1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317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7" s="441">
        <f>IF(ISERROR(PV_DATA[[#This Row],[New Ark PO status]]),"",_xlfn.XLOOKUP(PV_DATA[[#This Row],[SPTN-PVHK New Ark PO'#]],New_Ark_Data[Purchase order Number],New_Ark_Data[Estimated time of arrival],"",0))</f>
        <v>0</v>
      </c>
      <c r="AZ131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17" s="441">
        <f>IFERROR(PV_DATA[[#This Row],[ODP ETA Port]]+PV_DATA[[#This Row],[Customs/Leg3 Assumption]],"n/a")</f>
        <v>46372</v>
      </c>
      <c r="BB1317" s="442">
        <f>YEAR(PV_DATA[[#This Row],[ETA for New Ark update]])</f>
        <v>2026</v>
      </c>
      <c r="BC1317" s="431">
        <f>MONTH(PV_DATA[[#This Row],[ETA for New Ark update]])</f>
        <v>12</v>
      </c>
      <c r="BD1317" s="431">
        <f>IFERROR(_xlfn.ISOWEEKNUM(PV_DATA[[#This Row],[ETA for New Ark update]]),0)</f>
        <v>51</v>
      </c>
      <c r="BE1317" s="431">
        <f>_xlfn.XLOOKUP(PV_DATA[[#This Row],[New Ark SKU]],Table9[New Ark SKU],Table9[Total PCS per Pallet],,0)</f>
        <v>36</v>
      </c>
      <c r="BF1317" s="431">
        <f>_xlfn.XLOOKUP(PV_DATA[[#This Row],[New Ark SKU]],Table9[New Ark SKU],Table9[Total PCS per 40HQ Container],,0)</f>
        <v>936</v>
      </c>
      <c r="BG1317" s="431" t="str">
        <f>_xlfn.XLOOKUP(PV_DATA[[#This Row],[New Ark SKU]],Table9[New Ark SKU],Table9[Back Glass],,0)</f>
        <v>White glazing</v>
      </c>
      <c r="BH1317" s="622" t="str">
        <f>_xlfn.XLOOKUP(PV_DATA[[#This Row],[PORT DESTINATION]],Table12[PORT DESTINATION],Table12[Cosco Line],,0)</f>
        <v>AEM</v>
      </c>
    </row>
    <row r="1318" spans="1:60">
      <c r="A1318" s="1274" t="s">
        <v>7414</v>
      </c>
      <c r="B1318" s="726" t="s">
        <v>111</v>
      </c>
      <c r="C1318" s="726" t="str">
        <f>IFERROR(LEFT(PV_DATA[[#This Row],[TCL REFERENCE]],FIND(".",PV_DATA[[#This Row],[TCL REFERENCE]],1)-1),"Main Line")</f>
        <v>26Oct015</v>
      </c>
      <c r="D1318" s="726" t="s">
        <v>63</v>
      </c>
      <c r="E1318" s="439" t="s">
        <v>64</v>
      </c>
      <c r="F1318" s="439" t="str" cm="1">
        <f t="array" ref="F13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318" s="726" t="s">
        <v>402</v>
      </c>
      <c r="H1318" s="726" t="s">
        <v>67</v>
      </c>
      <c r="I1318" s="431" t="s">
        <v>689</v>
      </c>
      <c r="J1318" s="431" t="s">
        <v>96</v>
      </c>
      <c r="K1318" s="431"/>
      <c r="L1318" s="431"/>
      <c r="M1318" s="619" t="s">
        <v>68</v>
      </c>
      <c r="N1318" s="630">
        <v>46292</v>
      </c>
      <c r="O1318" s="619" t="s">
        <v>5379</v>
      </c>
      <c r="P1318" s="623" t="s">
        <v>7411</v>
      </c>
      <c r="Q1318" s="619" t="s">
        <v>7412</v>
      </c>
      <c r="R1318" s="430" t="str">
        <f>_xlfn.XLOOKUP(PV_DATA[[#This Row],[New Ark SKU]],Table9[New Ark SKU],Table9[Connector],,0)</f>
        <v>EVO2A</v>
      </c>
      <c r="S1318" s="433" t="str">
        <f>_xlfn.XLOOKUP(PV_DATA[[#This Row],[New Ark SKU]],Table9[New Ark SKU],Table9[Cable],,0)</f>
        <v>±1200mm</v>
      </c>
      <c r="T1318" s="620">
        <v>485</v>
      </c>
      <c r="U1318" s="1064">
        <f>936*3</f>
        <v>2808</v>
      </c>
      <c r="V1318" s="624">
        <f>PV_DATA[[#This Row],[QUANTITY]]*PV_DATA[[#This Row],[WATT]]/1000000</f>
        <v>1.36188</v>
      </c>
      <c r="W1318" s="625">
        <f>PV_DATA[[#This Row],[QUANTITY]]/PV_DATA[[#This Row],[Qty/Pallet]]</f>
        <v>78</v>
      </c>
      <c r="X1318" s="1047">
        <f>PV_DATA[[#This Row],[QUANTITY]]/PV_DATA[[#This Row],[Qty/CT]]</f>
        <v>3</v>
      </c>
      <c r="Y1318" s="431" t="s">
        <v>2474</v>
      </c>
      <c r="Z1318" s="1275" t="str">
        <f t="shared" si="50"/>
        <v/>
      </c>
      <c r="AA1318" s="619"/>
      <c r="AB1318" s="626"/>
      <c r="AC1318" s="627" t="str">
        <f>IF(PV_DATA[[#This Row],[Pick- Up Date]]&lt;&gt;"",_xlfn.ISOWEEKNUM(PV_DATA[[#This Row],[Pick- Up Date]]),"")</f>
        <v/>
      </c>
      <c r="AD1318" s="619"/>
      <c r="AE1318" s="620"/>
      <c r="AF1318" s="619" t="s">
        <v>122</v>
      </c>
      <c r="AG1318" s="619" t="s">
        <v>123</v>
      </c>
      <c r="AH1318" s="619" t="s">
        <v>78</v>
      </c>
      <c r="AI1318" s="626"/>
      <c r="AJ1318" s="626"/>
      <c r="AK1318" s="626"/>
      <c r="AL1318" s="626"/>
      <c r="AM1318" s="626"/>
      <c r="AN1318" s="626"/>
      <c r="AO1318" s="619"/>
      <c r="AP1318" s="619"/>
      <c r="AQ1318" s="628"/>
      <c r="AR1318" s="619"/>
      <c r="AS1318" s="619"/>
      <c r="AT1318" s="619"/>
      <c r="AU1318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18" s="619"/>
      <c r="AW1318" s="626" cm="1">
        <f t="array" ref="AW1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318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8" s="626">
        <f>IF(ISERROR(PV_DATA[[#This Row],[New Ark PO status]]),"",_xlfn.XLOOKUP(PV_DATA[[#This Row],[SPTN-PVHK New Ark PO'#]],New_Ark_Data[Purchase order Number],New_Ark_Data[Estimated time of arrival],"",0))</f>
        <v>0</v>
      </c>
      <c r="AZ1318" s="62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318" s="626">
        <f>IFERROR(PV_DATA[[#This Row],[ODP ETA Port]]+PV_DATA[[#This Row],[Customs/Leg3 Assumption]],"n/a")</f>
        <v>46386</v>
      </c>
      <c r="BB1318" s="620">
        <f>YEAR(PV_DATA[[#This Row],[ETA for New Ark update]])</f>
        <v>2026</v>
      </c>
      <c r="BC1318" s="619">
        <f>MONTH(PV_DATA[[#This Row],[ETA for New Ark update]])</f>
        <v>12</v>
      </c>
      <c r="BD1318" s="619">
        <f>IFERROR(_xlfn.ISOWEEKNUM(PV_DATA[[#This Row],[ETA for New Ark update]]),0)</f>
        <v>53</v>
      </c>
      <c r="BE1318" s="431">
        <f>_xlfn.XLOOKUP(PV_DATA[[#This Row],[New Ark SKU]],Table9[New Ark SKU],Table9[Total PCS per Pallet],,0)</f>
        <v>36</v>
      </c>
      <c r="BF1318" s="431">
        <f>_xlfn.XLOOKUP(PV_DATA[[#This Row],[New Ark SKU]],Table9[New Ark SKU],Table9[Total PCS per 40HQ Container],,0)</f>
        <v>936</v>
      </c>
      <c r="BG1318" s="431" t="str">
        <f>_xlfn.XLOOKUP(PV_DATA[[#This Row],[New Ark SKU]],Table9[New Ark SKU],Table9[Back Glass],,0)</f>
        <v>White glazing</v>
      </c>
      <c r="BH1318" s="629" t="str">
        <f>_xlfn.XLOOKUP(PV_DATA[[#This Row],[PORT DESTINATION]],Table12[PORT DESTINATION],Table12[Cosco Line],,0)</f>
        <v>AEM</v>
      </c>
    </row>
    <row r="1319" spans="1:60">
      <c r="A1319" s="727" t="s">
        <v>7415</v>
      </c>
      <c r="B1319" s="726" t="s">
        <v>111</v>
      </c>
      <c r="C1319" s="726" t="str">
        <f>IFERROR(LEFT(PV_DATA[[#This Row],[TCL REFERENCE]],FIND(".",PV_DATA[[#This Row],[TCL REFERENCE]],1)-1),"Main Line")</f>
        <v>Main Line</v>
      </c>
      <c r="D1319" s="726" t="s">
        <v>113</v>
      </c>
      <c r="E1319" s="726" t="s">
        <v>68</v>
      </c>
      <c r="F1319" s="726" t="str" cm="1">
        <f t="array" ref="F13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319" s="726" t="s">
        <v>68</v>
      </c>
      <c r="H1319" s="726" t="s">
        <v>68</v>
      </c>
      <c r="I1319" s="431" t="s">
        <v>68</v>
      </c>
      <c r="J1319" s="619" t="s">
        <v>68</v>
      </c>
      <c r="K1319" s="619"/>
      <c r="L1319" s="619"/>
      <c r="M1319" s="619" t="s">
        <v>68</v>
      </c>
      <c r="N1319" s="630"/>
      <c r="O1319" s="431" t="s">
        <v>4486</v>
      </c>
      <c r="P1319" s="623" t="s">
        <v>7208</v>
      </c>
      <c r="Q1319" s="619" t="s">
        <v>7209</v>
      </c>
      <c r="R1319" s="430" t="str">
        <f>_xlfn.XLOOKUP(PV_DATA[[#This Row],[New Ark SKU]],Table9[New Ark SKU],Table9[Connector],,0)</f>
        <v>EVO2A</v>
      </c>
      <c r="S1319" s="433" t="str">
        <f>_xlfn.XLOOKUP(PV_DATA[[#This Row],[New Ark SKU]],Table9[New Ark SKU],Table9[Cable],,0)</f>
        <v>±1600mm</v>
      </c>
      <c r="T1319" s="620">
        <v>650</v>
      </c>
      <c r="U1319" s="1064" cm="1">
        <f t="array" ref="U1319">11880-fx_qty</f>
        <v>6120</v>
      </c>
      <c r="V1319" s="624">
        <f>PV_DATA[[#This Row],[QUANTITY]]*PV_DATA[[#This Row],[WATT]]/1000000</f>
        <v>3.9780000000000002</v>
      </c>
      <c r="W1319" s="625">
        <f>PV_DATA[[#This Row],[QUANTITY]]/PV_DATA[[#This Row],[Qty/Pallet]]</f>
        <v>170</v>
      </c>
      <c r="X1319" s="1040">
        <f>PV_DATA[[#This Row],[QUANTITY]]/PV_DATA[[#This Row],[Qty/CT]]</f>
        <v>8.5</v>
      </c>
      <c r="Y1319" s="431" t="s">
        <v>7027</v>
      </c>
      <c r="Z1319" s="1275" t="str">
        <f>IF(AN1319&lt;&gt;"","COMPLETED",IF(AK1319&lt;&gt;"","IN-TRANSIT",""))</f>
        <v/>
      </c>
      <c r="AA1319" s="619"/>
      <c r="AB1319" s="626"/>
      <c r="AC1319" s="627" t="str">
        <f>IF(PV_DATA[[#This Row],[Pick- Up Date]]&lt;&gt;"",_xlfn.ISOWEEKNUM(PV_DATA[[#This Row],[Pick- Up Date]]),"")</f>
        <v/>
      </c>
      <c r="AD1319" s="619"/>
      <c r="AE1319" s="620"/>
      <c r="AF1319" s="431" t="s">
        <v>4423</v>
      </c>
      <c r="AG1319" s="431" t="s">
        <v>123</v>
      </c>
      <c r="AH1319" s="625" t="s">
        <v>68</v>
      </c>
      <c r="AI1319" s="1309"/>
      <c r="AJ1319" s="1309" t="str">
        <f>IFERROR(VLOOKUP(AT1319, Vessel!A:D, 4, FALSE), "")</f>
        <v/>
      </c>
      <c r="AK1319" s="1309" t="str">
        <f>IFERROR(IF(VLOOKUP(AT1319,Vessel!A:F,5,FALSE)=0,"",VLOOKUP(AT1319,Vessel!A:F,5,FALSE)),"")</f>
        <v/>
      </c>
      <c r="AL1319" s="1309"/>
      <c r="AM1319" s="1310" t="str">
        <f>IFERROR(VLOOKUP(AT1319, Vessel!A:H, 8, FALSE), "")</f>
        <v/>
      </c>
      <c r="AN1319" s="1310" t="str">
        <f>IFERROR(IF(VLOOKUP(AT1319,Vessel!A:I,9,FALSE)=0,"",VLOOKUP(AT1319,Vessel!A:I,9,FALSE)),"")</f>
        <v/>
      </c>
      <c r="AO1319" s="619"/>
      <c r="AP1319" s="619"/>
      <c r="AQ1319" s="628"/>
      <c r="AR1319" s="619"/>
      <c r="AS1319" s="619"/>
      <c r="AT1319" s="619"/>
      <c r="AU1319" s="619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319" s="619"/>
      <c r="AW1319" s="626" t="str" cm="1">
        <f t="array" ref="AW1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319" s="133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319" s="626">
        <f>IF(ISERROR(PV_DATA[[#This Row],[New Ark PO status]]),"",_xlfn.XLOOKUP(PV_DATA[[#This Row],[SPTN-PVHK New Ark PO'#]],New_Ark_Data[Purchase order Number],New_Ark_Data[Estimated time of arrival],"",0))</f>
        <v>0</v>
      </c>
      <c r="AZ1319" s="62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319" s="626" t="str">
        <f>IFERROR(PV_DATA[[#This Row],[ODP ETA Port]]+PV_DATA[[#This Row],[Customs/Leg3 Assumption]],"n/a")</f>
        <v>n/a</v>
      </c>
      <c r="BB1319" s="620" t="e">
        <f>YEAR(PV_DATA[[#This Row],[ETA for New Ark update]])</f>
        <v>#VALUE!</v>
      </c>
      <c r="BC1319" s="619" t="e">
        <f>MONTH(PV_DATA[[#This Row],[ETA for New Ark update]])</f>
        <v>#VALUE!</v>
      </c>
      <c r="BD1319" s="619">
        <f>IFERROR(_xlfn.ISOWEEKNUM(PV_DATA[[#This Row],[ETA for New Ark update]]),0)</f>
        <v>0</v>
      </c>
      <c r="BE1319" s="431">
        <f>_xlfn.XLOOKUP(PV_DATA[[#This Row],[New Ark SKU]],Table9[New Ark SKU],Table9[Total PCS per Pallet],,0)</f>
        <v>36</v>
      </c>
      <c r="BF1319" s="431">
        <f>_xlfn.XLOOKUP(PV_DATA[[#This Row],[New Ark SKU]],Table9[New Ark SKU],Table9[Total PCS per 40HQ Container],,0)</f>
        <v>720</v>
      </c>
      <c r="BG1319" s="431" t="str">
        <f>_xlfn.XLOOKUP(PV_DATA[[#This Row],[New Ark SKU]],Table9[New Ark SKU],Table9[Back Glass],,0)</f>
        <v>Redirection Film</v>
      </c>
      <c r="BH1319" s="629" t="str">
        <f>_xlfn.XLOOKUP(PV_DATA[[#This Row],[PORT DESTINATION]],Table12[PORT DESTINATION],Table12[Cosco Line],,0)</f>
        <v>n/a</v>
      </c>
    </row>
    <row r="1320" spans="1:60">
      <c r="A1320" s="727"/>
      <c r="B1320" s="726"/>
      <c r="C1320" s="726"/>
      <c r="D1320" s="726"/>
      <c r="E1320" s="726"/>
      <c r="F1320" s="726"/>
      <c r="G1320" s="726"/>
      <c r="H1320" s="726"/>
      <c r="I1320" s="726"/>
      <c r="J1320" s="619"/>
      <c r="K1320" s="619"/>
      <c r="L1320" s="619"/>
      <c r="M1320" s="619"/>
      <c r="N1320" s="630"/>
      <c r="O1320" s="431"/>
      <c r="P1320" s="623"/>
      <c r="Q1320" s="619"/>
      <c r="R1320" s="619"/>
      <c r="S1320" s="442"/>
      <c r="T1320" s="620"/>
      <c r="U1320" s="1064"/>
      <c r="V1320" s="624"/>
      <c r="W1320" s="625"/>
      <c r="X1320" s="1040"/>
      <c r="Y1320" s="431"/>
      <c r="Z1320" s="1275"/>
      <c r="AA1320" s="619"/>
      <c r="AB1320" s="626"/>
      <c r="AC1320" s="627"/>
      <c r="AD1320" s="619"/>
      <c r="AE1320" s="620"/>
      <c r="AF1320" s="431"/>
      <c r="AG1320" s="431"/>
      <c r="AH1320" s="625"/>
      <c r="AI1320" s="626"/>
      <c r="AJ1320" s="626"/>
      <c r="AK1320" s="626"/>
      <c r="AL1320" s="626"/>
      <c r="AM1320" s="626"/>
      <c r="AN1320" s="626"/>
      <c r="AO1320" s="619"/>
      <c r="AP1320" s="619"/>
      <c r="AQ1320" s="628"/>
      <c r="AR1320" s="619"/>
      <c r="AS1320" s="619"/>
      <c r="AT1320" s="619"/>
      <c r="AU1320" s="619"/>
      <c r="AV1320" s="619"/>
      <c r="AW1320" s="626"/>
      <c r="AX1320" s="620"/>
      <c r="AY1320" s="626"/>
      <c r="AZ1320" s="620"/>
      <c r="BA1320" s="626"/>
      <c r="BB1320" s="620"/>
      <c r="BC1320" s="619"/>
      <c r="BD1320" s="619"/>
      <c r="BE1320" s="619"/>
      <c r="BF1320" s="619"/>
      <c r="BG1320" s="1357"/>
      <c r="BH1320" s="1357"/>
    </row>
    <row r="1321" spans="1:60">
      <c r="A1321" s="727"/>
    </row>
    <row r="1322" spans="1:60">
      <c r="A1322" s="727"/>
    </row>
    <row r="1323" spans="1:60">
      <c r="A1323" s="727"/>
    </row>
    <row r="1324" spans="1:60">
      <c r="A1324" s="727"/>
      <c r="AX1324" s="430"/>
    </row>
    <row r="1325" spans="1:60">
      <c r="A1325" s="727"/>
    </row>
    <row r="1326" spans="1:60">
      <c r="A1326" s="727"/>
    </row>
    <row r="1327" spans="1:60">
      <c r="A1327" s="727"/>
    </row>
    <row r="1328" spans="1:60">
      <c r="A1328" s="727"/>
    </row>
    <row r="1329" spans="1:1">
      <c r="A1329" s="727"/>
    </row>
    <row r="1350" spans="7:7">
      <c r="G1350" s="462"/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181 M522 AL515 T1250 AA1235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182:I1185 G512:G521 G543:G548 I434:I435 I473 I513 G534:G541 G561:G562 H560:H571 M535:M541 M474:M488 M443:M452 I446:I462 I438:I442 I548:I551 I519:I520 I486:J486 J464:J466 I568:J569 H533:H548 H510:H521 G1176:I1180 I463:J463 G557:H557 G597:M597 G575:J576 G463:H466 G472:H484 J472:J484 G495:H498 G293:L300 J491:J504 J508:J521 J543:J548 G490:H493 K1182:M1185 T491:X491 I534:M534 K589:M589 K548:M548 AM1181 AP433:AT433 AP447:AT451 AT527 AO434:AT434 AT430:AT432 AO520:AT525 AS574:AT574 AO513:AT516 AN222:AT222 AS565:AT566 AZ410:BD427 BB447:BD467 K1176:M1180 A585:B585 D585:H585 J588:J590 G588:G590 H588:I591 A634:F634 AE1191:AF1191 D644:G644 D618:F618 A584:H584 A586:J587 M619:M620 J621 AI293:AL300 A572:B574 D577:E578 M575:M577 H592 J584 AQ594:AR594 H622 N443:N444 N446:N452 N474:N475 N479:N484 N486:N488 T499:X529 N523 N1182:N1183 N1198:N1200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177:AJ1180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207:E1207 AS674:AT685 B673:B682 T684:Y684 W670:Y683 D747:G747 D906:F906 AR672:AR673 AE685:AI685 T686:Y687 T660:Y661 AE643:AL643 U627:Y628 AA1191:AC1191 AE656:AI657 T646:Y646 T658:Y658 AE645:AL645 AE625:AJ625 T626:Y626 AC633:AJ633 T654:Y655 AF446:AH446 AD231:AL231 AK654:AL659 AE647:AL651 D754:G754 D711:F711 A711:B711 AF705:AH705 D707:G710 A1173:B1175 AS1175 AE1194:AH1196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59:Y859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5 W815:Y815 AZ777 AE770:AG770 E781 AC770 X770 AC753 BH654:BH655 BH658:BH682 BH707:BH711 BH684:BH704 BH721:BH723 BH756:BH760 BH786 BH754 BH741:BH743 BH726:BH738 BH746:BH750 B789 O746:Q750 X798 AT748:AT750 W747:Y753 B746:B747 AY468:BF624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205:G1206 BF768 O768 AB768:AC768 X768 W858:Y858 W955:X955 E768:G768 BH778 BH767 M773:M776 B756:B765 BH773:BH776 O769:Q769 AF809:AH809 B773:B777 D809 D773:H776 W1203:Y1208 W769:Y769 B769 D769:F769 BH771 M763:M765 M767:M769 BH762:BH765 AX767:AX768 W756:Y765 D763:H765 J765 U766:Y766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192:AH1193 AA1177:AH1187 AA693:AC693 AA1188:AF1190 AA706 AA739 AA742:AC742 AA694:AL694 AA751:AC751 AA753 AA761:AC761 AA767:AC767 E810 AA778:AI778 AI666:AL666 AE701:AI701 AJ700:AJ701 AE702:AJ702 AA711:AL711 AE718:AL718 AE719:AJ719 AK719:AL720 AE726:AI728 AJ724:AJ728 D715:E715 W712:Y715 M1205:M1206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D815:H815 M815 T821:T822 D883:F883 W883:AA883 W813:Y813 X844 W1194:Y1197 B815 W829:X830 AO1216:AR1218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P794:AR794 AR796 AT1222:AT1223 X860 AE858:AH860 G843 AE695:AL699 AK700:AL702 AK724:AK725 AK726:AL728 AF740:AL740 X806 D858:G859 D790:H791 M865 AX843:AX845 AF845:AH845 W805:Y805 B883 O831 AZ841 AX841 J842 X842 X810:Y810 A1188:B1191 D623:H624 AA652:AL652 AE669:AH683 E808 G808 X808:Y808 AC810 E846:J846 X846:Y846 D974:F974 D817:F817 B817 AZ813 AX813 B811 AF803:AH803 BI813:XFD813 W809:Y809 AZ809 AC808 W807:Y807 B807 B809 D807:G807 AT1203:AT1205 G841 D821:D822 B819:B822 BI818:XFD822 AZ821:AZ822 A1112:B1112 AA1173:AJ1176 D814:F814 AA813:AB814 J814:J815 H814 H817 E831:H831 O841 T840:T841 D828:H828 O827 W828:Y828 B845 W845:Y845 D845 AP826:AT826 F929:H929 AX826 AF715:AL715 Y848 M971 AL527:AO527 AC630:AL631 F847 A974:B974 F886 X886:Z886 O887 AE887:AG887 G887 G882 Z882:AA882 E884 AC827 G884 G804:G806 W804:X804 O804:O805 T804:T805 AC804:AC806 E1039:J1039 D782:G783 M780:M784 J782:J783 W782:Y787 Z911:AA911 J974 AB832:AI832 M831 U832:Y832 AC841:AC843 B803:B805 W803:Y803 D803:D805 AE703:AL704 AE729:AL739 AE753:AL753 AJ754:AL754 AE767:AL767 AE769:AL769 AI770:AL770 AE771:AL771 AI772:AL772 AE773:AJ773 AL773 T850:T852 AZ850:AZ852 B850:B852 D850:D852 B831:B833 AX829:AX830 O843:O844 E844:G844 D831:E833 M844:M846 AI882 AI887 T871:X871 W840:Y840 G947 AF712:AL712 AJ778:AL780 AF833:AH833 W833:Y833 AZ826 O834 M834:M835 E834:H834 O829 AC829:AC831 BI833:XFD834 AX833 AZ833 D826:E826 AE834:AI834 B826 AC834 AF826:AH826 AC854 AE850:AI854 AB854:AB855 W850:Y852 AB853:AC853 AE827:AI831 B828 BI829:XFD831 AZ829:AZ830 D823:H823 A823:B823 W819:Y823 J827 X853:Y854 AC855:AI855 A864:B864 AE846:AI846 C1235 X887 O900:Q900 G861 W900:X900 D900:H900 B900 B858:B859 AE741:AL744 AH745:AL745 AE746:AL751 AI786:AI789 T530:Y624 AI791 AF813:AJ813 AK530:AT531 AI534:AO540 AA541:AO556 J881 Z887:AA887 AC887 AC824:AC825 AZ887:AZ890 W826:Y826 O891:O893 B888:B890 D888:D890 AF888:AH890 W888:X890 X901:Z901 E901:J901 E891:G891 BI824:XFD827 AE891:AH891 Z888:Z890 D864:H864 F866:H866 G867 E865:H865 A542:E551 A561:E571 E824 AG825:AI825 AE825 J823 T825 X824:X825 AI849 AC884:AC885 Z885:AA885 X884:X885 AZ885 U885 Z883:Z884 AZ882 AE882:AG882 O882 X856:X857 E861 M856 AE856:AG857 AI856:AI857 BH955:XFD955 BH858 E856:E857 AC856:AC857 G856:G857 M860 T860 A855:B855 D855:F855 AZ970 D970 W914:Z914 M914 AB913:AB914 T915 AZ915 D915 BI908:XFD908 AC908 AZ908 T908 W908:AA908 D908 X916:Z917 G953:G954 E953:E954 A904:B906 T902 AC911 J907 D907:H907 M907 W907:Z907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O748:AS751 AP754 AO768:AT768 AO767:AQ767 AO769:AQ777 AO802:AT802 AO798 AO795:AS795 AO803:AS803 AO813:AO814 AO843:AS843 AO844:AT844 AO834 AO827:AS827 AO825:AP825 AO845:AS845 AO824:AS824 AO883:AR883 AJ866:AJ867 AO865:AS865 AO864:AQ864 AO1191:AQ1191 AO1194:AR1194 AO1195:AS1200 AO1175:AQ1175 AO1208:AS1209 AO1176:AS1190 AO1203:AS1206 AZ1220:AZ1222 AK578:AM579 AM594 AA627:AL628 AE629:AM629 AA640:AL642 AA689:AL689 AO706:AT711 AE713:AL714 AO726:AT739 AE755:AL764 AM767:AM783 M823:M825 E1036 AJ785:AL789 AI790:AL790 AJ791:AL792 AC812:AJ812 AM621:AM628 AA637:AM639 X961:Z961 W940:X941 D911:G911 AF940:AH941 AZ911 BI911:XFD911 B907:B910 W909:Y911 J909:J910 D909:H910 Z909:Z910 AE892:AI893 T911 O911 X913:Z913 D967:G969 D940:D941 B940:B941 B914:B915 D903:H905 B903 W903:Z903 X897:X899 I895:J899 Z897:Z900 Z902 AC894:AC899 X891:Z896 X902 E892:J893 F868:H868 O868 X868:Y868 A871:H871 A875:B877 A869:B870 K871:L871 D869:H870 O942 AE942:AI942 X867 J867 O912:Q912 V904:AA905 AC904:AC906 D912:H912 B912 O929 AC942 O1222:O1223 AA879 E942:G942 AJ940:AJ943 E963 G963 M967:M969 B918 AB971 I705 AF963:AH963 W967:Z969 D918 AZ918 T918 G965:G966 T970 E965:E966 AE880:AI881 F879:F880 X879:X882 AC879:AC882 AI1182:AJ1196 AG1188:AH1191 AS1191 Z965:Z966 X965:X966 BI965:XFD966 M964 AE967:AI970 X963 Z963 W964:Z964 D964:G964 B964 B967:B970 AZ962 D962 T962 W962:AA962 D961:G961 AF961:AI961 AI962:AI963 AO941:AS941 AO940:AT940 J931 AM630:AM633 AM640:AM659 AO679:AP683 AO1192:AS1193 AO879:AS879 AO1173:AS1174 AL1173:AM1180 AL528:AT529 AK532:AM532 AI533:AM533 AI557:AO560 AI562:AN571 AI586:AM593 AN532:AO533 AH933 W918:AA918 G975 X861:Y861 D1048 E983:G983 T932 AH931 M920:M927 T930 AH932:AI932 AB969 AB961:AB963 E938 U1220:U1221 M994 AE993:AJ993 AO1220:AS1223 Y1223:Z1223 AJ922 W1213:X1218 O1213:O1218 AE1230:AF1230 AE1231:AN1231 G919 AK994:AL994 AE765:AM765 AE810:AJ811 AE815:AJ823 AE840:AJ841 AE842:AI843 AJ842:AJ846 AI582:AN585 AI610:AT616 AJ802:AJ809 AF777:AL777 A837:B840 O961:Q961 O875:Q878 O1177:Q1191 T1173:Y1193 AV810:BG810 O869:Q870 T869:Y870 O909:Q910 BF908:BG908 T904:T905 BF970:BG970 AV849:AW849 O858:Q859 N871:Q871 K836:Q836 O903:Q907 T906:AA906 O835:Q835 BF841:BG841 A652:Q652 T652:Y652 BF843:BG845 AO778:AT793 O837:Q840 O713:R714 BF785 O789:Q793 O780:Q780 BF795:BG796 T714 T716:Y717 BF787 AY716:BF719 AY793:BF793 AY767:BF767 AY762:BF765 O773:Q776 O807:Q807 O771:Q771 BF802:BF805 O778:Q778 T778:Y778 BF715 AY630:BF652 AY754:BF760 AY726:BF738 AY741:BF750 AY786:BF786 AY721:BF723 AY684:BF704 AY707:BF711 AY658:BF682 AY654:BF655 AY626:BF628 O762:Q765 T813 O716:R718 BF739:BF740 O741:Q743 K690:Q690 O626:R628 O691:Q699 BF724:BF725 O635:Q645 O630:Q633 M489:Q490 M622:Q622 A654:Q654 N1176:Q1176 O655:Q655 M646:Q646 N573:Q573 O623:Q624 A686:Q686 O687:Q689 N634:Q634 O684:Q685 BF683 O658:Q672 O466:Q471 K1192:Q1193 T711:Y711 O597:Q621 O591:Q595 N589:Q590 O578:Q588 O563:Q570 O574:Q576 O1173:Q1175 I571:Q571 BF629 N577:Q577 I561:Q562 K513:Q513 K520:Q520 N472:Q472 N462:Q465 M436:Q437 A596:Q596 K438:Q442 O572:Q572 N410:Q433 K434:Q435 K491:Q491 K453:Q461 K473:Q473 O514:Q519 O521:Q560 O474:Q488 O492:Q512 O443:Q452 O707:R711 BH410:BH624 O813:Q815 O767:Q767 T767:Y767 BF809:BG809 BF777:BG777 AS769:AT776 BH769 O828:Q828 O883:Q883 BG802:BG808 T790:Y793 BH1203:BH1206 BH819:BH820 AV827:BG827 O855:Q855 BF813:BG813 BF821:BG822 BF826:BG826 BF833:BG833 AV834:BG834 BF850:BG852 BF829:BG830 BF887:BG890 O823:Q823 BF882:BG882 BF915:BG915 O864:Q864 AO846:AT846 BF911:BG911 AO880:AT882 O967:Q969 BF918:BG918 O964:Q964 BF962:BG962 BH817:XFD817 AB975 AO875:AT878 BH903:XFD907 AT1173:AT1200 BH900:XFD900 BH855:XFD855 AO815:AT823 AO797:AT797 BH782:XFD783 AS864:AT864 AV886:AW886 BH814:XFD815 AO804:AT812 BH789:XFD792 AO930:AT930 AF1013:AJ1013 AO839:AT842 T835:Y839 AO835:AT837 D926:E926 BG784:BG794 BG410:BG765 R712 B1000 AE875:AJ879 AD823:AD825 AA844:AG844 AD858:AD861 AD866:AD871 AD954 AX410:AX765 AO756:AT766 AX777 AV814:BG820 AV824:BG825 AO828:AT832 W926:Z926 AQ926:AT927 E934:E935 AB916:AB919 B926 X930:X933 AR931:AT933 J933 F936 Z940:Z941 AJ926:AK927 AO927 D937 U937:U939 Z937:AA939 G938 J1014 AZ993 D801 BF801:BG801 U801 AA801 U993 AK793:AK800 BG798:BG800 BF799:BF800 AL800 BI798:XFD810 AX798:AX805 AZ799:AZ805 AI800 M800 E800:G800 X800:X802 O800 AC800:AC801 X998 AC929:AC930 X929:Z929 AQ798:AT801 T924 AF926:AH926 BF926:BG926 AZ926 U1235 AH1230:AN1230 K950:K951 G950 AG950:AI950 AH951:AI951 AJ1237:AS1237 BK2:XFD181 AF1008:AH1008 AF1007:AG1007 H920 AA804:AA805 AA840:AB840 AA850:AC852 AA823:AB823 AA792:AI792 AA620:AM620 AA839:AJ839 T875:AC878 AA790:AA791 AA793:AJ793 AA855 J920:J921 AH920:AH923 A928:H928 E920 K874:Q874 AK922:AL923 AG924:AL924 AE1062:AH1063 AB1016 D875:H877 A874:H874 AA869:AC872 BH869:XFD872 T872:Y872 Z927 E927 O872:Q873 A872:B873 D872:H873 AE873:AI873 H925 AH925 E925 AI874 AF1009:AG1009 G1008:G1010 M1009 AH1009:AH1010 Y1009 E1008 M930:M935 H992 J992 K928:Q928 AE929:AJ929 X950:X951 AH978 X978 E952:J952 AV994:AW994 AE984:AI984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5 BI2:BI181 O2:O181 A2:F181 B1:H1 G1350 G971:G972 Z1048:AA1048 AJ925:AL925 J925 AH988 H958:H960 AA848 AC846:AC848 BI865:XFD868 AC865:AC868 AE865:AI867 X865:Y866 O865:O866 BF885:BG885 Z930:Z936 AJ961:AL963 AC798:AI798 AD800:AG800 AC916:AD918 W915:AD915 AD847:AJ848 AA864:AI864 AD877:AD882 AC913:AJ913 W970:AD970 AD967:AD969 AC924:AE924 AD930:AE930 AC932:AE932 AC962:AH962 AJ978 AH930:AJ930 AJ931:AJ935 AE936:AJ939 AD964:AJ964 AF965:AJ966 W1011:AA1012 AE915:AJ918 AI919:AJ919 AA574:AN574 AN586:AN594 AM662:AM689 E1001 G1006 E1006 AV883:AW884 AV846:BG846 AV916:AW917 AV909:AW910 AV927:AW936 AV963:AW969 AE1220:AN1227 X1053:Z1053 W1000:Z1000 AE998:AF998 AH998:AJ998 AE944:AF944 B999:E999 Z1002:AA1002 E949:E950 X919:X925 AC991 X948:Z948 Z949:Z951 AH943 AS994:AT994 E994:G994 AH994 AJ1001:AL1001 AC993 E979:E981 M979:M983 AH982:AH983 AB1039 Y996:Z996 M996 BF937:BG941 AZ937:AZ941 BF984:BG984 BF993:BG993 AL984:AS984 AH992 AK957:AL960 AC984 U984 AZ984 Z984:AA984 Z993:AA993 H957:J957 H988:J988 X982:X984 BD989:BG989 Y986:Z986 AF1120:AH1120 O999:Q999 AS985:AT987 Z985 G985 BD985:BG985 AL985:AQ987 E985:E987 AI987 D862:E863 AV853:AW881 AC859:AC863 M862:M863 BI856:XFD863 AE861:AI863 W862:Y863 B862:B863 M986:M988 X988 Z998 AC1000 Z999:AJ999 AH947 X947 J956 E956 H956 AE1000:AL1000 AC936:AC939 X936:X939 AY998:BG998 M992 AC1014 AE1014:AI1014 D1000:E1000 X991:X994 AE991:AF991 M990 E992 G989 AI991 Z987:Z992 E989:E990 AC944 AJ958:AJ960 A878:H878 M837:M840 M878 AU1027:AU1028 AF952:AH952 AJ950:AL952 AE948:AG948 AI946:AJ946 AF946:AG946 AL929:AT929 AL934:AT935 AL938:AT938 AL939:AS939 AK964:AT966 AF919:AG919 Z944:Z947 X944:X945 AH945 M945 Z919:Z925 AC948 U948 E976:E977 M976:M977 AO1215:AS1215 AO1224:AT1227 X952:Z954 AY1028:BG1028 W1027:AA1027 AF995:AH995 AE1002:AL1002 Z1219 AK1219:AT1219 E1219:H1219 BF1002:BG1002 X971:X972 AB1007:AB1010 AJ794:AJ800 AD801:AO801 AE868:AJ872 AJ880:AJ882 AE883:AJ886 D1173:E1175 G1175:H1175 A1176:E1187 D1188:E1191 G1191:H1191 A1192:E1193 G1192:I1193 G1203:H1203 AJ1016:AL1016 AJ887:AJ893 Z971:Z972 AI944:AJ944 AI595:AN609 AY912:XFD912 AY849:BG849 AY883:BH883 AY886:XFD886 AY994:BG994 AY884:BG884 AV847:AW847 AY847:BG847 AY879:BG881 AY916:BG917 AY909:XFD910 AY864:XFD864 AY963:BG963 AY927:BG927 AY928:XFD928 AY865:BG872 AY873:XFD878 AY929:BG936 AY964:XFD964 AY965:BG966 AY967:XFD969 AY985:BA985 AY853:BG863 O1020:Q1020 AY999:XFD999 AY986:BG988 AY975:BG983 AY1219:BD1219 AY989:BA989 AY990:BG992 AC1011:AC1012 AY919:BG925 AY950:BF951 AZ1172 W1172:X1172 O997:Q997 B997:E997 AV190:AW445 AV182:XFD189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19:AW925 AV1219:AW1219 AV985:AW992 AV997:XFD997 BI970:XFD973 T973 W973:AI973 W1209:X1210 BF973:BG973 D973 AZ973 AC953:AC954 AJ1208:AJ1210 B961:B962 B973 D1194:E1204 AE1006:AL1006 AY1173:BD1206 AY1006:BG1010 AE1232:AT1236 T1236 J1003:J1004 AO1210:AT1210 AF971:AH972 H1004 J958:J960 E1004 AH956:AH960 W1198:Z1202 BI913:XFD913 AO1201:AT1202 AK1173:AK1210 AV1173:AW1206 M1203 AE1197:AJ1206 AL1182:AM1206 AK949:AL949 M949:M951 O1195:Q1206 E971:E972 Z1203:Z1210 B1011:B1012 AZ1011:AZ1012 AJ1007:AL1011 D1011:D1012 BF1011:BG1012 AE1011:AI1012 T1011:T1012 AY971:BG972 AV971:AW972 AF1207:AH1210 AN1173:AN1210 X956:X960 AJ956:AL956 AL1208:AM1210 BI956:XFD963 BI998:XFD998 AY952:BG961 AY1003:BG1004 AH1003:AH1004 B955 Z955:Z960 M953:M961 O955:Q955 D955:H955 AV1006:AW1010 Z1003:Z1010 U1002 AC1006 Z1220:AA1222 AY1039:BG1039 AC1002 AZ1002 G1111 AE774:AL776 B1020:E1020 Z997:AH997 AJ997 AY1051:BG1051 B995 Z994:Z995 W995:X995 AZ995 D995 BF995:BG995 BI915:XFD927 AV996:AW996 AY996:BG996 E996 AJ1238:AQ1239 AI1128 AE953:AL955 AJ873:AJ874 AI1031 AK781:AL783 AI1250 AK996:AT997 AI1038:AL1038 AU1037:BG1037 AK1037:AL1037 AI1037 BF1135:BG1135 AC1052:AC1053 AU1173:AU1210 E1114 AE1035:BG1036 AZ1048 B1048 AE1048:AH1048 O1048 BF1048:BG1048 G1048 T1048 AX1048 M1015 X1002:X1010 AE721:AM723 X1021:X1022 AH1021:AH1022 AY1020:XFD1020 AU1017:AX1020 AO1229:AT1231 AF1050:AH1050 AB1050 X1050 AH1099 Z1050 G1050 E1056 AA838:AT838 AA835:AJ837 Z1045 Y1051:Z1051 E1050:E1051 M1051 AT1053:BG1053 AC1048 AX1051:AX1052 G1052 BF1052:BG1052 O1052 AE1052:AI1052 B1052 AZ1052 Z1052:AA1052 D1052 W1052:X1052 T1052 AI1053:AL1053 AT1052:AU1052 M1017:M1019 AF1016:AH1016 E1015:E1019 AY1014:BG1019 AK1012:AT1013 B1049:E1049 K1049:L1049 X847:X849 AO847:AS849 AC849:AG849 Z237:Z872 BF848:BG848 Z1020:AL1020 G1026 O1025:Q1025 AQ1027:AR1028 AE1030:AI1030 G1173:G1174 AT1237:AT1239 AO1052:AS1053 W1048:X1048 O1049:Q1049 AJ945 AK1017:AL1019 G1029 X1029 Z1029 K1044:L1044 A835:H836 D837:H840 E1035:J1035 O1044:Q1044 B1044:E1044 Z1044:AA1044 AJ982:AJ986 AJ979:AL980 AL983:AT983 AK983:AK987 AL992:AT992 AL993 AI948:AJ948 AL998:AL999 AJ1014:AJ1015 AE1215:AN1218 AM691:AM720 AA766:AM766 AO1030:BG1030 AZ1027 D1027 BF1027:BG1027 E1047 BI1047:XFD1048 Y1047:Z1047 AU1050:BG1050 AU1051:AW1051 AS1049:XFD1049 AS1048:AU1048 AK1050:AL1052 Z1049:AH1049 AL1048:AR1049 I1043 AU1029:BG1029 G1074 X1028:Z1028 AV1028:AW1028 AH1029:AI1029 AB1021:AB1022 AF1066:AH1066 I1116 I1066 B1034:E1034 AU1229:AW1239 AE1043:AH1043 AF1070:AH1070 AF1171:AG1171 AR1055:BG1056 Z1054:Z1056 AC1135 AJ1031:BG1032 AH1237:AH1239 O1060:Q1061 B1060:E1061 AR1239 AS1238:AS1239 X1066:Z1066 M1071 B1046:E1046 O1046:Q1046 K1046:L1046 Z1034:AB1034 B1041:C1042 V1041:V1042 AE1041:AG1042 Z1026 AE1069:AI1069 R3:AT181 Z1046:AA1046 K1034:L1034 AL1045:BG1045 BI1045:XFD1045 E1045 M1045 M1047 G1072 AF1072:AH1072 M1073 K1060:L1061 AD1044:AH1044 AD1046:AH1046 AD1034:AH1034 AL1047:BG1047 G1070 E1070 AN578:AN580 AI617:AM619 AO617:AT620 AN617:AN633 G1099 AK982:AT982 AL981:AT981 AC1091 AL1089:BA1089 AS1172:AU1172 AF1115:AG1115 E1076:E1077 G1076:G1077 AL1088:BG1088 J1069 AC1069 J1091 M1068 E1171 AI1068 X1068:X1073 AZ1043 AL1058:BA1058 BD1071:BG1071 AE1117 J1117 BD1089:BG1089 AE1096 J1096 AJ1115:AL1115 AE1059:AL1059 AK1114:AL1114 AK1090:AL1090 AG1091:AL1091 AJ995:AT995 AJ947 AK944:AT948 AK1014:AR1014 AK1015:AT1015 AI928:AT928 AG1117:AI1117 Z1025:XFD1025 AM724:AM764 AP752:AS753 AP755:AT755 AO752:AO755 AE784:AM784 AM785:AM800 AJ988:AT991 E848:E849 U848 BI841:XFD854 G848:G849 AZ848 E1340:E1041891 AX1027:AX1028 AC1027:AC1028 AL1044:XFD1044 D1081 AZ1081 B1081 T1081 X1059 W1081:AC1081 T1027 W1212:Y1212 AO931:AP933 AN930:AN933 AJ1004:AX1004 AL931:AL933 AI1111 AL1046:XFD1046 AX1081 AE1027:AI1028 G1114 Z1060:AL1061 AK1169:AW1171 AC1096 M1171 X1171 E1097 G1097 AG1096:AH1097 AF1145:AH1145 BD1118:BG1118 M1118 AF1116:AH1116 AH1039:AL1039 AZ1135 G1169:G1171 E1169 AX1043 AE1040:AL1040 AB1099:AB1101 BF1043:BG1043 D1043 B1043 A1291:A1292 C1291:C1292 E1119 D1135 W1135:AA1135 T1135 T1145 W1145:AA1145 B1145 D1145 AO1133:BG1134 AF1134:AI1134 AC1117 AE1135:AI1135 AL1055:AP1056 AK1026:BA1026 G1119:G1120 AG1119:AH1119 AJ1099:BG1099 E1099 M1092:M1095 M1098 AE1091 X1039:Z1039 AJ1131:BA1132 Z1141 BD1141:BG1141 X1141 BI1141:XFD1141 B1142:D1143 O1034:Q1034 O1166:Q1166 Z1142:AI1143 B1166:D1166 H1166 AO1040:AU1040 AE1081:AU1081 AO850:AT863 AO920:AT925 AJ920:AL921 AL936:AS937 AJ967:AT973 AK975:AL978 AK913:AT919 AO994:AQ994 AO993:AS993 AM993:AN994 AM998:AT1000 AO1001:AT1001 AO1002:AR1002 AJ1003:AL1003 AO1003:AX1003 AM1001:AN1003 AO1006:AT1011 AH1005:AL1005 AO1005:BF1005 AM1005:AN1011 AO1021:BG1022 AO1016:AT1020 AL1111 AO1135:AU1135 AE1229:AN1229 AO1050:AT1051 AJ1054:BG1054 AO1071:BA1071 AO1072:BG1072 AO1066:BA1067 AO1068:BG1070 AO1113:AU1113 AM1090:BG1098 AO1117:BG1117 AO1118:BA1118 AO1039:AW1039 AM1037:AN1040 AO1119:BG1120 AO1115:BA1116 AO1114:BG1114 AO1037:AR1037 AO1028:AP1028 AO1027 AO1023:BA1024 AO1029:AR1029 AO1059:BG1059 AO1060:XFD1061 AM1059:AN1061 AJ1066:AN1066 AJ1092:AL1093 M1054:M1056 Z1316:AI1316 AI1317:AI1318 Y1317:AG1318 B1172 M1041:M1042 H1142:H1143 O1142:Q1143 Z1274:AT1276 Z1283:AT1283 Z1284:AF1284 T1303:X1303 AF1146:AG1147 T1138:AG1138 BK1136:XFD1139 A1136:C1139 O1136:O1139 E1139 T1136:AG1136 M1147 G1082 G1148 AH1148 AI1304:AT1305 T1304:AG1304 Y1242 BI1169:XFD1172 AJ1034:XFD1034 Z1314:AI1314 Z1334:AK1041891 Z1306:AT1310 T1306:X1310 Y1307:Y1309 H1299:H1300 T1305:AH1305 Y1312:AT1313 T1311:AT1311 Z1303:AT1303 E1137 J1139 J1137 T1139:AW1139 AI1277:AT1282 AI1136:AW1136 AJ1067 AL1067:AN1067 AK866:AT874 Z1285:AG1290 AI1284:AT1290 Z1277:AG1282 A1274:C1290 T1274:X1293 AM1133:AN1135 M1173:M1174 X1144 Z1144 BD1144:BG1147 D1172 Z1021:Z1024 G1021:G1024 BD1023:BG1024 G1133 M1058 Z1212:AA1218 AK1211:AU1214 X1110:X1111 AO1038:BG1038 AK1043:AU1043 X1030:Z1030 G1037:G1038 B1135 AH1037:AH1038 BD1100:BG1106 M1100:M1106 M1131:M1132 AV1223:AW1228 AU1215:AU1228 AY1223:BD1238 AE1228:AT1228 AO1073:BA1075 AA1250 AM1113:AN1115 AX1113 AE1113:AI1114 AC1113:AC1114 W1113:AA1113 AJ1113:AL1113 T1113 B1113 AZ1113 D1113 BF1113:BG1113 D1208:D1218 AZ1207:AZ1218 B1194:B1214 T1211:T1218 W1211:AA1211 AC1211:AC1218 AE1211:AI1214 O1112:Q1112 D1112:F1112 Z1224:Z1234 AC1220:AC1236 AE1031:AG1032 AF1240:AG1242 AA1064 BD1041:BG1042 AA1041:AA1042 X1041:X1042 AL1041:BA1042 BD1033:BG1033 AJ1033:BA1033 Y1128 X1146:X1150 AF1128:AG1130 BD1239:BD1242 AB1128:AB1129 BD1246:BD1247 AM1050:AN1053 U1053 Z1082 AC1083:AC1087 B1083:C1087 T1083:T1087 V1083:V1087 AJ1082:BG1082 AH1082 AH1244:AH1245 AE1083:AG1087 AA1083:AA1086 AM1064:BA1065 AE1064:AG1065 V1064:V1065 T1064:T1065 B1064:C1065 AC1062:AC1065 X1078:X1080 M1026 AC1250 B1250:C1250 V1250 AE1250:AG1250 E1026 BD1026:BG1026 X1220:X1245 BF1081:BG1081 AJ1266:AW1273 BD1266:BD1273 X1266:X1273 Z1266:Z1273 BI1266:XFD1273 X1169 Z1169:Z1197 Z1236:Z1249 Z1291:AT1293 AM975:AT980 AX975:AX996 D914:H914 BI975:XFD996 AY913:BG914 AV975:AW983 Z975:Z983 AF975:AG975 X975 AI975:AJ975 AD914:AJ914 BH914:XFD914 O914:Q914 O974:Q974 W912:Z912 AV912:AW914 M909:M912 AU3:AU893 AO884:AT893 AX847:AX893 O901 AY891:BG893 AY902:BG907 AV891:AW893 AV902:AW907 BI879:XFD899 M892:M893 AC901:AC902 AC891:AD893 BI901:XFD902 M900:M905 AX902:AX973 AU902:AU973 AO942:AT943 AM949:AT963 X942:Z943 AV942:AW961 AL940:AN943 BI929:XFD954 AY942:BG949 AC998 AK929:AK943 E943:J943 AX1001:AX1002 AV998:AX1000 AV1001:AW1001 AU975:AU1002 Z1013:Z1019 E1013 AV1013:AW1016 AX1006:AX1016 AU1006:AU1016 BI1000:XFD1019 X1013:X1014 X1016 M1000:M1005 AY1000:BG1001 AY1013:BA1013 Z1001 G1013 G1016 BD1013:BG1013 AC1041:AC1046 M1036 X1031:X1032 X1035:X1038 Z1031:Z1033 Z1035:Z1038 BI1026:XFD1033 AC1030:AC1032 AC1035:AC1036 BI1035:XFD1043 X1054:X1055 B1040 D1040 BF1040:BG1040 T1040:T1043 AX1039:AX1040 AZ1040 W1040:Z1040 W1043:Z1043 AE1053:AG1053 AB1040:AC1040 AC1059 AE1057:BG1057 AJ1062:BG1063 X1062:X1065 K1025:L1025 B1025:E1025 BI1021:XFD1024 AM1016:AN1024 BD1058:BG1058 E1058:E1059 AJ1021:AL1024 Z1058:Z1059 G1058:G1059 G1062:G1063 Z1062:Z1063 E1062:E1063 BD1064:BG1067 AC1057 BI1050:XFD1059 X1057:Z1057 M1064:M1065 Z1146:Z1150 X1082:X1087 AJ1068:AN1075 BD1083:BG1087 M1083:M1090 Z1067:Z1080 X1075 M1075:M1080 BD1073:BG1080 M1115 B1116 BD1115:BG1116 AJ1116:AN1121 Z1114:Z1134 X1114:X1121 X1123:X1134 BI1113:XFD1135 BD1121:BG1132 M1121 M1123:M1129 AO1121:BA1121 T1137:AW1137 AI1138:AW1138 AJ1141:AW1151 B1157:D1158 O1157:Q1158 H1160:H1162 H1140 T1299:AT1302 Z1296:AT1298 T1296:X1298 Y1315:AG1315 AI1315 O1140:Q1140 B1140:D1140 H1258 Z1140:AW1140 T1159:AG1159 AI1159:AW1159 Y1108 A1167:C1168 BK1167:XFD1168 O1167:O1168 H1157:H1158 H1152 H1154 Z1157:AW1158 Z879:Z881 AJ1027:AN1030 AJ1076:BA1080 AK1094:AL1098 AJ1100:BA1106 AJ1122:BA1129 AI1130:BA1130 AH1133:AL1133 AJ1134:AL1135 AN635:AN800 AK802:AN837 AJ849:AN865 AD894:BG901 AK839:AN848 AK875:AN893 AM920:AN927 AD902:AT912 AK1086:AK1087 AM1083:BA1087 R1321:Y1041891 O1159:O1165 BK1159:XFD1165 A1159:C1165 BI1159:BI1165 BI1167:BI1168 M1136:M1144 Z1257:AW1265 O1257:Q1265 H1260:H1263 BI1136:BI1139 AJ1172:AQ1172 Z1251:Z1256 X1250:X1256 BD1250:BD1256 BI1203:XFD1256 AJ1240:AW1256 A1152:C1155 AF1266:AG1273 T1160:AW1164 H1294:H1295 T1294:AT1295 A1293:C1318 J1295 AX1325:AX1041891 M1297:M1315 B1257:D1265 M1250:M1295 M1216:M1241 M1243:M1246 M1248 AJ1314:AT1318 A1320:D1041891 E1320:E1338 Z1320:AK1332 AY1320:BF1041891 F1320:F1041891 AL1320:AW1041891 O1152:O1156 BI1152:BI1156 BK1152:XFD1156 R1320:X1320 A1156:F1156 BH1173:XFD1202 BH1166:XFD1166 BH1157:XFD1158 BH1257:XFD1265 BD1108:BG1109 Z1319:AT1319 Y1156:AW1156 O719:Q719 T855:Y855 T823:U823 T864:Y864 T874:AG874 T873:AC873 T928:AG928 T999:X999 T1020:X1020 T997:X997 T1025:X1025 T1049:X1049 T1044:X1044 T1060:X1061 T1046:X1046 T1034:X1034 T1165:X1168 T1142:X1143 T1112:XFD1112 T974:XFD974 T1140:X1140 T1257:X1265 T1156:X1158 Y1151:Z1151 AJ1108:AK1111 X1109:Z1109 M1108:M1109 AM1108:BA1109 BI1144:XFD1151 AF1149:AG1150 S410:S1108 R719:R1108 BD1149:BG1150 Z1088:Z1108 Z1110:Z1111 BI1062:XFD1111 X1089:X1108 AJ1107:BG1107 AF1107:AG1110 AM1110:BG1111 AB1150 R1109:S1319 M1149:M1169 BE1151:BG1319 T1312:X1319 AU1274:AW1319 A1319:F1319 M1317:M1319 BK1274:XFD1041805 BI1274:BI1041805 O1293:O1041891 T1152:AW1155 Z1165:AW1168 AY1148:BG1148 AY1239:BA1242 AY1248:BD1249 AY1246:BA1247 AY1243:BD1245 AY1266:BA1273 AY1136:BF1139 AY1141:BA1141 AY1142:XFD1143 AY1140:XFD1140 AY1257:BD1265 AY1250:BA1256 AY1144:BA1147 AY1149:BA1150 AY1274:BD1319 AY1151:BD1171 AX1135:AX1323" name="PV_Data"/>
    <protectedRange sqref="I1" name="PV_Data_2"/>
    <protectedRange sqref="A1" name="PV_Data_4"/>
    <protectedRange sqref="AQ679:AQ681 AQ754" name="PV_Data_1"/>
    <protectedRange sqref="AK572:AK573 AK575:AK576" name="PV_Data_3"/>
  </protectedRanges>
  <sortState xmlns:xlrd2="http://schemas.microsoft.com/office/spreadsheetml/2017/richdata2" ref="AD1239:AD1264">
    <sortCondition descending="1" ref="AD1239:AD1264"/>
  </sortState>
  <phoneticPr fontId="0" type="noConversion"/>
  <conditionalFormatting sqref="A1">
    <cfRule type="duplicateValues" dxfId="85" priority="271"/>
  </conditionalFormatting>
  <conditionalFormatting sqref="A846 P878:Q902 W878:W902 P894:P934 T913 T916:T919 T969:T973 P1207:P1219 T1219:T1235 P1222:P1232 P1250:Q1250 M1297:M1298">
    <cfRule type="cellIs" dxfId="84" priority="147" operator="equal">
      <formula>"No"</formula>
    </cfRule>
    <cfRule type="cellIs" dxfId="83" priority="148" operator="equal">
      <formula>"Yes"</formula>
    </cfRule>
  </conditionalFormatting>
  <conditionalFormatting sqref="A850:A854">
    <cfRule type="cellIs" dxfId="82" priority="135" operator="equal">
      <formula>"No"</formula>
    </cfRule>
    <cfRule type="cellIs" dxfId="81" priority="136" operator="equal">
      <formula>"Yes"</formula>
    </cfRule>
  </conditionalFormatting>
  <conditionalFormatting sqref="A1236:A1048576 K961 K833 A740:A743 A811:A812 A790:A794 A745:A750 A767:A773 A752:A764 A776 A778:A780 A815:A816 A823:A825 A836 A806 A839:A840 A844:A845 K964 K967 A798:A801 A2:A715 A858:A943 A949:A990 A847:A849 A1001:A1013 A1016:A1089 A1099:A1234">
    <cfRule type="duplicateValues" dxfId="80" priority="4857"/>
  </conditionalFormatting>
  <conditionalFormatting sqref="K826">
    <cfRule type="duplicateValues" dxfId="79" priority="202"/>
  </conditionalFormatting>
  <conditionalFormatting sqref="M1:M550 P669:P848 T824:T902 A841:A843 T926:T960 P934:Q939 W934:W939 P940:P975 P943:Q960 W943:W963">
    <cfRule type="cellIs" dxfId="78" priority="129" operator="equal">
      <formula>"No"</formula>
    </cfRule>
    <cfRule type="cellIs" dxfId="77" priority="130" operator="equal">
      <formula>"Yes"</formula>
    </cfRule>
  </conditionalFormatting>
  <conditionalFormatting sqref="M1:M1048576">
    <cfRule type="cellIs" dxfId="76" priority="29" operator="equal">
      <formula>"Yes - GTG"</formula>
    </cfRule>
    <cfRule type="cellIs" dxfId="75" priority="30" operator="equal">
      <formula>"No - GTG"</formula>
    </cfRule>
  </conditionalFormatting>
  <conditionalFormatting sqref="M554:M594 M596:M631 P610 P625:P631 P635:P636 P646:P648 P650:P651 P653:P663 T700 T743:T748 T755 T768:T798 P825:Q827 W825:W827 P844:Q845 W844:W845 P877:P878 AD1233">
    <cfRule type="cellIs" dxfId="74" priority="460" operator="equal">
      <formula>"No"</formula>
    </cfRule>
    <cfRule type="cellIs" dxfId="73" priority="464" operator="equal">
      <formula>"Yes"</formula>
    </cfRule>
  </conditionalFormatting>
  <conditionalFormatting sqref="M635:M1246 A803:A805 A809:A810 P847:Q876 W847:W876 T975:T1172 P976:Q1172 W976:W1172 P1219:Q1221 W1219:W1221 P1234:P1237 M1317:M1319">
    <cfRule type="cellIs" dxfId="72" priority="149" operator="equal">
      <formula>"No"</formula>
    </cfRule>
    <cfRule type="cellIs" dxfId="71" priority="150" operator="equal">
      <formula>"Yes"</formula>
    </cfRule>
  </conditionalFormatting>
  <conditionalFormatting sqref="M1248">
    <cfRule type="cellIs" dxfId="70" priority="1" operator="equal">
      <formula>"No"</formula>
    </cfRule>
    <cfRule type="cellIs" dxfId="69" priority="2" operator="equal">
      <formula>"Yes"</formula>
    </cfRule>
  </conditionalFormatting>
  <conditionalFormatting sqref="M1250:M1293">
    <cfRule type="cellIs" dxfId="68" priority="7" operator="equal">
      <formula>"No"</formula>
    </cfRule>
    <cfRule type="cellIs" dxfId="67" priority="8" operator="equal">
      <formula>"Yes"</formula>
    </cfRule>
  </conditionalFormatting>
  <conditionalFormatting sqref="M1295 P1295:Q1295 T1295 W1295">
    <cfRule type="cellIs" dxfId="66" priority="31" operator="equal">
      <formula>"No"</formula>
    </cfRule>
    <cfRule type="cellIs" dxfId="65" priority="32" operator="equal">
      <formula>"Yes"</formula>
    </cfRule>
  </conditionalFormatting>
  <conditionalFormatting sqref="M1301:M1315">
    <cfRule type="cellIs" dxfId="64" priority="21" operator="equal">
      <formula>"No"</formula>
    </cfRule>
    <cfRule type="cellIs" dxfId="63" priority="22" operator="equal">
      <formula>"Yes"</formula>
    </cfRule>
  </conditionalFormatting>
  <conditionalFormatting sqref="P1235:Q1235">
    <cfRule type="cellIs" dxfId="62" priority="179" operator="equal">
      <formula>"No"</formula>
    </cfRule>
    <cfRule type="cellIs" dxfId="61" priority="180" operator="equal">
      <formula>"Yes"</formula>
    </cfRule>
  </conditionalFormatting>
  <conditionalFormatting sqref="Q1304:Q1305 T1304:T1305 W1304:W1305">
    <cfRule type="cellIs" dxfId="60" priority="51" operator="equal">
      <formula>"No"</formula>
    </cfRule>
    <cfRule type="cellIs" dxfId="59" priority="52" operator="equal">
      <formula>"Yes"</formula>
    </cfRule>
  </conditionalFormatting>
  <conditionalFormatting sqref="T800:T822 P801:Q801 W801 A826:A835 A837:A838 P922:Q924 T922:T924 W922:W924 P926:Q929 W926:W929 W1235">
    <cfRule type="cellIs" dxfId="58" priority="137" operator="equal">
      <formula>"No"</formula>
    </cfRule>
    <cfRule type="cellIs" dxfId="57" priority="138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181:AC1181 A1181:D1181 AN465 X473:X486 AK473:AK484 AJ485:AL485 AL428:AL444 AL446:AL463 AN280:AO289 AL519:AN523 AK489:AK504 AE521:AE523 O1177:O1178 O1184:O1185 AS533:AT536 AC1176 AI495:AJ495 AJ510:AL510 W579:Z579 AE528:AE529 AJ489:AJ494 AX574:BD574 AP532:AR536 AI512:AL513 AY542:BD556 AR557:AR558 BA558:BD559 BA512:BD541 AI518:AI529 AI557:AK559 AS473:AS476 AJ516:AK517 B1177:B1178 J1176:J1180 N358 N1176:O1176 J654:L659 N401:O404 AJ496:AJ504 AI430:AN432 AY405:AZ406 AL473:AN493 AY559:BD570 AZ1176 AZ1181:AZ1183 N405:V406 BA571:BD571 AY571:AZ577 AV1192:AV1193 AJ520 O473:W483 AJ468:AJ484 BA573:BD578 Z464:AF464 BA579 D579 AD578 AD572 AD562:AD563 N663:AC663 AP557:AP559 AP596:AP597 AZ584:AZ604 AJ559:AJ595 AI559:AI578 AI580:AI595 AD566 AD581 J554:J578 AI371:AN376 J631:K631 AM524:AO524 AG635:AG649 N467:X472 N561:X578 AP668:AR669 O484:X560 N473:N560 AJ486:AK488 AD658 A428:D578 AE668:AG678 AG665 T1:AG181 AH706:AH712 Z700:AG700 AI405:AL406 AI297:AL297 AI222:AL223 AI360:AN360 AI316:AR325 AI315:AS315 AI361:AK370 AI377:AP377 AI228:AR229 AI378:AT390 AI211:AJ221 AI446:AK461 AI462:AI463 AI408:AM408 AI464:AJ464 AI260:AM266 AI248:AJ259 AI391:AJ402 AI433:AK444 AI445:AL445 AI267:AT275 J684:J695 AN276:AP279 AI468:AI510 AL413:AN427 AE530:AF578 AA1192:AF1193 AF522:AF529 AE524:AF527 AE1181:AF1181 AF1182 AG306:AG311 AI296:AJ300 AI301:AN314 AG296 AF358 W634:Z634 AG298:AG300 AE465:AF521 AF401:AF407 AD665 AN446:AO463 AN405 AM433:AN444 AM465:AM466 AO473:AR478 AI530:AL558 AN667:AS667 AQ662:AQ666 AR662:AT669 AD672:AD678 AB664:AB667 AB662 A427 AP423:AT427 B424:D427 AO419:AO433 AD684:AD685 AG679:AG692 K1177:L1187 J1182:J1187 AI654:AI659 AE635:AF667 AC662:AC667 AA635:AC661 AR602:AR628 AF1176 AI635:AJ653 B1194:B1197 N1207:N1208 AD690 AF707:AG707 Z701:AF701 AQ634 N634:O634 AE580:AG633 BA634 D634 AM445:AM463 AL494:AT504 AE663:AG663 AI511:AM511 AL513:AM513 AL515:AL520 AH863:AH873 AG704 M1 AA726:AE735 AP580:AT595 AD705 AV713:BF713 AI660:AJ671 AA696:AF699 AG698:AG700 AC684:AC695 AB685:AB695 K691:K695 AD692:AD695 AE679:AF695 AA718:AG719 AA722:AG723 N666:AC666 AM516:AN518 AA717:AF725 AF721:AG723 Z713:AF713 AD711:AD713 AI707:AI712 N702:AG702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AR762:AS777 M668:M683 AT742:AT767 AI874:AJ874 AA684:AA695 AA668:AC689 I1 AA662:AA667 A580:D633 AA349:AC349 AA465:AC578 AA580:AC630 AA736:AC742 V748:Y749 AA748:AF760 AA703:AC713 AA701:AG702 M749:M750 M756:M873 W1176:Y1176 AA1176 AV720:BF720 AE703:AF716 Z716:AC716 N629:AC629 AP598:AQ633 AI596:AJ633 AK579:AK633 AS602:AT627 AH875 K1204:L1204 B799:D801 AP795:AR795 A799:A822 N1196:N1200 Z748:AG748 AO1192:AS1193 AA741:AG747 AA714:AG715 AI713:AT713 AI714:AL715 AK559:AL578 AL580:AL633 AR767:AR794 A635:D798 AO580:AO634 AK635:AM671 N618:Z618 AO635:AT661 AO662:AP669 AL1192:AM1193 AI740:AL760 AJ736:AL739 AN611:AN633 AG749:AG760 AC755:AG755 AM579:AM633 AV629:BF629 AI672:AM699 AJ707:AL715 AI701:AL706 AI761:AN761 AI721:AL735 BD1266:BD1273 J1261:L1263 Y1223 AO969:AO973 M619:M628 AQ964:AQ973 AM714:AN714 AN668 AP754:AT755 AN664:AN666 AI1176:AJ1176 AI1192:AJ1193 T1192:V1193 AJ1181 AL1176:AQ1176 AM1181:AS1181 AN1177:AN1180 BA1182:BA1191 AY1192:BA1193 A1176:A1191 A1192:C1193 AT1191:AT1192 AP964:AP969 BH1192:XFD1193 U1220:U1221 J1311:J1313 O1213:O1219 AI973:AJ973 J1307:J1309 AU186:BF186 AV804:BF806 AX670:AX699 AV669:BF669 AX714:AX719 AV702:BF702 AV667:BF667 AY597:BF633 AV578:BF578 AY874:XFD874 AY635:BF699 AY580:BF595 AX577:BF577 BE579:BF579 BE558:BF576 AX557:BF557 AX596:BF596 AX572:BF572 AX511:BF511 BE512:BF556 BA510:BF510 BH580:BH633 BH629:XFD629 BH705:XFD705 BE1181:XFD1181 BH635:BH761 AV766:BF797 AV801:XFD801 AX721:AX765 AV663:BF663 BG926 AM530:AO577 AR796:AR800 AP802:AP822 AO762:AO822 M630 Z1235:AC1235 AP762:AQ800 AN801:AP801 AE1235:AF1235 A1235:D1235 AM715:AT715 N874:AG874 N631:AC633 N513:AC513 AA186:AC186 Z465:Z512 Y514:Z578 Z580:Z617 Z619:Z628 Z630 Z635:Z662 Z664:Z665 Z667:Z699 Z703:Z712 AA964:AA973 AO970:AP973 M925 AO874:AO876 AP874:AP875 AY926:BF935 BH926:XFD935 BG930:BG935 N407 AX630:AX647 BE634:BF634 BI468:XFD761 Z409:Z463 AV408:AZ444 J404:J549 AE408:AF463 BB408:BD509 N408:V466 AA409:AC429 AI409:AK427 AN407:AN414 AL409:AM411 A408:D423 AO409:AT418 W358:X466 BH359:XFD467 AX359:AX406 AV359:AW400 AE359:AF400 N359:V400 AY359:AZ400 K359:L400 BB359:BD400 A369:D400 AC361:AC404 AB361:AB400 AI326:AT359 AV700:BF700 AZ328:AZ578 AO290:AT297 AN290:AN295 AI276:AM295 A285:D357 AI230:AT247 AQ204:AQ218 AM201:AN218 AI201:AL210 AO201:AP210 AR201:AT218 K183:L357 BA187:BA509 BE187:BF509 AX187:AX357 AI1:AT200 AE182:AF357 AB182:AC357 Y182:Y512 J182:J402 Z182:Z406 AA182:AA404 BH1:XFD357 AY182:AZ357 N182:X357 AI817:AJ822 BB182:BD357 BE182:BF185 AX182:AX185 BA182:BA185 AD182:AD184 AE761:AG845 AK762:AL800 T880:Z893 AI1235:AT1235 AL864:AL893 AI926:AJ939 AY927:XFD929 AV1181 AO516:AT520 AO940:AQ963 AY863:XFD863 AM721:AM760 K648:K667 AD978:AD987 J635:J667 K635:K646 AD976 M1216:M1218 AJ940:AJ948 AX1181:BA1181 AH877:AH878 AI762:AI878 AK926:AK948 AR1055:XFD1056 AV1:BF181 AP433:AT444 AO434:AT435 AT430:AT432 AI428:AT429 AN222:AT223 AU1:AU185 AN260:AU260 AV182:AW357 AL314:AV314 AN445:AZ445 AU423:AU444 AS422:AU422 AU187:AU259 AU261:AU313 AU315:AU407 AU409:AU412 AU414:AU421 AS446:AT465 AV446:AZ467 AR463:AT463 AO949:AT960 AH714 AQ801:AT822 AO740:AT742 AO701:AT715 AQ558:AT558 AS557:AT559 AV468:AW577 AT1180 AI716:AT720 AV701:AW777 AI1055:AP1056 AN663:AT663 AO804:AT806 AN610:AT610 AV580:AW633 AS767:AT800 AR629:AT633 AL525:AT529 AP537:AT557 AT473:AT478 AP477:AT478 AN466:AT466 AP530:AT531 AP559:AT577 AI467:AT467 AO479:AT493 AM510:AT515 AK468:AT472 AJ505:AT509 AP519:AT524 AF1203:AG1204 J1305 AY934:XFD973 AJ762:AJ816 AJ961:AK973 AI944:XFD948 A1219:D1219 AH1 AL940:AN973 AL936:AQ939 AA940:AA962 AJ875:AJ876 AN1173:AN1175 AM578:AT578 AD762:AD836 AA762:AC845 AD839:AD845 AK864:AK875 Y1311:Y1313 AF1265 AJ1237:AJ1239 AI700:AT700 AM913:AQ913 AN635:AN662 AN579:AN609 AN741:AN760 AQ874:AT876 AO741:AS761 AK801:AK861 AJ823:AJ873 BG1:BG862 BH762:XFD862 AM701:AN712 AI1098 M1114 AS1093:AT1094 AS1095:XFD1095 B1291:B1292 AF1291:AG1292 AN721:AT740 AN669:AT699 AQ1093:AR1098 AS1096:AT1098 AU1092:XFD1098 C1169:D1171 A1169:B1170 AI949:AL960 AO813:AT873 AL801:AL862 AK862:AL863 AM863:AN863 AO923:AS925 AL926:AL935 AO926:AT935 AM928:AN935 AH961:AH973 AG1304 AO976:AT987 AO1093:AO1098 AK1098:AP1098 AJ1093:AJ1098 J1317:J1318 AN874:AQ874 AG1284 AA1267:AC1267 T944:AG948 M1173:M1174 A1304:D1305 AJ1266:AP1266 AY1267:BA1273 AB1266:AC1266 Y1307:Y1309 T755:Z755 T1304:AF1305 J1219:L1219 L635:L667 J666:L666 J663:L663 K405:L578 T894:AC924 K874:L877 J876:L876 J632:L633 J1266:L1266 N580:Y630 N1176:N1191 J1188:L1202 M580:M617 J580:L630 J1181:L1181 M753 L684:L695 J668:L689 J1:L181 N1:Q181 J696:L874 J1304:L1304 AH1093:AI1097 AI915:AN919 J1284:J1290 O1274:O1292 J1277:J1282 A1172:D1172 Z1173:Z1180 T922:AD925 AY1099:XFD1150 BA1173:BA1180 J1215 J1203:J1211 AU1173:AU1218 W1173:X1218 AN1182:AN1215 AK1173:AK1215 J1242 AN1219:AN1236 AK1220:AK1239 AF1226:AG1229 N1264:N1265 AQ1256 AF1240:AG1242 Y1242 X1220:X1245 AM1237:AN1244 J1269:L1273 R975:X975 BH1257:BH1273 Z1268:AC1273 AI1257:AW1265 AM914:AN914 AH920:AH925 AO975:AR975 AR913:AT919 AR934:AT973 AI974:XFD974 T976:AC987 T1257:X1273 AV784:AX893 AU894:AX973 AU446:AU893 AY701:BF893 AY894:XFD925 BG864:XFD893 AO876:AQ924 AN762:AN862 AO922:AT922 AI876:AK893 AI975:AN987 AD894:AD922 AS894:AS924 AR894:AR921 AR877:AT893 AT894:AT925 AU975:XFD997 C975:D997 AI988:AT997 AI1088:AL1092 A800:D974 A976:B997 Z714:Z879 AI998:XFD1054 AO1088:XFD1092 AM1088:AN1097 J1315 X1303 X1299:Y1302 J1297:J1302 D1306:D1318 N1314:N1318 AF1296:AF1303 X1296:X1298 D1296:D1303 Y1294 AI1057:XFD1087 K1258:L1258 D1169:D1218 K1260:L1260 G1 AK1093:AL1097 AN864:AN927 AM762:AM927 J1249 B1257:D1273 AA1257:AC1265 AQ1254 AE1257:AE1265 L1295 J1251:J1260 Z1182:Z1267 AN1245:AN1256 AU1220:AU1256 AY1257:BD1265 AJ1240:AK1256 X1250:X1256 AG1272:AG1273 AF1272:AF1290 AE1272:AE1273 D1274:D1294 X1274:X1294 AF1293:AF1294 J1294 A1295:D1295 AA846:AG893 T974:AG974 AB940:AG973 AI940:AI973 AH940:AH943 AC914:AG919 AA915:AG919 AE894:AG925 AI894:AL925 AH894:AH913 Z975:AG975 AE1266:AG1271 S1320 AE976:AG987 A1:D279 E1 F1:F181 H1:H181 BH1304:CM1305 J1247 AY1304:BD1305 AI1295:CM1295 AV1235:BH1235 BE1182:BG1218 BE1220:BG1234 BE1236:BG1294 AX1099:AX1180 AI1304:AT1305 AV1304:AW1305 AU1274:AU1294 T940:Z973 N1295:AG1295 O1257:Q1268 N1235:X1235 N1219:AG1219 N1269:Q1273 T750:Y879 T635:Y748 N1181:W1181 N1192:R1193 N635:Q974 T926:AG939 R1:S873 J878:L1172 A998:D1168 Q1304:Q1305 BH1151:XFD1172 N1304:O1305 R875:S1319 AU1296:AU1319 BE1151:BG1180 BE1296:BG1319 X1306:X1320 AY1151:BD1172 AF1306:AF1320 AI1319:AN1319 N976:Q1172 O1319:O1320 T988:AG1172 AI1099:AW1172 AI1219:XFD1219 AI1267:AW1273 AR1266:BA1266 AX1182:AX1218 AX1220:AX1234 AX1236:AX1265 AX1267:AX1294 AX1296:AX1319" xr:uid="{ED956DE9-B3DC-4FA3-83E1-4BE1D8807D51}"/>
    <dataValidation type="list" allowBlank="1" showInputMessage="1" showErrorMessage="1" sqref="F997 F976:F977 F1251 F1255 F950:F954 F1173:F1204 F1207:F1215 F956 F913 F1259 F1257 F1242 F1266 F1068:F1070 F1127:F1135 F1295 F980:F981 F972:F973 F1002:F1051 F1141 F1107:F1115 F1122 F1249 E2:E1107 E1108:F1109 F1146:F1171 E1110:E1320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J880 J876 J824:K824 J1250:J1263 H1297:H1315 J922:J924 J969:J973 J926:J929 J878 J1304 J1219 J736:J874 J1299:J1300 J1138 J1172 J915:J919 J882:J902 J934:J960 J1033:K1034 J1036:K1036 J975:J1032 J1294:J1295 J1035:J1136 J1140:J1168 H182:H1295 H1317:H1319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K1304 K876 AO964:AO968 K801 K880:K902 K1172 K923:K924 K926:K929 K865:K874 K862:K863 K934:K939 K1219 K943:K960 K976:K1168 G2:G1320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Y913</xm:sqref>
        </x14:dataValidation>
        <x14:dataValidation type="list" allowBlank="1" showInputMessage="1" showErrorMessage="1" xr:uid="{CCF185B2-DD90-4AA1-BCC9-E5F9AF230BE6}">
          <x14:formula1>
            <xm:f>'Assumption ATP'!$Y$4:$Y$10</xm:f>
          </x14:formula1>
          <xm:sqref>I2:I1320</xm:sqref>
        </x14:dataValidation>
        <x14:dataValidation type="list" allowBlank="1" showInputMessage="1" showErrorMessage="1" xr:uid="{7AD80D79-5EED-4379-BA27-2D7CACB3E54E}">
          <x14:formula1>
            <xm:f>'Assumption ATP'!$W$4:$W$6</xm:f>
          </x14:formula1>
          <xm:sqref>M2:M1319</xm:sqref>
        </x14:dataValidation>
        <x14:dataValidation type="list" allowBlank="1" showInputMessage="1" showErrorMessage="1" xr:uid="{DF434F83-2686-452A-8186-D71F7F636F2D}">
          <x14:formula1>
            <xm:f>'Assumption ATP'!$S$4:$S$34</xm:f>
          </x14:formula1>
          <xm:sqref>AH2:AH1320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45"/>
  <sheetViews>
    <sheetView showGridLines="0" topLeftCell="O1" zoomScale="176" zoomScaleNormal="85" workbookViewId="0">
      <pane ySplit="1" topLeftCell="A227" activePane="bottomLeft" state="frozen"/>
      <selection pane="bottomLeft" activeCell="E238" sqref="E238:E240"/>
    </sheetView>
  </sheetViews>
  <sheetFormatPr defaultColWidth="9.09765625" defaultRowHeight="11.25" customHeight="1" outlineLevelCol="1"/>
  <cols>
    <col min="1" max="1" width="14.59765625" style="5" customWidth="1"/>
    <col min="2" max="2" width="9.09765625" customWidth="1"/>
    <col min="3" max="3" width="9.09765625" style="5" customWidth="1" outlineLevel="1"/>
    <col min="4" max="5" width="9.09765625" customWidth="1" outlineLevel="1"/>
    <col min="6" max="6" width="14" style="5" customWidth="1" outlineLevel="1"/>
    <col min="7" max="7" width="8.3984375" customWidth="1"/>
    <col min="8" max="8" width="22.3984375" style="5" customWidth="1" outlineLevel="1"/>
    <col min="9" max="9" width="13.3984375" style="5" hidden="1" customWidth="1"/>
    <col min="10" max="10" width="16.8984375" style="5" hidden="1" customWidth="1" outlineLevel="1"/>
    <col min="11" max="11" width="12.09765625" hidden="1" customWidth="1" collapsed="1"/>
    <col min="12" max="12" width="11.09765625" hidden="1" customWidth="1" outlineLevel="1"/>
    <col min="13" max="13" width="9.8984375" style="5" hidden="1" customWidth="1" outlineLevel="1"/>
    <col min="14" max="14" width="12.59765625" style="5" customWidth="1" outlineLevel="1"/>
    <col min="15" max="15" width="25.09765625" style="6" customWidth="1" outlineLevel="1"/>
    <col min="16" max="16" width="22.8984375" style="5" customWidth="1"/>
    <col min="17" max="17" width="9.8984375" style="5" customWidth="1"/>
    <col min="18" max="18" width="9.09765625" style="5" customWidth="1"/>
    <col min="19" max="19" width="4.59765625" style="5" hidden="1" customWidth="1" outlineLevel="1"/>
    <col min="20" max="20" width="9.09765625" style="5" hidden="1" customWidth="1" collapsed="1"/>
    <col min="21" max="21" width="9.09765625" style="5" customWidth="1" outlineLevel="1"/>
    <col min="22" max="22" width="12" style="5" customWidth="1" outlineLevel="1"/>
    <col min="23" max="23" width="10.8984375" style="5" customWidth="1"/>
    <col min="24" max="24" width="11" style="5" customWidth="1"/>
    <col min="25" max="25" width="9.09765625" style="373" customWidth="1"/>
    <col min="26" max="26" width="10.3984375" style="301" customWidth="1"/>
    <col min="27" max="27" width="7.3984375" style="5" customWidth="1" outlineLevel="1"/>
    <col min="28" max="28" width="14.09765625" style="5" customWidth="1"/>
    <col min="29" max="29" width="9" style="5" hidden="1" customWidth="1"/>
    <col min="30" max="30" width="9.09765625" style="6" customWidth="1"/>
    <col min="31" max="31" width="9.3984375" style="6" customWidth="1"/>
    <col min="32" max="32" width="12.3984375" style="6" customWidth="1"/>
    <col min="33" max="33" width="11.3984375" style="6" bestFit="1" customWidth="1"/>
    <col min="34" max="34" width="11.3984375" style="8" bestFit="1" customWidth="1"/>
    <col min="35" max="35" width="9.8984375" style="9" customWidth="1"/>
    <col min="36" max="36" width="11.3984375" style="9" bestFit="1" customWidth="1"/>
    <col min="37" max="38" width="11.3984375" style="5" bestFit="1" customWidth="1"/>
    <col min="39" max="39" width="7.3984375" style="5" customWidth="1"/>
    <col min="40" max="40" width="20.8984375" style="5" customWidth="1"/>
    <col min="41" max="41" width="9.09765625" style="7" customWidth="1"/>
    <col min="42" max="42" width="15.09765625" style="10" bestFit="1" customWidth="1"/>
    <col min="43" max="43" width="13.8984375" style="10" customWidth="1"/>
    <col min="44" max="44" width="14.89843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09" t="s">
        <v>0</v>
      </c>
      <c r="B1" s="410" t="s">
        <v>1</v>
      </c>
      <c r="C1" s="396" t="s">
        <v>2</v>
      </c>
      <c r="D1" s="411" t="s">
        <v>3</v>
      </c>
      <c r="E1" s="412" t="s">
        <v>4</v>
      </c>
      <c r="F1" s="412" t="s">
        <v>5</v>
      </c>
      <c r="G1" s="412" t="s">
        <v>6</v>
      </c>
      <c r="H1" s="412" t="s">
        <v>7</v>
      </c>
      <c r="I1" s="412" t="s">
        <v>8</v>
      </c>
      <c r="J1" s="412" t="s">
        <v>9</v>
      </c>
      <c r="K1" s="412" t="s">
        <v>10</v>
      </c>
      <c r="L1" s="412" t="s">
        <v>11</v>
      </c>
      <c r="M1" s="412" t="s">
        <v>7416</v>
      </c>
      <c r="N1" s="2" t="s">
        <v>15</v>
      </c>
      <c r="O1" s="2" t="s">
        <v>7417</v>
      </c>
      <c r="P1" s="2" t="s">
        <v>16</v>
      </c>
      <c r="Q1" s="2" t="s">
        <v>19</v>
      </c>
      <c r="R1" s="2" t="s">
        <v>20</v>
      </c>
      <c r="S1" s="2" t="s">
        <v>21</v>
      </c>
      <c r="T1" s="2" t="s">
        <v>22</v>
      </c>
      <c r="U1" s="863" t="s">
        <v>23</v>
      </c>
      <c r="V1" s="1023" t="s">
        <v>7418</v>
      </c>
      <c r="W1" s="2" t="s">
        <v>24</v>
      </c>
      <c r="X1" s="2" t="s">
        <v>7419</v>
      </c>
      <c r="Y1" s="3" t="s">
        <v>26</v>
      </c>
      <c r="Z1" s="27" t="s">
        <v>27</v>
      </c>
      <c r="AA1" s="28" t="s">
        <v>28</v>
      </c>
      <c r="AB1" s="2" t="s">
        <v>29</v>
      </c>
      <c r="AC1" s="2" t="s">
        <v>30</v>
      </c>
      <c r="AD1" s="26" t="s">
        <v>31</v>
      </c>
      <c r="AE1" s="26" t="s">
        <v>32</v>
      </c>
      <c r="AF1" s="26" t="s">
        <v>33</v>
      </c>
      <c r="AG1" s="4" t="s">
        <v>2504</v>
      </c>
      <c r="AH1" s="4" t="s">
        <v>35</v>
      </c>
      <c r="AI1" s="4" t="s">
        <v>36</v>
      </c>
      <c r="AJ1" s="4" t="s">
        <v>37</v>
      </c>
      <c r="AK1" s="4" t="s">
        <v>38</v>
      </c>
      <c r="AL1" s="4" t="s">
        <v>39</v>
      </c>
      <c r="AM1" s="2" t="s">
        <v>7420</v>
      </c>
      <c r="AN1" s="2" t="s">
        <v>41</v>
      </c>
      <c r="AO1" s="2" t="s">
        <v>42</v>
      </c>
      <c r="AP1" s="2" t="s">
        <v>43</v>
      </c>
      <c r="AQ1" s="2" t="s">
        <v>44</v>
      </c>
      <c r="AR1" s="2" t="s">
        <v>45</v>
      </c>
      <c r="AS1" s="2" t="s">
        <v>46</v>
      </c>
      <c r="AT1" s="2" t="s">
        <v>47</v>
      </c>
      <c r="AU1" s="29" t="s">
        <v>48</v>
      </c>
      <c r="AV1" s="29" t="s">
        <v>2511</v>
      </c>
      <c r="AW1" s="29" t="s">
        <v>50</v>
      </c>
      <c r="AX1" s="29" t="s">
        <v>51</v>
      </c>
      <c r="AY1" s="29" t="s">
        <v>52</v>
      </c>
      <c r="AZ1" s="245" t="s">
        <v>53</v>
      </c>
      <c r="BA1" s="245" t="s">
        <v>54</v>
      </c>
      <c r="BB1" s="29" t="s">
        <v>55</v>
      </c>
      <c r="BC1" s="196" t="s">
        <v>59</v>
      </c>
      <c r="BD1" s="196" t="s">
        <v>7421</v>
      </c>
    </row>
    <row r="2" spans="1:56" s="23" customFormat="1" ht="11.25" customHeight="1">
      <c r="A2" s="11" t="s">
        <v>7422</v>
      </c>
      <c r="B2" s="12" t="s">
        <v>7423</v>
      </c>
      <c r="C2" s="12" t="str">
        <f>IFERROR(LEFT(ESS_DATA[[#This Row],[TCL REFERENCE]],FIND(".",ESS_DATA[[#This Row],[TCL REFERENCE]],1)-1),"Main Line")</f>
        <v>25NOV001</v>
      </c>
      <c r="D2" s="12" t="s">
        <v>63</v>
      </c>
      <c r="E2" s="160" t="s">
        <v>64</v>
      </c>
      <c r="F2" s="160" t="s">
        <v>68</v>
      </c>
      <c r="G2" s="12" t="s">
        <v>7424</v>
      </c>
      <c r="H2" s="12" t="s">
        <v>67</v>
      </c>
      <c r="I2" s="13"/>
      <c r="J2" s="12" t="s">
        <v>96</v>
      </c>
      <c r="K2" s="12"/>
      <c r="L2" s="13"/>
      <c r="M2" s="213" t="s">
        <v>68</v>
      </c>
      <c r="N2" s="25" t="s">
        <v>7425</v>
      </c>
      <c r="O2" s="12" t="s">
        <v>7426</v>
      </c>
      <c r="P2" s="12" t="s">
        <v>7427</v>
      </c>
      <c r="Q2" s="12">
        <v>0</v>
      </c>
      <c r="R2" s="295">
        <v>78</v>
      </c>
      <c r="S2" s="296"/>
      <c r="T2" s="12"/>
      <c r="U2" s="300"/>
      <c r="V2" s="365"/>
      <c r="W2" s="147" t="s">
        <v>75</v>
      </c>
      <c r="X2" s="147" t="str">
        <f t="shared" ref="X2:X33" si="0">IF(AL2&lt;&gt;"","COMPLETED",IF(AI2&lt;&gt;"","IN-TRANSIT",""))</f>
        <v>COMPLETED</v>
      </c>
      <c r="Y2" s="180"/>
      <c r="Z2" s="702">
        <v>45982</v>
      </c>
      <c r="AA2" s="15">
        <f>WEEKNUM(ESS_DATA[[#This Row],[Pick-Up Date]])</f>
        <v>47</v>
      </c>
      <c r="AB2" s="12" t="s">
        <v>7428</v>
      </c>
      <c r="AC2" s="12">
        <v>371009150</v>
      </c>
      <c r="AD2" s="12" t="s">
        <v>122</v>
      </c>
      <c r="AE2" s="12" t="s">
        <v>123</v>
      </c>
      <c r="AF2" s="12" t="s">
        <v>78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7424</v>
      </c>
      <c r="AN2" s="12" t="s">
        <v>7429</v>
      </c>
      <c r="AO2" s="12" t="s">
        <v>80</v>
      </c>
      <c r="AP2" s="12" t="s">
        <v>7430</v>
      </c>
      <c r="AQ2" s="12" t="s">
        <v>7431</v>
      </c>
      <c r="AR2" s="12" t="s">
        <v>7431</v>
      </c>
      <c r="AS2" s="12">
        <f>ESS_DATA[[#This Row],[ETA On S/O]]-ESS_DATA[[#This Row],[ETD On S/O]]+1</f>
        <v>51</v>
      </c>
      <c r="AT2" s="12" t="s">
        <v>83</v>
      </c>
      <c r="AU2" s="347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46076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5"/>
    </row>
    <row r="3" spans="1:56" s="23" customFormat="1" ht="10">
      <c r="A3" s="11" t="s">
        <v>7432</v>
      </c>
      <c r="B3" s="12" t="s">
        <v>7423</v>
      </c>
      <c r="C3" s="12" t="str">
        <f>IFERROR(LEFT(ESS_DATA[[#This Row],[TCL REFERENCE]],FIND(".",ESS_DATA[[#This Row],[TCL REFERENCE]],1)-1),"Main Line")</f>
        <v>25NOV002</v>
      </c>
      <c r="D3" s="12" t="s">
        <v>63</v>
      </c>
      <c r="E3" s="160" t="s">
        <v>64</v>
      </c>
      <c r="F3" s="160" t="s">
        <v>68</v>
      </c>
      <c r="G3" s="12" t="s">
        <v>7424</v>
      </c>
      <c r="H3" s="12" t="s">
        <v>67</v>
      </c>
      <c r="I3" s="13"/>
      <c r="J3" s="12" t="s">
        <v>96</v>
      </c>
      <c r="K3" s="12"/>
      <c r="L3" s="13"/>
      <c r="M3" s="213" t="s">
        <v>68</v>
      </c>
      <c r="N3" s="12" t="s">
        <v>7433</v>
      </c>
      <c r="O3" s="12" t="s">
        <v>7434</v>
      </c>
      <c r="P3" s="12" t="s">
        <v>7435</v>
      </c>
      <c r="Q3" s="12">
        <v>0</v>
      </c>
      <c r="R3" s="295">
        <v>24</v>
      </c>
      <c r="S3" s="296"/>
      <c r="T3" s="12"/>
      <c r="U3" s="300"/>
      <c r="V3" s="365"/>
      <c r="W3" s="147" t="s">
        <v>75</v>
      </c>
      <c r="X3" s="147" t="str">
        <f t="shared" si="0"/>
        <v>COMPLETED</v>
      </c>
      <c r="Y3" s="180"/>
      <c r="Z3" s="702">
        <v>45982</v>
      </c>
      <c r="AA3" s="15">
        <f>WEEKNUM(ESS_DATA[[#This Row],[Pick-Up Date]])</f>
        <v>47</v>
      </c>
      <c r="AB3" s="12" t="s">
        <v>7428</v>
      </c>
      <c r="AC3" s="12">
        <v>371009150</v>
      </c>
      <c r="AD3" s="12" t="s">
        <v>122</v>
      </c>
      <c r="AE3" s="12" t="s">
        <v>123</v>
      </c>
      <c r="AF3" s="12" t="s">
        <v>78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7424</v>
      </c>
      <c r="AN3" s="12" t="s">
        <v>7429</v>
      </c>
      <c r="AO3" s="12" t="s">
        <v>80</v>
      </c>
      <c r="AP3" s="12" t="s">
        <v>7430</v>
      </c>
      <c r="AQ3" s="12" t="s">
        <v>7431</v>
      </c>
      <c r="AR3" s="12" t="s">
        <v>7431</v>
      </c>
      <c r="AS3" s="12">
        <f>ESS_DATA[[#This Row],[ETA On S/O]]-ESS_DATA[[#This Row],[ETD On S/O]]+1</f>
        <v>51</v>
      </c>
      <c r="AT3" s="12" t="s">
        <v>83</v>
      </c>
      <c r="AU3" s="347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46076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7436</v>
      </c>
      <c r="B4" s="12" t="s">
        <v>7423</v>
      </c>
      <c r="C4" s="12" t="str">
        <f>IFERROR(LEFT(ESS_DATA[[#This Row],[TCL REFERENCE]],FIND(".",ESS_DATA[[#This Row],[TCL REFERENCE]],1)-1),"Main Line")</f>
        <v>25OCT001</v>
      </c>
      <c r="D4" s="12" t="s">
        <v>63</v>
      </c>
      <c r="E4" s="160" t="s">
        <v>64</v>
      </c>
      <c r="F4" s="160" t="s">
        <v>68</v>
      </c>
      <c r="G4" s="12" t="s">
        <v>7424</v>
      </c>
      <c r="H4" s="12" t="s">
        <v>67</v>
      </c>
      <c r="I4" s="13"/>
      <c r="J4" s="12" t="s">
        <v>96</v>
      </c>
      <c r="K4" s="12"/>
      <c r="L4" s="13"/>
      <c r="M4" s="213" t="s">
        <v>68</v>
      </c>
      <c r="N4" s="12" t="s">
        <v>7437</v>
      </c>
      <c r="O4" s="12" t="s">
        <v>7438</v>
      </c>
      <c r="P4" s="12" t="s">
        <v>7439</v>
      </c>
      <c r="Q4" s="12">
        <v>6000</v>
      </c>
      <c r="R4" s="295">
        <v>224</v>
      </c>
      <c r="S4" s="296"/>
      <c r="T4" s="12"/>
      <c r="U4" s="300"/>
      <c r="V4" s="365"/>
      <c r="W4" s="147" t="s">
        <v>75</v>
      </c>
      <c r="X4" s="147" t="str">
        <f t="shared" si="0"/>
        <v>COMPLETED</v>
      </c>
      <c r="Y4" s="180"/>
      <c r="Z4" s="702">
        <v>45982</v>
      </c>
      <c r="AA4" s="15">
        <f>WEEKNUM(ESS_DATA[[#This Row],[Pick-Up Date]])</f>
        <v>47</v>
      </c>
      <c r="AB4" s="12" t="s">
        <v>7440</v>
      </c>
      <c r="AC4" s="12">
        <v>371009148</v>
      </c>
      <c r="AD4" s="12" t="s">
        <v>122</v>
      </c>
      <c r="AE4" s="12" t="s">
        <v>123</v>
      </c>
      <c r="AF4" s="12" t="s">
        <v>78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7424</v>
      </c>
      <c r="AN4" s="12" t="s">
        <v>7429</v>
      </c>
      <c r="AO4" s="12" t="s">
        <v>80</v>
      </c>
      <c r="AP4" s="12" t="s">
        <v>7430</v>
      </c>
      <c r="AQ4" s="12" t="s">
        <v>7431</v>
      </c>
      <c r="AR4" s="12" t="s">
        <v>7431</v>
      </c>
      <c r="AS4" s="12">
        <f>ESS_DATA[[#This Row],[ETA On S/O]]-ESS_DATA[[#This Row],[ETD On S/O]]+1</f>
        <v>51</v>
      </c>
      <c r="AT4" s="12" t="s">
        <v>83</v>
      </c>
      <c r="AU4" s="347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46076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7441</v>
      </c>
      <c r="B5" s="12" t="s">
        <v>7423</v>
      </c>
      <c r="C5" s="12" t="str">
        <f>IFERROR(LEFT(ESS_DATA[[#This Row],[TCL REFERENCE]],FIND(".",ESS_DATA[[#This Row],[TCL REFERENCE]],1)-1),"Main Line")</f>
        <v>25OCT001</v>
      </c>
      <c r="D5" s="12" t="s">
        <v>63</v>
      </c>
      <c r="E5" s="160" t="s">
        <v>64</v>
      </c>
      <c r="F5" s="160" t="s">
        <v>68</v>
      </c>
      <c r="G5" s="12" t="s">
        <v>7424</v>
      </c>
      <c r="H5" s="12" t="s">
        <v>67</v>
      </c>
      <c r="I5" s="13"/>
      <c r="J5" s="12" t="s">
        <v>96</v>
      </c>
      <c r="K5" s="12"/>
      <c r="L5" s="13"/>
      <c r="M5" s="213" t="s">
        <v>68</v>
      </c>
      <c r="N5" s="12" t="s">
        <v>7437</v>
      </c>
      <c r="O5" s="12" t="s">
        <v>7438</v>
      </c>
      <c r="P5" s="12" t="s">
        <v>7439</v>
      </c>
      <c r="Q5" s="12">
        <v>6000</v>
      </c>
      <c r="R5" s="295">
        <v>101</v>
      </c>
      <c r="S5" s="296"/>
      <c r="T5" s="12"/>
      <c r="U5" s="300"/>
      <c r="V5" s="365"/>
      <c r="W5" s="147" t="s">
        <v>75</v>
      </c>
      <c r="X5" s="147" t="str">
        <f t="shared" si="0"/>
        <v>COMPLETED</v>
      </c>
      <c r="Y5" s="180"/>
      <c r="Z5" s="702">
        <v>45982</v>
      </c>
      <c r="AA5" s="15">
        <f>WEEKNUM(ESS_DATA[[#This Row],[Pick-Up Date]])</f>
        <v>47</v>
      </c>
      <c r="AB5" s="12" t="s">
        <v>7428</v>
      </c>
      <c r="AC5" s="12">
        <v>371009150</v>
      </c>
      <c r="AD5" s="12" t="s">
        <v>122</v>
      </c>
      <c r="AE5" s="12" t="s">
        <v>123</v>
      </c>
      <c r="AF5" s="12" t="s">
        <v>78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7424</v>
      </c>
      <c r="AN5" s="12" t="s">
        <v>7429</v>
      </c>
      <c r="AO5" s="12" t="s">
        <v>80</v>
      </c>
      <c r="AP5" s="12" t="s">
        <v>7430</v>
      </c>
      <c r="AQ5" s="12" t="s">
        <v>7431</v>
      </c>
      <c r="AR5" s="12" t="s">
        <v>7431</v>
      </c>
      <c r="AS5" s="12">
        <f>ESS_DATA[[#This Row],[ETA On S/O]]-ESS_DATA[[#This Row],[ETD On S/O]]+1</f>
        <v>51</v>
      </c>
      <c r="AT5" s="12" t="s">
        <v>83</v>
      </c>
      <c r="AU5" s="347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46076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7442</v>
      </c>
      <c r="B6" s="12" t="s">
        <v>7423</v>
      </c>
      <c r="C6" s="12" t="str">
        <f>IFERROR(LEFT(ESS_DATA[[#This Row],[TCL REFERENCE]],FIND(".",ESS_DATA[[#This Row],[TCL REFERENCE]],1)-1),"Main Line")</f>
        <v>Main Line</v>
      </c>
      <c r="D6" s="12" t="s">
        <v>63</v>
      </c>
      <c r="E6" s="160" t="s">
        <v>64</v>
      </c>
      <c r="F6" s="160" t="s">
        <v>68</v>
      </c>
      <c r="G6" s="12" t="s">
        <v>7424</v>
      </c>
      <c r="H6" s="12" t="s">
        <v>67</v>
      </c>
      <c r="I6" s="13"/>
      <c r="J6" s="12" t="s">
        <v>96</v>
      </c>
      <c r="K6" s="12"/>
      <c r="L6" s="13"/>
      <c r="M6" s="213" t="s">
        <v>68</v>
      </c>
      <c r="N6" s="12" t="s">
        <v>7443</v>
      </c>
      <c r="O6" s="12" t="s">
        <v>7438</v>
      </c>
      <c r="P6" s="12" t="s">
        <v>7444</v>
      </c>
      <c r="Q6" s="12">
        <v>8000</v>
      </c>
      <c r="R6" s="295">
        <v>60</v>
      </c>
      <c r="S6" s="296"/>
      <c r="T6" s="12"/>
      <c r="U6" s="300"/>
      <c r="V6" s="365"/>
      <c r="W6" s="147" t="s">
        <v>75</v>
      </c>
      <c r="X6" s="147" t="str">
        <f t="shared" si="0"/>
        <v>COMPLETED</v>
      </c>
      <c r="Y6" s="180"/>
      <c r="Z6" s="702">
        <v>45982</v>
      </c>
      <c r="AA6" s="15">
        <f>WEEKNUM(ESS_DATA[[#This Row],[Pick-Up Date]])</f>
        <v>47</v>
      </c>
      <c r="AB6" s="12" t="s">
        <v>7428</v>
      </c>
      <c r="AC6" s="12">
        <v>371009150</v>
      </c>
      <c r="AD6" s="12" t="s">
        <v>122</v>
      </c>
      <c r="AE6" s="12" t="s">
        <v>123</v>
      </c>
      <c r="AF6" s="12" t="s">
        <v>78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7424</v>
      </c>
      <c r="AN6" s="12" t="s">
        <v>7429</v>
      </c>
      <c r="AO6" s="12" t="s">
        <v>80</v>
      </c>
      <c r="AP6" s="12" t="s">
        <v>7430</v>
      </c>
      <c r="AQ6" s="12" t="s">
        <v>7431</v>
      </c>
      <c r="AR6" s="12" t="s">
        <v>7431</v>
      </c>
      <c r="AS6" s="12">
        <f>ESS_DATA[[#This Row],[ETA On S/O]]-ESS_DATA[[#This Row],[ETD On S/O]]+1</f>
        <v>51</v>
      </c>
      <c r="AT6" s="12" t="s">
        <v>83</v>
      </c>
      <c r="AU6" s="347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46076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>
      <c r="A7" s="11" t="s">
        <v>7445</v>
      </c>
      <c r="B7" s="12" t="s">
        <v>7423</v>
      </c>
      <c r="C7" s="12" t="str">
        <f>IFERROR(LEFT(ESS_DATA[[#This Row],[TCL REFERENCE]],FIND(".",ESS_DATA[[#This Row],[TCL REFERENCE]],1)-1),"Main Line")</f>
        <v>Main Line</v>
      </c>
      <c r="D7" s="12" t="s">
        <v>63</v>
      </c>
      <c r="E7" s="160" t="s">
        <v>64</v>
      </c>
      <c r="F7" s="160" t="s">
        <v>68</v>
      </c>
      <c r="G7" s="12" t="s">
        <v>7424</v>
      </c>
      <c r="H7" s="12" t="s">
        <v>67</v>
      </c>
      <c r="I7" s="13"/>
      <c r="J7" s="12" t="s">
        <v>96</v>
      </c>
      <c r="K7" s="12"/>
      <c r="L7" s="13"/>
      <c r="M7" s="213" t="s">
        <v>68</v>
      </c>
      <c r="N7" s="12" t="s">
        <v>7446</v>
      </c>
      <c r="O7" s="12" t="s">
        <v>7438</v>
      </c>
      <c r="P7" s="12" t="s">
        <v>7447</v>
      </c>
      <c r="Q7" s="12">
        <v>10000</v>
      </c>
      <c r="R7" s="295">
        <v>10</v>
      </c>
      <c r="S7" s="297"/>
      <c r="T7" s="12"/>
      <c r="U7" s="300"/>
      <c r="V7" s="365"/>
      <c r="W7" s="147" t="s">
        <v>75</v>
      </c>
      <c r="X7" s="147" t="str">
        <f t="shared" si="0"/>
        <v>COMPLETED</v>
      </c>
      <c r="Y7" s="180"/>
      <c r="Z7" s="702">
        <v>45982</v>
      </c>
      <c r="AA7" s="15">
        <f>WEEKNUM(ESS_DATA[[#This Row],[Pick-Up Date]])</f>
        <v>47</v>
      </c>
      <c r="AB7" s="12" t="s">
        <v>7428</v>
      </c>
      <c r="AC7" s="12">
        <v>371009150</v>
      </c>
      <c r="AD7" s="12" t="s">
        <v>122</v>
      </c>
      <c r="AE7" s="12" t="s">
        <v>123</v>
      </c>
      <c r="AF7" s="12" t="s">
        <v>78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7424</v>
      </c>
      <c r="AN7" s="12" t="s">
        <v>7429</v>
      </c>
      <c r="AO7" s="12" t="s">
        <v>80</v>
      </c>
      <c r="AP7" s="12" t="s">
        <v>7430</v>
      </c>
      <c r="AQ7" s="12" t="s">
        <v>7431</v>
      </c>
      <c r="AR7" s="12" t="s">
        <v>7431</v>
      </c>
      <c r="AS7" s="12">
        <f>ESS_DATA[[#This Row],[ETA On S/O]]-ESS_DATA[[#This Row],[ETD On S/O]]+1</f>
        <v>51</v>
      </c>
      <c r="AT7" s="12" t="s">
        <v>83</v>
      </c>
      <c r="AU7" s="347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46076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>
      <c r="A8" s="11" t="s">
        <v>7448</v>
      </c>
      <c r="B8" s="12" t="s">
        <v>7423</v>
      </c>
      <c r="C8" s="12" t="str">
        <f>IFERROR(LEFT(ESS_DATA[[#This Row],[TCL REFERENCE]],FIND(".",ESS_DATA[[#This Row],[TCL REFERENCE]],1)-1),"Main Line")</f>
        <v>25OCT004</v>
      </c>
      <c r="D8" s="12" t="s">
        <v>63</v>
      </c>
      <c r="E8" s="160" t="s">
        <v>64</v>
      </c>
      <c r="F8" s="160" t="s">
        <v>68</v>
      </c>
      <c r="G8" s="12" t="s">
        <v>7424</v>
      </c>
      <c r="H8" s="12" t="s">
        <v>67</v>
      </c>
      <c r="I8" s="13"/>
      <c r="J8" s="12" t="s">
        <v>96</v>
      </c>
      <c r="K8" s="12"/>
      <c r="L8" s="13"/>
      <c r="M8" s="213" t="s">
        <v>68</v>
      </c>
      <c r="N8" s="12" t="s">
        <v>7449</v>
      </c>
      <c r="O8" s="12" t="s">
        <v>7450</v>
      </c>
      <c r="P8" s="12" t="s">
        <v>7451</v>
      </c>
      <c r="Q8" s="12">
        <v>0</v>
      </c>
      <c r="R8" s="295">
        <v>350</v>
      </c>
      <c r="S8" s="296"/>
      <c r="T8" s="12"/>
      <c r="U8" s="300"/>
      <c r="V8" s="365"/>
      <c r="W8" s="147" t="s">
        <v>75</v>
      </c>
      <c r="X8" s="147" t="str">
        <f t="shared" si="0"/>
        <v>COMPLETED</v>
      </c>
      <c r="Y8" s="180"/>
      <c r="Z8" s="702">
        <v>45982</v>
      </c>
      <c r="AA8" s="15">
        <f>WEEKNUM(ESS_DATA[[#This Row],[Pick-Up Date]])</f>
        <v>47</v>
      </c>
      <c r="AB8" s="12" t="s">
        <v>7452</v>
      </c>
      <c r="AC8" s="12">
        <v>371009149</v>
      </c>
      <c r="AD8" s="12" t="s">
        <v>122</v>
      </c>
      <c r="AE8" s="12" t="s">
        <v>123</v>
      </c>
      <c r="AF8" s="12" t="s">
        <v>78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7424</v>
      </c>
      <c r="AN8" s="12" t="s">
        <v>7429</v>
      </c>
      <c r="AO8" s="12" t="s">
        <v>80</v>
      </c>
      <c r="AP8" s="12" t="s">
        <v>7430</v>
      </c>
      <c r="AQ8" s="12" t="s">
        <v>7431</v>
      </c>
      <c r="AR8" s="12" t="s">
        <v>7431</v>
      </c>
      <c r="AS8" s="12">
        <f>ESS_DATA[[#This Row],[ETA On S/O]]-ESS_DATA[[#This Row],[ETD On S/O]]+1</f>
        <v>51</v>
      </c>
      <c r="AT8" s="12" t="s">
        <v>83</v>
      </c>
      <c r="AU8" s="347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46076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>
      <c r="A9" s="11" t="s">
        <v>7453</v>
      </c>
      <c r="B9" s="12" t="s">
        <v>7423</v>
      </c>
      <c r="C9" s="12" t="str">
        <f>IFERROR(LEFT(ESS_DATA[[#This Row],[TCL REFERENCE]],FIND(".",ESS_DATA[[#This Row],[TCL REFERENCE]],1)-1),"Main Line")</f>
        <v>25OCT004</v>
      </c>
      <c r="D9" s="12" t="s">
        <v>63</v>
      </c>
      <c r="E9" s="160" t="s">
        <v>64</v>
      </c>
      <c r="F9" s="160" t="s">
        <v>68</v>
      </c>
      <c r="G9" s="12" t="s">
        <v>7424</v>
      </c>
      <c r="H9" s="12" t="s">
        <v>67</v>
      </c>
      <c r="I9" s="13"/>
      <c r="J9" s="12" t="s">
        <v>96</v>
      </c>
      <c r="K9" s="12"/>
      <c r="L9" s="13"/>
      <c r="M9" s="213" t="s">
        <v>68</v>
      </c>
      <c r="N9" s="12" t="s">
        <v>7449</v>
      </c>
      <c r="O9" s="12" t="s">
        <v>7450</v>
      </c>
      <c r="P9" s="12" t="s">
        <v>7451</v>
      </c>
      <c r="Q9" s="12">
        <v>0</v>
      </c>
      <c r="R9" s="295">
        <v>45</v>
      </c>
      <c r="S9" s="296"/>
      <c r="T9" s="12"/>
      <c r="U9" s="300"/>
      <c r="V9" s="365"/>
      <c r="W9" s="147" t="s">
        <v>75</v>
      </c>
      <c r="X9" s="147" t="str">
        <f t="shared" si="0"/>
        <v>COMPLETED</v>
      </c>
      <c r="Y9" s="180"/>
      <c r="Z9" s="702">
        <v>45982</v>
      </c>
      <c r="AA9" s="15">
        <f>WEEKNUM(ESS_DATA[[#This Row],[Pick-Up Date]])</f>
        <v>47</v>
      </c>
      <c r="AB9" s="12" t="s">
        <v>7428</v>
      </c>
      <c r="AC9" s="12">
        <v>371009150</v>
      </c>
      <c r="AD9" s="12" t="s">
        <v>122</v>
      </c>
      <c r="AE9" s="12" t="s">
        <v>123</v>
      </c>
      <c r="AF9" s="12" t="s">
        <v>78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7424</v>
      </c>
      <c r="AN9" s="12" t="s">
        <v>7429</v>
      </c>
      <c r="AO9" s="12" t="s">
        <v>80</v>
      </c>
      <c r="AP9" s="12" t="s">
        <v>7430</v>
      </c>
      <c r="AQ9" s="12" t="s">
        <v>7431</v>
      </c>
      <c r="AR9" s="12" t="s">
        <v>7431</v>
      </c>
      <c r="AS9" s="12">
        <f>ESS_DATA[[#This Row],[ETA On S/O]]-ESS_DATA[[#This Row],[ETD On S/O]]+1</f>
        <v>51</v>
      </c>
      <c r="AT9" s="12" t="s">
        <v>83</v>
      </c>
      <c r="AU9" s="347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46076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>
      <c r="A10" s="11" t="s">
        <v>7454</v>
      </c>
      <c r="B10" s="12" t="s">
        <v>7423</v>
      </c>
      <c r="C10" s="12" t="str">
        <f>IFERROR(LEFT(ESS_DATA[[#This Row],[TCL REFERENCE]],FIND(".",ESS_DATA[[#This Row],[TCL REFERENCE]],1)-1),"Main Line")</f>
        <v>25OCT006</v>
      </c>
      <c r="D10" s="12" t="s">
        <v>63</v>
      </c>
      <c r="E10" s="160" t="s">
        <v>64</v>
      </c>
      <c r="F10" s="160" t="s">
        <v>68</v>
      </c>
      <c r="G10" s="12" t="s">
        <v>7424</v>
      </c>
      <c r="H10" s="12" t="s">
        <v>67</v>
      </c>
      <c r="I10" s="13"/>
      <c r="J10" s="12" t="s">
        <v>7455</v>
      </c>
      <c r="K10" s="12"/>
      <c r="L10" s="13"/>
      <c r="M10" s="213" t="s">
        <v>68</v>
      </c>
      <c r="N10" s="12" t="s">
        <v>7437</v>
      </c>
      <c r="O10" s="12" t="s">
        <v>7438</v>
      </c>
      <c r="P10" s="12" t="s">
        <v>7439</v>
      </c>
      <c r="Q10" s="12">
        <v>6000</v>
      </c>
      <c r="R10" s="295">
        <v>9</v>
      </c>
      <c r="S10" s="296"/>
      <c r="T10" s="12"/>
      <c r="U10" s="300"/>
      <c r="V10" s="365"/>
      <c r="W10" s="147" t="s">
        <v>75</v>
      </c>
      <c r="X10" s="147" t="str">
        <f t="shared" si="0"/>
        <v>COMPLETED</v>
      </c>
      <c r="Y10" s="180"/>
      <c r="Z10" s="702">
        <v>45982</v>
      </c>
      <c r="AA10" s="15">
        <f>WEEKNUM(ESS_DATA[[#This Row],[Pick-Up Date]])</f>
        <v>47</v>
      </c>
      <c r="AB10" s="12" t="s">
        <v>7428</v>
      </c>
      <c r="AC10" s="12">
        <v>371009150</v>
      </c>
      <c r="AD10" s="12" t="s">
        <v>122</v>
      </c>
      <c r="AE10" s="12" t="s">
        <v>123</v>
      </c>
      <c r="AF10" s="12" t="s">
        <v>78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7424</v>
      </c>
      <c r="AN10" s="12" t="s">
        <v>7429</v>
      </c>
      <c r="AO10" s="12" t="s">
        <v>80</v>
      </c>
      <c r="AP10" s="12" t="s">
        <v>7430</v>
      </c>
      <c r="AQ10" s="12" t="s">
        <v>7431</v>
      </c>
      <c r="AR10" s="12" t="s">
        <v>7431</v>
      </c>
      <c r="AS10" s="12">
        <f>ESS_DATA[[#This Row],[ETA On S/O]]-ESS_DATA[[#This Row],[ETD On S/O]]+1</f>
        <v>51</v>
      </c>
      <c r="AT10" s="12" t="s">
        <v>83</v>
      </c>
      <c r="AU10" s="347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46076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>
      <c r="A11" s="11" t="s">
        <v>7456</v>
      </c>
      <c r="B11" s="12" t="s">
        <v>7423</v>
      </c>
      <c r="C11" s="12" t="str">
        <f>IFERROR(LEFT(ESS_DATA[[#This Row],[TCL REFERENCE]],FIND(".",ESS_DATA[[#This Row],[TCL REFERENCE]],1)-1),"Main Line")</f>
        <v>25OCT007</v>
      </c>
      <c r="D11" s="12" t="s">
        <v>63</v>
      </c>
      <c r="E11" s="160" t="s">
        <v>64</v>
      </c>
      <c r="F11" s="160" t="s">
        <v>68</v>
      </c>
      <c r="G11" s="12" t="s">
        <v>7424</v>
      </c>
      <c r="H11" s="12" t="s">
        <v>67</v>
      </c>
      <c r="I11" s="13"/>
      <c r="J11" s="12" t="s">
        <v>7455</v>
      </c>
      <c r="K11" s="12"/>
      <c r="L11" s="13"/>
      <c r="M11" s="213" t="s">
        <v>68</v>
      </c>
      <c r="N11" s="12" t="s">
        <v>7443</v>
      </c>
      <c r="O11" s="12" t="s">
        <v>7438</v>
      </c>
      <c r="P11" s="12" t="s">
        <v>7444</v>
      </c>
      <c r="Q11" s="12">
        <v>8000</v>
      </c>
      <c r="R11" s="295">
        <v>2</v>
      </c>
      <c r="S11" s="296"/>
      <c r="T11" s="12"/>
      <c r="U11" s="300"/>
      <c r="V11" s="365"/>
      <c r="W11" s="147" t="s">
        <v>75</v>
      </c>
      <c r="X11" s="147" t="str">
        <f t="shared" si="0"/>
        <v>COMPLETED</v>
      </c>
      <c r="Y11" s="180"/>
      <c r="Z11" s="702">
        <v>45982</v>
      </c>
      <c r="AA11" s="15">
        <f>WEEKNUM(ESS_DATA[[#This Row],[Pick-Up Date]])</f>
        <v>47</v>
      </c>
      <c r="AB11" s="12" t="s">
        <v>7428</v>
      </c>
      <c r="AC11" s="12">
        <v>371009150</v>
      </c>
      <c r="AD11" s="12" t="s">
        <v>122</v>
      </c>
      <c r="AE11" s="12" t="s">
        <v>123</v>
      </c>
      <c r="AF11" s="12" t="s">
        <v>78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7424</v>
      </c>
      <c r="AN11" s="12" t="s">
        <v>7429</v>
      </c>
      <c r="AO11" s="12" t="s">
        <v>80</v>
      </c>
      <c r="AP11" s="12" t="s">
        <v>7430</v>
      </c>
      <c r="AQ11" s="12" t="s">
        <v>7431</v>
      </c>
      <c r="AR11" s="12" t="s">
        <v>7431</v>
      </c>
      <c r="AS11" s="12">
        <f>ESS_DATA[[#This Row],[ETA On S/O]]-ESS_DATA[[#This Row],[ETD On S/O]]+1</f>
        <v>51</v>
      </c>
      <c r="AT11" s="12" t="s">
        <v>83</v>
      </c>
      <c r="AU11" s="347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46076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7457</v>
      </c>
      <c r="B12" s="12" t="s">
        <v>7423</v>
      </c>
      <c r="C12" s="12" t="str">
        <f>IFERROR(LEFT(ESS_DATA[[#This Row],[TCL REFERENCE]],FIND(".",ESS_DATA[[#This Row],[TCL REFERENCE]],1)-1),"Main Line")</f>
        <v>25OCT008</v>
      </c>
      <c r="D12" s="12" t="s">
        <v>63</v>
      </c>
      <c r="E12" s="160" t="s">
        <v>64</v>
      </c>
      <c r="F12" s="160" t="s">
        <v>68</v>
      </c>
      <c r="G12" s="12" t="s">
        <v>7424</v>
      </c>
      <c r="H12" s="12" t="s">
        <v>67</v>
      </c>
      <c r="I12" s="13"/>
      <c r="J12" s="12" t="s">
        <v>7455</v>
      </c>
      <c r="K12" s="12"/>
      <c r="L12" s="13"/>
      <c r="M12" s="213" t="s">
        <v>68</v>
      </c>
      <c r="N12" s="12" t="s">
        <v>7446</v>
      </c>
      <c r="O12" s="12" t="s">
        <v>7438</v>
      </c>
      <c r="P12" s="12" t="s">
        <v>7447</v>
      </c>
      <c r="Q12" s="12">
        <v>10000</v>
      </c>
      <c r="R12" s="295">
        <v>1</v>
      </c>
      <c r="S12" s="297"/>
      <c r="T12" s="12"/>
      <c r="U12" s="300"/>
      <c r="V12" s="365"/>
      <c r="W12" s="147" t="s">
        <v>75</v>
      </c>
      <c r="X12" s="147" t="str">
        <f t="shared" si="0"/>
        <v>COMPLETED</v>
      </c>
      <c r="Y12" s="180"/>
      <c r="Z12" s="702">
        <v>45982</v>
      </c>
      <c r="AA12" s="15">
        <f>WEEKNUM(ESS_DATA[[#This Row],[Pick-Up Date]])</f>
        <v>47</v>
      </c>
      <c r="AB12" s="12" t="s">
        <v>7428</v>
      </c>
      <c r="AC12" s="12">
        <v>371009150</v>
      </c>
      <c r="AD12" s="12" t="s">
        <v>122</v>
      </c>
      <c r="AE12" s="12" t="s">
        <v>123</v>
      </c>
      <c r="AF12" s="12" t="s">
        <v>78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7424</v>
      </c>
      <c r="AN12" s="12" t="s">
        <v>7429</v>
      </c>
      <c r="AO12" s="12" t="s">
        <v>80</v>
      </c>
      <c r="AP12" s="12" t="s">
        <v>7430</v>
      </c>
      <c r="AQ12" s="12" t="s">
        <v>7431</v>
      </c>
      <c r="AR12" s="12" t="s">
        <v>7431</v>
      </c>
      <c r="AS12" s="12">
        <f>ESS_DATA[[#This Row],[ETA On S/O]]-ESS_DATA[[#This Row],[ETD On S/O]]+1</f>
        <v>51</v>
      </c>
      <c r="AT12" s="12" t="s">
        <v>83</v>
      </c>
      <c r="AU12" s="347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46076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7458</v>
      </c>
      <c r="B13" s="12" t="s">
        <v>7423</v>
      </c>
      <c r="C13" s="12" t="str">
        <f>IFERROR(LEFT(ESS_DATA[[#This Row],[TCL REFERENCE]],FIND(".",ESS_DATA[[#This Row],[TCL REFERENCE]],1)-1),"Main Line")</f>
        <v>25OCT009</v>
      </c>
      <c r="D13" s="12" t="s">
        <v>63</v>
      </c>
      <c r="E13" s="160" t="s">
        <v>64</v>
      </c>
      <c r="F13" s="160" t="s">
        <v>68</v>
      </c>
      <c r="G13" s="12" t="s">
        <v>7424</v>
      </c>
      <c r="H13" s="12" t="s">
        <v>67</v>
      </c>
      <c r="I13" s="13"/>
      <c r="J13" s="12" t="s">
        <v>7455</v>
      </c>
      <c r="K13" s="12"/>
      <c r="L13" s="13"/>
      <c r="M13" s="213" t="s">
        <v>68</v>
      </c>
      <c r="N13" s="12" t="s">
        <v>7449</v>
      </c>
      <c r="O13" s="12" t="s">
        <v>7450</v>
      </c>
      <c r="P13" s="12" t="s">
        <v>7451</v>
      </c>
      <c r="Q13" s="12">
        <v>0</v>
      </c>
      <c r="R13" s="295">
        <v>12</v>
      </c>
      <c r="S13" s="296"/>
      <c r="T13" s="12"/>
      <c r="U13" s="300"/>
      <c r="V13" s="365"/>
      <c r="W13" s="147" t="s">
        <v>75</v>
      </c>
      <c r="X13" s="147" t="str">
        <f t="shared" si="0"/>
        <v>COMPLETED</v>
      </c>
      <c r="Y13" s="180"/>
      <c r="Z13" s="702">
        <v>45982</v>
      </c>
      <c r="AA13" s="15">
        <f>WEEKNUM(ESS_DATA[[#This Row],[Pick-Up Date]])</f>
        <v>47</v>
      </c>
      <c r="AB13" s="12" t="s">
        <v>7428</v>
      </c>
      <c r="AC13" s="12">
        <v>371009150</v>
      </c>
      <c r="AD13" s="12" t="s">
        <v>122</v>
      </c>
      <c r="AE13" s="12" t="s">
        <v>123</v>
      </c>
      <c r="AF13" s="12" t="s">
        <v>78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7424</v>
      </c>
      <c r="AN13" s="12" t="s">
        <v>7429</v>
      </c>
      <c r="AO13" s="12" t="s">
        <v>80</v>
      </c>
      <c r="AP13" s="12" t="s">
        <v>7430</v>
      </c>
      <c r="AQ13" s="12" t="s">
        <v>7431</v>
      </c>
      <c r="AR13" s="12" t="s">
        <v>7431</v>
      </c>
      <c r="AS13" s="12">
        <f>ESS_DATA[[#This Row],[ETA On S/O]]-ESS_DATA[[#This Row],[ETD On S/O]]+1</f>
        <v>51</v>
      </c>
      <c r="AT13" s="12" t="s">
        <v>83</v>
      </c>
      <c r="AU13" s="347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46076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>
      <c r="A14" s="33" t="s">
        <v>7459</v>
      </c>
      <c r="B14" s="12" t="s">
        <v>7423</v>
      </c>
      <c r="C14" s="31" t="str">
        <f>IFERROR(LEFT(ESS_DATA[[#This Row],[TCL REFERENCE]],FIND(".",ESS_DATA[[#This Row],[TCL REFERENCE]],1)-1),"Main Line")</f>
        <v>25DEC001</v>
      </c>
      <c r="D14" s="31" t="s">
        <v>63</v>
      </c>
      <c r="E14" s="160" t="s">
        <v>64</v>
      </c>
      <c r="F14" s="160" t="s">
        <v>68</v>
      </c>
      <c r="G14" s="31" t="s">
        <v>7424</v>
      </c>
      <c r="H14" s="31" t="s">
        <v>67</v>
      </c>
      <c r="I14" s="31"/>
      <c r="J14" s="31" t="s">
        <v>96</v>
      </c>
      <c r="K14" s="31"/>
      <c r="L14" s="34"/>
      <c r="M14" s="212" t="s">
        <v>68</v>
      </c>
      <c r="N14" s="31" t="s">
        <v>7460</v>
      </c>
      <c r="O14" s="31" t="s">
        <v>7461</v>
      </c>
      <c r="P14" s="31" t="s">
        <v>7462</v>
      </c>
      <c r="Q14" s="31">
        <v>5000</v>
      </c>
      <c r="R14" s="595">
        <v>276</v>
      </c>
      <c r="S14" s="260"/>
      <c r="T14" s="82"/>
      <c r="U14" s="299">
        <f>ESS_DATA[[#This Row],[QUANTITY]]/276</f>
        <v>1</v>
      </c>
      <c r="V14" s="596" t="s">
        <v>7463</v>
      </c>
      <c r="W14" s="82" t="s">
        <v>7464</v>
      </c>
      <c r="X14" s="82" t="str">
        <f t="shared" si="0"/>
        <v>COMPLETED</v>
      </c>
      <c r="Y14" s="161"/>
      <c r="Z14" s="703">
        <v>46051</v>
      </c>
      <c r="AA14" s="35">
        <f>WEEKNUM(ESS_DATA[[#This Row],[Pick-Up Date]])</f>
        <v>5</v>
      </c>
      <c r="AB14" s="31" t="s">
        <v>7465</v>
      </c>
      <c r="AC14" s="31"/>
      <c r="AD14" s="31" t="s">
        <v>122</v>
      </c>
      <c r="AE14" s="31" t="s">
        <v>123</v>
      </c>
      <c r="AF14" s="31" t="s">
        <v>78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7424</v>
      </c>
      <c r="AN14" s="162" t="s">
        <v>7466</v>
      </c>
      <c r="AO14" s="162" t="s">
        <v>161</v>
      </c>
      <c r="AP14" s="31" t="s">
        <v>7467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46121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>
      <c r="A15" s="33" t="s">
        <v>7468</v>
      </c>
      <c r="B15" s="12" t="s">
        <v>7423</v>
      </c>
      <c r="C15" s="31" t="str">
        <f>IFERROR(LEFT(ESS_DATA[[#This Row],[TCL REFERENCE]],FIND(".",ESS_DATA[[#This Row],[TCL REFERENCE]],1)-1),"Main Line")</f>
        <v>25DEC001</v>
      </c>
      <c r="D15" s="31" t="s">
        <v>63</v>
      </c>
      <c r="E15" s="160" t="s">
        <v>64</v>
      </c>
      <c r="F15" s="160" t="s">
        <v>68</v>
      </c>
      <c r="G15" s="31" t="s">
        <v>7424</v>
      </c>
      <c r="H15" s="31" t="s">
        <v>67</v>
      </c>
      <c r="I15" s="31"/>
      <c r="J15" s="31" t="s">
        <v>96</v>
      </c>
      <c r="K15" s="31"/>
      <c r="L15" s="34"/>
      <c r="M15" s="212" t="s">
        <v>68</v>
      </c>
      <c r="N15" s="31" t="s">
        <v>7460</v>
      </c>
      <c r="O15" s="31" t="s">
        <v>7461</v>
      </c>
      <c r="P15" s="31" t="s">
        <v>7462</v>
      </c>
      <c r="Q15" s="31">
        <v>5000</v>
      </c>
      <c r="R15" s="595">
        <v>276</v>
      </c>
      <c r="S15" s="597"/>
      <c r="T15" s="165"/>
      <c r="U15" s="598">
        <f>ESS_DATA[[#This Row],[QUANTITY]]/276</f>
        <v>1</v>
      </c>
      <c r="V15" s="596" t="s">
        <v>7469</v>
      </c>
      <c r="W15" s="82" t="s">
        <v>7464</v>
      </c>
      <c r="X15" s="82" t="str">
        <f t="shared" si="0"/>
        <v>COMPLETED</v>
      </c>
      <c r="Y15" s="161"/>
      <c r="Z15" s="703">
        <v>46051</v>
      </c>
      <c r="AA15" s="35">
        <f>WEEKNUM(ESS_DATA[[#This Row],[Pick-Up Date]])</f>
        <v>5</v>
      </c>
      <c r="AB15" s="31" t="s">
        <v>7465</v>
      </c>
      <c r="AC15" s="31"/>
      <c r="AD15" s="31" t="s">
        <v>122</v>
      </c>
      <c r="AE15" s="31" t="s">
        <v>123</v>
      </c>
      <c r="AF15" s="31" t="s">
        <v>78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7424</v>
      </c>
      <c r="AN15" s="162" t="s">
        <v>7466</v>
      </c>
      <c r="AO15" s="162" t="s">
        <v>161</v>
      </c>
      <c r="AP15" s="31" t="s">
        <v>7467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46121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>
      <c r="A16" s="38" t="s">
        <v>7470</v>
      </c>
      <c r="B16" s="12" t="s">
        <v>7423</v>
      </c>
      <c r="C16" s="39" t="str">
        <f>IFERROR(LEFT(ESS_DATA[[#This Row],[TCL REFERENCE]],FIND(".",ESS_DATA[[#This Row],[TCL REFERENCE]],1)-1),"Main Line")</f>
        <v>Main Line</v>
      </c>
      <c r="D16" s="39" t="s">
        <v>63</v>
      </c>
      <c r="E16" s="160" t="s">
        <v>64</v>
      </c>
      <c r="F16" s="160" t="s">
        <v>68</v>
      </c>
      <c r="G16" s="39" t="s">
        <v>7424</v>
      </c>
      <c r="H16" s="39" t="s">
        <v>67</v>
      </c>
      <c r="I16" s="56"/>
      <c r="J16" s="39" t="s">
        <v>96</v>
      </c>
      <c r="K16" s="39"/>
      <c r="L16" s="56"/>
      <c r="M16" s="75" t="s">
        <v>68</v>
      </c>
      <c r="N16" s="39" t="s">
        <v>7471</v>
      </c>
      <c r="O16" s="39" t="s">
        <v>7438</v>
      </c>
      <c r="P16" s="39" t="s">
        <v>7472</v>
      </c>
      <c r="Q16" s="39">
        <v>5000</v>
      </c>
      <c r="R16" s="656">
        <v>100</v>
      </c>
      <c r="S16" s="607"/>
      <c r="T16" s="79"/>
      <c r="U16" s="657">
        <f>ESS_DATA[[#This Row],[QUANTITY]]/224</f>
        <v>0.44642857142857145</v>
      </c>
      <c r="V16" s="701" t="s">
        <v>7473</v>
      </c>
      <c r="W16" s="79" t="s">
        <v>7464</v>
      </c>
      <c r="X16" s="79" t="str">
        <f t="shared" si="0"/>
        <v>COMPLETED</v>
      </c>
      <c r="Y16" s="118"/>
      <c r="Z16" s="704">
        <v>46056</v>
      </c>
      <c r="AA16" s="660">
        <f>WEEKNUM(ESS_DATA[[#This Row],[Pick-Up Date]])</f>
        <v>6</v>
      </c>
      <c r="AB16" s="39" t="s">
        <v>7474</v>
      </c>
      <c r="AC16" s="39"/>
      <c r="AD16" s="39" t="s">
        <v>122</v>
      </c>
      <c r="AE16" s="39" t="s">
        <v>123</v>
      </c>
      <c r="AF16" s="39" t="s">
        <v>78</v>
      </c>
      <c r="AG16" s="659">
        <v>46063</v>
      </c>
      <c r="AH16" s="659">
        <v>46065</v>
      </c>
      <c r="AI16" s="659">
        <v>46063</v>
      </c>
      <c r="AJ16" s="659">
        <v>46111</v>
      </c>
      <c r="AK16" s="659">
        <v>46133</v>
      </c>
      <c r="AL16" s="659">
        <v>46132</v>
      </c>
      <c r="AM16" s="39" t="s">
        <v>7424</v>
      </c>
      <c r="AN16" s="39" t="s">
        <v>739</v>
      </c>
      <c r="AO16" s="39" t="s">
        <v>80</v>
      </c>
      <c r="AP16" s="39" t="s">
        <v>7475</v>
      </c>
      <c r="AQ16" s="39" t="s">
        <v>7476</v>
      </c>
      <c r="AR16" s="39" t="s">
        <v>7476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46142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>
      <c r="A17" s="38" t="s">
        <v>7477</v>
      </c>
      <c r="B17" s="12" t="s">
        <v>7423</v>
      </c>
      <c r="C17" s="39" t="str">
        <f>IFERROR(LEFT(ESS_DATA[[#This Row],[TCL REFERENCE]],FIND(".",ESS_DATA[[#This Row],[TCL REFERENCE]],1)-1),"Main Line")</f>
        <v>25DEC002</v>
      </c>
      <c r="D17" s="39" t="s">
        <v>63</v>
      </c>
      <c r="E17" s="160" t="s">
        <v>64</v>
      </c>
      <c r="F17" s="160" t="s">
        <v>68</v>
      </c>
      <c r="G17" s="39" t="s">
        <v>7424</v>
      </c>
      <c r="H17" s="39" t="s">
        <v>67</v>
      </c>
      <c r="I17" s="56"/>
      <c r="J17" s="39" t="s">
        <v>7455</v>
      </c>
      <c r="K17" s="39"/>
      <c r="L17" s="56"/>
      <c r="M17" s="75" t="s">
        <v>68</v>
      </c>
      <c r="N17" s="39" t="s">
        <v>7471</v>
      </c>
      <c r="O17" s="39" t="s">
        <v>7438</v>
      </c>
      <c r="P17" s="39" t="s">
        <v>7472</v>
      </c>
      <c r="Q17" s="39">
        <v>5000</v>
      </c>
      <c r="R17" s="656">
        <v>3</v>
      </c>
      <c r="S17" s="607"/>
      <c r="T17" s="79"/>
      <c r="U17" s="657">
        <f>ESS_DATA[[#This Row],[QUANTITY]]/224</f>
        <v>1.3392857142857142E-2</v>
      </c>
      <c r="V17" s="701" t="s">
        <v>7473</v>
      </c>
      <c r="W17" s="79" t="s">
        <v>7464</v>
      </c>
      <c r="X17" s="79" t="str">
        <f t="shared" si="0"/>
        <v>COMPLETED</v>
      </c>
      <c r="Y17" s="118"/>
      <c r="Z17" s="704">
        <v>46056</v>
      </c>
      <c r="AA17" s="660">
        <f>WEEKNUM(ESS_DATA[[#This Row],[Pick-Up Date]])</f>
        <v>6</v>
      </c>
      <c r="AB17" s="39" t="s">
        <v>7474</v>
      </c>
      <c r="AC17" s="39"/>
      <c r="AD17" s="39" t="s">
        <v>122</v>
      </c>
      <c r="AE17" s="39" t="s">
        <v>123</v>
      </c>
      <c r="AF17" s="39" t="s">
        <v>78</v>
      </c>
      <c r="AG17" s="659">
        <v>46063</v>
      </c>
      <c r="AH17" s="659">
        <v>46065</v>
      </c>
      <c r="AI17" s="659">
        <v>46063</v>
      </c>
      <c r="AJ17" s="659">
        <v>46111</v>
      </c>
      <c r="AK17" s="659">
        <v>46133</v>
      </c>
      <c r="AL17" s="659">
        <v>46132</v>
      </c>
      <c r="AM17" s="39" t="s">
        <v>7424</v>
      </c>
      <c r="AN17" s="39" t="s">
        <v>739</v>
      </c>
      <c r="AO17" s="39" t="s">
        <v>80</v>
      </c>
      <c r="AP17" s="39" t="s">
        <v>7475</v>
      </c>
      <c r="AQ17" s="39" t="s">
        <v>7476</v>
      </c>
      <c r="AR17" s="39" t="s">
        <v>7476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46142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>
      <c r="A18" s="38" t="s">
        <v>7478</v>
      </c>
      <c r="B18" s="12" t="s">
        <v>7423</v>
      </c>
      <c r="C18" s="39" t="str">
        <f>IFERROR(LEFT(ESS_DATA[[#This Row],[TCL REFERENCE]],FIND(".",ESS_DATA[[#This Row],[TCL REFERENCE]],1)-1),"Main Line")</f>
        <v>Main Line</v>
      </c>
      <c r="D18" s="39" t="s">
        <v>63</v>
      </c>
      <c r="E18" s="160" t="s">
        <v>64</v>
      </c>
      <c r="F18" s="160" t="s">
        <v>68</v>
      </c>
      <c r="G18" s="39" t="s">
        <v>7424</v>
      </c>
      <c r="H18" s="39" t="s">
        <v>67</v>
      </c>
      <c r="I18" s="56"/>
      <c r="J18" s="39" t="s">
        <v>96</v>
      </c>
      <c r="K18" s="39"/>
      <c r="L18" s="56"/>
      <c r="M18" s="75" t="s">
        <v>68</v>
      </c>
      <c r="N18" s="39" t="s">
        <v>7437</v>
      </c>
      <c r="O18" s="39" t="s">
        <v>7438</v>
      </c>
      <c r="P18" s="39" t="s">
        <v>7439</v>
      </c>
      <c r="Q18" s="39">
        <v>6000</v>
      </c>
      <c r="R18" s="656">
        <f>296-R21</f>
        <v>72</v>
      </c>
      <c r="S18" s="607"/>
      <c r="T18" s="79"/>
      <c r="U18" s="657">
        <f>ESS_DATA[[#This Row],[QUANTITY]]/224</f>
        <v>0.32142857142857145</v>
      </c>
      <c r="V18" s="701" t="s">
        <v>7473</v>
      </c>
      <c r="W18" s="79" t="s">
        <v>7464</v>
      </c>
      <c r="X18" s="79" t="str">
        <f t="shared" si="0"/>
        <v>COMPLETED</v>
      </c>
      <c r="Y18" s="118"/>
      <c r="Z18" s="704">
        <v>46056</v>
      </c>
      <c r="AA18" s="660">
        <f>WEEKNUM(ESS_DATA[[#This Row],[Pick-Up Date]])</f>
        <v>6</v>
      </c>
      <c r="AB18" s="39" t="s">
        <v>7474</v>
      </c>
      <c r="AC18" s="39"/>
      <c r="AD18" s="39" t="s">
        <v>122</v>
      </c>
      <c r="AE18" s="39" t="s">
        <v>123</v>
      </c>
      <c r="AF18" s="39" t="s">
        <v>78</v>
      </c>
      <c r="AG18" s="659">
        <v>46063</v>
      </c>
      <c r="AH18" s="659">
        <v>46065</v>
      </c>
      <c r="AI18" s="659">
        <v>46063</v>
      </c>
      <c r="AJ18" s="659">
        <v>46111</v>
      </c>
      <c r="AK18" s="659">
        <v>46133</v>
      </c>
      <c r="AL18" s="659">
        <v>46132</v>
      </c>
      <c r="AM18" s="39" t="s">
        <v>7424</v>
      </c>
      <c r="AN18" s="39" t="s">
        <v>739</v>
      </c>
      <c r="AO18" s="39" t="s">
        <v>80</v>
      </c>
      <c r="AP18" s="39" t="s">
        <v>7475</v>
      </c>
      <c r="AQ18" s="39" t="s">
        <v>7476</v>
      </c>
      <c r="AR18" s="39" t="s">
        <v>7476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46142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>
      <c r="A19" s="38" t="s">
        <v>7479</v>
      </c>
      <c r="B19" s="12" t="s">
        <v>7423</v>
      </c>
      <c r="C19" s="39" t="str">
        <f>IFERROR(LEFT(ESS_DATA[[#This Row],[TCL REFERENCE]],FIND(".",ESS_DATA[[#This Row],[TCL REFERENCE]],1)-1),"Main Line")</f>
        <v>25DEC003</v>
      </c>
      <c r="D19" s="39" t="s">
        <v>63</v>
      </c>
      <c r="E19" s="160" t="s">
        <v>64</v>
      </c>
      <c r="F19" s="160" t="s">
        <v>68</v>
      </c>
      <c r="G19" s="39" t="s">
        <v>7424</v>
      </c>
      <c r="H19" s="39" t="s">
        <v>67</v>
      </c>
      <c r="I19" s="56"/>
      <c r="J19" s="39" t="s">
        <v>7455</v>
      </c>
      <c r="K19" s="39"/>
      <c r="L19" s="56"/>
      <c r="M19" s="75" t="s">
        <v>68</v>
      </c>
      <c r="N19" s="39" t="s">
        <v>7437</v>
      </c>
      <c r="O19" s="39" t="s">
        <v>7438</v>
      </c>
      <c r="P19" s="39" t="s">
        <v>7439</v>
      </c>
      <c r="Q19" s="39">
        <v>6000</v>
      </c>
      <c r="R19" s="656">
        <v>9</v>
      </c>
      <c r="S19" s="607"/>
      <c r="T19" s="79"/>
      <c r="U19" s="657">
        <f>ESS_DATA[[#This Row],[QUANTITY]]/224</f>
        <v>4.0178571428571432E-2</v>
      </c>
      <c r="V19" s="701" t="s">
        <v>7473</v>
      </c>
      <c r="W19" s="79" t="s">
        <v>7464</v>
      </c>
      <c r="X19" s="79" t="str">
        <f t="shared" si="0"/>
        <v>COMPLETED</v>
      </c>
      <c r="Y19" s="118"/>
      <c r="Z19" s="704">
        <v>46056</v>
      </c>
      <c r="AA19" s="660">
        <f>WEEKNUM(ESS_DATA[[#This Row],[Pick-Up Date]])</f>
        <v>6</v>
      </c>
      <c r="AB19" s="39" t="s">
        <v>7474</v>
      </c>
      <c r="AC19" s="39"/>
      <c r="AD19" s="39" t="s">
        <v>122</v>
      </c>
      <c r="AE19" s="39" t="s">
        <v>123</v>
      </c>
      <c r="AF19" s="39" t="s">
        <v>78</v>
      </c>
      <c r="AG19" s="659">
        <v>46063</v>
      </c>
      <c r="AH19" s="659">
        <v>46065</v>
      </c>
      <c r="AI19" s="659">
        <v>46063</v>
      </c>
      <c r="AJ19" s="659">
        <v>46111</v>
      </c>
      <c r="AK19" s="659">
        <v>46133</v>
      </c>
      <c r="AL19" s="659">
        <v>46132</v>
      </c>
      <c r="AM19" s="39" t="s">
        <v>7424</v>
      </c>
      <c r="AN19" s="39" t="s">
        <v>739</v>
      </c>
      <c r="AO19" s="39" t="s">
        <v>80</v>
      </c>
      <c r="AP19" s="39" t="s">
        <v>7475</v>
      </c>
      <c r="AQ19" s="39" t="s">
        <v>7476</v>
      </c>
      <c r="AR19" s="39" t="s">
        <v>7476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46142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>
      <c r="A20" s="38" t="s">
        <v>7480</v>
      </c>
      <c r="B20" s="12" t="s">
        <v>7423</v>
      </c>
      <c r="C20" s="39" t="str">
        <f>IFERROR(LEFT(ESS_DATA[[#This Row],[TCL REFERENCE]],FIND(".",ESS_DATA[[#This Row],[TCL REFERENCE]],1)-1),"Main Line")</f>
        <v>Main Line</v>
      </c>
      <c r="D20" s="39" t="s">
        <v>63</v>
      </c>
      <c r="E20" s="160" t="s">
        <v>64</v>
      </c>
      <c r="F20" s="160" t="s">
        <v>68</v>
      </c>
      <c r="G20" s="39" t="s">
        <v>7424</v>
      </c>
      <c r="H20" s="39" t="s">
        <v>67</v>
      </c>
      <c r="I20" s="56"/>
      <c r="J20" s="39" t="s">
        <v>96</v>
      </c>
      <c r="K20" s="39"/>
      <c r="L20" s="56"/>
      <c r="M20" s="75" t="s">
        <v>68</v>
      </c>
      <c r="N20" s="39" t="s">
        <v>7449</v>
      </c>
      <c r="O20" s="39" t="s">
        <v>7450</v>
      </c>
      <c r="P20" s="39" t="s">
        <v>7451</v>
      </c>
      <c r="Q20" s="39">
        <v>0</v>
      </c>
      <c r="R20" s="656">
        <f>396-R22</f>
        <v>58</v>
      </c>
      <c r="S20" s="607"/>
      <c r="T20" s="79"/>
      <c r="U20" s="657">
        <f>ESS_DATA[[#This Row],[QUANTITY]]/350</f>
        <v>0.1657142857142857</v>
      </c>
      <c r="V20" s="701" t="s">
        <v>7473</v>
      </c>
      <c r="W20" s="79" t="s">
        <v>7464</v>
      </c>
      <c r="X20" s="79" t="str">
        <f t="shared" si="0"/>
        <v>COMPLETED</v>
      </c>
      <c r="Y20" s="118"/>
      <c r="Z20" s="704">
        <v>46056</v>
      </c>
      <c r="AA20" s="660">
        <f>WEEKNUM(ESS_DATA[[#This Row],[Pick-Up Date]])</f>
        <v>6</v>
      </c>
      <c r="AB20" s="39" t="s">
        <v>7474</v>
      </c>
      <c r="AC20" s="39"/>
      <c r="AD20" s="39" t="s">
        <v>122</v>
      </c>
      <c r="AE20" s="39" t="s">
        <v>123</v>
      </c>
      <c r="AF20" s="39" t="s">
        <v>78</v>
      </c>
      <c r="AG20" s="659">
        <v>46063</v>
      </c>
      <c r="AH20" s="659">
        <v>46065</v>
      </c>
      <c r="AI20" s="659">
        <v>46063</v>
      </c>
      <c r="AJ20" s="659">
        <v>46111</v>
      </c>
      <c r="AK20" s="659">
        <v>46133</v>
      </c>
      <c r="AL20" s="659">
        <v>46132</v>
      </c>
      <c r="AM20" s="39" t="s">
        <v>7424</v>
      </c>
      <c r="AN20" s="39" t="s">
        <v>739</v>
      </c>
      <c r="AO20" s="39" t="s">
        <v>80</v>
      </c>
      <c r="AP20" s="39" t="s">
        <v>7475</v>
      </c>
      <c r="AQ20" s="39" t="s">
        <v>7476</v>
      </c>
      <c r="AR20" s="39" t="s">
        <v>7476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46142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>
      <c r="A21" s="38" t="s">
        <v>7481</v>
      </c>
      <c r="B21" s="12" t="s">
        <v>7423</v>
      </c>
      <c r="C21" s="39" t="str">
        <f>IFERROR(LEFT(ESS_DATA[[#This Row],[TCL REFERENCE]],FIND(".",ESS_DATA[[#This Row],[TCL REFERENCE]],1)-1),"Main Line")</f>
        <v>25DEC003</v>
      </c>
      <c r="D21" s="39" t="s">
        <v>63</v>
      </c>
      <c r="E21" s="160" t="s">
        <v>64</v>
      </c>
      <c r="F21" s="160" t="s">
        <v>68</v>
      </c>
      <c r="G21" s="39" t="s">
        <v>7424</v>
      </c>
      <c r="H21" s="39" t="s">
        <v>67</v>
      </c>
      <c r="I21" s="39"/>
      <c r="J21" s="39" t="s">
        <v>96</v>
      </c>
      <c r="K21" s="39"/>
      <c r="L21" s="56"/>
      <c r="M21" s="75" t="s">
        <v>68</v>
      </c>
      <c r="N21" s="39" t="s">
        <v>7437</v>
      </c>
      <c r="O21" s="39" t="s">
        <v>7438</v>
      </c>
      <c r="P21" s="39" t="s">
        <v>7439</v>
      </c>
      <c r="Q21" s="39">
        <v>6000</v>
      </c>
      <c r="R21" s="656">
        <v>224</v>
      </c>
      <c r="S21" s="607"/>
      <c r="T21" s="79"/>
      <c r="U21" s="657">
        <f>ESS_DATA[[#This Row],[QUANTITY]]/224</f>
        <v>1</v>
      </c>
      <c r="V21" s="758" t="s">
        <v>7482</v>
      </c>
      <c r="W21" s="79" t="s">
        <v>7464</v>
      </c>
      <c r="X21" s="79" t="str">
        <f t="shared" si="0"/>
        <v>COMPLETED</v>
      </c>
      <c r="Y21" s="118"/>
      <c r="Z21" s="704">
        <v>46056</v>
      </c>
      <c r="AA21" s="660">
        <f>WEEKNUM(ESS_DATA[[#This Row],[Pick-Up Date]])</f>
        <v>6</v>
      </c>
      <c r="AB21" s="39" t="s">
        <v>7483</v>
      </c>
      <c r="AC21" s="39"/>
      <c r="AD21" s="39" t="s">
        <v>122</v>
      </c>
      <c r="AE21" s="39" t="s">
        <v>123</v>
      </c>
      <c r="AF21" s="39" t="s">
        <v>78</v>
      </c>
      <c r="AG21" s="659">
        <v>46063</v>
      </c>
      <c r="AH21" s="659">
        <v>46065</v>
      </c>
      <c r="AI21" s="659">
        <v>46063</v>
      </c>
      <c r="AJ21" s="659">
        <v>46111</v>
      </c>
      <c r="AK21" s="659">
        <v>46133</v>
      </c>
      <c r="AL21" s="659">
        <v>46132</v>
      </c>
      <c r="AM21" s="39" t="s">
        <v>7424</v>
      </c>
      <c r="AN21" s="39" t="s">
        <v>739</v>
      </c>
      <c r="AO21" s="39" t="s">
        <v>80</v>
      </c>
      <c r="AP21" s="39" t="s">
        <v>7475</v>
      </c>
      <c r="AQ21" s="39" t="s">
        <v>7476</v>
      </c>
      <c r="AR21" s="39" t="s">
        <v>7476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46142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>
      <c r="A22" s="38" t="s">
        <v>7484</v>
      </c>
      <c r="B22" s="12" t="s">
        <v>7423</v>
      </c>
      <c r="C22" s="39" t="str">
        <f>IFERROR(LEFT(ESS_DATA[[#This Row],[TCL REFERENCE]],FIND(".",ESS_DATA[[#This Row],[TCL REFERENCE]],1)-1),"Main Line")</f>
        <v>25DEC004</v>
      </c>
      <c r="D22" s="39" t="s">
        <v>63</v>
      </c>
      <c r="E22" s="160" t="s">
        <v>64</v>
      </c>
      <c r="F22" s="160" t="s">
        <v>68</v>
      </c>
      <c r="G22" s="39" t="s">
        <v>7424</v>
      </c>
      <c r="H22" s="39" t="s">
        <v>67</v>
      </c>
      <c r="I22" s="39"/>
      <c r="J22" s="112" t="s">
        <v>7485</v>
      </c>
      <c r="K22" s="39"/>
      <c r="L22" s="56"/>
      <c r="M22" s="75" t="s">
        <v>68</v>
      </c>
      <c r="N22" s="39" t="s">
        <v>7449</v>
      </c>
      <c r="O22" s="39" t="s">
        <v>7450</v>
      </c>
      <c r="P22" s="39" t="s">
        <v>7451</v>
      </c>
      <c r="Q22" s="39">
        <v>0</v>
      </c>
      <c r="R22" s="656">
        <v>338</v>
      </c>
      <c r="S22" s="608"/>
      <c r="T22" s="609"/>
      <c r="U22" s="658">
        <f>ESS_DATA[[#This Row],[QUANTITY]]/350</f>
        <v>0.96571428571428575</v>
      </c>
      <c r="V22" s="758" t="s">
        <v>7486</v>
      </c>
      <c r="W22" s="79" t="s">
        <v>7464</v>
      </c>
      <c r="X22" s="79" t="str">
        <f t="shared" si="0"/>
        <v>COMPLETED</v>
      </c>
      <c r="Y22" s="118"/>
      <c r="Z22" s="704">
        <v>46056</v>
      </c>
      <c r="AA22" s="660">
        <f>WEEKNUM(ESS_DATA[[#This Row],[Pick-Up Date]])</f>
        <v>6</v>
      </c>
      <c r="AB22" s="39" t="s">
        <v>7487</v>
      </c>
      <c r="AC22" s="39"/>
      <c r="AD22" s="39" t="s">
        <v>122</v>
      </c>
      <c r="AE22" s="39" t="s">
        <v>123</v>
      </c>
      <c r="AF22" s="39" t="s">
        <v>78</v>
      </c>
      <c r="AG22" s="659">
        <v>46063</v>
      </c>
      <c r="AH22" s="659">
        <v>46065</v>
      </c>
      <c r="AI22" s="659">
        <v>46063</v>
      </c>
      <c r="AJ22" s="659">
        <v>46111</v>
      </c>
      <c r="AK22" s="659">
        <v>46133</v>
      </c>
      <c r="AL22" s="659">
        <v>46132</v>
      </c>
      <c r="AM22" s="39" t="s">
        <v>7424</v>
      </c>
      <c r="AN22" s="39" t="s">
        <v>739</v>
      </c>
      <c r="AO22" s="39" t="s">
        <v>80</v>
      </c>
      <c r="AP22" s="39" t="s">
        <v>7475</v>
      </c>
      <c r="AQ22" s="39" t="s">
        <v>7476</v>
      </c>
      <c r="AR22" s="39" t="s">
        <v>7476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46142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>
      <c r="A23" s="38" t="s">
        <v>7488</v>
      </c>
      <c r="B23" s="12" t="s">
        <v>7423</v>
      </c>
      <c r="C23" s="39" t="str">
        <f>IFERROR(LEFT(ESS_DATA[[#This Row],[TCL REFERENCE]],FIND(".",ESS_DATA[[#This Row],[TCL REFERENCE]],1)-1),"Main Line")</f>
        <v>25DEC004</v>
      </c>
      <c r="D23" s="39" t="s">
        <v>63</v>
      </c>
      <c r="E23" s="160" t="s">
        <v>64</v>
      </c>
      <c r="F23" s="160" t="s">
        <v>68</v>
      </c>
      <c r="G23" s="39" t="s">
        <v>7424</v>
      </c>
      <c r="H23" s="39" t="s">
        <v>67</v>
      </c>
      <c r="I23" s="56"/>
      <c r="J23" s="112" t="s">
        <v>96</v>
      </c>
      <c r="K23" s="39"/>
      <c r="L23" s="56"/>
      <c r="M23" s="75" t="s">
        <v>68</v>
      </c>
      <c r="N23" s="39" t="s">
        <v>7449</v>
      </c>
      <c r="O23" s="39" t="s">
        <v>7450</v>
      </c>
      <c r="P23" s="39" t="s">
        <v>7451</v>
      </c>
      <c r="Q23" s="39">
        <v>0</v>
      </c>
      <c r="R23" s="656">
        <v>12</v>
      </c>
      <c r="S23" s="607"/>
      <c r="T23" s="79"/>
      <c r="U23" s="657">
        <f>ESS_DATA[[#This Row],[QUANTITY]]/350</f>
        <v>3.4285714285714287E-2</v>
      </c>
      <c r="V23" s="759" t="s">
        <v>7486</v>
      </c>
      <c r="W23" s="705" t="s">
        <v>7464</v>
      </c>
      <c r="X23" s="5" t="str">
        <f t="shared" si="0"/>
        <v>COMPLETED</v>
      </c>
      <c r="Y23" s="139"/>
      <c r="Z23" s="659">
        <v>46056</v>
      </c>
      <c r="AA23" s="660">
        <f>WEEKNUM(ESS_DATA[[#This Row],[Pick-Up Date]])</f>
        <v>6</v>
      </c>
      <c r="AB23" s="39" t="s">
        <v>7487</v>
      </c>
      <c r="AC23" s="39"/>
      <c r="AD23" s="39" t="s">
        <v>122</v>
      </c>
      <c r="AE23" s="39" t="s">
        <v>123</v>
      </c>
      <c r="AF23" s="39" t="s">
        <v>78</v>
      </c>
      <c r="AG23" s="659">
        <v>46063</v>
      </c>
      <c r="AH23" s="659">
        <v>46065</v>
      </c>
      <c r="AI23" s="659">
        <v>46063</v>
      </c>
      <c r="AJ23" s="659">
        <v>46111</v>
      </c>
      <c r="AK23" s="659">
        <v>46133</v>
      </c>
      <c r="AL23" s="659">
        <v>46132</v>
      </c>
      <c r="AM23" s="39" t="s">
        <v>7424</v>
      </c>
      <c r="AN23" s="39" t="s">
        <v>739</v>
      </c>
      <c r="AO23" s="39" t="s">
        <v>80</v>
      </c>
      <c r="AP23" s="39" t="s">
        <v>7475</v>
      </c>
      <c r="AQ23" s="39" t="s">
        <v>7476</v>
      </c>
      <c r="AR23" s="39" t="s">
        <v>7476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46142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>
      <c r="A24" s="164" t="s">
        <v>7489</v>
      </c>
      <c r="B24" s="12" t="s">
        <v>7423</v>
      </c>
      <c r="C24" s="82" t="str">
        <f>IFERROR(LEFT(ESS_DATA[[#This Row],[TCL REFERENCE]],FIND(".",ESS_DATA[[#This Row],[TCL REFERENCE]],1)-1),"Main Line")</f>
        <v>Main Line</v>
      </c>
      <c r="D24" s="31" t="s">
        <v>7490</v>
      </c>
      <c r="E24" s="160" t="s">
        <v>144</v>
      </c>
      <c r="F24" s="160" t="s">
        <v>68</v>
      </c>
      <c r="G24" s="82" t="s">
        <v>68</v>
      </c>
      <c r="H24" s="82" t="s">
        <v>7491</v>
      </c>
      <c r="I24" s="82"/>
      <c r="J24" s="39" t="s">
        <v>7492</v>
      </c>
      <c r="K24" s="82"/>
      <c r="L24" s="79"/>
      <c r="M24" s="218" t="s">
        <v>840</v>
      </c>
      <c r="N24" s="82" t="s">
        <v>7443</v>
      </c>
      <c r="O24" s="82" t="s">
        <v>7438</v>
      </c>
      <c r="P24" s="82" t="s">
        <v>7444</v>
      </c>
      <c r="Q24" s="160">
        <v>8000</v>
      </c>
      <c r="R24" s="163">
        <v>34</v>
      </c>
      <c r="S24" s="599"/>
      <c r="T24" s="395"/>
      <c r="U24" s="698">
        <f>ESS_DATA[[#This Row],[QUANTITY]]/104</f>
        <v>0.32692307692307693</v>
      </c>
      <c r="V24" s="372" t="s">
        <v>7493</v>
      </c>
      <c r="W24" s="82" t="s">
        <v>7464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122</v>
      </c>
      <c r="AE24" s="82" t="s">
        <v>123</v>
      </c>
      <c r="AF24" s="82" t="s">
        <v>5777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402</v>
      </c>
      <c r="AN24" s="162" t="s">
        <v>7466</v>
      </c>
      <c r="AO24" s="162" t="s">
        <v>161</v>
      </c>
      <c r="AP24" s="162" t="s">
        <v>7494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 t="str">
        <f>IF(ISERROR(ESS_DATA[[#This Row],[New Ark PO status]]),"",_xlfn.XLOOKUP(ESS_DATA[[#This Row],[SPTN-PVHK New Ark PO'#]],New_Ark_Data[Purchase order Number],New_Ark_Data[Estimated time of arrival],"",0))</f>
        <v/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>
      <c r="A25" s="32" t="s">
        <v>7495</v>
      </c>
      <c r="B25" s="12" t="s">
        <v>7423</v>
      </c>
      <c r="C25" s="82" t="str">
        <f>IFERROR(LEFT(ESS_DATA[[#This Row],[TCL REFERENCE]],FIND(".",ESS_DATA[[#This Row],[TCL REFERENCE]],1)-1),"Main Line")</f>
        <v>Main Line</v>
      </c>
      <c r="D25" s="31" t="s">
        <v>7490</v>
      </c>
      <c r="E25" s="160" t="s">
        <v>144</v>
      </c>
      <c r="F25" s="160" t="s">
        <v>68</v>
      </c>
      <c r="G25" s="82" t="s">
        <v>68</v>
      </c>
      <c r="H25" s="82" t="s">
        <v>7491</v>
      </c>
      <c r="I25" s="82"/>
      <c r="J25" s="39" t="s">
        <v>7492</v>
      </c>
      <c r="K25" s="82"/>
      <c r="L25" s="79"/>
      <c r="M25" s="218" t="s">
        <v>840</v>
      </c>
      <c r="N25" s="82" t="s">
        <v>7496</v>
      </c>
      <c r="O25" s="82" t="s">
        <v>7450</v>
      </c>
      <c r="P25" s="82" t="s">
        <v>7451</v>
      </c>
      <c r="Q25" s="160">
        <v>0</v>
      </c>
      <c r="R25" s="163">
        <v>34</v>
      </c>
      <c r="S25" s="260"/>
      <c r="T25" s="82"/>
      <c r="U25" s="401">
        <f>ESS_DATA[[#This Row],[QUANTITY]]/170</f>
        <v>0.2</v>
      </c>
      <c r="V25" s="372" t="s">
        <v>7493</v>
      </c>
      <c r="W25" s="82" t="s">
        <v>7464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122</v>
      </c>
      <c r="AE25" s="82" t="s">
        <v>123</v>
      </c>
      <c r="AF25" s="82" t="s">
        <v>5777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402</v>
      </c>
      <c r="AN25" s="162" t="s">
        <v>7466</v>
      </c>
      <c r="AO25" s="162" t="s">
        <v>161</v>
      </c>
      <c r="AP25" s="162" t="s">
        <v>7494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 t="str">
        <f>IF(ISERROR(ESS_DATA[[#This Row],[New Ark PO status]]),"",_xlfn.XLOOKUP(ESS_DATA[[#This Row],[SPTN-PVHK New Ark PO'#]],New_Ark_Data[Purchase order Number],New_Ark_Data[Estimated time of arrival],"",0))</f>
        <v/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>
      <c r="A26" s="33" t="s">
        <v>7497</v>
      </c>
      <c r="B26" s="12" t="s">
        <v>7423</v>
      </c>
      <c r="C26" s="82" t="str">
        <f>IFERROR(LEFT(ESS_DATA[[#This Row],[TCL REFERENCE]],FIND(".",ESS_DATA[[#This Row],[TCL REFERENCE]],1)-1),"Main Line")</f>
        <v>Main Line</v>
      </c>
      <c r="D26" s="31" t="s">
        <v>7490</v>
      </c>
      <c r="E26" s="160" t="s">
        <v>144</v>
      </c>
      <c r="F26" s="160" t="s">
        <v>68</v>
      </c>
      <c r="G26" s="82" t="s">
        <v>68</v>
      </c>
      <c r="H26" s="82" t="s">
        <v>7491</v>
      </c>
      <c r="I26" s="82"/>
      <c r="J26" s="39" t="s">
        <v>7492</v>
      </c>
      <c r="K26" s="82"/>
      <c r="L26" s="79"/>
      <c r="M26" s="218" t="s">
        <v>840</v>
      </c>
      <c r="N26" s="82" t="s">
        <v>7498</v>
      </c>
      <c r="O26" s="82" t="s">
        <v>7461</v>
      </c>
      <c r="P26" s="82" t="s">
        <v>7462</v>
      </c>
      <c r="Q26" s="160">
        <v>5000</v>
      </c>
      <c r="R26" s="163">
        <v>34</v>
      </c>
      <c r="S26" s="260"/>
      <c r="T26" s="82"/>
      <c r="U26" s="401">
        <f>ESS_DATA[[#This Row],[QUANTITY]]/132</f>
        <v>0.25757575757575757</v>
      </c>
      <c r="V26" s="372" t="s">
        <v>7493</v>
      </c>
      <c r="W26" s="82" t="s">
        <v>7464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122</v>
      </c>
      <c r="AE26" s="82" t="s">
        <v>123</v>
      </c>
      <c r="AF26" s="82" t="s">
        <v>5777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402</v>
      </c>
      <c r="AN26" s="162" t="s">
        <v>7466</v>
      </c>
      <c r="AO26" s="162" t="s">
        <v>161</v>
      </c>
      <c r="AP26" s="162" t="s">
        <v>7494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 t="str">
        <f>IF(ISERROR(ESS_DATA[[#This Row],[New Ark PO status]]),"",_xlfn.XLOOKUP(ESS_DATA[[#This Row],[SPTN-PVHK New Ark PO'#]],New_Ark_Data[Purchase order Number],New_Ark_Data[Estimated time of arrival],"",0))</f>
        <v/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>
      <c r="A27" s="33" t="s">
        <v>7499</v>
      </c>
      <c r="B27" s="12" t="s">
        <v>7423</v>
      </c>
      <c r="C27" s="82" t="str">
        <f>IFERROR(LEFT(ESS_DATA[[#This Row],[TCL REFERENCE]],FIND(".",ESS_DATA[[#This Row],[TCL REFERENCE]],1)-1),"Main Line")</f>
        <v>25DEC001</v>
      </c>
      <c r="D27" s="31" t="s">
        <v>7490</v>
      </c>
      <c r="E27" s="160" t="s">
        <v>144</v>
      </c>
      <c r="F27" s="160" t="s">
        <v>68</v>
      </c>
      <c r="G27" s="82" t="s">
        <v>68</v>
      </c>
      <c r="H27" s="82" t="s">
        <v>7491</v>
      </c>
      <c r="I27" s="82"/>
      <c r="J27" s="39" t="s">
        <v>7492</v>
      </c>
      <c r="K27" s="82"/>
      <c r="L27" s="79"/>
      <c r="M27" s="218" t="s">
        <v>840</v>
      </c>
      <c r="N27" s="82" t="s">
        <v>7460</v>
      </c>
      <c r="O27" s="82" t="s">
        <v>7461</v>
      </c>
      <c r="P27" s="82" t="s">
        <v>7462</v>
      </c>
      <c r="Q27" s="160">
        <v>5000</v>
      </c>
      <c r="R27" s="163">
        <v>20</v>
      </c>
      <c r="S27" s="260"/>
      <c r="T27" s="82"/>
      <c r="U27" s="401">
        <f>ESS_DATA[[#This Row],[QUANTITY]]/132</f>
        <v>0.15151515151515152</v>
      </c>
      <c r="V27" s="372" t="s">
        <v>7493</v>
      </c>
      <c r="W27" s="165" t="s">
        <v>7464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122</v>
      </c>
      <c r="AE27" s="82" t="s">
        <v>123</v>
      </c>
      <c r="AF27" s="82" t="s">
        <v>5777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402</v>
      </c>
      <c r="AN27" s="162" t="s">
        <v>7466</v>
      </c>
      <c r="AO27" s="162" t="s">
        <v>161</v>
      </c>
      <c r="AP27" s="162" t="s">
        <v>7494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 t="str">
        <f>IF(ISERROR(ESS_DATA[[#This Row],[New Ark PO status]]),"",_xlfn.XLOOKUP(ESS_DATA[[#This Row],[SPTN-PVHK New Ark PO'#]],New_Ark_Data[Purchase order Number],New_Ark_Data[Estimated time of arrival],"",0))</f>
        <v/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>
      <c r="A28" s="33" t="s">
        <v>7500</v>
      </c>
      <c r="B28" s="12" t="s">
        <v>7423</v>
      </c>
      <c r="C28" s="31" t="str">
        <f>IFERROR(LEFT(ESS_DATA[[#This Row],[TCL REFERENCE]],FIND(".",ESS_DATA[[#This Row],[TCL REFERENCE]],1)-1),"Main Line")</f>
        <v>Main Line</v>
      </c>
      <c r="D28" s="31" t="s">
        <v>63</v>
      </c>
      <c r="E28" s="160" t="s">
        <v>64</v>
      </c>
      <c r="F28" s="160" t="s">
        <v>68</v>
      </c>
      <c r="G28" s="82" t="s">
        <v>66</v>
      </c>
      <c r="H28" s="31" t="s">
        <v>67</v>
      </c>
      <c r="I28" s="34"/>
      <c r="J28" s="31" t="s">
        <v>232</v>
      </c>
      <c r="K28" s="31"/>
      <c r="L28" s="34"/>
      <c r="M28" s="212" t="s">
        <v>68</v>
      </c>
      <c r="N28" s="31" t="s">
        <v>7460</v>
      </c>
      <c r="O28" s="31" t="s">
        <v>7461</v>
      </c>
      <c r="P28" s="31" t="s">
        <v>7462</v>
      </c>
      <c r="Q28" s="31">
        <v>5000</v>
      </c>
      <c r="R28" s="595">
        <f>792-R14-R15-R27</f>
        <v>220</v>
      </c>
      <c r="S28" s="260"/>
      <c r="T28" s="82"/>
      <c r="U28" s="700">
        <f>ESS_DATA[[#This Row],[QUANTITY]]/276</f>
        <v>0.79710144927536231</v>
      </c>
      <c r="V28" s="706" t="s">
        <v>7463</v>
      </c>
      <c r="W28" s="82" t="s">
        <v>7464</v>
      </c>
      <c r="X28" s="82" t="str">
        <f t="shared" si="0"/>
        <v>COMPLETED</v>
      </c>
      <c r="Y28" s="708"/>
      <c r="Z28" s="30">
        <v>46063</v>
      </c>
      <c r="AA28" s="35">
        <f>WEEKNUM(ESS_DATA[[#This Row],[Pick-Up Date]])</f>
        <v>7</v>
      </c>
      <c r="AB28" s="31" t="s">
        <v>7501</v>
      </c>
      <c r="AC28" s="31"/>
      <c r="AD28" s="31" t="s">
        <v>122</v>
      </c>
      <c r="AE28" s="31" t="s">
        <v>123</v>
      </c>
      <c r="AF28" s="31" t="s">
        <v>78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7424</v>
      </c>
      <c r="AN28" s="31" t="s">
        <v>7502</v>
      </c>
      <c r="AO28" s="162" t="s">
        <v>161</v>
      </c>
      <c r="AP28" s="31" t="s">
        <v>7503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46128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>
      <c r="A29" s="33" t="s">
        <v>7504</v>
      </c>
      <c r="B29" s="12" t="s">
        <v>7423</v>
      </c>
      <c r="C29" s="31" t="str">
        <f>IFERROR(LEFT(ESS_DATA[[#This Row],[TCL REFERENCE]],FIND(".",ESS_DATA[[#This Row],[TCL REFERENCE]],1)-1),"Main Line")</f>
        <v>25DEC001</v>
      </c>
      <c r="D29" s="31" t="s">
        <v>63</v>
      </c>
      <c r="E29" s="160" t="s">
        <v>64</v>
      </c>
      <c r="F29" s="160" t="s">
        <v>68</v>
      </c>
      <c r="G29" s="82" t="s">
        <v>66</v>
      </c>
      <c r="H29" s="31" t="s">
        <v>67</v>
      </c>
      <c r="I29" s="34"/>
      <c r="J29" s="31" t="s">
        <v>7505</v>
      </c>
      <c r="K29" s="31"/>
      <c r="L29" s="34"/>
      <c r="M29" s="212" t="s">
        <v>68</v>
      </c>
      <c r="N29" s="31" t="s">
        <v>7460</v>
      </c>
      <c r="O29" s="31" t="s">
        <v>7461</v>
      </c>
      <c r="P29" s="31" t="s">
        <v>7462</v>
      </c>
      <c r="Q29" s="31">
        <v>5000</v>
      </c>
      <c r="R29" s="595">
        <v>24</v>
      </c>
      <c r="S29" s="260"/>
      <c r="T29" s="82"/>
      <c r="U29" s="700">
        <f>ESS_DATA[[#This Row],[QUANTITY]]/276</f>
        <v>8.6956521739130432E-2</v>
      </c>
      <c r="V29" s="706" t="s">
        <v>7463</v>
      </c>
      <c r="W29" s="82" t="s">
        <v>7464</v>
      </c>
      <c r="X29" s="82" t="str">
        <f t="shared" si="0"/>
        <v>COMPLETED</v>
      </c>
      <c r="Y29" s="708"/>
      <c r="Z29" s="30">
        <v>46063</v>
      </c>
      <c r="AA29" s="35">
        <f>WEEKNUM(ESS_DATA[[#This Row],[Pick-Up Date]])</f>
        <v>7</v>
      </c>
      <c r="AB29" s="31" t="s">
        <v>7501</v>
      </c>
      <c r="AC29" s="31"/>
      <c r="AD29" s="31" t="s">
        <v>122</v>
      </c>
      <c r="AE29" s="31" t="s">
        <v>123</v>
      </c>
      <c r="AF29" s="31" t="s">
        <v>78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7424</v>
      </c>
      <c r="AN29" s="31" t="s">
        <v>7502</v>
      </c>
      <c r="AO29" s="162" t="s">
        <v>161</v>
      </c>
      <c r="AP29" s="31" t="s">
        <v>7503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46128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00" t="s">
        <v>7506</v>
      </c>
      <c r="B30" s="12" t="s">
        <v>7423</v>
      </c>
      <c r="C30" s="601" t="str">
        <f>IFERROR(LEFT(ESS_DATA[[#This Row],[TCL REFERENCE]],FIND(".",ESS_DATA[[#This Row],[TCL REFERENCE]],1)-1),"Main Line")</f>
        <v>Main Line</v>
      </c>
      <c r="D30" s="602" t="s">
        <v>63</v>
      </c>
      <c r="E30" s="160" t="s">
        <v>64</v>
      </c>
      <c r="F30" s="160" t="s">
        <v>68</v>
      </c>
      <c r="G30" s="82" t="s">
        <v>66</v>
      </c>
      <c r="H30" s="31" t="s">
        <v>67</v>
      </c>
      <c r="I30" s="602"/>
      <c r="J30" s="31" t="s">
        <v>232</v>
      </c>
      <c r="K30" s="601"/>
      <c r="L30" s="603"/>
      <c r="M30" s="212" t="s">
        <v>68</v>
      </c>
      <c r="N30" s="601" t="s">
        <v>7507</v>
      </c>
      <c r="O30" s="601" t="s">
        <v>7461</v>
      </c>
      <c r="P30" s="601" t="s">
        <v>7462</v>
      </c>
      <c r="Q30" s="601">
        <v>5000</v>
      </c>
      <c r="R30" s="604">
        <v>8</v>
      </c>
      <c r="S30" s="605"/>
      <c r="T30" s="602"/>
      <c r="U30" s="700">
        <f>ESS_DATA[[#This Row],[QUANTITY]]/276</f>
        <v>2.8985507246376812E-2</v>
      </c>
      <c r="V30" s="706" t="s">
        <v>7463</v>
      </c>
      <c r="W30" s="82" t="s">
        <v>7464</v>
      </c>
      <c r="X30" s="82" t="str">
        <f t="shared" si="0"/>
        <v>COMPLETED</v>
      </c>
      <c r="Y30" s="709"/>
      <c r="Z30" s="30">
        <v>46063</v>
      </c>
      <c r="AA30" s="606">
        <f>WEEKNUM(ESS_DATA[[#This Row],[Pick-Up Date]])</f>
        <v>7</v>
      </c>
      <c r="AB30" s="31" t="s">
        <v>7501</v>
      </c>
      <c r="AC30" s="602"/>
      <c r="AD30" s="602" t="s">
        <v>122</v>
      </c>
      <c r="AE30" s="601" t="s">
        <v>123</v>
      </c>
      <c r="AF30" s="601" t="s">
        <v>78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7424</v>
      </c>
      <c r="AN30" s="31" t="s">
        <v>7502</v>
      </c>
      <c r="AO30" s="162" t="s">
        <v>161</v>
      </c>
      <c r="AP30" s="31" t="s">
        <v>7503</v>
      </c>
      <c r="AQ30" s="31">
        <v>266196843</v>
      </c>
      <c r="AR30" s="31">
        <v>266196843</v>
      </c>
      <c r="AS30" s="602">
        <f>ESS_DATA[[#This Row],[ETA On S/O]]-ESS_DATA[[#This Row],[ETD On S/O]]+1</f>
        <v>44</v>
      </c>
      <c r="AT30" s="602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46128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>
      <c r="A31" s="82" t="s">
        <v>7508</v>
      </c>
      <c r="B31" s="12" t="s">
        <v>7423</v>
      </c>
      <c r="C31" s="82" t="str">
        <f>IFERROR(LEFT(ESS_DATA[[#This Row],[TCL REFERENCE]],FIND(".",ESS_DATA[[#This Row],[TCL REFERENCE]],1)-1),"Main Line")</f>
        <v>Main Line</v>
      </c>
      <c r="D31" s="82" t="s">
        <v>63</v>
      </c>
      <c r="E31" s="160" t="s">
        <v>64</v>
      </c>
      <c r="F31" s="160" t="s">
        <v>68</v>
      </c>
      <c r="G31" s="82" t="s">
        <v>66</v>
      </c>
      <c r="H31" s="31" t="s">
        <v>67</v>
      </c>
      <c r="I31" s="82"/>
      <c r="J31" s="31" t="s">
        <v>232</v>
      </c>
      <c r="K31" s="82"/>
      <c r="L31" s="79"/>
      <c r="M31" s="212" t="s">
        <v>68</v>
      </c>
      <c r="N31" s="82" t="s">
        <v>7443</v>
      </c>
      <c r="O31" s="82" t="s">
        <v>7438</v>
      </c>
      <c r="P31" s="82" t="s">
        <v>7444</v>
      </c>
      <c r="Q31" s="160">
        <v>8000</v>
      </c>
      <c r="R31" s="163">
        <v>6</v>
      </c>
      <c r="S31" s="260"/>
      <c r="T31" s="82"/>
      <c r="U31" s="401">
        <f>ESS_DATA[[#This Row],[QUANTITY]]/224</f>
        <v>2.6785714285714284E-2</v>
      </c>
      <c r="V31" s="706" t="s">
        <v>7463</v>
      </c>
      <c r="W31" s="82" t="s">
        <v>7464</v>
      </c>
      <c r="X31" s="82" t="str">
        <f t="shared" si="0"/>
        <v>COMPLETED</v>
      </c>
      <c r="Y31" s="710"/>
      <c r="Z31" s="30">
        <v>46063</v>
      </c>
      <c r="AA31" s="163">
        <f>WEEKNUM(ESS_DATA[[#This Row],[Pick-Up Date]])</f>
        <v>7</v>
      </c>
      <c r="AB31" s="31" t="s">
        <v>7501</v>
      </c>
      <c r="AC31" s="82"/>
      <c r="AD31" s="82" t="s">
        <v>122</v>
      </c>
      <c r="AE31" s="31" t="s">
        <v>123</v>
      </c>
      <c r="AF31" s="31" t="s">
        <v>78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7424</v>
      </c>
      <c r="AN31" s="31" t="s">
        <v>7502</v>
      </c>
      <c r="AO31" s="162" t="s">
        <v>161</v>
      </c>
      <c r="AP31" s="31" t="s">
        <v>7503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46128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>
      <c r="A32" s="82" t="s">
        <v>7509</v>
      </c>
      <c r="B32" s="12" t="s">
        <v>7423</v>
      </c>
      <c r="C32" s="82" t="str">
        <f>IFERROR(LEFT(ESS_DATA[[#This Row],[TCL REFERENCE]],FIND(".",ESS_DATA[[#This Row],[TCL REFERENCE]],1)-1),"Main Line")</f>
        <v>Main Line</v>
      </c>
      <c r="D32" s="82" t="s">
        <v>63</v>
      </c>
      <c r="E32" s="160" t="s">
        <v>64</v>
      </c>
      <c r="F32" s="160" t="s">
        <v>68</v>
      </c>
      <c r="G32" s="82" t="s">
        <v>66</v>
      </c>
      <c r="H32" s="31" t="s">
        <v>67</v>
      </c>
      <c r="I32" s="82"/>
      <c r="J32" s="31" t="s">
        <v>232</v>
      </c>
      <c r="K32" s="82"/>
      <c r="L32" s="79"/>
      <c r="M32" s="212" t="s">
        <v>68</v>
      </c>
      <c r="N32" s="82" t="s">
        <v>7449</v>
      </c>
      <c r="O32" s="82" t="s">
        <v>7450</v>
      </c>
      <c r="P32" s="82" t="s">
        <v>7451</v>
      </c>
      <c r="Q32" s="160">
        <v>0</v>
      </c>
      <c r="R32" s="163">
        <v>6</v>
      </c>
      <c r="S32" s="260"/>
      <c r="T32" s="82"/>
      <c r="U32" s="401">
        <f>ESS_DATA[[#This Row],[QUANTITY]]/350</f>
        <v>1.7142857142857144E-2</v>
      </c>
      <c r="V32" s="706" t="s">
        <v>7463</v>
      </c>
      <c r="W32" s="82" t="s">
        <v>7464</v>
      </c>
      <c r="X32" s="82" t="str">
        <f t="shared" si="0"/>
        <v>COMPLETED</v>
      </c>
      <c r="Y32" s="710"/>
      <c r="Z32" s="30">
        <v>46063</v>
      </c>
      <c r="AA32" s="163">
        <f>WEEKNUM(ESS_DATA[[#This Row],[Pick-Up Date]])</f>
        <v>7</v>
      </c>
      <c r="AB32" s="31" t="s">
        <v>7501</v>
      </c>
      <c r="AC32" s="82"/>
      <c r="AD32" s="82" t="s">
        <v>122</v>
      </c>
      <c r="AE32" s="31" t="s">
        <v>123</v>
      </c>
      <c r="AF32" s="31" t="s">
        <v>78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7424</v>
      </c>
      <c r="AN32" s="31" t="s">
        <v>7502</v>
      </c>
      <c r="AO32" s="162" t="s">
        <v>161</v>
      </c>
      <c r="AP32" s="31" t="s">
        <v>7503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46128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>
      <c r="A33" s="82" t="s">
        <v>1427</v>
      </c>
      <c r="B33" s="12" t="s">
        <v>7423</v>
      </c>
      <c r="C33" s="82" t="str">
        <f>IFERROR(LEFT(ESS_DATA[[#This Row],[TCL REFERENCE]],FIND(".",ESS_DATA[[#This Row],[TCL REFERENCE]],1)-1),"Main Line")</f>
        <v>Main Line</v>
      </c>
      <c r="D33" s="82" t="s">
        <v>63</v>
      </c>
      <c r="E33" s="160" t="s">
        <v>64</v>
      </c>
      <c r="F33" s="160" t="s">
        <v>68</v>
      </c>
      <c r="G33" s="82" t="s">
        <v>66</v>
      </c>
      <c r="H33" s="12" t="s">
        <v>67</v>
      </c>
      <c r="I33" s="82"/>
      <c r="J33" s="82" t="s">
        <v>7510</v>
      </c>
      <c r="K33" s="82"/>
      <c r="L33" s="79"/>
      <c r="M33" s="213" t="s">
        <v>68</v>
      </c>
      <c r="N33" s="178" t="s">
        <v>7511</v>
      </c>
      <c r="O33" s="82" t="s">
        <v>7512</v>
      </c>
      <c r="P33" s="82" t="s">
        <v>7513</v>
      </c>
      <c r="Q33" s="170"/>
      <c r="R33" s="163">
        <v>50</v>
      </c>
      <c r="S33" s="260"/>
      <c r="T33" s="147"/>
      <c r="U33" s="401">
        <f>ESS_DATA[[#This Row],[QUANTITY]]*(0.04/360)</f>
        <v>5.5555555555555558E-3</v>
      </c>
      <c r="V33" s="706" t="s">
        <v>7463</v>
      </c>
      <c r="W33" s="82" t="s">
        <v>7464</v>
      </c>
      <c r="X33" s="147" t="str">
        <f t="shared" si="0"/>
        <v>COMPLETED</v>
      </c>
      <c r="Y33" s="710"/>
      <c r="Z33" s="30">
        <v>46063</v>
      </c>
      <c r="AA33" s="163">
        <f>WEEKNUM(ESS_DATA[[#This Row],[Pick-Up Date]])</f>
        <v>7</v>
      </c>
      <c r="AB33" s="31" t="s">
        <v>7501</v>
      </c>
      <c r="AC33" s="147"/>
      <c r="AD33" s="82" t="s">
        <v>122</v>
      </c>
      <c r="AE33" s="31" t="s">
        <v>123</v>
      </c>
      <c r="AF33" s="31" t="s">
        <v>78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7424</v>
      </c>
      <c r="AN33" s="31" t="s">
        <v>7502</v>
      </c>
      <c r="AO33" s="162" t="s">
        <v>161</v>
      </c>
      <c r="AP33" s="31" t="s">
        <v>7503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46128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>
      <c r="A34" s="82" t="s">
        <v>985</v>
      </c>
      <c r="B34" s="12" t="s">
        <v>7423</v>
      </c>
      <c r="C34" s="82" t="str">
        <f>IFERROR(LEFT(ESS_DATA[[#This Row],[TCL REFERENCE]],FIND(".",ESS_DATA[[#This Row],[TCL REFERENCE]],1)-1),"Main Line")</f>
        <v>Main Line</v>
      </c>
      <c r="D34" s="82" t="s">
        <v>63</v>
      </c>
      <c r="E34" s="160" t="s">
        <v>64</v>
      </c>
      <c r="F34" s="160" t="s">
        <v>68</v>
      </c>
      <c r="G34" s="82" t="s">
        <v>66</v>
      </c>
      <c r="H34" s="12" t="s">
        <v>67</v>
      </c>
      <c r="I34" s="82"/>
      <c r="J34" s="82" t="s">
        <v>7514</v>
      </c>
      <c r="K34" s="82"/>
      <c r="L34" s="79"/>
      <c r="M34" s="213" t="s">
        <v>68</v>
      </c>
      <c r="N34" s="147" t="s">
        <v>7515</v>
      </c>
      <c r="O34" s="147" t="s">
        <v>7516</v>
      </c>
      <c r="P34" s="147" t="s">
        <v>7517</v>
      </c>
      <c r="Q34" s="170"/>
      <c r="R34" s="215">
        <v>20</v>
      </c>
      <c r="S34" s="260"/>
      <c r="T34" s="147"/>
      <c r="U34" s="359">
        <f>ESS_DATA[[#This Row],[QUANTITY]]*(0.04/360)</f>
        <v>2.2222222222222222E-3</v>
      </c>
      <c r="V34" s="706" t="s">
        <v>7463</v>
      </c>
      <c r="W34" s="147" t="s">
        <v>7464</v>
      </c>
      <c r="X34" s="147" t="str">
        <f t="shared" ref="X34:X65" si="1">IF(AL34&lt;&gt;"","COMPLETED",IF(AI34&lt;&gt;"","IN-TRANSIT",""))</f>
        <v>COMPLETED</v>
      </c>
      <c r="Y34" s="711"/>
      <c r="Z34" s="14">
        <v>46063</v>
      </c>
      <c r="AA34" s="215">
        <f>WEEKNUM(ESS_DATA[[#This Row],[Pick-Up Date]])</f>
        <v>7</v>
      </c>
      <c r="AB34" s="12" t="s">
        <v>7501</v>
      </c>
      <c r="AC34" s="147"/>
      <c r="AD34" s="147" t="s">
        <v>122</v>
      </c>
      <c r="AE34" s="12" t="s">
        <v>123</v>
      </c>
      <c r="AF34" s="12" t="s">
        <v>78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7424</v>
      </c>
      <c r="AN34" s="12" t="s">
        <v>7502</v>
      </c>
      <c r="AO34" s="162" t="s">
        <v>161</v>
      </c>
      <c r="AP34" s="12" t="s">
        <v>7503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7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46128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>
      <c r="A35" s="82" t="s">
        <v>963</v>
      </c>
      <c r="B35" s="12" t="s">
        <v>7423</v>
      </c>
      <c r="C35" s="82" t="str">
        <f>IFERROR(LEFT(ESS_DATA[[#This Row],[TCL REFERENCE]],FIND(".",ESS_DATA[[#This Row],[TCL REFERENCE]],1)-1),"Main Line")</f>
        <v>Main Line</v>
      </c>
      <c r="D35" s="82" t="s">
        <v>63</v>
      </c>
      <c r="E35" s="160" t="s">
        <v>64</v>
      </c>
      <c r="F35" s="160" t="s">
        <v>68</v>
      </c>
      <c r="G35" s="82" t="s">
        <v>66</v>
      </c>
      <c r="H35" s="12" t="s">
        <v>67</v>
      </c>
      <c r="I35" s="82"/>
      <c r="J35" s="82" t="s">
        <v>7518</v>
      </c>
      <c r="K35" s="82"/>
      <c r="L35" s="79"/>
      <c r="M35" s="213" t="s">
        <v>68</v>
      </c>
      <c r="N35" s="147" t="s">
        <v>7519</v>
      </c>
      <c r="O35" s="147" t="s">
        <v>7520</v>
      </c>
      <c r="P35" s="147" t="s">
        <v>7521</v>
      </c>
      <c r="Q35" s="170"/>
      <c r="R35" s="215">
        <v>10</v>
      </c>
      <c r="S35" s="260"/>
      <c r="T35" s="147"/>
      <c r="U35" s="359">
        <f>ESS_DATA[[#This Row],[QUANTITY]]*(0.04/360)</f>
        <v>1.1111111111111111E-3</v>
      </c>
      <c r="V35" s="706" t="s">
        <v>7463</v>
      </c>
      <c r="W35" s="147" t="s">
        <v>7464</v>
      </c>
      <c r="X35" s="147" t="str">
        <f t="shared" si="1"/>
        <v>COMPLETED</v>
      </c>
      <c r="Y35" s="711"/>
      <c r="Z35" s="14">
        <v>46063</v>
      </c>
      <c r="AA35" s="215">
        <f>WEEKNUM(ESS_DATA[[#This Row],[Pick-Up Date]])</f>
        <v>7</v>
      </c>
      <c r="AB35" s="12" t="s">
        <v>7501</v>
      </c>
      <c r="AC35" s="147"/>
      <c r="AD35" s="147" t="s">
        <v>122</v>
      </c>
      <c r="AE35" s="12" t="s">
        <v>123</v>
      </c>
      <c r="AF35" s="12" t="s">
        <v>78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7424</v>
      </c>
      <c r="AN35" s="12" t="s">
        <v>7502</v>
      </c>
      <c r="AO35" s="162" t="s">
        <v>161</v>
      </c>
      <c r="AP35" s="12" t="s">
        <v>7503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7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46128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>
      <c r="A36" s="82" t="s">
        <v>7522</v>
      </c>
      <c r="B36" s="12" t="s">
        <v>7423</v>
      </c>
      <c r="C36" s="82" t="str">
        <f>IFERROR(LEFT(ESS_DATA[[#This Row],[TCL REFERENCE]],FIND(".",ESS_DATA[[#This Row],[TCL REFERENCE]],1)-1),"Main Line")</f>
        <v>Main Line</v>
      </c>
      <c r="D36" s="82" t="s">
        <v>63</v>
      </c>
      <c r="E36" s="160" t="s">
        <v>64</v>
      </c>
      <c r="F36" s="160" t="s">
        <v>68</v>
      </c>
      <c r="G36" s="82" t="s">
        <v>66</v>
      </c>
      <c r="H36" s="12" t="s">
        <v>67</v>
      </c>
      <c r="I36" s="82"/>
      <c r="J36" s="82" t="s">
        <v>7523</v>
      </c>
      <c r="K36" s="82"/>
      <c r="L36" s="79"/>
      <c r="M36" s="213" t="s">
        <v>68</v>
      </c>
      <c r="N36" s="147" t="s">
        <v>7433</v>
      </c>
      <c r="O36" s="147" t="s">
        <v>7524</v>
      </c>
      <c r="P36" s="147" t="s">
        <v>7435</v>
      </c>
      <c r="Q36" s="170"/>
      <c r="R36" s="215">
        <v>10</v>
      </c>
      <c r="S36" s="260"/>
      <c r="T36" s="147"/>
      <c r="U36" s="359">
        <f>ESS_DATA[[#This Row],[QUANTITY]]*(0.04/360)</f>
        <v>1.1111111111111111E-3</v>
      </c>
      <c r="V36" s="706" t="s">
        <v>7463</v>
      </c>
      <c r="W36" s="147" t="s">
        <v>7464</v>
      </c>
      <c r="X36" s="147" t="str">
        <f t="shared" si="1"/>
        <v>COMPLETED</v>
      </c>
      <c r="Y36" s="711"/>
      <c r="Z36" s="14">
        <v>46063</v>
      </c>
      <c r="AA36" s="215">
        <f>WEEKNUM(ESS_DATA[[#This Row],[Pick-Up Date]])</f>
        <v>7</v>
      </c>
      <c r="AB36" s="12" t="s">
        <v>7501</v>
      </c>
      <c r="AC36" s="147"/>
      <c r="AD36" s="147" t="s">
        <v>122</v>
      </c>
      <c r="AE36" s="12" t="s">
        <v>123</v>
      </c>
      <c r="AF36" s="12" t="s">
        <v>78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7424</v>
      </c>
      <c r="AN36" s="12" t="s">
        <v>7502</v>
      </c>
      <c r="AO36" s="162" t="s">
        <v>161</v>
      </c>
      <c r="AP36" s="12" t="s">
        <v>7503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7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46128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>
      <c r="A37" s="82" t="s">
        <v>1149</v>
      </c>
      <c r="B37" s="12" t="s">
        <v>7423</v>
      </c>
      <c r="C37" s="82" t="str">
        <f>IFERROR(LEFT(ESS_DATA[[#This Row],[TCL REFERENCE]],FIND(".",ESS_DATA[[#This Row],[TCL REFERENCE]],1)-1),"Main Line")</f>
        <v>Main Line</v>
      </c>
      <c r="D37" s="82" t="s">
        <v>63</v>
      </c>
      <c r="E37" s="160" t="s">
        <v>64</v>
      </c>
      <c r="F37" s="160" t="s">
        <v>68</v>
      </c>
      <c r="G37" s="82" t="s">
        <v>66</v>
      </c>
      <c r="H37" s="12" t="s">
        <v>67</v>
      </c>
      <c r="I37" s="82"/>
      <c r="J37" s="82" t="s">
        <v>7525</v>
      </c>
      <c r="K37" s="82"/>
      <c r="L37" s="79"/>
      <c r="M37" s="213" t="s">
        <v>68</v>
      </c>
      <c r="N37" s="147" t="s">
        <v>7526</v>
      </c>
      <c r="O37" s="147" t="s">
        <v>7527</v>
      </c>
      <c r="P37" s="147" t="s">
        <v>7528</v>
      </c>
      <c r="Q37" s="170"/>
      <c r="R37" s="215">
        <v>10</v>
      </c>
      <c r="S37" s="260"/>
      <c r="T37" s="147"/>
      <c r="U37" s="359">
        <f>ESS_DATA[[#This Row],[QUANTITY]]*(0.04/360)</f>
        <v>1.1111111111111111E-3</v>
      </c>
      <c r="V37" s="706" t="s">
        <v>7463</v>
      </c>
      <c r="W37" s="147" t="s">
        <v>7464</v>
      </c>
      <c r="X37" s="147" t="str">
        <f t="shared" si="1"/>
        <v>COMPLETED</v>
      </c>
      <c r="Y37" s="711"/>
      <c r="Z37" s="14">
        <v>46063</v>
      </c>
      <c r="AA37" s="215">
        <f>WEEKNUM(ESS_DATA[[#This Row],[Pick-Up Date]])</f>
        <v>7</v>
      </c>
      <c r="AB37" s="12" t="s">
        <v>7501</v>
      </c>
      <c r="AC37" s="147"/>
      <c r="AD37" s="147" t="s">
        <v>122</v>
      </c>
      <c r="AE37" s="12" t="s">
        <v>123</v>
      </c>
      <c r="AF37" s="12" t="s">
        <v>78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7424</v>
      </c>
      <c r="AN37" s="12" t="s">
        <v>7502</v>
      </c>
      <c r="AO37" s="162" t="s">
        <v>161</v>
      </c>
      <c r="AP37" s="12" t="s">
        <v>7503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7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46128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>
      <c r="A38" s="82" t="s">
        <v>1007</v>
      </c>
      <c r="B38" s="12" t="s">
        <v>7423</v>
      </c>
      <c r="C38" s="82" t="str">
        <f>IFERROR(LEFT(ESS_DATA[[#This Row],[TCL REFERENCE]],FIND(".",ESS_DATA[[#This Row],[TCL REFERENCE]],1)-1),"Main Line")</f>
        <v>Main Line</v>
      </c>
      <c r="D38" s="82" t="s">
        <v>63</v>
      </c>
      <c r="E38" s="160" t="s">
        <v>64</v>
      </c>
      <c r="F38" s="160" t="s">
        <v>68</v>
      </c>
      <c r="G38" s="82" t="s">
        <v>66</v>
      </c>
      <c r="H38" s="12" t="s">
        <v>67</v>
      </c>
      <c r="I38" s="82"/>
      <c r="J38" s="82" t="s">
        <v>7529</v>
      </c>
      <c r="K38" s="82"/>
      <c r="L38" s="79"/>
      <c r="M38" s="213" t="s">
        <v>68</v>
      </c>
      <c r="N38" s="147" t="s">
        <v>7530</v>
      </c>
      <c r="O38" s="147" t="s">
        <v>7531</v>
      </c>
      <c r="P38" s="147" t="s">
        <v>7532</v>
      </c>
      <c r="Q38" s="170"/>
      <c r="R38" s="215">
        <v>10</v>
      </c>
      <c r="S38" s="260"/>
      <c r="T38" s="147"/>
      <c r="U38" s="359">
        <f>ESS_DATA[[#This Row],[QUANTITY]]*(0.04/360)</f>
        <v>1.1111111111111111E-3</v>
      </c>
      <c r="V38" s="706" t="s">
        <v>7463</v>
      </c>
      <c r="W38" s="147" t="s">
        <v>7464</v>
      </c>
      <c r="X38" s="147" t="str">
        <f t="shared" si="1"/>
        <v>COMPLETED</v>
      </c>
      <c r="Y38" s="711"/>
      <c r="Z38" s="14">
        <v>46063</v>
      </c>
      <c r="AA38" s="215">
        <f>WEEKNUM(ESS_DATA[[#This Row],[Pick-Up Date]])</f>
        <v>7</v>
      </c>
      <c r="AB38" s="12" t="s">
        <v>7501</v>
      </c>
      <c r="AC38" s="147"/>
      <c r="AD38" s="147" t="s">
        <v>122</v>
      </c>
      <c r="AE38" s="12" t="s">
        <v>123</v>
      </c>
      <c r="AF38" s="12" t="s">
        <v>78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7424</v>
      </c>
      <c r="AN38" s="12" t="s">
        <v>7502</v>
      </c>
      <c r="AO38" s="162" t="s">
        <v>161</v>
      </c>
      <c r="AP38" s="12" t="s">
        <v>7503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7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46128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>
      <c r="A39" s="82" t="s">
        <v>1000</v>
      </c>
      <c r="B39" s="12" t="s">
        <v>7423</v>
      </c>
      <c r="C39" s="82" t="str">
        <f>IFERROR(LEFT(ESS_DATA[[#This Row],[TCL REFERENCE]],FIND(".",ESS_DATA[[#This Row],[TCL REFERENCE]],1)-1),"Main Line")</f>
        <v>Main Line</v>
      </c>
      <c r="D39" s="82" t="s">
        <v>63</v>
      </c>
      <c r="E39" s="160" t="s">
        <v>64</v>
      </c>
      <c r="F39" s="160" t="s">
        <v>68</v>
      </c>
      <c r="G39" s="82" t="s">
        <v>66</v>
      </c>
      <c r="H39" s="12" t="s">
        <v>67</v>
      </c>
      <c r="I39" s="82"/>
      <c r="J39" s="82" t="s">
        <v>7533</v>
      </c>
      <c r="K39" s="82"/>
      <c r="L39" s="79"/>
      <c r="M39" s="213" t="s">
        <v>68</v>
      </c>
      <c r="N39" s="178" t="s">
        <v>7534</v>
      </c>
      <c r="O39" s="147" t="s">
        <v>7535</v>
      </c>
      <c r="P39" s="147" t="s">
        <v>7536</v>
      </c>
      <c r="Q39" s="170"/>
      <c r="R39" s="215">
        <v>50</v>
      </c>
      <c r="S39" s="260"/>
      <c r="T39" s="147"/>
      <c r="U39" s="359">
        <f>ESS_DATA[[#This Row],[QUANTITY]]*(0.04/360)</f>
        <v>5.5555555555555558E-3</v>
      </c>
      <c r="V39" s="706" t="s">
        <v>7463</v>
      </c>
      <c r="W39" s="147" t="s">
        <v>7464</v>
      </c>
      <c r="X39" s="147" t="str">
        <f t="shared" si="1"/>
        <v>COMPLETED</v>
      </c>
      <c r="Y39" s="711"/>
      <c r="Z39" s="14">
        <v>46063</v>
      </c>
      <c r="AA39" s="215">
        <f>WEEKNUM(ESS_DATA[[#This Row],[Pick-Up Date]])</f>
        <v>7</v>
      </c>
      <c r="AB39" s="12" t="s">
        <v>7501</v>
      </c>
      <c r="AC39" s="147"/>
      <c r="AD39" s="147" t="s">
        <v>122</v>
      </c>
      <c r="AE39" s="12" t="s">
        <v>123</v>
      </c>
      <c r="AF39" s="12" t="s">
        <v>78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7424</v>
      </c>
      <c r="AN39" s="12" t="s">
        <v>7502</v>
      </c>
      <c r="AO39" s="162" t="s">
        <v>161</v>
      </c>
      <c r="AP39" s="12" t="s">
        <v>7503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7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46128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>
      <c r="A40" s="82" t="s">
        <v>7537</v>
      </c>
      <c r="B40" s="12" t="s">
        <v>7423</v>
      </c>
      <c r="C40" s="82" t="str">
        <f>IFERROR(LEFT(ESS_DATA[[#This Row],[TCL REFERENCE]],FIND(".",ESS_DATA[[#This Row],[TCL REFERENCE]],1)-1),"Main Line")</f>
        <v>Main Line</v>
      </c>
      <c r="D40" s="82" t="s">
        <v>63</v>
      </c>
      <c r="E40" s="160" t="s">
        <v>64</v>
      </c>
      <c r="F40" s="160" t="s">
        <v>68</v>
      </c>
      <c r="G40" s="82" t="s">
        <v>66</v>
      </c>
      <c r="H40" s="12" t="s">
        <v>67</v>
      </c>
      <c r="I40" s="82"/>
      <c r="J40" s="82" t="s">
        <v>7538</v>
      </c>
      <c r="K40" s="82"/>
      <c r="L40" s="79"/>
      <c r="M40" s="213" t="s">
        <v>68</v>
      </c>
      <c r="N40" s="147" t="s">
        <v>7539</v>
      </c>
      <c r="O40" s="147" t="s">
        <v>7540</v>
      </c>
      <c r="P40" s="147" t="s">
        <v>7541</v>
      </c>
      <c r="Q40" s="170"/>
      <c r="R40" s="215">
        <v>20</v>
      </c>
      <c r="S40" s="260"/>
      <c r="T40" s="147"/>
      <c r="U40" s="359">
        <f>ESS_DATA[[#This Row],[QUANTITY]]*(0.04/360)</f>
        <v>2.2222222222222222E-3</v>
      </c>
      <c r="V40" s="706" t="s">
        <v>7463</v>
      </c>
      <c r="W40" s="147" t="s">
        <v>7464</v>
      </c>
      <c r="X40" s="147" t="str">
        <f t="shared" si="1"/>
        <v>COMPLETED</v>
      </c>
      <c r="Y40" s="711"/>
      <c r="Z40" s="14">
        <v>46063</v>
      </c>
      <c r="AA40" s="215">
        <f>WEEKNUM(ESS_DATA[[#This Row],[Pick-Up Date]])</f>
        <v>7</v>
      </c>
      <c r="AB40" s="12" t="s">
        <v>7501</v>
      </c>
      <c r="AC40" s="147"/>
      <c r="AD40" s="147" t="s">
        <v>122</v>
      </c>
      <c r="AE40" s="12" t="s">
        <v>123</v>
      </c>
      <c r="AF40" s="12" t="s">
        <v>78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7424</v>
      </c>
      <c r="AN40" s="12" t="s">
        <v>7502</v>
      </c>
      <c r="AO40" s="162" t="s">
        <v>161</v>
      </c>
      <c r="AP40" s="12" t="s">
        <v>7503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7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46128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>
      <c r="A41" s="82" t="s">
        <v>7542</v>
      </c>
      <c r="B41" s="12" t="s">
        <v>7423</v>
      </c>
      <c r="C41" s="82" t="str">
        <f>IFERROR(LEFT(ESS_DATA[[#This Row],[TCL REFERENCE]],FIND(".",ESS_DATA[[#This Row],[TCL REFERENCE]],1)-1),"Main Line")</f>
        <v>Main Line</v>
      </c>
      <c r="D41" s="82" t="s">
        <v>63</v>
      </c>
      <c r="E41" s="160" t="s">
        <v>64</v>
      </c>
      <c r="F41" s="160" t="s">
        <v>68</v>
      </c>
      <c r="G41" s="82" t="s">
        <v>66</v>
      </c>
      <c r="H41" s="12" t="s">
        <v>67</v>
      </c>
      <c r="I41" s="82"/>
      <c r="J41" s="82" t="s">
        <v>7543</v>
      </c>
      <c r="K41" s="82"/>
      <c r="L41" s="79"/>
      <c r="M41" s="213" t="s">
        <v>68</v>
      </c>
      <c r="N41" s="147" t="s">
        <v>7544</v>
      </c>
      <c r="O41" s="147" t="s">
        <v>7545</v>
      </c>
      <c r="P41" s="147" t="s">
        <v>7546</v>
      </c>
      <c r="Q41" s="170"/>
      <c r="R41" s="215">
        <v>10</v>
      </c>
      <c r="S41" s="260"/>
      <c r="T41" s="147"/>
      <c r="U41" s="359">
        <f>ESS_DATA[[#This Row],[QUANTITY]]*(0.04/360)</f>
        <v>1.1111111111111111E-3</v>
      </c>
      <c r="V41" s="706" t="s">
        <v>7463</v>
      </c>
      <c r="W41" s="147" t="s">
        <v>7464</v>
      </c>
      <c r="X41" s="147" t="str">
        <f t="shared" si="1"/>
        <v>COMPLETED</v>
      </c>
      <c r="Y41" s="711"/>
      <c r="Z41" s="14">
        <v>46063</v>
      </c>
      <c r="AA41" s="215">
        <f>WEEKNUM(ESS_DATA[[#This Row],[Pick-Up Date]])</f>
        <v>7</v>
      </c>
      <c r="AB41" s="12" t="s">
        <v>7501</v>
      </c>
      <c r="AC41" s="147"/>
      <c r="AD41" s="147" t="s">
        <v>122</v>
      </c>
      <c r="AE41" s="12" t="s">
        <v>123</v>
      </c>
      <c r="AF41" s="12" t="s">
        <v>78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7424</v>
      </c>
      <c r="AN41" s="12" t="s">
        <v>7502</v>
      </c>
      <c r="AO41" s="162" t="s">
        <v>161</v>
      </c>
      <c r="AP41" s="12" t="s">
        <v>7503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7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46128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>
      <c r="A42" s="82" t="s">
        <v>7547</v>
      </c>
      <c r="B42" s="12" t="s">
        <v>7423</v>
      </c>
      <c r="C42" s="82" t="str">
        <f>IFERROR(LEFT(ESS_DATA[[#This Row],[TCL REFERENCE]],FIND(".",ESS_DATA[[#This Row],[TCL REFERENCE]],1)-1),"Main Line")</f>
        <v>Main Line</v>
      </c>
      <c r="D42" s="82" t="s">
        <v>63</v>
      </c>
      <c r="E42" s="160" t="s">
        <v>64</v>
      </c>
      <c r="F42" s="160" t="s">
        <v>68</v>
      </c>
      <c r="G42" s="82" t="s">
        <v>66</v>
      </c>
      <c r="H42" s="12" t="s">
        <v>67</v>
      </c>
      <c r="I42" s="82"/>
      <c r="J42" s="82" t="s">
        <v>7548</v>
      </c>
      <c r="K42" s="82"/>
      <c r="L42" s="79"/>
      <c r="M42" s="213" t="s">
        <v>68</v>
      </c>
      <c r="N42" s="147" t="s">
        <v>7549</v>
      </c>
      <c r="O42" s="147" t="s">
        <v>7550</v>
      </c>
      <c r="P42" s="147" t="s">
        <v>7551</v>
      </c>
      <c r="Q42" s="170"/>
      <c r="R42" s="215">
        <v>10</v>
      </c>
      <c r="S42" s="260"/>
      <c r="T42" s="147"/>
      <c r="U42" s="359">
        <f>ESS_DATA[[#This Row],[QUANTITY]]*(0.04/360)</f>
        <v>1.1111111111111111E-3</v>
      </c>
      <c r="V42" s="706" t="s">
        <v>7463</v>
      </c>
      <c r="W42" s="147" t="s">
        <v>7464</v>
      </c>
      <c r="X42" s="147" t="str">
        <f t="shared" si="1"/>
        <v>COMPLETED</v>
      </c>
      <c r="Y42" s="711"/>
      <c r="Z42" s="14">
        <v>46063</v>
      </c>
      <c r="AA42" s="215">
        <f>WEEKNUM(ESS_DATA[[#This Row],[Pick-Up Date]])</f>
        <v>7</v>
      </c>
      <c r="AB42" s="12" t="s">
        <v>7501</v>
      </c>
      <c r="AC42" s="147"/>
      <c r="AD42" s="147" t="s">
        <v>122</v>
      </c>
      <c r="AE42" s="12" t="s">
        <v>123</v>
      </c>
      <c r="AF42" s="12" t="s">
        <v>78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7424</v>
      </c>
      <c r="AN42" s="12" t="s">
        <v>7502</v>
      </c>
      <c r="AO42" s="162" t="s">
        <v>161</v>
      </c>
      <c r="AP42" s="12" t="s">
        <v>7503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7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46128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>
      <c r="A43" s="82" t="s">
        <v>7552</v>
      </c>
      <c r="B43" s="12" t="s">
        <v>7423</v>
      </c>
      <c r="C43" s="82" t="str">
        <f>IFERROR(LEFT(ESS_DATA[[#This Row],[TCL REFERENCE]],FIND(".",ESS_DATA[[#This Row],[TCL REFERENCE]],1)-1),"Main Line")</f>
        <v>Main Line</v>
      </c>
      <c r="D43" s="82" t="s">
        <v>63</v>
      </c>
      <c r="E43" s="160" t="s">
        <v>64</v>
      </c>
      <c r="F43" s="160" t="s">
        <v>68</v>
      </c>
      <c r="G43" s="82" t="s">
        <v>66</v>
      </c>
      <c r="H43" s="12" t="s">
        <v>67</v>
      </c>
      <c r="I43" s="82"/>
      <c r="J43" s="82" t="s">
        <v>7514</v>
      </c>
      <c r="K43" s="82"/>
      <c r="L43" s="79"/>
      <c r="M43" s="213" t="s">
        <v>68</v>
      </c>
      <c r="N43" s="147" t="s">
        <v>7553</v>
      </c>
      <c r="O43" s="147" t="s">
        <v>7554</v>
      </c>
      <c r="P43" s="147" t="s">
        <v>7555</v>
      </c>
      <c r="Q43" s="170"/>
      <c r="R43" s="215">
        <v>40</v>
      </c>
      <c r="S43" s="260"/>
      <c r="T43" s="147"/>
      <c r="U43" s="359">
        <f>ESS_DATA[[#This Row],[QUANTITY]]*(0.04/360)</f>
        <v>4.4444444444444444E-3</v>
      </c>
      <c r="V43" s="706" t="s">
        <v>7463</v>
      </c>
      <c r="W43" s="147" t="s">
        <v>7464</v>
      </c>
      <c r="X43" s="147" t="str">
        <f t="shared" si="1"/>
        <v>COMPLETED</v>
      </c>
      <c r="Y43" s="711"/>
      <c r="Z43" s="14">
        <v>46063</v>
      </c>
      <c r="AA43" s="215">
        <f>WEEKNUM(ESS_DATA[[#This Row],[Pick-Up Date]])</f>
        <v>7</v>
      </c>
      <c r="AB43" s="12" t="s">
        <v>7501</v>
      </c>
      <c r="AC43" s="147"/>
      <c r="AD43" s="147" t="s">
        <v>122</v>
      </c>
      <c r="AE43" s="12" t="s">
        <v>123</v>
      </c>
      <c r="AF43" s="12" t="s">
        <v>78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7424</v>
      </c>
      <c r="AN43" s="12" t="s">
        <v>7502</v>
      </c>
      <c r="AO43" s="162" t="s">
        <v>161</v>
      </c>
      <c r="AP43" s="12" t="s">
        <v>7503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7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46128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>
      <c r="A44" s="82" t="s">
        <v>7556</v>
      </c>
      <c r="B44" s="12" t="s">
        <v>7423</v>
      </c>
      <c r="C44" s="82" t="str">
        <f>IFERROR(LEFT(ESS_DATA[[#This Row],[TCL REFERENCE]],FIND(".",ESS_DATA[[#This Row],[TCL REFERENCE]],1)-1),"Main Line")</f>
        <v>Main Line</v>
      </c>
      <c r="D44" s="82" t="s">
        <v>63</v>
      </c>
      <c r="E44" s="160" t="s">
        <v>64</v>
      </c>
      <c r="F44" s="160" t="s">
        <v>68</v>
      </c>
      <c r="G44" s="82" t="s">
        <v>66</v>
      </c>
      <c r="H44" s="12" t="s">
        <v>67</v>
      </c>
      <c r="I44" s="82"/>
      <c r="J44" s="82" t="s">
        <v>7518</v>
      </c>
      <c r="K44" s="82"/>
      <c r="L44" s="79"/>
      <c r="M44" s="213" t="s">
        <v>68</v>
      </c>
      <c r="N44" s="147" t="s">
        <v>7557</v>
      </c>
      <c r="O44" s="147" t="s">
        <v>7558</v>
      </c>
      <c r="P44" s="147" t="s">
        <v>7559</v>
      </c>
      <c r="Q44" s="170"/>
      <c r="R44" s="215">
        <v>10</v>
      </c>
      <c r="S44" s="260"/>
      <c r="T44" s="147"/>
      <c r="U44" s="359">
        <f>ESS_DATA[[#This Row],[QUANTITY]]*(0.04/360)</f>
        <v>1.1111111111111111E-3</v>
      </c>
      <c r="V44" s="706" t="s">
        <v>7463</v>
      </c>
      <c r="W44" s="147" t="s">
        <v>7464</v>
      </c>
      <c r="X44" s="147" t="str">
        <f t="shared" si="1"/>
        <v>COMPLETED</v>
      </c>
      <c r="Y44" s="711"/>
      <c r="Z44" s="14">
        <v>46063</v>
      </c>
      <c r="AA44" s="215">
        <f>WEEKNUM(ESS_DATA[[#This Row],[Pick-Up Date]])</f>
        <v>7</v>
      </c>
      <c r="AB44" s="12" t="s">
        <v>7501</v>
      </c>
      <c r="AC44" s="147"/>
      <c r="AD44" s="147" t="s">
        <v>122</v>
      </c>
      <c r="AE44" s="12" t="s">
        <v>123</v>
      </c>
      <c r="AF44" s="12" t="s">
        <v>78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7424</v>
      </c>
      <c r="AN44" s="12" t="s">
        <v>7502</v>
      </c>
      <c r="AO44" s="162" t="s">
        <v>161</v>
      </c>
      <c r="AP44" s="12" t="s">
        <v>7503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7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46128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>
      <c r="A45" s="82" t="s">
        <v>7560</v>
      </c>
      <c r="B45" s="12" t="s">
        <v>7423</v>
      </c>
      <c r="C45" s="82" t="str">
        <f>IFERROR(LEFT(ESS_DATA[[#This Row],[TCL REFERENCE]],FIND(".",ESS_DATA[[#This Row],[TCL REFERENCE]],1)-1),"Main Line")</f>
        <v>Main Line</v>
      </c>
      <c r="D45" s="82" t="s">
        <v>63</v>
      </c>
      <c r="E45" s="160" t="s">
        <v>64</v>
      </c>
      <c r="F45" s="160" t="s">
        <v>68</v>
      </c>
      <c r="G45" s="82" t="s">
        <v>66</v>
      </c>
      <c r="H45" s="12" t="s">
        <v>67</v>
      </c>
      <c r="I45" s="82"/>
      <c r="J45" s="82" t="s">
        <v>7561</v>
      </c>
      <c r="K45" s="82"/>
      <c r="L45" s="79"/>
      <c r="M45" s="213" t="s">
        <v>68</v>
      </c>
      <c r="N45" s="147" t="s">
        <v>7425</v>
      </c>
      <c r="O45" s="147" t="s">
        <v>7562</v>
      </c>
      <c r="P45" s="147" t="s">
        <v>7427</v>
      </c>
      <c r="Q45" s="170"/>
      <c r="R45" s="215">
        <v>10</v>
      </c>
      <c r="S45" s="260"/>
      <c r="T45" s="147"/>
      <c r="U45" s="359">
        <f>ESS_DATA[[#This Row],[QUANTITY]]*(0.04/360)</f>
        <v>1.1111111111111111E-3</v>
      </c>
      <c r="V45" s="706" t="s">
        <v>7463</v>
      </c>
      <c r="W45" s="147" t="s">
        <v>7464</v>
      </c>
      <c r="X45" s="147" t="str">
        <f t="shared" si="1"/>
        <v>COMPLETED</v>
      </c>
      <c r="Y45" s="711"/>
      <c r="Z45" s="14">
        <v>46063</v>
      </c>
      <c r="AA45" s="215">
        <f>WEEKNUM(ESS_DATA[[#This Row],[Pick-Up Date]])</f>
        <v>7</v>
      </c>
      <c r="AB45" s="12" t="s">
        <v>7501</v>
      </c>
      <c r="AC45" s="147"/>
      <c r="AD45" s="147" t="s">
        <v>122</v>
      </c>
      <c r="AE45" s="12" t="s">
        <v>123</v>
      </c>
      <c r="AF45" s="12" t="s">
        <v>78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7424</v>
      </c>
      <c r="AN45" s="12" t="s">
        <v>7502</v>
      </c>
      <c r="AO45" s="162" t="s">
        <v>161</v>
      </c>
      <c r="AP45" s="12" t="s">
        <v>7503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7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46128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>
      <c r="A46" s="82" t="s">
        <v>7563</v>
      </c>
      <c r="B46" s="12" t="s">
        <v>7423</v>
      </c>
      <c r="C46" s="82" t="str">
        <f>IFERROR(LEFT(ESS_DATA[[#This Row],[TCL REFERENCE]],FIND(".",ESS_DATA[[#This Row],[TCL REFERENCE]],1)-1),"Main Line")</f>
        <v>Main Line</v>
      </c>
      <c r="D46" s="82" t="s">
        <v>63</v>
      </c>
      <c r="E46" s="160" t="s">
        <v>64</v>
      </c>
      <c r="F46" s="160" t="s">
        <v>68</v>
      </c>
      <c r="G46" s="82" t="s">
        <v>66</v>
      </c>
      <c r="H46" s="12" t="s">
        <v>67</v>
      </c>
      <c r="I46" s="82"/>
      <c r="J46" s="82" t="s">
        <v>7564</v>
      </c>
      <c r="K46" s="82"/>
      <c r="L46" s="79"/>
      <c r="M46" s="213" t="s">
        <v>68</v>
      </c>
      <c r="N46" s="147" t="s">
        <v>7565</v>
      </c>
      <c r="O46" s="147" t="s">
        <v>7566</v>
      </c>
      <c r="P46" s="147" t="s">
        <v>7567</v>
      </c>
      <c r="Q46" s="170"/>
      <c r="R46" s="215">
        <v>10</v>
      </c>
      <c r="S46" s="260"/>
      <c r="T46" s="147"/>
      <c r="U46" s="359">
        <f>ESS_DATA[[#This Row],[QUANTITY]]*(0.04/360)</f>
        <v>1.1111111111111111E-3</v>
      </c>
      <c r="V46" s="706" t="s">
        <v>7463</v>
      </c>
      <c r="W46" s="147" t="s">
        <v>7464</v>
      </c>
      <c r="X46" s="147" t="str">
        <f t="shared" si="1"/>
        <v>COMPLETED</v>
      </c>
      <c r="Y46" s="711"/>
      <c r="Z46" s="14">
        <v>46063</v>
      </c>
      <c r="AA46" s="215">
        <f>WEEKNUM(ESS_DATA[[#This Row],[Pick-Up Date]])</f>
        <v>7</v>
      </c>
      <c r="AB46" s="12" t="s">
        <v>7501</v>
      </c>
      <c r="AC46" s="147"/>
      <c r="AD46" s="147" t="s">
        <v>122</v>
      </c>
      <c r="AE46" s="12" t="s">
        <v>123</v>
      </c>
      <c r="AF46" s="12" t="s">
        <v>78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7424</v>
      </c>
      <c r="AN46" s="12" t="s">
        <v>7502</v>
      </c>
      <c r="AO46" s="162" t="s">
        <v>161</v>
      </c>
      <c r="AP46" s="12" t="s">
        <v>7503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7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46128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>
      <c r="A47" s="82" t="s">
        <v>7568</v>
      </c>
      <c r="B47" s="12" t="s">
        <v>7423</v>
      </c>
      <c r="C47" s="82" t="str">
        <f>IFERROR(LEFT(ESS_DATA[[#This Row],[TCL REFERENCE]],FIND(".",ESS_DATA[[#This Row],[TCL REFERENCE]],1)-1),"Main Line")</f>
        <v>Main Line</v>
      </c>
      <c r="D47" s="82" t="s">
        <v>63</v>
      </c>
      <c r="E47" s="160" t="s">
        <v>64</v>
      </c>
      <c r="F47" s="160" t="s">
        <v>68</v>
      </c>
      <c r="G47" s="82" t="s">
        <v>66</v>
      </c>
      <c r="H47" s="12" t="s">
        <v>67</v>
      </c>
      <c r="I47" s="82"/>
      <c r="J47" s="82" t="s">
        <v>7569</v>
      </c>
      <c r="K47" s="82"/>
      <c r="L47" s="79"/>
      <c r="M47" s="213" t="s">
        <v>68</v>
      </c>
      <c r="N47" s="147" t="s">
        <v>7570</v>
      </c>
      <c r="O47" s="147" t="s">
        <v>7571</v>
      </c>
      <c r="P47" s="147" t="s">
        <v>7572</v>
      </c>
      <c r="Q47" s="170"/>
      <c r="R47" s="215">
        <v>40</v>
      </c>
      <c r="S47" s="260"/>
      <c r="T47" s="147"/>
      <c r="U47" s="359">
        <f>ESS_DATA[[#This Row],[QUANTITY]]*(0.04/360)</f>
        <v>4.4444444444444444E-3</v>
      </c>
      <c r="V47" s="706" t="s">
        <v>7463</v>
      </c>
      <c r="W47" s="147" t="s">
        <v>7464</v>
      </c>
      <c r="X47" s="147" t="str">
        <f t="shared" si="1"/>
        <v>COMPLETED</v>
      </c>
      <c r="Y47" s="711"/>
      <c r="Z47" s="14">
        <v>46063</v>
      </c>
      <c r="AA47" s="215">
        <f>WEEKNUM(ESS_DATA[[#This Row],[Pick-Up Date]])</f>
        <v>7</v>
      </c>
      <c r="AB47" s="12" t="s">
        <v>7501</v>
      </c>
      <c r="AC47" s="147"/>
      <c r="AD47" s="147" t="s">
        <v>122</v>
      </c>
      <c r="AE47" s="12" t="s">
        <v>123</v>
      </c>
      <c r="AF47" s="12" t="s">
        <v>78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7424</v>
      </c>
      <c r="AN47" s="12" t="s">
        <v>7502</v>
      </c>
      <c r="AO47" s="162" t="s">
        <v>161</v>
      </c>
      <c r="AP47" s="12" t="s">
        <v>7503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7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46128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>
      <c r="A48" s="82" t="s">
        <v>7573</v>
      </c>
      <c r="B48" s="12" t="s">
        <v>7423</v>
      </c>
      <c r="C48" s="82" t="str">
        <f>IFERROR(LEFT(ESS_DATA[[#This Row],[TCL REFERENCE]],FIND(".",ESS_DATA[[#This Row],[TCL REFERENCE]],1)-1),"Main Line")</f>
        <v>Main Line</v>
      </c>
      <c r="D48" s="82" t="s">
        <v>63</v>
      </c>
      <c r="E48" s="160" t="s">
        <v>64</v>
      </c>
      <c r="F48" s="160" t="s">
        <v>68</v>
      </c>
      <c r="G48" s="82" t="s">
        <v>66</v>
      </c>
      <c r="H48" s="12" t="s">
        <v>67</v>
      </c>
      <c r="I48" s="82"/>
      <c r="J48" s="82" t="s">
        <v>7574</v>
      </c>
      <c r="K48" s="82"/>
      <c r="L48" s="79"/>
      <c r="M48" s="213" t="s">
        <v>68</v>
      </c>
      <c r="N48" s="147" t="s">
        <v>7575</v>
      </c>
      <c r="O48" s="147" t="s">
        <v>7576</v>
      </c>
      <c r="P48" s="147" t="s">
        <v>7577</v>
      </c>
      <c r="Q48" s="170"/>
      <c r="R48" s="215">
        <v>10</v>
      </c>
      <c r="S48" s="260"/>
      <c r="T48" s="147"/>
      <c r="U48" s="359">
        <f>ESS_DATA[[#This Row],[QUANTITY]]*(0.04/360)</f>
        <v>1.1111111111111111E-3</v>
      </c>
      <c r="V48" s="706" t="s">
        <v>7463</v>
      </c>
      <c r="W48" s="147" t="s">
        <v>7464</v>
      </c>
      <c r="X48" s="147" t="str">
        <f t="shared" si="1"/>
        <v>COMPLETED</v>
      </c>
      <c r="Y48" s="711"/>
      <c r="Z48" s="14">
        <v>46063</v>
      </c>
      <c r="AA48" s="215">
        <f>WEEKNUM(ESS_DATA[[#This Row],[Pick-Up Date]])</f>
        <v>7</v>
      </c>
      <c r="AB48" s="12" t="s">
        <v>7501</v>
      </c>
      <c r="AC48" s="147"/>
      <c r="AD48" s="147" t="s">
        <v>122</v>
      </c>
      <c r="AE48" s="12" t="s">
        <v>123</v>
      </c>
      <c r="AF48" s="12" t="s">
        <v>78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7424</v>
      </c>
      <c r="AN48" s="12" t="s">
        <v>7502</v>
      </c>
      <c r="AO48" s="162" t="s">
        <v>161</v>
      </c>
      <c r="AP48" s="12" t="s">
        <v>7503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7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46128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>
      <c r="A49" s="82" t="s">
        <v>7578</v>
      </c>
      <c r="B49" s="12" t="s">
        <v>7423</v>
      </c>
      <c r="C49" s="82" t="str">
        <f>IFERROR(LEFT(ESS_DATA[[#This Row],[TCL REFERENCE]],FIND(".",ESS_DATA[[#This Row],[TCL REFERENCE]],1)-1),"Main Line")</f>
        <v>Main Line</v>
      </c>
      <c r="D49" s="82" t="s">
        <v>63</v>
      </c>
      <c r="E49" s="160" t="s">
        <v>64</v>
      </c>
      <c r="F49" s="160" t="s">
        <v>68</v>
      </c>
      <c r="G49" s="82" t="s">
        <v>66</v>
      </c>
      <c r="H49" s="12" t="s">
        <v>67</v>
      </c>
      <c r="I49" s="82"/>
      <c r="J49" s="82" t="s">
        <v>7579</v>
      </c>
      <c r="K49" s="82"/>
      <c r="L49" s="79"/>
      <c r="M49" s="213" t="s">
        <v>68</v>
      </c>
      <c r="N49" s="147" t="s">
        <v>7580</v>
      </c>
      <c r="O49" s="147" t="s">
        <v>7581</v>
      </c>
      <c r="P49" s="147" t="s">
        <v>7582</v>
      </c>
      <c r="Q49" s="170"/>
      <c r="R49" s="215">
        <v>40</v>
      </c>
      <c r="S49" s="260"/>
      <c r="T49" s="147"/>
      <c r="U49" s="359">
        <f>ESS_DATA[[#This Row],[QUANTITY]]*(0.04/360)</f>
        <v>4.4444444444444444E-3</v>
      </c>
      <c r="V49" s="706" t="s">
        <v>7463</v>
      </c>
      <c r="W49" s="147" t="s">
        <v>7464</v>
      </c>
      <c r="X49" s="147" t="str">
        <f t="shared" si="1"/>
        <v>COMPLETED</v>
      </c>
      <c r="Y49" s="711"/>
      <c r="Z49" s="14">
        <v>46063</v>
      </c>
      <c r="AA49" s="215">
        <f>WEEKNUM(ESS_DATA[[#This Row],[Pick-Up Date]])</f>
        <v>7</v>
      </c>
      <c r="AB49" s="12" t="s">
        <v>7501</v>
      </c>
      <c r="AC49" s="147"/>
      <c r="AD49" s="147" t="s">
        <v>122</v>
      </c>
      <c r="AE49" s="12" t="s">
        <v>123</v>
      </c>
      <c r="AF49" s="12" t="s">
        <v>78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7424</v>
      </c>
      <c r="AN49" s="12" t="s">
        <v>7502</v>
      </c>
      <c r="AO49" s="162" t="s">
        <v>161</v>
      </c>
      <c r="AP49" s="12" t="s">
        <v>7503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7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46128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7583</v>
      </c>
      <c r="B50" s="229" t="s">
        <v>7584</v>
      </c>
      <c r="C50" s="147" t="str">
        <f>IFERROR(LEFT(ESS_DATA[[#This Row],[TCL REFERENCE]],FIND(".",ESS_DATA[[#This Row],[TCL REFERENCE]],1)-1),"Main Line")</f>
        <v>Main Line</v>
      </c>
      <c r="D50" s="147" t="s">
        <v>63</v>
      </c>
      <c r="E50" s="147" t="s">
        <v>64</v>
      </c>
      <c r="F50" s="147" t="s">
        <v>100</v>
      </c>
      <c r="G50" s="308" t="s">
        <v>66</v>
      </c>
      <c r="H50" s="12" t="s">
        <v>67</v>
      </c>
      <c r="I50" s="147"/>
      <c r="J50" s="147" t="s">
        <v>7585</v>
      </c>
      <c r="K50" s="147"/>
      <c r="L50" s="117"/>
      <c r="M50" s="213" t="s">
        <v>840</v>
      </c>
      <c r="N50" s="147" t="s">
        <v>7586</v>
      </c>
      <c r="O50" s="147" t="s">
        <v>7587</v>
      </c>
      <c r="P50" s="147" t="s">
        <v>7588</v>
      </c>
      <c r="Q50" s="170"/>
      <c r="R50" s="215">
        <v>16</v>
      </c>
      <c r="S50" s="298"/>
      <c r="T50" s="147"/>
      <c r="U50" s="359">
        <v>1</v>
      </c>
      <c r="V50" s="707" t="s">
        <v>7463</v>
      </c>
      <c r="W50" s="147" t="s">
        <v>7464</v>
      </c>
      <c r="X50" s="147" t="str">
        <f t="shared" si="1"/>
        <v>COMPLETED</v>
      </c>
      <c r="Y50" s="711"/>
      <c r="Z50" s="278">
        <v>46085</v>
      </c>
      <c r="AA50" s="215">
        <f>WEEKNUM(ESS_DATA[[#This Row],[Pick-Up Date]])</f>
        <v>10</v>
      </c>
      <c r="AB50" s="252" t="s">
        <v>7589</v>
      </c>
      <c r="AC50" s="147"/>
      <c r="AD50" s="147" t="s">
        <v>7590</v>
      </c>
      <c r="AE50" s="147" t="s">
        <v>289</v>
      </c>
      <c r="AF50" s="147" t="s">
        <v>105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0" t="s">
        <v>7424</v>
      </c>
      <c r="AN50" s="278" t="s">
        <v>7591</v>
      </c>
      <c r="AO50" s="278" t="s">
        <v>161</v>
      </c>
      <c r="AP50" s="278" t="s">
        <v>7592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7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46132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7593</v>
      </c>
      <c r="B51" s="165" t="s">
        <v>7594</v>
      </c>
      <c r="C51" s="33" t="str">
        <f>IFERROR(LEFT(ESS_DATA[[#This Row],[TCL REFERENCE]],FIND(".",ESS_DATA[[#This Row],[TCL REFERENCE]],1)-1),"Main Line")</f>
        <v>26APR005</v>
      </c>
      <c r="D51" s="31" t="s">
        <v>63</v>
      </c>
      <c r="E51" s="31" t="s">
        <v>64</v>
      </c>
      <c r="F51" s="31" t="s">
        <v>65</v>
      </c>
      <c r="G51" s="31" t="s">
        <v>402</v>
      </c>
      <c r="H51" s="31" t="s">
        <v>67</v>
      </c>
      <c r="I51" s="31"/>
      <c r="J51" s="82" t="s">
        <v>7585</v>
      </c>
      <c r="K51" s="31"/>
      <c r="L51" s="268"/>
      <c r="M51" s="212" t="s">
        <v>68</v>
      </c>
      <c r="N51" s="31" t="s">
        <v>7425</v>
      </c>
      <c r="O51" s="82" t="s">
        <v>7595</v>
      </c>
      <c r="P51" s="31" t="s">
        <v>7427</v>
      </c>
      <c r="Q51" s="31"/>
      <c r="R51" s="163">
        <v>72</v>
      </c>
      <c r="S51" s="269"/>
      <c r="T51" s="31"/>
      <c r="U51" s="270">
        <v>7.0000000000000007E-2</v>
      </c>
      <c r="V51" s="367" t="s">
        <v>7596</v>
      </c>
      <c r="W51" s="191" t="s">
        <v>7597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7598</v>
      </c>
      <c r="AC51" s="31"/>
      <c r="AD51" s="160" t="s">
        <v>122</v>
      </c>
      <c r="AE51" s="31" t="s">
        <v>123</v>
      </c>
      <c r="AF51" s="31" t="s">
        <v>7599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66</v>
      </c>
      <c r="AN51" s="30"/>
      <c r="AO51" s="162" t="s">
        <v>161</v>
      </c>
      <c r="AP51" s="30" t="s">
        <v>7600</v>
      </c>
      <c r="AQ51" s="31" t="s">
        <v>7601</v>
      </c>
      <c r="AR51" s="31"/>
      <c r="AS51" s="31">
        <f>ESS_DATA[[#This Row],[ETA On S/O]]-ESS_DATA[[#This Row],[ETD On S/O]]+1</f>
        <v>3</v>
      </c>
      <c r="AT51" s="31"/>
      <c r="AU51" s="347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46150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7602</v>
      </c>
      <c r="B52" s="31" t="s">
        <v>7584</v>
      </c>
      <c r="C52" s="31" t="str">
        <f>IFERROR(LEFT(ESS_DATA[[#This Row],[TCL REFERENCE]],FIND(".",ESS_DATA[[#This Row],[TCL REFERENCE]],1)-1),"Main Line")</f>
        <v>Main Line</v>
      </c>
      <c r="D52" s="31" t="s">
        <v>63</v>
      </c>
      <c r="E52" s="31" t="s">
        <v>64</v>
      </c>
      <c r="F52" s="31" t="s">
        <v>100</v>
      </c>
      <c r="G52" s="31" t="s">
        <v>402</v>
      </c>
      <c r="H52" s="31" t="s">
        <v>67</v>
      </c>
      <c r="I52" s="31"/>
      <c r="J52" s="82" t="s">
        <v>7585</v>
      </c>
      <c r="K52" s="31"/>
      <c r="L52" s="268"/>
      <c r="M52" s="212" t="s">
        <v>68</v>
      </c>
      <c r="N52" s="82" t="s">
        <v>7586</v>
      </c>
      <c r="O52" s="82" t="s">
        <v>7587</v>
      </c>
      <c r="P52" s="82" t="s">
        <v>7588</v>
      </c>
      <c r="Q52" s="160"/>
      <c r="R52" s="163">
        <v>16</v>
      </c>
      <c r="S52" s="260"/>
      <c r="T52" s="82"/>
      <c r="U52" s="299">
        <v>1</v>
      </c>
      <c r="V52" s="366" t="s">
        <v>7463</v>
      </c>
      <c r="W52" s="31" t="s">
        <v>7603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7604</v>
      </c>
      <c r="AC52" s="31"/>
      <c r="AD52" s="31" t="s">
        <v>7590</v>
      </c>
      <c r="AE52" s="31" t="s">
        <v>289</v>
      </c>
      <c r="AF52" s="31" t="s">
        <v>105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402</v>
      </c>
      <c r="AN52" s="30" t="s">
        <v>7605</v>
      </c>
      <c r="AO52" s="162" t="s">
        <v>161</v>
      </c>
      <c r="AP52" s="30" t="s">
        <v>7606</v>
      </c>
      <c r="AQ52" s="31" t="s">
        <v>7607</v>
      </c>
      <c r="AR52" s="31">
        <v>293959234</v>
      </c>
      <c r="AS52" s="31">
        <f>ESS_DATA[[#This Row],[ETA On S/O]]-ESS_DATA[[#This Row],[ETD On S/O]]+1</f>
        <v>35</v>
      </c>
      <c r="AT52" s="31"/>
      <c r="AU52" s="347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46196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7608</v>
      </c>
      <c r="B53" s="31" t="s">
        <v>7584</v>
      </c>
      <c r="C53" s="31" t="str">
        <f>IFERROR(LEFT(ESS_DATA[[#This Row],[TCL REFERENCE]],FIND(".",ESS_DATA[[#This Row],[TCL REFERENCE]],1)-1),"Main Line")</f>
        <v>Main Line</v>
      </c>
      <c r="D53" s="31" t="s">
        <v>63</v>
      </c>
      <c r="E53" s="31" t="s">
        <v>64</v>
      </c>
      <c r="F53" s="31" t="s">
        <v>100</v>
      </c>
      <c r="G53" s="31" t="s">
        <v>402</v>
      </c>
      <c r="H53" s="31" t="s">
        <v>67</v>
      </c>
      <c r="I53" s="31"/>
      <c r="J53" s="82" t="s">
        <v>7585</v>
      </c>
      <c r="K53" s="31"/>
      <c r="L53" s="268"/>
      <c r="M53" s="212" t="s">
        <v>68</v>
      </c>
      <c r="N53" s="82" t="s">
        <v>7586</v>
      </c>
      <c r="O53" s="82" t="s">
        <v>7587</v>
      </c>
      <c r="P53" s="82" t="s">
        <v>7588</v>
      </c>
      <c r="Q53" s="165"/>
      <c r="R53" s="163">
        <v>16</v>
      </c>
      <c r="S53" s="260"/>
      <c r="T53" s="82"/>
      <c r="U53" s="299">
        <v>1</v>
      </c>
      <c r="V53" s="366" t="s">
        <v>7463</v>
      </c>
      <c r="W53" s="31" t="s">
        <v>7609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685" t="s">
        <v>7610</v>
      </c>
      <c r="AC53" s="31"/>
      <c r="AD53" s="31" t="s">
        <v>7590</v>
      </c>
      <c r="AE53" s="31" t="s">
        <v>289</v>
      </c>
      <c r="AF53" s="31" t="s">
        <v>105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402</v>
      </c>
      <c r="AN53" s="30" t="s">
        <v>7611</v>
      </c>
      <c r="AO53" s="162" t="s">
        <v>161</v>
      </c>
      <c r="AP53" s="30" t="s">
        <v>7612</v>
      </c>
      <c r="AQ53" s="31" t="s">
        <v>7613</v>
      </c>
      <c r="AR53" s="31" t="s">
        <v>7613</v>
      </c>
      <c r="AS53" s="31">
        <f>ESS_DATA[[#This Row],[ETA On S/O]]-ESS_DATA[[#This Row],[ETD On S/O]]+1</f>
        <v>26</v>
      </c>
      <c r="AT53" s="31"/>
      <c r="AU53" s="347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10">
      <c r="A54" s="985" t="s">
        <v>7614</v>
      </c>
      <c r="B54" s="986" t="s">
        <v>7615</v>
      </c>
      <c r="C54" s="986" t="str">
        <f>IFERROR(LEFT(ESS_DATA[[#This Row],[TCL REFERENCE]],FIND(".",ESS_DATA[[#This Row],[TCL REFERENCE]],1)-1),"Main Line")</f>
        <v>Main Line</v>
      </c>
      <c r="D54" s="986"/>
      <c r="E54" s="986" t="s">
        <v>68</v>
      </c>
      <c r="F54" s="986" t="s">
        <v>68</v>
      </c>
      <c r="G54" s="986"/>
      <c r="H54" s="41"/>
      <c r="I54" s="986"/>
      <c r="J54" s="178" t="s">
        <v>7616</v>
      </c>
      <c r="K54" s="986"/>
      <c r="L54" s="535"/>
      <c r="M54" s="225"/>
      <c r="N54" s="986" t="s">
        <v>7617</v>
      </c>
      <c r="O54" s="178" t="s">
        <v>7438</v>
      </c>
      <c r="P54" s="986" t="s">
        <v>7618</v>
      </c>
      <c r="Q54" s="986"/>
      <c r="R54" s="490">
        <v>93</v>
      </c>
      <c r="S54" s="987"/>
      <c r="T54" s="986"/>
      <c r="U54" s="988">
        <f>1/192*R54</f>
        <v>0.484375</v>
      </c>
      <c r="V54" s="989" t="s">
        <v>7463</v>
      </c>
      <c r="W54" s="986" t="s">
        <v>68</v>
      </c>
      <c r="X54" s="986" t="str">
        <f t="shared" si="1"/>
        <v>COMPLETED</v>
      </c>
      <c r="Y54" s="990"/>
      <c r="Z54" s="991">
        <v>46174</v>
      </c>
      <c r="AA54" s="992">
        <f>WEEKNUM(ESS_DATA[[#This Row],[Pick-Up Date]])</f>
        <v>23</v>
      </c>
      <c r="AB54" s="986" t="s">
        <v>7619</v>
      </c>
      <c r="AC54" s="986"/>
      <c r="AD54" s="986" t="s">
        <v>122</v>
      </c>
      <c r="AE54" s="986" t="s">
        <v>123</v>
      </c>
      <c r="AF54" s="986" t="s">
        <v>946</v>
      </c>
      <c r="AG54" s="991">
        <v>46179</v>
      </c>
      <c r="AH54" s="991">
        <v>46186</v>
      </c>
      <c r="AI54" s="991">
        <v>46185</v>
      </c>
      <c r="AJ54" s="991">
        <v>46186</v>
      </c>
      <c r="AK54" s="991">
        <v>46194</v>
      </c>
      <c r="AL54" s="991">
        <v>46195</v>
      </c>
      <c r="AM54" s="529" t="s">
        <v>402</v>
      </c>
      <c r="AN54" s="991" t="s">
        <v>7620</v>
      </c>
      <c r="AO54" s="991" t="s">
        <v>161</v>
      </c>
      <c r="AP54" s="991" t="s">
        <v>7621</v>
      </c>
      <c r="AQ54" s="986">
        <v>802143373</v>
      </c>
      <c r="AR54" s="986">
        <v>802143373</v>
      </c>
      <c r="AS54" s="986">
        <f>ESS_DATA[[#This Row],[ETA On S/O]]-ESS_DATA[[#This Row],[ETD On S/O]]+1</f>
        <v>8</v>
      </c>
      <c r="AT54" s="986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10">
      <c r="A55" s="985" t="s">
        <v>7622</v>
      </c>
      <c r="B55" s="986" t="s">
        <v>7615</v>
      </c>
      <c r="C55" s="986" t="str">
        <f>IFERROR(LEFT(ESS_DATA[[#This Row],[TCL REFERENCE]],FIND(".",ESS_DATA[[#This Row],[TCL REFERENCE]],1)-1),"Main Line")</f>
        <v>26FEB002</v>
      </c>
      <c r="D55" s="986"/>
      <c r="E55" s="986" t="s">
        <v>68</v>
      </c>
      <c r="F55" s="986" t="s">
        <v>68</v>
      </c>
      <c r="G55" s="986"/>
      <c r="H55" s="41"/>
      <c r="I55" s="986"/>
      <c r="J55" s="178" t="s">
        <v>7616</v>
      </c>
      <c r="K55" s="986"/>
      <c r="L55" s="535"/>
      <c r="M55" s="225"/>
      <c r="N55" s="986" t="s">
        <v>7617</v>
      </c>
      <c r="O55" s="178" t="s">
        <v>7438</v>
      </c>
      <c r="P55" s="41" t="s">
        <v>7618</v>
      </c>
      <c r="Q55" s="41"/>
      <c r="R55" s="490">
        <v>3</v>
      </c>
      <c r="S55" s="987"/>
      <c r="T55" s="986"/>
      <c r="U55" s="988">
        <f>1/192*R55</f>
        <v>1.5625E-2</v>
      </c>
      <c r="V55" s="989" t="s">
        <v>7463</v>
      </c>
      <c r="W55" s="986" t="s">
        <v>68</v>
      </c>
      <c r="X55" s="986" t="str">
        <f t="shared" si="1"/>
        <v>COMPLETED</v>
      </c>
      <c r="Y55" s="990"/>
      <c r="Z55" s="991">
        <v>46174</v>
      </c>
      <c r="AA55" s="992">
        <f>WEEKNUM(ESS_DATA[[#This Row],[Pick-Up Date]])</f>
        <v>23</v>
      </c>
      <c r="AB55" s="986" t="s">
        <v>7619</v>
      </c>
      <c r="AC55" s="986"/>
      <c r="AD55" s="986" t="s">
        <v>122</v>
      </c>
      <c r="AE55" s="986" t="s">
        <v>123</v>
      </c>
      <c r="AF55" s="986" t="s">
        <v>946</v>
      </c>
      <c r="AG55" s="991">
        <v>46179</v>
      </c>
      <c r="AH55" s="991">
        <v>46186</v>
      </c>
      <c r="AI55" s="991">
        <v>46185</v>
      </c>
      <c r="AJ55" s="991">
        <v>46186</v>
      </c>
      <c r="AK55" s="991">
        <v>46194</v>
      </c>
      <c r="AL55" s="991">
        <v>46195</v>
      </c>
      <c r="AM55" s="529" t="s">
        <v>402</v>
      </c>
      <c r="AN55" s="991" t="s">
        <v>7620</v>
      </c>
      <c r="AO55" s="991" t="s">
        <v>161</v>
      </c>
      <c r="AP55" s="991" t="s">
        <v>7621</v>
      </c>
      <c r="AQ55" s="986">
        <v>802143373</v>
      </c>
      <c r="AR55" s="986">
        <v>802143373</v>
      </c>
      <c r="AS55" s="986">
        <f>ESS_DATA[[#This Row],[ETA On S/O]]-ESS_DATA[[#This Row],[ETD On S/O]]+1</f>
        <v>8</v>
      </c>
      <c r="AT55" s="986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10">
      <c r="A56" s="985" t="s">
        <v>7623</v>
      </c>
      <c r="B56" s="986" t="s">
        <v>7615</v>
      </c>
      <c r="C56" s="986" t="str">
        <f>IFERROR(LEFT(ESS_DATA[[#This Row],[TCL REFERENCE]],FIND(".",ESS_DATA[[#This Row],[TCL REFERENCE]],1)-1),"Main Line")</f>
        <v>Main Line</v>
      </c>
      <c r="D56" s="986"/>
      <c r="E56" s="986" t="s">
        <v>68</v>
      </c>
      <c r="F56" s="986" t="s">
        <v>68</v>
      </c>
      <c r="G56" s="986"/>
      <c r="H56" s="41"/>
      <c r="I56" s="986"/>
      <c r="J56" s="178" t="s">
        <v>7616</v>
      </c>
      <c r="K56" s="986"/>
      <c r="L56" s="535"/>
      <c r="M56" s="225"/>
      <c r="N56" s="986" t="s">
        <v>7624</v>
      </c>
      <c r="O56" s="986" t="s">
        <v>7461</v>
      </c>
      <c r="P56" s="178" t="s">
        <v>7625</v>
      </c>
      <c r="Q56" s="993"/>
      <c r="R56" s="994">
        <v>93</v>
      </c>
      <c r="S56" s="987"/>
      <c r="T56" s="986"/>
      <c r="U56" s="988">
        <f>1/192*R56</f>
        <v>0.484375</v>
      </c>
      <c r="V56" s="989" t="s">
        <v>7463</v>
      </c>
      <c r="W56" s="986" t="s">
        <v>68</v>
      </c>
      <c r="X56" s="986" t="str">
        <f t="shared" si="1"/>
        <v>COMPLETED</v>
      </c>
      <c r="Y56" s="990"/>
      <c r="Z56" s="991">
        <v>46174</v>
      </c>
      <c r="AA56" s="992">
        <f>WEEKNUM(ESS_DATA[[#This Row],[Pick-Up Date]])</f>
        <v>23</v>
      </c>
      <c r="AB56" s="986" t="s">
        <v>7619</v>
      </c>
      <c r="AC56" s="986"/>
      <c r="AD56" s="986" t="s">
        <v>122</v>
      </c>
      <c r="AE56" s="986" t="s">
        <v>123</v>
      </c>
      <c r="AF56" s="986" t="s">
        <v>946</v>
      </c>
      <c r="AG56" s="991">
        <v>46179</v>
      </c>
      <c r="AH56" s="991">
        <v>46186</v>
      </c>
      <c r="AI56" s="991">
        <v>46185</v>
      </c>
      <c r="AJ56" s="991">
        <v>46186</v>
      </c>
      <c r="AK56" s="991">
        <v>46194</v>
      </c>
      <c r="AL56" s="991">
        <v>46195</v>
      </c>
      <c r="AM56" s="529" t="s">
        <v>402</v>
      </c>
      <c r="AN56" s="991" t="s">
        <v>7620</v>
      </c>
      <c r="AO56" s="991" t="s">
        <v>161</v>
      </c>
      <c r="AP56" s="991" t="s">
        <v>7621</v>
      </c>
      <c r="AQ56" s="986">
        <v>802143373</v>
      </c>
      <c r="AR56" s="986">
        <v>802143373</v>
      </c>
      <c r="AS56" s="986">
        <f>ESS_DATA[[#This Row],[ETA On S/O]]-ESS_DATA[[#This Row],[ETD On S/O]]+1</f>
        <v>8</v>
      </c>
      <c r="AT56" s="986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10">
      <c r="A57" s="172" t="s">
        <v>7626</v>
      </c>
      <c r="B57" s="986" t="s">
        <v>7615</v>
      </c>
      <c r="C57" s="41" t="str">
        <f>IFERROR(LEFT(ESS_DATA[[#This Row],[TCL REFERENCE]],FIND(".",ESS_DATA[[#This Row],[TCL REFERENCE]],1)-1),"Main Line")</f>
        <v>26FEB003</v>
      </c>
      <c r="D57" s="41"/>
      <c r="E57" s="986" t="s">
        <v>68</v>
      </c>
      <c r="F57" s="986" t="s">
        <v>68</v>
      </c>
      <c r="G57" s="41"/>
      <c r="H57" s="41"/>
      <c r="I57" s="41"/>
      <c r="J57" s="178" t="s">
        <v>7616</v>
      </c>
      <c r="K57" s="41"/>
      <c r="L57" s="535"/>
      <c r="M57" s="225"/>
      <c r="N57" s="41" t="s">
        <v>7624</v>
      </c>
      <c r="O57" s="178" t="s">
        <v>7461</v>
      </c>
      <c r="P57" s="219" t="s">
        <v>7625</v>
      </c>
      <c r="Q57" s="219"/>
      <c r="R57" s="490">
        <v>3</v>
      </c>
      <c r="S57" s="495"/>
      <c r="T57" s="41"/>
      <c r="U57" s="491">
        <f>1/192*R57</f>
        <v>1.5625E-2</v>
      </c>
      <c r="V57" s="989" t="s">
        <v>7463</v>
      </c>
      <c r="W57" s="41" t="s">
        <v>68</v>
      </c>
      <c r="X57" s="41" t="str">
        <f t="shared" si="1"/>
        <v>COMPLETED</v>
      </c>
      <c r="Y57" s="173"/>
      <c r="Z57" s="991">
        <v>46174</v>
      </c>
      <c r="AA57" s="492">
        <f>WEEKNUM(ESS_DATA[[#This Row],[Pick-Up Date]])</f>
        <v>23</v>
      </c>
      <c r="AB57" s="41" t="s">
        <v>7619</v>
      </c>
      <c r="AC57" s="41"/>
      <c r="AD57" s="41" t="s">
        <v>122</v>
      </c>
      <c r="AE57" s="41" t="s">
        <v>123</v>
      </c>
      <c r="AF57" s="986" t="s">
        <v>946</v>
      </c>
      <c r="AG57" s="991">
        <v>46179</v>
      </c>
      <c r="AH57" s="991">
        <v>46186</v>
      </c>
      <c r="AI57" s="991">
        <v>46185</v>
      </c>
      <c r="AJ57" s="991">
        <v>46186</v>
      </c>
      <c r="AK57" s="991">
        <v>46194</v>
      </c>
      <c r="AL57" s="991">
        <v>46195</v>
      </c>
      <c r="AM57" s="995" t="s">
        <v>402</v>
      </c>
      <c r="AN57" s="991" t="s">
        <v>7620</v>
      </c>
      <c r="AO57" s="991" t="s">
        <v>161</v>
      </c>
      <c r="AP57" s="991" t="s">
        <v>7621</v>
      </c>
      <c r="AQ57" s="986">
        <v>802143373</v>
      </c>
      <c r="AR57" s="986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52" customFormat="1" ht="12.75" customHeight="1">
      <c r="A58" s="741" t="s">
        <v>7627</v>
      </c>
      <c r="B58" s="547" t="s">
        <v>7584</v>
      </c>
      <c r="C58" s="548" t="str">
        <f>IFERROR(LEFT(ESS_DATA[[#This Row],[TCL REFERENCE]],FIND(".",ESS_DATA[[#This Row],[TCL REFERENCE]],1)-1),"Main Line")</f>
        <v>Main Line</v>
      </c>
      <c r="D58" s="546"/>
      <c r="E58" s="549" t="s">
        <v>68</v>
      </c>
      <c r="F58" s="549" t="s">
        <v>68</v>
      </c>
      <c r="G58" s="546" t="s">
        <v>402</v>
      </c>
      <c r="H58" s="548" t="s">
        <v>7628</v>
      </c>
      <c r="I58" s="546"/>
      <c r="J58" s="546" t="s">
        <v>949</v>
      </c>
      <c r="K58" s="546"/>
      <c r="L58" s="550"/>
      <c r="M58" s="551"/>
      <c r="N58" s="741" t="s">
        <v>7629</v>
      </c>
      <c r="O58" s="741" t="s">
        <v>7587</v>
      </c>
      <c r="P58" s="741" t="s">
        <v>7588</v>
      </c>
      <c r="Q58" s="754"/>
      <c r="R58" s="742">
        <v>8</v>
      </c>
      <c r="S58" s="553"/>
      <c r="T58" s="546"/>
      <c r="U58" s="755">
        <v>1</v>
      </c>
      <c r="V58" s="756" t="s">
        <v>7493</v>
      </c>
      <c r="W58" s="741" t="s">
        <v>7630</v>
      </c>
      <c r="X58" s="555" t="str">
        <f t="shared" si="1"/>
        <v>COMPLETED</v>
      </c>
      <c r="Y58" s="757"/>
      <c r="Z58" s="740">
        <v>46108</v>
      </c>
      <c r="AA58" s="742">
        <f>WEEKNUM(ESS_DATA[[#This Row],[Pick-Up Date]])</f>
        <v>13</v>
      </c>
      <c r="AB58" s="746" t="s">
        <v>7598</v>
      </c>
      <c r="AC58" s="546"/>
      <c r="AD58" s="741" t="s">
        <v>7631</v>
      </c>
      <c r="AE58" s="741" t="s">
        <v>289</v>
      </c>
      <c r="AF58" s="741" t="s">
        <v>946</v>
      </c>
      <c r="AG58" s="740">
        <v>46112</v>
      </c>
      <c r="AH58" s="740">
        <v>46119</v>
      </c>
      <c r="AI58" s="740">
        <v>46121</v>
      </c>
      <c r="AJ58" s="740">
        <v>46117</v>
      </c>
      <c r="AK58" s="740">
        <v>46123</v>
      </c>
      <c r="AL58" s="740">
        <v>46127</v>
      </c>
      <c r="AM58" s="740" t="s">
        <v>402</v>
      </c>
      <c r="AN58" s="740" t="s">
        <v>7632</v>
      </c>
      <c r="AO58" s="740" t="s">
        <v>161</v>
      </c>
      <c r="AP58" s="740" t="s">
        <v>7633</v>
      </c>
      <c r="AQ58" s="741" t="s">
        <v>7634</v>
      </c>
      <c r="AR58" s="741" t="s">
        <v>7634</v>
      </c>
      <c r="AS58" s="741">
        <f>ESS_DATA[[#This Row],[ETA On S/O]]-ESS_DATA[[#This Row],[ETD On S/O]]+1</f>
        <v>6</v>
      </c>
      <c r="AT58" s="741"/>
      <c r="AU58" s="750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46150</v>
      </c>
      <c r="AX58" s="739">
        <f>IF(ESS_DATA[[#This Row],[New Ark PO Type]]="Offshore",0,IFERROR(VLOOKUP(ESS_DATA[[#This Row],[PORT OF LOADING]]&amp;ESS_DATA[[#This Row],[PORT DESTINATION]],LT_REF[],7,0),14))</f>
        <v>14</v>
      </c>
      <c r="AY58" s="750">
        <f>IFERROR(ESS_DATA[[#This Row],[ODP ETA Port]]+ESS_DATA[[#This Row],[Customs/Leg3 Assumption]],"n/a")</f>
        <v>46141</v>
      </c>
      <c r="AZ58" s="741">
        <f>YEAR(ESS_DATA[[#This Row],[ETA for New Ark update]])</f>
        <v>2026</v>
      </c>
      <c r="BA58" s="741">
        <f>MONTH(ESS_DATA[[#This Row],[ETA for New Ark update]])</f>
        <v>4</v>
      </c>
      <c r="BB58" s="741">
        <f>IFERROR(_xlfn.ISOWEEKNUM(ESS_DATA[[#This Row],[ETA for New Ark update]]),0)</f>
        <v>18</v>
      </c>
      <c r="BC58" s="741" t="str">
        <f>_xlfn.XLOOKUP(ESS_DATA[[#This Row],[PORT DESTINATION]],Table12[PORT DESTINATION],Table12[Cosco Line],,0)</f>
        <v>n/a</v>
      </c>
      <c r="BD58" s="741"/>
    </row>
    <row r="59" spans="1:56" s="559" customFormat="1" ht="10">
      <c r="A59" s="560" t="s">
        <v>7635</v>
      </c>
      <c r="B59" s="546" t="s">
        <v>7594</v>
      </c>
      <c r="C59" s="560" t="str">
        <f>IFERROR(LEFT(ESS_DATA[[#This Row],[TCL REFERENCE]],FIND(".",ESS_DATA[[#This Row],[TCL REFERENCE]],1)-1),"Main Line")</f>
        <v>26APR001</v>
      </c>
      <c r="D59" s="548" t="s">
        <v>63</v>
      </c>
      <c r="E59" s="548" t="s">
        <v>64</v>
      </c>
      <c r="F59" s="548" t="s">
        <v>100</v>
      </c>
      <c r="G59" s="548" t="s">
        <v>402</v>
      </c>
      <c r="H59" s="548" t="s">
        <v>67</v>
      </c>
      <c r="I59" s="548"/>
      <c r="J59" s="548" t="s">
        <v>7636</v>
      </c>
      <c r="K59" s="548"/>
      <c r="L59" s="561"/>
      <c r="M59" s="551" t="s">
        <v>68</v>
      </c>
      <c r="N59" s="548" t="s">
        <v>7437</v>
      </c>
      <c r="O59" s="546" t="s">
        <v>7438</v>
      </c>
      <c r="P59" s="548" t="s">
        <v>7439</v>
      </c>
      <c r="Q59" s="548"/>
      <c r="R59" s="552">
        <v>114</v>
      </c>
      <c r="S59" s="562"/>
      <c r="T59" s="548"/>
      <c r="U59" s="563">
        <f>ESS_DATA[[#This Row],[QUANTITY]]/224</f>
        <v>0.5089285714285714</v>
      </c>
      <c r="V59" s="564" t="s">
        <v>7463</v>
      </c>
      <c r="W59" s="565" t="s">
        <v>7609</v>
      </c>
      <c r="X59" s="559" t="str">
        <f t="shared" si="1"/>
        <v>COMPLETED</v>
      </c>
      <c r="Y59" s="566"/>
      <c r="Z59" s="567">
        <v>46152</v>
      </c>
      <c r="AA59" s="568">
        <f>WEEKNUM(ESS_DATA[[#This Row],[Pick-Up Date]])</f>
        <v>20</v>
      </c>
      <c r="AB59" s="569" t="s">
        <v>7637</v>
      </c>
      <c r="AC59" s="560"/>
      <c r="AD59" s="546" t="s">
        <v>122</v>
      </c>
      <c r="AE59" s="548" t="s">
        <v>123</v>
      </c>
      <c r="AF59" s="548" t="s">
        <v>105</v>
      </c>
      <c r="AG59" s="558">
        <v>46158</v>
      </c>
      <c r="AH59" s="558">
        <v>46158</v>
      </c>
      <c r="AI59" s="558">
        <v>46158</v>
      </c>
      <c r="AJ59" s="558">
        <v>46200</v>
      </c>
      <c r="AK59" s="558">
        <v>46202</v>
      </c>
      <c r="AL59" s="558">
        <v>46201</v>
      </c>
      <c r="AM59" s="556" t="s">
        <v>402</v>
      </c>
      <c r="AN59" s="558" t="s">
        <v>7638</v>
      </c>
      <c r="AO59" s="558" t="s">
        <v>161</v>
      </c>
      <c r="AP59" s="558" t="s">
        <v>7639</v>
      </c>
      <c r="AQ59" s="548" t="s">
        <v>7640</v>
      </c>
      <c r="AR59" s="548" t="s">
        <v>7641</v>
      </c>
      <c r="AS59" s="548">
        <f>ESS_DATA[[#This Row],[ETA On S/O]]-ESS_DATA[[#This Row],[ETD On S/O]]+1</f>
        <v>43</v>
      </c>
      <c r="AT59" s="548"/>
      <c r="AU59" s="558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46216</v>
      </c>
      <c r="AX59" s="548">
        <f>IF(ESS_DATA[[#This Row],[New Ark PO Type]]="Offshore",0,IFERROR(VLOOKUP(ESS_DATA[[#This Row],[PORT OF LOADING]]&amp;ESS_DATA[[#This Row],[PORT DESTINATION]],LT_REF[],7,0),14))</f>
        <v>7</v>
      </c>
      <c r="AY59" s="558">
        <f>IFERROR(ESS_DATA[[#This Row],[ODP ETA Port]]+ESS_DATA[[#This Row],[Customs/Leg3 Assumption]],"n/a")</f>
        <v>46208</v>
      </c>
      <c r="AZ59" s="546">
        <f>YEAR(ESS_DATA[[#This Row],[ETA for New Ark update]])</f>
        <v>2026</v>
      </c>
      <c r="BA59" s="546">
        <f>MONTH(ESS_DATA[[#This Row],[ETA for New Ark update]])</f>
        <v>7</v>
      </c>
      <c r="BB59" s="546">
        <f>IFERROR(_xlfn.ISOWEEKNUM(ESS_DATA[[#This Row],[ETA for New Ark update]]),0)</f>
        <v>27</v>
      </c>
      <c r="BC59" s="546" t="str">
        <f>_xlfn.XLOOKUP(ESS_DATA[[#This Row],[PORT DESTINATION]],Table12[PORT DESTINATION],Table12[Cosco Line],,0)</f>
        <v>AEU</v>
      </c>
      <c r="BD59" s="546"/>
    </row>
    <row r="60" spans="1:56" s="559" customFormat="1" ht="10">
      <c r="A60" s="549" t="s">
        <v>7642</v>
      </c>
      <c r="B60" s="546" t="s">
        <v>7594</v>
      </c>
      <c r="C60" s="555" t="str">
        <f>IFERROR(LEFT(ESS_DATA[[#This Row],[TCL REFERENCE]],FIND(".",ESS_DATA[[#This Row],[TCL REFERENCE]],1)-1),"Main Line")</f>
        <v>Main Line</v>
      </c>
      <c r="D60" s="546" t="s">
        <v>63</v>
      </c>
      <c r="E60" s="546" t="s">
        <v>64</v>
      </c>
      <c r="F60" s="546" t="s">
        <v>100</v>
      </c>
      <c r="G60" s="546" t="s">
        <v>402</v>
      </c>
      <c r="H60" s="548" t="s">
        <v>67</v>
      </c>
      <c r="I60" s="546"/>
      <c r="J60" s="548" t="s">
        <v>7636</v>
      </c>
      <c r="K60" s="546"/>
      <c r="L60" s="550"/>
      <c r="M60" s="551" t="s">
        <v>68</v>
      </c>
      <c r="N60" s="570" t="s">
        <v>7443</v>
      </c>
      <c r="O60" s="546" t="s">
        <v>7438</v>
      </c>
      <c r="P60" s="546" t="s">
        <v>7444</v>
      </c>
      <c r="Q60" s="549">
        <v>8000</v>
      </c>
      <c r="R60" s="552">
        <v>2</v>
      </c>
      <c r="S60" s="553"/>
      <c r="T60" s="546"/>
      <c r="U60" s="563">
        <f>ESS_DATA[[#This Row],[QUANTITY]]/224</f>
        <v>8.9285714285714281E-3</v>
      </c>
      <c r="V60" s="564" t="s">
        <v>7463</v>
      </c>
      <c r="W60" s="546" t="s">
        <v>7609</v>
      </c>
      <c r="X60" s="555" t="str">
        <f t="shared" si="1"/>
        <v>COMPLETED</v>
      </c>
      <c r="Y60" s="571"/>
      <c r="Z60" s="558">
        <v>46152</v>
      </c>
      <c r="AA60" s="572">
        <f>WEEKNUM(ESS_DATA[[#This Row],[Pick-Up Date]])</f>
        <v>20</v>
      </c>
      <c r="AB60" s="569" t="s">
        <v>7637</v>
      </c>
      <c r="AC60" s="555"/>
      <c r="AD60" s="546" t="s">
        <v>122</v>
      </c>
      <c r="AE60" s="548" t="s">
        <v>123</v>
      </c>
      <c r="AF60" s="548" t="s">
        <v>105</v>
      </c>
      <c r="AG60" s="558">
        <v>46158</v>
      </c>
      <c r="AH60" s="558">
        <v>46158</v>
      </c>
      <c r="AI60" s="558">
        <v>46158</v>
      </c>
      <c r="AJ60" s="558">
        <v>46200</v>
      </c>
      <c r="AK60" s="558">
        <v>46202</v>
      </c>
      <c r="AL60" s="558">
        <v>46201</v>
      </c>
      <c r="AM60" s="556" t="s">
        <v>402</v>
      </c>
      <c r="AN60" s="558" t="s">
        <v>7638</v>
      </c>
      <c r="AO60" s="558" t="s">
        <v>161</v>
      </c>
      <c r="AP60" s="558" t="s">
        <v>7639</v>
      </c>
      <c r="AQ60" s="548" t="s">
        <v>7640</v>
      </c>
      <c r="AR60" s="548" t="s">
        <v>7641</v>
      </c>
      <c r="AS60" s="546">
        <f>ESS_DATA[[#This Row],[ETA On S/O]]-ESS_DATA[[#This Row],[ETD On S/O]]+1</f>
        <v>43</v>
      </c>
      <c r="AT60" s="546"/>
      <c r="AU60" s="558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46216</v>
      </c>
      <c r="AX60" s="548">
        <f>IF(ESS_DATA[[#This Row],[New Ark PO Type]]="Offshore",0,IFERROR(VLOOKUP(ESS_DATA[[#This Row],[PORT OF LOADING]]&amp;ESS_DATA[[#This Row],[PORT DESTINATION]],LT_REF[],7,0),14))</f>
        <v>7</v>
      </c>
      <c r="AY60" s="558">
        <f>IFERROR(ESS_DATA[[#This Row],[ODP ETA Port]]+ESS_DATA[[#This Row],[Customs/Leg3 Assumption]],"n/a")</f>
        <v>46208</v>
      </c>
      <c r="AZ60" s="546">
        <f>YEAR(ESS_DATA[[#This Row],[ETA for New Ark update]])</f>
        <v>2026</v>
      </c>
      <c r="BA60" s="546">
        <f>MONTH(ESS_DATA[[#This Row],[ETA for New Ark update]])</f>
        <v>7</v>
      </c>
      <c r="BB60" s="546">
        <f>IFERROR(_xlfn.ISOWEEKNUM(ESS_DATA[[#This Row],[ETA for New Ark update]]),0)</f>
        <v>27</v>
      </c>
      <c r="BC60" s="546" t="str">
        <f>_xlfn.XLOOKUP(ESS_DATA[[#This Row],[PORT DESTINATION]],Table12[PORT DESTINATION],Table12[Cosco Line],,0)</f>
        <v>AEU</v>
      </c>
      <c r="BD60" s="546"/>
    </row>
    <row r="61" spans="1:56" s="559" customFormat="1" ht="10">
      <c r="A61" s="560" t="s">
        <v>7643</v>
      </c>
      <c r="B61" s="546" t="s">
        <v>7594</v>
      </c>
      <c r="C61" s="560" t="str">
        <f>IFERROR(LEFT(ESS_DATA[[#This Row],[TCL REFERENCE]],FIND(".",ESS_DATA[[#This Row],[TCL REFERENCE]],1)-1),"Main Line")</f>
        <v>Main Line</v>
      </c>
      <c r="D61" s="548" t="s">
        <v>63</v>
      </c>
      <c r="E61" s="548" t="s">
        <v>64</v>
      </c>
      <c r="F61" s="548" t="s">
        <v>100</v>
      </c>
      <c r="G61" s="548" t="s">
        <v>402</v>
      </c>
      <c r="H61" s="548" t="s">
        <v>67</v>
      </c>
      <c r="I61" s="548"/>
      <c r="J61" s="548" t="s">
        <v>7636</v>
      </c>
      <c r="K61" s="548"/>
      <c r="L61" s="561"/>
      <c r="M61" s="551" t="s">
        <v>68</v>
      </c>
      <c r="N61" s="548" t="s">
        <v>7446</v>
      </c>
      <c r="O61" s="546" t="s">
        <v>7438</v>
      </c>
      <c r="P61" s="548" t="s">
        <v>7447</v>
      </c>
      <c r="Q61" s="548"/>
      <c r="R61" s="552">
        <v>58</v>
      </c>
      <c r="S61" s="562"/>
      <c r="T61" s="548"/>
      <c r="U61" s="563">
        <f>ESS_DATA[[#This Row],[QUANTITY]]/224</f>
        <v>0.25892857142857145</v>
      </c>
      <c r="V61" s="564" t="s">
        <v>7463</v>
      </c>
      <c r="W61" s="546" t="s">
        <v>7609</v>
      </c>
      <c r="X61" s="560" t="str">
        <f t="shared" si="1"/>
        <v>COMPLETED</v>
      </c>
      <c r="Y61" s="566"/>
      <c r="Z61" s="567">
        <v>46152</v>
      </c>
      <c r="AA61" s="568">
        <f>WEEKNUM(ESS_DATA[[#This Row],[Pick-Up Date]])</f>
        <v>20</v>
      </c>
      <c r="AB61" s="569" t="s">
        <v>7637</v>
      </c>
      <c r="AC61" s="560"/>
      <c r="AD61" s="546" t="s">
        <v>122</v>
      </c>
      <c r="AE61" s="548" t="s">
        <v>123</v>
      </c>
      <c r="AF61" s="548" t="s">
        <v>105</v>
      </c>
      <c r="AG61" s="558">
        <v>46158</v>
      </c>
      <c r="AH61" s="558">
        <v>46158</v>
      </c>
      <c r="AI61" s="558">
        <v>46158</v>
      </c>
      <c r="AJ61" s="558">
        <v>46200</v>
      </c>
      <c r="AK61" s="558">
        <v>46202</v>
      </c>
      <c r="AL61" s="558">
        <v>46201</v>
      </c>
      <c r="AM61" s="556" t="s">
        <v>402</v>
      </c>
      <c r="AN61" s="558" t="s">
        <v>7638</v>
      </c>
      <c r="AO61" s="558" t="s">
        <v>161</v>
      </c>
      <c r="AP61" s="558" t="s">
        <v>7639</v>
      </c>
      <c r="AQ61" s="548" t="s">
        <v>7640</v>
      </c>
      <c r="AR61" s="548" t="s">
        <v>7641</v>
      </c>
      <c r="AS61" s="548">
        <f>ESS_DATA[[#This Row],[ETA On S/O]]-ESS_DATA[[#This Row],[ETD On S/O]]+1</f>
        <v>43</v>
      </c>
      <c r="AT61" s="548"/>
      <c r="AU61" s="558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46216</v>
      </c>
      <c r="AX61" s="548">
        <f>IF(ESS_DATA[[#This Row],[New Ark PO Type]]="Offshore",0,IFERROR(VLOOKUP(ESS_DATA[[#This Row],[PORT OF LOADING]]&amp;ESS_DATA[[#This Row],[PORT DESTINATION]],LT_REF[],7,0),14))</f>
        <v>7</v>
      </c>
      <c r="AY61" s="558">
        <f>IFERROR(ESS_DATA[[#This Row],[ODP ETA Port]]+ESS_DATA[[#This Row],[Customs/Leg3 Assumption]],"n/a")</f>
        <v>46208</v>
      </c>
      <c r="AZ61" s="546">
        <f>YEAR(ESS_DATA[[#This Row],[ETA for New Ark update]])</f>
        <v>2026</v>
      </c>
      <c r="BA61" s="546">
        <f>MONTH(ESS_DATA[[#This Row],[ETA for New Ark update]])</f>
        <v>7</v>
      </c>
      <c r="BB61" s="546">
        <f>IFERROR(_xlfn.ISOWEEKNUM(ESS_DATA[[#This Row],[ETA for New Ark update]]),0)</f>
        <v>27</v>
      </c>
      <c r="BC61" s="546" t="str">
        <f>_xlfn.XLOOKUP(ESS_DATA[[#This Row],[PORT DESTINATION]],Table12[PORT DESTINATION],Table12[Cosco Line],,0)</f>
        <v>AEU</v>
      </c>
      <c r="BD61" s="546"/>
    </row>
    <row r="62" spans="1:56" s="559" customFormat="1" ht="10">
      <c r="A62" s="560" t="s">
        <v>7644</v>
      </c>
      <c r="B62" s="546" t="s">
        <v>7594</v>
      </c>
      <c r="C62" s="560" t="str">
        <f>IFERROR(LEFT(ESS_DATA[[#This Row],[TCL REFERENCE]],FIND(".",ESS_DATA[[#This Row],[TCL REFERENCE]],1)-1),"Main Line")</f>
        <v>26APR002</v>
      </c>
      <c r="D62" s="548" t="s">
        <v>63</v>
      </c>
      <c r="E62" s="548" t="s">
        <v>64</v>
      </c>
      <c r="F62" s="548" t="s">
        <v>100</v>
      </c>
      <c r="G62" s="548" t="s">
        <v>402</v>
      </c>
      <c r="H62" s="548" t="s">
        <v>67</v>
      </c>
      <c r="I62" s="548"/>
      <c r="J62" s="548" t="s">
        <v>7636</v>
      </c>
      <c r="K62" s="548"/>
      <c r="L62" s="561"/>
      <c r="M62" s="551" t="s">
        <v>68</v>
      </c>
      <c r="N62" s="548" t="s">
        <v>7446</v>
      </c>
      <c r="O62" s="546" t="s">
        <v>7438</v>
      </c>
      <c r="P62" s="548" t="s">
        <v>7447</v>
      </c>
      <c r="Q62" s="548"/>
      <c r="R62" s="552">
        <v>2</v>
      </c>
      <c r="S62" s="562"/>
      <c r="T62" s="548"/>
      <c r="U62" s="573">
        <f>ESS_DATA[[#This Row],[QUANTITY]]/224</f>
        <v>8.9285714285714281E-3</v>
      </c>
      <c r="V62" s="564" t="s">
        <v>7463</v>
      </c>
      <c r="W62" s="546" t="s">
        <v>7609</v>
      </c>
      <c r="X62" s="560" t="str">
        <f t="shared" si="1"/>
        <v>COMPLETED</v>
      </c>
      <c r="Y62" s="566"/>
      <c r="Z62" s="567">
        <v>46152</v>
      </c>
      <c r="AA62" s="568">
        <f>WEEKNUM(ESS_DATA[[#This Row],[Pick-Up Date]])</f>
        <v>20</v>
      </c>
      <c r="AB62" s="569" t="s">
        <v>7637</v>
      </c>
      <c r="AC62" s="560"/>
      <c r="AD62" s="546" t="s">
        <v>122</v>
      </c>
      <c r="AE62" s="548" t="s">
        <v>123</v>
      </c>
      <c r="AF62" s="548" t="s">
        <v>105</v>
      </c>
      <c r="AG62" s="558">
        <v>46158</v>
      </c>
      <c r="AH62" s="558">
        <v>46158</v>
      </c>
      <c r="AI62" s="558">
        <v>46158</v>
      </c>
      <c r="AJ62" s="558">
        <v>46200</v>
      </c>
      <c r="AK62" s="558">
        <v>46202</v>
      </c>
      <c r="AL62" s="558">
        <v>46201</v>
      </c>
      <c r="AM62" s="556" t="s">
        <v>402</v>
      </c>
      <c r="AN62" s="558" t="s">
        <v>7638</v>
      </c>
      <c r="AO62" s="558" t="s">
        <v>161</v>
      </c>
      <c r="AP62" s="558" t="s">
        <v>7639</v>
      </c>
      <c r="AQ62" s="548" t="s">
        <v>7640</v>
      </c>
      <c r="AR62" s="548" t="s">
        <v>7641</v>
      </c>
      <c r="AS62" s="548">
        <f>ESS_DATA[[#This Row],[ETA On S/O]]-ESS_DATA[[#This Row],[ETD On S/O]]+1</f>
        <v>43</v>
      </c>
      <c r="AT62" s="548"/>
      <c r="AU62" s="558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46216</v>
      </c>
      <c r="AX62" s="548">
        <f>IF(ESS_DATA[[#This Row],[New Ark PO Type]]="Offshore",0,IFERROR(VLOOKUP(ESS_DATA[[#This Row],[PORT OF LOADING]]&amp;ESS_DATA[[#This Row],[PORT DESTINATION]],LT_REF[],7,0),14))</f>
        <v>7</v>
      </c>
      <c r="AY62" s="558">
        <f>IFERROR(ESS_DATA[[#This Row],[ODP ETA Port]]+ESS_DATA[[#This Row],[Customs/Leg3 Assumption]],"n/a")</f>
        <v>46208</v>
      </c>
      <c r="AZ62" s="546">
        <f>YEAR(ESS_DATA[[#This Row],[ETA for New Ark update]])</f>
        <v>2026</v>
      </c>
      <c r="BA62" s="546">
        <f>MONTH(ESS_DATA[[#This Row],[ETA for New Ark update]])</f>
        <v>7</v>
      </c>
      <c r="BB62" s="546">
        <f>IFERROR(_xlfn.ISOWEEKNUM(ESS_DATA[[#This Row],[ETA for New Ark update]]),0)</f>
        <v>27</v>
      </c>
      <c r="BC62" s="546" t="str">
        <f>_xlfn.XLOOKUP(ESS_DATA[[#This Row],[PORT DESTINATION]],Table12[PORT DESTINATION],Table12[Cosco Line],,0)</f>
        <v>AEU</v>
      </c>
      <c r="BD62" s="546"/>
    </row>
    <row r="63" spans="1:56" s="559" customFormat="1" ht="10">
      <c r="A63" s="560" t="s">
        <v>7645</v>
      </c>
      <c r="B63" s="546" t="s">
        <v>7594</v>
      </c>
      <c r="C63" s="560" t="str">
        <f>IFERROR(LEFT(ESS_DATA[[#This Row],[TCL REFERENCE]],FIND(".",ESS_DATA[[#This Row],[TCL REFERENCE]],1)-1),"Main Line")</f>
        <v>26APR003</v>
      </c>
      <c r="D63" s="548" t="s">
        <v>63</v>
      </c>
      <c r="E63" s="548" t="s">
        <v>64</v>
      </c>
      <c r="F63" s="548" t="s">
        <v>100</v>
      </c>
      <c r="G63" s="548" t="s">
        <v>402</v>
      </c>
      <c r="H63" s="548" t="s">
        <v>67</v>
      </c>
      <c r="I63" s="548"/>
      <c r="J63" s="548" t="s">
        <v>7636</v>
      </c>
      <c r="K63" s="548"/>
      <c r="L63" s="561"/>
      <c r="M63" s="551" t="s">
        <v>68</v>
      </c>
      <c r="N63" s="548" t="s">
        <v>7449</v>
      </c>
      <c r="O63" s="546" t="s">
        <v>7646</v>
      </c>
      <c r="P63" s="548" t="s">
        <v>7451</v>
      </c>
      <c r="Q63" s="548"/>
      <c r="R63" s="552">
        <v>48</v>
      </c>
      <c r="S63" s="562"/>
      <c r="T63" s="548"/>
      <c r="U63" s="563">
        <f>ESS_DATA[[#This Row],[QUANTITY]]/350</f>
        <v>0.13714285714285715</v>
      </c>
      <c r="V63" s="564" t="s">
        <v>7463</v>
      </c>
      <c r="W63" s="546" t="s">
        <v>7609</v>
      </c>
      <c r="X63" s="560" t="str">
        <f t="shared" si="1"/>
        <v>COMPLETED</v>
      </c>
      <c r="Y63" s="566"/>
      <c r="Z63" s="567">
        <v>46152</v>
      </c>
      <c r="AA63" s="568">
        <f>WEEKNUM(ESS_DATA[[#This Row],[Pick-Up Date]])</f>
        <v>20</v>
      </c>
      <c r="AB63" s="569" t="s">
        <v>7637</v>
      </c>
      <c r="AC63" s="560"/>
      <c r="AD63" s="546" t="s">
        <v>122</v>
      </c>
      <c r="AE63" s="548" t="s">
        <v>123</v>
      </c>
      <c r="AF63" s="548" t="s">
        <v>105</v>
      </c>
      <c r="AG63" s="558">
        <v>46158</v>
      </c>
      <c r="AH63" s="558">
        <v>46158</v>
      </c>
      <c r="AI63" s="558">
        <v>46158</v>
      </c>
      <c r="AJ63" s="558">
        <v>46200</v>
      </c>
      <c r="AK63" s="558">
        <v>46202</v>
      </c>
      <c r="AL63" s="558">
        <v>46201</v>
      </c>
      <c r="AM63" s="556" t="s">
        <v>402</v>
      </c>
      <c r="AN63" s="558" t="s">
        <v>7638</v>
      </c>
      <c r="AO63" s="558" t="s">
        <v>161</v>
      </c>
      <c r="AP63" s="558" t="s">
        <v>7639</v>
      </c>
      <c r="AQ63" s="548" t="s">
        <v>7640</v>
      </c>
      <c r="AR63" s="548" t="s">
        <v>7641</v>
      </c>
      <c r="AS63" s="548">
        <f>ESS_DATA[[#This Row],[ETA On S/O]]-ESS_DATA[[#This Row],[ETD On S/O]]+1</f>
        <v>43</v>
      </c>
      <c r="AT63" s="548"/>
      <c r="AU63" s="558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46216</v>
      </c>
      <c r="AX63" s="548">
        <f>IF(ESS_DATA[[#This Row],[New Ark PO Type]]="Offshore",0,IFERROR(VLOOKUP(ESS_DATA[[#This Row],[PORT OF LOADING]]&amp;ESS_DATA[[#This Row],[PORT DESTINATION]],LT_REF[],7,0),14))</f>
        <v>7</v>
      </c>
      <c r="AY63" s="558">
        <f>IFERROR(ESS_DATA[[#This Row],[ODP ETA Port]]+ESS_DATA[[#This Row],[Customs/Leg3 Assumption]],"n/a")</f>
        <v>46208</v>
      </c>
      <c r="AZ63" s="546">
        <f>YEAR(ESS_DATA[[#This Row],[ETA for New Ark update]])</f>
        <v>2026</v>
      </c>
      <c r="BA63" s="546">
        <f>MONTH(ESS_DATA[[#This Row],[ETA for New Ark update]])</f>
        <v>7</v>
      </c>
      <c r="BB63" s="546">
        <f>IFERROR(_xlfn.ISOWEEKNUM(ESS_DATA[[#This Row],[ETA for New Ark update]]),0)</f>
        <v>27</v>
      </c>
      <c r="BC63" s="546" t="str">
        <f>_xlfn.XLOOKUP(ESS_DATA[[#This Row],[PORT DESTINATION]],Table12[PORT DESTINATION],Table12[Cosco Line],,0)</f>
        <v>AEU</v>
      </c>
      <c r="BD63" s="546"/>
    </row>
    <row r="64" spans="1:56" s="559" customFormat="1" ht="10">
      <c r="A64" s="560" t="s">
        <v>7647</v>
      </c>
      <c r="B64" s="546" t="s">
        <v>7594</v>
      </c>
      <c r="C64" s="560" t="str">
        <f>IFERROR(LEFT(ESS_DATA[[#This Row],[TCL REFERENCE]],FIND(".",ESS_DATA[[#This Row],[TCL REFERENCE]],1)-1),"Main Line")</f>
        <v>Main Line</v>
      </c>
      <c r="D64" s="548" t="s">
        <v>63</v>
      </c>
      <c r="E64" s="548" t="s">
        <v>64</v>
      </c>
      <c r="F64" s="548" t="s">
        <v>100</v>
      </c>
      <c r="G64" s="548" t="s">
        <v>402</v>
      </c>
      <c r="H64" s="548" t="s">
        <v>67</v>
      </c>
      <c r="I64" s="548"/>
      <c r="J64" s="548" t="s">
        <v>7636</v>
      </c>
      <c r="K64" s="548"/>
      <c r="L64" s="561"/>
      <c r="M64" s="551" t="s">
        <v>68</v>
      </c>
      <c r="N64" s="574" t="s">
        <v>7496</v>
      </c>
      <c r="O64" s="546" t="s">
        <v>7450</v>
      </c>
      <c r="P64" s="548" t="s">
        <v>7451</v>
      </c>
      <c r="Q64" s="548">
        <v>0</v>
      </c>
      <c r="R64" s="552">
        <v>2</v>
      </c>
      <c r="S64" s="562"/>
      <c r="T64" s="548"/>
      <c r="U64" s="563">
        <f>2/350</f>
        <v>5.7142857142857143E-3</v>
      </c>
      <c r="V64" s="564" t="s">
        <v>7463</v>
      </c>
      <c r="W64" s="546" t="s">
        <v>7609</v>
      </c>
      <c r="X64" s="560" t="str">
        <f t="shared" si="1"/>
        <v>COMPLETED</v>
      </c>
      <c r="Y64" s="566"/>
      <c r="Z64" s="567">
        <v>46152</v>
      </c>
      <c r="AA64" s="568">
        <f>WEEKNUM(ESS_DATA[[#This Row],[Pick-Up Date]])</f>
        <v>20</v>
      </c>
      <c r="AB64" s="569" t="s">
        <v>7637</v>
      </c>
      <c r="AC64" s="560"/>
      <c r="AD64" s="546" t="s">
        <v>122</v>
      </c>
      <c r="AE64" s="548" t="s">
        <v>123</v>
      </c>
      <c r="AF64" s="548" t="s">
        <v>105</v>
      </c>
      <c r="AG64" s="558">
        <v>46158</v>
      </c>
      <c r="AH64" s="558">
        <v>46158</v>
      </c>
      <c r="AI64" s="558">
        <v>46158</v>
      </c>
      <c r="AJ64" s="558">
        <v>46200</v>
      </c>
      <c r="AK64" s="558">
        <v>46202</v>
      </c>
      <c r="AL64" s="558">
        <v>46201</v>
      </c>
      <c r="AM64" s="556" t="s">
        <v>402</v>
      </c>
      <c r="AN64" s="558" t="s">
        <v>7638</v>
      </c>
      <c r="AO64" s="558" t="s">
        <v>161</v>
      </c>
      <c r="AP64" s="558" t="s">
        <v>7639</v>
      </c>
      <c r="AQ64" s="548" t="s">
        <v>7640</v>
      </c>
      <c r="AR64" s="548" t="s">
        <v>7641</v>
      </c>
      <c r="AS64" s="548">
        <f>ESS_DATA[[#This Row],[ETA On S/O]]-ESS_DATA[[#This Row],[ETD On S/O]]+1</f>
        <v>43</v>
      </c>
      <c r="AT64" s="548"/>
      <c r="AU64" s="558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46216</v>
      </c>
      <c r="AX64" s="548">
        <f>IF(ESS_DATA[[#This Row],[New Ark PO Type]]="Offshore",0,IFERROR(VLOOKUP(ESS_DATA[[#This Row],[PORT OF LOADING]]&amp;ESS_DATA[[#This Row],[PORT DESTINATION]],LT_REF[],7,0),14))</f>
        <v>7</v>
      </c>
      <c r="AY64" s="558">
        <f>IFERROR(ESS_DATA[[#This Row],[ODP ETA Port]]+ESS_DATA[[#This Row],[Customs/Leg3 Assumption]],"n/a")</f>
        <v>46208</v>
      </c>
      <c r="AZ64" s="546">
        <f>YEAR(ESS_DATA[[#This Row],[ETA for New Ark update]])</f>
        <v>2026</v>
      </c>
      <c r="BA64" s="546">
        <f>MONTH(ESS_DATA[[#This Row],[ETA for New Ark update]])</f>
        <v>7</v>
      </c>
      <c r="BB64" s="546">
        <f>IFERROR(_xlfn.ISOWEEKNUM(ESS_DATA[[#This Row],[ETA for New Ark update]]),0)</f>
        <v>27</v>
      </c>
      <c r="BC64" s="546" t="str">
        <f>_xlfn.XLOOKUP(ESS_DATA[[#This Row],[PORT DESTINATION]],Table12[PORT DESTINATION],Table12[Cosco Line],,0)</f>
        <v>AEU</v>
      </c>
      <c r="BD64" s="546"/>
    </row>
    <row r="65" spans="1:56" s="559" customFormat="1" ht="10">
      <c r="A65" s="560" t="s">
        <v>7648</v>
      </c>
      <c r="B65" s="557" t="s">
        <v>7594</v>
      </c>
      <c r="C65" s="560" t="str">
        <f>IFERROR(LEFT(ESS_DATA[[#This Row],[TCL REFERENCE]],FIND(".",ESS_DATA[[#This Row],[TCL REFERENCE]],1)-1),"Main Line")</f>
        <v>Main Line</v>
      </c>
      <c r="D65" s="548" t="s">
        <v>63</v>
      </c>
      <c r="E65" s="548" t="s">
        <v>64</v>
      </c>
      <c r="F65" s="548" t="s">
        <v>100</v>
      </c>
      <c r="G65" s="548" t="s">
        <v>402</v>
      </c>
      <c r="H65" s="548" t="s">
        <v>67</v>
      </c>
      <c r="I65" s="548"/>
      <c r="J65" s="548" t="s">
        <v>7636</v>
      </c>
      <c r="K65" s="548"/>
      <c r="L65" s="561"/>
      <c r="M65" s="551" t="s">
        <v>68</v>
      </c>
      <c r="N65" s="548" t="s">
        <v>7425</v>
      </c>
      <c r="O65" s="546" t="s">
        <v>7595</v>
      </c>
      <c r="P65" s="548" t="s">
        <v>7427</v>
      </c>
      <c r="Q65" s="548"/>
      <c r="R65" s="552">
        <v>78</v>
      </c>
      <c r="S65" s="562"/>
      <c r="T65" s="548"/>
      <c r="U65" s="554">
        <v>7.0000000000000007E-2</v>
      </c>
      <c r="V65" s="575" t="s">
        <v>7463</v>
      </c>
      <c r="W65" s="565" t="s">
        <v>7609</v>
      </c>
      <c r="X65" s="559" t="str">
        <f t="shared" si="1"/>
        <v>COMPLETED</v>
      </c>
      <c r="Y65" s="566"/>
      <c r="Z65" s="567">
        <v>46152</v>
      </c>
      <c r="AA65" s="568">
        <f>WEEKNUM(ESS_DATA[[#This Row],[Pick-Up Date]])</f>
        <v>20</v>
      </c>
      <c r="AB65" s="569" t="s">
        <v>7637</v>
      </c>
      <c r="AC65" s="560"/>
      <c r="AD65" s="546" t="s">
        <v>122</v>
      </c>
      <c r="AE65" s="548" t="s">
        <v>123</v>
      </c>
      <c r="AF65" s="548" t="s">
        <v>105</v>
      </c>
      <c r="AG65" s="558">
        <v>46158</v>
      </c>
      <c r="AH65" s="558">
        <v>46158</v>
      </c>
      <c r="AI65" s="558">
        <v>46158</v>
      </c>
      <c r="AJ65" s="558">
        <v>46200</v>
      </c>
      <c r="AK65" s="558">
        <v>46202</v>
      </c>
      <c r="AL65" s="558">
        <v>46201</v>
      </c>
      <c r="AM65" s="556" t="s">
        <v>402</v>
      </c>
      <c r="AN65" s="558" t="s">
        <v>7638</v>
      </c>
      <c r="AO65" s="558" t="s">
        <v>161</v>
      </c>
      <c r="AP65" s="558" t="s">
        <v>7639</v>
      </c>
      <c r="AQ65" s="548" t="s">
        <v>7640</v>
      </c>
      <c r="AR65" s="548" t="s">
        <v>7641</v>
      </c>
      <c r="AS65" s="548">
        <f>ESS_DATA[[#This Row],[ETA On S/O]]-ESS_DATA[[#This Row],[ETD On S/O]]+1</f>
        <v>43</v>
      </c>
      <c r="AT65" s="548"/>
      <c r="AU65" s="558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46216</v>
      </c>
      <c r="AX65" s="548">
        <f>IF(ESS_DATA[[#This Row],[New Ark PO Type]]="Offshore",0,IFERROR(VLOOKUP(ESS_DATA[[#This Row],[PORT OF LOADING]]&amp;ESS_DATA[[#This Row],[PORT DESTINATION]],LT_REF[],7,0),14))</f>
        <v>7</v>
      </c>
      <c r="AY65" s="558">
        <f>IFERROR(ESS_DATA[[#This Row],[ODP ETA Port]]+ESS_DATA[[#This Row],[Customs/Leg3 Assumption]],"n/a")</f>
        <v>46208</v>
      </c>
      <c r="AZ65" s="546">
        <f>YEAR(ESS_DATA[[#This Row],[ETA for New Ark update]])</f>
        <v>2026</v>
      </c>
      <c r="BA65" s="546">
        <f>MONTH(ESS_DATA[[#This Row],[ETA for New Ark update]])</f>
        <v>7</v>
      </c>
      <c r="BB65" s="546">
        <f>IFERROR(_xlfn.ISOWEEKNUM(ESS_DATA[[#This Row],[ETA for New Ark update]]),0)</f>
        <v>27</v>
      </c>
      <c r="BC65" s="546" t="str">
        <f>_xlfn.XLOOKUP(ESS_DATA[[#This Row],[PORT DESTINATION]],Table12[PORT DESTINATION],Table12[Cosco Line],,0)</f>
        <v>AEU</v>
      </c>
      <c r="BD65" s="546"/>
    </row>
    <row r="66" spans="1:56" s="559" customFormat="1" ht="10">
      <c r="A66" s="560" t="s">
        <v>7649</v>
      </c>
      <c r="B66" s="546" t="s">
        <v>7594</v>
      </c>
      <c r="C66" s="560" t="str">
        <f>IFERROR(LEFT(ESS_DATA[[#This Row],[TCL REFERENCE]],FIND(".",ESS_DATA[[#This Row],[TCL REFERENCE]],1)-1),"Main Line")</f>
        <v>Main Line</v>
      </c>
      <c r="D66" s="548" t="s">
        <v>63</v>
      </c>
      <c r="E66" s="548" t="s">
        <v>64</v>
      </c>
      <c r="F66" s="548" t="s">
        <v>100</v>
      </c>
      <c r="G66" s="548" t="s">
        <v>402</v>
      </c>
      <c r="H66" s="548" t="s">
        <v>67</v>
      </c>
      <c r="I66" s="548"/>
      <c r="J66" s="548" t="s">
        <v>7636</v>
      </c>
      <c r="K66" s="548"/>
      <c r="L66" s="561"/>
      <c r="M66" s="551" t="s">
        <v>68</v>
      </c>
      <c r="N66" s="548" t="s">
        <v>7437</v>
      </c>
      <c r="O66" s="546" t="s">
        <v>7438</v>
      </c>
      <c r="P66" s="548" t="s">
        <v>7439</v>
      </c>
      <c r="Q66" s="548"/>
      <c r="R66" s="552">
        <f>328-114</f>
        <v>214</v>
      </c>
      <c r="S66" s="562"/>
      <c r="T66" s="548"/>
      <c r="U66" s="554">
        <f>ESS_DATA[[#This Row],[QUANTITY]]/224</f>
        <v>0.9553571428571429</v>
      </c>
      <c r="V66" s="576" t="s">
        <v>7469</v>
      </c>
      <c r="W66" s="548" t="s">
        <v>7650</v>
      </c>
      <c r="X66" s="548" t="str">
        <f t="shared" ref="X66:X97" si="2">IF(AL66&lt;&gt;"","COMPLETED",IF(AI66&lt;&gt;"","IN-TRANSIT",""))</f>
        <v>COMPLETED</v>
      </c>
      <c r="Y66" s="577"/>
      <c r="Z66" s="558">
        <v>46156</v>
      </c>
      <c r="AA66" s="568">
        <f>WEEKNUM(ESS_DATA[[#This Row],[Pick-Up Date]])</f>
        <v>20</v>
      </c>
      <c r="AB66" s="569" t="s">
        <v>7651</v>
      </c>
      <c r="AC66" s="560"/>
      <c r="AD66" s="546" t="s">
        <v>122</v>
      </c>
      <c r="AE66" s="548" t="s">
        <v>123</v>
      </c>
      <c r="AF66" s="548" t="s">
        <v>105</v>
      </c>
      <c r="AG66" s="558">
        <v>46161</v>
      </c>
      <c r="AH66" s="558">
        <v>46163</v>
      </c>
      <c r="AI66" s="558">
        <v>46163</v>
      </c>
      <c r="AJ66" s="558">
        <v>46196</v>
      </c>
      <c r="AK66" s="558">
        <v>46197</v>
      </c>
      <c r="AL66" s="558">
        <v>46203</v>
      </c>
      <c r="AM66" s="556" t="s">
        <v>402</v>
      </c>
      <c r="AN66" s="558" t="s">
        <v>2449</v>
      </c>
      <c r="AO66" s="558" t="s">
        <v>80</v>
      </c>
      <c r="AP66" s="558" t="s">
        <v>7652</v>
      </c>
      <c r="AQ66" s="548" t="s">
        <v>7653</v>
      </c>
      <c r="AR66" s="548" t="s">
        <v>7653</v>
      </c>
      <c r="AS66" s="548">
        <f>ESS_DATA[[#This Row],[ETA On S/O]]-ESS_DATA[[#This Row],[ETD On S/O]]+1</f>
        <v>36</v>
      </c>
      <c r="AT66" s="548"/>
      <c r="AU66" s="558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46211</v>
      </c>
      <c r="AX66" s="548">
        <f>IF(ESS_DATA[[#This Row],[New Ark PO Type]]="Offshore",0,IFERROR(VLOOKUP(ESS_DATA[[#This Row],[PORT OF LOADING]]&amp;ESS_DATA[[#This Row],[PORT DESTINATION]],LT_REF[],7,0),14))</f>
        <v>7</v>
      </c>
      <c r="AY66" s="558">
        <f>IFERROR(ESS_DATA[[#This Row],[ODP ETA Port]]+ESS_DATA[[#This Row],[Customs/Leg3 Assumption]],"n/a")</f>
        <v>46210</v>
      </c>
      <c r="AZ66" s="546">
        <f>YEAR(ESS_DATA[[#This Row],[ETA for New Ark update]])</f>
        <v>2026</v>
      </c>
      <c r="BA66" s="546">
        <f>MONTH(ESS_DATA[[#This Row],[ETA for New Ark update]])</f>
        <v>7</v>
      </c>
      <c r="BB66" s="546">
        <f>IFERROR(_xlfn.ISOWEEKNUM(ESS_DATA[[#This Row],[ETA for New Ark update]]),0)</f>
        <v>28</v>
      </c>
      <c r="BC66" s="546" t="str">
        <f>_xlfn.XLOOKUP(ESS_DATA[[#This Row],[PORT DESTINATION]],Table12[PORT DESTINATION],Table12[Cosco Line],,0)</f>
        <v>AEU</v>
      </c>
      <c r="BD66" s="546"/>
    </row>
    <row r="67" spans="1:56" s="559" customFormat="1" ht="10">
      <c r="A67" s="560" t="s">
        <v>7654</v>
      </c>
      <c r="B67" s="546" t="s">
        <v>7594</v>
      </c>
      <c r="C67" s="560" t="str">
        <f>IFERROR(LEFT(ESS_DATA[[#This Row],[TCL REFERENCE]],FIND(".",ESS_DATA[[#This Row],[TCL REFERENCE]],1)-1),"Main Line")</f>
        <v>26APR001</v>
      </c>
      <c r="D67" s="548" t="s">
        <v>63</v>
      </c>
      <c r="E67" s="548" t="s">
        <v>64</v>
      </c>
      <c r="F67" s="548" t="s">
        <v>100</v>
      </c>
      <c r="G67" s="548" t="s">
        <v>402</v>
      </c>
      <c r="H67" s="548" t="s">
        <v>67</v>
      </c>
      <c r="I67" s="548"/>
      <c r="J67" s="548" t="s">
        <v>7636</v>
      </c>
      <c r="K67" s="548"/>
      <c r="L67" s="561"/>
      <c r="M67" s="551" t="s">
        <v>68</v>
      </c>
      <c r="N67" s="548" t="s">
        <v>7437</v>
      </c>
      <c r="O67" s="546" t="s">
        <v>7438</v>
      </c>
      <c r="P67" s="548" t="s">
        <v>7439</v>
      </c>
      <c r="Q67" s="548"/>
      <c r="R67" s="552">
        <v>10</v>
      </c>
      <c r="S67" s="562"/>
      <c r="T67" s="548"/>
      <c r="U67" s="554">
        <f>ESS_DATA[[#This Row],[QUANTITY]]/224</f>
        <v>4.4642857142857144E-2</v>
      </c>
      <c r="V67" s="576" t="s">
        <v>7469</v>
      </c>
      <c r="W67" s="548" t="s">
        <v>7650</v>
      </c>
      <c r="X67" s="548" t="str">
        <f t="shared" si="2"/>
        <v>COMPLETED</v>
      </c>
      <c r="Y67" s="578"/>
      <c r="Z67" s="558">
        <v>46156</v>
      </c>
      <c r="AA67" s="568">
        <f>WEEKNUM(ESS_DATA[[#This Row],[Pick-Up Date]])</f>
        <v>20</v>
      </c>
      <c r="AB67" s="569" t="s">
        <v>7651</v>
      </c>
      <c r="AC67" s="560"/>
      <c r="AD67" s="546" t="s">
        <v>122</v>
      </c>
      <c r="AE67" s="548" t="s">
        <v>123</v>
      </c>
      <c r="AF67" s="548" t="s">
        <v>105</v>
      </c>
      <c r="AG67" s="558">
        <v>46161</v>
      </c>
      <c r="AH67" s="558">
        <v>46163</v>
      </c>
      <c r="AI67" s="558">
        <v>46163</v>
      </c>
      <c r="AJ67" s="558">
        <v>46196</v>
      </c>
      <c r="AK67" s="558">
        <v>46197</v>
      </c>
      <c r="AL67" s="558">
        <v>46203</v>
      </c>
      <c r="AM67" s="556" t="s">
        <v>402</v>
      </c>
      <c r="AN67" s="558" t="s">
        <v>2449</v>
      </c>
      <c r="AO67" s="558" t="s">
        <v>80</v>
      </c>
      <c r="AP67" s="558" t="s">
        <v>7652</v>
      </c>
      <c r="AQ67" s="548" t="s">
        <v>7653</v>
      </c>
      <c r="AR67" s="548" t="s">
        <v>7653</v>
      </c>
      <c r="AS67" s="548">
        <f>ESS_DATA[[#This Row],[ETA On S/O]]-ESS_DATA[[#This Row],[ETD On S/O]]+1</f>
        <v>36</v>
      </c>
      <c r="AT67" s="548"/>
      <c r="AU67" s="558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46211</v>
      </c>
      <c r="AX67" s="548">
        <f>IF(ESS_DATA[[#This Row],[New Ark PO Type]]="Offshore",0,IFERROR(VLOOKUP(ESS_DATA[[#This Row],[PORT OF LOADING]]&amp;ESS_DATA[[#This Row],[PORT DESTINATION]],LT_REF[],7,0),14))</f>
        <v>7</v>
      </c>
      <c r="AY67" s="558">
        <f>IFERROR(ESS_DATA[[#This Row],[ODP ETA Port]]+ESS_DATA[[#This Row],[Customs/Leg3 Assumption]],"n/a")</f>
        <v>46210</v>
      </c>
      <c r="AZ67" s="546">
        <f>YEAR(ESS_DATA[[#This Row],[ETA for New Ark update]])</f>
        <v>2026</v>
      </c>
      <c r="BA67" s="546">
        <f>MONTH(ESS_DATA[[#This Row],[ETA for New Ark update]])</f>
        <v>7</v>
      </c>
      <c r="BB67" s="546">
        <f>IFERROR(_xlfn.ISOWEEKNUM(ESS_DATA[[#This Row],[ETA for New Ark update]]),0)</f>
        <v>28</v>
      </c>
      <c r="BC67" s="546" t="str">
        <f>_xlfn.XLOOKUP(ESS_DATA[[#This Row],[PORT DESTINATION]],Table12[PORT DESTINATION],Table12[Cosco Line],,0)</f>
        <v>AEU</v>
      </c>
      <c r="BD67" s="546"/>
    </row>
    <row r="68" spans="1:56" s="559" customFormat="1" ht="10">
      <c r="A68" s="560" t="s">
        <v>7655</v>
      </c>
      <c r="B68" s="546" t="s">
        <v>7594</v>
      </c>
      <c r="C68" s="560" t="str">
        <f>IFERROR(LEFT(ESS_DATA[[#This Row],[TCL REFERENCE]],FIND(".",ESS_DATA[[#This Row],[TCL REFERENCE]],1)-1),"Main Line")</f>
        <v>26APR003</v>
      </c>
      <c r="D68" s="548" t="s">
        <v>63</v>
      </c>
      <c r="E68" s="548" t="s">
        <v>64</v>
      </c>
      <c r="F68" s="548" t="s">
        <v>100</v>
      </c>
      <c r="G68" s="548" t="s">
        <v>402</v>
      </c>
      <c r="H68" s="548" t="s">
        <v>67</v>
      </c>
      <c r="I68" s="548"/>
      <c r="J68" s="548" t="s">
        <v>7636</v>
      </c>
      <c r="K68" s="548"/>
      <c r="L68" s="561"/>
      <c r="M68" s="551" t="s">
        <v>68</v>
      </c>
      <c r="N68" s="548" t="s">
        <v>7449</v>
      </c>
      <c r="O68" s="546" t="s">
        <v>7646</v>
      </c>
      <c r="P68" s="548" t="s">
        <v>7451</v>
      </c>
      <c r="Q68" s="548"/>
      <c r="R68" s="552">
        <v>338</v>
      </c>
      <c r="S68" s="562"/>
      <c r="T68" s="548"/>
      <c r="U68" s="573">
        <f>ESS_DATA[[#This Row],[QUANTITY]]/350</f>
        <v>0.96571428571428575</v>
      </c>
      <c r="V68" s="576" t="s">
        <v>7473</v>
      </c>
      <c r="W68" s="548" t="s">
        <v>7650</v>
      </c>
      <c r="X68" s="548" t="str">
        <f t="shared" si="2"/>
        <v>COMPLETED</v>
      </c>
      <c r="Y68" s="578"/>
      <c r="Z68" s="558">
        <v>46156</v>
      </c>
      <c r="AA68" s="568">
        <f>WEEKNUM(ESS_DATA[[#This Row],[Pick-Up Date]])</f>
        <v>20</v>
      </c>
      <c r="AB68" s="569" t="s">
        <v>7651</v>
      </c>
      <c r="AC68" s="560"/>
      <c r="AD68" s="546" t="s">
        <v>122</v>
      </c>
      <c r="AE68" s="548" t="s">
        <v>123</v>
      </c>
      <c r="AF68" s="548" t="s">
        <v>105</v>
      </c>
      <c r="AG68" s="558">
        <v>46161</v>
      </c>
      <c r="AH68" s="558">
        <v>46163</v>
      </c>
      <c r="AI68" s="558">
        <v>46163</v>
      </c>
      <c r="AJ68" s="558">
        <v>46196</v>
      </c>
      <c r="AK68" s="558">
        <v>46197</v>
      </c>
      <c r="AL68" s="558">
        <v>46203</v>
      </c>
      <c r="AM68" s="556" t="s">
        <v>402</v>
      </c>
      <c r="AN68" s="558" t="s">
        <v>2449</v>
      </c>
      <c r="AO68" s="558" t="s">
        <v>80</v>
      </c>
      <c r="AP68" s="558" t="s">
        <v>7652</v>
      </c>
      <c r="AQ68" s="548" t="s">
        <v>7653</v>
      </c>
      <c r="AR68" s="548" t="s">
        <v>7653</v>
      </c>
      <c r="AS68" s="548">
        <f>ESS_DATA[[#This Row],[ETA On S/O]]-ESS_DATA[[#This Row],[ETD On S/O]]+1</f>
        <v>36</v>
      </c>
      <c r="AT68" s="548"/>
      <c r="AU68" s="558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46211</v>
      </c>
      <c r="AX68" s="548">
        <f>IF(ESS_DATA[[#This Row],[New Ark PO Type]]="Offshore",0,IFERROR(VLOOKUP(ESS_DATA[[#This Row],[PORT OF LOADING]]&amp;ESS_DATA[[#This Row],[PORT DESTINATION]],LT_REF[],7,0),14))</f>
        <v>7</v>
      </c>
      <c r="AY68" s="558">
        <f>IFERROR(ESS_DATA[[#This Row],[ODP ETA Port]]+ESS_DATA[[#This Row],[Customs/Leg3 Assumption]],"n/a")</f>
        <v>46210</v>
      </c>
      <c r="AZ68" s="546">
        <f>YEAR(ESS_DATA[[#This Row],[ETA for New Ark update]])</f>
        <v>2026</v>
      </c>
      <c r="BA68" s="546">
        <f>MONTH(ESS_DATA[[#This Row],[ETA for New Ark update]])</f>
        <v>7</v>
      </c>
      <c r="BB68" s="546">
        <f>IFERROR(_xlfn.ISOWEEKNUM(ESS_DATA[[#This Row],[ETA for New Ark update]]),0)</f>
        <v>28</v>
      </c>
      <c r="BC68" s="546" t="str">
        <f>_xlfn.XLOOKUP(ESS_DATA[[#This Row],[PORT DESTINATION]],Table12[PORT DESTINATION],Table12[Cosco Line],,0)</f>
        <v>AEU</v>
      </c>
      <c r="BD68" s="546"/>
    </row>
    <row r="69" spans="1:56" s="559" customFormat="1" ht="10">
      <c r="A69" s="560" t="s">
        <v>7656</v>
      </c>
      <c r="B69" s="546" t="s">
        <v>7594</v>
      </c>
      <c r="C69" s="560" t="str">
        <f>IFERROR(LEFT(ESS_DATA[[#This Row],[TCL REFERENCE]],FIND(".",ESS_DATA[[#This Row],[TCL REFERENCE]],1)-1),"Main Line")</f>
        <v>26APR003</v>
      </c>
      <c r="D69" s="548" t="s">
        <v>63</v>
      </c>
      <c r="E69" s="548" t="s">
        <v>64</v>
      </c>
      <c r="F69" s="548" t="s">
        <v>100</v>
      </c>
      <c r="G69" s="548" t="s">
        <v>402</v>
      </c>
      <c r="H69" s="548" t="s">
        <v>67</v>
      </c>
      <c r="I69" s="548"/>
      <c r="J69" s="548" t="s">
        <v>7636</v>
      </c>
      <c r="K69" s="548"/>
      <c r="L69" s="561"/>
      <c r="M69" s="551" t="s">
        <v>68</v>
      </c>
      <c r="N69" s="548" t="s">
        <v>7449</v>
      </c>
      <c r="O69" s="546" t="s">
        <v>7646</v>
      </c>
      <c r="P69" s="548" t="s">
        <v>7451</v>
      </c>
      <c r="Q69" s="548"/>
      <c r="R69" s="552">
        <v>12</v>
      </c>
      <c r="S69" s="562"/>
      <c r="T69" s="548"/>
      <c r="U69" s="554">
        <f>ESS_DATA[[#This Row],[QUANTITY]]/350</f>
        <v>3.4285714285714287E-2</v>
      </c>
      <c r="V69" s="564" t="s">
        <v>7473</v>
      </c>
      <c r="W69" s="549" t="s">
        <v>7650</v>
      </c>
      <c r="X69" s="546" t="str">
        <f t="shared" si="2"/>
        <v>COMPLETED</v>
      </c>
      <c r="Y69" s="579"/>
      <c r="Z69" s="558">
        <v>46156</v>
      </c>
      <c r="AA69" s="568">
        <f>WEEKNUM(ESS_DATA[[#This Row],[Pick-Up Date]])</f>
        <v>20</v>
      </c>
      <c r="AB69" s="569" t="s">
        <v>7651</v>
      </c>
      <c r="AC69" s="560"/>
      <c r="AD69" s="546" t="s">
        <v>122</v>
      </c>
      <c r="AE69" s="548" t="s">
        <v>123</v>
      </c>
      <c r="AF69" s="548" t="s">
        <v>105</v>
      </c>
      <c r="AG69" s="558">
        <v>46161</v>
      </c>
      <c r="AH69" s="558">
        <v>46163</v>
      </c>
      <c r="AI69" s="558">
        <v>46163</v>
      </c>
      <c r="AJ69" s="558">
        <v>46196</v>
      </c>
      <c r="AK69" s="558">
        <v>46197</v>
      </c>
      <c r="AL69" s="558">
        <v>46203</v>
      </c>
      <c r="AM69" s="556" t="s">
        <v>402</v>
      </c>
      <c r="AN69" s="558" t="s">
        <v>2449</v>
      </c>
      <c r="AO69" s="558" t="s">
        <v>80</v>
      </c>
      <c r="AP69" s="558" t="s">
        <v>7652</v>
      </c>
      <c r="AQ69" s="548" t="s">
        <v>7653</v>
      </c>
      <c r="AR69" s="548" t="s">
        <v>7653</v>
      </c>
      <c r="AS69" s="548">
        <f>ESS_DATA[[#This Row],[ETA On S/O]]-ESS_DATA[[#This Row],[ETD On S/O]]+1</f>
        <v>36</v>
      </c>
      <c r="AT69" s="548"/>
      <c r="AU69" s="558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46211</v>
      </c>
      <c r="AX69" s="548">
        <f>IF(ESS_DATA[[#This Row],[New Ark PO Type]]="Offshore",0,IFERROR(VLOOKUP(ESS_DATA[[#This Row],[PORT OF LOADING]]&amp;ESS_DATA[[#This Row],[PORT DESTINATION]],LT_REF[],7,0),14))</f>
        <v>7</v>
      </c>
      <c r="AY69" s="558">
        <f>IFERROR(ESS_DATA[[#This Row],[ODP ETA Port]]+ESS_DATA[[#This Row],[Customs/Leg3 Assumption]],"n/a")</f>
        <v>46210</v>
      </c>
      <c r="AZ69" s="546">
        <f>YEAR(ESS_DATA[[#This Row],[ETA for New Ark update]])</f>
        <v>2026</v>
      </c>
      <c r="BA69" s="546">
        <f>MONTH(ESS_DATA[[#This Row],[ETA for New Ark update]])</f>
        <v>7</v>
      </c>
      <c r="BB69" s="546">
        <f>IFERROR(_xlfn.ISOWEEKNUM(ESS_DATA[[#This Row],[ETA for New Ark update]]),0)</f>
        <v>28</v>
      </c>
      <c r="BC69" s="546" t="str">
        <f>_xlfn.XLOOKUP(ESS_DATA[[#This Row],[PORT DESTINATION]],Table12[PORT DESTINATION],Table12[Cosco Line],,0)</f>
        <v>AEU</v>
      </c>
      <c r="BD69" s="546"/>
    </row>
    <row r="70" spans="1:56" s="559" customFormat="1" ht="10">
      <c r="A70" s="560" t="s">
        <v>7657</v>
      </c>
      <c r="B70" s="546" t="s">
        <v>7594</v>
      </c>
      <c r="C70" s="560" t="str">
        <f>IFERROR(LEFT(ESS_DATA[[#This Row],[TCL REFERENCE]],FIND(".",ESS_DATA[[#This Row],[TCL REFERENCE]],1)-1),"Main Line")</f>
        <v>26APR004</v>
      </c>
      <c r="D70" s="548" t="s">
        <v>63</v>
      </c>
      <c r="E70" s="548" t="s">
        <v>64</v>
      </c>
      <c r="F70" s="548" t="s">
        <v>100</v>
      </c>
      <c r="G70" s="548" t="s">
        <v>402</v>
      </c>
      <c r="H70" s="548" t="s">
        <v>67</v>
      </c>
      <c r="I70" s="548"/>
      <c r="J70" s="548" t="s">
        <v>7636</v>
      </c>
      <c r="K70" s="548"/>
      <c r="L70" s="561"/>
      <c r="M70" s="551" t="s">
        <v>68</v>
      </c>
      <c r="N70" s="548" t="s">
        <v>7460</v>
      </c>
      <c r="O70" s="546" t="s">
        <v>7658</v>
      </c>
      <c r="P70" s="548" t="s">
        <v>7462</v>
      </c>
      <c r="Q70" s="548"/>
      <c r="R70" s="552">
        <v>552</v>
      </c>
      <c r="S70" s="562"/>
      <c r="T70" s="548"/>
      <c r="U70" s="554">
        <f>ESS_DATA[[#This Row],[QUANTITY]]/276</f>
        <v>2</v>
      </c>
      <c r="V70" s="564" t="s">
        <v>7659</v>
      </c>
      <c r="W70" s="549" t="s">
        <v>7609</v>
      </c>
      <c r="X70" s="546" t="str">
        <f t="shared" si="2"/>
        <v>COMPLETED</v>
      </c>
      <c r="Y70" s="579"/>
      <c r="Z70" s="558">
        <v>46159</v>
      </c>
      <c r="AA70" s="568">
        <f>WEEKNUM(ESS_DATA[[#This Row],[Pick-Up Date]])</f>
        <v>21</v>
      </c>
      <c r="AB70" s="569" t="s">
        <v>7660</v>
      </c>
      <c r="AC70" s="560"/>
      <c r="AD70" s="546" t="s">
        <v>122</v>
      </c>
      <c r="AE70" s="548" t="s">
        <v>123</v>
      </c>
      <c r="AF70" s="548" t="s">
        <v>105</v>
      </c>
      <c r="AG70" s="558">
        <v>46163</v>
      </c>
      <c r="AH70" s="558">
        <v>46166</v>
      </c>
      <c r="AI70" s="558">
        <v>46166</v>
      </c>
      <c r="AJ70" s="558">
        <v>46202</v>
      </c>
      <c r="AK70" s="590">
        <v>46210</v>
      </c>
      <c r="AL70" s="558">
        <v>46211</v>
      </c>
      <c r="AM70" s="556" t="s">
        <v>402</v>
      </c>
      <c r="AN70" s="558" t="s">
        <v>7661</v>
      </c>
      <c r="AO70" s="558" t="s">
        <v>161</v>
      </c>
      <c r="AP70" s="558" t="s">
        <v>7662</v>
      </c>
      <c r="AQ70" s="548" t="s">
        <v>7663</v>
      </c>
      <c r="AR70" s="548" t="s">
        <v>7664</v>
      </c>
      <c r="AS70" s="548">
        <f>ESS_DATA[[#This Row],[ETA On S/O]]-ESS_DATA[[#This Row],[ETD On S/O]]+1</f>
        <v>40</v>
      </c>
      <c r="AT70" s="548"/>
      <c r="AU70" s="558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46220</v>
      </c>
      <c r="AX70" s="548">
        <f>IF(ESS_DATA[[#This Row],[New Ark PO Type]]="Offshore",0,IFERROR(VLOOKUP(ESS_DATA[[#This Row],[PORT OF LOADING]]&amp;ESS_DATA[[#This Row],[PORT DESTINATION]],LT_REF[],7,0),14))</f>
        <v>7</v>
      </c>
      <c r="AY70" s="558">
        <f>IFERROR(ESS_DATA[[#This Row],[ODP ETA Port]]+ESS_DATA[[#This Row],[Customs/Leg3 Assumption]],"n/a")</f>
        <v>46218</v>
      </c>
      <c r="AZ70" s="546">
        <f>YEAR(ESS_DATA[[#This Row],[ETA for New Ark update]])</f>
        <v>2026</v>
      </c>
      <c r="BA70" s="546">
        <f>MONTH(ESS_DATA[[#This Row],[ETA for New Ark update]])</f>
        <v>7</v>
      </c>
      <c r="BB70" s="546">
        <f>IFERROR(_xlfn.ISOWEEKNUM(ESS_DATA[[#This Row],[ETA for New Ark update]]),0)</f>
        <v>29</v>
      </c>
      <c r="BC70" s="546" t="str">
        <f>_xlfn.XLOOKUP(ESS_DATA[[#This Row],[PORT DESTINATION]],Table12[PORT DESTINATION],Table12[Cosco Line],,0)</f>
        <v>AEU</v>
      </c>
      <c r="BD70" s="546"/>
    </row>
    <row r="71" spans="1:56" s="559" customFormat="1" ht="10">
      <c r="A71" s="560" t="s">
        <v>7665</v>
      </c>
      <c r="B71" s="546" t="s">
        <v>7594</v>
      </c>
      <c r="C71" s="560" t="str">
        <f>IFERROR(LEFT(ESS_DATA[[#This Row],[TCL REFERENCE]],FIND(".",ESS_DATA[[#This Row],[TCL REFERENCE]],1)-1),"Main Line")</f>
        <v>26APR004</v>
      </c>
      <c r="D71" s="548" t="s">
        <v>63</v>
      </c>
      <c r="E71" s="548" t="s">
        <v>64</v>
      </c>
      <c r="F71" s="548" t="s">
        <v>100</v>
      </c>
      <c r="G71" s="548" t="s">
        <v>402</v>
      </c>
      <c r="H71" s="548" t="s">
        <v>67</v>
      </c>
      <c r="I71" s="548"/>
      <c r="J71" s="548" t="s">
        <v>7636</v>
      </c>
      <c r="K71" s="548"/>
      <c r="L71" s="561"/>
      <c r="M71" s="551" t="s">
        <v>68</v>
      </c>
      <c r="N71" s="548" t="s">
        <v>7460</v>
      </c>
      <c r="O71" s="546" t="s">
        <v>7658</v>
      </c>
      <c r="P71" s="548" t="s">
        <v>7462</v>
      </c>
      <c r="Q71" s="548"/>
      <c r="R71" s="552">
        <v>252</v>
      </c>
      <c r="S71" s="562"/>
      <c r="T71" s="548"/>
      <c r="U71" s="580">
        <f>ESS_DATA[[#This Row],[QUANTITY]]/276</f>
        <v>0.91304347826086951</v>
      </c>
      <c r="V71" s="581" t="s">
        <v>7666</v>
      </c>
      <c r="W71" s="582" t="s">
        <v>7650</v>
      </c>
      <c r="X71" s="546" t="str">
        <f t="shared" si="2"/>
        <v>COMPLETED</v>
      </c>
      <c r="Y71" s="579"/>
      <c r="Z71" s="558">
        <v>46156</v>
      </c>
      <c r="AA71" s="568">
        <f>WEEKNUM(ESS_DATA[[#This Row],[Pick-Up Date]])</f>
        <v>20</v>
      </c>
      <c r="AB71" s="569" t="s">
        <v>7660</v>
      </c>
      <c r="AC71" s="560"/>
      <c r="AD71" s="546" t="s">
        <v>122</v>
      </c>
      <c r="AE71" s="548" t="s">
        <v>123</v>
      </c>
      <c r="AF71" s="548" t="s">
        <v>105</v>
      </c>
      <c r="AG71" s="558">
        <v>46163</v>
      </c>
      <c r="AH71" s="558">
        <v>46163</v>
      </c>
      <c r="AI71" s="558">
        <v>46165</v>
      </c>
      <c r="AJ71" s="558">
        <v>46202</v>
      </c>
      <c r="AK71" s="558">
        <v>46202</v>
      </c>
      <c r="AL71" s="558">
        <v>46202</v>
      </c>
      <c r="AM71" s="556" t="s">
        <v>402</v>
      </c>
      <c r="AN71" s="558" t="s">
        <v>7661</v>
      </c>
      <c r="AO71" s="558" t="s">
        <v>161</v>
      </c>
      <c r="AP71" s="558" t="s">
        <v>7667</v>
      </c>
      <c r="AQ71" s="548" t="s">
        <v>7668</v>
      </c>
      <c r="AR71" s="548">
        <v>270243379</v>
      </c>
      <c r="AS71" s="548">
        <f>ESS_DATA[[#This Row],[ETA On S/O]]-ESS_DATA[[#This Row],[ETD On S/O]]+1</f>
        <v>40</v>
      </c>
      <c r="AT71" s="548"/>
      <c r="AU71" s="558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46220</v>
      </c>
      <c r="AX71" s="548">
        <f>IF(ESS_DATA[[#This Row],[New Ark PO Type]]="Offshore",0,IFERROR(VLOOKUP(ESS_DATA[[#This Row],[PORT OF LOADING]]&amp;ESS_DATA[[#This Row],[PORT DESTINATION]],LT_REF[],7,0),14))</f>
        <v>7</v>
      </c>
      <c r="AY71" s="558">
        <f>IFERROR(ESS_DATA[[#This Row],[ODP ETA Port]]+ESS_DATA[[#This Row],[Customs/Leg3 Assumption]],"n/a")</f>
        <v>46209</v>
      </c>
      <c r="AZ71" s="546">
        <f>YEAR(ESS_DATA[[#This Row],[ETA for New Ark update]])</f>
        <v>2026</v>
      </c>
      <c r="BA71" s="546">
        <f>MONTH(ESS_DATA[[#This Row],[ETA for New Ark update]])</f>
        <v>7</v>
      </c>
      <c r="BB71" s="546">
        <f>IFERROR(_xlfn.ISOWEEKNUM(ESS_DATA[[#This Row],[ETA for New Ark update]]),0)</f>
        <v>28</v>
      </c>
      <c r="BC71" s="546" t="str">
        <f>_xlfn.XLOOKUP(ESS_DATA[[#This Row],[PORT DESTINATION]],Table12[PORT DESTINATION],Table12[Cosco Line],,0)</f>
        <v>AEU</v>
      </c>
      <c r="BD71" s="546"/>
    </row>
    <row r="72" spans="1:56" s="559" customFormat="1" ht="10">
      <c r="A72" s="560" t="s">
        <v>7669</v>
      </c>
      <c r="B72" s="546" t="s">
        <v>7594</v>
      </c>
      <c r="C72" s="560" t="str">
        <f>IFERROR(LEFT(ESS_DATA[[#This Row],[TCL REFERENCE]],FIND(".",ESS_DATA[[#This Row],[TCL REFERENCE]],1)-1),"Main Line")</f>
        <v>26APR004</v>
      </c>
      <c r="D72" s="548" t="s">
        <v>63</v>
      </c>
      <c r="E72" s="548" t="s">
        <v>64</v>
      </c>
      <c r="F72" s="548" t="s">
        <v>100</v>
      </c>
      <c r="G72" s="548" t="s">
        <v>402</v>
      </c>
      <c r="H72" s="548" t="s">
        <v>67</v>
      </c>
      <c r="I72" s="548"/>
      <c r="J72" s="548" t="s">
        <v>7636</v>
      </c>
      <c r="K72" s="548"/>
      <c r="L72" s="561"/>
      <c r="M72" s="551" t="s">
        <v>68</v>
      </c>
      <c r="N72" s="548" t="s">
        <v>7460</v>
      </c>
      <c r="O72" s="546" t="s">
        <v>7658</v>
      </c>
      <c r="P72" s="548" t="s">
        <v>7462</v>
      </c>
      <c r="Q72" s="548"/>
      <c r="R72" s="552">
        <v>24</v>
      </c>
      <c r="S72" s="562"/>
      <c r="T72" s="548"/>
      <c r="U72" s="573">
        <f>ESS_DATA[[#This Row],[QUANTITY]]/276</f>
        <v>8.6956521739130432E-2</v>
      </c>
      <c r="V72" s="576" t="s">
        <v>7666</v>
      </c>
      <c r="W72" s="548" t="s">
        <v>7650</v>
      </c>
      <c r="X72" s="582" t="str">
        <f t="shared" si="2"/>
        <v>COMPLETED</v>
      </c>
      <c r="Y72" s="578"/>
      <c r="Z72" s="558">
        <v>46156</v>
      </c>
      <c r="AA72" s="568">
        <f>WEEKNUM(ESS_DATA[[#This Row],[Pick-Up Date]])</f>
        <v>20</v>
      </c>
      <c r="AB72" s="569" t="s">
        <v>7660</v>
      </c>
      <c r="AC72" s="560"/>
      <c r="AD72" s="546" t="s">
        <v>122</v>
      </c>
      <c r="AE72" s="548" t="s">
        <v>123</v>
      </c>
      <c r="AF72" s="548" t="s">
        <v>105</v>
      </c>
      <c r="AG72" s="558">
        <v>46163</v>
      </c>
      <c r="AH72" s="558">
        <v>46163</v>
      </c>
      <c r="AI72" s="558">
        <v>46165</v>
      </c>
      <c r="AJ72" s="558">
        <v>46202</v>
      </c>
      <c r="AK72" s="558">
        <v>46202</v>
      </c>
      <c r="AL72" s="558">
        <v>46202</v>
      </c>
      <c r="AM72" s="556" t="s">
        <v>402</v>
      </c>
      <c r="AN72" s="558" t="s">
        <v>7661</v>
      </c>
      <c r="AO72" s="558" t="s">
        <v>161</v>
      </c>
      <c r="AP72" s="558" t="s">
        <v>7667</v>
      </c>
      <c r="AQ72" s="548" t="s">
        <v>7668</v>
      </c>
      <c r="AR72" s="548">
        <v>270243379</v>
      </c>
      <c r="AS72" s="548">
        <f>ESS_DATA[[#This Row],[ETA On S/O]]-ESS_DATA[[#This Row],[ETD On S/O]]+1</f>
        <v>40</v>
      </c>
      <c r="AT72" s="548"/>
      <c r="AU72" s="558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46220</v>
      </c>
      <c r="AX72" s="548">
        <f>IF(ESS_DATA[[#This Row],[New Ark PO Type]]="Offshore",0,IFERROR(VLOOKUP(ESS_DATA[[#This Row],[PORT OF LOADING]]&amp;ESS_DATA[[#This Row],[PORT DESTINATION]],LT_REF[],7,0),14))</f>
        <v>7</v>
      </c>
      <c r="AY72" s="558">
        <f>IFERROR(ESS_DATA[[#This Row],[ODP ETA Port]]+ESS_DATA[[#This Row],[Customs/Leg3 Assumption]],"n/a")</f>
        <v>46209</v>
      </c>
      <c r="AZ72" s="546">
        <f>YEAR(ESS_DATA[[#This Row],[ETA for New Ark update]])</f>
        <v>2026</v>
      </c>
      <c r="BA72" s="546">
        <f>MONTH(ESS_DATA[[#This Row],[ETA for New Ark update]])</f>
        <v>7</v>
      </c>
      <c r="BB72" s="546">
        <f>IFERROR(_xlfn.ISOWEEKNUM(ESS_DATA[[#This Row],[ETA for New Ark update]]),0)</f>
        <v>28</v>
      </c>
      <c r="BC72" s="546" t="str">
        <f>_xlfn.XLOOKUP(ESS_DATA[[#This Row],[PORT DESTINATION]],Table12[PORT DESTINATION],Table12[Cosco Line],,0)</f>
        <v>AEU</v>
      </c>
      <c r="BD72" s="546"/>
    </row>
    <row r="73" spans="1:56" s="323" customFormat="1" ht="10">
      <c r="A73" s="311" t="s">
        <v>7670</v>
      </c>
      <c r="B73" s="312" t="s">
        <v>7594</v>
      </c>
      <c r="C73" s="313" t="str">
        <f>IFERROR(LEFT(ESS_DATA[[#This Row],[TCL REFERENCE]],FIND(".",ESS_DATA[[#This Row],[TCL REFERENCE]],1)-1),"Main Line")</f>
        <v>26APR006</v>
      </c>
      <c r="D73" s="313" t="s">
        <v>63</v>
      </c>
      <c r="E73" s="313" t="s">
        <v>64</v>
      </c>
      <c r="F73" s="313" t="s">
        <v>65</v>
      </c>
      <c r="G73" s="313" t="s">
        <v>402</v>
      </c>
      <c r="H73" s="313" t="s">
        <v>67</v>
      </c>
      <c r="I73" s="313"/>
      <c r="J73" s="313" t="s">
        <v>7636</v>
      </c>
      <c r="K73" s="313"/>
      <c r="L73" s="314"/>
      <c r="M73" s="315" t="s">
        <v>68</v>
      </c>
      <c r="N73" s="313" t="s">
        <v>7437</v>
      </c>
      <c r="O73" s="316" t="s">
        <v>7438</v>
      </c>
      <c r="P73" s="381" t="s">
        <v>7439</v>
      </c>
      <c r="Q73" s="382"/>
      <c r="R73" s="383">
        <v>160</v>
      </c>
      <c r="S73" s="384"/>
      <c r="T73" s="381"/>
      <c r="U73" s="385">
        <f>ESS_DATA[[#This Row],[QUANTITY]]/224</f>
        <v>0.7142857142857143</v>
      </c>
      <c r="V73" s="386" t="s">
        <v>7463</v>
      </c>
      <c r="W73" s="374" t="s">
        <v>2454</v>
      </c>
      <c r="X73" s="374" t="str">
        <f t="shared" si="2"/>
        <v>COMPLETED</v>
      </c>
      <c r="Y73" s="249"/>
      <c r="Z73" s="320">
        <v>46177</v>
      </c>
      <c r="AA73" s="321">
        <f>WEEKNUM(ESS_DATA[[#This Row],[Pick-Up Date]])</f>
        <v>23</v>
      </c>
      <c r="AB73" s="381" t="s">
        <v>7671</v>
      </c>
      <c r="AC73" s="313"/>
      <c r="AD73" s="316" t="s">
        <v>122</v>
      </c>
      <c r="AE73" s="313" t="s">
        <v>123</v>
      </c>
      <c r="AF73" s="381" t="s">
        <v>105</v>
      </c>
      <c r="AG73" s="320">
        <v>46184</v>
      </c>
      <c r="AH73" s="320">
        <v>46186</v>
      </c>
      <c r="AI73" s="320">
        <v>46186</v>
      </c>
      <c r="AJ73" s="320">
        <v>46217</v>
      </c>
      <c r="AK73" s="320">
        <v>46223</v>
      </c>
      <c r="AL73" s="320">
        <v>46223</v>
      </c>
      <c r="AM73" s="322" t="s">
        <v>402</v>
      </c>
      <c r="AN73" s="320" t="s">
        <v>4752</v>
      </c>
      <c r="AO73" s="320" t="s">
        <v>80</v>
      </c>
      <c r="AP73" s="320" t="s">
        <v>7672</v>
      </c>
      <c r="AQ73" s="313" t="s">
        <v>7673</v>
      </c>
      <c r="AR73" s="313" t="s">
        <v>7673</v>
      </c>
      <c r="AS73" s="313">
        <f>ESS_DATA[[#This Row],[ETA On S/O]]-ESS_DATA[[#This Row],[ETD On S/O]]+1</f>
        <v>34</v>
      </c>
      <c r="AT73" s="313"/>
      <c r="AU73" s="320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46230</v>
      </c>
      <c r="AX73" s="313">
        <f>IF(ESS_DATA[[#This Row],[New Ark PO Type]]="Offshore",0,IFERROR(VLOOKUP(ESS_DATA[[#This Row],[PORT OF LOADING]]&amp;ESS_DATA[[#This Row],[PORT DESTINATION]],LT_REF[],7,0),14))</f>
        <v>7</v>
      </c>
      <c r="AY73" s="320">
        <f>IFERROR(ESS_DATA[[#This Row],[ODP ETA Port]]+ESS_DATA[[#This Row],[Customs/Leg3 Assumption]],"n/a")</f>
        <v>46230</v>
      </c>
      <c r="AZ73" s="316">
        <f>YEAR(ESS_DATA[[#This Row],[ETA for New Ark update]])</f>
        <v>2026</v>
      </c>
      <c r="BA73" s="316">
        <f>MONTH(ESS_DATA[[#This Row],[ETA for New Ark update]])</f>
        <v>7</v>
      </c>
      <c r="BB73" s="316">
        <f>IFERROR(_xlfn.ISOWEEKNUM(ESS_DATA[[#This Row],[ETA for New Ark update]]),0)</f>
        <v>31</v>
      </c>
      <c r="BC73" s="316" t="str">
        <f>_xlfn.XLOOKUP(ESS_DATA[[#This Row],[PORT DESTINATION]],Table12[PORT DESTINATION],Table12[Cosco Line],,0)</f>
        <v>AEU</v>
      </c>
      <c r="BD73" s="82"/>
    </row>
    <row r="74" spans="1:56" s="323" customFormat="1" ht="10">
      <c r="A74" s="311" t="s">
        <v>7674</v>
      </c>
      <c r="B74" s="312" t="s">
        <v>7594</v>
      </c>
      <c r="C74" s="313" t="str">
        <f>IFERROR(LEFT(ESS_DATA[[#This Row],[TCL REFERENCE]],FIND(".",ESS_DATA[[#This Row],[TCL REFERENCE]],1)-1),"Main Line")</f>
        <v>26APR006</v>
      </c>
      <c r="D74" s="313" t="s">
        <v>63</v>
      </c>
      <c r="E74" s="313" t="s">
        <v>64</v>
      </c>
      <c r="F74" s="313" t="s">
        <v>65</v>
      </c>
      <c r="G74" s="313" t="s">
        <v>402</v>
      </c>
      <c r="H74" s="313" t="s">
        <v>67</v>
      </c>
      <c r="I74" s="313"/>
      <c r="J74" s="313" t="s">
        <v>7636</v>
      </c>
      <c r="K74" s="313"/>
      <c r="L74" s="314"/>
      <c r="M74" s="315" t="s">
        <v>68</v>
      </c>
      <c r="N74" s="313" t="s">
        <v>7437</v>
      </c>
      <c r="O74" s="316" t="s">
        <v>7438</v>
      </c>
      <c r="P74" s="381" t="s">
        <v>7439</v>
      </c>
      <c r="Q74" s="382"/>
      <c r="R74" s="383">
        <v>14</v>
      </c>
      <c r="S74" s="384"/>
      <c r="T74" s="381"/>
      <c r="U74" s="385">
        <f>ESS_DATA[[#This Row],[QUANTITY]]/224</f>
        <v>6.25E-2</v>
      </c>
      <c r="V74" s="386" t="s">
        <v>7463</v>
      </c>
      <c r="W74" s="374" t="s">
        <v>2454</v>
      </c>
      <c r="X74" s="374" t="str">
        <f t="shared" si="2"/>
        <v>COMPLETED</v>
      </c>
      <c r="Y74" s="249"/>
      <c r="Z74" s="320">
        <v>46177</v>
      </c>
      <c r="AA74" s="321">
        <f>WEEKNUM(ESS_DATA[[#This Row],[Pick-Up Date]])</f>
        <v>23</v>
      </c>
      <c r="AB74" s="381" t="s">
        <v>7671</v>
      </c>
      <c r="AC74" s="313"/>
      <c r="AD74" s="316" t="s">
        <v>122</v>
      </c>
      <c r="AE74" s="313" t="s">
        <v>123</v>
      </c>
      <c r="AF74" s="381" t="s">
        <v>105</v>
      </c>
      <c r="AG74" s="320">
        <v>46184</v>
      </c>
      <c r="AH74" s="320">
        <v>46186</v>
      </c>
      <c r="AI74" s="320">
        <v>46186</v>
      </c>
      <c r="AJ74" s="320">
        <v>46217</v>
      </c>
      <c r="AK74" s="320">
        <v>46223</v>
      </c>
      <c r="AL74" s="320">
        <v>46223</v>
      </c>
      <c r="AM74" s="322" t="s">
        <v>402</v>
      </c>
      <c r="AN74" s="320" t="s">
        <v>4752</v>
      </c>
      <c r="AO74" s="320" t="s">
        <v>80</v>
      </c>
      <c r="AP74" s="320" t="s">
        <v>7672</v>
      </c>
      <c r="AQ74" s="313" t="s">
        <v>7673</v>
      </c>
      <c r="AR74" s="313" t="s">
        <v>7673</v>
      </c>
      <c r="AS74" s="313">
        <f>ESS_DATA[[#This Row],[ETA On S/O]]-ESS_DATA[[#This Row],[ETD On S/O]]+1</f>
        <v>34</v>
      </c>
      <c r="AT74" s="313"/>
      <c r="AU74" s="320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46230</v>
      </c>
      <c r="AX74" s="313">
        <f>IF(ESS_DATA[[#This Row],[New Ark PO Type]]="Offshore",0,IFERROR(VLOOKUP(ESS_DATA[[#This Row],[PORT OF LOADING]]&amp;ESS_DATA[[#This Row],[PORT DESTINATION]],LT_REF[],7,0),14))</f>
        <v>7</v>
      </c>
      <c r="AY74" s="320">
        <f>IFERROR(ESS_DATA[[#This Row],[ODP ETA Port]]+ESS_DATA[[#This Row],[Customs/Leg3 Assumption]],"n/a")</f>
        <v>46230</v>
      </c>
      <c r="AZ74" s="316">
        <f>YEAR(ESS_DATA[[#This Row],[ETA for New Ark update]])</f>
        <v>2026</v>
      </c>
      <c r="BA74" s="316">
        <f>MONTH(ESS_DATA[[#This Row],[ETA for New Ark update]])</f>
        <v>7</v>
      </c>
      <c r="BB74" s="316">
        <f>IFERROR(_xlfn.ISOWEEKNUM(ESS_DATA[[#This Row],[ETA for New Ark update]]),0)</f>
        <v>31</v>
      </c>
      <c r="BC74" s="316" t="str">
        <f>_xlfn.XLOOKUP(ESS_DATA[[#This Row],[PORT DESTINATION]],Table12[PORT DESTINATION],Table12[Cosco Line],,0)</f>
        <v>AEU</v>
      </c>
      <c r="BD74" s="82"/>
    </row>
    <row r="75" spans="1:56" s="323" customFormat="1" ht="10">
      <c r="A75" s="311" t="s">
        <v>7675</v>
      </c>
      <c r="B75" s="312" t="s">
        <v>7594</v>
      </c>
      <c r="C75" s="313" t="str">
        <f>IFERROR(LEFT(ESS_DATA[[#This Row],[TCL REFERENCE]],FIND(".",ESS_DATA[[#This Row],[TCL REFERENCE]],1)-1),"Main Line")</f>
        <v>Main Line</v>
      </c>
      <c r="D75" s="313" t="s">
        <v>63</v>
      </c>
      <c r="E75" s="313" t="s">
        <v>64</v>
      </c>
      <c r="F75" s="313" t="s">
        <v>65</v>
      </c>
      <c r="G75" s="313" t="s">
        <v>402</v>
      </c>
      <c r="H75" s="313" t="s">
        <v>67</v>
      </c>
      <c r="I75" s="313"/>
      <c r="J75" s="313" t="s">
        <v>7636</v>
      </c>
      <c r="K75" s="313"/>
      <c r="L75" s="314"/>
      <c r="M75" s="315" t="s">
        <v>68</v>
      </c>
      <c r="N75" s="313" t="s">
        <v>7446</v>
      </c>
      <c r="O75" s="316" t="s">
        <v>7438</v>
      </c>
      <c r="P75" s="381" t="s">
        <v>7447</v>
      </c>
      <c r="Q75" s="382"/>
      <c r="R75" s="383">
        <v>48</v>
      </c>
      <c r="S75" s="384"/>
      <c r="T75" s="381"/>
      <c r="U75" s="385">
        <f>ESS_DATA[[#This Row],[QUANTITY]]/224</f>
        <v>0.21428571428571427</v>
      </c>
      <c r="V75" s="386" t="s">
        <v>7463</v>
      </c>
      <c r="W75" s="374" t="s">
        <v>2454</v>
      </c>
      <c r="X75" s="374" t="str">
        <f t="shared" si="2"/>
        <v>COMPLETED</v>
      </c>
      <c r="Y75" s="249"/>
      <c r="Z75" s="320">
        <v>46177</v>
      </c>
      <c r="AA75" s="321">
        <f>WEEKNUM(ESS_DATA[[#This Row],[Pick-Up Date]])</f>
        <v>23</v>
      </c>
      <c r="AB75" s="381" t="s">
        <v>7671</v>
      </c>
      <c r="AC75" s="313"/>
      <c r="AD75" s="316" t="s">
        <v>122</v>
      </c>
      <c r="AE75" s="313" t="s">
        <v>123</v>
      </c>
      <c r="AF75" s="381" t="s">
        <v>105</v>
      </c>
      <c r="AG75" s="320">
        <v>46184</v>
      </c>
      <c r="AH75" s="320">
        <v>46186</v>
      </c>
      <c r="AI75" s="320">
        <v>46186</v>
      </c>
      <c r="AJ75" s="320">
        <v>46217</v>
      </c>
      <c r="AK75" s="320">
        <v>46223</v>
      </c>
      <c r="AL75" s="320">
        <v>46223</v>
      </c>
      <c r="AM75" s="322" t="s">
        <v>402</v>
      </c>
      <c r="AN75" s="320" t="s">
        <v>4752</v>
      </c>
      <c r="AO75" s="320" t="s">
        <v>80</v>
      </c>
      <c r="AP75" s="320" t="s">
        <v>7672</v>
      </c>
      <c r="AQ75" s="313" t="s">
        <v>7673</v>
      </c>
      <c r="AR75" s="313" t="s">
        <v>7673</v>
      </c>
      <c r="AS75" s="313">
        <f>ESS_DATA[[#This Row],[ETA On S/O]]-ESS_DATA[[#This Row],[ETD On S/O]]+1</f>
        <v>34</v>
      </c>
      <c r="AT75" s="313"/>
      <c r="AU75" s="320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46230</v>
      </c>
      <c r="AX75" s="313">
        <f>IF(ESS_DATA[[#This Row],[New Ark PO Type]]="Offshore",0,IFERROR(VLOOKUP(ESS_DATA[[#This Row],[PORT OF LOADING]]&amp;ESS_DATA[[#This Row],[PORT DESTINATION]],LT_REF[],7,0),14))</f>
        <v>7</v>
      </c>
      <c r="AY75" s="320">
        <f>IFERROR(ESS_DATA[[#This Row],[ODP ETA Port]]+ESS_DATA[[#This Row],[Customs/Leg3 Assumption]],"n/a")</f>
        <v>46230</v>
      </c>
      <c r="AZ75" s="316">
        <f>YEAR(ESS_DATA[[#This Row],[ETA for New Ark update]])</f>
        <v>2026</v>
      </c>
      <c r="BA75" s="316">
        <f>MONTH(ESS_DATA[[#This Row],[ETA for New Ark update]])</f>
        <v>7</v>
      </c>
      <c r="BB75" s="316">
        <f>IFERROR(_xlfn.ISOWEEKNUM(ESS_DATA[[#This Row],[ETA for New Ark update]]),0)</f>
        <v>31</v>
      </c>
      <c r="BC75" s="316" t="str">
        <f>_xlfn.XLOOKUP(ESS_DATA[[#This Row],[PORT DESTINATION]],Table12[PORT DESTINATION],Table12[Cosco Line],,0)</f>
        <v>AEU</v>
      </c>
      <c r="BD75" s="82"/>
    </row>
    <row r="76" spans="1:56" s="323" customFormat="1" ht="10">
      <c r="A76" s="311" t="s">
        <v>7676</v>
      </c>
      <c r="B76" s="312" t="s">
        <v>7594</v>
      </c>
      <c r="C76" s="313" t="str">
        <f>IFERROR(LEFT(ESS_DATA[[#This Row],[TCL REFERENCE]],FIND(".",ESS_DATA[[#This Row],[TCL REFERENCE]],1)-1),"Main Line")</f>
        <v>26APR007</v>
      </c>
      <c r="D76" s="313" t="s">
        <v>63</v>
      </c>
      <c r="E76" s="313" t="s">
        <v>64</v>
      </c>
      <c r="F76" s="313" t="s">
        <v>65</v>
      </c>
      <c r="G76" s="313" t="s">
        <v>402</v>
      </c>
      <c r="H76" s="313" t="s">
        <v>67</v>
      </c>
      <c r="I76" s="313"/>
      <c r="J76" s="313" t="s">
        <v>7636</v>
      </c>
      <c r="K76" s="313"/>
      <c r="L76" s="314"/>
      <c r="M76" s="315" t="s">
        <v>68</v>
      </c>
      <c r="N76" s="313" t="s">
        <v>7446</v>
      </c>
      <c r="O76" s="316" t="s">
        <v>7438</v>
      </c>
      <c r="P76" s="381" t="s">
        <v>7447</v>
      </c>
      <c r="Q76" s="382"/>
      <c r="R76" s="383">
        <v>2</v>
      </c>
      <c r="S76" s="384"/>
      <c r="T76" s="381"/>
      <c r="U76" s="385">
        <f>ESS_DATA[[#This Row],[QUANTITY]]/224</f>
        <v>8.9285714285714281E-3</v>
      </c>
      <c r="V76" s="386" t="s">
        <v>7463</v>
      </c>
      <c r="W76" s="374" t="s">
        <v>2454</v>
      </c>
      <c r="X76" s="374" t="str">
        <f t="shared" si="2"/>
        <v>COMPLETED</v>
      </c>
      <c r="Y76" s="249"/>
      <c r="Z76" s="320">
        <v>46177</v>
      </c>
      <c r="AA76" s="321">
        <f>WEEKNUM(ESS_DATA[[#This Row],[Pick-Up Date]])</f>
        <v>23</v>
      </c>
      <c r="AB76" s="381" t="s">
        <v>7671</v>
      </c>
      <c r="AC76" s="313"/>
      <c r="AD76" s="316" t="s">
        <v>122</v>
      </c>
      <c r="AE76" s="313" t="s">
        <v>123</v>
      </c>
      <c r="AF76" s="381" t="s">
        <v>105</v>
      </c>
      <c r="AG76" s="320">
        <v>46184</v>
      </c>
      <c r="AH76" s="320">
        <v>46186</v>
      </c>
      <c r="AI76" s="320">
        <v>46186</v>
      </c>
      <c r="AJ76" s="320">
        <v>46217</v>
      </c>
      <c r="AK76" s="320">
        <v>46223</v>
      </c>
      <c r="AL76" s="320">
        <v>46223</v>
      </c>
      <c r="AM76" s="322" t="s">
        <v>402</v>
      </c>
      <c r="AN76" s="320" t="s">
        <v>4752</v>
      </c>
      <c r="AO76" s="320" t="s">
        <v>80</v>
      </c>
      <c r="AP76" s="320" t="s">
        <v>7672</v>
      </c>
      <c r="AQ76" s="313" t="s">
        <v>7673</v>
      </c>
      <c r="AR76" s="313" t="s">
        <v>7673</v>
      </c>
      <c r="AS76" s="313">
        <f>ESS_DATA[[#This Row],[ETA On S/O]]-ESS_DATA[[#This Row],[ETD On S/O]]+1</f>
        <v>34</v>
      </c>
      <c r="AT76" s="313"/>
      <c r="AU76" s="320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46230</v>
      </c>
      <c r="AX76" s="313">
        <f>IF(ESS_DATA[[#This Row],[New Ark PO Type]]="Offshore",0,IFERROR(VLOOKUP(ESS_DATA[[#This Row],[PORT OF LOADING]]&amp;ESS_DATA[[#This Row],[PORT DESTINATION]],LT_REF[],7,0),14))</f>
        <v>7</v>
      </c>
      <c r="AY76" s="320">
        <f>IFERROR(ESS_DATA[[#This Row],[ODP ETA Port]]+ESS_DATA[[#This Row],[Customs/Leg3 Assumption]],"n/a")</f>
        <v>46230</v>
      </c>
      <c r="AZ76" s="316">
        <f>YEAR(ESS_DATA[[#This Row],[ETA for New Ark update]])</f>
        <v>2026</v>
      </c>
      <c r="BA76" s="316">
        <f>MONTH(ESS_DATA[[#This Row],[ETA for New Ark update]])</f>
        <v>7</v>
      </c>
      <c r="BB76" s="316">
        <f>IFERROR(_xlfn.ISOWEEKNUM(ESS_DATA[[#This Row],[ETA for New Ark update]]),0)</f>
        <v>31</v>
      </c>
      <c r="BC76" s="316" t="str">
        <f>_xlfn.XLOOKUP(ESS_DATA[[#This Row],[PORT DESTINATION]],Table12[PORT DESTINATION],Table12[Cosco Line],,0)</f>
        <v>AEU</v>
      </c>
      <c r="BD76" s="82"/>
    </row>
    <row r="77" spans="1:56" s="323" customFormat="1" ht="10">
      <c r="A77" s="311" t="s">
        <v>7677</v>
      </c>
      <c r="B77" s="312" t="s">
        <v>7594</v>
      </c>
      <c r="C77" s="313" t="str">
        <f>IFERROR(LEFT(ESS_DATA[[#This Row],[TCL REFERENCE]],FIND(".",ESS_DATA[[#This Row],[TCL REFERENCE]],1)-1),"Main Line")</f>
        <v>26APR008</v>
      </c>
      <c r="D77" s="313" t="s">
        <v>63</v>
      </c>
      <c r="E77" s="313" t="s">
        <v>64</v>
      </c>
      <c r="F77" s="313" t="s">
        <v>65</v>
      </c>
      <c r="G77" s="313" t="s">
        <v>402</v>
      </c>
      <c r="H77" s="313" t="s">
        <v>67</v>
      </c>
      <c r="I77" s="313"/>
      <c r="J77" s="313" t="s">
        <v>7636</v>
      </c>
      <c r="K77" s="313"/>
      <c r="L77" s="314"/>
      <c r="M77" s="315" t="s">
        <v>68</v>
      </c>
      <c r="N77" s="313" t="s">
        <v>7449</v>
      </c>
      <c r="O77" s="316" t="s">
        <v>7646</v>
      </c>
      <c r="P77" s="381" t="s">
        <v>7451</v>
      </c>
      <c r="Q77" s="382"/>
      <c r="R77" s="383">
        <v>334</v>
      </c>
      <c r="S77" s="384"/>
      <c r="T77" s="381"/>
      <c r="U77" s="387">
        <f>ESS_DATA[[#This Row],[QUANTITY]]/350</f>
        <v>0.95428571428571429</v>
      </c>
      <c r="V77" s="386" t="s">
        <v>7469</v>
      </c>
      <c r="W77" s="374" t="s">
        <v>2454</v>
      </c>
      <c r="X77" s="374" t="str">
        <f t="shared" si="2"/>
        <v>COMPLETED</v>
      </c>
      <c r="Y77" s="249"/>
      <c r="Z77" s="320">
        <v>46177</v>
      </c>
      <c r="AA77" s="321">
        <f>WEEKNUM(ESS_DATA[[#This Row],[Pick-Up Date]])</f>
        <v>23</v>
      </c>
      <c r="AB77" s="381" t="s">
        <v>7671</v>
      </c>
      <c r="AC77" s="313"/>
      <c r="AD77" s="316" t="s">
        <v>122</v>
      </c>
      <c r="AE77" s="313" t="s">
        <v>123</v>
      </c>
      <c r="AF77" s="381" t="s">
        <v>105</v>
      </c>
      <c r="AG77" s="320">
        <v>46184</v>
      </c>
      <c r="AH77" s="320">
        <v>46186</v>
      </c>
      <c r="AI77" s="320">
        <v>46186</v>
      </c>
      <c r="AJ77" s="320">
        <v>46217</v>
      </c>
      <c r="AK77" s="320">
        <v>46223</v>
      </c>
      <c r="AL77" s="320">
        <v>46223</v>
      </c>
      <c r="AM77" s="322" t="s">
        <v>402</v>
      </c>
      <c r="AN77" s="320" t="s">
        <v>4752</v>
      </c>
      <c r="AO77" s="320" t="s">
        <v>80</v>
      </c>
      <c r="AP77" s="320" t="s">
        <v>7672</v>
      </c>
      <c r="AQ77" s="313" t="s">
        <v>7673</v>
      </c>
      <c r="AR77" s="313" t="s">
        <v>7673</v>
      </c>
      <c r="AS77" s="313">
        <f>ESS_DATA[[#This Row],[ETA On S/O]]-ESS_DATA[[#This Row],[ETD On S/O]]+1</f>
        <v>34</v>
      </c>
      <c r="AT77" s="313"/>
      <c r="AU77" s="320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46230</v>
      </c>
      <c r="AX77" s="313">
        <f>IF(ESS_DATA[[#This Row],[New Ark PO Type]]="Offshore",0,IFERROR(VLOOKUP(ESS_DATA[[#This Row],[PORT OF LOADING]]&amp;ESS_DATA[[#This Row],[PORT DESTINATION]],LT_REF[],7,0),14))</f>
        <v>7</v>
      </c>
      <c r="AY77" s="320">
        <f>IFERROR(ESS_DATA[[#This Row],[ODP ETA Port]]+ESS_DATA[[#This Row],[Customs/Leg3 Assumption]],"n/a")</f>
        <v>46230</v>
      </c>
      <c r="AZ77" s="316">
        <f>YEAR(ESS_DATA[[#This Row],[ETA for New Ark update]])</f>
        <v>2026</v>
      </c>
      <c r="BA77" s="316">
        <f>MONTH(ESS_DATA[[#This Row],[ETA for New Ark update]])</f>
        <v>7</v>
      </c>
      <c r="BB77" s="316">
        <f>IFERROR(_xlfn.ISOWEEKNUM(ESS_DATA[[#This Row],[ETA for New Ark update]]),0)</f>
        <v>31</v>
      </c>
      <c r="BC77" s="316" t="str">
        <f>_xlfn.XLOOKUP(ESS_DATA[[#This Row],[PORT DESTINATION]],Table12[PORT DESTINATION],Table12[Cosco Line],,0)</f>
        <v>AEU</v>
      </c>
      <c r="BD77" s="82"/>
    </row>
    <row r="78" spans="1:56" s="323" customFormat="1" ht="10">
      <c r="A78" s="311" t="s">
        <v>7678</v>
      </c>
      <c r="B78" s="312" t="s">
        <v>7594</v>
      </c>
      <c r="C78" s="313" t="str">
        <f>IFERROR(LEFT(ESS_DATA[[#This Row],[TCL REFERENCE]],FIND(".",ESS_DATA[[#This Row],[TCL REFERENCE]],1)-1),"Main Line")</f>
        <v>26APR008</v>
      </c>
      <c r="D78" s="313" t="s">
        <v>63</v>
      </c>
      <c r="E78" s="313" t="s">
        <v>64</v>
      </c>
      <c r="F78" s="313" t="s">
        <v>65</v>
      </c>
      <c r="G78" s="313" t="s">
        <v>402</v>
      </c>
      <c r="H78" s="313" t="s">
        <v>67</v>
      </c>
      <c r="I78" s="313"/>
      <c r="J78" s="313" t="s">
        <v>7636</v>
      </c>
      <c r="K78" s="313"/>
      <c r="L78" s="314"/>
      <c r="M78" s="315" t="s">
        <v>68</v>
      </c>
      <c r="N78" s="313" t="s">
        <v>7449</v>
      </c>
      <c r="O78" s="316" t="s">
        <v>7646</v>
      </c>
      <c r="P78" s="381" t="s">
        <v>7451</v>
      </c>
      <c r="Q78" s="382"/>
      <c r="R78" s="383">
        <v>16</v>
      </c>
      <c r="S78" s="384"/>
      <c r="T78" s="381"/>
      <c r="U78" s="387">
        <f>ESS_DATA[[#This Row],[QUANTITY]]/350</f>
        <v>4.5714285714285714E-2</v>
      </c>
      <c r="V78" s="386" t="s">
        <v>7469</v>
      </c>
      <c r="W78" s="374" t="s">
        <v>2454</v>
      </c>
      <c r="X78" s="374" t="str">
        <f t="shared" si="2"/>
        <v>COMPLETED</v>
      </c>
      <c r="Y78" s="249"/>
      <c r="Z78" s="320">
        <v>46177</v>
      </c>
      <c r="AA78" s="321">
        <f>WEEKNUM(ESS_DATA[[#This Row],[Pick-Up Date]])</f>
        <v>23</v>
      </c>
      <c r="AB78" s="381" t="s">
        <v>7671</v>
      </c>
      <c r="AC78" s="313"/>
      <c r="AD78" s="316" t="s">
        <v>122</v>
      </c>
      <c r="AE78" s="313" t="s">
        <v>123</v>
      </c>
      <c r="AF78" s="381" t="s">
        <v>105</v>
      </c>
      <c r="AG78" s="320">
        <v>46184</v>
      </c>
      <c r="AH78" s="320">
        <v>46186</v>
      </c>
      <c r="AI78" s="320">
        <v>46186</v>
      </c>
      <c r="AJ78" s="320">
        <v>46217</v>
      </c>
      <c r="AK78" s="320">
        <v>46223</v>
      </c>
      <c r="AL78" s="320">
        <v>46223</v>
      </c>
      <c r="AM78" s="322" t="s">
        <v>402</v>
      </c>
      <c r="AN78" s="320" t="s">
        <v>4752</v>
      </c>
      <c r="AO78" s="320" t="s">
        <v>80</v>
      </c>
      <c r="AP78" s="320" t="s">
        <v>7672</v>
      </c>
      <c r="AQ78" s="313" t="s">
        <v>7673</v>
      </c>
      <c r="AR78" s="313" t="s">
        <v>7673</v>
      </c>
      <c r="AS78" s="313">
        <f>ESS_DATA[[#This Row],[ETA On S/O]]-ESS_DATA[[#This Row],[ETD On S/O]]+1</f>
        <v>34</v>
      </c>
      <c r="AT78" s="313"/>
      <c r="AU78" s="320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46230</v>
      </c>
      <c r="AX78" s="313">
        <f>IF(ESS_DATA[[#This Row],[New Ark PO Type]]="Offshore",0,IFERROR(VLOOKUP(ESS_DATA[[#This Row],[PORT OF LOADING]]&amp;ESS_DATA[[#This Row],[PORT DESTINATION]],LT_REF[],7,0),14))</f>
        <v>7</v>
      </c>
      <c r="AY78" s="320">
        <f>IFERROR(ESS_DATA[[#This Row],[ODP ETA Port]]+ESS_DATA[[#This Row],[Customs/Leg3 Assumption]],"n/a")</f>
        <v>46230</v>
      </c>
      <c r="AZ78" s="316">
        <f>YEAR(ESS_DATA[[#This Row],[ETA for New Ark update]])</f>
        <v>2026</v>
      </c>
      <c r="BA78" s="316">
        <f>MONTH(ESS_DATA[[#This Row],[ETA for New Ark update]])</f>
        <v>7</v>
      </c>
      <c r="BB78" s="316">
        <f>IFERROR(_xlfn.ISOWEEKNUM(ESS_DATA[[#This Row],[ETA for New Ark update]]),0)</f>
        <v>31</v>
      </c>
      <c r="BC78" s="316" t="str">
        <f>_xlfn.XLOOKUP(ESS_DATA[[#This Row],[PORT DESTINATION]],Table12[PORT DESTINATION],Table12[Cosco Line],,0)</f>
        <v>AEU</v>
      </c>
      <c r="BD78" s="82"/>
    </row>
    <row r="79" spans="1:56" s="323" customFormat="1" ht="10">
      <c r="A79" s="311" t="s">
        <v>7679</v>
      </c>
      <c r="B79" s="312" t="s">
        <v>7594</v>
      </c>
      <c r="C79" s="313" t="str">
        <f>IFERROR(LEFT(ESS_DATA[[#This Row],[TCL REFERENCE]],FIND(".",ESS_DATA[[#This Row],[TCL REFERENCE]],1)-1),"Main Line")</f>
        <v>26APR009</v>
      </c>
      <c r="D79" s="313" t="s">
        <v>63</v>
      </c>
      <c r="E79" s="313" t="s">
        <v>64</v>
      </c>
      <c r="F79" s="313" t="s">
        <v>65</v>
      </c>
      <c r="G79" s="313" t="s">
        <v>402</v>
      </c>
      <c r="H79" s="313" t="s">
        <v>67</v>
      </c>
      <c r="I79" s="313"/>
      <c r="J79" s="313" t="s">
        <v>7636</v>
      </c>
      <c r="K79" s="313"/>
      <c r="L79" s="314"/>
      <c r="M79" s="315" t="s">
        <v>68</v>
      </c>
      <c r="N79" s="313" t="s">
        <v>7460</v>
      </c>
      <c r="O79" s="316" t="s">
        <v>7658</v>
      </c>
      <c r="P79" s="381" t="s">
        <v>7462</v>
      </c>
      <c r="Q79" s="382"/>
      <c r="R79" s="686">
        <v>276</v>
      </c>
      <c r="S79" s="384"/>
      <c r="T79" s="381"/>
      <c r="U79" s="387">
        <f>ESS_DATA[[#This Row],[QUANTITY]]/276</f>
        <v>1</v>
      </c>
      <c r="V79" s="386" t="s">
        <v>7680</v>
      </c>
      <c r="W79" s="374" t="s">
        <v>2454</v>
      </c>
      <c r="X79" s="374" t="str">
        <f t="shared" si="2"/>
        <v>COMPLETED</v>
      </c>
      <c r="Y79" s="405"/>
      <c r="Z79" s="320">
        <v>46179</v>
      </c>
      <c r="AA79" s="321">
        <f>WEEKNUM(ESS_DATA[[#This Row],[Pick-Up Date]])</f>
        <v>23</v>
      </c>
      <c r="AB79" s="381" t="s">
        <v>7681</v>
      </c>
      <c r="AC79" s="313"/>
      <c r="AD79" s="316" t="s">
        <v>122</v>
      </c>
      <c r="AE79" s="313" t="s">
        <v>123</v>
      </c>
      <c r="AF79" s="381" t="s">
        <v>105</v>
      </c>
      <c r="AG79" s="320">
        <v>46186</v>
      </c>
      <c r="AH79" s="320">
        <v>46188</v>
      </c>
      <c r="AI79" s="320">
        <v>46188</v>
      </c>
      <c r="AJ79" s="320">
        <v>46228</v>
      </c>
      <c r="AK79" s="320">
        <v>46228</v>
      </c>
      <c r="AL79" s="320">
        <v>46228</v>
      </c>
      <c r="AM79" s="322" t="s">
        <v>402</v>
      </c>
      <c r="AN79" s="320" t="s">
        <v>7682</v>
      </c>
      <c r="AO79" s="320" t="s">
        <v>161</v>
      </c>
      <c r="AP79" s="320" t="s">
        <v>7683</v>
      </c>
      <c r="AQ79" s="313">
        <v>271135486</v>
      </c>
      <c r="AR79" s="313">
        <v>271135486</v>
      </c>
      <c r="AS79" s="313">
        <f>ESS_DATA[[#This Row],[ETA On S/O]]-ESS_DATA[[#This Row],[ETD On S/O]]+1</f>
        <v>43</v>
      </c>
      <c r="AT79" s="313"/>
      <c r="AU79" s="320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46237</v>
      </c>
      <c r="AX79" s="313">
        <f>IF(ESS_DATA[[#This Row],[New Ark PO Type]]="Offshore",0,IFERROR(VLOOKUP(ESS_DATA[[#This Row],[PORT OF LOADING]]&amp;ESS_DATA[[#This Row],[PORT DESTINATION]],LT_REF[],7,0),14))</f>
        <v>7</v>
      </c>
      <c r="AY79" s="320">
        <f>IFERROR(ESS_DATA[[#This Row],[ODP ETA Port]]+ESS_DATA[[#This Row],[Customs/Leg3 Assumption]],"n/a")</f>
        <v>46235</v>
      </c>
      <c r="AZ79" s="316">
        <f>YEAR(ESS_DATA[[#This Row],[ETA for New Ark update]])</f>
        <v>2026</v>
      </c>
      <c r="BA79" s="316">
        <f>MONTH(ESS_DATA[[#This Row],[ETA for New Ark update]])</f>
        <v>8</v>
      </c>
      <c r="BB79" s="316">
        <f>IFERROR(_xlfn.ISOWEEKNUM(ESS_DATA[[#This Row],[ETA for New Ark update]]),0)</f>
        <v>31</v>
      </c>
      <c r="BC79" s="316" t="str">
        <f>_xlfn.XLOOKUP(ESS_DATA[[#This Row],[PORT DESTINATION]],Table12[PORT DESTINATION],Table12[Cosco Line],,0)</f>
        <v>AEU</v>
      </c>
      <c r="BD79" s="82"/>
    </row>
    <row r="80" spans="1:56" s="323" customFormat="1" ht="10">
      <c r="A80" s="311" t="s">
        <v>7684</v>
      </c>
      <c r="B80" s="312" t="s">
        <v>7594</v>
      </c>
      <c r="C80" s="313" t="str">
        <f>IFERROR(LEFT(ESS_DATA[[#This Row],[TCL REFERENCE]],FIND(".",ESS_DATA[[#This Row],[TCL REFERENCE]],1)-1),"Main Line")</f>
        <v>26APR009</v>
      </c>
      <c r="D80" s="313" t="s">
        <v>63</v>
      </c>
      <c r="E80" s="313" t="s">
        <v>64</v>
      </c>
      <c r="F80" s="313" t="s">
        <v>65</v>
      </c>
      <c r="G80" s="313" t="s">
        <v>402</v>
      </c>
      <c r="H80" s="313" t="s">
        <v>67</v>
      </c>
      <c r="I80" s="313"/>
      <c r="J80" s="313" t="s">
        <v>7636</v>
      </c>
      <c r="K80" s="313"/>
      <c r="L80" s="314"/>
      <c r="M80" s="315" t="s">
        <v>68</v>
      </c>
      <c r="N80" s="313" t="s">
        <v>7460</v>
      </c>
      <c r="O80" s="388" t="s">
        <v>7658</v>
      </c>
      <c r="P80" s="374" t="s">
        <v>7462</v>
      </c>
      <c r="Q80" s="375"/>
      <c r="R80" s="687">
        <v>276</v>
      </c>
      <c r="S80" s="377"/>
      <c r="T80" s="374"/>
      <c r="U80" s="380">
        <f>ESS_DATA[[#This Row],[QUANTITY]]/276</f>
        <v>1</v>
      </c>
      <c r="V80" s="378" t="s">
        <v>7482</v>
      </c>
      <c r="W80" s="374" t="s">
        <v>2454</v>
      </c>
      <c r="X80" s="374" t="str">
        <f t="shared" si="2"/>
        <v>COMPLETED</v>
      </c>
      <c r="Y80" s="249"/>
      <c r="Z80" s="320">
        <v>46183</v>
      </c>
      <c r="AA80" s="321">
        <f>WEEKNUM(ESS_DATA[[#This Row],[Pick-Up Date]])</f>
        <v>24</v>
      </c>
      <c r="AB80" s="381" t="s">
        <v>7685</v>
      </c>
      <c r="AC80" s="313"/>
      <c r="AD80" s="316" t="s">
        <v>122</v>
      </c>
      <c r="AE80" s="313" t="s">
        <v>123</v>
      </c>
      <c r="AF80" s="374" t="s">
        <v>356</v>
      </c>
      <c r="AG80" s="320">
        <v>46189</v>
      </c>
      <c r="AH80" s="320">
        <v>46192</v>
      </c>
      <c r="AI80" s="320">
        <v>46192</v>
      </c>
      <c r="AJ80" s="320">
        <v>46241</v>
      </c>
      <c r="AK80" s="320">
        <v>46235</v>
      </c>
      <c r="AL80" s="320">
        <v>46235</v>
      </c>
      <c r="AM80" s="322" t="s">
        <v>402</v>
      </c>
      <c r="AN80" s="320" t="s">
        <v>7686</v>
      </c>
      <c r="AO80" s="320" t="s">
        <v>161</v>
      </c>
      <c r="AP80" s="320" t="s">
        <v>7687</v>
      </c>
      <c r="AQ80" s="313">
        <v>271140592</v>
      </c>
      <c r="AR80" s="313">
        <v>271140592</v>
      </c>
      <c r="AS80" s="313">
        <f>ESS_DATA[[#This Row],[ETA On S/O]]-ESS_DATA[[#This Row],[ETD On S/O]]+1</f>
        <v>53</v>
      </c>
      <c r="AT80" s="313"/>
      <c r="AU80" s="320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46247</v>
      </c>
      <c r="AX80" s="313">
        <f>IF(ESS_DATA[[#This Row],[New Ark PO Type]]="Offshore",0,IFERROR(VLOOKUP(ESS_DATA[[#This Row],[PORT OF LOADING]]&amp;ESS_DATA[[#This Row],[PORT DESTINATION]],LT_REF[],7,0),14))</f>
        <v>10</v>
      </c>
      <c r="AY80" s="320">
        <f>IFERROR(ESS_DATA[[#This Row],[ODP ETA Port]]+ESS_DATA[[#This Row],[Customs/Leg3 Assumption]],"n/a")</f>
        <v>46245</v>
      </c>
      <c r="AZ80" s="316">
        <f>YEAR(ESS_DATA[[#This Row],[ETA for New Ark update]])</f>
        <v>2026</v>
      </c>
      <c r="BA80" s="316">
        <f>MONTH(ESS_DATA[[#This Row],[ETA for New Ark update]])</f>
        <v>8</v>
      </c>
      <c r="BB80" s="316">
        <f>IFERROR(_xlfn.ISOWEEKNUM(ESS_DATA[[#This Row],[ETA for New Ark update]]),0)</f>
        <v>33</v>
      </c>
      <c r="BC80" s="316" t="str">
        <f>_xlfn.XLOOKUP(ESS_DATA[[#This Row],[PORT DESTINATION]],Table12[PORT DESTINATION],Table12[Cosco Line],,0)</f>
        <v>AEU</v>
      </c>
      <c r="BD80" s="82"/>
    </row>
    <row r="81" spans="1:56" s="323" customFormat="1" ht="10">
      <c r="A81" s="311" t="s">
        <v>7688</v>
      </c>
      <c r="B81" s="312" t="s">
        <v>7594</v>
      </c>
      <c r="C81" s="313" t="str">
        <f>IFERROR(LEFT(ESS_DATA[[#This Row],[TCL REFERENCE]],FIND(".",ESS_DATA[[#This Row],[TCL REFERENCE]],1)-1),"Main Line")</f>
        <v>26APR009</v>
      </c>
      <c r="D81" s="313" t="s">
        <v>63</v>
      </c>
      <c r="E81" s="313" t="s">
        <v>64</v>
      </c>
      <c r="F81" s="313" t="s">
        <v>65</v>
      </c>
      <c r="G81" s="313" t="s">
        <v>402</v>
      </c>
      <c r="H81" s="313" t="s">
        <v>67</v>
      </c>
      <c r="I81" s="313"/>
      <c r="J81" s="313" t="s">
        <v>7636</v>
      </c>
      <c r="K81" s="313"/>
      <c r="L81" s="314"/>
      <c r="M81" s="315" t="s">
        <v>68</v>
      </c>
      <c r="N81" s="313" t="s">
        <v>7460</v>
      </c>
      <c r="O81" s="316" t="s">
        <v>7658</v>
      </c>
      <c r="P81" s="313" t="s">
        <v>7462</v>
      </c>
      <c r="Q81" s="312"/>
      <c r="R81" s="490">
        <v>276</v>
      </c>
      <c r="S81" s="318"/>
      <c r="T81" s="313"/>
      <c r="U81" s="324">
        <f>ESS_DATA[[#This Row],[QUANTITY]]/276</f>
        <v>1</v>
      </c>
      <c r="V81" s="370" t="s">
        <v>7486</v>
      </c>
      <c r="W81" s="313" t="s">
        <v>2455</v>
      </c>
      <c r="X81" s="313" t="str">
        <f t="shared" si="2"/>
        <v>COMPLETED</v>
      </c>
      <c r="Y81" s="249"/>
      <c r="Z81" s="320">
        <v>46186</v>
      </c>
      <c r="AA81" s="321">
        <f>WEEKNUM(ESS_DATA[[#This Row],[Pick-Up Date]])</f>
        <v>24</v>
      </c>
      <c r="AB81" s="381" t="s">
        <v>7689</v>
      </c>
      <c r="AC81" s="313"/>
      <c r="AD81" s="316" t="s">
        <v>122</v>
      </c>
      <c r="AE81" s="313" t="s">
        <v>123</v>
      </c>
      <c r="AF81" s="313" t="s">
        <v>105</v>
      </c>
      <c r="AG81" s="320">
        <v>46193</v>
      </c>
      <c r="AH81" s="320">
        <v>46196</v>
      </c>
      <c r="AI81" s="320">
        <v>46196</v>
      </c>
      <c r="AJ81" s="320">
        <v>46235</v>
      </c>
      <c r="AK81" s="320">
        <v>46235</v>
      </c>
      <c r="AL81" s="320">
        <v>46235</v>
      </c>
      <c r="AM81" s="322" t="s">
        <v>402</v>
      </c>
      <c r="AN81" s="320" t="s">
        <v>7690</v>
      </c>
      <c r="AO81" s="320" t="s">
        <v>161</v>
      </c>
      <c r="AP81" s="320" t="s">
        <v>7691</v>
      </c>
      <c r="AQ81" s="313">
        <v>271300507</v>
      </c>
      <c r="AR81" s="313">
        <v>271300507</v>
      </c>
      <c r="AS81" s="313">
        <f>ESS_DATA[[#This Row],[ETA On S/O]]-ESS_DATA[[#This Row],[ETD On S/O]]+1</f>
        <v>43</v>
      </c>
      <c r="AT81" s="313"/>
      <c r="AU81" s="320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46244</v>
      </c>
      <c r="AX81" s="313">
        <f>IF(ESS_DATA[[#This Row],[New Ark PO Type]]="Offshore",0,IFERROR(VLOOKUP(ESS_DATA[[#This Row],[PORT OF LOADING]]&amp;ESS_DATA[[#This Row],[PORT DESTINATION]],LT_REF[],7,0),14))</f>
        <v>7</v>
      </c>
      <c r="AY81" s="320">
        <f>IFERROR(ESS_DATA[[#This Row],[ODP ETA Port]]+ESS_DATA[[#This Row],[Customs/Leg3 Assumption]],"n/a")</f>
        <v>46242</v>
      </c>
      <c r="AZ81" s="316">
        <f>YEAR(ESS_DATA[[#This Row],[ETA for New Ark update]])</f>
        <v>2026</v>
      </c>
      <c r="BA81" s="316">
        <f>MONTH(ESS_DATA[[#This Row],[ETA for New Ark update]])</f>
        <v>8</v>
      </c>
      <c r="BB81" s="316">
        <f>IFERROR(_xlfn.ISOWEEKNUM(ESS_DATA[[#This Row],[ETA for New Ark update]]),0)</f>
        <v>32</v>
      </c>
      <c r="BC81" s="316" t="str">
        <f>_xlfn.XLOOKUP(ESS_DATA[[#This Row],[PORT DESTINATION]],Table12[PORT DESTINATION],Table12[Cosco Line],,0)</f>
        <v>AEU</v>
      </c>
      <c r="BD81" s="82"/>
    </row>
    <row r="82" spans="1:56" s="323" customFormat="1" ht="10">
      <c r="A82" s="311" t="s">
        <v>7692</v>
      </c>
      <c r="B82" s="312" t="s">
        <v>7594</v>
      </c>
      <c r="C82" s="313" t="str">
        <f>IFERROR(LEFT(ESS_DATA[[#This Row],[TCL REFERENCE]],FIND(".",ESS_DATA[[#This Row],[TCL REFERENCE]],1)-1),"Main Line")</f>
        <v>26APR009</v>
      </c>
      <c r="D82" s="313" t="s">
        <v>63</v>
      </c>
      <c r="E82" s="313" t="s">
        <v>64</v>
      </c>
      <c r="F82" s="313" t="s">
        <v>65</v>
      </c>
      <c r="G82" s="313" t="s">
        <v>402</v>
      </c>
      <c r="H82" s="313" t="s">
        <v>67</v>
      </c>
      <c r="I82" s="313"/>
      <c r="J82" s="313" t="s">
        <v>7636</v>
      </c>
      <c r="K82" s="313"/>
      <c r="L82" s="314"/>
      <c r="M82" s="315" t="s">
        <v>68</v>
      </c>
      <c r="N82" s="313" t="s">
        <v>7460</v>
      </c>
      <c r="O82" s="316" t="s">
        <v>7658</v>
      </c>
      <c r="P82" s="313" t="s">
        <v>7462</v>
      </c>
      <c r="Q82" s="312"/>
      <c r="R82" s="490">
        <v>244</v>
      </c>
      <c r="S82" s="318"/>
      <c r="T82" s="313"/>
      <c r="U82" s="324">
        <f>ESS_DATA[[#This Row],[QUANTITY]]/276</f>
        <v>0.88405797101449279</v>
      </c>
      <c r="V82" s="370" t="s">
        <v>7666</v>
      </c>
      <c r="W82" s="313" t="s">
        <v>2455</v>
      </c>
      <c r="X82" s="313" t="str">
        <f t="shared" si="2"/>
        <v>COMPLETED</v>
      </c>
      <c r="Y82" s="249"/>
      <c r="Z82" s="320">
        <v>46186</v>
      </c>
      <c r="AA82" s="321">
        <f>WEEKNUM(ESS_DATA[[#This Row],[Pick-Up Date]])</f>
        <v>24</v>
      </c>
      <c r="AB82" s="381" t="s">
        <v>7689</v>
      </c>
      <c r="AC82" s="313"/>
      <c r="AD82" s="316" t="s">
        <v>122</v>
      </c>
      <c r="AE82" s="313" t="s">
        <v>123</v>
      </c>
      <c r="AF82" s="313" t="s">
        <v>105</v>
      </c>
      <c r="AG82" s="320">
        <v>46193</v>
      </c>
      <c r="AH82" s="320">
        <v>46196</v>
      </c>
      <c r="AI82" s="320">
        <v>46196</v>
      </c>
      <c r="AJ82" s="320">
        <v>46235</v>
      </c>
      <c r="AK82" s="320">
        <v>46235</v>
      </c>
      <c r="AL82" s="320">
        <v>46235</v>
      </c>
      <c r="AM82" s="322" t="s">
        <v>402</v>
      </c>
      <c r="AN82" s="320" t="s">
        <v>7690</v>
      </c>
      <c r="AO82" s="320" t="s">
        <v>161</v>
      </c>
      <c r="AP82" s="320" t="s">
        <v>7691</v>
      </c>
      <c r="AQ82" s="313">
        <v>271300507</v>
      </c>
      <c r="AR82" s="313">
        <v>271300507</v>
      </c>
      <c r="AS82" s="313">
        <f>ESS_DATA[[#This Row],[ETA On S/O]]-ESS_DATA[[#This Row],[ETD On S/O]]+1</f>
        <v>43</v>
      </c>
      <c r="AT82" s="313"/>
      <c r="AU82" s="320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46244</v>
      </c>
      <c r="AX82" s="313">
        <f>IF(ESS_DATA[[#This Row],[New Ark PO Type]]="Offshore",0,IFERROR(VLOOKUP(ESS_DATA[[#This Row],[PORT OF LOADING]]&amp;ESS_DATA[[#This Row],[PORT DESTINATION]],LT_REF[],7,0),14))</f>
        <v>7</v>
      </c>
      <c r="AY82" s="320">
        <f>IFERROR(ESS_DATA[[#This Row],[ODP ETA Port]]+ESS_DATA[[#This Row],[Customs/Leg3 Assumption]],"n/a")</f>
        <v>46242</v>
      </c>
      <c r="AZ82" s="316">
        <f>YEAR(ESS_DATA[[#This Row],[ETA for New Ark update]])</f>
        <v>2026</v>
      </c>
      <c r="BA82" s="316">
        <f>MONTH(ESS_DATA[[#This Row],[ETA for New Ark update]])</f>
        <v>8</v>
      </c>
      <c r="BB82" s="316">
        <f>IFERROR(_xlfn.ISOWEEKNUM(ESS_DATA[[#This Row],[ETA for New Ark update]]),0)</f>
        <v>32</v>
      </c>
      <c r="BC82" s="316" t="str">
        <f>_xlfn.XLOOKUP(ESS_DATA[[#This Row],[PORT DESTINATION]],Table12[PORT DESTINATION],Table12[Cosco Line],,0)</f>
        <v>AEU</v>
      </c>
      <c r="BD82" s="82"/>
    </row>
    <row r="83" spans="1:56" s="323" customFormat="1" ht="10">
      <c r="A83" s="311" t="s">
        <v>7693</v>
      </c>
      <c r="B83" s="312" t="s">
        <v>7594</v>
      </c>
      <c r="C83" s="313" t="str">
        <f>IFERROR(LEFT(ESS_DATA[[#This Row],[TCL REFERENCE]],FIND(".",ESS_DATA[[#This Row],[TCL REFERENCE]],1)-1),"Main Line")</f>
        <v>26APR009</v>
      </c>
      <c r="D83" s="313" t="s">
        <v>63</v>
      </c>
      <c r="E83" s="313" t="s">
        <v>64</v>
      </c>
      <c r="F83" s="313" t="s">
        <v>65</v>
      </c>
      <c r="G83" s="313" t="s">
        <v>402</v>
      </c>
      <c r="H83" s="313" t="s">
        <v>67</v>
      </c>
      <c r="I83" s="313"/>
      <c r="J83" s="313" t="s">
        <v>7636</v>
      </c>
      <c r="K83" s="313"/>
      <c r="L83" s="314"/>
      <c r="M83" s="315" t="s">
        <v>68</v>
      </c>
      <c r="N83" s="313" t="s">
        <v>7460</v>
      </c>
      <c r="O83" s="316" t="s">
        <v>7658</v>
      </c>
      <c r="P83" s="313" t="s">
        <v>7462</v>
      </c>
      <c r="Q83" s="312"/>
      <c r="R83" s="317">
        <v>32</v>
      </c>
      <c r="S83" s="318"/>
      <c r="T83" s="313"/>
      <c r="U83" s="324">
        <f>ESS_DATA[[#This Row],[QUANTITY]]/276</f>
        <v>0.11594202898550725</v>
      </c>
      <c r="V83" s="370" t="s">
        <v>7666</v>
      </c>
      <c r="W83" s="313" t="s">
        <v>2455</v>
      </c>
      <c r="X83" s="313" t="str">
        <f t="shared" si="2"/>
        <v>COMPLETED</v>
      </c>
      <c r="Y83" s="249"/>
      <c r="Z83" s="320">
        <v>46186</v>
      </c>
      <c r="AA83" s="321">
        <f>WEEKNUM(ESS_DATA[[#This Row],[Pick-Up Date]])</f>
        <v>24</v>
      </c>
      <c r="AB83" s="381" t="s">
        <v>7689</v>
      </c>
      <c r="AC83" s="313"/>
      <c r="AD83" s="316" t="s">
        <v>122</v>
      </c>
      <c r="AE83" s="313" t="s">
        <v>123</v>
      </c>
      <c r="AF83" s="313" t="s">
        <v>105</v>
      </c>
      <c r="AG83" s="320">
        <v>46193</v>
      </c>
      <c r="AH83" s="320">
        <v>46196</v>
      </c>
      <c r="AI83" s="320">
        <v>46196</v>
      </c>
      <c r="AJ83" s="320">
        <v>46235</v>
      </c>
      <c r="AK83" s="320">
        <v>46235</v>
      </c>
      <c r="AL83" s="320">
        <v>46235</v>
      </c>
      <c r="AM83" s="322" t="s">
        <v>402</v>
      </c>
      <c r="AN83" s="320" t="s">
        <v>7690</v>
      </c>
      <c r="AO83" s="320" t="s">
        <v>161</v>
      </c>
      <c r="AP83" s="320" t="s">
        <v>7691</v>
      </c>
      <c r="AQ83" s="313">
        <v>271300507</v>
      </c>
      <c r="AR83" s="313">
        <v>271300507</v>
      </c>
      <c r="AS83" s="313">
        <f>ESS_DATA[[#This Row],[ETA On S/O]]-ESS_DATA[[#This Row],[ETD On S/O]]+1</f>
        <v>43</v>
      </c>
      <c r="AT83" s="313"/>
      <c r="AU83" s="320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46244</v>
      </c>
      <c r="AX83" s="313">
        <f>IF(ESS_DATA[[#This Row],[New Ark PO Type]]="Offshore",0,IFERROR(VLOOKUP(ESS_DATA[[#This Row],[PORT OF LOADING]]&amp;ESS_DATA[[#This Row],[PORT DESTINATION]],LT_REF[],7,0),14))</f>
        <v>7</v>
      </c>
      <c r="AY83" s="320">
        <f>IFERROR(ESS_DATA[[#This Row],[ODP ETA Port]]+ESS_DATA[[#This Row],[Customs/Leg3 Assumption]],"n/a")</f>
        <v>46242</v>
      </c>
      <c r="AZ83" s="316">
        <f>YEAR(ESS_DATA[[#This Row],[ETA for New Ark update]])</f>
        <v>2026</v>
      </c>
      <c r="BA83" s="316">
        <f>MONTH(ESS_DATA[[#This Row],[ETA for New Ark update]])</f>
        <v>8</v>
      </c>
      <c r="BB83" s="316">
        <f>IFERROR(_xlfn.ISOWEEKNUM(ESS_DATA[[#This Row],[ETA for New Ark update]]),0)</f>
        <v>32</v>
      </c>
      <c r="BC83" s="316" t="str">
        <f>_xlfn.XLOOKUP(ESS_DATA[[#This Row],[PORT DESTINATION]],Table12[PORT DESTINATION],Table12[Cosco Line],,0)</f>
        <v>AEU</v>
      </c>
      <c r="BD83" s="82"/>
    </row>
    <row r="84" spans="1:56" s="323" customFormat="1" ht="10">
      <c r="A84" s="311" t="s">
        <v>7694</v>
      </c>
      <c r="B84" s="312" t="s">
        <v>7594</v>
      </c>
      <c r="C84" s="313" t="str">
        <f>IFERROR(LEFT(ESS_DATA[[#This Row],[TCL REFERENCE]],FIND(".",ESS_DATA[[#This Row],[TCL REFERENCE]],1)-1),"Main Line")</f>
        <v>26APR006</v>
      </c>
      <c r="D84" s="313" t="s">
        <v>63</v>
      </c>
      <c r="E84" s="313" t="s">
        <v>64</v>
      </c>
      <c r="F84" s="313" t="s">
        <v>65</v>
      </c>
      <c r="G84" s="313" t="s">
        <v>402</v>
      </c>
      <c r="H84" s="313" t="s">
        <v>67</v>
      </c>
      <c r="I84" s="313"/>
      <c r="J84" s="313" t="s">
        <v>7636</v>
      </c>
      <c r="K84" s="313"/>
      <c r="L84" s="314"/>
      <c r="M84" s="315" t="s">
        <v>68</v>
      </c>
      <c r="N84" s="313" t="s">
        <v>7437</v>
      </c>
      <c r="O84" s="316" t="s">
        <v>7438</v>
      </c>
      <c r="P84" s="313" t="s">
        <v>7439</v>
      </c>
      <c r="Q84" s="312"/>
      <c r="R84" s="317">
        <v>96</v>
      </c>
      <c r="S84" s="318"/>
      <c r="T84" s="313"/>
      <c r="U84" s="319">
        <f>ESS_DATA[[#This Row],[QUANTITY]]/224</f>
        <v>0.42857142857142855</v>
      </c>
      <c r="V84" s="370" t="s">
        <v>7695</v>
      </c>
      <c r="W84" s="313" t="s">
        <v>2456</v>
      </c>
      <c r="X84" s="313" t="str">
        <f t="shared" si="2"/>
        <v>COMPLETED</v>
      </c>
      <c r="Y84" s="249"/>
      <c r="Z84" s="320">
        <v>46188</v>
      </c>
      <c r="AA84" s="321">
        <f>WEEKNUM(ESS_DATA[[#This Row],[Pick-Up Date]])</f>
        <v>25</v>
      </c>
      <c r="AB84" s="381" t="s">
        <v>7696</v>
      </c>
      <c r="AC84" s="313"/>
      <c r="AD84" s="316" t="s">
        <v>122</v>
      </c>
      <c r="AE84" s="313" t="s">
        <v>123</v>
      </c>
      <c r="AF84" s="313" t="s">
        <v>105</v>
      </c>
      <c r="AG84" s="320">
        <v>46192</v>
      </c>
      <c r="AH84" s="320">
        <v>46195</v>
      </c>
      <c r="AI84" s="320">
        <v>46195</v>
      </c>
      <c r="AJ84" s="320">
        <v>46226</v>
      </c>
      <c r="AK84" s="320">
        <v>46233</v>
      </c>
      <c r="AL84" s="320">
        <v>46233</v>
      </c>
      <c r="AM84" s="322" t="s">
        <v>402</v>
      </c>
      <c r="AN84" s="320" t="s">
        <v>4932</v>
      </c>
      <c r="AO84" s="320" t="s">
        <v>80</v>
      </c>
      <c r="AP84" s="320" t="s">
        <v>7697</v>
      </c>
      <c r="AQ84" s="313" t="s">
        <v>7698</v>
      </c>
      <c r="AR84" s="313" t="s">
        <v>7698</v>
      </c>
      <c r="AS84" s="313">
        <f>ESS_DATA[[#This Row],[ETA On S/O]]-ESS_DATA[[#This Row],[ETD On S/O]]+1</f>
        <v>35</v>
      </c>
      <c r="AT84" s="313"/>
      <c r="AU84" s="320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46244</v>
      </c>
      <c r="AX84" s="313">
        <f>IF(ESS_DATA[[#This Row],[New Ark PO Type]]="Offshore",0,IFERROR(VLOOKUP(ESS_DATA[[#This Row],[PORT OF LOADING]]&amp;ESS_DATA[[#This Row],[PORT DESTINATION]],LT_REF[],7,0),14))</f>
        <v>7</v>
      </c>
      <c r="AY84" s="320">
        <f>IFERROR(ESS_DATA[[#This Row],[ODP ETA Port]]+ESS_DATA[[#This Row],[Customs/Leg3 Assumption]],"n/a")</f>
        <v>46240</v>
      </c>
      <c r="AZ84" s="316">
        <f>YEAR(ESS_DATA[[#This Row],[ETA for New Ark update]])</f>
        <v>2026</v>
      </c>
      <c r="BA84" s="316">
        <f>MONTH(ESS_DATA[[#This Row],[ETA for New Ark update]])</f>
        <v>8</v>
      </c>
      <c r="BB84" s="316">
        <f>IFERROR(_xlfn.ISOWEEKNUM(ESS_DATA[[#This Row],[ETA for New Ark update]]),0)</f>
        <v>32</v>
      </c>
      <c r="BC84" s="316" t="str">
        <f>_xlfn.XLOOKUP(ESS_DATA[[#This Row],[PORT DESTINATION]],Table12[PORT DESTINATION],Table12[Cosco Line],,0)</f>
        <v>AEU</v>
      </c>
      <c r="BD84" s="82"/>
    </row>
    <row r="85" spans="1:56" s="323" customFormat="1" ht="10">
      <c r="A85" s="311" t="s">
        <v>7699</v>
      </c>
      <c r="B85" s="312" t="s">
        <v>7594</v>
      </c>
      <c r="C85" s="313" t="str">
        <f>IFERROR(LEFT(ESS_DATA[[#This Row],[TCL REFERENCE]],FIND(".",ESS_DATA[[#This Row],[TCL REFERENCE]],1)-1),"Main Line")</f>
        <v>26APR008</v>
      </c>
      <c r="D85" s="313" t="s">
        <v>63</v>
      </c>
      <c r="E85" s="313" t="s">
        <v>64</v>
      </c>
      <c r="F85" s="313" t="s">
        <v>65</v>
      </c>
      <c r="G85" s="313" t="s">
        <v>402</v>
      </c>
      <c r="H85" s="313" t="s">
        <v>67</v>
      </c>
      <c r="I85" s="313"/>
      <c r="J85" s="313" t="s">
        <v>7636</v>
      </c>
      <c r="K85" s="313"/>
      <c r="L85" s="314"/>
      <c r="M85" s="315" t="s">
        <v>68</v>
      </c>
      <c r="N85" s="313" t="s">
        <v>7449</v>
      </c>
      <c r="O85" s="316" t="s">
        <v>7646</v>
      </c>
      <c r="P85" s="313" t="s">
        <v>7451</v>
      </c>
      <c r="Q85" s="312"/>
      <c r="R85" s="415">
        <v>194</v>
      </c>
      <c r="S85" s="318"/>
      <c r="T85" s="313"/>
      <c r="U85" s="324">
        <f>ESS_DATA[[#This Row],[QUANTITY]]/350</f>
        <v>0.55428571428571427</v>
      </c>
      <c r="V85" s="370" t="s">
        <v>7695</v>
      </c>
      <c r="W85" s="313" t="s">
        <v>2456</v>
      </c>
      <c r="X85" s="313" t="str">
        <f t="shared" si="2"/>
        <v>COMPLETED</v>
      </c>
      <c r="Y85" s="249"/>
      <c r="Z85" s="320">
        <v>46188</v>
      </c>
      <c r="AA85" s="321">
        <f>WEEKNUM(ESS_DATA[[#This Row],[Pick-Up Date]])</f>
        <v>25</v>
      </c>
      <c r="AB85" s="381" t="s">
        <v>7696</v>
      </c>
      <c r="AC85" s="313"/>
      <c r="AD85" s="316" t="s">
        <v>122</v>
      </c>
      <c r="AE85" s="313" t="s">
        <v>123</v>
      </c>
      <c r="AF85" s="313" t="s">
        <v>105</v>
      </c>
      <c r="AG85" s="320">
        <v>46192</v>
      </c>
      <c r="AH85" s="320">
        <v>46195</v>
      </c>
      <c r="AI85" s="320">
        <v>46195</v>
      </c>
      <c r="AJ85" s="320">
        <v>46226</v>
      </c>
      <c r="AK85" s="320">
        <v>46233</v>
      </c>
      <c r="AL85" s="320">
        <v>46233</v>
      </c>
      <c r="AM85" s="322" t="s">
        <v>402</v>
      </c>
      <c r="AN85" s="320" t="s">
        <v>4932</v>
      </c>
      <c r="AO85" s="320" t="s">
        <v>80</v>
      </c>
      <c r="AP85" s="320" t="s">
        <v>7697</v>
      </c>
      <c r="AQ85" s="313" t="s">
        <v>7698</v>
      </c>
      <c r="AR85" s="313" t="s">
        <v>7698</v>
      </c>
      <c r="AS85" s="313">
        <f>ESS_DATA[[#This Row],[ETA On S/O]]-ESS_DATA[[#This Row],[ETD On S/O]]+1</f>
        <v>35</v>
      </c>
      <c r="AT85" s="313"/>
      <c r="AU85" s="320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46244</v>
      </c>
      <c r="AX85" s="313">
        <f>IF(ESS_DATA[[#This Row],[New Ark PO Type]]="Offshore",0,IFERROR(VLOOKUP(ESS_DATA[[#This Row],[PORT OF LOADING]]&amp;ESS_DATA[[#This Row],[PORT DESTINATION]],LT_REF[],7,0),14))</f>
        <v>7</v>
      </c>
      <c r="AY85" s="320">
        <f>IFERROR(ESS_DATA[[#This Row],[ODP ETA Port]]+ESS_DATA[[#This Row],[Customs/Leg3 Assumption]],"n/a")</f>
        <v>46240</v>
      </c>
      <c r="AZ85" s="316">
        <f>YEAR(ESS_DATA[[#This Row],[ETA for New Ark update]])</f>
        <v>2026</v>
      </c>
      <c r="BA85" s="316">
        <f>MONTH(ESS_DATA[[#This Row],[ETA for New Ark update]])</f>
        <v>8</v>
      </c>
      <c r="BB85" s="316">
        <f>IFERROR(_xlfn.ISOWEEKNUM(ESS_DATA[[#This Row],[ETA for New Ark update]]),0)</f>
        <v>32</v>
      </c>
      <c r="BC85" s="316" t="str">
        <f>_xlfn.XLOOKUP(ESS_DATA[[#This Row],[PORT DESTINATION]],Table12[PORT DESTINATION],Table12[Cosco Line],,0)</f>
        <v>AEU</v>
      </c>
      <c r="BD85" s="82"/>
    </row>
    <row r="86" spans="1:56" s="323" customFormat="1" ht="10">
      <c r="A86" s="311" t="s">
        <v>7700</v>
      </c>
      <c r="B86" s="312" t="s">
        <v>7594</v>
      </c>
      <c r="C86" s="313" t="str">
        <f>IFERROR(LEFT(ESS_DATA[[#This Row],[TCL REFERENCE]],FIND(".",ESS_DATA[[#This Row],[TCL REFERENCE]],1)-1),"Main Line")</f>
        <v>Main Line</v>
      </c>
      <c r="D86" s="313" t="s">
        <v>63</v>
      </c>
      <c r="E86" s="313" t="s">
        <v>64</v>
      </c>
      <c r="F86" s="313" t="s">
        <v>65</v>
      </c>
      <c r="G86" s="313" t="s">
        <v>402</v>
      </c>
      <c r="H86" s="313" t="s">
        <v>67</v>
      </c>
      <c r="I86" s="313"/>
      <c r="J86" s="313" t="s">
        <v>7636</v>
      </c>
      <c r="K86" s="313"/>
      <c r="L86" s="314"/>
      <c r="M86" s="315" t="s">
        <v>68</v>
      </c>
      <c r="N86" s="313" t="s">
        <v>7425</v>
      </c>
      <c r="O86" s="316" t="s">
        <v>7595</v>
      </c>
      <c r="P86" s="313" t="s">
        <v>7427</v>
      </c>
      <c r="Q86" s="312"/>
      <c r="R86" s="317">
        <v>165</v>
      </c>
      <c r="S86" s="318"/>
      <c r="T86" s="313"/>
      <c r="U86" s="324">
        <v>0.02</v>
      </c>
      <c r="V86" s="370" t="s">
        <v>7695</v>
      </c>
      <c r="W86" s="313" t="s">
        <v>2456</v>
      </c>
      <c r="X86" s="313" t="str">
        <f t="shared" si="2"/>
        <v>COMPLETED</v>
      </c>
      <c r="Y86" s="249"/>
      <c r="Z86" s="320">
        <v>46188</v>
      </c>
      <c r="AA86" s="321">
        <f>WEEKNUM(ESS_DATA[[#This Row],[Pick-Up Date]])</f>
        <v>25</v>
      </c>
      <c r="AB86" s="381" t="s">
        <v>7696</v>
      </c>
      <c r="AC86" s="313"/>
      <c r="AD86" s="316" t="s">
        <v>122</v>
      </c>
      <c r="AE86" s="313" t="s">
        <v>123</v>
      </c>
      <c r="AF86" s="313" t="s">
        <v>105</v>
      </c>
      <c r="AG86" s="320">
        <v>46192</v>
      </c>
      <c r="AH86" s="320">
        <v>46195</v>
      </c>
      <c r="AI86" s="320">
        <v>46195</v>
      </c>
      <c r="AJ86" s="320">
        <v>46226</v>
      </c>
      <c r="AK86" s="320">
        <v>46233</v>
      </c>
      <c r="AL86" s="320">
        <v>46233</v>
      </c>
      <c r="AM86" s="322" t="s">
        <v>402</v>
      </c>
      <c r="AN86" s="320" t="s">
        <v>4932</v>
      </c>
      <c r="AO86" s="320" t="s">
        <v>80</v>
      </c>
      <c r="AP86" s="320" t="s">
        <v>7697</v>
      </c>
      <c r="AQ86" s="313" t="s">
        <v>7698</v>
      </c>
      <c r="AR86" s="313" t="s">
        <v>7698</v>
      </c>
      <c r="AS86" s="313">
        <f>ESS_DATA[[#This Row],[ETA On S/O]]-ESS_DATA[[#This Row],[ETD On S/O]]+1</f>
        <v>35</v>
      </c>
      <c r="AT86" s="313"/>
      <c r="AU86" s="320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46244</v>
      </c>
      <c r="AX86" s="313">
        <f>IF(ESS_DATA[[#This Row],[New Ark PO Type]]="Offshore",0,IFERROR(VLOOKUP(ESS_DATA[[#This Row],[PORT OF LOADING]]&amp;ESS_DATA[[#This Row],[PORT DESTINATION]],LT_REF[],7,0),14))</f>
        <v>7</v>
      </c>
      <c r="AY86" s="320">
        <f>IFERROR(ESS_DATA[[#This Row],[ODP ETA Port]]+ESS_DATA[[#This Row],[Customs/Leg3 Assumption]],"n/a")</f>
        <v>46240</v>
      </c>
      <c r="AZ86" s="316">
        <f>YEAR(ESS_DATA[[#This Row],[ETA for New Ark update]])</f>
        <v>2026</v>
      </c>
      <c r="BA86" s="316">
        <f>MONTH(ESS_DATA[[#This Row],[ETA for New Ark update]])</f>
        <v>8</v>
      </c>
      <c r="BB86" s="316">
        <f>IFERROR(_xlfn.ISOWEEKNUM(ESS_DATA[[#This Row],[ETA for New Ark update]]),0)</f>
        <v>32</v>
      </c>
      <c r="BC86" s="316" t="str">
        <f>_xlfn.XLOOKUP(ESS_DATA[[#This Row],[PORT DESTINATION]],Table12[PORT DESTINATION],Table12[Cosco Line],,0)</f>
        <v>AEU</v>
      </c>
      <c r="BD86" s="82"/>
    </row>
    <row r="87" spans="1:56" s="323" customFormat="1" ht="10">
      <c r="A87" s="311" t="s">
        <v>7701</v>
      </c>
      <c r="B87" s="312" t="s">
        <v>7594</v>
      </c>
      <c r="C87" s="313" t="str">
        <f>IFERROR(LEFT(ESS_DATA[[#This Row],[TCL REFERENCE]],FIND(".",ESS_DATA[[#This Row],[TCL REFERENCE]],1)-1),"Main Line")</f>
        <v>Main Line</v>
      </c>
      <c r="D87" s="313" t="s">
        <v>63</v>
      </c>
      <c r="E87" s="316" t="s">
        <v>64</v>
      </c>
      <c r="F87" s="316" t="s">
        <v>65</v>
      </c>
      <c r="G87" s="313" t="s">
        <v>402</v>
      </c>
      <c r="H87" s="313" t="s">
        <v>67</v>
      </c>
      <c r="I87" s="313"/>
      <c r="J87" s="313" t="s">
        <v>7636</v>
      </c>
      <c r="K87" s="313"/>
      <c r="L87" s="314"/>
      <c r="M87" s="315" t="s">
        <v>68</v>
      </c>
      <c r="N87" s="312" t="s">
        <v>7433</v>
      </c>
      <c r="O87" s="313" t="s">
        <v>7702</v>
      </c>
      <c r="P87" s="406" t="s">
        <v>7435</v>
      </c>
      <c r="Q87" s="407"/>
      <c r="R87" s="317">
        <v>72</v>
      </c>
      <c r="S87" s="318"/>
      <c r="T87" s="313"/>
      <c r="U87" s="699">
        <v>0</v>
      </c>
      <c r="V87" s="408" t="s">
        <v>7695</v>
      </c>
      <c r="W87" s="313" t="s">
        <v>2456</v>
      </c>
      <c r="X87" s="313" t="str">
        <f t="shared" si="2"/>
        <v>COMPLETED</v>
      </c>
      <c r="Y87" s="249"/>
      <c r="Z87" s="320">
        <v>46188</v>
      </c>
      <c r="AA87" s="321">
        <f>WEEKNUM(ESS_DATA[[#This Row],[Pick-Up Date]])</f>
        <v>25</v>
      </c>
      <c r="AB87" s="381" t="s">
        <v>7696</v>
      </c>
      <c r="AC87" s="313"/>
      <c r="AD87" s="313" t="s">
        <v>122</v>
      </c>
      <c r="AE87" s="313" t="s">
        <v>123</v>
      </c>
      <c r="AF87" s="313" t="s">
        <v>105</v>
      </c>
      <c r="AG87" s="320">
        <v>46192</v>
      </c>
      <c r="AH87" s="320">
        <v>46195</v>
      </c>
      <c r="AI87" s="320">
        <v>46195</v>
      </c>
      <c r="AJ87" s="320">
        <v>46226</v>
      </c>
      <c r="AK87" s="320">
        <v>46233</v>
      </c>
      <c r="AL87" s="320">
        <v>46233</v>
      </c>
      <c r="AM87" s="322" t="s">
        <v>402</v>
      </c>
      <c r="AN87" s="320" t="s">
        <v>4932</v>
      </c>
      <c r="AO87" s="320" t="s">
        <v>80</v>
      </c>
      <c r="AP87" s="320" t="s">
        <v>7697</v>
      </c>
      <c r="AQ87" s="313" t="s">
        <v>7698</v>
      </c>
      <c r="AR87" s="313" t="s">
        <v>7698</v>
      </c>
      <c r="AS87" s="313">
        <f>ESS_DATA[[#This Row],[ETA On S/O]]-ESS_DATA[[#This Row],[ETD On S/O]]+1</f>
        <v>35</v>
      </c>
      <c r="AT87" s="313"/>
      <c r="AU87" s="320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46244</v>
      </c>
      <c r="AX87" s="313">
        <f>IF(ESS_DATA[[#This Row],[New Ark PO Type]]="Offshore",0,IFERROR(VLOOKUP(ESS_DATA[[#This Row],[PORT OF LOADING]]&amp;ESS_DATA[[#This Row],[PORT DESTINATION]],LT_REF[],7,0),14))</f>
        <v>7</v>
      </c>
      <c r="AY87" s="320">
        <f>IFERROR(ESS_DATA[[#This Row],[ODP ETA Port]]+ESS_DATA[[#This Row],[Customs/Leg3 Assumption]],"n/a")</f>
        <v>46240</v>
      </c>
      <c r="AZ87" s="316">
        <f>YEAR(ESS_DATA[[#This Row],[ETA for New Ark update]])</f>
        <v>2026</v>
      </c>
      <c r="BA87" s="316">
        <f>MONTH(ESS_DATA[[#This Row],[ETA for New Ark update]])</f>
        <v>8</v>
      </c>
      <c r="BB87" s="316">
        <f>IFERROR(_xlfn.ISOWEEKNUM(ESS_DATA[[#This Row],[ETA for New Ark update]]),0)</f>
        <v>32</v>
      </c>
      <c r="BC87" s="316" t="str">
        <f>_xlfn.XLOOKUP(ESS_DATA[[#This Row],[PORT DESTINATION]],Table12[PORT DESTINATION],Table12[Cosco Line],,0)</f>
        <v>AEU</v>
      </c>
      <c r="BD87" s="82"/>
    </row>
    <row r="88" spans="1:56" s="323" customFormat="1" ht="10">
      <c r="A88" s="379" t="s">
        <v>7703</v>
      </c>
      <c r="B88" s="312" t="s">
        <v>7594</v>
      </c>
      <c r="C88" s="313" t="str">
        <f>IFERROR(LEFT(ESS_DATA[[#This Row],[TCL REFERENCE]],FIND(".",ESS_DATA[[#This Row],[TCL REFERENCE]],1)-1),"Main Line")</f>
        <v>Main Line</v>
      </c>
      <c r="D88" s="313" t="s">
        <v>63</v>
      </c>
      <c r="E88" s="313" t="s">
        <v>64</v>
      </c>
      <c r="F88" s="313" t="s">
        <v>65</v>
      </c>
      <c r="G88" s="313" t="s">
        <v>402</v>
      </c>
      <c r="H88" s="313" t="s">
        <v>67</v>
      </c>
      <c r="I88" s="313"/>
      <c r="J88" s="313" t="s">
        <v>7636</v>
      </c>
      <c r="K88" s="313"/>
      <c r="L88" s="314"/>
      <c r="M88" s="315" t="s">
        <v>68</v>
      </c>
      <c r="N88" s="374" t="s">
        <v>7704</v>
      </c>
      <c r="O88" s="388" t="s">
        <v>7705</v>
      </c>
      <c r="P88" s="374" t="s">
        <v>7706</v>
      </c>
      <c r="Q88" s="312"/>
      <c r="R88" s="376">
        <v>150</v>
      </c>
      <c r="S88" s="318"/>
      <c r="T88" s="313"/>
      <c r="U88" s="699">
        <v>0</v>
      </c>
      <c r="V88" s="370" t="s">
        <v>7695</v>
      </c>
      <c r="W88" s="313" t="s">
        <v>2456</v>
      </c>
      <c r="X88" s="313" t="str">
        <f t="shared" si="2"/>
        <v>COMPLETED</v>
      </c>
      <c r="Y88" s="249"/>
      <c r="Z88" s="320">
        <v>46188</v>
      </c>
      <c r="AA88" s="321">
        <f>WEEKNUM(ESS_DATA[[#This Row],[Pick-Up Date]])</f>
        <v>25</v>
      </c>
      <c r="AB88" s="381" t="s">
        <v>7696</v>
      </c>
      <c r="AC88" s="313"/>
      <c r="AD88" s="316" t="s">
        <v>122</v>
      </c>
      <c r="AE88" s="313" t="s">
        <v>123</v>
      </c>
      <c r="AF88" s="313" t="s">
        <v>105</v>
      </c>
      <c r="AG88" s="320">
        <v>46192</v>
      </c>
      <c r="AH88" s="320">
        <v>46195</v>
      </c>
      <c r="AI88" s="320">
        <v>46195</v>
      </c>
      <c r="AJ88" s="320">
        <v>46226</v>
      </c>
      <c r="AK88" s="320">
        <v>46233</v>
      </c>
      <c r="AL88" s="320">
        <v>46233</v>
      </c>
      <c r="AM88" s="322" t="s">
        <v>402</v>
      </c>
      <c r="AN88" s="320" t="s">
        <v>4932</v>
      </c>
      <c r="AO88" s="320" t="s">
        <v>80</v>
      </c>
      <c r="AP88" s="320" t="s">
        <v>7697</v>
      </c>
      <c r="AQ88" s="313" t="s">
        <v>7698</v>
      </c>
      <c r="AR88" s="313" t="s">
        <v>7698</v>
      </c>
      <c r="AS88" s="313">
        <f>ESS_DATA[[#This Row],[ETA On S/O]]-ESS_DATA[[#This Row],[ETD On S/O]]+1</f>
        <v>35</v>
      </c>
      <c r="AT88" s="313"/>
      <c r="AU88" s="320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46244</v>
      </c>
      <c r="AX88" s="313">
        <f>IF(ESS_DATA[[#This Row],[New Ark PO Type]]="Offshore",0,IFERROR(VLOOKUP(ESS_DATA[[#This Row],[PORT OF LOADING]]&amp;ESS_DATA[[#This Row],[PORT DESTINATION]],LT_REF[],7,0),14))</f>
        <v>7</v>
      </c>
      <c r="AY88" s="320">
        <f>IFERROR(ESS_DATA[[#This Row],[ODP ETA Port]]+ESS_DATA[[#This Row],[Customs/Leg3 Assumption]],"n/a")</f>
        <v>46240</v>
      </c>
      <c r="AZ88" s="316">
        <f>YEAR(ESS_DATA[[#This Row],[ETA for New Ark update]])</f>
        <v>2026</v>
      </c>
      <c r="BA88" s="316">
        <f>MONTH(ESS_DATA[[#This Row],[ETA for New Ark update]])</f>
        <v>8</v>
      </c>
      <c r="BB88" s="316">
        <f>IFERROR(_xlfn.ISOWEEKNUM(ESS_DATA[[#This Row],[ETA for New Ark update]]),0)</f>
        <v>32</v>
      </c>
      <c r="BC88" s="316" t="str">
        <f>_xlfn.XLOOKUP(ESS_DATA[[#This Row],[PORT DESTINATION]],Table12[PORT DESTINATION],Table12[Cosco Line],,0)</f>
        <v>AEU</v>
      </c>
      <c r="BD88" s="82"/>
    </row>
    <row r="89" spans="1:56" s="323" customFormat="1" ht="10">
      <c r="A89" s="311" t="s">
        <v>7707</v>
      </c>
      <c r="B89" s="312" t="s">
        <v>7594</v>
      </c>
      <c r="C89" s="313" t="str">
        <f>IFERROR(LEFT(ESS_DATA[[#This Row],[TCL REFERENCE]],FIND(".",ESS_DATA[[#This Row],[TCL REFERENCE]],1)-1),"Main Line")</f>
        <v>26APR006</v>
      </c>
      <c r="D89" s="313" t="s">
        <v>63</v>
      </c>
      <c r="E89" s="313" t="s">
        <v>64</v>
      </c>
      <c r="F89" s="313" t="s">
        <v>65</v>
      </c>
      <c r="G89" s="313" t="s">
        <v>402</v>
      </c>
      <c r="H89" s="313" t="s">
        <v>67</v>
      </c>
      <c r="I89" s="313"/>
      <c r="J89" s="313" t="s">
        <v>7636</v>
      </c>
      <c r="K89" s="313"/>
      <c r="L89" s="314"/>
      <c r="M89" s="315" t="s">
        <v>68</v>
      </c>
      <c r="N89" s="313" t="s">
        <v>7437</v>
      </c>
      <c r="O89" s="316" t="s">
        <v>7438</v>
      </c>
      <c r="P89" s="313" t="s">
        <v>7439</v>
      </c>
      <c r="Q89" s="312"/>
      <c r="R89" s="317">
        <v>224</v>
      </c>
      <c r="S89" s="318"/>
      <c r="T89" s="313"/>
      <c r="U89" s="319">
        <f>ESS_DATA[[#This Row],[QUANTITY]]/224</f>
        <v>1</v>
      </c>
      <c r="V89" s="370" t="s">
        <v>7708</v>
      </c>
      <c r="W89" s="313" t="s">
        <v>2456</v>
      </c>
      <c r="X89" s="313" t="str">
        <f t="shared" si="2"/>
        <v>COMPLETED</v>
      </c>
      <c r="Y89" s="249"/>
      <c r="Z89" s="320">
        <v>46188</v>
      </c>
      <c r="AA89" s="321">
        <f>WEEKNUM(ESS_DATA[[#This Row],[Pick-Up Date]])</f>
        <v>25</v>
      </c>
      <c r="AB89" s="381" t="s">
        <v>7696</v>
      </c>
      <c r="AC89" s="313"/>
      <c r="AD89" s="316" t="s">
        <v>122</v>
      </c>
      <c r="AE89" s="313" t="s">
        <v>123</v>
      </c>
      <c r="AF89" s="313" t="s">
        <v>105</v>
      </c>
      <c r="AG89" s="320">
        <v>46192</v>
      </c>
      <c r="AH89" s="320">
        <v>46195</v>
      </c>
      <c r="AI89" s="320">
        <v>46195</v>
      </c>
      <c r="AJ89" s="320">
        <v>46226</v>
      </c>
      <c r="AK89" s="320">
        <v>46233</v>
      </c>
      <c r="AL89" s="320">
        <v>46233</v>
      </c>
      <c r="AM89" s="322" t="s">
        <v>402</v>
      </c>
      <c r="AN89" s="320" t="s">
        <v>4932</v>
      </c>
      <c r="AO89" s="320" t="s">
        <v>80</v>
      </c>
      <c r="AP89" s="320" t="s">
        <v>7697</v>
      </c>
      <c r="AQ89" s="313" t="s">
        <v>7698</v>
      </c>
      <c r="AR89" s="313" t="s">
        <v>7698</v>
      </c>
      <c r="AS89" s="313">
        <f>ESS_DATA[[#This Row],[ETA On S/O]]-ESS_DATA[[#This Row],[ETD On S/O]]+1</f>
        <v>35</v>
      </c>
      <c r="AT89" s="313"/>
      <c r="AU89" s="320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46244</v>
      </c>
      <c r="AX89" s="313">
        <f>IF(ESS_DATA[[#This Row],[New Ark PO Type]]="Offshore",0,IFERROR(VLOOKUP(ESS_DATA[[#This Row],[PORT OF LOADING]]&amp;ESS_DATA[[#This Row],[PORT DESTINATION]],LT_REF[],7,0),14))</f>
        <v>7</v>
      </c>
      <c r="AY89" s="320">
        <f>IFERROR(ESS_DATA[[#This Row],[ODP ETA Port]]+ESS_DATA[[#This Row],[Customs/Leg3 Assumption]],"n/a")</f>
        <v>46240</v>
      </c>
      <c r="AZ89" s="316">
        <f>YEAR(ESS_DATA[[#This Row],[ETA for New Ark update]])</f>
        <v>2026</v>
      </c>
      <c r="BA89" s="316">
        <f>MONTH(ESS_DATA[[#This Row],[ETA for New Ark update]])</f>
        <v>8</v>
      </c>
      <c r="BB89" s="316">
        <f>IFERROR(_xlfn.ISOWEEKNUM(ESS_DATA[[#This Row],[ETA for New Ark update]]),0)</f>
        <v>32</v>
      </c>
      <c r="BC89" s="316" t="str">
        <f>_xlfn.XLOOKUP(ESS_DATA[[#This Row],[PORT DESTINATION]],Table12[PORT DESTINATION],Table12[Cosco Line],,0)</f>
        <v>AEU</v>
      </c>
      <c r="BD89" s="82"/>
    </row>
    <row r="90" spans="1:56" s="350" customFormat="1" ht="13.5" customHeight="1">
      <c r="A90" s="351" t="s">
        <v>7709</v>
      </c>
      <c r="B90" s="339" t="s">
        <v>7423</v>
      </c>
      <c r="C90" s="340" t="str">
        <f>IFERROR(LEFT(ESS_DATA[[#This Row],[TCL REFERENCE]],FIND(".",ESS_DATA[[#This Row],[TCL REFERENCE]],1)-1),"Main Line")</f>
        <v>Main Line</v>
      </c>
      <c r="D90" s="340" t="s">
        <v>63</v>
      </c>
      <c r="E90" s="340" t="s">
        <v>64</v>
      </c>
      <c r="F90" s="340" t="s">
        <v>65</v>
      </c>
      <c r="G90" s="340" t="s">
        <v>402</v>
      </c>
      <c r="H90" s="340" t="s">
        <v>67</v>
      </c>
      <c r="I90" s="340"/>
      <c r="J90" s="340" t="s">
        <v>7636</v>
      </c>
      <c r="K90" s="340"/>
      <c r="L90" s="341"/>
      <c r="M90" s="342" t="s">
        <v>68</v>
      </c>
      <c r="N90" s="343" t="s">
        <v>7710</v>
      </c>
      <c r="O90" s="343" t="s">
        <v>7438</v>
      </c>
      <c r="P90" s="343" t="s">
        <v>7711</v>
      </c>
      <c r="Q90" s="339"/>
      <c r="R90" s="344">
        <v>60</v>
      </c>
      <c r="S90" s="345"/>
      <c r="T90" s="340"/>
      <c r="U90" s="346">
        <f>ESS_DATA[[#This Row],[QUANTITY]]/312</f>
        <v>0.19230769230769232</v>
      </c>
      <c r="V90" s="371" t="s">
        <v>7463</v>
      </c>
      <c r="W90" s="340" t="s">
        <v>2456</v>
      </c>
      <c r="X90" s="340" t="str">
        <f t="shared" si="2"/>
        <v>COMPLETED</v>
      </c>
      <c r="Y90" s="347">
        <v>46193</v>
      </c>
      <c r="Z90" s="347">
        <v>46195</v>
      </c>
      <c r="AA90" s="348">
        <f>WEEKNUM(ESS_DATA[[#This Row],[Pick-Up Date]])</f>
        <v>26</v>
      </c>
      <c r="AB90" s="340" t="s">
        <v>7712</v>
      </c>
      <c r="AC90" s="340"/>
      <c r="AD90" s="343" t="s">
        <v>122</v>
      </c>
      <c r="AE90" s="340" t="s">
        <v>123</v>
      </c>
      <c r="AF90" s="340" t="s">
        <v>105</v>
      </c>
      <c r="AG90" s="347">
        <v>46201</v>
      </c>
      <c r="AH90" s="347">
        <v>46203</v>
      </c>
      <c r="AI90" s="347">
        <v>46203</v>
      </c>
      <c r="AJ90" s="347">
        <v>46232</v>
      </c>
      <c r="AK90" s="347">
        <v>46238</v>
      </c>
      <c r="AL90" s="347">
        <v>46240</v>
      </c>
      <c r="AM90" s="349" t="s">
        <v>402</v>
      </c>
      <c r="AN90" s="347" t="s">
        <v>7713</v>
      </c>
      <c r="AO90" s="347" t="s">
        <v>80</v>
      </c>
      <c r="AP90" s="347" t="s">
        <v>7714</v>
      </c>
      <c r="AQ90" s="340" t="s">
        <v>7715</v>
      </c>
      <c r="AR90" s="340" t="s">
        <v>7715</v>
      </c>
      <c r="AS90" s="340">
        <f>ESS_DATA[[#This Row],[ETA On S/O]]-ESS_DATA[[#This Row],[ETD On S/O]]+1</f>
        <v>32</v>
      </c>
      <c r="AT90" s="340"/>
      <c r="AU90" s="347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46248</v>
      </c>
      <c r="AX90" s="340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3">
        <f>YEAR(ESS_DATA[[#This Row],[ETA for New Ark update]])</f>
        <v>2026</v>
      </c>
      <c r="BA90" s="343">
        <f>MONTH(ESS_DATA[[#This Row],[ETA for New Ark update]])</f>
        <v>8</v>
      </c>
      <c r="BB90" s="343">
        <f>IFERROR(_xlfn.ISOWEEKNUM(ESS_DATA[[#This Row],[ETA for New Ark update]]),0)</f>
        <v>33</v>
      </c>
      <c r="BC90" s="343" t="str">
        <f>_xlfn.XLOOKUP(ESS_DATA[[#This Row],[PORT DESTINATION]],Table12[PORT DESTINATION],Table12[Cosco Line],,0)</f>
        <v>AEU</v>
      </c>
      <c r="BD90" s="82"/>
    </row>
    <row r="91" spans="1:56" s="350" customFormat="1" ht="13.5" customHeight="1">
      <c r="A91" s="351" t="s">
        <v>7716</v>
      </c>
      <c r="B91" s="339" t="s">
        <v>7423</v>
      </c>
      <c r="C91" s="340" t="str">
        <f>IFERROR(LEFT(ESS_DATA[[#This Row],[TCL REFERENCE]],FIND(".",ESS_DATA[[#This Row],[TCL REFERENCE]],1)-1),"Main Line")</f>
        <v>Main Line</v>
      </c>
      <c r="D91" s="340" t="s">
        <v>63</v>
      </c>
      <c r="E91" s="340" t="s">
        <v>64</v>
      </c>
      <c r="F91" s="340" t="s">
        <v>65</v>
      </c>
      <c r="G91" s="340" t="s">
        <v>402</v>
      </c>
      <c r="H91" s="340" t="s">
        <v>67</v>
      </c>
      <c r="I91" s="340"/>
      <c r="J91" s="340" t="s">
        <v>7636</v>
      </c>
      <c r="K91" s="340"/>
      <c r="L91" s="341"/>
      <c r="M91" s="342" t="s">
        <v>68</v>
      </c>
      <c r="N91" s="343" t="s">
        <v>7717</v>
      </c>
      <c r="O91" s="343" t="s">
        <v>7646</v>
      </c>
      <c r="P91" s="343" t="s">
        <v>7718</v>
      </c>
      <c r="Q91" s="339"/>
      <c r="R91" s="344">
        <v>192</v>
      </c>
      <c r="S91" s="345"/>
      <c r="T91" s="340"/>
      <c r="U91" s="346">
        <f>ESS_DATA[[#This Row],[QUANTITY]]/276</f>
        <v>0.69565217391304346</v>
      </c>
      <c r="V91" s="371" t="s">
        <v>7463</v>
      </c>
      <c r="W91" s="340" t="s">
        <v>2456</v>
      </c>
      <c r="X91" s="340" t="str">
        <f t="shared" si="2"/>
        <v>COMPLETED</v>
      </c>
      <c r="Y91" s="347">
        <v>46193</v>
      </c>
      <c r="Z91" s="347">
        <v>46195</v>
      </c>
      <c r="AA91" s="348">
        <f>WEEKNUM(ESS_DATA[[#This Row],[Pick-Up Date]])</f>
        <v>26</v>
      </c>
      <c r="AB91" s="340" t="s">
        <v>7712</v>
      </c>
      <c r="AC91" s="340"/>
      <c r="AD91" s="343" t="s">
        <v>122</v>
      </c>
      <c r="AE91" s="340" t="s">
        <v>123</v>
      </c>
      <c r="AF91" s="340" t="s">
        <v>105</v>
      </c>
      <c r="AG91" s="347">
        <v>46201</v>
      </c>
      <c r="AH91" s="347">
        <v>46203</v>
      </c>
      <c r="AI91" s="347">
        <v>46203</v>
      </c>
      <c r="AJ91" s="347">
        <v>46232</v>
      </c>
      <c r="AK91" s="347">
        <v>46238</v>
      </c>
      <c r="AL91" s="347">
        <v>46240</v>
      </c>
      <c r="AM91" s="349" t="s">
        <v>402</v>
      </c>
      <c r="AN91" s="347" t="s">
        <v>7713</v>
      </c>
      <c r="AO91" s="347" t="s">
        <v>80</v>
      </c>
      <c r="AP91" s="347" t="s">
        <v>7714</v>
      </c>
      <c r="AQ91" s="340" t="s">
        <v>7715</v>
      </c>
      <c r="AR91" s="340" t="s">
        <v>7715</v>
      </c>
      <c r="AS91" s="340">
        <f>ESS_DATA[[#This Row],[ETA On S/O]]-ESS_DATA[[#This Row],[ETD On S/O]]+1</f>
        <v>32</v>
      </c>
      <c r="AT91" s="340"/>
      <c r="AU91" s="347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46248</v>
      </c>
      <c r="AX91" s="340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3">
        <f>YEAR(ESS_DATA[[#This Row],[ETA for New Ark update]])</f>
        <v>2026</v>
      </c>
      <c r="BA91" s="343">
        <f>MONTH(ESS_DATA[[#This Row],[ETA for New Ark update]])</f>
        <v>8</v>
      </c>
      <c r="BB91" s="343">
        <f>IFERROR(_xlfn.ISOWEEKNUM(ESS_DATA[[#This Row],[ETA for New Ark update]]),0)</f>
        <v>33</v>
      </c>
      <c r="BC91" s="343" t="str">
        <f>_xlfn.XLOOKUP(ESS_DATA[[#This Row],[PORT DESTINATION]],Table12[PORT DESTINATION],Table12[Cosco Line],,0)</f>
        <v>AEU</v>
      </c>
      <c r="BD91" s="82"/>
    </row>
    <row r="92" spans="1:56" s="350" customFormat="1" ht="14.25" customHeight="1">
      <c r="A92" s="351" t="s">
        <v>7719</v>
      </c>
      <c r="B92" s="339" t="s">
        <v>7423</v>
      </c>
      <c r="C92" s="340" t="str">
        <f>IFERROR(LEFT(ESS_DATA[[#This Row],[TCL REFERENCE]],FIND(".",ESS_DATA[[#This Row],[TCL REFERENCE]],1)-1),"Main Line")</f>
        <v>Main Line</v>
      </c>
      <c r="D92" s="340" t="s">
        <v>63</v>
      </c>
      <c r="E92" s="340" t="s">
        <v>64</v>
      </c>
      <c r="F92" s="340" t="s">
        <v>65</v>
      </c>
      <c r="G92" s="340" t="s">
        <v>402</v>
      </c>
      <c r="H92" s="340" t="s">
        <v>67</v>
      </c>
      <c r="I92" s="340"/>
      <c r="J92" s="340" t="s">
        <v>7636</v>
      </c>
      <c r="K92" s="340"/>
      <c r="L92" s="341"/>
      <c r="M92" s="342" t="s">
        <v>68</v>
      </c>
      <c r="N92" s="343" t="s">
        <v>7717</v>
      </c>
      <c r="O92" s="343" t="s">
        <v>7646</v>
      </c>
      <c r="P92" s="343" t="s">
        <v>7718</v>
      </c>
      <c r="Q92" s="339"/>
      <c r="R92" s="344">
        <v>6</v>
      </c>
      <c r="S92" s="345"/>
      <c r="T92" s="340"/>
      <c r="U92" s="346">
        <f>ESS_DATA[[#This Row],[QUANTITY]]/276</f>
        <v>2.1739130434782608E-2</v>
      </c>
      <c r="V92" s="371" t="s">
        <v>7463</v>
      </c>
      <c r="W92" s="340" t="s">
        <v>2456</v>
      </c>
      <c r="X92" s="340" t="str">
        <f t="shared" si="2"/>
        <v>COMPLETED</v>
      </c>
      <c r="Y92" s="347">
        <v>46193</v>
      </c>
      <c r="Z92" s="347">
        <v>46195</v>
      </c>
      <c r="AA92" s="348">
        <f>WEEKNUM(ESS_DATA[[#This Row],[Pick-Up Date]])</f>
        <v>26</v>
      </c>
      <c r="AB92" s="340" t="s">
        <v>7712</v>
      </c>
      <c r="AC92" s="340"/>
      <c r="AD92" s="343" t="s">
        <v>122</v>
      </c>
      <c r="AE92" s="340" t="s">
        <v>123</v>
      </c>
      <c r="AF92" s="340" t="s">
        <v>105</v>
      </c>
      <c r="AG92" s="347">
        <v>46201</v>
      </c>
      <c r="AH92" s="347">
        <v>46203</v>
      </c>
      <c r="AI92" s="347">
        <v>46203</v>
      </c>
      <c r="AJ92" s="347">
        <v>46232</v>
      </c>
      <c r="AK92" s="347">
        <v>46238</v>
      </c>
      <c r="AL92" s="347">
        <v>46240</v>
      </c>
      <c r="AM92" s="349" t="s">
        <v>402</v>
      </c>
      <c r="AN92" s="347" t="s">
        <v>7713</v>
      </c>
      <c r="AO92" s="347" t="s">
        <v>80</v>
      </c>
      <c r="AP92" s="347" t="s">
        <v>7714</v>
      </c>
      <c r="AQ92" s="340" t="s">
        <v>7715</v>
      </c>
      <c r="AR92" s="340" t="s">
        <v>7715</v>
      </c>
      <c r="AS92" s="340">
        <f>ESS_DATA[[#This Row],[ETA On S/O]]-ESS_DATA[[#This Row],[ETD On S/O]]+1</f>
        <v>32</v>
      </c>
      <c r="AT92" s="340"/>
      <c r="AU92" s="347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46248</v>
      </c>
      <c r="AX92" s="340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3">
        <f>YEAR(ESS_DATA[[#This Row],[ETA for New Ark update]])</f>
        <v>2026</v>
      </c>
      <c r="BA92" s="343">
        <f>MONTH(ESS_DATA[[#This Row],[ETA for New Ark update]])</f>
        <v>8</v>
      </c>
      <c r="BB92" s="343">
        <f>IFERROR(_xlfn.ISOWEEKNUM(ESS_DATA[[#This Row],[ETA for New Ark update]]),0)</f>
        <v>33</v>
      </c>
      <c r="BC92" s="343" t="str">
        <f>_xlfn.XLOOKUP(ESS_DATA[[#This Row],[PORT DESTINATION]],Table12[PORT DESTINATION],Table12[Cosco Line],,0)</f>
        <v>AEU</v>
      </c>
      <c r="BD92" s="82"/>
    </row>
    <row r="93" spans="1:56" s="350" customFormat="1" ht="12" customHeight="1">
      <c r="A93" s="351" t="s">
        <v>7720</v>
      </c>
      <c r="B93" s="339" t="s">
        <v>7423</v>
      </c>
      <c r="C93" s="340" t="str">
        <f>IFERROR(LEFT(ESS_DATA[[#This Row],[TCL REFERENCE]],FIND(".",ESS_DATA[[#This Row],[TCL REFERENCE]],1)-1),"Main Line")</f>
        <v>Main Line</v>
      </c>
      <c r="D93" s="340" t="s">
        <v>63</v>
      </c>
      <c r="E93" s="340" t="s">
        <v>64</v>
      </c>
      <c r="F93" s="340" t="s">
        <v>65</v>
      </c>
      <c r="G93" s="340" t="s">
        <v>402</v>
      </c>
      <c r="H93" s="340" t="s">
        <v>67</v>
      </c>
      <c r="I93" s="340"/>
      <c r="J93" s="340" t="s">
        <v>7636</v>
      </c>
      <c r="K93" s="340"/>
      <c r="L93" s="341"/>
      <c r="M93" s="342" t="s">
        <v>68</v>
      </c>
      <c r="N93" s="343" t="s">
        <v>7460</v>
      </c>
      <c r="O93" s="343" t="s">
        <v>7658</v>
      </c>
      <c r="P93" s="343" t="s">
        <v>7462</v>
      </c>
      <c r="Q93" s="339"/>
      <c r="R93" s="490">
        <v>276</v>
      </c>
      <c r="S93" s="345"/>
      <c r="T93" s="340"/>
      <c r="U93" s="346">
        <f>ESS_DATA[[#This Row],[QUANTITY]]/276</f>
        <v>1</v>
      </c>
      <c r="V93" s="371" t="s">
        <v>7469</v>
      </c>
      <c r="W93" s="340" t="s">
        <v>2456</v>
      </c>
      <c r="X93" s="340" t="str">
        <f t="shared" si="2"/>
        <v>COMPLETED</v>
      </c>
      <c r="Y93" s="347">
        <v>46193</v>
      </c>
      <c r="Z93" s="347">
        <v>46200</v>
      </c>
      <c r="AA93" s="348">
        <f>WEEKNUM(ESS_DATA[[#This Row],[Pick-Up Date]])</f>
        <v>26</v>
      </c>
      <c r="AB93" s="340" t="s">
        <v>7721</v>
      </c>
      <c r="AC93" s="340"/>
      <c r="AD93" s="343" t="s">
        <v>122</v>
      </c>
      <c r="AE93" s="340" t="s">
        <v>123</v>
      </c>
      <c r="AF93" s="340" t="s">
        <v>105</v>
      </c>
      <c r="AG93" s="347">
        <v>46207</v>
      </c>
      <c r="AH93" s="347">
        <v>46207</v>
      </c>
      <c r="AI93" s="347">
        <v>46210</v>
      </c>
      <c r="AJ93" s="347">
        <v>46249</v>
      </c>
      <c r="AK93" s="347">
        <v>46249</v>
      </c>
      <c r="AL93" s="347">
        <v>46249</v>
      </c>
      <c r="AM93" s="349" t="s">
        <v>402</v>
      </c>
      <c r="AN93" s="347" t="s">
        <v>7722</v>
      </c>
      <c r="AO93" s="347" t="s">
        <v>161</v>
      </c>
      <c r="AP93" s="347" t="s">
        <v>7723</v>
      </c>
      <c r="AQ93" s="340">
        <v>272092787</v>
      </c>
      <c r="AR93" s="340">
        <v>272092787</v>
      </c>
      <c r="AS93" s="340">
        <f>ESS_DATA[[#This Row],[ETA On S/O]]-ESS_DATA[[#This Row],[ETD On S/O]]+1</f>
        <v>43</v>
      </c>
      <c r="AT93" s="340"/>
      <c r="AU93" s="347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46255</v>
      </c>
      <c r="AX93" s="340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3">
        <f>YEAR(ESS_DATA[[#This Row],[ETA for New Ark update]])</f>
        <v>2026</v>
      </c>
      <c r="BA93" s="343">
        <f>MONTH(ESS_DATA[[#This Row],[ETA for New Ark update]])</f>
        <v>8</v>
      </c>
      <c r="BB93" s="343">
        <f>IFERROR(_xlfn.ISOWEEKNUM(ESS_DATA[[#This Row],[ETA for New Ark update]]),0)</f>
        <v>34</v>
      </c>
      <c r="BC93" s="343" t="str">
        <f>_xlfn.XLOOKUP(ESS_DATA[[#This Row],[PORT DESTINATION]],Table12[PORT DESTINATION],Table12[Cosco Line],,0)</f>
        <v>AEU</v>
      </c>
      <c r="BD93" s="82"/>
    </row>
    <row r="94" spans="1:56" s="350" customFormat="1" ht="12.75" customHeight="1">
      <c r="A94" s="338" t="s">
        <v>7724</v>
      </c>
      <c r="B94" s="339" t="s">
        <v>7423</v>
      </c>
      <c r="C94" s="340" t="str">
        <f>IFERROR(LEFT(ESS_DATA[[#This Row],[TCL REFERENCE]],FIND(".",ESS_DATA[[#This Row],[TCL REFERENCE]],1)-1),"Main Line")</f>
        <v>Main Line</v>
      </c>
      <c r="D94" s="340" t="s">
        <v>63</v>
      </c>
      <c r="E94" s="340" t="s">
        <v>64</v>
      </c>
      <c r="F94" s="340" t="s">
        <v>65</v>
      </c>
      <c r="G94" s="340" t="s">
        <v>402</v>
      </c>
      <c r="H94" s="340" t="s">
        <v>67</v>
      </c>
      <c r="I94" s="340"/>
      <c r="J94" s="340" t="s">
        <v>7636</v>
      </c>
      <c r="K94" s="340"/>
      <c r="L94" s="341"/>
      <c r="M94" s="342" t="s">
        <v>68</v>
      </c>
      <c r="N94" s="343" t="s">
        <v>7725</v>
      </c>
      <c r="O94" s="343" t="s">
        <v>7438</v>
      </c>
      <c r="P94" s="343" t="s">
        <v>7726</v>
      </c>
      <c r="Q94" s="339"/>
      <c r="R94" s="344">
        <v>128</v>
      </c>
      <c r="S94" s="345"/>
      <c r="T94" s="340"/>
      <c r="U94" s="346">
        <f>ESS_DATA[[#This Row],[QUANTITY]]/312</f>
        <v>0.41025641025641024</v>
      </c>
      <c r="V94" s="371" t="s">
        <v>7473</v>
      </c>
      <c r="W94" s="340" t="s">
        <v>2457</v>
      </c>
      <c r="X94" s="340" t="str">
        <f t="shared" si="2"/>
        <v>COMPLETED</v>
      </c>
      <c r="Y94" s="347">
        <v>46195</v>
      </c>
      <c r="Z94" s="347">
        <v>46200</v>
      </c>
      <c r="AA94" s="348">
        <f>WEEKNUM(ESS_DATA[[#This Row],[Pick-Up Date]])</f>
        <v>26</v>
      </c>
      <c r="AB94" s="340" t="s">
        <v>7721</v>
      </c>
      <c r="AC94" s="340"/>
      <c r="AD94" s="343" t="s">
        <v>122</v>
      </c>
      <c r="AE94" s="340" t="s">
        <v>123</v>
      </c>
      <c r="AF94" s="340" t="s">
        <v>105</v>
      </c>
      <c r="AG94" s="347">
        <v>46207</v>
      </c>
      <c r="AH94" s="347">
        <v>46207</v>
      </c>
      <c r="AI94" s="347">
        <v>46210</v>
      </c>
      <c r="AJ94" s="347">
        <v>46249</v>
      </c>
      <c r="AK94" s="347">
        <v>46249</v>
      </c>
      <c r="AL94" s="347">
        <v>46249</v>
      </c>
      <c r="AM94" s="349" t="s">
        <v>402</v>
      </c>
      <c r="AN94" s="347" t="s">
        <v>7722</v>
      </c>
      <c r="AO94" s="347" t="s">
        <v>161</v>
      </c>
      <c r="AP94" s="347" t="s">
        <v>7723</v>
      </c>
      <c r="AQ94" s="340">
        <v>272092787</v>
      </c>
      <c r="AR94" s="340">
        <v>272092787</v>
      </c>
      <c r="AS94" s="340">
        <f>ESS_DATA[[#This Row],[ETA On S/O]]-ESS_DATA[[#This Row],[ETD On S/O]]+1</f>
        <v>43</v>
      </c>
      <c r="AT94" s="340"/>
      <c r="AU94" s="347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46255</v>
      </c>
      <c r="AX94" s="340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3">
        <f>YEAR(ESS_DATA[[#This Row],[ETA for New Ark update]])</f>
        <v>2026</v>
      </c>
      <c r="BA94" s="343">
        <f>MONTH(ESS_DATA[[#This Row],[ETA for New Ark update]])</f>
        <v>8</v>
      </c>
      <c r="BB94" s="343">
        <f>IFERROR(_xlfn.ISOWEEKNUM(ESS_DATA[[#This Row],[ETA for New Ark update]]),0)</f>
        <v>34</v>
      </c>
      <c r="BC94" s="343" t="str">
        <f>_xlfn.XLOOKUP(ESS_DATA[[#This Row],[PORT DESTINATION]],Table12[PORT DESTINATION],Table12[Cosco Line],,0)</f>
        <v>AEU</v>
      </c>
      <c r="BD94" s="82"/>
    </row>
    <row r="95" spans="1:56" s="350" customFormat="1" ht="12.75" customHeight="1">
      <c r="A95" s="338" t="s">
        <v>7727</v>
      </c>
      <c r="B95" s="339" t="s">
        <v>7423</v>
      </c>
      <c r="C95" s="340" t="str">
        <f>IFERROR(LEFT(ESS_DATA[[#This Row],[TCL REFERENCE]],FIND(".",ESS_DATA[[#This Row],[TCL REFERENCE]],1)-1),"Main Line")</f>
        <v>Main Line</v>
      </c>
      <c r="D95" s="340" t="s">
        <v>63</v>
      </c>
      <c r="E95" s="340" t="s">
        <v>64</v>
      </c>
      <c r="F95" s="340" t="s">
        <v>65</v>
      </c>
      <c r="G95" s="340" t="s">
        <v>402</v>
      </c>
      <c r="H95" s="340" t="s">
        <v>67</v>
      </c>
      <c r="I95" s="340"/>
      <c r="J95" s="340" t="s">
        <v>7636</v>
      </c>
      <c r="K95" s="340"/>
      <c r="L95" s="341"/>
      <c r="M95" s="342" t="s">
        <v>68</v>
      </c>
      <c r="N95" s="343" t="s">
        <v>7725</v>
      </c>
      <c r="O95" s="343" t="s">
        <v>7438</v>
      </c>
      <c r="P95" s="343" t="s">
        <v>7726</v>
      </c>
      <c r="Q95" s="339"/>
      <c r="R95" s="344">
        <v>4</v>
      </c>
      <c r="S95" s="345"/>
      <c r="T95" s="340"/>
      <c r="U95" s="346">
        <f>ESS_DATA[[#This Row],[QUANTITY]]/312</f>
        <v>1.282051282051282E-2</v>
      </c>
      <c r="V95" s="371" t="s">
        <v>7473</v>
      </c>
      <c r="W95" s="340" t="s">
        <v>2457</v>
      </c>
      <c r="X95" s="340" t="str">
        <f t="shared" si="2"/>
        <v>COMPLETED</v>
      </c>
      <c r="Y95" s="347">
        <v>46195</v>
      </c>
      <c r="Z95" s="347">
        <v>46200</v>
      </c>
      <c r="AA95" s="348">
        <f>WEEKNUM(ESS_DATA[[#This Row],[Pick-Up Date]])</f>
        <v>26</v>
      </c>
      <c r="AB95" s="340" t="s">
        <v>7721</v>
      </c>
      <c r="AC95" s="340"/>
      <c r="AD95" s="343" t="s">
        <v>122</v>
      </c>
      <c r="AE95" s="340" t="s">
        <v>123</v>
      </c>
      <c r="AF95" s="340" t="s">
        <v>105</v>
      </c>
      <c r="AG95" s="347">
        <v>46207</v>
      </c>
      <c r="AH95" s="347">
        <v>46207</v>
      </c>
      <c r="AI95" s="347">
        <v>46210</v>
      </c>
      <c r="AJ95" s="347">
        <v>46249</v>
      </c>
      <c r="AK95" s="347">
        <v>46249</v>
      </c>
      <c r="AL95" s="347">
        <v>46249</v>
      </c>
      <c r="AM95" s="349" t="s">
        <v>402</v>
      </c>
      <c r="AN95" s="347" t="s">
        <v>7722</v>
      </c>
      <c r="AO95" s="347" t="s">
        <v>161</v>
      </c>
      <c r="AP95" s="347" t="s">
        <v>7723</v>
      </c>
      <c r="AQ95" s="340">
        <v>272092787</v>
      </c>
      <c r="AR95" s="340">
        <v>272092787</v>
      </c>
      <c r="AS95" s="340">
        <f>ESS_DATA[[#This Row],[ETA On S/O]]-ESS_DATA[[#This Row],[ETD On S/O]]+1</f>
        <v>43</v>
      </c>
      <c r="AT95" s="340"/>
      <c r="AU95" s="347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46255</v>
      </c>
      <c r="AX95" s="340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3">
        <f>YEAR(ESS_DATA[[#This Row],[ETA for New Ark update]])</f>
        <v>2026</v>
      </c>
      <c r="BA95" s="343">
        <f>MONTH(ESS_DATA[[#This Row],[ETA for New Ark update]])</f>
        <v>8</v>
      </c>
      <c r="BB95" s="343">
        <f>IFERROR(_xlfn.ISOWEEKNUM(ESS_DATA[[#This Row],[ETA for New Ark update]]),0)</f>
        <v>34</v>
      </c>
      <c r="BC95" s="343" t="str">
        <f>_xlfn.XLOOKUP(ESS_DATA[[#This Row],[PORT DESTINATION]],Table12[PORT DESTINATION],Table12[Cosco Line],,0)</f>
        <v>AEU</v>
      </c>
      <c r="BD95" s="82"/>
    </row>
    <row r="96" spans="1:56" s="350" customFormat="1" ht="13.5" customHeight="1">
      <c r="A96" s="351" t="s">
        <v>7728</v>
      </c>
      <c r="B96" s="339" t="s">
        <v>7423</v>
      </c>
      <c r="C96" s="340" t="str">
        <f>IFERROR(LEFT(ESS_DATA[[#This Row],[TCL REFERENCE]],FIND(".",ESS_DATA[[#This Row],[TCL REFERENCE]],1)-1),"Main Line")</f>
        <v>Main Line</v>
      </c>
      <c r="D96" s="340" t="s">
        <v>63</v>
      </c>
      <c r="E96" s="340" t="s">
        <v>64</v>
      </c>
      <c r="F96" s="340" t="s">
        <v>65</v>
      </c>
      <c r="G96" s="340" t="s">
        <v>402</v>
      </c>
      <c r="H96" s="340" t="s">
        <v>67</v>
      </c>
      <c r="I96" s="340"/>
      <c r="J96" s="340" t="s">
        <v>7636</v>
      </c>
      <c r="K96" s="340"/>
      <c r="L96" s="341"/>
      <c r="M96" s="342" t="s">
        <v>68</v>
      </c>
      <c r="N96" s="343" t="s">
        <v>7710</v>
      </c>
      <c r="O96" s="343" t="s">
        <v>7438</v>
      </c>
      <c r="P96" s="343" t="s">
        <v>7711</v>
      </c>
      <c r="Q96" s="339"/>
      <c r="R96" s="344">
        <v>4</v>
      </c>
      <c r="S96" s="345"/>
      <c r="T96" s="340"/>
      <c r="U96" s="346">
        <f>ESS_DATA[[#This Row],[QUANTITY]]/312</f>
        <v>1.282051282051282E-2</v>
      </c>
      <c r="V96" s="371" t="s">
        <v>7473</v>
      </c>
      <c r="W96" s="340" t="s">
        <v>2457</v>
      </c>
      <c r="X96" s="340" t="str">
        <f t="shared" si="2"/>
        <v>COMPLETED</v>
      </c>
      <c r="Y96" s="347">
        <v>46195</v>
      </c>
      <c r="Z96" s="347">
        <v>46200</v>
      </c>
      <c r="AA96" s="348">
        <f>WEEKNUM(ESS_DATA[[#This Row],[Pick-Up Date]])</f>
        <v>26</v>
      </c>
      <c r="AB96" s="340" t="s">
        <v>7721</v>
      </c>
      <c r="AC96" s="340"/>
      <c r="AD96" s="343" t="s">
        <v>122</v>
      </c>
      <c r="AE96" s="340" t="s">
        <v>123</v>
      </c>
      <c r="AF96" s="340" t="s">
        <v>105</v>
      </c>
      <c r="AG96" s="347">
        <v>46207</v>
      </c>
      <c r="AH96" s="347">
        <v>46207</v>
      </c>
      <c r="AI96" s="347">
        <v>46210</v>
      </c>
      <c r="AJ96" s="347">
        <v>46249</v>
      </c>
      <c r="AK96" s="347">
        <v>46249</v>
      </c>
      <c r="AL96" s="347">
        <v>46249</v>
      </c>
      <c r="AM96" s="349" t="s">
        <v>402</v>
      </c>
      <c r="AN96" s="347" t="s">
        <v>7722</v>
      </c>
      <c r="AO96" s="347" t="s">
        <v>161</v>
      </c>
      <c r="AP96" s="347" t="s">
        <v>7723</v>
      </c>
      <c r="AQ96" s="340">
        <v>272092787</v>
      </c>
      <c r="AR96" s="340">
        <v>272092787</v>
      </c>
      <c r="AS96" s="340">
        <f>ESS_DATA[[#This Row],[ETA On S/O]]-ESS_DATA[[#This Row],[ETD On S/O]]+1</f>
        <v>43</v>
      </c>
      <c r="AT96" s="340"/>
      <c r="AU96" s="347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46255</v>
      </c>
      <c r="AX96" s="340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3">
        <f>YEAR(ESS_DATA[[#This Row],[ETA for New Ark update]])</f>
        <v>2026</v>
      </c>
      <c r="BA96" s="343">
        <f>MONTH(ESS_DATA[[#This Row],[ETA for New Ark update]])</f>
        <v>8</v>
      </c>
      <c r="BB96" s="343">
        <f>IFERROR(_xlfn.ISOWEEKNUM(ESS_DATA[[#This Row],[ETA for New Ark update]]),0)</f>
        <v>34</v>
      </c>
      <c r="BC96" s="343" t="str">
        <f>_xlfn.XLOOKUP(ESS_DATA[[#This Row],[PORT DESTINATION]],Table12[PORT DESTINATION],Table12[Cosco Line],,0)</f>
        <v>AEU</v>
      </c>
      <c r="BD96" s="82"/>
    </row>
    <row r="97" spans="1:57" s="350" customFormat="1" ht="12.75" customHeight="1">
      <c r="A97" s="351" t="s">
        <v>7729</v>
      </c>
      <c r="B97" s="339" t="s">
        <v>7423</v>
      </c>
      <c r="C97" s="340" t="str">
        <f>IFERROR(LEFT(ESS_DATA[[#This Row],[TCL REFERENCE]],FIND(".",ESS_DATA[[#This Row],[TCL REFERENCE]],1)-1),"Main Line")</f>
        <v>Main Line</v>
      </c>
      <c r="D97" s="340" t="s">
        <v>63</v>
      </c>
      <c r="E97" s="340" t="s">
        <v>64</v>
      </c>
      <c r="F97" s="340" t="s">
        <v>65</v>
      </c>
      <c r="G97" s="340" t="s">
        <v>402</v>
      </c>
      <c r="H97" s="340" t="s">
        <v>67</v>
      </c>
      <c r="I97" s="340"/>
      <c r="J97" s="340" t="s">
        <v>7636</v>
      </c>
      <c r="K97" s="340"/>
      <c r="L97" s="341"/>
      <c r="M97" s="342" t="s">
        <v>68</v>
      </c>
      <c r="N97" s="343" t="s">
        <v>7710</v>
      </c>
      <c r="O97" s="343" t="s">
        <v>7438</v>
      </c>
      <c r="P97" s="343" t="s">
        <v>7711</v>
      </c>
      <c r="Q97" s="339"/>
      <c r="R97" s="344">
        <v>2</v>
      </c>
      <c r="S97" s="345"/>
      <c r="T97" s="340"/>
      <c r="U97" s="346">
        <f>ESS_DATA[[#This Row],[QUANTITY]]/312</f>
        <v>6.41025641025641E-3</v>
      </c>
      <c r="V97" s="371" t="s">
        <v>7473</v>
      </c>
      <c r="W97" s="340" t="s">
        <v>2457</v>
      </c>
      <c r="X97" s="340" t="str">
        <f t="shared" si="2"/>
        <v>COMPLETED</v>
      </c>
      <c r="Y97" s="347">
        <v>46195</v>
      </c>
      <c r="Z97" s="347">
        <v>46200</v>
      </c>
      <c r="AA97" s="348">
        <f>WEEKNUM(ESS_DATA[[#This Row],[Pick-Up Date]])</f>
        <v>26</v>
      </c>
      <c r="AB97" s="340" t="s">
        <v>7721</v>
      </c>
      <c r="AC97" s="340"/>
      <c r="AD97" s="343" t="s">
        <v>122</v>
      </c>
      <c r="AE97" s="340" t="s">
        <v>123</v>
      </c>
      <c r="AF97" s="340" t="s">
        <v>105</v>
      </c>
      <c r="AG97" s="347">
        <v>46207</v>
      </c>
      <c r="AH97" s="347">
        <v>46207</v>
      </c>
      <c r="AI97" s="347">
        <v>46210</v>
      </c>
      <c r="AJ97" s="347">
        <v>46249</v>
      </c>
      <c r="AK97" s="347">
        <v>46249</v>
      </c>
      <c r="AL97" s="347">
        <v>46249</v>
      </c>
      <c r="AM97" s="349" t="s">
        <v>402</v>
      </c>
      <c r="AN97" s="347" t="s">
        <v>7722</v>
      </c>
      <c r="AO97" s="347" t="s">
        <v>161</v>
      </c>
      <c r="AP97" s="347" t="s">
        <v>7723</v>
      </c>
      <c r="AQ97" s="340">
        <v>272092787</v>
      </c>
      <c r="AR97" s="340">
        <v>272092787</v>
      </c>
      <c r="AS97" s="340">
        <f>ESS_DATA[[#This Row],[ETA On S/O]]-ESS_DATA[[#This Row],[ETD On S/O]]+1</f>
        <v>43</v>
      </c>
      <c r="AT97" s="340"/>
      <c r="AU97" s="347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46255</v>
      </c>
      <c r="AX97" s="340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3">
        <f>YEAR(ESS_DATA[[#This Row],[ETA for New Ark update]])</f>
        <v>2026</v>
      </c>
      <c r="BA97" s="343">
        <f>MONTH(ESS_DATA[[#This Row],[ETA for New Ark update]])</f>
        <v>8</v>
      </c>
      <c r="BB97" s="343">
        <f>IFERROR(_xlfn.ISOWEEKNUM(ESS_DATA[[#This Row],[ETA for New Ark update]]),0)</f>
        <v>34</v>
      </c>
      <c r="BC97" s="343" t="str">
        <f>_xlfn.XLOOKUP(ESS_DATA[[#This Row],[PORT DESTINATION]],Table12[PORT DESTINATION],Table12[Cosco Line],,0)</f>
        <v>AEU</v>
      </c>
      <c r="BD97" s="82"/>
    </row>
    <row r="98" spans="1:57" s="350" customFormat="1" ht="12.75" customHeight="1">
      <c r="A98" s="351" t="s">
        <v>7730</v>
      </c>
      <c r="B98" s="339" t="s">
        <v>7423</v>
      </c>
      <c r="C98" s="340" t="str">
        <f>IFERROR(LEFT(ESS_DATA[[#This Row],[TCL REFERENCE]],FIND(".",ESS_DATA[[#This Row],[TCL REFERENCE]],1)-1),"Main Line")</f>
        <v>Main Line</v>
      </c>
      <c r="D98" s="340" t="s">
        <v>63</v>
      </c>
      <c r="E98" s="340" t="s">
        <v>64</v>
      </c>
      <c r="F98" s="340" t="s">
        <v>65</v>
      </c>
      <c r="G98" s="340" t="s">
        <v>402</v>
      </c>
      <c r="H98" s="340" t="s">
        <v>67</v>
      </c>
      <c r="I98" s="340"/>
      <c r="J98" s="340" t="s">
        <v>7636</v>
      </c>
      <c r="K98" s="340"/>
      <c r="L98" s="341"/>
      <c r="M98" s="342" t="s">
        <v>68</v>
      </c>
      <c r="N98" s="343" t="s">
        <v>7460</v>
      </c>
      <c r="O98" s="343" t="s">
        <v>7658</v>
      </c>
      <c r="P98" s="343" t="s">
        <v>7462</v>
      </c>
      <c r="Q98" s="339"/>
      <c r="R98" s="344">
        <v>108</v>
      </c>
      <c r="S98" s="345"/>
      <c r="T98" s="340"/>
      <c r="U98" s="346">
        <f>ESS_DATA[[#This Row],[QUANTITY]]/276</f>
        <v>0.39130434782608697</v>
      </c>
      <c r="V98" s="371" t="s">
        <v>7473</v>
      </c>
      <c r="W98" s="340" t="s">
        <v>2457</v>
      </c>
      <c r="X98" s="340" t="str">
        <f t="shared" ref="X98:X99" si="3">IF(AL98&lt;&gt;"","COMPLETED",IF(AI98&lt;&gt;"","IN-TRANSIT",""))</f>
        <v>COMPLETED</v>
      </c>
      <c r="Y98" s="347">
        <v>46195</v>
      </c>
      <c r="Z98" s="347">
        <v>46200</v>
      </c>
      <c r="AA98" s="348">
        <f>WEEKNUM(ESS_DATA[[#This Row],[Pick-Up Date]])</f>
        <v>26</v>
      </c>
      <c r="AB98" s="340" t="s">
        <v>7721</v>
      </c>
      <c r="AC98" s="340"/>
      <c r="AD98" s="343" t="s">
        <v>122</v>
      </c>
      <c r="AE98" s="340" t="s">
        <v>123</v>
      </c>
      <c r="AF98" s="340" t="s">
        <v>105</v>
      </c>
      <c r="AG98" s="347">
        <v>46207</v>
      </c>
      <c r="AH98" s="347">
        <v>46207</v>
      </c>
      <c r="AI98" s="347">
        <v>46210</v>
      </c>
      <c r="AJ98" s="347">
        <v>46249</v>
      </c>
      <c r="AK98" s="347">
        <v>46249</v>
      </c>
      <c r="AL98" s="347">
        <v>46249</v>
      </c>
      <c r="AM98" s="349" t="s">
        <v>402</v>
      </c>
      <c r="AN98" s="347" t="s">
        <v>7722</v>
      </c>
      <c r="AO98" s="347" t="s">
        <v>161</v>
      </c>
      <c r="AP98" s="347" t="s">
        <v>7723</v>
      </c>
      <c r="AQ98" s="340">
        <v>272092787</v>
      </c>
      <c r="AR98" s="340">
        <v>272092787</v>
      </c>
      <c r="AS98" s="340">
        <f>ESS_DATA[[#This Row],[ETA On S/O]]-ESS_DATA[[#This Row],[ETD On S/O]]+1</f>
        <v>43</v>
      </c>
      <c r="AT98" s="340"/>
      <c r="AU98" s="347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46255</v>
      </c>
      <c r="AX98" s="340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3">
        <f>YEAR(ESS_DATA[[#This Row],[ETA for New Ark update]])</f>
        <v>2026</v>
      </c>
      <c r="BA98" s="343">
        <f>MONTH(ESS_DATA[[#This Row],[ETA for New Ark update]])</f>
        <v>8</v>
      </c>
      <c r="BB98" s="343">
        <f>IFERROR(_xlfn.ISOWEEKNUM(ESS_DATA[[#This Row],[ETA for New Ark update]]),0)</f>
        <v>34</v>
      </c>
      <c r="BC98" s="343" t="str">
        <f>_xlfn.XLOOKUP(ESS_DATA[[#This Row],[PORT DESTINATION]],Table12[PORT DESTINATION],Table12[Cosco Line],,0)</f>
        <v>AEU</v>
      </c>
      <c r="BD98" s="82"/>
    </row>
    <row r="99" spans="1:57" s="350" customFormat="1" ht="12.75" customHeight="1">
      <c r="A99" s="351" t="s">
        <v>7731</v>
      </c>
      <c r="B99" s="339" t="s">
        <v>7423</v>
      </c>
      <c r="C99" s="340" t="str">
        <f>IFERROR(LEFT(ESS_DATA[[#This Row],[TCL REFERENCE]],FIND(".",ESS_DATA[[#This Row],[TCL REFERENCE]],1)-1),"Main Line")</f>
        <v>Main Line</v>
      </c>
      <c r="D99" s="340" t="s">
        <v>63</v>
      </c>
      <c r="E99" s="340" t="s">
        <v>64</v>
      </c>
      <c r="F99" s="340" t="s">
        <v>65</v>
      </c>
      <c r="G99" s="340" t="s">
        <v>402</v>
      </c>
      <c r="H99" s="340" t="s">
        <v>67</v>
      </c>
      <c r="I99" s="340"/>
      <c r="J99" s="340" t="s">
        <v>7636</v>
      </c>
      <c r="K99" s="340"/>
      <c r="L99" s="341"/>
      <c r="M99" s="342" t="s">
        <v>68</v>
      </c>
      <c r="N99" s="343" t="s">
        <v>7460</v>
      </c>
      <c r="O99" s="343" t="s">
        <v>7658</v>
      </c>
      <c r="P99" s="339" t="s">
        <v>7462</v>
      </c>
      <c r="Q99" s="339"/>
      <c r="R99" s="344">
        <v>12</v>
      </c>
      <c r="S99" s="345"/>
      <c r="T99" s="340"/>
      <c r="U99" s="346">
        <f>ESS_DATA[[#This Row],[QUANTITY]]/276</f>
        <v>4.3478260869565216E-2</v>
      </c>
      <c r="V99" s="371" t="s">
        <v>7473</v>
      </c>
      <c r="W99" s="340" t="s">
        <v>2457</v>
      </c>
      <c r="X99" s="340" t="str">
        <f t="shared" si="3"/>
        <v>COMPLETED</v>
      </c>
      <c r="Y99" s="347">
        <v>46195</v>
      </c>
      <c r="Z99" s="347">
        <v>46200</v>
      </c>
      <c r="AA99" s="348">
        <f>WEEKNUM(ESS_DATA[[#This Row],[Pick-Up Date]])</f>
        <v>26</v>
      </c>
      <c r="AB99" s="340" t="s">
        <v>7721</v>
      </c>
      <c r="AC99" s="340"/>
      <c r="AD99" s="343" t="s">
        <v>122</v>
      </c>
      <c r="AE99" s="340" t="s">
        <v>123</v>
      </c>
      <c r="AF99" s="340" t="s">
        <v>105</v>
      </c>
      <c r="AG99" s="347">
        <v>46207</v>
      </c>
      <c r="AH99" s="347">
        <v>46207</v>
      </c>
      <c r="AI99" s="347">
        <v>46210</v>
      </c>
      <c r="AJ99" s="347">
        <v>46249</v>
      </c>
      <c r="AK99" s="347">
        <v>46249</v>
      </c>
      <c r="AL99" s="347">
        <v>46249</v>
      </c>
      <c r="AM99" s="349" t="s">
        <v>402</v>
      </c>
      <c r="AN99" s="347" t="s">
        <v>7722</v>
      </c>
      <c r="AO99" s="347" t="s">
        <v>161</v>
      </c>
      <c r="AP99" s="347" t="s">
        <v>7723</v>
      </c>
      <c r="AQ99" s="340">
        <v>272092787</v>
      </c>
      <c r="AR99" s="340">
        <v>272092787</v>
      </c>
      <c r="AS99" s="340">
        <f>ESS_DATA[[#This Row],[ETA On S/O]]-ESS_DATA[[#This Row],[ETD On S/O]]+1</f>
        <v>43</v>
      </c>
      <c r="AT99" s="340"/>
      <c r="AU99" s="347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46255</v>
      </c>
      <c r="AX99" s="340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3">
        <f>YEAR(ESS_DATA[[#This Row],[ETA for New Ark update]])</f>
        <v>2026</v>
      </c>
      <c r="BA99" s="343">
        <f>MONTH(ESS_DATA[[#This Row],[ETA for New Ark update]])</f>
        <v>8</v>
      </c>
      <c r="BB99" s="343">
        <f>IFERROR(_xlfn.ISOWEEKNUM(ESS_DATA[[#This Row],[ETA for New Ark update]]),0)</f>
        <v>34</v>
      </c>
      <c r="BC99" s="343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7732</v>
      </c>
      <c r="B100" s="494" t="s">
        <v>7423</v>
      </c>
      <c r="C100" s="41" t="str">
        <f>IFERROR(LEFT(ESS_DATA[[#This Row],[TCL REFERENCE]],FIND(".",ESS_DATA[[#This Row],[TCL REFERENCE]],1)-1),"Main Line")</f>
        <v>Main Line</v>
      </c>
      <c r="D100" s="41" t="s">
        <v>63</v>
      </c>
      <c r="E100" s="178" t="s">
        <v>144</v>
      </c>
      <c r="F100" s="178"/>
      <c r="G100" s="41" t="s">
        <v>156</v>
      </c>
      <c r="H100" s="41" t="s">
        <v>7628</v>
      </c>
      <c r="I100" s="178"/>
      <c r="J100" s="41"/>
      <c r="K100" s="41"/>
      <c r="L100" s="535"/>
      <c r="M100" s="225"/>
      <c r="N100" s="41" t="s">
        <v>7437</v>
      </c>
      <c r="O100" s="529" t="s">
        <v>7438</v>
      </c>
      <c r="P100" s="531" t="s">
        <v>7439</v>
      </c>
      <c r="Q100" s="494"/>
      <c r="R100" s="490">
        <v>9</v>
      </c>
      <c r="S100" s="495"/>
      <c r="T100" s="41"/>
      <c r="U100" s="491">
        <f>ESS_DATA[[#This Row],[QUANTITY]]/276</f>
        <v>3.2608695652173912E-2</v>
      </c>
      <c r="V100" s="530" t="s">
        <v>7733</v>
      </c>
      <c r="W100" s="41" t="s">
        <v>7734</v>
      </c>
      <c r="X100" s="178" t="str">
        <f t="shared" ref="X100:X131" si="4">IF(AL100&lt;&gt;"","COMPLETED",IF(AI100&lt;&gt;"","IN-TRANSIT",""))</f>
        <v>IN-TRANSIT</v>
      </c>
      <c r="Y100" s="37">
        <v>46207</v>
      </c>
      <c r="Z100" s="37">
        <v>46256</v>
      </c>
      <c r="AA100" s="492">
        <f>WEEKNUM(ESS_DATA[[#This Row],[Pick-Up Date]])</f>
        <v>34</v>
      </c>
      <c r="AB100" s="41" t="s">
        <v>7735</v>
      </c>
      <c r="AC100" s="41"/>
      <c r="AD100" s="41" t="s">
        <v>122</v>
      </c>
      <c r="AE100" s="41" t="s">
        <v>122</v>
      </c>
      <c r="AF100" s="41" t="s">
        <v>7736</v>
      </c>
      <c r="AG100" s="37">
        <v>46262</v>
      </c>
      <c r="AH100" s="37">
        <v>46273</v>
      </c>
      <c r="AI100" s="37">
        <v>46272</v>
      </c>
      <c r="AJ100" s="37">
        <v>46297</v>
      </c>
      <c r="AK100" s="37">
        <v>46311</v>
      </c>
      <c r="AL100" s="37"/>
      <c r="AM100" s="967" t="s">
        <v>156</v>
      </c>
      <c r="AN100" s="37" t="s">
        <v>7737</v>
      </c>
      <c r="AO100" s="37" t="s">
        <v>161</v>
      </c>
      <c r="AP100" s="37" t="s">
        <v>7735</v>
      </c>
      <c r="AQ100" s="37">
        <v>46311</v>
      </c>
      <c r="AR100" s="41" t="s">
        <v>7738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46311</v>
      </c>
      <c r="AV10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46311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42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7739</v>
      </c>
      <c r="B101" s="494" t="s">
        <v>7423</v>
      </c>
      <c r="C101" s="41" t="str">
        <f>IFERROR(LEFT(ESS_DATA[[#This Row],[TCL REFERENCE]],FIND(".",ESS_DATA[[#This Row],[TCL REFERENCE]],1)-1),"Main Line")</f>
        <v>Main Line</v>
      </c>
      <c r="D101" s="41" t="s">
        <v>63</v>
      </c>
      <c r="E101" s="178" t="s">
        <v>144</v>
      </c>
      <c r="F101" s="178"/>
      <c r="G101" s="41" t="s">
        <v>156</v>
      </c>
      <c r="H101" s="41" t="s">
        <v>7628</v>
      </c>
      <c r="I101" s="178"/>
      <c r="J101" s="41"/>
      <c r="K101" s="41"/>
      <c r="L101" s="535"/>
      <c r="M101" s="225"/>
      <c r="N101" s="41" t="s">
        <v>7446</v>
      </c>
      <c r="O101" s="529" t="s">
        <v>7438</v>
      </c>
      <c r="P101" s="531" t="s">
        <v>7447</v>
      </c>
      <c r="Q101" s="494"/>
      <c r="R101" s="490">
        <v>16</v>
      </c>
      <c r="S101" s="495"/>
      <c r="T101" s="41"/>
      <c r="U101" s="491">
        <f>ESS_DATA[[#This Row],[QUANTITY]]/276</f>
        <v>5.7971014492753624E-2</v>
      </c>
      <c r="V101" s="530" t="s">
        <v>7733</v>
      </c>
      <c r="W101" s="41" t="s">
        <v>7734</v>
      </c>
      <c r="X101" s="178" t="str">
        <f t="shared" si="4"/>
        <v>IN-TRANSIT</v>
      </c>
      <c r="Y101" s="37">
        <v>46207</v>
      </c>
      <c r="Z101" s="37">
        <v>46256</v>
      </c>
      <c r="AA101" s="492">
        <f>WEEKNUM(ESS_DATA[[#This Row],[Pick-Up Date]])</f>
        <v>34</v>
      </c>
      <c r="AB101" s="41" t="s">
        <v>7735</v>
      </c>
      <c r="AC101" s="41"/>
      <c r="AD101" s="41" t="s">
        <v>122</v>
      </c>
      <c r="AE101" s="41" t="s">
        <v>122</v>
      </c>
      <c r="AF101" s="41" t="s">
        <v>7736</v>
      </c>
      <c r="AG101" s="37">
        <v>46262</v>
      </c>
      <c r="AH101" s="37">
        <v>46273</v>
      </c>
      <c r="AI101" s="37">
        <v>46272</v>
      </c>
      <c r="AJ101" s="37">
        <v>46297</v>
      </c>
      <c r="AK101" s="37">
        <v>46311</v>
      </c>
      <c r="AL101" s="37"/>
      <c r="AM101" s="967" t="s">
        <v>156</v>
      </c>
      <c r="AN101" s="37" t="s">
        <v>7737</v>
      </c>
      <c r="AO101" s="37" t="s">
        <v>161</v>
      </c>
      <c r="AP101" s="37" t="s">
        <v>7735</v>
      </c>
      <c r="AQ101" s="37">
        <v>46311</v>
      </c>
      <c r="AR101" s="41" t="s">
        <v>7738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46311</v>
      </c>
      <c r="AV10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46311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42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7740</v>
      </c>
      <c r="B102" s="494" t="s">
        <v>7423</v>
      </c>
      <c r="C102" s="41" t="str">
        <f>IFERROR(LEFT(ESS_DATA[[#This Row],[TCL REFERENCE]],FIND(".",ESS_DATA[[#This Row],[TCL REFERENCE]],1)-1),"Main Line")</f>
        <v>Main Line</v>
      </c>
      <c r="D102" s="41" t="s">
        <v>63</v>
      </c>
      <c r="E102" s="178" t="s">
        <v>144</v>
      </c>
      <c r="F102" s="178"/>
      <c r="G102" s="41" t="s">
        <v>156</v>
      </c>
      <c r="H102" s="41" t="s">
        <v>7628</v>
      </c>
      <c r="I102" s="178"/>
      <c r="J102" s="41"/>
      <c r="K102" s="41"/>
      <c r="L102" s="535"/>
      <c r="M102" s="225"/>
      <c r="N102" s="41" t="s">
        <v>7449</v>
      </c>
      <c r="O102" s="529" t="s">
        <v>7646</v>
      </c>
      <c r="P102" s="531" t="s">
        <v>7451</v>
      </c>
      <c r="Q102" s="494"/>
      <c r="R102" s="490">
        <v>25</v>
      </c>
      <c r="S102" s="495"/>
      <c r="T102" s="41"/>
      <c r="U102" s="491">
        <f>ESS_DATA[[#This Row],[QUANTITY]]/276</f>
        <v>9.0579710144927536E-2</v>
      </c>
      <c r="V102" s="530" t="s">
        <v>7733</v>
      </c>
      <c r="W102" s="41" t="s">
        <v>7734</v>
      </c>
      <c r="X102" s="178" t="str">
        <f t="shared" si="4"/>
        <v>IN-TRANSIT</v>
      </c>
      <c r="Y102" s="37">
        <v>46207</v>
      </c>
      <c r="Z102" s="37">
        <v>46256</v>
      </c>
      <c r="AA102" s="492">
        <f>WEEKNUM(ESS_DATA[[#This Row],[Pick-Up Date]])</f>
        <v>34</v>
      </c>
      <c r="AB102" s="41" t="s">
        <v>7735</v>
      </c>
      <c r="AC102" s="41"/>
      <c r="AD102" s="41" t="s">
        <v>122</v>
      </c>
      <c r="AE102" s="41" t="s">
        <v>122</v>
      </c>
      <c r="AF102" s="41" t="s">
        <v>7736</v>
      </c>
      <c r="AG102" s="37">
        <v>46262</v>
      </c>
      <c r="AH102" s="37">
        <v>46273</v>
      </c>
      <c r="AI102" s="37">
        <v>46272</v>
      </c>
      <c r="AJ102" s="37">
        <v>46297</v>
      </c>
      <c r="AK102" s="37">
        <v>46311</v>
      </c>
      <c r="AL102" s="37"/>
      <c r="AM102" s="967" t="s">
        <v>156</v>
      </c>
      <c r="AN102" s="37" t="s">
        <v>7737</v>
      </c>
      <c r="AO102" s="37" t="s">
        <v>161</v>
      </c>
      <c r="AP102" s="37" t="s">
        <v>7735</v>
      </c>
      <c r="AQ102" s="37">
        <v>46311</v>
      </c>
      <c r="AR102" s="41" t="s">
        <v>7738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46311</v>
      </c>
      <c r="AV10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46311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42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7741</v>
      </c>
      <c r="B103" s="494" t="s">
        <v>7423</v>
      </c>
      <c r="C103" s="41" t="str">
        <f>IFERROR(LEFT(ESS_DATA[[#This Row],[TCL REFERENCE]],FIND(".",ESS_DATA[[#This Row],[TCL REFERENCE]],1)-1),"Main Line")</f>
        <v>Main Line</v>
      </c>
      <c r="D103" s="41" t="s">
        <v>63</v>
      </c>
      <c r="E103" s="178" t="s">
        <v>144</v>
      </c>
      <c r="F103" s="178"/>
      <c r="G103" s="41" t="s">
        <v>156</v>
      </c>
      <c r="H103" s="41" t="s">
        <v>7628</v>
      </c>
      <c r="I103" s="178"/>
      <c r="J103" s="41"/>
      <c r="K103" s="41"/>
      <c r="L103" s="535"/>
      <c r="M103" s="225"/>
      <c r="N103" s="41" t="s">
        <v>7460</v>
      </c>
      <c r="O103" s="529" t="s">
        <v>7461</v>
      </c>
      <c r="P103" s="531" t="s">
        <v>7462</v>
      </c>
      <c r="Q103" s="494"/>
      <c r="R103" s="490">
        <v>80</v>
      </c>
      <c r="S103" s="495"/>
      <c r="T103" s="41"/>
      <c r="U103" s="491">
        <f>ESS_DATA[[#This Row],[QUANTITY]]/276</f>
        <v>0.28985507246376813</v>
      </c>
      <c r="V103" s="530" t="s">
        <v>7733</v>
      </c>
      <c r="W103" s="41" t="s">
        <v>7734</v>
      </c>
      <c r="X103" s="178" t="str">
        <f t="shared" si="4"/>
        <v>IN-TRANSIT</v>
      </c>
      <c r="Y103" s="37">
        <v>46207</v>
      </c>
      <c r="Z103" s="37">
        <v>46256</v>
      </c>
      <c r="AA103" s="492">
        <f>WEEKNUM(ESS_DATA[[#This Row],[Pick-Up Date]])</f>
        <v>34</v>
      </c>
      <c r="AB103" s="41" t="s">
        <v>7735</v>
      </c>
      <c r="AC103" s="41"/>
      <c r="AD103" s="41" t="s">
        <v>122</v>
      </c>
      <c r="AE103" s="41" t="s">
        <v>122</v>
      </c>
      <c r="AF103" s="41" t="s">
        <v>7736</v>
      </c>
      <c r="AG103" s="37">
        <v>46262</v>
      </c>
      <c r="AH103" s="37">
        <v>46273</v>
      </c>
      <c r="AI103" s="37">
        <v>46272</v>
      </c>
      <c r="AJ103" s="37">
        <v>46297</v>
      </c>
      <c r="AK103" s="37">
        <v>46311</v>
      </c>
      <c r="AL103" s="37"/>
      <c r="AM103" s="967" t="s">
        <v>156</v>
      </c>
      <c r="AN103" s="37" t="s">
        <v>7737</v>
      </c>
      <c r="AO103" s="37" t="s">
        <v>161</v>
      </c>
      <c r="AP103" s="37" t="s">
        <v>7735</v>
      </c>
      <c r="AQ103" s="37">
        <v>46311</v>
      </c>
      <c r="AR103" s="41" t="s">
        <v>7738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46311</v>
      </c>
      <c r="AV10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46311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42</v>
      </c>
      <c r="BC103" s="178" t="str">
        <f>_xlfn.XLOOKUP(ESS_DATA[[#This Row],[PORT DESTINATION]],Table12[PORT DESTINATION],Table12[Cosco Line],,0)</f>
        <v>n/a</v>
      </c>
      <c r="BD103" s="178"/>
    </row>
    <row r="104" spans="1:57" s="336" customFormat="1" ht="14.25" customHeight="1">
      <c r="A104" s="325" t="s">
        <v>7742</v>
      </c>
      <c r="B104" s="327" t="s">
        <v>7423</v>
      </c>
      <c r="C104" s="327" t="str">
        <f>IFERROR(LEFT(ESS_DATA[[#This Row],[TCL REFERENCE]],FIND(".",ESS_DATA[[#This Row],[TCL REFERENCE]],1)-1),"Main Line")</f>
        <v>Main Line</v>
      </c>
      <c r="D104" s="327" t="s">
        <v>63</v>
      </c>
      <c r="E104" s="327" t="s">
        <v>64</v>
      </c>
      <c r="F104" s="327" t="s">
        <v>65</v>
      </c>
      <c r="G104" s="327" t="s">
        <v>402</v>
      </c>
      <c r="H104" s="327" t="s">
        <v>67</v>
      </c>
      <c r="I104" s="327"/>
      <c r="J104" s="327" t="s">
        <v>7743</v>
      </c>
      <c r="K104" s="327"/>
      <c r="L104" s="328"/>
      <c r="M104" s="329" t="s">
        <v>68</v>
      </c>
      <c r="N104" s="330" t="s">
        <v>7460</v>
      </c>
      <c r="O104" s="326" t="s">
        <v>7461</v>
      </c>
      <c r="P104" s="402" t="s">
        <v>7462</v>
      </c>
      <c r="Q104" s="403"/>
      <c r="R104" s="331">
        <v>227</v>
      </c>
      <c r="S104" s="332"/>
      <c r="T104" s="327"/>
      <c r="U104" s="337">
        <f>ESS_DATA[[#This Row],[QUANTITY]]/276</f>
        <v>0.82246376811594202</v>
      </c>
      <c r="V104" s="368" t="s">
        <v>7463</v>
      </c>
      <c r="W104" s="327" t="s">
        <v>2458</v>
      </c>
      <c r="X104" s="327" t="str">
        <f t="shared" si="4"/>
        <v>COMPLETED</v>
      </c>
      <c r="Y104" s="333">
        <v>46203</v>
      </c>
      <c r="Z104" s="333">
        <v>46204</v>
      </c>
      <c r="AA104" s="334">
        <f>WEEKNUM(ESS_DATA[[#This Row],[Pick-Up Date]])</f>
        <v>27</v>
      </c>
      <c r="AB104" s="327" t="s">
        <v>7744</v>
      </c>
      <c r="AC104" s="327"/>
      <c r="AD104" s="327" t="s">
        <v>122</v>
      </c>
      <c r="AE104" s="327" t="s">
        <v>123</v>
      </c>
      <c r="AF104" s="327" t="s">
        <v>78</v>
      </c>
      <c r="AG104" s="333">
        <v>46211</v>
      </c>
      <c r="AH104" s="333">
        <v>46217</v>
      </c>
      <c r="AI104" s="333">
        <v>46217</v>
      </c>
      <c r="AJ104" s="333">
        <v>46260</v>
      </c>
      <c r="AK104" s="677">
        <v>46260</v>
      </c>
      <c r="AL104" s="333">
        <v>46253</v>
      </c>
      <c r="AM104" s="335" t="s">
        <v>402</v>
      </c>
      <c r="AN104" s="333" t="s">
        <v>7745</v>
      </c>
      <c r="AO104" s="333" t="s">
        <v>161</v>
      </c>
      <c r="AP104" s="333" t="s">
        <v>7746</v>
      </c>
      <c r="AQ104" s="327">
        <v>272270746</v>
      </c>
      <c r="AR104" s="327">
        <v>272270746</v>
      </c>
      <c r="AS104" s="327">
        <f>ESS_DATA[[#This Row],[ETA On S/O]]-ESS_DATA[[#This Row],[ETD On S/O]]+1</f>
        <v>50</v>
      </c>
      <c r="AT104" s="327"/>
      <c r="AU104" s="333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46268</v>
      </c>
      <c r="AX104" s="327">
        <f>IF(ESS_DATA[[#This Row],[New Ark PO Type]]="Offshore",0,IFERROR(VLOOKUP(ESS_DATA[[#This Row],[PORT OF LOADING]]&amp;ESS_DATA[[#This Row],[PORT DESTINATION]],LT_REF[],7,0),14))</f>
        <v>8</v>
      </c>
      <c r="AY104" s="333">
        <f>IFERROR(ESS_DATA[[#This Row],[ODP ETA Port]]+ESS_DATA[[#This Row],[Customs/Leg3 Assumption]],"n/a")</f>
        <v>46261</v>
      </c>
      <c r="AZ104" s="326">
        <f>YEAR(ESS_DATA[[#This Row],[ETA for New Ark update]])</f>
        <v>2026</v>
      </c>
      <c r="BA104" s="326">
        <f>MONTH(ESS_DATA[[#This Row],[ETA for New Ark update]])</f>
        <v>8</v>
      </c>
      <c r="BB104" s="326">
        <f>IFERROR(_xlfn.ISOWEEKNUM(ESS_DATA[[#This Row],[ETA for New Ark update]]),0)</f>
        <v>35</v>
      </c>
      <c r="BC104" s="326" t="str">
        <f>_xlfn.XLOOKUP(ESS_DATA[[#This Row],[PORT DESTINATION]],Table12[PORT DESTINATION],Table12[Cosco Line],,0)</f>
        <v>AEM</v>
      </c>
      <c r="BD104" s="82"/>
    </row>
    <row r="105" spans="1:57" s="683" customFormat="1" ht="13.5" customHeight="1">
      <c r="A105" s="667" t="s">
        <v>7747</v>
      </c>
      <c r="B105" s="668" t="s">
        <v>7423</v>
      </c>
      <c r="C105" s="668" t="str">
        <f>IFERROR(LEFT(ESS_DATA[[#This Row],[TCL REFERENCE]],FIND(".",ESS_DATA[[#This Row],[TCL REFERENCE]],1)-1),"Main Line")</f>
        <v>Main Line</v>
      </c>
      <c r="D105" s="668" t="s">
        <v>63</v>
      </c>
      <c r="E105" s="669" t="s">
        <v>64</v>
      </c>
      <c r="F105" s="669" t="s">
        <v>65</v>
      </c>
      <c r="G105" s="668" t="s">
        <v>402</v>
      </c>
      <c r="H105" s="668" t="s">
        <v>67</v>
      </c>
      <c r="I105" s="668"/>
      <c r="J105" s="668" t="s">
        <v>7636</v>
      </c>
      <c r="K105" s="668"/>
      <c r="L105" s="328"/>
      <c r="M105" s="102" t="s">
        <v>68</v>
      </c>
      <c r="N105" s="670" t="s">
        <v>7460</v>
      </c>
      <c r="O105" s="669" t="s">
        <v>7461</v>
      </c>
      <c r="P105" s="671" t="s">
        <v>7462</v>
      </c>
      <c r="Q105" s="672"/>
      <c r="R105" s="673">
        <v>49</v>
      </c>
      <c r="S105" s="674"/>
      <c r="T105" s="668"/>
      <c r="U105" s="675">
        <f>ESS_DATA[[#This Row],[QUANTITY]]/276</f>
        <v>0.17753623188405798</v>
      </c>
      <c r="V105" s="676" t="s">
        <v>7463</v>
      </c>
      <c r="W105" s="668" t="s">
        <v>2458</v>
      </c>
      <c r="X105" s="668" t="str">
        <f t="shared" si="4"/>
        <v>COMPLETED</v>
      </c>
      <c r="Y105" s="677">
        <v>46203</v>
      </c>
      <c r="Z105" s="677">
        <v>46204</v>
      </c>
      <c r="AA105" s="678">
        <f>WEEKNUM(ESS_DATA[[#This Row],[Pick-Up Date]])</f>
        <v>27</v>
      </c>
      <c r="AB105" s="668" t="s">
        <v>7744</v>
      </c>
      <c r="AC105" s="668"/>
      <c r="AD105" s="668" t="s">
        <v>122</v>
      </c>
      <c r="AE105" s="668" t="s">
        <v>123</v>
      </c>
      <c r="AF105" s="668" t="s">
        <v>78</v>
      </c>
      <c r="AG105" s="677">
        <v>46211</v>
      </c>
      <c r="AH105" s="677">
        <v>46217</v>
      </c>
      <c r="AI105" s="677">
        <v>46217</v>
      </c>
      <c r="AJ105" s="677">
        <v>46260</v>
      </c>
      <c r="AK105" s="677">
        <v>46260</v>
      </c>
      <c r="AL105" s="333">
        <v>46253</v>
      </c>
      <c r="AM105" s="679" t="s">
        <v>402</v>
      </c>
      <c r="AN105" s="677" t="s">
        <v>7745</v>
      </c>
      <c r="AO105" s="677" t="s">
        <v>161</v>
      </c>
      <c r="AP105" s="677" t="s">
        <v>7746</v>
      </c>
      <c r="AQ105" s="668">
        <v>272270746</v>
      </c>
      <c r="AR105" s="668">
        <v>272270746</v>
      </c>
      <c r="AS105" s="668">
        <f>ESS_DATA[[#This Row],[ETA On S/O]]-ESS_DATA[[#This Row],[ETD On S/O]]+1</f>
        <v>50</v>
      </c>
      <c r="AT105" s="668"/>
      <c r="AU105" s="680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46268</v>
      </c>
      <c r="AX105" s="668">
        <f>IF(ESS_DATA[[#This Row],[New Ark PO Type]]="Offshore",0,IFERROR(VLOOKUP(ESS_DATA[[#This Row],[PORT OF LOADING]]&amp;ESS_DATA[[#This Row],[PORT DESTINATION]],LT_REF[],7,0),14))</f>
        <v>8</v>
      </c>
      <c r="AY105" s="681">
        <f>IFERROR(ESS_DATA[[#This Row],[ODP ETA Port]]+ESS_DATA[[#This Row],[Customs/Leg3 Assumption]],"n/a")</f>
        <v>46261</v>
      </c>
      <c r="AZ105" s="669">
        <f>YEAR(ESS_DATA[[#This Row],[ETA for New Ark update]])</f>
        <v>2026</v>
      </c>
      <c r="BA105" s="669">
        <f>MONTH(ESS_DATA[[#This Row],[ETA for New Ark update]])</f>
        <v>8</v>
      </c>
      <c r="BB105" s="669">
        <f>IFERROR(_xlfn.ISOWEEKNUM(ESS_DATA[[#This Row],[ETA for New Ark update]]),0)</f>
        <v>35</v>
      </c>
      <c r="BC105" s="669" t="str">
        <f>_xlfn.XLOOKUP(ESS_DATA[[#This Row],[PORT DESTINATION]],Table12[PORT DESTINATION],Table12[Cosco Line],,0)</f>
        <v>AEM</v>
      </c>
      <c r="BD105" s="79"/>
      <c r="BE105" s="682"/>
    </row>
    <row r="106" spans="1:57" s="336" customFormat="1" ht="14.25" customHeight="1">
      <c r="A106" s="325" t="s">
        <v>7748</v>
      </c>
      <c r="B106" s="327" t="s">
        <v>7423</v>
      </c>
      <c r="C106" s="327" t="str">
        <f>IFERROR(LEFT(ESS_DATA[[#This Row],[TCL REFERENCE]],FIND(".",ESS_DATA[[#This Row],[TCL REFERENCE]],1)-1),"Main Line")</f>
        <v>Main Line</v>
      </c>
      <c r="D106" s="327" t="s">
        <v>63</v>
      </c>
      <c r="E106" s="326" t="s">
        <v>64</v>
      </c>
      <c r="F106" s="326" t="s">
        <v>65</v>
      </c>
      <c r="G106" s="327" t="s">
        <v>402</v>
      </c>
      <c r="H106" s="327" t="s">
        <v>67</v>
      </c>
      <c r="I106" s="327"/>
      <c r="J106" s="327" t="s">
        <v>7636</v>
      </c>
      <c r="K106" s="327"/>
      <c r="L106" s="328"/>
      <c r="M106" s="329" t="s">
        <v>68</v>
      </c>
      <c r="N106" s="326" t="s">
        <v>7471</v>
      </c>
      <c r="O106" s="326" t="s">
        <v>7438</v>
      </c>
      <c r="P106" s="414" t="s">
        <v>7472</v>
      </c>
      <c r="Q106" s="354"/>
      <c r="R106" s="413">
        <v>24</v>
      </c>
      <c r="S106" s="332"/>
      <c r="T106" s="327"/>
      <c r="U106" s="337">
        <f>ESS_DATA[[#This Row],[QUANTITY]]/224</f>
        <v>0.10714285714285714</v>
      </c>
      <c r="V106" s="369" t="s">
        <v>7469</v>
      </c>
      <c r="W106" s="327" t="s">
        <v>2458</v>
      </c>
      <c r="X106" s="327" t="str">
        <f t="shared" si="4"/>
        <v>COMPLETED</v>
      </c>
      <c r="Y106" s="333">
        <v>46203</v>
      </c>
      <c r="Z106" s="333">
        <v>46203</v>
      </c>
      <c r="AA106" s="334">
        <f>WEEKNUM(ESS_DATA[[#This Row],[Pick-Up Date]])</f>
        <v>27</v>
      </c>
      <c r="AB106" s="327" t="s">
        <v>7749</v>
      </c>
      <c r="AC106" s="327"/>
      <c r="AD106" s="327" t="s">
        <v>122</v>
      </c>
      <c r="AE106" s="327" t="s">
        <v>123</v>
      </c>
      <c r="AF106" s="327" t="s">
        <v>78</v>
      </c>
      <c r="AG106" s="333">
        <v>46210</v>
      </c>
      <c r="AH106" s="333">
        <v>46232</v>
      </c>
      <c r="AI106" s="333">
        <v>46232</v>
      </c>
      <c r="AJ106" s="333">
        <v>46253</v>
      </c>
      <c r="AK106" s="333">
        <v>46272</v>
      </c>
      <c r="AL106" s="333">
        <v>46272</v>
      </c>
      <c r="AM106" s="335" t="s">
        <v>402</v>
      </c>
      <c r="AN106" s="333" t="s">
        <v>7750</v>
      </c>
      <c r="AO106" s="333" t="s">
        <v>80</v>
      </c>
      <c r="AP106" s="333" t="s">
        <v>7751</v>
      </c>
      <c r="AQ106" s="327" t="s">
        <v>7752</v>
      </c>
      <c r="AR106" s="327" t="s">
        <v>7752</v>
      </c>
      <c r="AS106" s="327">
        <f>ESS_DATA[[#This Row],[ETA On S/O]]-ESS_DATA[[#This Row],[ETD On S/O]]+1</f>
        <v>44</v>
      </c>
      <c r="AT106" s="327"/>
      <c r="AU106" s="347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46279</v>
      </c>
      <c r="AX106" s="327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46280</v>
      </c>
      <c r="AZ106" s="326">
        <f>YEAR(ESS_DATA[[#This Row],[ETA for New Ark update]])</f>
        <v>2026</v>
      </c>
      <c r="BA106" s="326">
        <f>MONTH(ESS_DATA[[#This Row],[ETA for New Ark update]])</f>
        <v>9</v>
      </c>
      <c r="BB106" s="326">
        <f>IFERROR(_xlfn.ISOWEEKNUM(ESS_DATA[[#This Row],[ETA for New Ark update]]),0)</f>
        <v>38</v>
      </c>
      <c r="BC106" s="326" t="str">
        <f>_xlfn.XLOOKUP(ESS_DATA[[#This Row],[PORT DESTINATION]],Table12[PORT DESTINATION],Table12[Cosco Line],,0)</f>
        <v>AEM</v>
      </c>
      <c r="BD106" s="82"/>
    </row>
    <row r="107" spans="1:57" s="336" customFormat="1" ht="12.75" customHeight="1">
      <c r="A107" s="325" t="s">
        <v>7753</v>
      </c>
      <c r="B107" s="327" t="s">
        <v>7423</v>
      </c>
      <c r="C107" s="327" t="str">
        <f>IFERROR(LEFT(ESS_DATA[[#This Row],[TCL REFERENCE]],FIND(".",ESS_DATA[[#This Row],[TCL REFERENCE]],1)-1),"Main Line")</f>
        <v>Main Line</v>
      </c>
      <c r="D107" s="327" t="s">
        <v>63</v>
      </c>
      <c r="E107" s="326" t="s">
        <v>64</v>
      </c>
      <c r="F107" s="326" t="s">
        <v>65</v>
      </c>
      <c r="G107" s="327" t="s">
        <v>402</v>
      </c>
      <c r="H107" s="327" t="s">
        <v>67</v>
      </c>
      <c r="I107" s="327"/>
      <c r="J107" s="327" t="s">
        <v>7636</v>
      </c>
      <c r="K107" s="327"/>
      <c r="L107" s="328"/>
      <c r="M107" s="329" t="s">
        <v>68</v>
      </c>
      <c r="N107" s="326" t="s">
        <v>7471</v>
      </c>
      <c r="O107" s="326" t="s">
        <v>7438</v>
      </c>
      <c r="P107" s="402" t="s">
        <v>7472</v>
      </c>
      <c r="Q107" s="354"/>
      <c r="R107" s="331">
        <v>1</v>
      </c>
      <c r="S107" s="332"/>
      <c r="T107" s="327"/>
      <c r="U107" s="337">
        <f>ESS_DATA[[#This Row],[QUANTITY]]/224</f>
        <v>4.464285714285714E-3</v>
      </c>
      <c r="V107" s="369" t="s">
        <v>7469</v>
      </c>
      <c r="W107" s="327" t="s">
        <v>2458</v>
      </c>
      <c r="X107" s="327" t="str">
        <f t="shared" si="4"/>
        <v>COMPLETED</v>
      </c>
      <c r="Y107" s="333">
        <v>46203</v>
      </c>
      <c r="Z107" s="333">
        <v>46203</v>
      </c>
      <c r="AA107" s="334">
        <f>WEEKNUM(ESS_DATA[[#This Row],[Pick-Up Date]])</f>
        <v>27</v>
      </c>
      <c r="AB107" s="327" t="s">
        <v>7749</v>
      </c>
      <c r="AC107" s="327"/>
      <c r="AD107" s="327" t="s">
        <v>122</v>
      </c>
      <c r="AE107" s="327" t="s">
        <v>123</v>
      </c>
      <c r="AF107" s="327" t="s">
        <v>78</v>
      </c>
      <c r="AG107" s="333">
        <v>46210</v>
      </c>
      <c r="AH107" s="333">
        <v>46232</v>
      </c>
      <c r="AI107" s="333">
        <v>46232</v>
      </c>
      <c r="AJ107" s="333">
        <v>46253</v>
      </c>
      <c r="AK107" s="333">
        <v>46272</v>
      </c>
      <c r="AL107" s="333">
        <v>46272</v>
      </c>
      <c r="AM107" s="335" t="s">
        <v>402</v>
      </c>
      <c r="AN107" s="333" t="s">
        <v>7750</v>
      </c>
      <c r="AO107" s="333" t="s">
        <v>80</v>
      </c>
      <c r="AP107" s="333" t="s">
        <v>7751</v>
      </c>
      <c r="AQ107" s="327" t="s">
        <v>7752</v>
      </c>
      <c r="AR107" s="327" t="s">
        <v>7752</v>
      </c>
      <c r="AS107" s="327">
        <f>ESS_DATA[[#This Row],[ETA On S/O]]-ESS_DATA[[#This Row],[ETD On S/O]]+1</f>
        <v>44</v>
      </c>
      <c r="AT107" s="327"/>
      <c r="AU107" s="347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46279</v>
      </c>
      <c r="AX107" s="327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46280</v>
      </c>
      <c r="AZ107" s="326">
        <f>YEAR(ESS_DATA[[#This Row],[ETA for New Ark update]])</f>
        <v>2026</v>
      </c>
      <c r="BA107" s="326">
        <f>MONTH(ESS_DATA[[#This Row],[ETA for New Ark update]])</f>
        <v>9</v>
      </c>
      <c r="BB107" s="326">
        <f>IFERROR(_xlfn.ISOWEEKNUM(ESS_DATA[[#This Row],[ETA for New Ark update]]),0)</f>
        <v>38</v>
      </c>
      <c r="BC107" s="326" t="str">
        <f>_xlfn.XLOOKUP(ESS_DATA[[#This Row],[PORT DESTINATION]],Table12[PORT DESTINATION],Table12[Cosco Line],,0)</f>
        <v>AEM</v>
      </c>
      <c r="BD107" s="82"/>
    </row>
    <row r="108" spans="1:57" s="336" customFormat="1" ht="12.75" customHeight="1">
      <c r="A108" s="325" t="s">
        <v>7754</v>
      </c>
      <c r="B108" s="327" t="s">
        <v>7423</v>
      </c>
      <c r="C108" s="327" t="str">
        <f>IFERROR(LEFT(ESS_DATA[[#This Row],[TCL REFERENCE]],FIND(".",ESS_DATA[[#This Row],[TCL REFERENCE]],1)-1),"Main Line")</f>
        <v>Main Line</v>
      </c>
      <c r="D108" s="327" t="s">
        <v>63</v>
      </c>
      <c r="E108" s="326" t="s">
        <v>64</v>
      </c>
      <c r="F108" s="326" t="s">
        <v>65</v>
      </c>
      <c r="G108" s="327" t="s">
        <v>402</v>
      </c>
      <c r="H108" s="327" t="s">
        <v>67</v>
      </c>
      <c r="I108" s="327"/>
      <c r="J108" s="327" t="s">
        <v>7636</v>
      </c>
      <c r="K108" s="327"/>
      <c r="L108" s="328"/>
      <c r="M108" s="329" t="s">
        <v>68</v>
      </c>
      <c r="N108" s="326" t="s">
        <v>7446</v>
      </c>
      <c r="O108" s="326" t="s">
        <v>7438</v>
      </c>
      <c r="P108" s="402" t="s">
        <v>7447</v>
      </c>
      <c r="Q108" s="354"/>
      <c r="R108" s="331">
        <v>45</v>
      </c>
      <c r="S108" s="332"/>
      <c r="T108" s="327"/>
      <c r="U108" s="337">
        <f>ESS_DATA[[#This Row],[QUANTITY]]/224</f>
        <v>0.20089285714285715</v>
      </c>
      <c r="V108" s="369" t="s">
        <v>7469</v>
      </c>
      <c r="W108" s="327" t="s">
        <v>2458</v>
      </c>
      <c r="X108" s="327" t="str">
        <f t="shared" si="4"/>
        <v>COMPLETED</v>
      </c>
      <c r="Y108" s="333">
        <v>46203</v>
      </c>
      <c r="Z108" s="333">
        <v>46203</v>
      </c>
      <c r="AA108" s="334">
        <f>WEEKNUM(ESS_DATA[[#This Row],[Pick-Up Date]])</f>
        <v>27</v>
      </c>
      <c r="AB108" s="327" t="s">
        <v>7749</v>
      </c>
      <c r="AC108" s="327"/>
      <c r="AD108" s="327" t="s">
        <v>122</v>
      </c>
      <c r="AE108" s="327" t="s">
        <v>123</v>
      </c>
      <c r="AF108" s="327" t="s">
        <v>78</v>
      </c>
      <c r="AG108" s="333">
        <v>46210</v>
      </c>
      <c r="AH108" s="333">
        <v>46232</v>
      </c>
      <c r="AI108" s="333">
        <v>46232</v>
      </c>
      <c r="AJ108" s="333">
        <v>46253</v>
      </c>
      <c r="AK108" s="333">
        <v>46272</v>
      </c>
      <c r="AL108" s="333">
        <v>46272</v>
      </c>
      <c r="AM108" s="335" t="s">
        <v>402</v>
      </c>
      <c r="AN108" s="333" t="s">
        <v>7750</v>
      </c>
      <c r="AO108" s="333" t="s">
        <v>80</v>
      </c>
      <c r="AP108" s="333" t="s">
        <v>7751</v>
      </c>
      <c r="AQ108" s="327" t="s">
        <v>7752</v>
      </c>
      <c r="AR108" s="327" t="s">
        <v>7752</v>
      </c>
      <c r="AS108" s="327">
        <f>ESS_DATA[[#This Row],[ETA On S/O]]-ESS_DATA[[#This Row],[ETD On S/O]]+1</f>
        <v>44</v>
      </c>
      <c r="AT108" s="327"/>
      <c r="AU108" s="347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46279</v>
      </c>
      <c r="AX108" s="327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46280</v>
      </c>
      <c r="AZ108" s="326">
        <f>YEAR(ESS_DATA[[#This Row],[ETA for New Ark update]])</f>
        <v>2026</v>
      </c>
      <c r="BA108" s="326">
        <f>MONTH(ESS_DATA[[#This Row],[ETA for New Ark update]])</f>
        <v>9</v>
      </c>
      <c r="BB108" s="326">
        <f>IFERROR(_xlfn.ISOWEEKNUM(ESS_DATA[[#This Row],[ETA for New Ark update]]),0)</f>
        <v>38</v>
      </c>
      <c r="BC108" s="326" t="str">
        <f>_xlfn.XLOOKUP(ESS_DATA[[#This Row],[PORT DESTINATION]],Table12[PORT DESTINATION],Table12[Cosco Line],,0)</f>
        <v>AEM</v>
      </c>
      <c r="BD108" s="82"/>
    </row>
    <row r="109" spans="1:57" s="336" customFormat="1" ht="12.75" customHeight="1">
      <c r="A109" s="325" t="s">
        <v>7755</v>
      </c>
      <c r="B109" s="327" t="s">
        <v>7423</v>
      </c>
      <c r="C109" s="327" t="str">
        <f>IFERROR(LEFT(ESS_DATA[[#This Row],[TCL REFERENCE]],FIND(".",ESS_DATA[[#This Row],[TCL REFERENCE]],1)-1),"Main Line")</f>
        <v>Main Line</v>
      </c>
      <c r="D109" s="327" t="s">
        <v>63</v>
      </c>
      <c r="E109" s="326" t="s">
        <v>64</v>
      </c>
      <c r="F109" s="326" t="s">
        <v>65</v>
      </c>
      <c r="G109" s="327" t="s">
        <v>402</v>
      </c>
      <c r="H109" s="327" t="s">
        <v>67</v>
      </c>
      <c r="I109" s="327"/>
      <c r="J109" s="327" t="s">
        <v>7636</v>
      </c>
      <c r="K109" s="327"/>
      <c r="L109" s="328"/>
      <c r="M109" s="329" t="s">
        <v>68</v>
      </c>
      <c r="N109" s="326" t="s">
        <v>7446</v>
      </c>
      <c r="O109" s="326" t="s">
        <v>7438</v>
      </c>
      <c r="P109" s="402" t="s">
        <v>7447</v>
      </c>
      <c r="Q109" s="354"/>
      <c r="R109" s="331">
        <v>2</v>
      </c>
      <c r="S109" s="332"/>
      <c r="T109" s="327"/>
      <c r="U109" s="337">
        <f>ESS_DATA[[#This Row],[QUANTITY]]/224</f>
        <v>8.9285714285714281E-3</v>
      </c>
      <c r="V109" s="369" t="s">
        <v>7469</v>
      </c>
      <c r="W109" s="327" t="s">
        <v>2458</v>
      </c>
      <c r="X109" s="327" t="str">
        <f t="shared" si="4"/>
        <v>COMPLETED</v>
      </c>
      <c r="Y109" s="333">
        <v>46203</v>
      </c>
      <c r="Z109" s="333">
        <v>46203</v>
      </c>
      <c r="AA109" s="334">
        <f>WEEKNUM(ESS_DATA[[#This Row],[Pick-Up Date]])</f>
        <v>27</v>
      </c>
      <c r="AB109" s="327" t="s">
        <v>7749</v>
      </c>
      <c r="AC109" s="327"/>
      <c r="AD109" s="327" t="s">
        <v>122</v>
      </c>
      <c r="AE109" s="327" t="s">
        <v>123</v>
      </c>
      <c r="AF109" s="327" t="s">
        <v>78</v>
      </c>
      <c r="AG109" s="333">
        <v>46210</v>
      </c>
      <c r="AH109" s="333">
        <v>46232</v>
      </c>
      <c r="AI109" s="333">
        <v>46232</v>
      </c>
      <c r="AJ109" s="333">
        <v>46253</v>
      </c>
      <c r="AK109" s="333">
        <v>46272</v>
      </c>
      <c r="AL109" s="333">
        <v>46272</v>
      </c>
      <c r="AM109" s="335" t="s">
        <v>402</v>
      </c>
      <c r="AN109" s="333" t="s">
        <v>7750</v>
      </c>
      <c r="AO109" s="333" t="s">
        <v>80</v>
      </c>
      <c r="AP109" s="333" t="s">
        <v>7751</v>
      </c>
      <c r="AQ109" s="327" t="s">
        <v>7752</v>
      </c>
      <c r="AR109" s="327" t="s">
        <v>7752</v>
      </c>
      <c r="AS109" s="327">
        <f>ESS_DATA[[#This Row],[ETA On S/O]]-ESS_DATA[[#This Row],[ETD On S/O]]+1</f>
        <v>44</v>
      </c>
      <c r="AT109" s="327"/>
      <c r="AU109" s="347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46279</v>
      </c>
      <c r="AX109" s="327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46280</v>
      </c>
      <c r="AZ109" s="326">
        <f>YEAR(ESS_DATA[[#This Row],[ETA for New Ark update]])</f>
        <v>2026</v>
      </c>
      <c r="BA109" s="326">
        <f>MONTH(ESS_DATA[[#This Row],[ETA for New Ark update]])</f>
        <v>9</v>
      </c>
      <c r="BB109" s="326">
        <f>IFERROR(_xlfn.ISOWEEKNUM(ESS_DATA[[#This Row],[ETA for New Ark update]]),0)</f>
        <v>38</v>
      </c>
      <c r="BC109" s="326" t="str">
        <f>_xlfn.XLOOKUP(ESS_DATA[[#This Row],[PORT DESTINATION]],Table12[PORT DESTINATION],Table12[Cosco Line],,0)</f>
        <v>AEM</v>
      </c>
      <c r="BD109" s="82"/>
    </row>
    <row r="110" spans="1:57" s="336" customFormat="1" ht="12.75" customHeight="1">
      <c r="A110" s="325" t="s">
        <v>7756</v>
      </c>
      <c r="B110" s="327" t="s">
        <v>7423</v>
      </c>
      <c r="C110" s="327" t="str">
        <f>IFERROR(LEFT(ESS_DATA[[#This Row],[TCL REFERENCE]],FIND(".",ESS_DATA[[#This Row],[TCL REFERENCE]],1)-1),"Main Line")</f>
        <v>Main Line</v>
      </c>
      <c r="D110" s="327" t="s">
        <v>63</v>
      </c>
      <c r="E110" s="326" t="s">
        <v>64</v>
      </c>
      <c r="F110" s="326" t="s">
        <v>65</v>
      </c>
      <c r="G110" s="327" t="s">
        <v>402</v>
      </c>
      <c r="H110" s="327" t="s">
        <v>67</v>
      </c>
      <c r="I110" s="327"/>
      <c r="J110" s="327" t="s">
        <v>7636</v>
      </c>
      <c r="K110" s="327"/>
      <c r="L110" s="328"/>
      <c r="M110" s="329" t="s">
        <v>68</v>
      </c>
      <c r="N110" s="326" t="s">
        <v>7449</v>
      </c>
      <c r="O110" s="326" t="s">
        <v>7646</v>
      </c>
      <c r="P110" s="402" t="s">
        <v>7451</v>
      </c>
      <c r="Q110" s="354"/>
      <c r="R110" s="331">
        <v>155</v>
      </c>
      <c r="S110" s="332"/>
      <c r="T110" s="327"/>
      <c r="U110" s="337">
        <f>ESS_DATA[[#This Row],[QUANTITY]]/350</f>
        <v>0.44285714285714284</v>
      </c>
      <c r="V110" s="369" t="s">
        <v>7469</v>
      </c>
      <c r="W110" s="327" t="s">
        <v>2458</v>
      </c>
      <c r="X110" s="327" t="str">
        <f t="shared" si="4"/>
        <v>COMPLETED</v>
      </c>
      <c r="Y110" s="333">
        <v>46203</v>
      </c>
      <c r="Z110" s="333">
        <v>46203</v>
      </c>
      <c r="AA110" s="334">
        <f>WEEKNUM(ESS_DATA[[#This Row],[Pick-Up Date]])</f>
        <v>27</v>
      </c>
      <c r="AB110" s="327" t="s">
        <v>7749</v>
      </c>
      <c r="AC110" s="327"/>
      <c r="AD110" s="327" t="s">
        <v>122</v>
      </c>
      <c r="AE110" s="327" t="s">
        <v>123</v>
      </c>
      <c r="AF110" s="327" t="s">
        <v>78</v>
      </c>
      <c r="AG110" s="333">
        <v>46210</v>
      </c>
      <c r="AH110" s="333">
        <v>46232</v>
      </c>
      <c r="AI110" s="333">
        <v>46232</v>
      </c>
      <c r="AJ110" s="333">
        <v>46253</v>
      </c>
      <c r="AK110" s="333">
        <v>46272</v>
      </c>
      <c r="AL110" s="333">
        <v>46272</v>
      </c>
      <c r="AM110" s="335" t="s">
        <v>402</v>
      </c>
      <c r="AN110" s="333" t="s">
        <v>7750</v>
      </c>
      <c r="AO110" s="333" t="s">
        <v>80</v>
      </c>
      <c r="AP110" s="333" t="s">
        <v>7751</v>
      </c>
      <c r="AQ110" s="327" t="s">
        <v>7752</v>
      </c>
      <c r="AR110" s="327" t="s">
        <v>7752</v>
      </c>
      <c r="AS110" s="327">
        <f>ESS_DATA[[#This Row],[ETA On S/O]]-ESS_DATA[[#This Row],[ETD On S/O]]+1</f>
        <v>44</v>
      </c>
      <c r="AT110" s="327"/>
      <c r="AU110" s="347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46279</v>
      </c>
      <c r="AX110" s="327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46280</v>
      </c>
      <c r="AZ110" s="326">
        <f>YEAR(ESS_DATA[[#This Row],[ETA for New Ark update]])</f>
        <v>2026</v>
      </c>
      <c r="BA110" s="326">
        <f>MONTH(ESS_DATA[[#This Row],[ETA for New Ark update]])</f>
        <v>9</v>
      </c>
      <c r="BB110" s="326">
        <f>IFERROR(_xlfn.ISOWEEKNUM(ESS_DATA[[#This Row],[ETA for New Ark update]]),0)</f>
        <v>38</v>
      </c>
      <c r="BC110" s="326" t="str">
        <f>_xlfn.XLOOKUP(ESS_DATA[[#This Row],[PORT DESTINATION]],Table12[PORT DESTINATION],Table12[Cosco Line],,0)</f>
        <v>AEM</v>
      </c>
      <c r="BD110" s="82"/>
    </row>
    <row r="111" spans="1:57" s="336" customFormat="1" ht="12.75" customHeight="1">
      <c r="A111" s="325" t="s">
        <v>7757</v>
      </c>
      <c r="B111" s="327" t="s">
        <v>7423</v>
      </c>
      <c r="C111" s="327" t="str">
        <f>IFERROR(LEFT(ESS_DATA[[#This Row],[TCL REFERENCE]],FIND(".",ESS_DATA[[#This Row],[TCL REFERENCE]],1)-1),"Main Line")</f>
        <v>Main Line</v>
      </c>
      <c r="D111" s="327" t="s">
        <v>63</v>
      </c>
      <c r="E111" s="326" t="s">
        <v>64</v>
      </c>
      <c r="F111" s="326" t="s">
        <v>65</v>
      </c>
      <c r="G111" s="327" t="s">
        <v>402</v>
      </c>
      <c r="H111" s="327" t="s">
        <v>67</v>
      </c>
      <c r="I111" s="327"/>
      <c r="J111" s="327" t="s">
        <v>7636</v>
      </c>
      <c r="K111" s="327"/>
      <c r="L111" s="328"/>
      <c r="M111" s="329" t="s">
        <v>68</v>
      </c>
      <c r="N111" s="326" t="s">
        <v>7449</v>
      </c>
      <c r="O111" s="326" t="s">
        <v>7646</v>
      </c>
      <c r="P111" s="402" t="s">
        <v>7451</v>
      </c>
      <c r="Q111" s="354"/>
      <c r="R111" s="331">
        <v>15</v>
      </c>
      <c r="S111" s="332"/>
      <c r="T111" s="327"/>
      <c r="U111" s="337">
        <f>ESS_DATA[[#This Row],[QUANTITY]]/350</f>
        <v>4.2857142857142858E-2</v>
      </c>
      <c r="V111" s="369" t="s">
        <v>7469</v>
      </c>
      <c r="W111" s="327" t="s">
        <v>2458</v>
      </c>
      <c r="X111" s="327" t="str">
        <f t="shared" si="4"/>
        <v>COMPLETED</v>
      </c>
      <c r="Y111" s="333">
        <v>46203</v>
      </c>
      <c r="Z111" s="333">
        <v>46203</v>
      </c>
      <c r="AA111" s="334">
        <f>WEEKNUM(ESS_DATA[[#This Row],[Pick-Up Date]])</f>
        <v>27</v>
      </c>
      <c r="AB111" s="327" t="s">
        <v>7749</v>
      </c>
      <c r="AC111" s="327"/>
      <c r="AD111" s="327" t="s">
        <v>122</v>
      </c>
      <c r="AE111" s="327" t="s">
        <v>123</v>
      </c>
      <c r="AF111" s="327" t="s">
        <v>78</v>
      </c>
      <c r="AG111" s="333">
        <v>46210</v>
      </c>
      <c r="AH111" s="333">
        <v>46232</v>
      </c>
      <c r="AI111" s="333">
        <v>46232</v>
      </c>
      <c r="AJ111" s="333">
        <v>46253</v>
      </c>
      <c r="AK111" s="333">
        <v>46272</v>
      </c>
      <c r="AL111" s="333">
        <v>46272</v>
      </c>
      <c r="AM111" s="335" t="s">
        <v>402</v>
      </c>
      <c r="AN111" s="333" t="s">
        <v>7750</v>
      </c>
      <c r="AO111" s="333" t="s">
        <v>80</v>
      </c>
      <c r="AP111" s="333" t="s">
        <v>7751</v>
      </c>
      <c r="AQ111" s="327" t="s">
        <v>7752</v>
      </c>
      <c r="AR111" s="327" t="s">
        <v>7752</v>
      </c>
      <c r="AS111" s="327">
        <f>ESS_DATA[[#This Row],[ETA On S/O]]-ESS_DATA[[#This Row],[ETD On S/O]]+1</f>
        <v>44</v>
      </c>
      <c r="AT111" s="327"/>
      <c r="AU111" s="347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46279</v>
      </c>
      <c r="AX111" s="327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46280</v>
      </c>
      <c r="AZ111" s="326">
        <f>YEAR(ESS_DATA[[#This Row],[ETA for New Ark update]])</f>
        <v>2026</v>
      </c>
      <c r="BA111" s="326">
        <f>MONTH(ESS_DATA[[#This Row],[ETA for New Ark update]])</f>
        <v>9</v>
      </c>
      <c r="BB111" s="326">
        <f>IFERROR(_xlfn.ISOWEEKNUM(ESS_DATA[[#This Row],[ETA for New Ark update]]),0)</f>
        <v>38</v>
      </c>
      <c r="BC111" s="326" t="str">
        <f>_xlfn.XLOOKUP(ESS_DATA[[#This Row],[PORT DESTINATION]],Table12[PORT DESTINATION],Table12[Cosco Line],,0)</f>
        <v>AEM</v>
      </c>
      <c r="BD111" s="82"/>
    </row>
    <row r="112" spans="1:57" s="336" customFormat="1" ht="12" customHeight="1">
      <c r="A112" s="325" t="s">
        <v>7758</v>
      </c>
      <c r="B112" s="327" t="s">
        <v>7423</v>
      </c>
      <c r="C112" s="327" t="str">
        <f>IFERROR(LEFT(ESS_DATA[[#This Row],[TCL REFERENCE]],FIND(".",ESS_DATA[[#This Row],[TCL REFERENCE]],1)-1),"Main Line")</f>
        <v>Main Line</v>
      </c>
      <c r="D112" s="327" t="s">
        <v>63</v>
      </c>
      <c r="E112" s="326" t="s">
        <v>64</v>
      </c>
      <c r="F112" s="326" t="s">
        <v>65</v>
      </c>
      <c r="G112" s="327" t="s">
        <v>402</v>
      </c>
      <c r="H112" s="327" t="s">
        <v>67</v>
      </c>
      <c r="I112" s="327"/>
      <c r="J112" s="327" t="s">
        <v>7636</v>
      </c>
      <c r="K112" s="327"/>
      <c r="L112" s="328"/>
      <c r="M112" s="329" t="s">
        <v>68</v>
      </c>
      <c r="N112" s="326" t="s">
        <v>7425</v>
      </c>
      <c r="O112" s="326" t="s">
        <v>7595</v>
      </c>
      <c r="P112" s="327" t="s">
        <v>7427</v>
      </c>
      <c r="Q112" s="354"/>
      <c r="R112" s="331">
        <v>180</v>
      </c>
      <c r="S112" s="332"/>
      <c r="T112" s="327"/>
      <c r="U112" s="337">
        <v>0.19</v>
      </c>
      <c r="V112" s="369" t="s">
        <v>7469</v>
      </c>
      <c r="W112" s="327" t="s">
        <v>2458</v>
      </c>
      <c r="X112" s="327" t="str">
        <f t="shared" si="4"/>
        <v>COMPLETED</v>
      </c>
      <c r="Y112" s="333">
        <v>46203</v>
      </c>
      <c r="Z112" s="333">
        <v>46203</v>
      </c>
      <c r="AA112" s="334">
        <f>WEEKNUM(ESS_DATA[[#This Row],[Pick-Up Date]])</f>
        <v>27</v>
      </c>
      <c r="AB112" s="327" t="s">
        <v>7749</v>
      </c>
      <c r="AC112" s="327"/>
      <c r="AD112" s="327" t="s">
        <v>122</v>
      </c>
      <c r="AE112" s="327" t="s">
        <v>123</v>
      </c>
      <c r="AF112" s="327" t="s">
        <v>78</v>
      </c>
      <c r="AG112" s="333">
        <v>46210</v>
      </c>
      <c r="AH112" s="333">
        <v>46232</v>
      </c>
      <c r="AI112" s="333">
        <v>46232</v>
      </c>
      <c r="AJ112" s="333">
        <v>46253</v>
      </c>
      <c r="AK112" s="333">
        <v>46272</v>
      </c>
      <c r="AL112" s="333">
        <v>46272</v>
      </c>
      <c r="AM112" s="335" t="s">
        <v>402</v>
      </c>
      <c r="AN112" s="333" t="s">
        <v>7750</v>
      </c>
      <c r="AO112" s="333" t="s">
        <v>80</v>
      </c>
      <c r="AP112" s="333" t="s">
        <v>7751</v>
      </c>
      <c r="AQ112" s="327" t="s">
        <v>7752</v>
      </c>
      <c r="AR112" s="327" t="s">
        <v>7752</v>
      </c>
      <c r="AS112" s="327">
        <f>ESS_DATA[[#This Row],[ETA On S/O]]-ESS_DATA[[#This Row],[ETD On S/O]]+1</f>
        <v>44</v>
      </c>
      <c r="AT112" s="327"/>
      <c r="AU112" s="347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46279</v>
      </c>
      <c r="AX112" s="327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46280</v>
      </c>
      <c r="AZ112" s="326">
        <f>YEAR(ESS_DATA[[#This Row],[ETA for New Ark update]])</f>
        <v>2026</v>
      </c>
      <c r="BA112" s="326">
        <f>MONTH(ESS_DATA[[#This Row],[ETA for New Ark update]])</f>
        <v>9</v>
      </c>
      <c r="BB112" s="326">
        <f>IFERROR(_xlfn.ISOWEEKNUM(ESS_DATA[[#This Row],[ETA for New Ark update]]),0)</f>
        <v>38</v>
      </c>
      <c r="BC112" s="326" t="str">
        <f>_xlfn.XLOOKUP(ESS_DATA[[#This Row],[PORT DESTINATION]],Table12[PORT DESTINATION],Table12[Cosco Line],,0)</f>
        <v>AEM</v>
      </c>
      <c r="BD112" s="82"/>
    </row>
    <row r="113" spans="1:61" s="336" customFormat="1" ht="14.25" customHeight="1">
      <c r="A113" s="532" t="s">
        <v>7759</v>
      </c>
      <c r="B113" s="325" t="s">
        <v>7423</v>
      </c>
      <c r="C113" s="327" t="str">
        <f>IFERROR(LEFT(ESS_DATA[[#This Row],[TCL REFERENCE]],FIND(".",ESS_DATA[[#This Row],[TCL REFERENCE]],1)-1),"Main Line")</f>
        <v>Main Line</v>
      </c>
      <c r="D113" s="327" t="s">
        <v>63</v>
      </c>
      <c r="E113" s="326" t="s">
        <v>64</v>
      </c>
      <c r="F113" s="326" t="s">
        <v>65</v>
      </c>
      <c r="G113" s="327" t="s">
        <v>402</v>
      </c>
      <c r="H113" s="327" t="s">
        <v>67</v>
      </c>
      <c r="I113" s="327"/>
      <c r="J113" s="327" t="s">
        <v>7636</v>
      </c>
      <c r="K113" s="327"/>
      <c r="L113" s="328"/>
      <c r="M113" s="329" t="s">
        <v>68</v>
      </c>
      <c r="N113" s="326" t="s">
        <v>7437</v>
      </c>
      <c r="O113" s="326" t="s">
        <v>7438</v>
      </c>
      <c r="P113" s="402" t="s">
        <v>7439</v>
      </c>
      <c r="Q113" s="354"/>
      <c r="R113" s="331">
        <v>198</v>
      </c>
      <c r="S113" s="332"/>
      <c r="T113" s="327"/>
      <c r="U113" s="337">
        <f>ESS_DATA[[#This Row],[QUANTITY]]/224</f>
        <v>0.8839285714285714</v>
      </c>
      <c r="V113" s="369" t="s">
        <v>7473</v>
      </c>
      <c r="W113" s="541" t="s">
        <v>2458</v>
      </c>
      <c r="X113" s="327" t="str">
        <f t="shared" si="4"/>
        <v>COMPLETED</v>
      </c>
      <c r="Y113" s="416">
        <v>46210</v>
      </c>
      <c r="Z113" s="333">
        <v>46210</v>
      </c>
      <c r="AA113" s="334">
        <f>WEEKNUM(ESS_DATA[[#This Row],[Pick-Up Date]])</f>
        <v>28</v>
      </c>
      <c r="AB113" s="327" t="s">
        <v>7749</v>
      </c>
      <c r="AC113" s="327"/>
      <c r="AD113" s="327" t="s">
        <v>122</v>
      </c>
      <c r="AE113" s="327" t="s">
        <v>123</v>
      </c>
      <c r="AF113" s="327" t="s">
        <v>78</v>
      </c>
      <c r="AG113" s="333">
        <v>46216</v>
      </c>
      <c r="AH113" s="333">
        <v>46232</v>
      </c>
      <c r="AI113" s="333">
        <v>46232</v>
      </c>
      <c r="AJ113" s="333">
        <v>46260</v>
      </c>
      <c r="AK113" s="333">
        <v>46272</v>
      </c>
      <c r="AL113" s="333">
        <v>46272</v>
      </c>
      <c r="AM113" s="592" t="s">
        <v>402</v>
      </c>
      <c r="AN113" s="335" t="s">
        <v>7750</v>
      </c>
      <c r="AO113" s="593" t="s">
        <v>80</v>
      </c>
      <c r="AP113" s="333" t="s">
        <v>7760</v>
      </c>
      <c r="AQ113" s="327" t="s">
        <v>7761</v>
      </c>
      <c r="AR113" s="327" t="s">
        <v>7761</v>
      </c>
      <c r="AS113" s="327">
        <f>ESS_DATA[[#This Row],[ETA On S/O]]-ESS_DATA[[#This Row],[ETD On S/O]]+1</f>
        <v>45</v>
      </c>
      <c r="AT113" s="327"/>
      <c r="AU113" s="347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46279</v>
      </c>
      <c r="AX113" s="327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46280</v>
      </c>
      <c r="AZ113" s="326">
        <f>YEAR(ESS_DATA[[#This Row],[ETA for New Ark update]])</f>
        <v>2026</v>
      </c>
      <c r="BA113" s="326">
        <f>MONTH(ESS_DATA[[#This Row],[ETA for New Ark update]])</f>
        <v>9</v>
      </c>
      <c r="BB113" s="326">
        <f>IFERROR(_xlfn.ISOWEEKNUM(ESS_DATA[[#This Row],[ETA for New Ark update]]),0)</f>
        <v>38</v>
      </c>
      <c r="BC113" s="326" t="str">
        <f>_xlfn.XLOOKUP(ESS_DATA[[#This Row],[PORT DESTINATION]],Table12[PORT DESTINATION],Table12[Cosco Line],,0)</f>
        <v>AEM</v>
      </c>
      <c r="BD113" s="82"/>
    </row>
    <row r="114" spans="1:61" s="336" customFormat="1" ht="14.25" customHeight="1">
      <c r="A114" s="326" t="s">
        <v>7762</v>
      </c>
      <c r="B114" s="325" t="s">
        <v>7423</v>
      </c>
      <c r="C114" s="327" t="str">
        <f>IFERROR(LEFT(ESS_DATA[[#This Row],[TCL REFERENCE]],FIND(".",ESS_DATA[[#This Row],[TCL REFERENCE]],1)-1),"Main Line")</f>
        <v>Main Line</v>
      </c>
      <c r="D114" s="327" t="s">
        <v>63</v>
      </c>
      <c r="E114" s="326" t="s">
        <v>64</v>
      </c>
      <c r="F114" s="326" t="s">
        <v>65</v>
      </c>
      <c r="G114" s="327" t="s">
        <v>402</v>
      </c>
      <c r="H114" s="327" t="s">
        <v>67</v>
      </c>
      <c r="I114" s="327"/>
      <c r="J114" s="327" t="s">
        <v>7636</v>
      </c>
      <c r="K114" s="327"/>
      <c r="L114" s="328"/>
      <c r="M114" s="329" t="s">
        <v>68</v>
      </c>
      <c r="N114" s="326" t="s">
        <v>7437</v>
      </c>
      <c r="O114" s="326" t="s">
        <v>7438</v>
      </c>
      <c r="P114" s="402" t="s">
        <v>7439</v>
      </c>
      <c r="Q114" s="354"/>
      <c r="R114" s="539">
        <v>14</v>
      </c>
      <c r="S114" s="332"/>
      <c r="T114" s="327"/>
      <c r="U114" s="337">
        <f>ESS_DATA[[#This Row],[QUANTITY]]/224</f>
        <v>6.25E-2</v>
      </c>
      <c r="V114" s="369" t="s">
        <v>7473</v>
      </c>
      <c r="W114" s="541" t="s">
        <v>2458</v>
      </c>
      <c r="X114" s="327" t="str">
        <f t="shared" si="4"/>
        <v>COMPLETED</v>
      </c>
      <c r="Y114" s="416">
        <v>46210</v>
      </c>
      <c r="Z114" s="333">
        <v>46210</v>
      </c>
      <c r="AA114" s="334">
        <f>WEEKNUM(ESS_DATA[[#This Row],[Pick-Up Date]])</f>
        <v>28</v>
      </c>
      <c r="AB114" s="327" t="s">
        <v>7749</v>
      </c>
      <c r="AC114" s="327"/>
      <c r="AD114" s="327" t="s">
        <v>122</v>
      </c>
      <c r="AE114" s="327" t="s">
        <v>123</v>
      </c>
      <c r="AF114" s="327" t="s">
        <v>78</v>
      </c>
      <c r="AG114" s="333">
        <v>46216</v>
      </c>
      <c r="AH114" s="333">
        <v>46232</v>
      </c>
      <c r="AI114" s="333">
        <v>46232</v>
      </c>
      <c r="AJ114" s="333">
        <v>46260</v>
      </c>
      <c r="AK114" s="333">
        <v>46272</v>
      </c>
      <c r="AL114" s="333">
        <v>46272</v>
      </c>
      <c r="AM114" s="335" t="s">
        <v>402</v>
      </c>
      <c r="AN114" s="594" t="s">
        <v>7750</v>
      </c>
      <c r="AO114" s="333" t="s">
        <v>80</v>
      </c>
      <c r="AP114" s="333" t="s">
        <v>7760</v>
      </c>
      <c r="AQ114" s="327" t="s">
        <v>7761</v>
      </c>
      <c r="AR114" s="327" t="s">
        <v>7761</v>
      </c>
      <c r="AS114" s="327">
        <f>ESS_DATA[[#This Row],[ETA On S/O]]-ESS_DATA[[#This Row],[ETD On S/O]]+1</f>
        <v>45</v>
      </c>
      <c r="AT114" s="327"/>
      <c r="AU114" s="347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46279</v>
      </c>
      <c r="AX114" s="327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46280</v>
      </c>
      <c r="AZ114" s="326">
        <f>YEAR(ESS_DATA[[#This Row],[ETA for New Ark update]])</f>
        <v>2026</v>
      </c>
      <c r="BA114" s="326">
        <f>MONTH(ESS_DATA[[#This Row],[ETA for New Ark update]])</f>
        <v>9</v>
      </c>
      <c r="BB114" s="326">
        <f>IFERROR(_xlfn.ISOWEEKNUM(ESS_DATA[[#This Row],[ETA for New Ark update]]),0)</f>
        <v>38</v>
      </c>
      <c r="BC114" s="326" t="str">
        <f>_xlfn.XLOOKUP(ESS_DATA[[#This Row],[PORT DESTINATION]],Table12[PORT DESTINATION],Table12[Cosco Line],,0)</f>
        <v>AEM</v>
      </c>
      <c r="BD114" s="82"/>
    </row>
    <row r="115" spans="1:61" s="336" customFormat="1" ht="15" customHeight="1">
      <c r="A115" s="326" t="s">
        <v>7763</v>
      </c>
      <c r="B115" s="325" t="s">
        <v>7423</v>
      </c>
      <c r="C115" s="327" t="str">
        <f>IFERROR(LEFT(ESS_DATA[[#This Row],[TCL REFERENCE]],FIND(".",ESS_DATA[[#This Row],[TCL REFERENCE]],1)-1),"Main Line")</f>
        <v>Main Line</v>
      </c>
      <c r="D115" s="327" t="s">
        <v>63</v>
      </c>
      <c r="E115" s="326" t="s">
        <v>64</v>
      </c>
      <c r="F115" s="326" t="s">
        <v>65</v>
      </c>
      <c r="G115" s="327" t="s">
        <v>402</v>
      </c>
      <c r="H115" s="327" t="s">
        <v>67</v>
      </c>
      <c r="I115" s="327"/>
      <c r="J115" s="327" t="s">
        <v>7636</v>
      </c>
      <c r="K115" s="327"/>
      <c r="L115" s="328"/>
      <c r="M115" s="329" t="s">
        <v>68</v>
      </c>
      <c r="N115" s="326" t="s">
        <v>7446</v>
      </c>
      <c r="O115" s="326" t="s">
        <v>7438</v>
      </c>
      <c r="P115" s="402" t="s">
        <v>7447</v>
      </c>
      <c r="Q115" s="354"/>
      <c r="R115" s="331">
        <v>12</v>
      </c>
      <c r="S115" s="332"/>
      <c r="T115" s="327"/>
      <c r="U115" s="337">
        <f>ESS_DATA[[#This Row],[QUANTITY]]/224</f>
        <v>5.3571428571428568E-2</v>
      </c>
      <c r="V115" s="369" t="s">
        <v>7473</v>
      </c>
      <c r="W115" s="541" t="s">
        <v>2458</v>
      </c>
      <c r="X115" s="327" t="str">
        <f t="shared" si="4"/>
        <v>COMPLETED</v>
      </c>
      <c r="Y115" s="416">
        <v>46210</v>
      </c>
      <c r="Z115" s="333">
        <v>46210</v>
      </c>
      <c r="AA115" s="334">
        <f>WEEKNUM(ESS_DATA[[#This Row],[Pick-Up Date]])</f>
        <v>28</v>
      </c>
      <c r="AB115" s="327" t="s">
        <v>7749</v>
      </c>
      <c r="AC115" s="327"/>
      <c r="AD115" s="327" t="s">
        <v>122</v>
      </c>
      <c r="AE115" s="327" t="s">
        <v>123</v>
      </c>
      <c r="AF115" s="327" t="s">
        <v>78</v>
      </c>
      <c r="AG115" s="333">
        <v>46216</v>
      </c>
      <c r="AH115" s="333">
        <v>46232</v>
      </c>
      <c r="AI115" s="333">
        <v>46232</v>
      </c>
      <c r="AJ115" s="333">
        <v>46260</v>
      </c>
      <c r="AK115" s="333">
        <v>46272</v>
      </c>
      <c r="AL115" s="333">
        <v>46272</v>
      </c>
      <c r="AM115" s="335" t="s">
        <v>402</v>
      </c>
      <c r="AN115" s="333" t="s">
        <v>7750</v>
      </c>
      <c r="AO115" s="333" t="s">
        <v>80</v>
      </c>
      <c r="AP115" s="333" t="s">
        <v>7760</v>
      </c>
      <c r="AQ115" s="327" t="s">
        <v>7761</v>
      </c>
      <c r="AR115" s="327" t="s">
        <v>7761</v>
      </c>
      <c r="AS115" s="327">
        <f>ESS_DATA[[#This Row],[ETA On S/O]]-ESS_DATA[[#This Row],[ETD On S/O]]+1</f>
        <v>45</v>
      </c>
      <c r="AT115" s="327"/>
      <c r="AU115" s="347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46279</v>
      </c>
      <c r="AX115" s="327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46280</v>
      </c>
      <c r="AZ115" s="326">
        <f>YEAR(ESS_DATA[[#This Row],[ETA for New Ark update]])</f>
        <v>2026</v>
      </c>
      <c r="BA115" s="326">
        <f>MONTH(ESS_DATA[[#This Row],[ETA for New Ark update]])</f>
        <v>9</v>
      </c>
      <c r="BB115" s="326">
        <f>IFERROR(_xlfn.ISOWEEKNUM(ESS_DATA[[#This Row],[ETA for New Ark update]]),0)</f>
        <v>38</v>
      </c>
      <c r="BC115" s="326" t="str">
        <f>_xlfn.XLOOKUP(ESS_DATA[[#This Row],[PORT DESTINATION]],Table12[PORT DESTINATION],Table12[Cosco Line],,0)</f>
        <v>AEM</v>
      </c>
      <c r="BD115" s="82"/>
    </row>
    <row r="116" spans="1:61" s="336" customFormat="1" ht="13.5" customHeight="1">
      <c r="A116" s="591" t="s">
        <v>7764</v>
      </c>
      <c r="B116" s="325" t="s">
        <v>7423</v>
      </c>
      <c r="C116" s="327" t="str">
        <f>IFERROR(LEFT(ESS_DATA[[#This Row],[TCL REFERENCE]],FIND(".",ESS_DATA[[#This Row],[TCL REFERENCE]],1)-1),"Main Line")</f>
        <v>Main Line</v>
      </c>
      <c r="D116" s="327" t="s">
        <v>63</v>
      </c>
      <c r="E116" s="326" t="s">
        <v>64</v>
      </c>
      <c r="F116" s="326" t="s">
        <v>65</v>
      </c>
      <c r="G116" s="327" t="s">
        <v>402</v>
      </c>
      <c r="H116" s="327" t="s">
        <v>67</v>
      </c>
      <c r="I116" s="327"/>
      <c r="J116" s="327" t="s">
        <v>7636</v>
      </c>
      <c r="K116" s="327"/>
      <c r="L116" s="328"/>
      <c r="M116" s="329" t="s">
        <v>68</v>
      </c>
      <c r="N116" s="326" t="s">
        <v>7460</v>
      </c>
      <c r="O116" s="330" t="s">
        <v>7461</v>
      </c>
      <c r="P116" s="402" t="s">
        <v>7462</v>
      </c>
      <c r="Q116" s="403"/>
      <c r="R116" s="331">
        <v>470</v>
      </c>
      <c r="S116" s="332"/>
      <c r="T116" s="327"/>
      <c r="U116" s="337">
        <f>ESS_DATA[[#This Row],[QUANTITY]]/276</f>
        <v>1.7028985507246377</v>
      </c>
      <c r="V116" s="369" t="s">
        <v>7765</v>
      </c>
      <c r="W116" s="327" t="s">
        <v>2459</v>
      </c>
      <c r="X116" s="327" t="str">
        <f t="shared" si="4"/>
        <v>COMPLETED</v>
      </c>
      <c r="Y116" s="333">
        <v>46212</v>
      </c>
      <c r="Z116" s="333">
        <v>46214</v>
      </c>
      <c r="AA116" s="334">
        <f>WEEKNUM(ESS_DATA[[#This Row],[Pick-Up Date]])</f>
        <v>28</v>
      </c>
      <c r="AB116" s="327" t="s">
        <v>7766</v>
      </c>
      <c r="AC116" s="327"/>
      <c r="AD116" s="327" t="s">
        <v>122</v>
      </c>
      <c r="AE116" s="327" t="s">
        <v>123</v>
      </c>
      <c r="AF116" s="327" t="s">
        <v>78</v>
      </c>
      <c r="AG116" s="333">
        <v>46220</v>
      </c>
      <c r="AH116" s="333">
        <v>46233</v>
      </c>
      <c r="AI116" s="333">
        <v>46232</v>
      </c>
      <c r="AJ116" s="333">
        <v>46260</v>
      </c>
      <c r="AK116" s="333">
        <v>46281</v>
      </c>
      <c r="AL116" s="333">
        <v>46281</v>
      </c>
      <c r="AM116" s="335" t="s">
        <v>402</v>
      </c>
      <c r="AN116" s="333" t="s">
        <v>7767</v>
      </c>
      <c r="AO116" s="333" t="s">
        <v>161</v>
      </c>
      <c r="AP116" s="333" t="s">
        <v>7768</v>
      </c>
      <c r="AQ116" s="327">
        <v>272638715</v>
      </c>
      <c r="AR116" s="327">
        <v>272638715</v>
      </c>
      <c r="AS116" s="327">
        <f>ESS_DATA[[#This Row],[ETA On S/O]]-ESS_DATA[[#This Row],[ETD On S/O]]+1</f>
        <v>41</v>
      </c>
      <c r="AT116" s="327"/>
      <c r="AU116" s="347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7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6">
        <f>YEAR(ESS_DATA[[#This Row],[ETA for New Ark update]])</f>
        <v>2026</v>
      </c>
      <c r="BA116" s="326">
        <f>MONTH(ESS_DATA[[#This Row],[ETA for New Ark update]])</f>
        <v>9</v>
      </c>
      <c r="BB116" s="326">
        <f>IFERROR(_xlfn.ISOWEEKNUM(ESS_DATA[[#This Row],[ETA for New Ark update]]),0)</f>
        <v>39</v>
      </c>
      <c r="BC116" s="326" t="str">
        <f>_xlfn.XLOOKUP(ESS_DATA[[#This Row],[PORT DESTINATION]],Table12[PORT DESTINATION],Table12[Cosco Line],,0)</f>
        <v>AEM</v>
      </c>
      <c r="BD116" s="82"/>
    </row>
    <row r="117" spans="1:61" s="336" customFormat="1" ht="13.5" customHeight="1">
      <c r="A117" s="536" t="s">
        <v>7769</v>
      </c>
      <c r="B117" s="325" t="s">
        <v>7423</v>
      </c>
      <c r="C117" s="327" t="str">
        <f>IFERROR(LEFT(ESS_DATA[[#This Row],[TCL REFERENCE]],FIND(".",ESS_DATA[[#This Row],[TCL REFERENCE]],1)-1),"Main Line")</f>
        <v>Main Line</v>
      </c>
      <c r="D117" s="327" t="s">
        <v>63</v>
      </c>
      <c r="E117" s="326" t="s">
        <v>64</v>
      </c>
      <c r="F117" s="326" t="s">
        <v>65</v>
      </c>
      <c r="G117" s="327" t="s">
        <v>402</v>
      </c>
      <c r="H117" s="327" t="s">
        <v>67</v>
      </c>
      <c r="I117" s="327"/>
      <c r="J117" s="327" t="s">
        <v>7743</v>
      </c>
      <c r="K117" s="327"/>
      <c r="L117" s="328"/>
      <c r="M117" s="329" t="s">
        <v>68</v>
      </c>
      <c r="N117" s="326" t="s">
        <v>7460</v>
      </c>
      <c r="O117" s="330" t="s">
        <v>7461</v>
      </c>
      <c r="P117" s="402" t="s">
        <v>7462</v>
      </c>
      <c r="Q117" s="354"/>
      <c r="R117" s="539">
        <v>80</v>
      </c>
      <c r="S117" s="332"/>
      <c r="T117" s="327"/>
      <c r="U117" s="337">
        <f>ESS_DATA[[#This Row],[QUANTITY]]/276</f>
        <v>0.28985507246376813</v>
      </c>
      <c r="V117" s="369" t="s">
        <v>7765</v>
      </c>
      <c r="W117" s="327" t="s">
        <v>2459</v>
      </c>
      <c r="X117" s="326" t="str">
        <f t="shared" si="4"/>
        <v>COMPLETED</v>
      </c>
      <c r="Y117" s="333">
        <v>46212</v>
      </c>
      <c r="Z117" s="333">
        <v>46214</v>
      </c>
      <c r="AA117" s="334">
        <f>WEEKNUM(ESS_DATA[[#This Row],[Pick-Up Date]])</f>
        <v>28</v>
      </c>
      <c r="AB117" s="327" t="s">
        <v>7766</v>
      </c>
      <c r="AC117" s="327"/>
      <c r="AD117" s="327" t="s">
        <v>122</v>
      </c>
      <c r="AE117" s="327" t="s">
        <v>123</v>
      </c>
      <c r="AF117" s="327" t="s">
        <v>78</v>
      </c>
      <c r="AG117" s="333">
        <v>46220</v>
      </c>
      <c r="AH117" s="333">
        <v>46233</v>
      </c>
      <c r="AI117" s="333">
        <v>46232</v>
      </c>
      <c r="AJ117" s="333">
        <v>46260</v>
      </c>
      <c r="AK117" s="333">
        <v>46281</v>
      </c>
      <c r="AL117" s="333">
        <v>46281</v>
      </c>
      <c r="AM117" s="335" t="s">
        <v>402</v>
      </c>
      <c r="AN117" s="333" t="s">
        <v>7767</v>
      </c>
      <c r="AO117" s="333" t="s">
        <v>161</v>
      </c>
      <c r="AP117" s="333" t="s">
        <v>7768</v>
      </c>
      <c r="AQ117" s="327">
        <v>272638715</v>
      </c>
      <c r="AR117" s="327">
        <v>272638715</v>
      </c>
      <c r="AS117" s="327">
        <f>ESS_DATA[[#This Row],[ETA On S/O]]-ESS_DATA[[#This Row],[ETD On S/O]]+1</f>
        <v>41</v>
      </c>
      <c r="AT117" s="327"/>
      <c r="AU117" s="333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7">
        <f>IF(ESS_DATA[[#This Row],[New Ark PO Type]]="Offshore",0,IFERROR(VLOOKUP(ESS_DATA[[#This Row],[PORT OF LOADING]]&amp;ESS_DATA[[#This Row],[PORT DESTINATION]],LT_REF[],7,0),14))</f>
        <v>8</v>
      </c>
      <c r="AY117" s="333">
        <f>IFERROR(ESS_DATA[[#This Row],[ODP ETA Port]]+ESS_DATA[[#This Row],[Customs/Leg3 Assumption]],"n/a")</f>
        <v>46289</v>
      </c>
      <c r="AZ117" s="326">
        <f>YEAR(ESS_DATA[[#This Row],[ETA for New Ark update]])</f>
        <v>2026</v>
      </c>
      <c r="BA117" s="326">
        <f>MONTH(ESS_DATA[[#This Row],[ETA for New Ark update]])</f>
        <v>9</v>
      </c>
      <c r="BB117" s="326">
        <f>IFERROR(_xlfn.ISOWEEKNUM(ESS_DATA[[#This Row],[ETA for New Ark update]]),0)</f>
        <v>39</v>
      </c>
      <c r="BC117" s="326" t="str">
        <f>_xlfn.XLOOKUP(ESS_DATA[[#This Row],[PORT DESTINATION]],Table12[PORT DESTINATION],Table12[Cosco Line],,0)</f>
        <v>AEM</v>
      </c>
      <c r="BD117" s="326"/>
    </row>
    <row r="118" spans="1:61" s="336" customFormat="1" ht="13.5" customHeight="1">
      <c r="A118" s="536" t="s">
        <v>7770</v>
      </c>
      <c r="B118" s="325" t="s">
        <v>7423</v>
      </c>
      <c r="C118" s="327" t="str">
        <f>IFERROR(LEFT(ESS_DATA[[#This Row],[TCL REFERENCE]],FIND(".",ESS_DATA[[#This Row],[TCL REFERENCE]],1)-1),"Main Line")</f>
        <v>Main Line</v>
      </c>
      <c r="D118" s="327" t="s">
        <v>63</v>
      </c>
      <c r="E118" s="326" t="s">
        <v>64</v>
      </c>
      <c r="F118" s="326" t="s">
        <v>65</v>
      </c>
      <c r="G118" s="327" t="s">
        <v>402</v>
      </c>
      <c r="H118" s="327" t="s">
        <v>67</v>
      </c>
      <c r="I118" s="327"/>
      <c r="J118" s="327" t="s">
        <v>7636</v>
      </c>
      <c r="K118" s="327"/>
      <c r="L118" s="328"/>
      <c r="M118" s="329" t="s">
        <v>68</v>
      </c>
      <c r="N118" s="326" t="s">
        <v>7460</v>
      </c>
      <c r="O118" s="330" t="s">
        <v>7461</v>
      </c>
      <c r="P118" s="402" t="s">
        <v>7462</v>
      </c>
      <c r="Q118" s="354"/>
      <c r="R118" s="539">
        <v>2</v>
      </c>
      <c r="S118" s="332"/>
      <c r="T118" s="327"/>
      <c r="U118" s="337">
        <f>ESS_DATA[[#This Row],[QUANTITY]]/276</f>
        <v>7.246376811594203E-3</v>
      </c>
      <c r="V118" s="369" t="s">
        <v>7765</v>
      </c>
      <c r="W118" s="327" t="s">
        <v>2459</v>
      </c>
      <c r="X118" s="326" t="str">
        <f t="shared" si="4"/>
        <v>COMPLETED</v>
      </c>
      <c r="Y118" s="333">
        <v>46212</v>
      </c>
      <c r="Z118" s="333">
        <v>46214</v>
      </c>
      <c r="AA118" s="334">
        <f>WEEKNUM(ESS_DATA[[#This Row],[Pick-Up Date]])</f>
        <v>28</v>
      </c>
      <c r="AB118" s="327" t="s">
        <v>7766</v>
      </c>
      <c r="AC118" s="327"/>
      <c r="AD118" s="327" t="s">
        <v>122</v>
      </c>
      <c r="AE118" s="327" t="s">
        <v>123</v>
      </c>
      <c r="AF118" s="327" t="s">
        <v>78</v>
      </c>
      <c r="AG118" s="333">
        <v>46220</v>
      </c>
      <c r="AH118" s="333">
        <v>46233</v>
      </c>
      <c r="AI118" s="333">
        <v>46232</v>
      </c>
      <c r="AJ118" s="333">
        <v>46260</v>
      </c>
      <c r="AK118" s="333">
        <v>46281</v>
      </c>
      <c r="AL118" s="333">
        <v>46281</v>
      </c>
      <c r="AM118" s="335" t="s">
        <v>402</v>
      </c>
      <c r="AN118" s="333" t="s">
        <v>7767</v>
      </c>
      <c r="AO118" s="333" t="s">
        <v>161</v>
      </c>
      <c r="AP118" s="333" t="s">
        <v>7768</v>
      </c>
      <c r="AQ118" s="327">
        <v>272638715</v>
      </c>
      <c r="AR118" s="327">
        <v>272638715</v>
      </c>
      <c r="AS118" s="327">
        <f>ESS_DATA[[#This Row],[ETA On S/O]]-ESS_DATA[[#This Row],[ETD On S/O]]+1</f>
        <v>41</v>
      </c>
      <c r="AT118" s="327"/>
      <c r="AU118" s="333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7">
        <f>IF(ESS_DATA[[#This Row],[New Ark PO Type]]="Offshore",0,IFERROR(VLOOKUP(ESS_DATA[[#This Row],[PORT OF LOADING]]&amp;ESS_DATA[[#This Row],[PORT DESTINATION]],LT_REF[],7,0),14))</f>
        <v>8</v>
      </c>
      <c r="AY118" s="333">
        <f>IFERROR(ESS_DATA[[#This Row],[ODP ETA Port]]+ESS_DATA[[#This Row],[Customs/Leg3 Assumption]],"n/a")</f>
        <v>46289</v>
      </c>
      <c r="AZ118" s="326">
        <f>YEAR(ESS_DATA[[#This Row],[ETA for New Ark update]])</f>
        <v>2026</v>
      </c>
      <c r="BA118" s="326">
        <f>MONTH(ESS_DATA[[#This Row],[ETA for New Ark update]])</f>
        <v>9</v>
      </c>
      <c r="BB118" s="326">
        <f>IFERROR(_xlfn.ISOWEEKNUM(ESS_DATA[[#This Row],[ETA for New Ark update]]),0)</f>
        <v>39</v>
      </c>
      <c r="BC118" s="326" t="str">
        <f>_xlfn.XLOOKUP(ESS_DATA[[#This Row],[PORT DESTINATION]],Table12[PORT DESTINATION],Table12[Cosco Line],,0)</f>
        <v>AEM</v>
      </c>
      <c r="BD118" s="326"/>
    </row>
    <row r="119" spans="1:61" s="336" customFormat="1" ht="14.25" customHeight="1">
      <c r="A119" s="533" t="s">
        <v>7771</v>
      </c>
      <c r="B119" s="325" t="s">
        <v>7423</v>
      </c>
      <c r="C119" s="327" t="str">
        <f>IFERROR(LEFT(ESS_DATA[[#This Row],[TCL REFERENCE]],FIND(".",ESS_DATA[[#This Row],[TCL REFERENCE]],1)-1),"Main Line")</f>
        <v>Main Line</v>
      </c>
      <c r="D119" s="327" t="s">
        <v>63</v>
      </c>
      <c r="E119" s="326" t="s">
        <v>64</v>
      </c>
      <c r="F119" s="326" t="s">
        <v>65</v>
      </c>
      <c r="G119" s="327" t="s">
        <v>402</v>
      </c>
      <c r="H119" s="327" t="s">
        <v>67</v>
      </c>
      <c r="I119" s="327"/>
      <c r="J119" s="327" t="s">
        <v>7636</v>
      </c>
      <c r="K119" s="327"/>
      <c r="L119" s="328"/>
      <c r="M119" s="329" t="s">
        <v>68</v>
      </c>
      <c r="N119" s="326" t="s">
        <v>7449</v>
      </c>
      <c r="O119" s="326" t="s">
        <v>7646</v>
      </c>
      <c r="P119" s="402" t="s">
        <v>7451</v>
      </c>
      <c r="Q119" s="354"/>
      <c r="R119" s="331">
        <v>349</v>
      </c>
      <c r="S119" s="332"/>
      <c r="T119" s="327"/>
      <c r="U119" s="337">
        <f>ESS_DATA[[#This Row],[QUANTITY]]/350</f>
        <v>0.99714285714285711</v>
      </c>
      <c r="V119" s="369" t="s">
        <v>7666</v>
      </c>
      <c r="W119" s="327" t="s">
        <v>2459</v>
      </c>
      <c r="X119" s="327" t="str">
        <f t="shared" si="4"/>
        <v>COMPLETED</v>
      </c>
      <c r="Y119" s="333">
        <v>46213</v>
      </c>
      <c r="Z119" s="333">
        <v>46213</v>
      </c>
      <c r="AA119" s="334">
        <f>WEEKNUM(ESS_DATA[[#This Row],[Pick-Up Date]])</f>
        <v>28</v>
      </c>
      <c r="AB119" s="327" t="s">
        <v>7772</v>
      </c>
      <c r="AC119" s="327"/>
      <c r="AD119" s="327" t="s">
        <v>122</v>
      </c>
      <c r="AE119" s="327" t="s">
        <v>123</v>
      </c>
      <c r="AF119" s="327" t="s">
        <v>78</v>
      </c>
      <c r="AG119" s="333">
        <v>46217</v>
      </c>
      <c r="AH119" s="333">
        <v>46225</v>
      </c>
      <c r="AI119" s="333">
        <v>46227</v>
      </c>
      <c r="AJ119" s="333">
        <v>46265</v>
      </c>
      <c r="AK119" s="333">
        <v>46277</v>
      </c>
      <c r="AL119" s="333">
        <v>46278</v>
      </c>
      <c r="AM119" s="335" t="s">
        <v>402</v>
      </c>
      <c r="AN119" s="333" t="s">
        <v>5300</v>
      </c>
      <c r="AO119" s="333" t="s">
        <v>80</v>
      </c>
      <c r="AP119" s="333" t="s">
        <v>7773</v>
      </c>
      <c r="AQ119" s="327" t="s">
        <v>7774</v>
      </c>
      <c r="AR119" s="327" t="s">
        <v>7774</v>
      </c>
      <c r="AS119" s="327">
        <f>ESS_DATA[[#This Row],[ETA On S/O]]-ESS_DATA[[#This Row],[ETD On S/O]]+1</f>
        <v>49</v>
      </c>
      <c r="AT119" s="327"/>
      <c r="AU119" s="333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46278</v>
      </c>
      <c r="AV1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7">
        <f>IF(ESS_DATA[[#This Row],[New Ark PO Type]]="Offshore",0,IFERROR(VLOOKUP(ESS_DATA[[#This Row],[PORT OF LOADING]]&amp;ESS_DATA[[#This Row],[PORT DESTINATION]],LT_REF[],7,0),14))</f>
        <v>8</v>
      </c>
      <c r="AY119" s="333">
        <f>IFERROR(ESS_DATA[[#This Row],[ODP ETA Port]]+ESS_DATA[[#This Row],[Customs/Leg3 Assumption]],"n/a")</f>
        <v>46286</v>
      </c>
      <c r="AZ119" s="326">
        <f>YEAR(ESS_DATA[[#This Row],[ETA for New Ark update]])</f>
        <v>2026</v>
      </c>
      <c r="BA119" s="326">
        <f>MONTH(ESS_DATA[[#This Row],[ETA for New Ark update]])</f>
        <v>9</v>
      </c>
      <c r="BB119" s="326">
        <f>IFERROR(_xlfn.ISOWEEKNUM(ESS_DATA[[#This Row],[ETA for New Ark update]]),0)</f>
        <v>39</v>
      </c>
      <c r="BC119" s="326" t="str">
        <f>_xlfn.XLOOKUP(ESS_DATA[[#This Row],[PORT DESTINATION]],Table12[PORT DESTINATION],Table12[Cosco Line],,0)</f>
        <v>AEM</v>
      </c>
      <c r="BD119" s="326"/>
    </row>
    <row r="120" spans="1:61" s="336" customFormat="1" ht="14.25" customHeight="1">
      <c r="A120" s="532" t="s">
        <v>7775</v>
      </c>
      <c r="B120" s="325" t="s">
        <v>7423</v>
      </c>
      <c r="C120" s="327" t="str">
        <f>IFERROR(LEFT(ESS_DATA[[#This Row],[TCL REFERENCE]],FIND(".",ESS_DATA[[#This Row],[TCL REFERENCE]],1)-1),"Main Line")</f>
        <v>Main Line</v>
      </c>
      <c r="D120" s="327" t="s">
        <v>63</v>
      </c>
      <c r="E120" s="326" t="s">
        <v>64</v>
      </c>
      <c r="F120" s="326" t="s">
        <v>65</v>
      </c>
      <c r="G120" s="327" t="s">
        <v>402</v>
      </c>
      <c r="H120" s="327" t="s">
        <v>67</v>
      </c>
      <c r="I120" s="327"/>
      <c r="J120" s="327" t="s">
        <v>7636</v>
      </c>
      <c r="K120" s="327"/>
      <c r="L120" s="328"/>
      <c r="M120" s="329" t="s">
        <v>68</v>
      </c>
      <c r="N120" s="326" t="s">
        <v>7449</v>
      </c>
      <c r="O120" s="326" t="s">
        <v>7646</v>
      </c>
      <c r="P120" s="402" t="s">
        <v>7451</v>
      </c>
      <c r="Q120" s="354"/>
      <c r="R120" s="539">
        <v>1</v>
      </c>
      <c r="S120" s="332"/>
      <c r="T120" s="327"/>
      <c r="U120" s="337">
        <f>ESS_DATA[[#This Row],[QUANTITY]]/350</f>
        <v>2.8571428571428571E-3</v>
      </c>
      <c r="V120" s="369" t="s">
        <v>7666</v>
      </c>
      <c r="W120" s="327" t="s">
        <v>2459</v>
      </c>
      <c r="X120" s="327" t="str">
        <f t="shared" si="4"/>
        <v>COMPLETED</v>
      </c>
      <c r="Y120" s="333">
        <v>46213</v>
      </c>
      <c r="Z120" s="333">
        <v>46213</v>
      </c>
      <c r="AA120" s="334">
        <f>WEEKNUM(ESS_DATA[[#This Row],[Pick-Up Date]])</f>
        <v>28</v>
      </c>
      <c r="AB120" s="327" t="s">
        <v>7772</v>
      </c>
      <c r="AC120" s="327"/>
      <c r="AD120" s="327" t="s">
        <v>122</v>
      </c>
      <c r="AE120" s="327" t="s">
        <v>123</v>
      </c>
      <c r="AF120" s="327" t="s">
        <v>78</v>
      </c>
      <c r="AG120" s="333">
        <v>46217</v>
      </c>
      <c r="AH120" s="333">
        <v>46225</v>
      </c>
      <c r="AI120" s="333">
        <v>46227</v>
      </c>
      <c r="AJ120" s="333">
        <v>46265</v>
      </c>
      <c r="AK120" s="333">
        <v>46277</v>
      </c>
      <c r="AL120" s="333">
        <v>46278</v>
      </c>
      <c r="AM120" s="335" t="s">
        <v>402</v>
      </c>
      <c r="AN120" s="333" t="s">
        <v>5300</v>
      </c>
      <c r="AO120" s="333" t="s">
        <v>80</v>
      </c>
      <c r="AP120" s="333" t="s">
        <v>7773</v>
      </c>
      <c r="AQ120" s="327" t="s">
        <v>7774</v>
      </c>
      <c r="AR120" s="327" t="s">
        <v>7774</v>
      </c>
      <c r="AS120" s="327">
        <f>ESS_DATA[[#This Row],[ETA On S/O]]-ESS_DATA[[#This Row],[ETD On S/O]]+1</f>
        <v>49</v>
      </c>
      <c r="AT120" s="327"/>
      <c r="AU120" s="333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46278</v>
      </c>
      <c r="AV1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7">
        <f>IF(ESS_DATA[[#This Row],[New Ark PO Type]]="Offshore",0,IFERROR(VLOOKUP(ESS_DATA[[#This Row],[PORT OF LOADING]]&amp;ESS_DATA[[#This Row],[PORT DESTINATION]],LT_REF[],7,0),14))</f>
        <v>8</v>
      </c>
      <c r="AY120" s="333">
        <f>IFERROR(ESS_DATA[[#This Row],[ODP ETA Port]]+ESS_DATA[[#This Row],[Customs/Leg3 Assumption]],"n/a")</f>
        <v>46286</v>
      </c>
      <c r="AZ120" s="326">
        <f>YEAR(ESS_DATA[[#This Row],[ETA for New Ark update]])</f>
        <v>2026</v>
      </c>
      <c r="BA120" s="326">
        <f>MONTH(ESS_DATA[[#This Row],[ETA for New Ark update]])</f>
        <v>9</v>
      </c>
      <c r="BB120" s="326">
        <f>IFERROR(_xlfn.ISOWEEKNUM(ESS_DATA[[#This Row],[ETA for New Ark update]]),0)</f>
        <v>39</v>
      </c>
      <c r="BC120" s="326" t="str">
        <f>_xlfn.XLOOKUP(ESS_DATA[[#This Row],[PORT DESTINATION]],Table12[PORT DESTINATION],Table12[Cosco Line],,0)</f>
        <v>AEM</v>
      </c>
      <c r="BD120" s="326"/>
    </row>
    <row r="121" spans="1:61" s="336" customFormat="1" ht="15.75" customHeight="1">
      <c r="A121" s="326" t="s">
        <v>7776</v>
      </c>
      <c r="B121" s="325" t="s">
        <v>7423</v>
      </c>
      <c r="C121" s="327" t="str">
        <f>IFERROR(LEFT(ESS_DATA[[#This Row],[TCL REFERENCE]],FIND(".",ESS_DATA[[#This Row],[TCL REFERENCE]],1)-1),"Main Line")</f>
        <v>Main Line</v>
      </c>
      <c r="D121" s="327" t="s">
        <v>63</v>
      </c>
      <c r="E121" s="326" t="s">
        <v>64</v>
      </c>
      <c r="F121" s="326" t="s">
        <v>65</v>
      </c>
      <c r="G121" s="327" t="s">
        <v>402</v>
      </c>
      <c r="H121" s="327" t="s">
        <v>67</v>
      </c>
      <c r="I121" s="327"/>
      <c r="J121" s="327" t="s">
        <v>7636</v>
      </c>
      <c r="K121" s="327"/>
      <c r="L121" s="328"/>
      <c r="M121" s="329" t="s">
        <v>68</v>
      </c>
      <c r="N121" s="326" t="s">
        <v>7437</v>
      </c>
      <c r="O121" s="326" t="s">
        <v>7438</v>
      </c>
      <c r="P121" s="402" t="s">
        <v>7439</v>
      </c>
      <c r="Q121" s="354"/>
      <c r="R121" s="413">
        <v>224</v>
      </c>
      <c r="S121" s="332"/>
      <c r="T121" s="327"/>
      <c r="U121" s="337">
        <f>ESS_DATA[[#This Row],[QUANTITY]]/224</f>
        <v>1</v>
      </c>
      <c r="V121" s="369" t="s">
        <v>7695</v>
      </c>
      <c r="W121" s="327" t="s">
        <v>2460</v>
      </c>
      <c r="X121" s="327" t="str">
        <f t="shared" si="4"/>
        <v>COMPLETED</v>
      </c>
      <c r="Y121" s="333">
        <v>46217</v>
      </c>
      <c r="Z121" s="333">
        <v>46226</v>
      </c>
      <c r="AA121" s="334">
        <f>WEEKNUM(ESS_DATA[[#This Row],[Pick-Up Date]])</f>
        <v>30</v>
      </c>
      <c r="AB121" s="668" t="s">
        <v>7777</v>
      </c>
      <c r="AC121" s="327"/>
      <c r="AD121" s="327" t="s">
        <v>122</v>
      </c>
      <c r="AE121" s="327" t="s">
        <v>123</v>
      </c>
      <c r="AF121" s="327" t="s">
        <v>78</v>
      </c>
      <c r="AG121" s="333">
        <v>46230</v>
      </c>
      <c r="AH121" s="333">
        <v>46235</v>
      </c>
      <c r="AI121" s="333">
        <v>46236</v>
      </c>
      <c r="AJ121" s="333">
        <v>46279</v>
      </c>
      <c r="AK121" s="333">
        <v>46285</v>
      </c>
      <c r="AL121" s="333">
        <v>46284</v>
      </c>
      <c r="AM121" s="335" t="s">
        <v>402</v>
      </c>
      <c r="AN121" s="333" t="s">
        <v>5519</v>
      </c>
      <c r="AO121" s="333" t="s">
        <v>80</v>
      </c>
      <c r="AP121" s="333" t="s">
        <v>7778</v>
      </c>
      <c r="AQ121" s="327" t="s">
        <v>7779</v>
      </c>
      <c r="AR121" s="327" t="s">
        <v>7779</v>
      </c>
      <c r="AS121" s="327">
        <f>ESS_DATA[[#This Row],[ETA On S/O]]-ESS_DATA[[#This Row],[ETD On S/O]]+1</f>
        <v>50</v>
      </c>
      <c r="AT121" s="327"/>
      <c r="AU121" s="347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46284</v>
      </c>
      <c r="AV1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7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46292</v>
      </c>
      <c r="AZ121" s="326">
        <f>YEAR(ESS_DATA[[#This Row],[ETA for New Ark update]])</f>
        <v>2026</v>
      </c>
      <c r="BA121" s="326">
        <f>MONTH(ESS_DATA[[#This Row],[ETA for New Ark update]])</f>
        <v>9</v>
      </c>
      <c r="BB121" s="326">
        <f>IFERROR(_xlfn.ISOWEEKNUM(ESS_DATA[[#This Row],[ETA for New Ark update]]),0)</f>
        <v>39</v>
      </c>
      <c r="BC121" s="326" t="str">
        <f>_xlfn.XLOOKUP(ESS_DATA[[#This Row],[PORT DESTINATION]],Table12[PORT DESTINATION],Table12[Cosco Line],,0)</f>
        <v>AEM</v>
      </c>
      <c r="BD121" s="82"/>
    </row>
    <row r="122" spans="1:61" s="336" customFormat="1" ht="14.25" customHeight="1">
      <c r="A122" s="326" t="s">
        <v>7780</v>
      </c>
      <c r="B122" s="325" t="s">
        <v>7423</v>
      </c>
      <c r="C122" s="327" t="str">
        <f>IFERROR(LEFT(ESS_DATA[[#This Row],[TCL REFERENCE]],FIND(".",ESS_DATA[[#This Row],[TCL REFERENCE]],1)-1),"Main Line")</f>
        <v>Main Line</v>
      </c>
      <c r="D122" s="327" t="s">
        <v>63</v>
      </c>
      <c r="E122" s="326" t="s">
        <v>64</v>
      </c>
      <c r="F122" s="326" t="s">
        <v>65</v>
      </c>
      <c r="G122" s="327" t="s">
        <v>402</v>
      </c>
      <c r="H122" s="327" t="s">
        <v>67</v>
      </c>
      <c r="I122" s="327"/>
      <c r="J122" s="327" t="s">
        <v>7636</v>
      </c>
      <c r="K122" s="327"/>
      <c r="L122" s="328"/>
      <c r="M122" s="329" t="s">
        <v>68</v>
      </c>
      <c r="N122" s="326" t="s">
        <v>7460</v>
      </c>
      <c r="O122" s="330" t="s">
        <v>7461</v>
      </c>
      <c r="P122" s="402" t="s">
        <v>7462</v>
      </c>
      <c r="Q122" s="403"/>
      <c r="R122" s="331">
        <v>276</v>
      </c>
      <c r="S122" s="332"/>
      <c r="T122" s="327"/>
      <c r="U122" s="337">
        <f>ESS_DATA[[#This Row],[QUANTITY]]/276</f>
        <v>1</v>
      </c>
      <c r="V122" s="369" t="s">
        <v>7708</v>
      </c>
      <c r="W122" s="327" t="s">
        <v>2460</v>
      </c>
      <c r="X122" s="327" t="str">
        <f t="shared" si="4"/>
        <v>COMPLETED</v>
      </c>
      <c r="Y122" s="416">
        <v>46218</v>
      </c>
      <c r="Z122" s="333">
        <v>46221</v>
      </c>
      <c r="AA122" s="334">
        <f>WEEKNUM(ESS_DATA[[#This Row],[Pick-Up Date]])</f>
        <v>29</v>
      </c>
      <c r="AB122" s="404" t="s">
        <v>7781</v>
      </c>
      <c r="AC122" s="327"/>
      <c r="AD122" s="327" t="s">
        <v>122</v>
      </c>
      <c r="AE122" s="327" t="s">
        <v>123</v>
      </c>
      <c r="AF122" s="327" t="s">
        <v>78</v>
      </c>
      <c r="AG122" s="333">
        <v>46226</v>
      </c>
      <c r="AH122" s="333">
        <v>46231</v>
      </c>
      <c r="AI122" s="333">
        <v>46231</v>
      </c>
      <c r="AJ122" s="333">
        <v>46274</v>
      </c>
      <c r="AK122" s="333">
        <v>46267</v>
      </c>
      <c r="AL122" s="333">
        <v>46267</v>
      </c>
      <c r="AM122" s="335" t="s">
        <v>402</v>
      </c>
      <c r="AN122" s="333" t="s">
        <v>7782</v>
      </c>
      <c r="AO122" s="333" t="s">
        <v>161</v>
      </c>
      <c r="AP122" s="333" t="s">
        <v>7783</v>
      </c>
      <c r="AQ122" s="327">
        <v>272910011</v>
      </c>
      <c r="AR122" s="327">
        <v>272910011</v>
      </c>
      <c r="AS122" s="327">
        <f>ESS_DATA[[#This Row],[ETA On S/O]]-ESS_DATA[[#This Row],[ETD On S/O]]+1</f>
        <v>49</v>
      </c>
      <c r="AT122" s="327"/>
      <c r="AU122" s="347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46275</v>
      </c>
      <c r="AX122" s="327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6">
        <f>YEAR(ESS_DATA[[#This Row],[ETA for New Ark update]])</f>
        <v>2026</v>
      </c>
      <c r="BA122" s="326">
        <f>MONTH(ESS_DATA[[#This Row],[ETA for New Ark update]])</f>
        <v>9</v>
      </c>
      <c r="BB122" s="326">
        <f>IFERROR(_xlfn.ISOWEEKNUM(ESS_DATA[[#This Row],[ETA for New Ark update]]),0)</f>
        <v>37</v>
      </c>
      <c r="BC122" s="326" t="str">
        <f>_xlfn.XLOOKUP(ESS_DATA[[#This Row],[PORT DESTINATION]],Table12[PORT DESTINATION],Table12[Cosco Line],,0)</f>
        <v>AEM</v>
      </c>
      <c r="BD122" s="82"/>
    </row>
    <row r="123" spans="1:61" s="336" customFormat="1" ht="14.25" customHeight="1">
      <c r="A123" s="336" t="s">
        <v>7784</v>
      </c>
      <c r="B123" s="327" t="s">
        <v>7423</v>
      </c>
      <c r="C123" s="327" t="str">
        <f>IFERROR(LEFT(ESS_DATA[[#This Row],[TCL REFERENCE]],FIND(".",ESS_DATA[[#This Row],[TCL REFERENCE]],1)-1),"Main Line")</f>
        <v>Main Line</v>
      </c>
      <c r="D123" s="327" t="s">
        <v>63</v>
      </c>
      <c r="E123" s="326" t="s">
        <v>64</v>
      </c>
      <c r="F123" s="326" t="s">
        <v>65</v>
      </c>
      <c r="G123" s="327" t="s">
        <v>402</v>
      </c>
      <c r="H123" s="327" t="s">
        <v>67</v>
      </c>
      <c r="I123" s="327"/>
      <c r="J123" s="327" t="s">
        <v>7743</v>
      </c>
      <c r="K123" s="327"/>
      <c r="L123" s="328"/>
      <c r="M123" s="329" t="s">
        <v>68</v>
      </c>
      <c r="N123" s="326" t="s">
        <v>7460</v>
      </c>
      <c r="O123" s="330" t="s">
        <v>7461</v>
      </c>
      <c r="P123" s="402" t="s">
        <v>7462</v>
      </c>
      <c r="Q123" s="354"/>
      <c r="R123" s="331">
        <v>276</v>
      </c>
      <c r="S123" s="332"/>
      <c r="T123" s="327"/>
      <c r="U123" s="337">
        <v>1</v>
      </c>
      <c r="V123" s="368" t="s">
        <v>7785</v>
      </c>
      <c r="W123" s="327" t="s">
        <v>2461</v>
      </c>
      <c r="X123" s="327" t="str">
        <f t="shared" si="4"/>
        <v>COMPLETED</v>
      </c>
      <c r="Y123" s="416">
        <v>46223</v>
      </c>
      <c r="Z123" s="333">
        <v>46228</v>
      </c>
      <c r="AA123" s="334">
        <f>WEEKNUM(ESS_DATA[[#This Row],[Pick-Up Date]])</f>
        <v>30</v>
      </c>
      <c r="AB123" s="404" t="s">
        <v>7786</v>
      </c>
      <c r="AC123" s="327"/>
      <c r="AD123" s="327" t="s">
        <v>122</v>
      </c>
      <c r="AE123" s="327" t="s">
        <v>123</v>
      </c>
      <c r="AF123" s="327" t="s">
        <v>78</v>
      </c>
      <c r="AG123" s="333">
        <v>46236</v>
      </c>
      <c r="AH123" s="333">
        <v>46247</v>
      </c>
      <c r="AI123" s="333">
        <v>46248</v>
      </c>
      <c r="AJ123" s="333">
        <v>46281</v>
      </c>
      <c r="AK123" s="333">
        <v>46288</v>
      </c>
      <c r="AL123" s="333">
        <v>46289</v>
      </c>
      <c r="AM123" s="335" t="s">
        <v>402</v>
      </c>
      <c r="AN123" s="333" t="s">
        <v>7787</v>
      </c>
      <c r="AO123" s="333" t="s">
        <v>161</v>
      </c>
      <c r="AP123" s="333" t="s">
        <v>7788</v>
      </c>
      <c r="AQ123" s="327">
        <v>274118289</v>
      </c>
      <c r="AR123" s="327">
        <v>274118289</v>
      </c>
      <c r="AS123" s="327">
        <f>ESS_DATA[[#This Row],[ETA On S/O]]-ESS_DATA[[#This Row],[ETD On S/O]]+1</f>
        <v>46</v>
      </c>
      <c r="AT123" s="327"/>
      <c r="AU123" s="333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46289</v>
      </c>
      <c r="AV12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7">
        <f>IF(ESS_DATA[[#This Row],[New Ark PO Type]]="Offshore",0,IFERROR(VLOOKUP(ESS_DATA[[#This Row],[PORT OF LOADING]]&amp;ESS_DATA[[#This Row],[PORT DESTINATION]],LT_REF[],7,0),14))</f>
        <v>8</v>
      </c>
      <c r="AY123" s="333">
        <f>IFERROR(ESS_DATA[[#This Row],[ODP ETA Port]]+ESS_DATA[[#This Row],[Customs/Leg3 Assumption]],"n/a")</f>
        <v>46297</v>
      </c>
      <c r="AZ123" s="326">
        <f>YEAR(ESS_DATA[[#This Row],[ETA for New Ark update]])</f>
        <v>2026</v>
      </c>
      <c r="BA123" s="326">
        <f>MONTH(ESS_DATA[[#This Row],[ETA for New Ark update]])</f>
        <v>10</v>
      </c>
      <c r="BB123" s="326">
        <f>IFERROR(_xlfn.ISOWEEKNUM(ESS_DATA[[#This Row],[ETA for New Ark update]]),0)</f>
        <v>40</v>
      </c>
      <c r="BC123" s="326" t="str">
        <f>_xlfn.XLOOKUP(ESS_DATA[[#This Row],[PORT DESTINATION]],Table12[PORT DESTINATION],Table12[Cosco Line],,0)</f>
        <v>AEM</v>
      </c>
      <c r="BD123" s="326"/>
    </row>
    <row r="124" spans="1:61" s="336" customFormat="1" ht="15" customHeight="1">
      <c r="A124" s="325" t="s">
        <v>7789</v>
      </c>
      <c r="B124" s="327" t="s">
        <v>7423</v>
      </c>
      <c r="C124" s="327" t="str">
        <f>IFERROR(LEFT(ESS_DATA[[#This Row],[TCL REFERENCE]],FIND(".",ESS_DATA[[#This Row],[TCL REFERENCE]],1)-1),"Main Line")</f>
        <v>Main Line</v>
      </c>
      <c r="D124" s="327" t="s">
        <v>63</v>
      </c>
      <c r="E124" s="326" t="s">
        <v>64</v>
      </c>
      <c r="F124" s="326" t="s">
        <v>65</v>
      </c>
      <c r="G124" s="327" t="s">
        <v>402</v>
      </c>
      <c r="H124" s="327" t="s">
        <v>67</v>
      </c>
      <c r="I124" s="327"/>
      <c r="J124" s="327" t="s">
        <v>7790</v>
      </c>
      <c r="K124" s="327"/>
      <c r="L124" s="328"/>
      <c r="M124" s="329" t="s">
        <v>68</v>
      </c>
      <c r="N124" s="326" t="s">
        <v>7460</v>
      </c>
      <c r="O124" s="330" t="s">
        <v>7461</v>
      </c>
      <c r="P124" s="402" t="s">
        <v>7462</v>
      </c>
      <c r="Q124" s="354"/>
      <c r="R124" s="331">
        <v>276</v>
      </c>
      <c r="S124" s="332"/>
      <c r="T124" s="327"/>
      <c r="U124" s="337">
        <v>1</v>
      </c>
      <c r="V124" s="368" t="s">
        <v>7791</v>
      </c>
      <c r="W124" s="327" t="s">
        <v>2461</v>
      </c>
      <c r="X124" s="327" t="str">
        <f t="shared" si="4"/>
        <v>COMPLETED</v>
      </c>
      <c r="Y124" s="416">
        <v>46228</v>
      </c>
      <c r="Z124" s="333">
        <v>46228</v>
      </c>
      <c r="AA124" s="334">
        <f>WEEKNUM(ESS_DATA[[#This Row],[Pick-Up Date]])</f>
        <v>30</v>
      </c>
      <c r="AB124" s="404" t="s">
        <v>7786</v>
      </c>
      <c r="AC124" s="327"/>
      <c r="AD124" s="327" t="s">
        <v>122</v>
      </c>
      <c r="AE124" s="327" t="s">
        <v>123</v>
      </c>
      <c r="AF124" s="327" t="s">
        <v>78</v>
      </c>
      <c r="AG124" s="333">
        <v>46236</v>
      </c>
      <c r="AH124" s="333">
        <v>46247</v>
      </c>
      <c r="AI124" s="333">
        <v>46248</v>
      </c>
      <c r="AJ124" s="333">
        <v>46281</v>
      </c>
      <c r="AK124" s="333">
        <v>46288</v>
      </c>
      <c r="AL124" s="333">
        <v>46289</v>
      </c>
      <c r="AM124" s="335" t="s">
        <v>402</v>
      </c>
      <c r="AN124" s="333" t="s">
        <v>7787</v>
      </c>
      <c r="AO124" s="333" t="s">
        <v>161</v>
      </c>
      <c r="AP124" s="333" t="s">
        <v>7788</v>
      </c>
      <c r="AQ124" s="327">
        <v>274118289</v>
      </c>
      <c r="AR124" s="327">
        <v>274118289</v>
      </c>
      <c r="AS124" s="327">
        <f>ESS_DATA[[#This Row],[ETA On S/O]]-ESS_DATA[[#This Row],[ETD On S/O]]+1</f>
        <v>46</v>
      </c>
      <c r="AT124" s="327"/>
      <c r="AU124" s="333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46289</v>
      </c>
      <c r="AV12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7">
        <f>IF(ESS_DATA[[#This Row],[New Ark PO Type]]="Offshore",0,IFERROR(VLOOKUP(ESS_DATA[[#This Row],[PORT OF LOADING]]&amp;ESS_DATA[[#This Row],[PORT DESTINATION]],LT_REF[],7,0),14))</f>
        <v>8</v>
      </c>
      <c r="AY124" s="333">
        <f>IFERROR(ESS_DATA[[#This Row],[ODP ETA Port]]+ESS_DATA[[#This Row],[Customs/Leg3 Assumption]],"n/a")</f>
        <v>46297</v>
      </c>
      <c r="AZ124" s="326">
        <f>YEAR(ESS_DATA[[#This Row],[ETA for New Ark update]])</f>
        <v>2026</v>
      </c>
      <c r="BA124" s="326">
        <f>MONTH(ESS_DATA[[#This Row],[ETA for New Ark update]])</f>
        <v>10</v>
      </c>
      <c r="BB124" s="326">
        <f>IFERROR(_xlfn.ISOWEEKNUM(ESS_DATA[[#This Row],[ETA for New Ark update]]),0)</f>
        <v>40</v>
      </c>
      <c r="BC124" s="326" t="str">
        <f>_xlfn.XLOOKUP(ESS_DATA[[#This Row],[PORT DESTINATION]],Table12[PORT DESTINATION],Table12[Cosco Line],,0)</f>
        <v>AEM</v>
      </c>
      <c r="BD124" s="326"/>
    </row>
    <row r="125" spans="1:61" s="540" customFormat="1" ht="12.75" customHeight="1">
      <c r="A125" s="631" t="s">
        <v>7792</v>
      </c>
      <c r="B125" s="632" t="s">
        <v>7423</v>
      </c>
      <c r="C125" s="632" t="str">
        <f>IFERROR(LEFT(ESS_DATA[[#This Row],[TCL REFERENCE]],FIND(".",ESS_DATA[[#This Row],[TCL REFERENCE]],1)-1),"Main Line")</f>
        <v>Main Line</v>
      </c>
      <c r="D125" s="632" t="s">
        <v>63</v>
      </c>
      <c r="E125" s="633" t="s">
        <v>64</v>
      </c>
      <c r="F125" s="633" t="s">
        <v>65</v>
      </c>
      <c r="G125" s="632" t="s">
        <v>402</v>
      </c>
      <c r="H125" s="632" t="s">
        <v>67</v>
      </c>
      <c r="I125" s="632"/>
      <c r="J125" s="632" t="s">
        <v>7793</v>
      </c>
      <c r="K125" s="632"/>
      <c r="L125" s="634"/>
      <c r="M125" s="635" t="s">
        <v>68</v>
      </c>
      <c r="N125" s="636" t="s">
        <v>7471</v>
      </c>
      <c r="O125" s="636" t="s">
        <v>7438</v>
      </c>
      <c r="P125" s="636" t="s">
        <v>7472</v>
      </c>
      <c r="Q125" s="637"/>
      <c r="R125" s="638">
        <v>29</v>
      </c>
      <c r="S125" s="639"/>
      <c r="T125" s="632"/>
      <c r="U125" s="640">
        <f>ESS_DATA[[#This Row],[QUANTITY]]/224</f>
        <v>0.12946428571428573</v>
      </c>
      <c r="V125" s="641" t="s">
        <v>7463</v>
      </c>
      <c r="W125" s="632" t="s">
        <v>2461</v>
      </c>
      <c r="X125" s="632" t="str">
        <f t="shared" si="4"/>
        <v>COMPLETED</v>
      </c>
      <c r="Y125" s="642">
        <v>46224</v>
      </c>
      <c r="Z125" s="643">
        <v>46225</v>
      </c>
      <c r="AA125" s="644">
        <f>WEEKNUM(ESS_DATA[[#This Row],[Pick-Up Date]])</f>
        <v>30</v>
      </c>
      <c r="AB125" s="632" t="s">
        <v>7794</v>
      </c>
      <c r="AC125" s="632"/>
      <c r="AD125" s="632" t="s">
        <v>122</v>
      </c>
      <c r="AE125" s="632" t="s">
        <v>123</v>
      </c>
      <c r="AF125" s="632" t="s">
        <v>78</v>
      </c>
      <c r="AG125" s="643">
        <v>46231</v>
      </c>
      <c r="AH125" s="643">
        <v>46232</v>
      </c>
      <c r="AI125" s="643">
        <v>46232</v>
      </c>
      <c r="AJ125" s="643">
        <v>46274</v>
      </c>
      <c r="AK125" s="643">
        <v>46272</v>
      </c>
      <c r="AL125" s="643">
        <v>46272</v>
      </c>
      <c r="AM125" s="645" t="s">
        <v>402</v>
      </c>
      <c r="AN125" s="643" t="s">
        <v>7750</v>
      </c>
      <c r="AO125" s="643" t="s">
        <v>80</v>
      </c>
      <c r="AP125" s="643" t="s">
        <v>7795</v>
      </c>
      <c r="AQ125" s="632" t="s">
        <v>7796</v>
      </c>
      <c r="AR125" s="632" t="s">
        <v>7796</v>
      </c>
      <c r="AS125" s="632">
        <f>ESS_DATA[[#This Row],[ETA On S/O]]-ESS_DATA[[#This Row],[ETD On S/O]]+1</f>
        <v>44</v>
      </c>
      <c r="AT125" s="632"/>
      <c r="AU125" s="643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46279</v>
      </c>
      <c r="AX125" s="632">
        <f>IF(ESS_DATA[[#This Row],[New Ark PO Type]]="Offshore",0,IFERROR(VLOOKUP(ESS_DATA[[#This Row],[PORT OF LOADING]]&amp;ESS_DATA[[#This Row],[PORT DESTINATION]],LT_REF[],7,0),14))</f>
        <v>8</v>
      </c>
      <c r="AY125" s="643">
        <f>IFERROR(ESS_DATA[[#This Row],[ODP ETA Port]]+ESS_DATA[[#This Row],[Customs/Leg3 Assumption]],"n/a")</f>
        <v>46280</v>
      </c>
      <c r="AZ125" s="633">
        <f>YEAR(ESS_DATA[[#This Row],[ETA for New Ark update]])</f>
        <v>2026</v>
      </c>
      <c r="BA125" s="633">
        <f>MONTH(ESS_DATA[[#This Row],[ETA for New Ark update]])</f>
        <v>9</v>
      </c>
      <c r="BB125" s="633">
        <f>IFERROR(_xlfn.ISOWEEKNUM(ESS_DATA[[#This Row],[ETA for New Ark update]]),0)</f>
        <v>38</v>
      </c>
      <c r="BC125" s="633" t="str">
        <f>_xlfn.XLOOKUP(ESS_DATA[[#This Row],[PORT DESTINATION]],Table12[PORT DESTINATION],Table12[Cosco Line],,0)</f>
        <v>AEM</v>
      </c>
      <c r="BD125" s="633"/>
      <c r="BE125" s="663"/>
      <c r="BF125" s="663"/>
      <c r="BG125" s="663"/>
      <c r="BH125" s="663"/>
      <c r="BI125" s="663"/>
    </row>
    <row r="126" spans="1:61" s="540" customFormat="1" ht="11.25" customHeight="1">
      <c r="A126" s="631" t="s">
        <v>7797</v>
      </c>
      <c r="B126" s="632" t="s">
        <v>7423</v>
      </c>
      <c r="C126" s="632" t="str">
        <f>IFERROR(LEFT(ESS_DATA[[#This Row],[TCL REFERENCE]],FIND(".",ESS_DATA[[#This Row],[TCL REFERENCE]],1)-1),"Main Line")</f>
        <v>Main Line</v>
      </c>
      <c r="D126" s="632" t="s">
        <v>63</v>
      </c>
      <c r="E126" s="633" t="s">
        <v>64</v>
      </c>
      <c r="F126" s="633" t="s">
        <v>65</v>
      </c>
      <c r="G126" s="632" t="s">
        <v>402</v>
      </c>
      <c r="H126" s="632" t="s">
        <v>67</v>
      </c>
      <c r="I126" s="632"/>
      <c r="J126" s="632" t="s">
        <v>7793</v>
      </c>
      <c r="K126" s="632"/>
      <c r="L126" s="634"/>
      <c r="M126" s="635" t="s">
        <v>68</v>
      </c>
      <c r="N126" s="636" t="s">
        <v>7471</v>
      </c>
      <c r="O126" s="636" t="s">
        <v>7438</v>
      </c>
      <c r="P126" s="636" t="s">
        <v>7472</v>
      </c>
      <c r="Q126" s="637"/>
      <c r="R126" s="638">
        <v>1</v>
      </c>
      <c r="S126" s="639"/>
      <c r="T126" s="632"/>
      <c r="U126" s="640">
        <f>ESS_DATA[[#This Row],[QUANTITY]]/224</f>
        <v>4.464285714285714E-3</v>
      </c>
      <c r="V126" s="641" t="s">
        <v>7463</v>
      </c>
      <c r="W126" s="632" t="s">
        <v>2461</v>
      </c>
      <c r="X126" s="632" t="str">
        <f t="shared" si="4"/>
        <v>COMPLETED</v>
      </c>
      <c r="Y126" s="642">
        <v>46224</v>
      </c>
      <c r="Z126" s="643">
        <v>46225</v>
      </c>
      <c r="AA126" s="644">
        <f>WEEKNUM(ESS_DATA[[#This Row],[Pick-Up Date]])</f>
        <v>30</v>
      </c>
      <c r="AB126" s="632" t="s">
        <v>7794</v>
      </c>
      <c r="AC126" s="632"/>
      <c r="AD126" s="632" t="s">
        <v>122</v>
      </c>
      <c r="AE126" s="632" t="s">
        <v>123</v>
      </c>
      <c r="AF126" s="632" t="s">
        <v>78</v>
      </c>
      <c r="AG126" s="643">
        <v>46231</v>
      </c>
      <c r="AH126" s="643">
        <v>46232</v>
      </c>
      <c r="AI126" s="643">
        <v>46232</v>
      </c>
      <c r="AJ126" s="643">
        <v>46274</v>
      </c>
      <c r="AK126" s="643">
        <v>46272</v>
      </c>
      <c r="AL126" s="643">
        <v>46272</v>
      </c>
      <c r="AM126" s="645" t="s">
        <v>402</v>
      </c>
      <c r="AN126" s="643" t="s">
        <v>7750</v>
      </c>
      <c r="AO126" s="643" t="s">
        <v>80</v>
      </c>
      <c r="AP126" s="643" t="s">
        <v>7795</v>
      </c>
      <c r="AQ126" s="632" t="s">
        <v>7796</v>
      </c>
      <c r="AR126" s="632" t="s">
        <v>7796</v>
      </c>
      <c r="AS126" s="632">
        <f>ESS_DATA[[#This Row],[ETA On S/O]]-ESS_DATA[[#This Row],[ETD On S/O]]+1</f>
        <v>44</v>
      </c>
      <c r="AT126" s="632"/>
      <c r="AU126" s="643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46279</v>
      </c>
      <c r="AX126" s="632">
        <f>IF(ESS_DATA[[#This Row],[New Ark PO Type]]="Offshore",0,IFERROR(VLOOKUP(ESS_DATA[[#This Row],[PORT OF LOADING]]&amp;ESS_DATA[[#This Row],[PORT DESTINATION]],LT_REF[],7,0),14))</f>
        <v>8</v>
      </c>
      <c r="AY126" s="643">
        <f>IFERROR(ESS_DATA[[#This Row],[ODP ETA Port]]+ESS_DATA[[#This Row],[Customs/Leg3 Assumption]],"n/a")</f>
        <v>46280</v>
      </c>
      <c r="AZ126" s="633">
        <f>YEAR(ESS_DATA[[#This Row],[ETA for New Ark update]])</f>
        <v>2026</v>
      </c>
      <c r="BA126" s="633">
        <f>MONTH(ESS_DATA[[#This Row],[ETA for New Ark update]])</f>
        <v>9</v>
      </c>
      <c r="BB126" s="633">
        <f>IFERROR(_xlfn.ISOWEEKNUM(ESS_DATA[[#This Row],[ETA for New Ark update]]),0)</f>
        <v>38</v>
      </c>
      <c r="BC126" s="633" t="str">
        <f>_xlfn.XLOOKUP(ESS_DATA[[#This Row],[PORT DESTINATION]],Table12[PORT DESTINATION],Table12[Cosco Line],,0)</f>
        <v>AEM</v>
      </c>
      <c r="BD126" s="633"/>
      <c r="BE126" s="663"/>
      <c r="BF126" s="663"/>
      <c r="BG126" s="663"/>
      <c r="BH126" s="663"/>
      <c r="BI126" s="663"/>
    </row>
    <row r="127" spans="1:61" s="540" customFormat="1" ht="12" customHeight="1">
      <c r="A127" s="631" t="s">
        <v>7798</v>
      </c>
      <c r="B127" s="632" t="s">
        <v>7423</v>
      </c>
      <c r="C127" s="632" t="str">
        <f>IFERROR(LEFT(ESS_DATA[[#This Row],[TCL REFERENCE]],FIND(".",ESS_DATA[[#This Row],[TCL REFERENCE]],1)-1),"Main Line")</f>
        <v>26JUL002</v>
      </c>
      <c r="D127" s="632" t="s">
        <v>63</v>
      </c>
      <c r="E127" s="633" t="s">
        <v>64</v>
      </c>
      <c r="F127" s="633" t="s">
        <v>65</v>
      </c>
      <c r="G127" s="632" t="s">
        <v>402</v>
      </c>
      <c r="H127" s="632" t="s">
        <v>67</v>
      </c>
      <c r="I127" s="632"/>
      <c r="J127" s="632" t="s">
        <v>7793</v>
      </c>
      <c r="K127" s="632"/>
      <c r="L127" s="634"/>
      <c r="M127" s="635" t="s">
        <v>68</v>
      </c>
      <c r="N127" s="636" t="s">
        <v>7437</v>
      </c>
      <c r="O127" s="636" t="s">
        <v>7438</v>
      </c>
      <c r="P127" s="636" t="s">
        <v>7439</v>
      </c>
      <c r="Q127" s="637"/>
      <c r="R127" s="638">
        <v>88</v>
      </c>
      <c r="S127" s="639"/>
      <c r="T127" s="632"/>
      <c r="U127" s="640">
        <f>ESS_DATA[[#This Row],[QUANTITY]]/224</f>
        <v>0.39285714285714285</v>
      </c>
      <c r="V127" s="641" t="s">
        <v>7463</v>
      </c>
      <c r="W127" s="632" t="s">
        <v>2461</v>
      </c>
      <c r="X127" s="632" t="str">
        <f t="shared" si="4"/>
        <v>COMPLETED</v>
      </c>
      <c r="Y127" s="642">
        <v>46224</v>
      </c>
      <c r="Z127" s="643">
        <v>46225</v>
      </c>
      <c r="AA127" s="644">
        <f>WEEKNUM(ESS_DATA[[#This Row],[Pick-Up Date]])</f>
        <v>30</v>
      </c>
      <c r="AB127" s="632" t="s">
        <v>7794</v>
      </c>
      <c r="AC127" s="632"/>
      <c r="AD127" s="632" t="s">
        <v>122</v>
      </c>
      <c r="AE127" s="632" t="s">
        <v>123</v>
      </c>
      <c r="AF127" s="632" t="s">
        <v>78</v>
      </c>
      <c r="AG127" s="643">
        <v>46231</v>
      </c>
      <c r="AH127" s="643">
        <v>46232</v>
      </c>
      <c r="AI127" s="643">
        <v>46232</v>
      </c>
      <c r="AJ127" s="643">
        <v>46274</v>
      </c>
      <c r="AK127" s="643">
        <v>46272</v>
      </c>
      <c r="AL127" s="643">
        <v>46272</v>
      </c>
      <c r="AM127" s="645" t="s">
        <v>402</v>
      </c>
      <c r="AN127" s="643" t="s">
        <v>7750</v>
      </c>
      <c r="AO127" s="643" t="s">
        <v>80</v>
      </c>
      <c r="AP127" s="643" t="s">
        <v>7795</v>
      </c>
      <c r="AQ127" s="632" t="s">
        <v>7796</v>
      </c>
      <c r="AR127" s="632" t="s">
        <v>7796</v>
      </c>
      <c r="AS127" s="632">
        <f>ESS_DATA[[#This Row],[ETA On S/O]]-ESS_DATA[[#This Row],[ETD On S/O]]+1</f>
        <v>44</v>
      </c>
      <c r="AT127" s="632"/>
      <c r="AU127" s="643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46279</v>
      </c>
      <c r="AX127" s="632">
        <f>IF(ESS_DATA[[#This Row],[New Ark PO Type]]="Offshore",0,IFERROR(VLOOKUP(ESS_DATA[[#This Row],[PORT OF LOADING]]&amp;ESS_DATA[[#This Row],[PORT DESTINATION]],LT_REF[],7,0),14))</f>
        <v>8</v>
      </c>
      <c r="AY127" s="643">
        <f>IFERROR(ESS_DATA[[#This Row],[ODP ETA Port]]+ESS_DATA[[#This Row],[Customs/Leg3 Assumption]],"n/a")</f>
        <v>46280</v>
      </c>
      <c r="AZ127" s="633">
        <f>YEAR(ESS_DATA[[#This Row],[ETA for New Ark update]])</f>
        <v>2026</v>
      </c>
      <c r="BA127" s="633">
        <f>MONTH(ESS_DATA[[#This Row],[ETA for New Ark update]])</f>
        <v>9</v>
      </c>
      <c r="BB127" s="633">
        <f>IFERROR(_xlfn.ISOWEEKNUM(ESS_DATA[[#This Row],[ETA for New Ark update]]),0)</f>
        <v>38</v>
      </c>
      <c r="BC127" s="633" t="str">
        <f>_xlfn.XLOOKUP(ESS_DATA[[#This Row],[PORT DESTINATION]],Table12[PORT DESTINATION],Table12[Cosco Line],,0)</f>
        <v>AEM</v>
      </c>
      <c r="BD127" s="633"/>
      <c r="BE127" s="663"/>
      <c r="BF127" s="663"/>
      <c r="BG127" s="663"/>
      <c r="BH127" s="663"/>
      <c r="BI127" s="663"/>
    </row>
    <row r="128" spans="1:61" s="540" customFormat="1" ht="11.25" customHeight="1">
      <c r="A128" s="631" t="s">
        <v>7799</v>
      </c>
      <c r="B128" s="632" t="s">
        <v>7423</v>
      </c>
      <c r="C128" s="632" t="str">
        <f>IFERROR(LEFT(ESS_DATA[[#This Row],[TCL REFERENCE]],FIND(".",ESS_DATA[[#This Row],[TCL REFERENCE]],1)-1),"Main Line")</f>
        <v>Main Line</v>
      </c>
      <c r="D128" s="632" t="s">
        <v>63</v>
      </c>
      <c r="E128" s="633" t="s">
        <v>64</v>
      </c>
      <c r="F128" s="633" t="s">
        <v>65</v>
      </c>
      <c r="G128" s="632" t="s">
        <v>402</v>
      </c>
      <c r="H128" s="632" t="s">
        <v>67</v>
      </c>
      <c r="I128" s="632"/>
      <c r="J128" s="632" t="s">
        <v>7800</v>
      </c>
      <c r="K128" s="632"/>
      <c r="L128" s="634"/>
      <c r="M128" s="635" t="s">
        <v>68</v>
      </c>
      <c r="N128" s="636" t="s">
        <v>7437</v>
      </c>
      <c r="O128" s="636" t="s">
        <v>7438</v>
      </c>
      <c r="P128" s="636" t="s">
        <v>7439</v>
      </c>
      <c r="Q128" s="637"/>
      <c r="R128" s="638">
        <v>16</v>
      </c>
      <c r="S128" s="639"/>
      <c r="T128" s="632"/>
      <c r="U128" s="640">
        <f>ESS_DATA[[#This Row],[QUANTITY]]/224</f>
        <v>7.1428571428571425E-2</v>
      </c>
      <c r="V128" s="641" t="s">
        <v>7463</v>
      </c>
      <c r="W128" s="632" t="s">
        <v>2461</v>
      </c>
      <c r="X128" s="632" t="str">
        <f t="shared" si="4"/>
        <v>COMPLETED</v>
      </c>
      <c r="Y128" s="642">
        <v>46224</v>
      </c>
      <c r="Z128" s="643">
        <v>46225</v>
      </c>
      <c r="AA128" s="644">
        <f>WEEKNUM(ESS_DATA[[#This Row],[Pick-Up Date]])</f>
        <v>30</v>
      </c>
      <c r="AB128" s="632" t="s">
        <v>7794</v>
      </c>
      <c r="AC128" s="632"/>
      <c r="AD128" s="632" t="s">
        <v>122</v>
      </c>
      <c r="AE128" s="632" t="s">
        <v>123</v>
      </c>
      <c r="AF128" s="632" t="s">
        <v>78</v>
      </c>
      <c r="AG128" s="643">
        <v>46231</v>
      </c>
      <c r="AH128" s="643">
        <v>46232</v>
      </c>
      <c r="AI128" s="643">
        <v>46232</v>
      </c>
      <c r="AJ128" s="643">
        <v>46274</v>
      </c>
      <c r="AK128" s="643">
        <v>46272</v>
      </c>
      <c r="AL128" s="643">
        <v>46272</v>
      </c>
      <c r="AM128" s="645" t="s">
        <v>402</v>
      </c>
      <c r="AN128" s="643" t="s">
        <v>7750</v>
      </c>
      <c r="AO128" s="643" t="s">
        <v>80</v>
      </c>
      <c r="AP128" s="643" t="s">
        <v>7795</v>
      </c>
      <c r="AQ128" s="632" t="s">
        <v>7796</v>
      </c>
      <c r="AR128" s="632" t="s">
        <v>7796</v>
      </c>
      <c r="AS128" s="632">
        <f>ESS_DATA[[#This Row],[ETA On S/O]]-ESS_DATA[[#This Row],[ETD On S/O]]+1</f>
        <v>44</v>
      </c>
      <c r="AT128" s="632"/>
      <c r="AU128" s="643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46279</v>
      </c>
      <c r="AX128" s="632">
        <f>IF(ESS_DATA[[#This Row],[New Ark PO Type]]="Offshore",0,IFERROR(VLOOKUP(ESS_DATA[[#This Row],[PORT OF LOADING]]&amp;ESS_DATA[[#This Row],[PORT DESTINATION]],LT_REF[],7,0),14))</f>
        <v>8</v>
      </c>
      <c r="AY128" s="643">
        <f>IFERROR(ESS_DATA[[#This Row],[ODP ETA Port]]+ESS_DATA[[#This Row],[Customs/Leg3 Assumption]],"n/a")</f>
        <v>46280</v>
      </c>
      <c r="AZ128" s="633">
        <f>YEAR(ESS_DATA[[#This Row],[ETA for New Ark update]])</f>
        <v>2026</v>
      </c>
      <c r="BA128" s="633">
        <f>MONTH(ESS_DATA[[#This Row],[ETA for New Ark update]])</f>
        <v>9</v>
      </c>
      <c r="BB128" s="633">
        <f>IFERROR(_xlfn.ISOWEEKNUM(ESS_DATA[[#This Row],[ETA for New Ark update]]),0)</f>
        <v>38</v>
      </c>
      <c r="BC128" s="633" t="str">
        <f>_xlfn.XLOOKUP(ESS_DATA[[#This Row],[PORT DESTINATION]],Table12[PORT DESTINATION],Table12[Cosco Line],,0)</f>
        <v>AEM</v>
      </c>
      <c r="BD128" s="633"/>
      <c r="BE128" s="663"/>
      <c r="BF128" s="663"/>
      <c r="BG128" s="663"/>
      <c r="BH128" s="663"/>
      <c r="BI128" s="663"/>
    </row>
    <row r="129" spans="1:61" s="540" customFormat="1" ht="10.5" customHeight="1">
      <c r="A129" s="631" t="s">
        <v>7801</v>
      </c>
      <c r="B129" s="632" t="s">
        <v>7423</v>
      </c>
      <c r="C129" s="632" t="str">
        <f>IFERROR(LEFT(ESS_DATA[[#This Row],[TCL REFERENCE]],FIND(".",ESS_DATA[[#This Row],[TCL REFERENCE]],1)-1),"Main Line")</f>
        <v>Main Line</v>
      </c>
      <c r="D129" s="632" t="s">
        <v>63</v>
      </c>
      <c r="E129" s="633" t="s">
        <v>64</v>
      </c>
      <c r="F129" s="633" t="s">
        <v>65</v>
      </c>
      <c r="G129" s="632" t="s">
        <v>402</v>
      </c>
      <c r="H129" s="632" t="s">
        <v>67</v>
      </c>
      <c r="I129" s="632"/>
      <c r="J129" s="632" t="s">
        <v>7793</v>
      </c>
      <c r="K129" s="632"/>
      <c r="L129" s="634"/>
      <c r="M129" s="635" t="s">
        <v>68</v>
      </c>
      <c r="N129" s="636" t="s">
        <v>7446</v>
      </c>
      <c r="O129" s="636" t="s">
        <v>7438</v>
      </c>
      <c r="P129" s="636" t="s">
        <v>7447</v>
      </c>
      <c r="Q129" s="637"/>
      <c r="R129" s="638">
        <v>87</v>
      </c>
      <c r="S129" s="639"/>
      <c r="T129" s="632"/>
      <c r="U129" s="640">
        <f>ESS_DATA[[#This Row],[QUANTITY]]/224</f>
        <v>0.38839285714285715</v>
      </c>
      <c r="V129" s="641" t="s">
        <v>7463</v>
      </c>
      <c r="W129" s="632" t="s">
        <v>2461</v>
      </c>
      <c r="X129" s="632" t="str">
        <f t="shared" si="4"/>
        <v>COMPLETED</v>
      </c>
      <c r="Y129" s="642">
        <v>46224</v>
      </c>
      <c r="Z129" s="643">
        <v>46225</v>
      </c>
      <c r="AA129" s="644">
        <f>WEEKNUM(ESS_DATA[[#This Row],[Pick-Up Date]])</f>
        <v>30</v>
      </c>
      <c r="AB129" s="632" t="s">
        <v>7794</v>
      </c>
      <c r="AC129" s="632"/>
      <c r="AD129" s="632" t="s">
        <v>122</v>
      </c>
      <c r="AE129" s="632" t="s">
        <v>123</v>
      </c>
      <c r="AF129" s="632" t="s">
        <v>78</v>
      </c>
      <c r="AG129" s="643">
        <v>46231</v>
      </c>
      <c r="AH129" s="643">
        <v>46232</v>
      </c>
      <c r="AI129" s="643">
        <v>46232</v>
      </c>
      <c r="AJ129" s="643">
        <v>46274</v>
      </c>
      <c r="AK129" s="643">
        <v>46272</v>
      </c>
      <c r="AL129" s="643">
        <v>46272</v>
      </c>
      <c r="AM129" s="645" t="s">
        <v>402</v>
      </c>
      <c r="AN129" s="643" t="s">
        <v>7750</v>
      </c>
      <c r="AO129" s="643" t="s">
        <v>80</v>
      </c>
      <c r="AP129" s="643" t="s">
        <v>7795</v>
      </c>
      <c r="AQ129" s="632" t="s">
        <v>7796</v>
      </c>
      <c r="AR129" s="632" t="s">
        <v>7796</v>
      </c>
      <c r="AS129" s="632">
        <f>ESS_DATA[[#This Row],[ETA On S/O]]-ESS_DATA[[#This Row],[ETD On S/O]]+1</f>
        <v>44</v>
      </c>
      <c r="AT129" s="632"/>
      <c r="AU129" s="643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46279</v>
      </c>
      <c r="AX129" s="632">
        <f>IF(ESS_DATA[[#This Row],[New Ark PO Type]]="Offshore",0,IFERROR(VLOOKUP(ESS_DATA[[#This Row],[PORT OF LOADING]]&amp;ESS_DATA[[#This Row],[PORT DESTINATION]],LT_REF[],7,0),14))</f>
        <v>8</v>
      </c>
      <c r="AY129" s="643">
        <f>IFERROR(ESS_DATA[[#This Row],[ODP ETA Port]]+ESS_DATA[[#This Row],[Customs/Leg3 Assumption]],"n/a")</f>
        <v>46280</v>
      </c>
      <c r="AZ129" s="633">
        <f>YEAR(ESS_DATA[[#This Row],[ETA for New Ark update]])</f>
        <v>2026</v>
      </c>
      <c r="BA129" s="633">
        <f>MONTH(ESS_DATA[[#This Row],[ETA for New Ark update]])</f>
        <v>9</v>
      </c>
      <c r="BB129" s="633">
        <f>IFERROR(_xlfn.ISOWEEKNUM(ESS_DATA[[#This Row],[ETA for New Ark update]]),0)</f>
        <v>38</v>
      </c>
      <c r="BC129" s="633" t="str">
        <f>_xlfn.XLOOKUP(ESS_DATA[[#This Row],[PORT DESTINATION]],Table12[PORT DESTINATION],Table12[Cosco Line],,0)</f>
        <v>AEM</v>
      </c>
      <c r="BD129" s="633"/>
      <c r="BE129" s="663"/>
      <c r="BF129" s="663"/>
      <c r="BG129" s="663"/>
      <c r="BH129" s="663"/>
      <c r="BI129" s="663"/>
    </row>
    <row r="130" spans="1:61" s="540" customFormat="1" ht="11.25" customHeight="1">
      <c r="A130" s="631" t="s">
        <v>7802</v>
      </c>
      <c r="B130" s="632" t="s">
        <v>7423</v>
      </c>
      <c r="C130" s="632" t="str">
        <f>IFERROR(LEFT(ESS_DATA[[#This Row],[TCL REFERENCE]],FIND(".",ESS_DATA[[#This Row],[TCL REFERENCE]],1)-1),"Main Line")</f>
        <v>Main Line</v>
      </c>
      <c r="D130" s="632" t="s">
        <v>63</v>
      </c>
      <c r="E130" s="633" t="s">
        <v>64</v>
      </c>
      <c r="F130" s="633" t="s">
        <v>65</v>
      </c>
      <c r="G130" s="632" t="s">
        <v>402</v>
      </c>
      <c r="H130" s="632" t="s">
        <v>67</v>
      </c>
      <c r="I130" s="632"/>
      <c r="J130" s="632" t="s">
        <v>7793</v>
      </c>
      <c r="K130" s="632"/>
      <c r="L130" s="634"/>
      <c r="M130" s="635" t="s">
        <v>68</v>
      </c>
      <c r="N130" s="636" t="s">
        <v>7446</v>
      </c>
      <c r="O130" s="636" t="s">
        <v>7438</v>
      </c>
      <c r="P130" s="636" t="s">
        <v>7447</v>
      </c>
      <c r="Q130" s="637"/>
      <c r="R130" s="638">
        <v>3</v>
      </c>
      <c r="S130" s="639"/>
      <c r="T130" s="632"/>
      <c r="U130" s="640">
        <f>ESS_DATA[[#This Row],[QUANTITY]]/224</f>
        <v>1.3392857142857142E-2</v>
      </c>
      <c r="V130" s="641" t="s">
        <v>7463</v>
      </c>
      <c r="W130" s="632" t="s">
        <v>2461</v>
      </c>
      <c r="X130" s="632" t="str">
        <f t="shared" si="4"/>
        <v>COMPLETED</v>
      </c>
      <c r="Y130" s="642">
        <v>46224</v>
      </c>
      <c r="Z130" s="643">
        <v>46225</v>
      </c>
      <c r="AA130" s="644">
        <f>WEEKNUM(ESS_DATA[[#This Row],[Pick-Up Date]])</f>
        <v>30</v>
      </c>
      <c r="AB130" s="632" t="s">
        <v>7794</v>
      </c>
      <c r="AC130" s="632"/>
      <c r="AD130" s="632" t="s">
        <v>122</v>
      </c>
      <c r="AE130" s="632" t="s">
        <v>123</v>
      </c>
      <c r="AF130" s="632" t="s">
        <v>78</v>
      </c>
      <c r="AG130" s="643">
        <v>46231</v>
      </c>
      <c r="AH130" s="643">
        <v>46232</v>
      </c>
      <c r="AI130" s="643">
        <v>46232</v>
      </c>
      <c r="AJ130" s="643">
        <v>46274</v>
      </c>
      <c r="AK130" s="643">
        <v>46272</v>
      </c>
      <c r="AL130" s="643">
        <v>46272</v>
      </c>
      <c r="AM130" s="645" t="s">
        <v>402</v>
      </c>
      <c r="AN130" s="643" t="s">
        <v>7750</v>
      </c>
      <c r="AO130" s="643" t="s">
        <v>80</v>
      </c>
      <c r="AP130" s="643" t="s">
        <v>7795</v>
      </c>
      <c r="AQ130" s="632" t="s">
        <v>7796</v>
      </c>
      <c r="AR130" s="632" t="s">
        <v>7796</v>
      </c>
      <c r="AS130" s="632">
        <f>ESS_DATA[[#This Row],[ETA On S/O]]-ESS_DATA[[#This Row],[ETD On S/O]]+1</f>
        <v>44</v>
      </c>
      <c r="AT130" s="632"/>
      <c r="AU130" s="643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46279</v>
      </c>
      <c r="AX130" s="632">
        <f>IF(ESS_DATA[[#This Row],[New Ark PO Type]]="Offshore",0,IFERROR(VLOOKUP(ESS_DATA[[#This Row],[PORT OF LOADING]]&amp;ESS_DATA[[#This Row],[PORT DESTINATION]],LT_REF[],7,0),14))</f>
        <v>8</v>
      </c>
      <c r="AY130" s="643">
        <f>IFERROR(ESS_DATA[[#This Row],[ODP ETA Port]]+ESS_DATA[[#This Row],[Customs/Leg3 Assumption]],"n/a")</f>
        <v>46280</v>
      </c>
      <c r="AZ130" s="633">
        <f>YEAR(ESS_DATA[[#This Row],[ETA for New Ark update]])</f>
        <v>2026</v>
      </c>
      <c r="BA130" s="633">
        <f>MONTH(ESS_DATA[[#This Row],[ETA for New Ark update]])</f>
        <v>9</v>
      </c>
      <c r="BB130" s="633">
        <f>IFERROR(_xlfn.ISOWEEKNUM(ESS_DATA[[#This Row],[ETA for New Ark update]]),0)</f>
        <v>38</v>
      </c>
      <c r="BC130" s="633" t="str">
        <f>_xlfn.XLOOKUP(ESS_DATA[[#This Row],[PORT DESTINATION]],Table12[PORT DESTINATION],Table12[Cosco Line],,0)</f>
        <v>AEM</v>
      </c>
      <c r="BD130" s="633"/>
      <c r="BE130" s="663"/>
      <c r="BF130" s="663"/>
      <c r="BG130" s="663"/>
      <c r="BH130" s="663"/>
      <c r="BI130" s="663"/>
    </row>
    <row r="131" spans="1:61" s="540" customFormat="1" ht="10.5" customHeight="1">
      <c r="A131" s="631" t="s">
        <v>7803</v>
      </c>
      <c r="B131" s="632" t="s">
        <v>7423</v>
      </c>
      <c r="C131" s="632" t="str">
        <f>IFERROR(LEFT(ESS_DATA[[#This Row],[TCL REFERENCE]],FIND(".",ESS_DATA[[#This Row],[TCL REFERENCE]],1)-1),"Main Line")</f>
        <v>26JUL004</v>
      </c>
      <c r="D131" s="632" t="s">
        <v>63</v>
      </c>
      <c r="E131" s="633" t="s">
        <v>64</v>
      </c>
      <c r="F131" s="633" t="s">
        <v>65</v>
      </c>
      <c r="G131" s="632" t="s">
        <v>402</v>
      </c>
      <c r="H131" s="632" t="s">
        <v>67</v>
      </c>
      <c r="I131" s="632"/>
      <c r="J131" s="632" t="s">
        <v>7804</v>
      </c>
      <c r="K131" s="632"/>
      <c r="L131" s="634"/>
      <c r="M131" s="635" t="s">
        <v>68</v>
      </c>
      <c r="N131" s="636" t="s">
        <v>7449</v>
      </c>
      <c r="O131" s="636" t="s">
        <v>7646</v>
      </c>
      <c r="P131" s="636" t="s">
        <v>7451</v>
      </c>
      <c r="Q131" s="637"/>
      <c r="R131" s="638">
        <v>331</v>
      </c>
      <c r="S131" s="639"/>
      <c r="T131" s="632"/>
      <c r="U131" s="640">
        <f>ESS_DATA[[#This Row],[QUANTITY]]/350</f>
        <v>0.94571428571428573</v>
      </c>
      <c r="V131" s="641" t="s">
        <v>7469</v>
      </c>
      <c r="W131" s="632" t="s">
        <v>2461</v>
      </c>
      <c r="X131" s="632" t="str">
        <f t="shared" si="4"/>
        <v>COMPLETED</v>
      </c>
      <c r="Y131" s="642">
        <v>46224</v>
      </c>
      <c r="Z131" s="643">
        <v>46225</v>
      </c>
      <c r="AA131" s="644">
        <f>WEEKNUM(ESS_DATA[[#This Row],[Pick-Up Date]])</f>
        <v>30</v>
      </c>
      <c r="AB131" s="632" t="s">
        <v>7794</v>
      </c>
      <c r="AC131" s="632"/>
      <c r="AD131" s="632" t="s">
        <v>122</v>
      </c>
      <c r="AE131" s="632" t="s">
        <v>123</v>
      </c>
      <c r="AF131" s="632" t="s">
        <v>78</v>
      </c>
      <c r="AG131" s="643">
        <v>46231</v>
      </c>
      <c r="AH131" s="643">
        <v>46232</v>
      </c>
      <c r="AI131" s="643">
        <v>46232</v>
      </c>
      <c r="AJ131" s="643">
        <v>46274</v>
      </c>
      <c r="AK131" s="643">
        <v>46272</v>
      </c>
      <c r="AL131" s="643">
        <v>46272</v>
      </c>
      <c r="AM131" s="645" t="s">
        <v>402</v>
      </c>
      <c r="AN131" s="643" t="s">
        <v>7750</v>
      </c>
      <c r="AO131" s="643" t="s">
        <v>80</v>
      </c>
      <c r="AP131" s="643" t="s">
        <v>7795</v>
      </c>
      <c r="AQ131" s="632" t="s">
        <v>7796</v>
      </c>
      <c r="AR131" s="632" t="s">
        <v>7796</v>
      </c>
      <c r="AS131" s="632">
        <f>ESS_DATA[[#This Row],[ETA On S/O]]-ESS_DATA[[#This Row],[ETD On S/O]]+1</f>
        <v>44</v>
      </c>
      <c r="AT131" s="632"/>
      <c r="AU131" s="643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46279</v>
      </c>
      <c r="AX131" s="632">
        <f>IF(ESS_DATA[[#This Row],[New Ark PO Type]]="Offshore",0,IFERROR(VLOOKUP(ESS_DATA[[#This Row],[PORT OF LOADING]]&amp;ESS_DATA[[#This Row],[PORT DESTINATION]],LT_REF[],7,0),14))</f>
        <v>8</v>
      </c>
      <c r="AY131" s="643">
        <f>IFERROR(ESS_DATA[[#This Row],[ODP ETA Port]]+ESS_DATA[[#This Row],[Customs/Leg3 Assumption]],"n/a")</f>
        <v>46280</v>
      </c>
      <c r="AZ131" s="633">
        <f>YEAR(ESS_DATA[[#This Row],[ETA for New Ark update]])</f>
        <v>2026</v>
      </c>
      <c r="BA131" s="633">
        <f>MONTH(ESS_DATA[[#This Row],[ETA for New Ark update]])</f>
        <v>9</v>
      </c>
      <c r="BB131" s="633">
        <f>IFERROR(_xlfn.ISOWEEKNUM(ESS_DATA[[#This Row],[ETA for New Ark update]]),0)</f>
        <v>38</v>
      </c>
      <c r="BC131" s="633" t="str">
        <f>_xlfn.XLOOKUP(ESS_DATA[[#This Row],[PORT DESTINATION]],Table12[PORT DESTINATION],Table12[Cosco Line],,0)</f>
        <v>AEM</v>
      </c>
      <c r="BD131" s="633"/>
      <c r="BE131" s="663"/>
      <c r="BF131" s="663"/>
      <c r="BG131" s="663"/>
      <c r="BH131" s="663"/>
      <c r="BI131" s="663"/>
    </row>
    <row r="132" spans="1:61" s="540" customFormat="1" ht="11.25" customHeight="1">
      <c r="A132" s="631" t="s">
        <v>7805</v>
      </c>
      <c r="B132" s="632" t="s">
        <v>7423</v>
      </c>
      <c r="C132" s="632" t="str">
        <f>IFERROR(LEFT(ESS_DATA[[#This Row],[TCL REFERENCE]],FIND(".",ESS_DATA[[#This Row],[TCL REFERENCE]],1)-1),"Main Line")</f>
        <v>Main Line</v>
      </c>
      <c r="D132" s="632" t="s">
        <v>63</v>
      </c>
      <c r="E132" s="633" t="s">
        <v>64</v>
      </c>
      <c r="F132" s="633" t="s">
        <v>65</v>
      </c>
      <c r="G132" s="632" t="s">
        <v>402</v>
      </c>
      <c r="H132" s="632" t="s">
        <v>67</v>
      </c>
      <c r="I132" s="632"/>
      <c r="J132" s="632" t="s">
        <v>7806</v>
      </c>
      <c r="K132" s="632"/>
      <c r="L132" s="634"/>
      <c r="M132" s="635" t="s">
        <v>68</v>
      </c>
      <c r="N132" s="636" t="s">
        <v>7449</v>
      </c>
      <c r="O132" s="636" t="s">
        <v>7646</v>
      </c>
      <c r="P132" s="636" t="s">
        <v>7451</v>
      </c>
      <c r="Q132" s="637"/>
      <c r="R132" s="638">
        <v>19</v>
      </c>
      <c r="S132" s="639"/>
      <c r="T132" s="632"/>
      <c r="U132" s="640">
        <f>ESS_DATA[[#This Row],[QUANTITY]]/350</f>
        <v>5.4285714285714284E-2</v>
      </c>
      <c r="V132" s="641" t="s">
        <v>7469</v>
      </c>
      <c r="W132" s="632" t="s">
        <v>2461</v>
      </c>
      <c r="X132" s="632" t="str">
        <f t="shared" ref="X132:X148" si="5">IF(AL132&lt;&gt;"","COMPLETED",IF(AI132&lt;&gt;"","IN-TRANSIT",""))</f>
        <v>COMPLETED</v>
      </c>
      <c r="Y132" s="642">
        <v>46224</v>
      </c>
      <c r="Z132" s="643">
        <v>46225</v>
      </c>
      <c r="AA132" s="644">
        <f>WEEKNUM(ESS_DATA[[#This Row],[Pick-Up Date]])</f>
        <v>30</v>
      </c>
      <c r="AB132" s="632" t="s">
        <v>7794</v>
      </c>
      <c r="AC132" s="632"/>
      <c r="AD132" s="632" t="s">
        <v>122</v>
      </c>
      <c r="AE132" s="632" t="s">
        <v>123</v>
      </c>
      <c r="AF132" s="632" t="s">
        <v>78</v>
      </c>
      <c r="AG132" s="643">
        <v>46231</v>
      </c>
      <c r="AH132" s="643">
        <v>46232</v>
      </c>
      <c r="AI132" s="643">
        <v>46232</v>
      </c>
      <c r="AJ132" s="643">
        <v>46274</v>
      </c>
      <c r="AK132" s="643">
        <v>46272</v>
      </c>
      <c r="AL132" s="643">
        <v>46272</v>
      </c>
      <c r="AM132" s="645" t="s">
        <v>402</v>
      </c>
      <c r="AN132" s="643" t="s">
        <v>7750</v>
      </c>
      <c r="AO132" s="643" t="s">
        <v>80</v>
      </c>
      <c r="AP132" s="643" t="s">
        <v>7795</v>
      </c>
      <c r="AQ132" s="632" t="s">
        <v>7796</v>
      </c>
      <c r="AR132" s="632" t="s">
        <v>7796</v>
      </c>
      <c r="AS132" s="632">
        <f>ESS_DATA[[#This Row],[ETA On S/O]]-ESS_DATA[[#This Row],[ETD On S/O]]+1</f>
        <v>44</v>
      </c>
      <c r="AT132" s="632"/>
      <c r="AU132" s="643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46279</v>
      </c>
      <c r="AX132" s="632">
        <f>IF(ESS_DATA[[#This Row],[New Ark PO Type]]="Offshore",0,IFERROR(VLOOKUP(ESS_DATA[[#This Row],[PORT OF LOADING]]&amp;ESS_DATA[[#This Row],[PORT DESTINATION]],LT_REF[],7,0),14))</f>
        <v>8</v>
      </c>
      <c r="AY132" s="643">
        <f>IFERROR(ESS_DATA[[#This Row],[ODP ETA Port]]+ESS_DATA[[#This Row],[Customs/Leg3 Assumption]],"n/a")</f>
        <v>46280</v>
      </c>
      <c r="AZ132" s="633">
        <f>YEAR(ESS_DATA[[#This Row],[ETA for New Ark update]])</f>
        <v>2026</v>
      </c>
      <c r="BA132" s="633">
        <f>MONTH(ESS_DATA[[#This Row],[ETA for New Ark update]])</f>
        <v>9</v>
      </c>
      <c r="BB132" s="633">
        <f>IFERROR(_xlfn.ISOWEEKNUM(ESS_DATA[[#This Row],[ETA for New Ark update]]),0)</f>
        <v>38</v>
      </c>
      <c r="BC132" s="633" t="str">
        <f>_xlfn.XLOOKUP(ESS_DATA[[#This Row],[PORT DESTINATION]],Table12[PORT DESTINATION],Table12[Cosco Line],,0)</f>
        <v>AEM</v>
      </c>
      <c r="BD132" s="633"/>
      <c r="BE132" s="663"/>
      <c r="BF132" s="663"/>
      <c r="BG132" s="663"/>
      <c r="BH132" s="663"/>
      <c r="BI132" s="663"/>
    </row>
    <row r="133" spans="1:61" s="540" customFormat="1" ht="10">
      <c r="A133" s="631" t="s">
        <v>7807</v>
      </c>
      <c r="B133" s="632" t="s">
        <v>7423</v>
      </c>
      <c r="C133" s="632" t="str">
        <f>IFERROR(LEFT(ESS_DATA[[#This Row],[TCL REFERENCE]],FIND(".",ESS_DATA[[#This Row],[TCL REFERENCE]],1)-1),"Main Line")</f>
        <v>26JUL002</v>
      </c>
      <c r="D133" s="632" t="s">
        <v>63</v>
      </c>
      <c r="E133" s="633" t="s">
        <v>64</v>
      </c>
      <c r="F133" s="633" t="s">
        <v>65</v>
      </c>
      <c r="G133" s="632" t="s">
        <v>402</v>
      </c>
      <c r="H133" s="632" t="s">
        <v>67</v>
      </c>
      <c r="I133" s="632"/>
      <c r="J133" s="632" t="s">
        <v>7808</v>
      </c>
      <c r="K133" s="632"/>
      <c r="L133" s="634"/>
      <c r="M133" s="635" t="s">
        <v>68</v>
      </c>
      <c r="N133" s="636" t="s">
        <v>7437</v>
      </c>
      <c r="O133" s="636" t="s">
        <v>7438</v>
      </c>
      <c r="P133" s="636" t="s">
        <v>7439</v>
      </c>
      <c r="Q133" s="637"/>
      <c r="R133" s="638">
        <v>224</v>
      </c>
      <c r="S133" s="639"/>
      <c r="T133" s="632"/>
      <c r="U133" s="640">
        <f>ESS_DATA[[#This Row],[QUANTITY]]/224</f>
        <v>1</v>
      </c>
      <c r="V133" s="641" t="s">
        <v>7473</v>
      </c>
      <c r="W133" s="632" t="s">
        <v>2462</v>
      </c>
      <c r="X133" s="632" t="str">
        <f t="shared" si="5"/>
        <v>COMPLETED</v>
      </c>
      <c r="Y133" s="642">
        <v>46231</v>
      </c>
      <c r="Z133" s="643">
        <v>46233</v>
      </c>
      <c r="AA133" s="644">
        <f>WEEKNUM(ESS_DATA[[#This Row],[Pick-Up Date]])</f>
        <v>31</v>
      </c>
      <c r="AB133" s="632" t="s">
        <v>7809</v>
      </c>
      <c r="AC133" s="632"/>
      <c r="AD133" s="632" t="s">
        <v>122</v>
      </c>
      <c r="AE133" s="632" t="s">
        <v>123</v>
      </c>
      <c r="AF133" s="632" t="s">
        <v>78</v>
      </c>
      <c r="AG133" s="643">
        <v>46238</v>
      </c>
      <c r="AH133" s="643">
        <v>46241</v>
      </c>
      <c r="AI133" s="643">
        <v>46241</v>
      </c>
      <c r="AJ133" s="643">
        <v>46281</v>
      </c>
      <c r="AK133" s="643">
        <v>46282</v>
      </c>
      <c r="AL133" s="643">
        <v>46283</v>
      </c>
      <c r="AM133" s="645" t="s">
        <v>402</v>
      </c>
      <c r="AN133" s="643" t="s">
        <v>7810</v>
      </c>
      <c r="AO133" s="643" t="s">
        <v>80</v>
      </c>
      <c r="AP133" s="643" t="s">
        <v>7811</v>
      </c>
      <c r="AQ133" s="632" t="s">
        <v>7812</v>
      </c>
      <c r="AR133" s="632" t="s">
        <v>7812</v>
      </c>
      <c r="AS133" s="632">
        <f>ESS_DATA[[#This Row],[ETA On S/O]]-ESS_DATA[[#This Row],[ETD On S/O]]+1</f>
        <v>44</v>
      </c>
      <c r="AT133" s="632"/>
      <c r="AU133" s="643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46295</v>
      </c>
      <c r="AX133" s="632">
        <f>IF(ESS_DATA[[#This Row],[New Ark PO Type]]="Offshore",0,IFERROR(VLOOKUP(ESS_DATA[[#This Row],[PORT OF LOADING]]&amp;ESS_DATA[[#This Row],[PORT DESTINATION]],LT_REF[],7,0),14))</f>
        <v>8</v>
      </c>
      <c r="AY133" s="643">
        <f>IFERROR(ESS_DATA[[#This Row],[ODP ETA Port]]+ESS_DATA[[#This Row],[Customs/Leg3 Assumption]],"n/a")</f>
        <v>46291</v>
      </c>
      <c r="AZ133" s="633">
        <f>YEAR(ESS_DATA[[#This Row],[ETA for New Ark update]])</f>
        <v>2026</v>
      </c>
      <c r="BA133" s="633">
        <f>MONTH(ESS_DATA[[#This Row],[ETA for New Ark update]])</f>
        <v>9</v>
      </c>
      <c r="BB133" s="633">
        <f>IFERROR(_xlfn.ISOWEEKNUM(ESS_DATA[[#This Row],[ETA for New Ark update]]),0)</f>
        <v>39</v>
      </c>
      <c r="BC133" s="633" t="str">
        <f>_xlfn.XLOOKUP(ESS_DATA[[#This Row],[PORT DESTINATION]],Table12[PORT DESTINATION],Table12[Cosco Line],,0)</f>
        <v>AEM</v>
      </c>
      <c r="BD133" s="633"/>
      <c r="BE133" s="663"/>
      <c r="BF133" s="663"/>
      <c r="BG133" s="663"/>
      <c r="BH133" s="663"/>
      <c r="BI133" s="663"/>
    </row>
    <row r="134" spans="1:61" s="540" customFormat="1" ht="10">
      <c r="A134" s="631" t="s">
        <v>7813</v>
      </c>
      <c r="B134" s="632" t="s">
        <v>7423</v>
      </c>
      <c r="C134" s="632" t="str">
        <f>IFERROR(LEFT(ESS_DATA[[#This Row],[TCL REFERENCE]],FIND(".",ESS_DATA[[#This Row],[TCL REFERENCE]],1)-1),"Main Line")</f>
        <v>26JUL004</v>
      </c>
      <c r="D134" s="632" t="s">
        <v>63</v>
      </c>
      <c r="E134" s="633" t="s">
        <v>64</v>
      </c>
      <c r="F134" s="633" t="s">
        <v>65</v>
      </c>
      <c r="G134" s="632" t="s">
        <v>402</v>
      </c>
      <c r="H134" s="632" t="s">
        <v>67</v>
      </c>
      <c r="I134" s="632"/>
      <c r="J134" s="632" t="s">
        <v>7806</v>
      </c>
      <c r="K134" s="632"/>
      <c r="L134" s="634"/>
      <c r="M134" s="635" t="s">
        <v>68</v>
      </c>
      <c r="N134" s="636" t="s">
        <v>7449</v>
      </c>
      <c r="O134" s="636" t="s">
        <v>7646</v>
      </c>
      <c r="P134" s="636" t="s">
        <v>7451</v>
      </c>
      <c r="Q134" s="637"/>
      <c r="R134" s="638">
        <v>300</v>
      </c>
      <c r="S134" s="639"/>
      <c r="T134" s="632"/>
      <c r="U134" s="640">
        <f>ESS_DATA[[#This Row],[QUANTITY]]/350</f>
        <v>0.8571428571428571</v>
      </c>
      <c r="V134" s="646" t="s">
        <v>7482</v>
      </c>
      <c r="W134" s="632" t="s">
        <v>2462</v>
      </c>
      <c r="X134" s="632" t="str">
        <f t="shared" si="5"/>
        <v>COMPLETED</v>
      </c>
      <c r="Y134" s="643">
        <v>46233</v>
      </c>
      <c r="Z134" s="643">
        <v>46233</v>
      </c>
      <c r="AA134" s="644">
        <f>WEEKNUM(ESS_DATA[[#This Row],[Pick-Up Date]])</f>
        <v>31</v>
      </c>
      <c r="AB134" s="632" t="s">
        <v>7809</v>
      </c>
      <c r="AC134" s="632"/>
      <c r="AD134" s="632" t="s">
        <v>122</v>
      </c>
      <c r="AE134" s="632" t="s">
        <v>123</v>
      </c>
      <c r="AF134" s="632" t="s">
        <v>78</v>
      </c>
      <c r="AG134" s="643">
        <v>46238</v>
      </c>
      <c r="AH134" s="643">
        <v>46241</v>
      </c>
      <c r="AI134" s="643">
        <v>46241</v>
      </c>
      <c r="AJ134" s="643">
        <v>46281</v>
      </c>
      <c r="AK134" s="643">
        <v>46282</v>
      </c>
      <c r="AL134" s="643">
        <v>46283</v>
      </c>
      <c r="AM134" s="645" t="s">
        <v>402</v>
      </c>
      <c r="AN134" s="643" t="s">
        <v>7810</v>
      </c>
      <c r="AO134" s="643" t="s">
        <v>80</v>
      </c>
      <c r="AP134" s="643" t="s">
        <v>7811</v>
      </c>
      <c r="AQ134" s="632" t="s">
        <v>7812</v>
      </c>
      <c r="AR134" s="632" t="s">
        <v>7812</v>
      </c>
      <c r="AS134" s="632">
        <f>ESS_DATA[[#This Row],[ETA On S/O]]-ESS_DATA[[#This Row],[ETD On S/O]]+1</f>
        <v>44</v>
      </c>
      <c r="AT134" s="632"/>
      <c r="AU134" s="643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46295</v>
      </c>
      <c r="AX134" s="632">
        <f>IF(ESS_DATA[[#This Row],[New Ark PO Type]]="Offshore",0,IFERROR(VLOOKUP(ESS_DATA[[#This Row],[PORT OF LOADING]]&amp;ESS_DATA[[#This Row],[PORT DESTINATION]],LT_REF[],7,0),14))</f>
        <v>8</v>
      </c>
      <c r="AY134" s="643">
        <f>IFERROR(ESS_DATA[[#This Row],[ODP ETA Port]]+ESS_DATA[[#This Row],[Customs/Leg3 Assumption]],"n/a")</f>
        <v>46291</v>
      </c>
      <c r="AZ134" s="633">
        <f>YEAR(ESS_DATA[[#This Row],[ETA for New Ark update]])</f>
        <v>2026</v>
      </c>
      <c r="BA134" s="633">
        <f>MONTH(ESS_DATA[[#This Row],[ETA for New Ark update]])</f>
        <v>9</v>
      </c>
      <c r="BB134" s="633">
        <f>IFERROR(_xlfn.ISOWEEKNUM(ESS_DATA[[#This Row],[ETA for New Ark update]]),0)</f>
        <v>39</v>
      </c>
      <c r="BC134" s="633" t="str">
        <f>_xlfn.XLOOKUP(ESS_DATA[[#This Row],[PORT DESTINATION]],Table12[PORT DESTINATION],Table12[Cosco Line],,0)</f>
        <v>AEM</v>
      </c>
      <c r="BD134" s="633"/>
      <c r="BE134" s="663"/>
      <c r="BF134" s="663"/>
      <c r="BG134" s="663"/>
      <c r="BH134" s="663"/>
      <c r="BI134" s="663"/>
    </row>
    <row r="135" spans="1:61" s="540" customFormat="1" ht="10">
      <c r="A135" s="631" t="s">
        <v>7814</v>
      </c>
      <c r="B135" s="632" t="s">
        <v>7423</v>
      </c>
      <c r="C135" s="632" t="str">
        <f>IFERROR(LEFT(ESS_DATA[[#This Row],[TCL REFERENCE]],FIND(".",ESS_DATA[[#This Row],[TCL REFERENCE]],1)-1),"Main Line")</f>
        <v>Main Line</v>
      </c>
      <c r="D135" s="632" t="s">
        <v>63</v>
      </c>
      <c r="E135" s="633" t="s">
        <v>64</v>
      </c>
      <c r="F135" s="633" t="s">
        <v>65</v>
      </c>
      <c r="G135" s="632" t="s">
        <v>402</v>
      </c>
      <c r="H135" s="632" t="s">
        <v>67</v>
      </c>
      <c r="I135" s="632"/>
      <c r="J135" s="632" t="s">
        <v>7800</v>
      </c>
      <c r="K135" s="632"/>
      <c r="L135" s="634"/>
      <c r="M135" s="635" t="s">
        <v>68</v>
      </c>
      <c r="N135" s="636" t="s">
        <v>7425</v>
      </c>
      <c r="O135" s="636" t="s">
        <v>7595</v>
      </c>
      <c r="P135" s="636" t="s">
        <v>7427</v>
      </c>
      <c r="Q135" s="637"/>
      <c r="R135" s="638">
        <v>180</v>
      </c>
      <c r="S135" s="639"/>
      <c r="T135" s="632"/>
      <c r="U135" s="640">
        <v>0.1</v>
      </c>
      <c r="V135" s="646" t="s">
        <v>7695</v>
      </c>
      <c r="W135" s="632" t="s">
        <v>2462</v>
      </c>
      <c r="X135" s="632" t="str">
        <f t="shared" si="5"/>
        <v>COMPLETED</v>
      </c>
      <c r="Y135" s="643">
        <v>46234</v>
      </c>
      <c r="Z135" s="643">
        <v>46233</v>
      </c>
      <c r="AA135" s="644">
        <f>WEEKNUM(ESS_DATA[[#This Row],[Pick-Up Date]])</f>
        <v>31</v>
      </c>
      <c r="AB135" s="632" t="s">
        <v>7809</v>
      </c>
      <c r="AC135" s="632"/>
      <c r="AD135" s="632" t="s">
        <v>122</v>
      </c>
      <c r="AE135" s="632" t="s">
        <v>123</v>
      </c>
      <c r="AF135" s="632" t="s">
        <v>78</v>
      </c>
      <c r="AG135" s="643">
        <v>46238</v>
      </c>
      <c r="AH135" s="643">
        <v>46241</v>
      </c>
      <c r="AI135" s="643">
        <v>46241</v>
      </c>
      <c r="AJ135" s="643">
        <v>46281</v>
      </c>
      <c r="AK135" s="643">
        <v>46282</v>
      </c>
      <c r="AL135" s="643">
        <v>46283</v>
      </c>
      <c r="AM135" s="645" t="s">
        <v>402</v>
      </c>
      <c r="AN135" s="643" t="s">
        <v>7810</v>
      </c>
      <c r="AO135" s="643" t="s">
        <v>80</v>
      </c>
      <c r="AP135" s="643" t="s">
        <v>7811</v>
      </c>
      <c r="AQ135" s="632" t="s">
        <v>7812</v>
      </c>
      <c r="AR135" s="632" t="s">
        <v>7812</v>
      </c>
      <c r="AS135" s="632">
        <f>ESS_DATA[[#This Row],[ETA On S/O]]-ESS_DATA[[#This Row],[ETD On S/O]]+1</f>
        <v>44</v>
      </c>
      <c r="AT135" s="632"/>
      <c r="AU135" s="643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46295</v>
      </c>
      <c r="AX135" s="632">
        <f>IF(ESS_DATA[[#This Row],[New Ark PO Type]]="Offshore",0,IFERROR(VLOOKUP(ESS_DATA[[#This Row],[PORT OF LOADING]]&amp;ESS_DATA[[#This Row],[PORT DESTINATION]],LT_REF[],7,0),14))</f>
        <v>8</v>
      </c>
      <c r="AY135" s="643">
        <f>IFERROR(ESS_DATA[[#This Row],[ODP ETA Port]]+ESS_DATA[[#This Row],[Customs/Leg3 Assumption]],"n/a")</f>
        <v>46291</v>
      </c>
      <c r="AZ135" s="633">
        <f>YEAR(ESS_DATA[[#This Row],[ETA for New Ark update]])</f>
        <v>2026</v>
      </c>
      <c r="BA135" s="633">
        <f>MONTH(ESS_DATA[[#This Row],[ETA for New Ark update]])</f>
        <v>9</v>
      </c>
      <c r="BB135" s="633">
        <f>IFERROR(_xlfn.ISOWEEKNUM(ESS_DATA[[#This Row],[ETA for New Ark update]]),0)</f>
        <v>39</v>
      </c>
      <c r="BC135" s="633" t="str">
        <f>_xlfn.XLOOKUP(ESS_DATA[[#This Row],[PORT DESTINATION]],Table12[PORT DESTINATION],Table12[Cosco Line],,0)</f>
        <v>AEM</v>
      </c>
      <c r="BD135" s="633"/>
      <c r="BE135" s="663"/>
      <c r="BF135" s="663"/>
      <c r="BG135" s="663"/>
      <c r="BH135" s="663"/>
      <c r="BI135" s="663"/>
    </row>
    <row r="136" spans="1:61" s="540" customFormat="1" ht="10">
      <c r="A136" s="631" t="s">
        <v>7815</v>
      </c>
      <c r="B136" s="632" t="s">
        <v>7423</v>
      </c>
      <c r="C136" s="632" t="str">
        <f>IFERROR(LEFT(ESS_DATA[[#This Row],[TCL REFERENCE]],FIND(".",ESS_DATA[[#This Row],[TCL REFERENCE]],1)-1),"Main Line")</f>
        <v>26JUL002</v>
      </c>
      <c r="D136" s="632" t="s">
        <v>63</v>
      </c>
      <c r="E136" s="633" t="s">
        <v>64</v>
      </c>
      <c r="F136" s="633" t="s">
        <v>65</v>
      </c>
      <c r="G136" s="632" t="s">
        <v>402</v>
      </c>
      <c r="H136" s="632" t="s">
        <v>67</v>
      </c>
      <c r="I136" s="632"/>
      <c r="J136" s="632" t="s">
        <v>7800</v>
      </c>
      <c r="K136" s="632"/>
      <c r="L136" s="634"/>
      <c r="M136" s="635" t="s">
        <v>68</v>
      </c>
      <c r="N136" s="636" t="s">
        <v>7437</v>
      </c>
      <c r="O136" s="636" t="s">
        <v>7438</v>
      </c>
      <c r="P136" s="636" t="s">
        <v>7439</v>
      </c>
      <c r="Q136" s="637"/>
      <c r="R136" s="638">
        <v>202</v>
      </c>
      <c r="S136" s="639"/>
      <c r="T136" s="632"/>
      <c r="U136" s="640">
        <f>ESS_DATA[[#This Row],[QUANTITY]]/224</f>
        <v>0.9017857142857143</v>
      </c>
      <c r="V136" s="646" t="s">
        <v>7695</v>
      </c>
      <c r="W136" s="632" t="s">
        <v>2462</v>
      </c>
      <c r="X136" s="632" t="str">
        <f t="shared" si="5"/>
        <v>COMPLETED</v>
      </c>
      <c r="Y136" s="643">
        <v>46234</v>
      </c>
      <c r="Z136" s="643">
        <v>46233</v>
      </c>
      <c r="AA136" s="644">
        <f>WEEKNUM(ESS_DATA[[#This Row],[Pick-Up Date]])</f>
        <v>31</v>
      </c>
      <c r="AB136" s="632" t="s">
        <v>7809</v>
      </c>
      <c r="AC136" s="632"/>
      <c r="AD136" s="632" t="s">
        <v>122</v>
      </c>
      <c r="AE136" s="632" t="s">
        <v>123</v>
      </c>
      <c r="AF136" s="632" t="s">
        <v>78</v>
      </c>
      <c r="AG136" s="643">
        <v>46238</v>
      </c>
      <c r="AH136" s="643">
        <v>46241</v>
      </c>
      <c r="AI136" s="643">
        <v>46241</v>
      </c>
      <c r="AJ136" s="643">
        <v>46281</v>
      </c>
      <c r="AK136" s="643">
        <v>46282</v>
      </c>
      <c r="AL136" s="643">
        <v>46283</v>
      </c>
      <c r="AM136" s="645" t="s">
        <v>402</v>
      </c>
      <c r="AN136" s="643" t="s">
        <v>7810</v>
      </c>
      <c r="AO136" s="643" t="s">
        <v>80</v>
      </c>
      <c r="AP136" s="643" t="s">
        <v>7811</v>
      </c>
      <c r="AQ136" s="632" t="s">
        <v>7812</v>
      </c>
      <c r="AR136" s="632" t="s">
        <v>7812</v>
      </c>
      <c r="AS136" s="632">
        <f>ESS_DATA[[#This Row],[ETA On S/O]]-ESS_DATA[[#This Row],[ETD On S/O]]+1</f>
        <v>44</v>
      </c>
      <c r="AT136" s="632"/>
      <c r="AU136" s="643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46295</v>
      </c>
      <c r="AX136" s="632">
        <f>IF(ESS_DATA[[#This Row],[New Ark PO Type]]="Offshore",0,IFERROR(VLOOKUP(ESS_DATA[[#This Row],[PORT OF LOADING]]&amp;ESS_DATA[[#This Row],[PORT DESTINATION]],LT_REF[],7,0),14))</f>
        <v>8</v>
      </c>
      <c r="AY136" s="643">
        <f>IFERROR(ESS_DATA[[#This Row],[ODP ETA Port]]+ESS_DATA[[#This Row],[Customs/Leg3 Assumption]],"n/a")</f>
        <v>46291</v>
      </c>
      <c r="AZ136" s="633">
        <f>YEAR(ESS_DATA[[#This Row],[ETA for New Ark update]])</f>
        <v>2026</v>
      </c>
      <c r="BA136" s="633">
        <f>MONTH(ESS_DATA[[#This Row],[ETA for New Ark update]])</f>
        <v>9</v>
      </c>
      <c r="BB136" s="633">
        <f>IFERROR(_xlfn.ISOWEEKNUM(ESS_DATA[[#This Row],[ETA for New Ark update]]),0)</f>
        <v>39</v>
      </c>
      <c r="BC136" s="633" t="str">
        <f>_xlfn.XLOOKUP(ESS_DATA[[#This Row],[PORT DESTINATION]],Table12[PORT DESTINATION],Table12[Cosco Line],,0)</f>
        <v>AEM</v>
      </c>
      <c r="BD136" s="633"/>
      <c r="BE136" s="663"/>
      <c r="BF136" s="663"/>
      <c r="BG136" s="663"/>
      <c r="BH136" s="663"/>
      <c r="BI136" s="663"/>
    </row>
    <row r="137" spans="1:61" s="540" customFormat="1" ht="10">
      <c r="A137" s="631" t="s">
        <v>7816</v>
      </c>
      <c r="B137" s="632" t="s">
        <v>7423</v>
      </c>
      <c r="C137" s="632" t="str">
        <f>IFERROR(LEFT(ESS_DATA[[#This Row],[TCL REFERENCE]],FIND(".",ESS_DATA[[#This Row],[TCL REFERENCE]],1)-1),"Main Line")</f>
        <v>26JUL005</v>
      </c>
      <c r="D137" s="632" t="s">
        <v>63</v>
      </c>
      <c r="E137" s="633" t="s">
        <v>64</v>
      </c>
      <c r="F137" s="633" t="s">
        <v>65</v>
      </c>
      <c r="G137" s="632" t="s">
        <v>402</v>
      </c>
      <c r="H137" s="632" t="s">
        <v>67</v>
      </c>
      <c r="I137" s="632"/>
      <c r="J137" s="632" t="s">
        <v>7817</v>
      </c>
      <c r="K137" s="632"/>
      <c r="L137" s="634"/>
      <c r="M137" s="635" t="s">
        <v>68</v>
      </c>
      <c r="N137" s="636" t="s">
        <v>7460</v>
      </c>
      <c r="O137" s="636" t="s">
        <v>7461</v>
      </c>
      <c r="P137" s="636" t="s">
        <v>7462</v>
      </c>
      <c r="Q137" s="637"/>
      <c r="R137" s="735">
        <v>212</v>
      </c>
      <c r="S137" s="639"/>
      <c r="T137" s="632"/>
      <c r="U137" s="640">
        <f>ESS_DATA[[#This Row],[QUANTITY]]/276</f>
        <v>0.76811594202898548</v>
      </c>
      <c r="V137" s="646" t="s">
        <v>7818</v>
      </c>
      <c r="W137" s="632" t="s">
        <v>2462</v>
      </c>
      <c r="X137" s="632" t="str">
        <f t="shared" si="5"/>
        <v>COMPLETED</v>
      </c>
      <c r="Y137" s="642">
        <v>46233</v>
      </c>
      <c r="Z137" s="643">
        <v>46238</v>
      </c>
      <c r="AA137" s="644">
        <f>WEEKNUM(ESS_DATA[[#This Row],[Pick-Up Date]])</f>
        <v>32</v>
      </c>
      <c r="AB137" s="632" t="s">
        <v>7819</v>
      </c>
      <c r="AC137" s="632"/>
      <c r="AD137" s="632" t="s">
        <v>122</v>
      </c>
      <c r="AE137" s="632" t="s">
        <v>123</v>
      </c>
      <c r="AF137" s="632" t="s">
        <v>78</v>
      </c>
      <c r="AG137" s="643">
        <v>46245</v>
      </c>
      <c r="AH137" s="643">
        <v>46255</v>
      </c>
      <c r="AI137" s="643">
        <v>46255</v>
      </c>
      <c r="AJ137" s="643">
        <v>46288</v>
      </c>
      <c r="AK137" s="643">
        <v>46302</v>
      </c>
      <c r="AL137" s="643">
        <v>46296</v>
      </c>
      <c r="AM137" s="645" t="s">
        <v>402</v>
      </c>
      <c r="AN137" s="643" t="s">
        <v>7820</v>
      </c>
      <c r="AO137" s="643" t="s">
        <v>161</v>
      </c>
      <c r="AP137" s="643" t="s">
        <v>7821</v>
      </c>
      <c r="AQ137" s="632">
        <v>274424044</v>
      </c>
      <c r="AR137" s="632">
        <v>274424044</v>
      </c>
      <c r="AS137" s="632">
        <f>ESS_DATA[[#This Row],[ETA On S/O]]-ESS_DATA[[#This Row],[ETD On S/O]]+1</f>
        <v>44</v>
      </c>
      <c r="AT137" s="632"/>
      <c r="AU137" s="643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3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46303</v>
      </c>
      <c r="AX137" s="632">
        <f>IF(ESS_DATA[[#This Row],[New Ark PO Type]]="Offshore",0,IFERROR(VLOOKUP(ESS_DATA[[#This Row],[PORT OF LOADING]]&amp;ESS_DATA[[#This Row],[PORT DESTINATION]],LT_REF[],7,0),14))</f>
        <v>8</v>
      </c>
      <c r="AY137" s="643">
        <f>IFERROR(ESS_DATA[[#This Row],[ODP ETA Port]]+ESS_DATA[[#This Row],[Customs/Leg3 Assumption]],"n/a")</f>
        <v>46304</v>
      </c>
      <c r="AZ137" s="633">
        <f>YEAR(ESS_DATA[[#This Row],[ETA for New Ark update]])</f>
        <v>2026</v>
      </c>
      <c r="BA137" s="633">
        <f>MONTH(ESS_DATA[[#This Row],[ETA for New Ark update]])</f>
        <v>10</v>
      </c>
      <c r="BB137" s="633">
        <f>IFERROR(_xlfn.ISOWEEKNUM(ESS_DATA[[#This Row],[ETA for New Ark update]]),0)</f>
        <v>41</v>
      </c>
      <c r="BC137" s="633" t="str">
        <f>_xlfn.XLOOKUP(ESS_DATA[[#This Row],[PORT DESTINATION]],Table12[PORT DESTINATION],Table12[Cosco Line],,0)</f>
        <v>AEM</v>
      </c>
      <c r="BD137" s="633"/>
      <c r="BE137" s="663"/>
      <c r="BF137" s="663"/>
      <c r="BG137" s="663"/>
      <c r="BH137" s="663"/>
      <c r="BI137" s="663"/>
    </row>
    <row r="138" spans="1:61" s="540" customFormat="1" ht="10">
      <c r="A138" s="631" t="s">
        <v>7822</v>
      </c>
      <c r="B138" s="632" t="s">
        <v>7423</v>
      </c>
      <c r="C138" s="632" t="str">
        <f>IFERROR(LEFT(ESS_DATA[[#This Row],[TCL REFERENCE]],FIND(".",ESS_DATA[[#This Row],[TCL REFERENCE]],1)-1),"Main Line")</f>
        <v>Main Line</v>
      </c>
      <c r="D138" s="632" t="s">
        <v>63</v>
      </c>
      <c r="E138" s="633" t="s">
        <v>64</v>
      </c>
      <c r="F138" s="633" t="s">
        <v>65</v>
      </c>
      <c r="G138" s="632" t="s">
        <v>402</v>
      </c>
      <c r="H138" s="632" t="s">
        <v>67</v>
      </c>
      <c r="I138" s="632"/>
      <c r="J138" s="632" t="s">
        <v>7823</v>
      </c>
      <c r="K138" s="632"/>
      <c r="L138" s="634"/>
      <c r="M138" s="635" t="s">
        <v>68</v>
      </c>
      <c r="N138" s="636" t="s">
        <v>7460</v>
      </c>
      <c r="O138" s="647" t="s">
        <v>7461</v>
      </c>
      <c r="P138" s="636" t="s">
        <v>7462</v>
      </c>
      <c r="Q138" s="637"/>
      <c r="R138" s="735">
        <v>64</v>
      </c>
      <c r="S138" s="639"/>
      <c r="T138" s="632"/>
      <c r="U138" s="640">
        <f>ESS_DATA[[#This Row],[QUANTITY]]/276</f>
        <v>0.2318840579710145</v>
      </c>
      <c r="V138" s="646" t="s">
        <v>7818</v>
      </c>
      <c r="W138" s="632" t="s">
        <v>2462</v>
      </c>
      <c r="X138" s="684" t="str">
        <f t="shared" si="5"/>
        <v>COMPLETED</v>
      </c>
      <c r="Y138" s="643">
        <v>46233</v>
      </c>
      <c r="Z138" s="643">
        <v>46238</v>
      </c>
      <c r="AA138" s="644">
        <f>WEEKNUM(ESS_DATA[[#This Row],[Pick-Up Date]])</f>
        <v>32</v>
      </c>
      <c r="AB138" s="632" t="s">
        <v>7819</v>
      </c>
      <c r="AC138" s="632"/>
      <c r="AD138" s="632" t="s">
        <v>122</v>
      </c>
      <c r="AE138" s="632" t="s">
        <v>123</v>
      </c>
      <c r="AF138" s="632" t="s">
        <v>78</v>
      </c>
      <c r="AG138" s="643">
        <v>46245</v>
      </c>
      <c r="AH138" s="643">
        <v>46255</v>
      </c>
      <c r="AI138" s="643">
        <v>46255</v>
      </c>
      <c r="AJ138" s="643">
        <v>46288</v>
      </c>
      <c r="AK138" s="643">
        <v>46302</v>
      </c>
      <c r="AL138" s="643">
        <v>46296</v>
      </c>
      <c r="AM138" s="645" t="s">
        <v>402</v>
      </c>
      <c r="AN138" s="643" t="s">
        <v>7820</v>
      </c>
      <c r="AO138" s="643" t="s">
        <v>161</v>
      </c>
      <c r="AP138" s="643" t="s">
        <v>7821</v>
      </c>
      <c r="AQ138" s="632">
        <v>274424044</v>
      </c>
      <c r="AR138" s="632">
        <v>274424044</v>
      </c>
      <c r="AS138" s="632">
        <f>ESS_DATA[[#This Row],[ETA On S/O]]-ESS_DATA[[#This Row],[ETD On S/O]]+1</f>
        <v>44</v>
      </c>
      <c r="AT138" s="632"/>
      <c r="AU138" s="643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3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46303</v>
      </c>
      <c r="AX138" s="632">
        <f>IF(ESS_DATA[[#This Row],[New Ark PO Type]]="Offshore",0,IFERROR(VLOOKUP(ESS_DATA[[#This Row],[PORT OF LOADING]]&amp;ESS_DATA[[#This Row],[PORT DESTINATION]],LT_REF[],7,0),14))</f>
        <v>8</v>
      </c>
      <c r="AY138" s="643">
        <f>IFERROR(ESS_DATA[[#This Row],[ODP ETA Port]]+ESS_DATA[[#This Row],[Customs/Leg3 Assumption]],"n/a")</f>
        <v>46304</v>
      </c>
      <c r="AZ138" s="633">
        <f>YEAR(ESS_DATA[[#This Row],[ETA for New Ark update]])</f>
        <v>2026</v>
      </c>
      <c r="BA138" s="633">
        <f>MONTH(ESS_DATA[[#This Row],[ETA for New Ark update]])</f>
        <v>10</v>
      </c>
      <c r="BB138" s="633">
        <f>IFERROR(_xlfn.ISOWEEKNUM(ESS_DATA[[#This Row],[ETA for New Ark update]]),0)</f>
        <v>41</v>
      </c>
      <c r="BC138" s="633" t="str">
        <f>_xlfn.XLOOKUP(ESS_DATA[[#This Row],[PORT DESTINATION]],Table12[PORT DESTINATION],Table12[Cosco Line],,0)</f>
        <v>AEM</v>
      </c>
      <c r="BD138" s="633"/>
      <c r="BE138" s="663"/>
      <c r="BF138" s="663"/>
      <c r="BG138" s="663"/>
      <c r="BH138" s="663"/>
      <c r="BI138" s="663"/>
    </row>
    <row r="139" spans="1:61" s="540" customFormat="1" ht="10">
      <c r="A139" s="631" t="s">
        <v>7824</v>
      </c>
      <c r="B139" s="632" t="s">
        <v>7423</v>
      </c>
      <c r="C139" s="632" t="str">
        <f>IFERROR(LEFT(ESS_DATA[[#This Row],[TCL REFERENCE]],FIND(".",ESS_DATA[[#This Row],[TCL REFERENCE]],1)-1),"Main Line")</f>
        <v>26JUL005</v>
      </c>
      <c r="D139" s="632" t="s">
        <v>63</v>
      </c>
      <c r="E139" s="633" t="s">
        <v>64</v>
      </c>
      <c r="F139" s="633" t="s">
        <v>65</v>
      </c>
      <c r="G139" s="632" t="s">
        <v>402</v>
      </c>
      <c r="H139" s="632" t="s">
        <v>67</v>
      </c>
      <c r="I139" s="632"/>
      <c r="J139" s="632" t="s">
        <v>7825</v>
      </c>
      <c r="K139" s="632"/>
      <c r="L139" s="634"/>
      <c r="M139" s="635" t="s">
        <v>68</v>
      </c>
      <c r="N139" s="636" t="s">
        <v>7460</v>
      </c>
      <c r="O139" s="636" t="s">
        <v>7461</v>
      </c>
      <c r="P139" s="636" t="s">
        <v>7462</v>
      </c>
      <c r="Q139" s="637"/>
      <c r="R139" s="638">
        <v>276</v>
      </c>
      <c r="S139" s="639"/>
      <c r="T139" s="632"/>
      <c r="U139" s="640">
        <f>ESS_DATA[[#This Row],[QUANTITY]]/276</f>
        <v>1</v>
      </c>
      <c r="V139" s="646" t="s">
        <v>7818</v>
      </c>
      <c r="W139" s="632" t="s">
        <v>2462</v>
      </c>
      <c r="X139" s="632" t="str">
        <f t="shared" si="5"/>
        <v>COMPLETED</v>
      </c>
      <c r="Y139" s="643">
        <v>46233</v>
      </c>
      <c r="Z139" s="643">
        <v>46237</v>
      </c>
      <c r="AA139" s="644">
        <f>WEEKNUM(ESS_DATA[[#This Row],[Pick-Up Date]])</f>
        <v>32</v>
      </c>
      <c r="AB139" s="632" t="s">
        <v>7819</v>
      </c>
      <c r="AC139" s="632"/>
      <c r="AD139" s="632" t="s">
        <v>122</v>
      </c>
      <c r="AE139" s="632" t="s">
        <v>123</v>
      </c>
      <c r="AF139" s="632" t="s">
        <v>78</v>
      </c>
      <c r="AG139" s="643">
        <v>46245</v>
      </c>
      <c r="AH139" s="643">
        <v>46255</v>
      </c>
      <c r="AI139" s="643">
        <v>46255</v>
      </c>
      <c r="AJ139" s="643">
        <v>46288</v>
      </c>
      <c r="AK139" s="643">
        <v>46302</v>
      </c>
      <c r="AL139" s="643">
        <v>46296</v>
      </c>
      <c r="AM139" s="645" t="s">
        <v>402</v>
      </c>
      <c r="AN139" s="643" t="s">
        <v>7820</v>
      </c>
      <c r="AO139" s="643" t="s">
        <v>161</v>
      </c>
      <c r="AP139" s="643" t="s">
        <v>7821</v>
      </c>
      <c r="AQ139" s="632">
        <v>274424044</v>
      </c>
      <c r="AR139" s="632">
        <v>274424044</v>
      </c>
      <c r="AS139" s="632">
        <f>ESS_DATA[[#This Row],[ETA On S/O]]-ESS_DATA[[#This Row],[ETD On S/O]]+1</f>
        <v>44</v>
      </c>
      <c r="AT139" s="632"/>
      <c r="AU139" s="643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3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46303</v>
      </c>
      <c r="AX139" s="632">
        <f>IF(ESS_DATA[[#This Row],[New Ark PO Type]]="Offshore",0,IFERROR(VLOOKUP(ESS_DATA[[#This Row],[PORT OF LOADING]]&amp;ESS_DATA[[#This Row],[PORT DESTINATION]],LT_REF[],7,0),14))</f>
        <v>8</v>
      </c>
      <c r="AY139" s="643">
        <f>IFERROR(ESS_DATA[[#This Row],[ODP ETA Port]]+ESS_DATA[[#This Row],[Customs/Leg3 Assumption]],"n/a")</f>
        <v>46304</v>
      </c>
      <c r="AZ139" s="633">
        <f>YEAR(ESS_DATA[[#This Row],[ETA for New Ark update]])</f>
        <v>2026</v>
      </c>
      <c r="BA139" s="633">
        <f>MONTH(ESS_DATA[[#This Row],[ETA for New Ark update]])</f>
        <v>10</v>
      </c>
      <c r="BB139" s="633">
        <f>IFERROR(_xlfn.ISOWEEKNUM(ESS_DATA[[#This Row],[ETA for New Ark update]]),0)</f>
        <v>41</v>
      </c>
      <c r="BC139" s="633" t="str">
        <f>_xlfn.XLOOKUP(ESS_DATA[[#This Row],[PORT DESTINATION]],Table12[PORT DESTINATION],Table12[Cosco Line],,0)</f>
        <v>AEM</v>
      </c>
      <c r="BD139" s="633"/>
      <c r="BE139" s="663"/>
      <c r="BF139" s="663"/>
      <c r="BG139" s="663"/>
      <c r="BH139" s="663"/>
      <c r="BI139" s="663"/>
    </row>
    <row r="140" spans="1:61" s="540" customFormat="1" ht="10.5">
      <c r="A140" s="631" t="s">
        <v>7826</v>
      </c>
      <c r="B140" s="632" t="s">
        <v>7423</v>
      </c>
      <c r="C140" s="632" t="str">
        <f>IFERROR(LEFT(ESS_DATA[[#This Row],[TCL REFERENCE]],FIND(".",ESS_DATA[[#This Row],[TCL REFERENCE]],1)-1),"Main Line")</f>
        <v>26JUL005</v>
      </c>
      <c r="D140" s="632" t="s">
        <v>63</v>
      </c>
      <c r="E140" s="633" t="s">
        <v>64</v>
      </c>
      <c r="F140" s="633" t="s">
        <v>65</v>
      </c>
      <c r="G140" s="632" t="s">
        <v>402</v>
      </c>
      <c r="H140" s="632" t="s">
        <v>67</v>
      </c>
      <c r="I140" s="632"/>
      <c r="J140" s="632" t="s">
        <v>7827</v>
      </c>
      <c r="K140" s="632"/>
      <c r="L140" s="634"/>
      <c r="M140" s="635" t="s">
        <v>68</v>
      </c>
      <c r="N140" s="636" t="s">
        <v>7460</v>
      </c>
      <c r="O140" s="636" t="s">
        <v>7461</v>
      </c>
      <c r="P140" s="636" t="s">
        <v>7462</v>
      </c>
      <c r="Q140" s="637"/>
      <c r="R140" s="638">
        <v>552</v>
      </c>
      <c r="S140" s="639"/>
      <c r="T140" s="632"/>
      <c r="U140" s="640">
        <f>ESS_DATA[[#This Row],[QUANTITY]]/276</f>
        <v>2</v>
      </c>
      <c r="V140" s="641" t="s">
        <v>7828</v>
      </c>
      <c r="W140" s="648" t="s">
        <v>2463</v>
      </c>
      <c r="X140" s="632" t="str">
        <f t="shared" si="5"/>
        <v>COMPLETED</v>
      </c>
      <c r="Y140" s="649">
        <v>46237</v>
      </c>
      <c r="Z140" s="643">
        <v>46239</v>
      </c>
      <c r="AA140" s="644">
        <f>WEEKNUM(ESS_DATA[[#This Row],[Pick-Up Date]])</f>
        <v>32</v>
      </c>
      <c r="AB140" s="632" t="s">
        <v>7829</v>
      </c>
      <c r="AC140" s="632"/>
      <c r="AD140" s="632" t="s">
        <v>122</v>
      </c>
      <c r="AE140" s="632" t="s">
        <v>123</v>
      </c>
      <c r="AF140" s="632" t="s">
        <v>78</v>
      </c>
      <c r="AG140" s="643">
        <v>46246</v>
      </c>
      <c r="AH140" s="643">
        <v>46255</v>
      </c>
      <c r="AI140" s="643">
        <v>46255</v>
      </c>
      <c r="AJ140" s="643">
        <v>46295</v>
      </c>
      <c r="AK140" s="643">
        <v>46302</v>
      </c>
      <c r="AL140" s="643">
        <v>46296</v>
      </c>
      <c r="AM140" s="645" t="s">
        <v>402</v>
      </c>
      <c r="AN140" s="902" t="s">
        <v>7820</v>
      </c>
      <c r="AO140" s="643" t="s">
        <v>161</v>
      </c>
      <c r="AP140" s="643" t="s">
        <v>7830</v>
      </c>
      <c r="AQ140" s="632">
        <v>274797840</v>
      </c>
      <c r="AR140" s="632">
        <v>274797840</v>
      </c>
      <c r="AS140" s="632">
        <f>ESS_DATA[[#This Row],[ETA On S/O]]-ESS_DATA[[#This Row],[ETD On S/O]]+1</f>
        <v>50</v>
      </c>
      <c r="AT140" s="632"/>
      <c r="AU140" s="643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4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46303</v>
      </c>
      <c r="AX140" s="632">
        <f>IF(ESS_DATA[[#This Row],[New Ark PO Type]]="Offshore",0,IFERROR(VLOOKUP(ESS_DATA[[#This Row],[PORT OF LOADING]]&amp;ESS_DATA[[#This Row],[PORT DESTINATION]],LT_REF[],7,0),14))</f>
        <v>8</v>
      </c>
      <c r="AY140" s="643">
        <f>IFERROR(ESS_DATA[[#This Row],[ODP ETA Port]]+ESS_DATA[[#This Row],[Customs/Leg3 Assumption]],"n/a")</f>
        <v>46304</v>
      </c>
      <c r="AZ140" s="633">
        <f>YEAR(ESS_DATA[[#This Row],[ETA for New Ark update]])</f>
        <v>2026</v>
      </c>
      <c r="BA140" s="633">
        <f>MONTH(ESS_DATA[[#This Row],[ETA for New Ark update]])</f>
        <v>10</v>
      </c>
      <c r="BB140" s="633">
        <f>IFERROR(_xlfn.ISOWEEKNUM(ESS_DATA[[#This Row],[ETA for New Ark update]]),0)</f>
        <v>41</v>
      </c>
      <c r="BC140" s="633" t="str">
        <f>_xlfn.XLOOKUP(ESS_DATA[[#This Row],[PORT DESTINATION]],Table12[PORT DESTINATION],Table12[Cosco Line],,0)</f>
        <v>AEM</v>
      </c>
      <c r="BD140" s="633"/>
      <c r="BE140" s="663"/>
      <c r="BF140" s="663"/>
      <c r="BG140" s="663"/>
      <c r="BH140" s="663"/>
      <c r="BI140" s="663"/>
    </row>
    <row r="141" spans="1:61" s="540" customFormat="1" ht="10.5">
      <c r="A141" s="631" t="s">
        <v>7831</v>
      </c>
      <c r="B141" s="632" t="s">
        <v>7423</v>
      </c>
      <c r="C141" s="632" t="str">
        <f>IFERROR(LEFT(ESS_DATA[[#This Row],[TCL REFERENCE]],FIND(".",ESS_DATA[[#This Row],[TCL REFERENCE]],1)-1),"Main Line")</f>
        <v>26JUL005</v>
      </c>
      <c r="D141" s="632" t="s">
        <v>63</v>
      </c>
      <c r="E141" s="633" t="s">
        <v>64</v>
      </c>
      <c r="F141" s="633" t="s">
        <v>65</v>
      </c>
      <c r="G141" s="632" t="s">
        <v>402</v>
      </c>
      <c r="H141" s="632" t="s">
        <v>67</v>
      </c>
      <c r="I141" s="632"/>
      <c r="J141" s="632" t="s">
        <v>7832</v>
      </c>
      <c r="K141" s="632"/>
      <c r="L141" s="634"/>
      <c r="M141" s="635" t="s">
        <v>68</v>
      </c>
      <c r="N141" s="636" t="s">
        <v>7460</v>
      </c>
      <c r="O141" s="636" t="s">
        <v>7461</v>
      </c>
      <c r="P141" s="636" t="s">
        <v>7462</v>
      </c>
      <c r="Q141" s="637"/>
      <c r="R141" s="638">
        <v>552</v>
      </c>
      <c r="S141" s="639"/>
      <c r="T141" s="632"/>
      <c r="U141" s="640">
        <f>ESS_DATA[[#This Row],[QUANTITY]]/276</f>
        <v>2</v>
      </c>
      <c r="V141" s="408" t="s">
        <v>7833</v>
      </c>
      <c r="W141" s="374" t="s">
        <v>2463</v>
      </c>
      <c r="X141" s="374" t="str">
        <f t="shared" si="5"/>
        <v>COMPLETED</v>
      </c>
      <c r="Y141" s="688">
        <v>46240</v>
      </c>
      <c r="Z141" s="643">
        <v>46240</v>
      </c>
      <c r="AA141" s="644">
        <f>WEEKNUM(ESS_DATA[[#This Row],[Pick-Up Date]])</f>
        <v>32</v>
      </c>
      <c r="AB141" s="632" t="s">
        <v>7829</v>
      </c>
      <c r="AC141" s="632"/>
      <c r="AD141" s="632" t="s">
        <v>122</v>
      </c>
      <c r="AE141" s="632" t="s">
        <v>123</v>
      </c>
      <c r="AF141" s="632" t="s">
        <v>78</v>
      </c>
      <c r="AG141" s="643">
        <v>46246</v>
      </c>
      <c r="AH141" s="643">
        <v>46255</v>
      </c>
      <c r="AI141" s="643">
        <v>46255</v>
      </c>
      <c r="AJ141" s="643">
        <v>46295</v>
      </c>
      <c r="AK141" s="643">
        <v>46302</v>
      </c>
      <c r="AL141" s="643">
        <v>46296</v>
      </c>
      <c r="AM141" s="645" t="s">
        <v>402</v>
      </c>
      <c r="AN141" s="902" t="s">
        <v>7820</v>
      </c>
      <c r="AO141" s="643" t="s">
        <v>161</v>
      </c>
      <c r="AP141" s="643" t="s">
        <v>7830</v>
      </c>
      <c r="AQ141" s="632">
        <v>274797840</v>
      </c>
      <c r="AR141" s="632">
        <v>274797840</v>
      </c>
      <c r="AS141" s="632">
        <f>ESS_DATA[[#This Row],[ETA On S/O]]-ESS_DATA[[#This Row],[ETD On S/O]]+1</f>
        <v>50</v>
      </c>
      <c r="AT141" s="632"/>
      <c r="AU141" s="643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46296</v>
      </c>
      <c r="AV14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46303</v>
      </c>
      <c r="AX141" s="632">
        <f>IF(ESS_DATA[[#This Row],[New Ark PO Type]]="Offshore",0,IFERROR(VLOOKUP(ESS_DATA[[#This Row],[PORT OF LOADING]]&amp;ESS_DATA[[#This Row],[PORT DESTINATION]],LT_REF[],7,0),14))</f>
        <v>8</v>
      </c>
      <c r="AY141" s="643">
        <f>IFERROR(ESS_DATA[[#This Row],[ODP ETA Port]]+ESS_DATA[[#This Row],[Customs/Leg3 Assumption]],"n/a")</f>
        <v>46304</v>
      </c>
      <c r="AZ141" s="633">
        <f>YEAR(ESS_DATA[[#This Row],[ETA for New Ark update]])</f>
        <v>2026</v>
      </c>
      <c r="BA141" s="633">
        <f>MONTH(ESS_DATA[[#This Row],[ETA for New Ark update]])</f>
        <v>10</v>
      </c>
      <c r="BB141" s="633">
        <f>IFERROR(_xlfn.ISOWEEKNUM(ESS_DATA[[#This Row],[ETA for New Ark update]]),0)</f>
        <v>41</v>
      </c>
      <c r="BC141" s="633" t="str">
        <f>_xlfn.XLOOKUP(ESS_DATA[[#This Row],[PORT DESTINATION]],Table12[PORT DESTINATION],Table12[Cosco Line],,0)</f>
        <v>AEM</v>
      </c>
      <c r="BD141" s="633"/>
      <c r="BE141" s="663"/>
      <c r="BF141" s="663"/>
      <c r="BG141" s="663"/>
      <c r="BH141" s="663"/>
      <c r="BI141" s="663"/>
    </row>
    <row r="142" spans="1:61" s="540" customFormat="1" ht="10">
      <c r="A142" s="631" t="s">
        <v>7834</v>
      </c>
      <c r="B142" s="632" t="s">
        <v>7423</v>
      </c>
      <c r="C142" s="632" t="str">
        <f>IFERROR(LEFT(ESS_DATA[[#This Row],[TCL REFERENCE]],FIND(".",ESS_DATA[[#This Row],[TCL REFERENCE]],1)-1),"Main Line")</f>
        <v>26JUL005</v>
      </c>
      <c r="D142" s="632" t="s">
        <v>63</v>
      </c>
      <c r="E142" s="633" t="s">
        <v>64</v>
      </c>
      <c r="F142" s="633" t="s">
        <v>65</v>
      </c>
      <c r="G142" s="632" t="s">
        <v>402</v>
      </c>
      <c r="H142" s="632" t="s">
        <v>67</v>
      </c>
      <c r="I142" s="632"/>
      <c r="J142" s="632" t="s">
        <v>7835</v>
      </c>
      <c r="K142" s="632"/>
      <c r="L142" s="634"/>
      <c r="M142" s="635" t="s">
        <v>68</v>
      </c>
      <c r="N142" s="636" t="s">
        <v>7460</v>
      </c>
      <c r="O142" s="636" t="s">
        <v>7461</v>
      </c>
      <c r="P142" s="636" t="s">
        <v>7462</v>
      </c>
      <c r="Q142" s="637"/>
      <c r="R142" s="638">
        <v>552</v>
      </c>
      <c r="S142" s="639"/>
      <c r="T142" s="632"/>
      <c r="U142" s="640">
        <f>ESS_DATA[[#This Row],[QUANTITY]]/276</f>
        <v>2</v>
      </c>
      <c r="V142" s="641" t="s">
        <v>7836</v>
      </c>
      <c r="W142" s="648" t="s">
        <v>2464</v>
      </c>
      <c r="X142" s="648" t="str">
        <f t="shared" si="5"/>
        <v>COMPLETED</v>
      </c>
      <c r="Y142" s="649">
        <v>46244</v>
      </c>
      <c r="Z142" s="643">
        <v>46259</v>
      </c>
      <c r="AA142" s="733">
        <f>WEEKNUM(ESS_DATA[[#This Row],[Pick-Up Date]])</f>
        <v>35</v>
      </c>
      <c r="AB142" s="632" t="s">
        <v>7837</v>
      </c>
      <c r="AC142" s="632"/>
      <c r="AD142" s="632" t="s">
        <v>122</v>
      </c>
      <c r="AE142" s="632" t="s">
        <v>123</v>
      </c>
      <c r="AF142" s="632" t="s">
        <v>78</v>
      </c>
      <c r="AG142" s="320">
        <v>46256</v>
      </c>
      <c r="AH142" s="320">
        <v>46266</v>
      </c>
      <c r="AI142" s="320">
        <v>46265</v>
      </c>
      <c r="AJ142" s="320">
        <v>46302</v>
      </c>
      <c r="AK142" s="320">
        <v>46302</v>
      </c>
      <c r="AL142" s="320">
        <v>46303</v>
      </c>
      <c r="AM142" s="322" t="s">
        <v>402</v>
      </c>
      <c r="AN142" s="320" t="s">
        <v>7838</v>
      </c>
      <c r="AO142" s="320" t="s">
        <v>161</v>
      </c>
      <c r="AP142" s="320" t="s">
        <v>7839</v>
      </c>
      <c r="AQ142" s="313">
        <v>274958025</v>
      </c>
      <c r="AR142" s="313">
        <v>274958025</v>
      </c>
      <c r="AS142" s="313">
        <f>ESS_DATA[[#This Row],[ETA On S/O]]-ESS_DATA[[#This Row],[ETD On S/O]]+1</f>
        <v>47</v>
      </c>
      <c r="AT142" s="313"/>
      <c r="AU142" s="643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46303</v>
      </c>
      <c r="AV14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46310</v>
      </c>
      <c r="AX142" s="632">
        <f>IF(ESS_DATA[[#This Row],[New Ark PO Type]]="Offshore",0,IFERROR(VLOOKUP(ESS_DATA[[#This Row],[PORT OF LOADING]]&amp;ESS_DATA[[#This Row],[PORT DESTINATION]],LT_REF[],7,0),14))</f>
        <v>8</v>
      </c>
      <c r="AY142" s="643">
        <f>IFERROR(ESS_DATA[[#This Row],[ODP ETA Port]]+ESS_DATA[[#This Row],[Customs/Leg3 Assumption]],"n/a")</f>
        <v>46311</v>
      </c>
      <c r="AZ142" s="633">
        <f>YEAR(ESS_DATA[[#This Row],[ETA for New Ark update]])</f>
        <v>2026</v>
      </c>
      <c r="BA142" s="633">
        <f>MONTH(ESS_DATA[[#This Row],[ETA for New Ark update]])</f>
        <v>10</v>
      </c>
      <c r="BB142" s="633">
        <f>IFERROR(_xlfn.ISOWEEKNUM(ESS_DATA[[#This Row],[ETA for New Ark update]]),0)</f>
        <v>42</v>
      </c>
      <c r="BC142" s="633" t="str">
        <f>_xlfn.XLOOKUP(ESS_DATA[[#This Row],[PORT DESTINATION]],Table12[PORT DESTINATION],Table12[Cosco Line],,0)</f>
        <v>AEM</v>
      </c>
      <c r="BD142" s="633"/>
      <c r="BE142" s="663"/>
      <c r="BF142" s="663"/>
      <c r="BG142" s="663"/>
      <c r="BH142" s="663"/>
      <c r="BI142" s="663"/>
    </row>
    <row r="143" spans="1:61" s="613" customFormat="1" ht="10">
      <c r="A143" s="351" t="s">
        <v>7840</v>
      </c>
      <c r="B143" s="340" t="s">
        <v>7423</v>
      </c>
      <c r="C143" s="340" t="str">
        <f>IFERROR(LEFT(ESS_DATA[[#This Row],[TCL REFERENCE]],FIND(".",ESS_DATA[[#This Row],[TCL REFERENCE]],1)-1),"Main Line")</f>
        <v>26AUG005</v>
      </c>
      <c r="D143" s="340" t="s">
        <v>63</v>
      </c>
      <c r="E143" s="343" t="s">
        <v>64</v>
      </c>
      <c r="F143" s="343" t="s">
        <v>65</v>
      </c>
      <c r="G143" s="340" t="s">
        <v>402</v>
      </c>
      <c r="H143" s="340" t="s">
        <v>67</v>
      </c>
      <c r="I143" s="343"/>
      <c r="J143" s="340"/>
      <c r="K143" s="340"/>
      <c r="L143" s="341"/>
      <c r="M143" s="342" t="s">
        <v>68</v>
      </c>
      <c r="N143" s="651" t="s">
        <v>7460</v>
      </c>
      <c r="O143" s="651" t="s">
        <v>7461</v>
      </c>
      <c r="P143" s="651" t="s">
        <v>7462</v>
      </c>
      <c r="Q143" s="339"/>
      <c r="R143" s="653">
        <v>196</v>
      </c>
      <c r="S143" s="345"/>
      <c r="T143" s="340"/>
      <c r="U143" s="346">
        <f>ESS_DATA[[#This Row],[QUANTITY]]/276</f>
        <v>0.71014492753623193</v>
      </c>
      <c r="V143" s="612" t="s">
        <v>7486</v>
      </c>
      <c r="W143" s="665" t="s">
        <v>2464</v>
      </c>
      <c r="X143" s="343" t="str">
        <f t="shared" si="5"/>
        <v>COMPLETED</v>
      </c>
      <c r="Y143" s="935">
        <v>46249</v>
      </c>
      <c r="Z143" s="347">
        <v>46259</v>
      </c>
      <c r="AA143" s="734">
        <f>WEEKNUM(ESS_DATA[[#This Row],[Pick-Up Date]])</f>
        <v>35</v>
      </c>
      <c r="AB143" s="1029" t="s">
        <v>7841</v>
      </c>
      <c r="AC143" s="340"/>
      <c r="AD143" s="340" t="s">
        <v>122</v>
      </c>
      <c r="AE143" s="340" t="s">
        <v>123</v>
      </c>
      <c r="AF143" s="340" t="s">
        <v>78</v>
      </c>
      <c r="AG143" s="347">
        <v>46256</v>
      </c>
      <c r="AH143" s="347">
        <v>46266</v>
      </c>
      <c r="AI143" s="347">
        <v>46265</v>
      </c>
      <c r="AJ143" s="347">
        <v>46302</v>
      </c>
      <c r="AK143" s="347">
        <v>46302</v>
      </c>
      <c r="AL143" s="347">
        <v>46303</v>
      </c>
      <c r="AM143" s="349" t="s">
        <v>402</v>
      </c>
      <c r="AN143" s="347" t="s">
        <v>7838</v>
      </c>
      <c r="AO143" s="347" t="s">
        <v>161</v>
      </c>
      <c r="AP143" s="347" t="s">
        <v>7839</v>
      </c>
      <c r="AQ143" s="340">
        <v>274958025</v>
      </c>
      <c r="AR143" s="340">
        <v>274958025</v>
      </c>
      <c r="AS143" s="340">
        <f>ESS_DATA[[#This Row],[ETA On S/O]]-ESS_DATA[[#This Row],[ETD On S/O]]+1</f>
        <v>47</v>
      </c>
      <c r="AT143" s="340"/>
      <c r="AU143" s="347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46303</v>
      </c>
      <c r="AV1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46310</v>
      </c>
      <c r="AX143" s="340">
        <f>IF(ESS_DATA[[#This Row],[New Ark PO Type]]="Offshore",0,IFERROR(VLOOKUP(ESS_DATA[[#This Row],[PORT OF LOADING]]&amp;ESS_DATA[[#This Row],[PORT DESTINATION]],LT_REF[],7,0),14))</f>
        <v>8</v>
      </c>
      <c r="AY143" s="347">
        <f>IFERROR(ESS_DATA[[#This Row],[ODP ETA Port]]+ESS_DATA[[#This Row],[Customs/Leg3 Assumption]],"n/a")</f>
        <v>46311</v>
      </c>
      <c r="AZ143" s="343">
        <f>YEAR(ESS_DATA[[#This Row],[ETA for New Ark update]])</f>
        <v>2026</v>
      </c>
      <c r="BA143" s="343">
        <f>MONTH(ESS_DATA[[#This Row],[ETA for New Ark update]])</f>
        <v>10</v>
      </c>
      <c r="BB143" s="343">
        <f>IFERROR(_xlfn.ISOWEEKNUM(ESS_DATA[[#This Row],[ETA for New Ark update]]),0)</f>
        <v>42</v>
      </c>
      <c r="BC143" s="343" t="str">
        <f>_xlfn.XLOOKUP(ESS_DATA[[#This Row],[PORT DESTINATION]],Table12[PORT DESTINATION],Table12[Cosco Line],,0)</f>
        <v>AEM</v>
      </c>
      <c r="BD143" s="343"/>
      <c r="BE143" s="350"/>
      <c r="BF143" s="350"/>
      <c r="BG143" s="350"/>
      <c r="BH143" s="350"/>
      <c r="BI143" s="350"/>
    </row>
    <row r="144" spans="1:61" s="613" customFormat="1" ht="10">
      <c r="A144" s="351" t="s">
        <v>7842</v>
      </c>
      <c r="B144" s="340" t="s">
        <v>7423</v>
      </c>
      <c r="C144" s="340" t="str">
        <f>IFERROR(LEFT(ESS_DATA[[#This Row],[TCL REFERENCE]],FIND(".",ESS_DATA[[#This Row],[TCL REFERENCE]],1)-1),"Main Line")</f>
        <v>Main Line</v>
      </c>
      <c r="D144" s="340" t="s">
        <v>63</v>
      </c>
      <c r="E144" s="343" t="s">
        <v>64</v>
      </c>
      <c r="F144" s="343" t="s">
        <v>65</v>
      </c>
      <c r="G144" s="340" t="s">
        <v>402</v>
      </c>
      <c r="H144" s="340" t="s">
        <v>67</v>
      </c>
      <c r="I144" s="343"/>
      <c r="J144" s="340"/>
      <c r="K144" s="340"/>
      <c r="L144" s="341"/>
      <c r="M144" s="342" t="s">
        <v>68</v>
      </c>
      <c r="N144" s="651" t="s">
        <v>7460</v>
      </c>
      <c r="O144" s="654" t="s">
        <v>7461</v>
      </c>
      <c r="P144" s="651" t="s">
        <v>7462</v>
      </c>
      <c r="Q144" s="339"/>
      <c r="R144" s="653">
        <v>80</v>
      </c>
      <c r="S144" s="345"/>
      <c r="T144" s="340"/>
      <c r="U144" s="346">
        <f>ESS_DATA[[#This Row],[QUANTITY]]/276</f>
        <v>0.28985507246376813</v>
      </c>
      <c r="V144" s="612" t="s">
        <v>7486</v>
      </c>
      <c r="W144" s="665" t="s">
        <v>2464</v>
      </c>
      <c r="X144" s="343" t="str">
        <f t="shared" si="5"/>
        <v>COMPLETED</v>
      </c>
      <c r="Y144" s="935">
        <v>46249</v>
      </c>
      <c r="Z144" s="347">
        <v>46259</v>
      </c>
      <c r="AA144" s="734">
        <f>WEEKNUM(ESS_DATA[[#This Row],[Pick-Up Date]])</f>
        <v>35</v>
      </c>
      <c r="AB144" s="1029" t="s">
        <v>7841</v>
      </c>
      <c r="AC144" s="340"/>
      <c r="AD144" s="340" t="s">
        <v>122</v>
      </c>
      <c r="AE144" s="340" t="s">
        <v>123</v>
      </c>
      <c r="AF144" s="340" t="s">
        <v>78</v>
      </c>
      <c r="AG144" s="347">
        <v>46256</v>
      </c>
      <c r="AH144" s="347">
        <v>46266</v>
      </c>
      <c r="AI144" s="347">
        <v>46265</v>
      </c>
      <c r="AJ144" s="347">
        <v>46302</v>
      </c>
      <c r="AK144" s="347">
        <v>46302</v>
      </c>
      <c r="AL144" s="347">
        <v>46303</v>
      </c>
      <c r="AM144" s="349" t="s">
        <v>402</v>
      </c>
      <c r="AN144" s="347" t="s">
        <v>7838</v>
      </c>
      <c r="AO144" s="347" t="s">
        <v>161</v>
      </c>
      <c r="AP144" s="347" t="s">
        <v>7839</v>
      </c>
      <c r="AQ144" s="340">
        <v>274958025</v>
      </c>
      <c r="AR144" s="340">
        <v>274958025</v>
      </c>
      <c r="AS144" s="340">
        <f>ESS_DATA[[#This Row],[ETA On S/O]]-ESS_DATA[[#This Row],[ETD On S/O]]+1</f>
        <v>47</v>
      </c>
      <c r="AT144" s="340"/>
      <c r="AU144" s="347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46303</v>
      </c>
      <c r="AV1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46310</v>
      </c>
      <c r="AX144" s="340">
        <f>IF(ESS_DATA[[#This Row],[New Ark PO Type]]="Offshore",0,IFERROR(VLOOKUP(ESS_DATA[[#This Row],[PORT OF LOADING]]&amp;ESS_DATA[[#This Row],[PORT DESTINATION]],LT_REF[],7,0),14))</f>
        <v>8</v>
      </c>
      <c r="AY144" s="347">
        <f>IFERROR(ESS_DATA[[#This Row],[ODP ETA Port]]+ESS_DATA[[#This Row],[Customs/Leg3 Assumption]],"n/a")</f>
        <v>46311</v>
      </c>
      <c r="AZ144" s="343">
        <f>YEAR(ESS_DATA[[#This Row],[ETA for New Ark update]])</f>
        <v>2026</v>
      </c>
      <c r="BA144" s="343">
        <f>MONTH(ESS_DATA[[#This Row],[ETA for New Ark update]])</f>
        <v>10</v>
      </c>
      <c r="BB144" s="343">
        <f>IFERROR(_xlfn.ISOWEEKNUM(ESS_DATA[[#This Row],[ETA for New Ark update]]),0)</f>
        <v>42</v>
      </c>
      <c r="BC144" s="343" t="str">
        <f>_xlfn.XLOOKUP(ESS_DATA[[#This Row],[PORT DESTINATION]],Table12[PORT DESTINATION],Table12[Cosco Line],,0)</f>
        <v>AEM</v>
      </c>
      <c r="BD144" s="343"/>
      <c r="BE144" s="350"/>
      <c r="BF144" s="350"/>
      <c r="BG144" s="350"/>
      <c r="BH144" s="350"/>
      <c r="BI144" s="350"/>
    </row>
    <row r="145" spans="1:61" s="613" customFormat="1" ht="10">
      <c r="A145" s="351" t="s">
        <v>7843</v>
      </c>
      <c r="B145" s="340" t="s">
        <v>7423</v>
      </c>
      <c r="C145" s="340" t="str">
        <f>IFERROR(LEFT(ESS_DATA[[#This Row],[TCL REFERENCE]],FIND(".",ESS_DATA[[#This Row],[TCL REFERENCE]],1)-1),"Main Line")</f>
        <v>26AUG005</v>
      </c>
      <c r="D145" s="340" t="s">
        <v>63</v>
      </c>
      <c r="E145" s="343" t="s">
        <v>64</v>
      </c>
      <c r="F145" s="343" t="s">
        <v>65</v>
      </c>
      <c r="G145" s="340" t="s">
        <v>402</v>
      </c>
      <c r="H145" s="340" t="s">
        <v>67</v>
      </c>
      <c r="I145" s="343"/>
      <c r="J145" s="340"/>
      <c r="K145" s="340"/>
      <c r="L145" s="341"/>
      <c r="M145" s="342" t="s">
        <v>68</v>
      </c>
      <c r="N145" s="651" t="s">
        <v>7460</v>
      </c>
      <c r="O145" s="651" t="s">
        <v>7461</v>
      </c>
      <c r="P145" s="651" t="s">
        <v>7462</v>
      </c>
      <c r="Q145" s="339"/>
      <c r="R145" s="344">
        <v>276</v>
      </c>
      <c r="S145" s="345"/>
      <c r="T145" s="340"/>
      <c r="U145" s="346">
        <f>ESS_DATA[[#This Row],[QUANTITY]]/276</f>
        <v>1</v>
      </c>
      <c r="V145" s="612" t="s">
        <v>7666</v>
      </c>
      <c r="W145" s="665" t="s">
        <v>2464</v>
      </c>
      <c r="X145" s="343" t="str">
        <f t="shared" si="5"/>
        <v>COMPLETED</v>
      </c>
      <c r="Y145" s="935">
        <v>46249</v>
      </c>
      <c r="Z145" s="347">
        <v>46259</v>
      </c>
      <c r="AA145" s="734">
        <f>WEEKNUM(ESS_DATA[[#This Row],[Pick-Up Date]])</f>
        <v>35</v>
      </c>
      <c r="AB145" s="1029" t="s">
        <v>7841</v>
      </c>
      <c r="AC145" s="340"/>
      <c r="AD145" s="340" t="s">
        <v>122</v>
      </c>
      <c r="AE145" s="340" t="s">
        <v>123</v>
      </c>
      <c r="AF145" s="340" t="s">
        <v>78</v>
      </c>
      <c r="AG145" s="347">
        <v>46256</v>
      </c>
      <c r="AH145" s="347">
        <v>46266</v>
      </c>
      <c r="AI145" s="347">
        <v>46265</v>
      </c>
      <c r="AJ145" s="347">
        <v>46302</v>
      </c>
      <c r="AK145" s="347">
        <v>46302</v>
      </c>
      <c r="AL145" s="347">
        <v>46303</v>
      </c>
      <c r="AM145" s="349" t="s">
        <v>402</v>
      </c>
      <c r="AN145" s="347" t="s">
        <v>7838</v>
      </c>
      <c r="AO145" s="347" t="s">
        <v>161</v>
      </c>
      <c r="AP145" s="347" t="s">
        <v>7839</v>
      </c>
      <c r="AQ145" s="340">
        <v>274958025</v>
      </c>
      <c r="AR145" s="340">
        <v>274958025</v>
      </c>
      <c r="AS145" s="340">
        <f>ESS_DATA[[#This Row],[ETA On S/O]]-ESS_DATA[[#This Row],[ETD On S/O]]+1</f>
        <v>47</v>
      </c>
      <c r="AT145" s="340"/>
      <c r="AU145" s="347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46303</v>
      </c>
      <c r="AV1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46310</v>
      </c>
      <c r="AX145" s="340">
        <f>IF(ESS_DATA[[#This Row],[New Ark PO Type]]="Offshore",0,IFERROR(VLOOKUP(ESS_DATA[[#This Row],[PORT OF LOADING]]&amp;ESS_DATA[[#This Row],[PORT DESTINATION]],LT_REF[],7,0),14))</f>
        <v>8</v>
      </c>
      <c r="AY145" s="347">
        <f>IFERROR(ESS_DATA[[#This Row],[ODP ETA Port]]+ESS_DATA[[#This Row],[Customs/Leg3 Assumption]],"n/a")</f>
        <v>46311</v>
      </c>
      <c r="AZ145" s="343">
        <f>YEAR(ESS_DATA[[#This Row],[ETA for New Ark update]])</f>
        <v>2026</v>
      </c>
      <c r="BA145" s="343">
        <f>MONTH(ESS_DATA[[#This Row],[ETA for New Ark update]])</f>
        <v>10</v>
      </c>
      <c r="BB145" s="343">
        <f>IFERROR(_xlfn.ISOWEEKNUM(ESS_DATA[[#This Row],[ETA for New Ark update]]),0)</f>
        <v>42</v>
      </c>
      <c r="BC145" s="343" t="str">
        <f>_xlfn.XLOOKUP(ESS_DATA[[#This Row],[PORT DESTINATION]],Table12[PORT DESTINATION],Table12[Cosco Line],,0)</f>
        <v>AEM</v>
      </c>
      <c r="BD145" s="343"/>
      <c r="BE145" s="350"/>
      <c r="BF145" s="350"/>
      <c r="BG145" s="350"/>
      <c r="BH145" s="350"/>
      <c r="BI145" s="350"/>
    </row>
    <row r="146" spans="1:61" s="613" customFormat="1" ht="10">
      <c r="A146" s="351" t="s">
        <v>7844</v>
      </c>
      <c r="B146" s="340" t="s">
        <v>7423</v>
      </c>
      <c r="C146" s="340" t="str">
        <f>IFERROR(LEFT(ESS_DATA[[#This Row],[TCL REFERENCE]],FIND(".",ESS_DATA[[#This Row],[TCL REFERENCE]],1)-1),"Main Line")</f>
        <v>26AUG002</v>
      </c>
      <c r="D146" s="340" t="s">
        <v>63</v>
      </c>
      <c r="E146" s="343" t="s">
        <v>64</v>
      </c>
      <c r="F146" s="343" t="s">
        <v>65</v>
      </c>
      <c r="G146" s="340" t="s">
        <v>402</v>
      </c>
      <c r="H146" s="340" t="s">
        <v>67</v>
      </c>
      <c r="I146" s="343"/>
      <c r="J146" s="340"/>
      <c r="K146" s="340"/>
      <c r="L146" s="341"/>
      <c r="M146" s="342" t="s">
        <v>68</v>
      </c>
      <c r="N146" s="651" t="s">
        <v>7437</v>
      </c>
      <c r="O146" s="651" t="s">
        <v>7438</v>
      </c>
      <c r="P146" s="651" t="s">
        <v>7439</v>
      </c>
      <c r="Q146" s="339"/>
      <c r="R146" s="344">
        <v>107</v>
      </c>
      <c r="S146" s="345"/>
      <c r="T146" s="340"/>
      <c r="U146" s="346">
        <f>ESS_DATA[[#This Row],[QUANTITY]]/260</f>
        <v>0.41153846153846152</v>
      </c>
      <c r="V146" s="612" t="s">
        <v>7469</v>
      </c>
      <c r="W146" s="340" t="s">
        <v>2464</v>
      </c>
      <c r="X146" s="343" t="str">
        <f t="shared" si="5"/>
        <v>COMPLETED</v>
      </c>
      <c r="Y146" s="652">
        <v>46245</v>
      </c>
      <c r="Z146" s="347">
        <v>46247</v>
      </c>
      <c r="AA146" s="348">
        <f>WEEKNUM(ESS_DATA[[#This Row],[Pick-Up Date]])</f>
        <v>33</v>
      </c>
      <c r="AB146" s="340" t="s">
        <v>7845</v>
      </c>
      <c r="AC146" s="340"/>
      <c r="AD146" s="340" t="s">
        <v>122</v>
      </c>
      <c r="AE146" s="340" t="s">
        <v>123</v>
      </c>
      <c r="AF146" s="340" t="s">
        <v>78</v>
      </c>
      <c r="AG146" s="347">
        <v>46254</v>
      </c>
      <c r="AH146" s="347">
        <v>46253</v>
      </c>
      <c r="AI146" s="347">
        <v>46253</v>
      </c>
      <c r="AJ146" s="347">
        <v>46288</v>
      </c>
      <c r="AK146" s="347">
        <v>46290</v>
      </c>
      <c r="AL146" s="347">
        <v>46290</v>
      </c>
      <c r="AM146" s="349" t="s">
        <v>402</v>
      </c>
      <c r="AN146" s="347" t="s">
        <v>7846</v>
      </c>
      <c r="AO146" s="347" t="s">
        <v>80</v>
      </c>
      <c r="AP146" s="347" t="s">
        <v>7847</v>
      </c>
      <c r="AQ146" s="340" t="s">
        <v>7848</v>
      </c>
      <c r="AR146" s="340" t="s">
        <v>7848</v>
      </c>
      <c r="AS146" s="340">
        <f>ESS_DATA[[#This Row],[ETA On S/O]]-ESS_DATA[[#This Row],[ETD On S/O]]+1</f>
        <v>35</v>
      </c>
      <c r="AT146" s="340"/>
      <c r="AU146" s="347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46296</v>
      </c>
      <c r="AX146" s="340">
        <f>IF(ESS_DATA[[#This Row],[New Ark PO Type]]="Offshore",0,IFERROR(VLOOKUP(ESS_DATA[[#This Row],[PORT OF LOADING]]&amp;ESS_DATA[[#This Row],[PORT DESTINATION]],LT_REF[],7,0),14))</f>
        <v>8</v>
      </c>
      <c r="AY146" s="347">
        <f>IFERROR(ESS_DATA[[#This Row],[ODP ETA Port]]+ESS_DATA[[#This Row],[Customs/Leg3 Assumption]],"n/a")</f>
        <v>46298</v>
      </c>
      <c r="AZ146" s="343">
        <f>YEAR(ESS_DATA[[#This Row],[ETA for New Ark update]])</f>
        <v>2026</v>
      </c>
      <c r="BA146" s="343">
        <f>MONTH(ESS_DATA[[#This Row],[ETA for New Ark update]])</f>
        <v>10</v>
      </c>
      <c r="BB146" s="343">
        <f>IFERROR(_xlfn.ISOWEEKNUM(ESS_DATA[[#This Row],[ETA for New Ark update]]),0)</f>
        <v>40</v>
      </c>
      <c r="BC146" s="343" t="str">
        <f>_xlfn.XLOOKUP(ESS_DATA[[#This Row],[PORT DESTINATION]],Table12[PORT DESTINATION],Table12[Cosco Line],,0)</f>
        <v>AEM</v>
      </c>
      <c r="BD146" s="343"/>
      <c r="BE146" s="350"/>
      <c r="BF146" s="350"/>
      <c r="BG146" s="350"/>
      <c r="BH146" s="350"/>
      <c r="BI146" s="350"/>
    </row>
    <row r="147" spans="1:61" s="613" customFormat="1" ht="10">
      <c r="A147" s="351" t="s">
        <v>7849</v>
      </c>
      <c r="B147" s="340" t="s">
        <v>7423</v>
      </c>
      <c r="C147" s="340" t="str">
        <f>IFERROR(LEFT(ESS_DATA[[#This Row],[TCL REFERENCE]],FIND(".",ESS_DATA[[#This Row],[TCL REFERENCE]],1)-1),"Main Line")</f>
        <v>26AUG003</v>
      </c>
      <c r="D147" s="340" t="s">
        <v>63</v>
      </c>
      <c r="E147" s="343" t="s">
        <v>64</v>
      </c>
      <c r="F147" s="343" t="s">
        <v>65</v>
      </c>
      <c r="G147" s="340" t="s">
        <v>402</v>
      </c>
      <c r="H147" s="340" t="s">
        <v>67</v>
      </c>
      <c r="I147" s="343"/>
      <c r="J147" s="340"/>
      <c r="K147" s="340"/>
      <c r="L147" s="341"/>
      <c r="M147" s="342" t="s">
        <v>68</v>
      </c>
      <c r="N147" s="651" t="s">
        <v>7446</v>
      </c>
      <c r="O147" s="651" t="s">
        <v>7438</v>
      </c>
      <c r="P147" s="651" t="s">
        <v>7447</v>
      </c>
      <c r="Q147" s="339"/>
      <c r="R147" s="344">
        <v>23</v>
      </c>
      <c r="S147" s="345"/>
      <c r="T147" s="340"/>
      <c r="U147" s="346">
        <f>ESS_DATA[[#This Row],[QUANTITY]]/260</f>
        <v>8.8461538461538466E-2</v>
      </c>
      <c r="V147" s="612" t="s">
        <v>7469</v>
      </c>
      <c r="W147" s="340" t="s">
        <v>2464</v>
      </c>
      <c r="X147" s="343" t="str">
        <f t="shared" si="5"/>
        <v>COMPLETED</v>
      </c>
      <c r="Y147" s="652">
        <v>46245</v>
      </c>
      <c r="Z147" s="347">
        <v>46247</v>
      </c>
      <c r="AA147" s="348">
        <f>WEEKNUM(ESS_DATA[[#This Row],[Pick-Up Date]])</f>
        <v>33</v>
      </c>
      <c r="AB147" s="340" t="s">
        <v>7845</v>
      </c>
      <c r="AC147" s="340"/>
      <c r="AD147" s="340" t="s">
        <v>122</v>
      </c>
      <c r="AE147" s="340" t="s">
        <v>123</v>
      </c>
      <c r="AF147" s="340" t="s">
        <v>78</v>
      </c>
      <c r="AG147" s="347">
        <v>46254</v>
      </c>
      <c r="AH147" s="347">
        <v>46253</v>
      </c>
      <c r="AI147" s="347">
        <v>46253</v>
      </c>
      <c r="AJ147" s="347">
        <v>46288</v>
      </c>
      <c r="AK147" s="347">
        <v>46290</v>
      </c>
      <c r="AL147" s="347">
        <v>46290</v>
      </c>
      <c r="AM147" s="349" t="s">
        <v>402</v>
      </c>
      <c r="AN147" s="347" t="s">
        <v>7846</v>
      </c>
      <c r="AO147" s="347" t="s">
        <v>80</v>
      </c>
      <c r="AP147" s="347" t="s">
        <v>7847</v>
      </c>
      <c r="AQ147" s="340" t="s">
        <v>7848</v>
      </c>
      <c r="AR147" s="340" t="s">
        <v>7848</v>
      </c>
      <c r="AS147" s="340">
        <f>ESS_DATA[[#This Row],[ETA On S/O]]-ESS_DATA[[#This Row],[ETD On S/O]]+1</f>
        <v>35</v>
      </c>
      <c r="AT147" s="340"/>
      <c r="AU147" s="347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46296</v>
      </c>
      <c r="AX147" s="340">
        <f>IF(ESS_DATA[[#This Row],[New Ark PO Type]]="Offshore",0,IFERROR(VLOOKUP(ESS_DATA[[#This Row],[PORT OF LOADING]]&amp;ESS_DATA[[#This Row],[PORT DESTINATION]],LT_REF[],7,0),14))</f>
        <v>8</v>
      </c>
      <c r="AY147" s="347">
        <f>IFERROR(ESS_DATA[[#This Row],[ODP ETA Port]]+ESS_DATA[[#This Row],[Customs/Leg3 Assumption]],"n/a")</f>
        <v>46298</v>
      </c>
      <c r="AZ147" s="343">
        <f>YEAR(ESS_DATA[[#This Row],[ETA for New Ark update]])</f>
        <v>2026</v>
      </c>
      <c r="BA147" s="343">
        <f>MONTH(ESS_DATA[[#This Row],[ETA for New Ark update]])</f>
        <v>10</v>
      </c>
      <c r="BB147" s="343">
        <f>IFERROR(_xlfn.ISOWEEKNUM(ESS_DATA[[#This Row],[ETA for New Ark update]]),0)</f>
        <v>40</v>
      </c>
      <c r="BC147" s="343" t="str">
        <f>_xlfn.XLOOKUP(ESS_DATA[[#This Row],[PORT DESTINATION]],Table12[PORT DESTINATION],Table12[Cosco Line],,0)</f>
        <v>AEM</v>
      </c>
      <c r="BD147" s="343"/>
      <c r="BE147" s="350"/>
      <c r="BF147" s="350"/>
      <c r="BG147" s="350"/>
      <c r="BH147" s="350"/>
      <c r="BI147" s="350"/>
    </row>
    <row r="148" spans="1:61" s="613" customFormat="1" ht="10">
      <c r="A148" s="351" t="s">
        <v>7850</v>
      </c>
      <c r="B148" s="340" t="s">
        <v>7423</v>
      </c>
      <c r="C148" s="340" t="str">
        <f>IFERROR(LEFT(ESS_DATA[[#This Row],[TCL REFERENCE]],FIND(".",ESS_DATA[[#This Row],[TCL REFERENCE]],1)-1),"Main Line")</f>
        <v>26AUG004</v>
      </c>
      <c r="D148" s="340" t="s">
        <v>63</v>
      </c>
      <c r="E148" s="343" t="s">
        <v>64</v>
      </c>
      <c r="F148" s="343" t="s">
        <v>65</v>
      </c>
      <c r="G148" s="340" t="s">
        <v>402</v>
      </c>
      <c r="H148" s="340" t="s">
        <v>67</v>
      </c>
      <c r="I148" s="343"/>
      <c r="J148" s="340"/>
      <c r="K148" s="340"/>
      <c r="L148" s="341"/>
      <c r="M148" s="342" t="s">
        <v>68</v>
      </c>
      <c r="N148" s="651" t="s">
        <v>7449</v>
      </c>
      <c r="O148" s="651" t="s">
        <v>7646</v>
      </c>
      <c r="P148" s="651" t="s">
        <v>7451</v>
      </c>
      <c r="Q148" s="339"/>
      <c r="R148" s="344">
        <v>130</v>
      </c>
      <c r="S148" s="345"/>
      <c r="T148" s="340"/>
      <c r="U148" s="346">
        <f>ESS_DATA[[#This Row],[QUANTITY]]/260</f>
        <v>0.5</v>
      </c>
      <c r="V148" s="612" t="s">
        <v>7469</v>
      </c>
      <c r="W148" s="340" t="s">
        <v>2464</v>
      </c>
      <c r="X148" s="343" t="str">
        <f t="shared" si="5"/>
        <v>COMPLETED</v>
      </c>
      <c r="Y148" s="652">
        <v>46245</v>
      </c>
      <c r="Z148" s="347">
        <v>46247</v>
      </c>
      <c r="AA148" s="348">
        <f>WEEKNUM(ESS_DATA[[#This Row],[Pick-Up Date]])</f>
        <v>33</v>
      </c>
      <c r="AB148" s="343" t="s">
        <v>7845</v>
      </c>
      <c r="AC148" s="351"/>
      <c r="AD148" s="340" t="s">
        <v>122</v>
      </c>
      <c r="AE148" s="340" t="s">
        <v>123</v>
      </c>
      <c r="AF148" s="340" t="s">
        <v>78</v>
      </c>
      <c r="AG148" s="347">
        <v>46254</v>
      </c>
      <c r="AH148" s="347">
        <v>46253</v>
      </c>
      <c r="AI148" s="347">
        <v>46253</v>
      </c>
      <c r="AJ148" s="347">
        <v>46288</v>
      </c>
      <c r="AK148" s="347">
        <v>46290</v>
      </c>
      <c r="AL148" s="347">
        <v>46290</v>
      </c>
      <c r="AM148" s="349" t="s">
        <v>402</v>
      </c>
      <c r="AN148" s="347" t="s">
        <v>7846</v>
      </c>
      <c r="AO148" s="347" t="s">
        <v>80</v>
      </c>
      <c r="AP148" s="347" t="s">
        <v>7847</v>
      </c>
      <c r="AQ148" s="340" t="s">
        <v>7848</v>
      </c>
      <c r="AR148" s="340" t="s">
        <v>7848</v>
      </c>
      <c r="AS148" s="340">
        <f>ESS_DATA[[#This Row],[ETA On S/O]]-ESS_DATA[[#This Row],[ETD On S/O]]+1</f>
        <v>35</v>
      </c>
      <c r="AT148" s="340"/>
      <c r="AU148" s="347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46296</v>
      </c>
      <c r="AX148" s="340">
        <f>IF(ESS_DATA[[#This Row],[New Ark PO Type]]="Offshore",0,IFERROR(VLOOKUP(ESS_DATA[[#This Row],[PORT OF LOADING]]&amp;ESS_DATA[[#This Row],[PORT DESTINATION]],LT_REF[],7,0),14))</f>
        <v>8</v>
      </c>
      <c r="AY148" s="347">
        <f>IFERROR(ESS_DATA[[#This Row],[ODP ETA Port]]+ESS_DATA[[#This Row],[Customs/Leg3 Assumption]],"n/a")</f>
        <v>46298</v>
      </c>
      <c r="AZ148" s="343">
        <f>YEAR(ESS_DATA[[#This Row],[ETA for New Ark update]])</f>
        <v>2026</v>
      </c>
      <c r="BA148" s="343">
        <f>MONTH(ESS_DATA[[#This Row],[ETA for New Ark update]])</f>
        <v>10</v>
      </c>
      <c r="BB148" s="343">
        <f>IFERROR(_xlfn.ISOWEEKNUM(ESS_DATA[[#This Row],[ETA for New Ark update]]),0)</f>
        <v>40</v>
      </c>
      <c r="BC148" s="343" t="str">
        <f>_xlfn.XLOOKUP(ESS_DATA[[#This Row],[PORT DESTINATION]],Table12[PORT DESTINATION],Table12[Cosco Line],,0)</f>
        <v>AEM</v>
      </c>
      <c r="BD148" s="343"/>
      <c r="BE148" s="350"/>
      <c r="BF148" s="350"/>
      <c r="BG148" s="350"/>
      <c r="BH148" s="350"/>
      <c r="BI148" s="350"/>
    </row>
    <row r="149" spans="1:61" s="613" customFormat="1" ht="10">
      <c r="A149" s="650" t="s">
        <v>7851</v>
      </c>
      <c r="B149" s="340" t="s">
        <v>7423</v>
      </c>
      <c r="C149" s="340" t="str">
        <f>IFERROR(LEFT(ESS_DATA[[#This Row],[TCL REFERENCE]],FIND(".",ESS_DATA[[#This Row],[TCL REFERENCE]],1)-1),"Main Line")</f>
        <v>Main Line</v>
      </c>
      <c r="D149" s="340" t="s">
        <v>63</v>
      </c>
      <c r="E149" s="343" t="s">
        <v>64</v>
      </c>
      <c r="F149" s="343" t="s">
        <v>65</v>
      </c>
      <c r="G149" s="340" t="s">
        <v>402</v>
      </c>
      <c r="H149" s="340" t="s">
        <v>67</v>
      </c>
      <c r="I149" s="343"/>
      <c r="J149" s="340"/>
      <c r="K149" s="340"/>
      <c r="L149" s="341"/>
      <c r="M149" s="342" t="s">
        <v>68</v>
      </c>
      <c r="N149" s="651" t="s">
        <v>7471</v>
      </c>
      <c r="O149" s="651" t="s">
        <v>7438</v>
      </c>
      <c r="P149" s="651" t="s">
        <v>7472</v>
      </c>
      <c r="Q149" s="339"/>
      <c r="R149" s="650">
        <v>34</v>
      </c>
      <c r="S149" s="345"/>
      <c r="T149" s="340"/>
      <c r="U149" s="346">
        <f>ESS_DATA[[#This Row],[QUANTITY]]/224</f>
        <v>0.15178571428571427</v>
      </c>
      <c r="V149" s="612" t="s">
        <v>7463</v>
      </c>
      <c r="W149" s="340" t="s">
        <v>2464</v>
      </c>
      <c r="X149" s="343" t="str">
        <f>IF(AL149&lt;&gt;"","COMPLETED",IF(AI149&lt;&gt;"","IN-TRANSIT",""))</f>
        <v>IN-TRANSIT</v>
      </c>
      <c r="Y149" s="652">
        <v>46245</v>
      </c>
      <c r="Z149" s="347">
        <v>46256</v>
      </c>
      <c r="AA149" s="348">
        <f>WEEKNUM(ESS_DATA[[#This Row],[Pick-Up Date]])</f>
        <v>34</v>
      </c>
      <c r="AB149" s="343" t="s">
        <v>7852</v>
      </c>
      <c r="AC149" s="351"/>
      <c r="AD149" s="340" t="s">
        <v>122</v>
      </c>
      <c r="AE149" s="340" t="s">
        <v>123</v>
      </c>
      <c r="AF149" s="340" t="s">
        <v>78</v>
      </c>
      <c r="AG149" s="347">
        <v>46253</v>
      </c>
      <c r="AH149" s="347">
        <v>46267</v>
      </c>
      <c r="AI149" s="347">
        <v>46267</v>
      </c>
      <c r="AJ149" s="347">
        <v>46302</v>
      </c>
      <c r="AK149" s="347">
        <v>46309</v>
      </c>
      <c r="AL149" s="347"/>
      <c r="AM149" s="349" t="s">
        <v>402</v>
      </c>
      <c r="AN149" s="347" t="s">
        <v>7853</v>
      </c>
      <c r="AO149" s="347" t="s">
        <v>161</v>
      </c>
      <c r="AP149" s="347" t="s">
        <v>7854</v>
      </c>
      <c r="AQ149" s="340">
        <v>275076509</v>
      </c>
      <c r="AR149" s="340">
        <v>275076509</v>
      </c>
      <c r="AS149" s="340">
        <f>ESS_DATA[[#This Row],[ETA On S/O]]-ESS_DATA[[#This Row],[ETD On S/O]]+1</f>
        <v>50</v>
      </c>
      <c r="AT149" s="340"/>
      <c r="AU149" s="347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46317</v>
      </c>
      <c r="AX149" s="340">
        <f>IF(ESS_DATA[[#This Row],[New Ark PO Type]]="Offshore",0,IFERROR(VLOOKUP(ESS_DATA[[#This Row],[PORT OF LOADING]]&amp;ESS_DATA[[#This Row],[PORT DESTINATION]],LT_REF[],7,0),14))</f>
        <v>8</v>
      </c>
      <c r="AY149" s="347">
        <f>IFERROR(ESS_DATA[[#This Row],[ODP ETA Port]]+ESS_DATA[[#This Row],[Customs/Leg3 Assumption]],"n/a")</f>
        <v>46317</v>
      </c>
      <c r="AZ149" s="343">
        <f>YEAR(ESS_DATA[[#This Row],[ETA for New Ark update]])</f>
        <v>2026</v>
      </c>
      <c r="BA149" s="343">
        <f>MONTH(ESS_DATA[[#This Row],[ETA for New Ark update]])</f>
        <v>10</v>
      </c>
      <c r="BB149" s="343">
        <f>IFERROR(_xlfn.ISOWEEKNUM(ESS_DATA[[#This Row],[ETA for New Ark update]]),0)</f>
        <v>43</v>
      </c>
      <c r="BC149" s="343" t="str">
        <f>_xlfn.XLOOKUP(ESS_DATA[[#This Row],[PORT DESTINATION]],Table12[PORT DESTINATION],Table12[Cosco Line],,0)</f>
        <v>AEM</v>
      </c>
      <c r="BD149" s="343"/>
      <c r="BE149" s="350"/>
      <c r="BF149" s="350"/>
      <c r="BG149" s="350"/>
      <c r="BH149" s="350"/>
      <c r="BI149" s="350"/>
    </row>
    <row r="150" spans="1:61" s="613" customFormat="1" ht="10">
      <c r="A150" s="650" t="s">
        <v>7855</v>
      </c>
      <c r="B150" s="340" t="s">
        <v>7423</v>
      </c>
      <c r="C150" s="340" t="str">
        <f>IFERROR(LEFT(ESS_DATA[[#This Row],[TCL REFERENCE]],FIND(".",ESS_DATA[[#This Row],[TCL REFERENCE]],1)-1),"Main Line")</f>
        <v>Main Line</v>
      </c>
      <c r="D150" s="340" t="s">
        <v>63</v>
      </c>
      <c r="E150" s="343" t="s">
        <v>64</v>
      </c>
      <c r="F150" s="343" t="s">
        <v>65</v>
      </c>
      <c r="G150" s="340" t="s">
        <v>402</v>
      </c>
      <c r="H150" s="340" t="s">
        <v>67</v>
      </c>
      <c r="I150" s="343"/>
      <c r="J150" s="340"/>
      <c r="K150" s="340"/>
      <c r="L150" s="341"/>
      <c r="M150" s="342" t="s">
        <v>68</v>
      </c>
      <c r="N150" s="651" t="s">
        <v>7471</v>
      </c>
      <c r="O150" s="651" t="s">
        <v>7438</v>
      </c>
      <c r="P150" s="651" t="s">
        <v>7472</v>
      </c>
      <c r="Q150" s="339"/>
      <c r="R150" s="344">
        <v>1</v>
      </c>
      <c r="S150" s="345"/>
      <c r="T150" s="340"/>
      <c r="U150" s="346">
        <f>ESS_DATA[[#This Row],[QUANTITY]]/224</f>
        <v>4.464285714285714E-3</v>
      </c>
      <c r="V150" s="612" t="s">
        <v>7463</v>
      </c>
      <c r="W150" s="340" t="s">
        <v>2464</v>
      </c>
      <c r="X150" s="343" t="str">
        <f t="shared" ref="X150:X173" si="6">IF(AL150&lt;&gt;"","COMPLETED",IF(AI150&lt;&gt;"","IN-TRANSIT",""))</f>
        <v>IN-TRANSIT</v>
      </c>
      <c r="Y150" s="652">
        <v>46245</v>
      </c>
      <c r="Z150" s="347">
        <v>46256</v>
      </c>
      <c r="AA150" s="348">
        <f>WEEKNUM(ESS_DATA[[#This Row],[Pick-Up Date]])</f>
        <v>34</v>
      </c>
      <c r="AB150" s="343" t="s">
        <v>7852</v>
      </c>
      <c r="AC150" s="351"/>
      <c r="AD150" s="340" t="s">
        <v>122</v>
      </c>
      <c r="AE150" s="340" t="s">
        <v>123</v>
      </c>
      <c r="AF150" s="340" t="s">
        <v>78</v>
      </c>
      <c r="AG150" s="347">
        <v>46253</v>
      </c>
      <c r="AH150" s="347">
        <v>46267</v>
      </c>
      <c r="AI150" s="347">
        <v>46267</v>
      </c>
      <c r="AJ150" s="347">
        <v>46302</v>
      </c>
      <c r="AK150" s="347">
        <v>46309</v>
      </c>
      <c r="AL150" s="347"/>
      <c r="AM150" s="349" t="s">
        <v>402</v>
      </c>
      <c r="AN150" s="347" t="s">
        <v>7853</v>
      </c>
      <c r="AO150" s="347" t="s">
        <v>161</v>
      </c>
      <c r="AP150" s="347" t="s">
        <v>7854</v>
      </c>
      <c r="AQ150" s="340">
        <v>275076509</v>
      </c>
      <c r="AR150" s="340">
        <v>275076509</v>
      </c>
      <c r="AS150" s="340">
        <f>ESS_DATA[[#This Row],[ETA On S/O]]-ESS_DATA[[#This Row],[ETD On S/O]]+1</f>
        <v>50</v>
      </c>
      <c r="AT150" s="340"/>
      <c r="AU150" s="347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46317</v>
      </c>
      <c r="AX150" s="340">
        <f>IF(ESS_DATA[[#This Row],[New Ark PO Type]]="Offshore",0,IFERROR(VLOOKUP(ESS_DATA[[#This Row],[PORT OF LOADING]]&amp;ESS_DATA[[#This Row],[PORT DESTINATION]],LT_REF[],7,0),14))</f>
        <v>8</v>
      </c>
      <c r="AY150" s="347">
        <f>IFERROR(ESS_DATA[[#This Row],[ODP ETA Port]]+ESS_DATA[[#This Row],[Customs/Leg3 Assumption]],"n/a")</f>
        <v>46317</v>
      </c>
      <c r="AZ150" s="343">
        <f>YEAR(ESS_DATA[[#This Row],[ETA for New Ark update]])</f>
        <v>2026</v>
      </c>
      <c r="BA150" s="343">
        <f>MONTH(ESS_DATA[[#This Row],[ETA for New Ark update]])</f>
        <v>10</v>
      </c>
      <c r="BB150" s="343">
        <f>IFERROR(_xlfn.ISOWEEKNUM(ESS_DATA[[#This Row],[ETA for New Ark update]]),0)</f>
        <v>43</v>
      </c>
      <c r="BC150" s="343" t="str">
        <f>_xlfn.XLOOKUP(ESS_DATA[[#This Row],[PORT DESTINATION]],Table12[PORT DESTINATION],Table12[Cosco Line],,0)</f>
        <v>AEM</v>
      </c>
      <c r="BD150" s="343"/>
      <c r="BE150" s="350"/>
      <c r="BF150" s="350"/>
      <c r="BG150" s="350"/>
      <c r="BH150" s="350"/>
      <c r="BI150" s="350"/>
    </row>
    <row r="151" spans="1:61" s="613" customFormat="1" ht="10">
      <c r="A151" s="351" t="s">
        <v>7856</v>
      </c>
      <c r="B151" s="340" t="s">
        <v>7423</v>
      </c>
      <c r="C151" s="340" t="str">
        <f>IFERROR(LEFT(ESS_DATA[[#This Row],[TCL REFERENCE]],FIND(".",ESS_DATA[[#This Row],[TCL REFERENCE]],1)-1),"Main Line")</f>
        <v>Main Line</v>
      </c>
      <c r="D151" s="340" t="s">
        <v>63</v>
      </c>
      <c r="E151" s="343" t="s">
        <v>64</v>
      </c>
      <c r="F151" s="343" t="s">
        <v>65</v>
      </c>
      <c r="G151" s="340" t="s">
        <v>402</v>
      </c>
      <c r="H151" s="340" t="s">
        <v>67</v>
      </c>
      <c r="I151" s="343"/>
      <c r="J151" s="340"/>
      <c r="K151" s="340"/>
      <c r="L151" s="341"/>
      <c r="M151" s="342" t="s">
        <v>68</v>
      </c>
      <c r="N151" s="651" t="s">
        <v>7437</v>
      </c>
      <c r="O151" s="651" t="s">
        <v>7438</v>
      </c>
      <c r="P151" s="651" t="s">
        <v>7439</v>
      </c>
      <c r="Q151" s="339"/>
      <c r="R151" s="344">
        <v>27</v>
      </c>
      <c r="S151" s="345"/>
      <c r="T151" s="340"/>
      <c r="U151" s="346">
        <f>ESS_DATA[[#This Row],[QUANTITY]]/224</f>
        <v>0.12053571428571429</v>
      </c>
      <c r="V151" s="612" t="s">
        <v>7463</v>
      </c>
      <c r="W151" s="340" t="s">
        <v>2464</v>
      </c>
      <c r="X151" s="343" t="str">
        <f t="shared" si="6"/>
        <v>IN-TRANSIT</v>
      </c>
      <c r="Y151" s="652">
        <v>46245</v>
      </c>
      <c r="Z151" s="347">
        <v>46256</v>
      </c>
      <c r="AA151" s="348">
        <f>WEEKNUM(ESS_DATA[[#This Row],[Pick-Up Date]])</f>
        <v>34</v>
      </c>
      <c r="AB151" s="343" t="s">
        <v>7852</v>
      </c>
      <c r="AC151" s="351"/>
      <c r="AD151" s="340" t="s">
        <v>122</v>
      </c>
      <c r="AE151" s="340" t="s">
        <v>123</v>
      </c>
      <c r="AF151" s="340" t="s">
        <v>78</v>
      </c>
      <c r="AG151" s="347">
        <v>46253</v>
      </c>
      <c r="AH151" s="347">
        <v>46267</v>
      </c>
      <c r="AI151" s="347">
        <v>46267</v>
      </c>
      <c r="AJ151" s="347">
        <v>46302</v>
      </c>
      <c r="AK151" s="347">
        <v>46309</v>
      </c>
      <c r="AL151" s="347"/>
      <c r="AM151" s="349" t="s">
        <v>402</v>
      </c>
      <c r="AN151" s="347" t="s">
        <v>7853</v>
      </c>
      <c r="AO151" s="347" t="s">
        <v>161</v>
      </c>
      <c r="AP151" s="347" t="s">
        <v>7854</v>
      </c>
      <c r="AQ151" s="340">
        <v>275076509</v>
      </c>
      <c r="AR151" s="340">
        <v>275076509</v>
      </c>
      <c r="AS151" s="340">
        <f>ESS_DATA[[#This Row],[ETA On S/O]]-ESS_DATA[[#This Row],[ETD On S/O]]+1</f>
        <v>50</v>
      </c>
      <c r="AT151" s="340"/>
      <c r="AU151" s="347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46317</v>
      </c>
      <c r="AX151" s="340">
        <f>IF(ESS_DATA[[#This Row],[New Ark PO Type]]="Offshore",0,IFERROR(VLOOKUP(ESS_DATA[[#This Row],[PORT OF LOADING]]&amp;ESS_DATA[[#This Row],[PORT DESTINATION]],LT_REF[],7,0),14))</f>
        <v>8</v>
      </c>
      <c r="AY151" s="347">
        <f>IFERROR(ESS_DATA[[#This Row],[ODP ETA Port]]+ESS_DATA[[#This Row],[Customs/Leg3 Assumption]],"n/a")</f>
        <v>46317</v>
      </c>
      <c r="AZ151" s="343">
        <f>YEAR(ESS_DATA[[#This Row],[ETA for New Ark update]])</f>
        <v>2026</v>
      </c>
      <c r="BA151" s="343">
        <f>MONTH(ESS_DATA[[#This Row],[ETA for New Ark update]])</f>
        <v>10</v>
      </c>
      <c r="BB151" s="343">
        <f>IFERROR(_xlfn.ISOWEEKNUM(ESS_DATA[[#This Row],[ETA for New Ark update]]),0)</f>
        <v>43</v>
      </c>
      <c r="BC151" s="343" t="str">
        <f>_xlfn.XLOOKUP(ESS_DATA[[#This Row],[PORT DESTINATION]],Table12[PORT DESTINATION],Table12[Cosco Line],,0)</f>
        <v>AEM</v>
      </c>
      <c r="BD151" s="343"/>
      <c r="BE151" s="350"/>
      <c r="BF151" s="350"/>
      <c r="BG151" s="350"/>
      <c r="BH151" s="350"/>
      <c r="BI151" s="350"/>
    </row>
    <row r="152" spans="1:61" s="613" customFormat="1" ht="10">
      <c r="A152" s="351" t="s">
        <v>7857</v>
      </c>
      <c r="B152" s="340" t="s">
        <v>7423</v>
      </c>
      <c r="C152" s="340" t="str">
        <f>IFERROR(LEFT(ESS_DATA[[#This Row],[TCL REFERENCE]],FIND(".",ESS_DATA[[#This Row],[TCL REFERENCE]],1)-1),"Main Line")</f>
        <v>26AUG003</v>
      </c>
      <c r="D152" s="340" t="s">
        <v>63</v>
      </c>
      <c r="E152" s="343" t="s">
        <v>64</v>
      </c>
      <c r="F152" s="343" t="s">
        <v>65</v>
      </c>
      <c r="G152" s="340" t="s">
        <v>402</v>
      </c>
      <c r="H152" s="340" t="s">
        <v>67</v>
      </c>
      <c r="I152" s="343"/>
      <c r="J152" s="340"/>
      <c r="K152" s="340"/>
      <c r="L152" s="341"/>
      <c r="M152" s="342" t="s">
        <v>68</v>
      </c>
      <c r="N152" s="651" t="s">
        <v>7446</v>
      </c>
      <c r="O152" s="651" t="s">
        <v>7438</v>
      </c>
      <c r="P152" s="651" t="s">
        <v>7447</v>
      </c>
      <c r="Q152" s="339"/>
      <c r="R152" s="344">
        <v>65</v>
      </c>
      <c r="S152" s="345"/>
      <c r="T152" s="340"/>
      <c r="U152" s="346">
        <f>ESS_DATA[[#This Row],[QUANTITY]]/224</f>
        <v>0.29017857142857145</v>
      </c>
      <c r="V152" s="612" t="s">
        <v>7463</v>
      </c>
      <c r="W152" s="340" t="s">
        <v>2464</v>
      </c>
      <c r="X152" s="343" t="str">
        <f t="shared" si="6"/>
        <v>IN-TRANSIT</v>
      </c>
      <c r="Y152" s="652">
        <v>46245</v>
      </c>
      <c r="Z152" s="347">
        <v>46256</v>
      </c>
      <c r="AA152" s="348">
        <f>WEEKNUM(ESS_DATA[[#This Row],[Pick-Up Date]])</f>
        <v>34</v>
      </c>
      <c r="AB152" s="343" t="s">
        <v>7852</v>
      </c>
      <c r="AC152" s="351"/>
      <c r="AD152" s="340" t="s">
        <v>122</v>
      </c>
      <c r="AE152" s="340" t="s">
        <v>123</v>
      </c>
      <c r="AF152" s="340" t="s">
        <v>78</v>
      </c>
      <c r="AG152" s="347">
        <v>46253</v>
      </c>
      <c r="AH152" s="347">
        <v>46267</v>
      </c>
      <c r="AI152" s="347">
        <v>46267</v>
      </c>
      <c r="AJ152" s="347">
        <v>46302</v>
      </c>
      <c r="AK152" s="347">
        <v>46309</v>
      </c>
      <c r="AL152" s="347"/>
      <c r="AM152" s="349" t="s">
        <v>402</v>
      </c>
      <c r="AN152" s="347" t="s">
        <v>7853</v>
      </c>
      <c r="AO152" s="347" t="s">
        <v>161</v>
      </c>
      <c r="AP152" s="347" t="s">
        <v>7854</v>
      </c>
      <c r="AQ152" s="340">
        <v>275076509</v>
      </c>
      <c r="AR152" s="340">
        <v>275076509</v>
      </c>
      <c r="AS152" s="340">
        <f>ESS_DATA[[#This Row],[ETA On S/O]]-ESS_DATA[[#This Row],[ETD On S/O]]+1</f>
        <v>50</v>
      </c>
      <c r="AT152" s="340"/>
      <c r="AU152" s="347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46317</v>
      </c>
      <c r="AX152" s="340">
        <f>IF(ESS_DATA[[#This Row],[New Ark PO Type]]="Offshore",0,IFERROR(VLOOKUP(ESS_DATA[[#This Row],[PORT OF LOADING]]&amp;ESS_DATA[[#This Row],[PORT DESTINATION]],LT_REF[],7,0),14))</f>
        <v>8</v>
      </c>
      <c r="AY152" s="347">
        <f>IFERROR(ESS_DATA[[#This Row],[ODP ETA Port]]+ESS_DATA[[#This Row],[Customs/Leg3 Assumption]],"n/a")</f>
        <v>46317</v>
      </c>
      <c r="AZ152" s="343">
        <f>YEAR(ESS_DATA[[#This Row],[ETA for New Ark update]])</f>
        <v>2026</v>
      </c>
      <c r="BA152" s="343">
        <f>MONTH(ESS_DATA[[#This Row],[ETA for New Ark update]])</f>
        <v>10</v>
      </c>
      <c r="BB152" s="343">
        <f>IFERROR(_xlfn.ISOWEEKNUM(ESS_DATA[[#This Row],[ETA for New Ark update]]),0)</f>
        <v>43</v>
      </c>
      <c r="BC152" s="343" t="str">
        <f>_xlfn.XLOOKUP(ESS_DATA[[#This Row],[PORT DESTINATION]],Table12[PORT DESTINATION],Table12[Cosco Line],,0)</f>
        <v>AEM</v>
      </c>
      <c r="BD152" s="343"/>
      <c r="BE152" s="350"/>
      <c r="BF152" s="350"/>
      <c r="BG152" s="350"/>
      <c r="BH152" s="350"/>
      <c r="BI152" s="350"/>
    </row>
    <row r="153" spans="1:61" s="613" customFormat="1" ht="10">
      <c r="A153" s="351" t="s">
        <v>7858</v>
      </c>
      <c r="B153" s="340" t="s">
        <v>7423</v>
      </c>
      <c r="C153" s="340" t="str">
        <f>IFERROR(LEFT(ESS_DATA[[#This Row],[TCL REFERENCE]],FIND(".",ESS_DATA[[#This Row],[TCL REFERENCE]],1)-1),"Main Line")</f>
        <v>Main Line</v>
      </c>
      <c r="D153" s="340" t="s">
        <v>63</v>
      </c>
      <c r="E153" s="343" t="s">
        <v>64</v>
      </c>
      <c r="F153" s="343" t="s">
        <v>65</v>
      </c>
      <c r="G153" s="340" t="s">
        <v>402</v>
      </c>
      <c r="H153" s="340" t="s">
        <v>67</v>
      </c>
      <c r="I153" s="343"/>
      <c r="J153" s="340"/>
      <c r="K153" s="340"/>
      <c r="L153" s="341"/>
      <c r="M153" s="342" t="s">
        <v>68</v>
      </c>
      <c r="N153" s="651" t="s">
        <v>7446</v>
      </c>
      <c r="O153" s="651" t="s">
        <v>7438</v>
      </c>
      <c r="P153" s="651" t="s">
        <v>7447</v>
      </c>
      <c r="Q153" s="339"/>
      <c r="R153" s="344">
        <v>3</v>
      </c>
      <c r="S153" s="345"/>
      <c r="T153" s="340"/>
      <c r="U153" s="346">
        <f>ESS_DATA[[#This Row],[QUANTITY]]/224</f>
        <v>1.3392857142857142E-2</v>
      </c>
      <c r="V153" s="612" t="s">
        <v>7463</v>
      </c>
      <c r="W153" s="340" t="s">
        <v>2464</v>
      </c>
      <c r="X153" s="343" t="str">
        <f t="shared" si="6"/>
        <v>IN-TRANSIT</v>
      </c>
      <c r="Y153" s="652">
        <v>46245</v>
      </c>
      <c r="Z153" s="347">
        <v>46256</v>
      </c>
      <c r="AA153" s="348">
        <f>WEEKNUM(ESS_DATA[[#This Row],[Pick-Up Date]])</f>
        <v>34</v>
      </c>
      <c r="AB153" s="343" t="s">
        <v>7852</v>
      </c>
      <c r="AC153" s="351"/>
      <c r="AD153" s="340" t="s">
        <v>122</v>
      </c>
      <c r="AE153" s="340" t="s">
        <v>123</v>
      </c>
      <c r="AF153" s="340" t="s">
        <v>78</v>
      </c>
      <c r="AG153" s="347">
        <v>46253</v>
      </c>
      <c r="AH153" s="347">
        <v>46267</v>
      </c>
      <c r="AI153" s="347">
        <v>46267</v>
      </c>
      <c r="AJ153" s="347">
        <v>46302</v>
      </c>
      <c r="AK153" s="347">
        <v>46309</v>
      </c>
      <c r="AL153" s="347"/>
      <c r="AM153" s="349" t="s">
        <v>402</v>
      </c>
      <c r="AN153" s="347" t="s">
        <v>7853</v>
      </c>
      <c r="AO153" s="347" t="s">
        <v>161</v>
      </c>
      <c r="AP153" s="347" t="s">
        <v>7854</v>
      </c>
      <c r="AQ153" s="340">
        <v>275076509</v>
      </c>
      <c r="AR153" s="340">
        <v>275076509</v>
      </c>
      <c r="AS153" s="340">
        <f>ESS_DATA[[#This Row],[ETA On S/O]]-ESS_DATA[[#This Row],[ETD On S/O]]+1</f>
        <v>50</v>
      </c>
      <c r="AT153" s="340"/>
      <c r="AU153" s="347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46317</v>
      </c>
      <c r="AX153" s="340">
        <f>IF(ESS_DATA[[#This Row],[New Ark PO Type]]="Offshore",0,IFERROR(VLOOKUP(ESS_DATA[[#This Row],[PORT OF LOADING]]&amp;ESS_DATA[[#This Row],[PORT DESTINATION]],LT_REF[],7,0),14))</f>
        <v>8</v>
      </c>
      <c r="AY153" s="347">
        <f>IFERROR(ESS_DATA[[#This Row],[ODP ETA Port]]+ESS_DATA[[#This Row],[Customs/Leg3 Assumption]],"n/a")</f>
        <v>46317</v>
      </c>
      <c r="AZ153" s="343">
        <f>YEAR(ESS_DATA[[#This Row],[ETA for New Ark update]])</f>
        <v>2026</v>
      </c>
      <c r="BA153" s="343">
        <f>MONTH(ESS_DATA[[#This Row],[ETA for New Ark update]])</f>
        <v>10</v>
      </c>
      <c r="BB153" s="343">
        <f>IFERROR(_xlfn.ISOWEEKNUM(ESS_DATA[[#This Row],[ETA for New Ark update]]),0)</f>
        <v>43</v>
      </c>
      <c r="BC153" s="343" t="str">
        <f>_xlfn.XLOOKUP(ESS_DATA[[#This Row],[PORT DESTINATION]],Table12[PORT DESTINATION],Table12[Cosco Line],,0)</f>
        <v>AEM</v>
      </c>
      <c r="BD153" s="343"/>
      <c r="BE153" s="350"/>
      <c r="BF153" s="350"/>
      <c r="BG153" s="350"/>
      <c r="BH153" s="350"/>
      <c r="BI153" s="350"/>
    </row>
    <row r="154" spans="1:61" s="613" customFormat="1" ht="10">
      <c r="A154" s="351" t="s">
        <v>7859</v>
      </c>
      <c r="B154" s="340" t="s">
        <v>7423</v>
      </c>
      <c r="C154" s="340" t="str">
        <f>IFERROR(LEFT(ESS_DATA[[#This Row],[TCL REFERENCE]],FIND(".",ESS_DATA[[#This Row],[TCL REFERENCE]],1)-1),"Main Line")</f>
        <v>26AUG004</v>
      </c>
      <c r="D154" s="340" t="s">
        <v>63</v>
      </c>
      <c r="E154" s="343" t="s">
        <v>64</v>
      </c>
      <c r="F154" s="343" t="s">
        <v>65</v>
      </c>
      <c r="G154" s="340" t="s">
        <v>402</v>
      </c>
      <c r="H154" s="340" t="s">
        <v>67</v>
      </c>
      <c r="I154" s="343"/>
      <c r="J154" s="340"/>
      <c r="K154" s="340"/>
      <c r="L154" s="341"/>
      <c r="M154" s="342" t="s">
        <v>68</v>
      </c>
      <c r="N154" s="651" t="s">
        <v>7449</v>
      </c>
      <c r="O154" s="651" t="s">
        <v>7646</v>
      </c>
      <c r="P154" s="651" t="s">
        <v>7451</v>
      </c>
      <c r="Q154" s="339"/>
      <c r="R154" s="653">
        <v>100</v>
      </c>
      <c r="S154" s="345"/>
      <c r="T154" s="340"/>
      <c r="U154" s="346">
        <f>ESS_DATA[[#This Row],[QUANTITY]]/350</f>
        <v>0.2857142857142857</v>
      </c>
      <c r="V154" s="612" t="s">
        <v>7463</v>
      </c>
      <c r="W154" s="340" t="s">
        <v>2464</v>
      </c>
      <c r="X154" s="343" t="str">
        <f t="shared" si="6"/>
        <v>IN-TRANSIT</v>
      </c>
      <c r="Y154" s="652">
        <v>46245</v>
      </c>
      <c r="Z154" s="347">
        <v>46256</v>
      </c>
      <c r="AA154" s="348">
        <f>WEEKNUM(ESS_DATA[[#This Row],[Pick-Up Date]])</f>
        <v>34</v>
      </c>
      <c r="AB154" s="343" t="s">
        <v>7852</v>
      </c>
      <c r="AC154" s="351"/>
      <c r="AD154" s="340" t="s">
        <v>122</v>
      </c>
      <c r="AE154" s="340" t="s">
        <v>123</v>
      </c>
      <c r="AF154" s="340" t="s">
        <v>78</v>
      </c>
      <c r="AG154" s="347">
        <v>46253</v>
      </c>
      <c r="AH154" s="347">
        <v>46267</v>
      </c>
      <c r="AI154" s="347">
        <v>46267</v>
      </c>
      <c r="AJ154" s="347">
        <v>46302</v>
      </c>
      <c r="AK154" s="347">
        <v>46309</v>
      </c>
      <c r="AL154" s="347"/>
      <c r="AM154" s="349" t="s">
        <v>402</v>
      </c>
      <c r="AN154" s="347" t="s">
        <v>7853</v>
      </c>
      <c r="AO154" s="347" t="s">
        <v>161</v>
      </c>
      <c r="AP154" s="347" t="s">
        <v>7854</v>
      </c>
      <c r="AQ154" s="340">
        <v>275076509</v>
      </c>
      <c r="AR154" s="340">
        <v>275076509</v>
      </c>
      <c r="AS154" s="340">
        <f>ESS_DATA[[#This Row],[ETA On S/O]]-ESS_DATA[[#This Row],[ETD On S/O]]+1</f>
        <v>50</v>
      </c>
      <c r="AT154" s="340"/>
      <c r="AU154" s="347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46317</v>
      </c>
      <c r="AX154" s="340">
        <f>IF(ESS_DATA[[#This Row],[New Ark PO Type]]="Offshore",0,IFERROR(VLOOKUP(ESS_DATA[[#This Row],[PORT OF LOADING]]&amp;ESS_DATA[[#This Row],[PORT DESTINATION]],LT_REF[],7,0),14))</f>
        <v>8</v>
      </c>
      <c r="AY154" s="347">
        <f>IFERROR(ESS_DATA[[#This Row],[ODP ETA Port]]+ESS_DATA[[#This Row],[Customs/Leg3 Assumption]],"n/a")</f>
        <v>46317</v>
      </c>
      <c r="AZ154" s="343">
        <f>YEAR(ESS_DATA[[#This Row],[ETA for New Ark update]])</f>
        <v>2026</v>
      </c>
      <c r="BA154" s="343">
        <f>MONTH(ESS_DATA[[#This Row],[ETA for New Ark update]])</f>
        <v>10</v>
      </c>
      <c r="BB154" s="343">
        <f>IFERROR(_xlfn.ISOWEEKNUM(ESS_DATA[[#This Row],[ETA for New Ark update]]),0)</f>
        <v>43</v>
      </c>
      <c r="BC154" s="343" t="str">
        <f>_xlfn.XLOOKUP(ESS_DATA[[#This Row],[PORT DESTINATION]],Table12[PORT DESTINATION],Table12[Cosco Line],,0)</f>
        <v>AEM</v>
      </c>
      <c r="BD154" s="343"/>
      <c r="BE154" s="350"/>
      <c r="BF154" s="350"/>
      <c r="BG154" s="350"/>
      <c r="BH154" s="350"/>
      <c r="BI154" s="350"/>
    </row>
    <row r="155" spans="1:61" s="613" customFormat="1" ht="10">
      <c r="A155" s="351" t="s">
        <v>7860</v>
      </c>
      <c r="B155" s="340" t="s">
        <v>7423</v>
      </c>
      <c r="C155" s="340" t="str">
        <f>IFERROR(LEFT(ESS_DATA[[#This Row],[TCL REFERENCE]],FIND(".",ESS_DATA[[#This Row],[TCL REFERENCE]],1)-1),"Main Line")</f>
        <v>Main Line</v>
      </c>
      <c r="D155" s="340" t="s">
        <v>63</v>
      </c>
      <c r="E155" s="343" t="s">
        <v>64</v>
      </c>
      <c r="F155" s="343" t="s">
        <v>65</v>
      </c>
      <c r="G155" s="340" t="s">
        <v>402</v>
      </c>
      <c r="H155" s="340" t="s">
        <v>67</v>
      </c>
      <c r="I155" s="343"/>
      <c r="J155" s="340"/>
      <c r="K155" s="340"/>
      <c r="L155" s="341"/>
      <c r="M155" s="342" t="s">
        <v>68</v>
      </c>
      <c r="N155" s="651" t="s">
        <v>7449</v>
      </c>
      <c r="O155" s="651" t="s">
        <v>7646</v>
      </c>
      <c r="P155" s="651" t="s">
        <v>7451</v>
      </c>
      <c r="Q155" s="339"/>
      <c r="R155" s="653">
        <v>30</v>
      </c>
      <c r="S155" s="345"/>
      <c r="T155" s="340"/>
      <c r="U155" s="346">
        <f>ESS_DATA[[#This Row],[QUANTITY]]/350</f>
        <v>8.5714285714285715E-2</v>
      </c>
      <c r="V155" s="612" t="s">
        <v>7463</v>
      </c>
      <c r="W155" s="340" t="s">
        <v>2464</v>
      </c>
      <c r="X155" s="343" t="str">
        <f t="shared" si="6"/>
        <v>IN-TRANSIT</v>
      </c>
      <c r="Y155" s="652">
        <v>46245</v>
      </c>
      <c r="Z155" s="347">
        <v>46256</v>
      </c>
      <c r="AA155" s="348">
        <f>WEEKNUM(ESS_DATA[[#This Row],[Pick-Up Date]])</f>
        <v>34</v>
      </c>
      <c r="AB155" s="343" t="s">
        <v>7852</v>
      </c>
      <c r="AC155" s="351"/>
      <c r="AD155" s="340" t="s">
        <v>122</v>
      </c>
      <c r="AE155" s="340" t="s">
        <v>123</v>
      </c>
      <c r="AF155" s="340" t="s">
        <v>78</v>
      </c>
      <c r="AG155" s="347">
        <v>46253</v>
      </c>
      <c r="AH155" s="347">
        <v>46267</v>
      </c>
      <c r="AI155" s="347">
        <v>46267</v>
      </c>
      <c r="AJ155" s="347">
        <v>46302</v>
      </c>
      <c r="AK155" s="347">
        <v>46309</v>
      </c>
      <c r="AL155" s="347"/>
      <c r="AM155" s="349" t="s">
        <v>402</v>
      </c>
      <c r="AN155" s="347" t="s">
        <v>7853</v>
      </c>
      <c r="AO155" s="347" t="s">
        <v>161</v>
      </c>
      <c r="AP155" s="347" t="s">
        <v>7854</v>
      </c>
      <c r="AQ155" s="340">
        <v>275076509</v>
      </c>
      <c r="AR155" s="340">
        <v>275076509</v>
      </c>
      <c r="AS155" s="340">
        <f>ESS_DATA[[#This Row],[ETA On S/O]]-ESS_DATA[[#This Row],[ETD On S/O]]+1</f>
        <v>50</v>
      </c>
      <c r="AT155" s="340"/>
      <c r="AU155" s="347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46317</v>
      </c>
      <c r="AX155" s="340">
        <f>IF(ESS_DATA[[#This Row],[New Ark PO Type]]="Offshore",0,IFERROR(VLOOKUP(ESS_DATA[[#This Row],[PORT OF LOADING]]&amp;ESS_DATA[[#This Row],[PORT DESTINATION]],LT_REF[],7,0),14))</f>
        <v>8</v>
      </c>
      <c r="AY155" s="347">
        <f>IFERROR(ESS_DATA[[#This Row],[ODP ETA Port]]+ESS_DATA[[#This Row],[Customs/Leg3 Assumption]],"n/a")</f>
        <v>46317</v>
      </c>
      <c r="AZ155" s="343">
        <f>YEAR(ESS_DATA[[#This Row],[ETA for New Ark update]])</f>
        <v>2026</v>
      </c>
      <c r="BA155" s="343">
        <f>MONTH(ESS_DATA[[#This Row],[ETA for New Ark update]])</f>
        <v>10</v>
      </c>
      <c r="BB155" s="343">
        <f>IFERROR(_xlfn.ISOWEEKNUM(ESS_DATA[[#This Row],[ETA for New Ark update]]),0)</f>
        <v>43</v>
      </c>
      <c r="BC155" s="343" t="str">
        <f>_xlfn.XLOOKUP(ESS_DATA[[#This Row],[PORT DESTINATION]],Table12[PORT DESTINATION],Table12[Cosco Line],,0)</f>
        <v>AEM</v>
      </c>
      <c r="BD155" s="343"/>
      <c r="BE155" s="350"/>
      <c r="BF155" s="350"/>
      <c r="BG155" s="350"/>
      <c r="BH155" s="350"/>
      <c r="BI155" s="350"/>
    </row>
    <row r="156" spans="1:61" s="613" customFormat="1" ht="10">
      <c r="A156" s="351" t="s">
        <v>7861</v>
      </c>
      <c r="B156" s="340" t="s">
        <v>7423</v>
      </c>
      <c r="C156" s="340" t="str">
        <f>IFERROR(LEFT(ESS_DATA[[#This Row],[TCL REFERENCE]],FIND(".",ESS_DATA[[#This Row],[TCL REFERENCE]],1)-1),"Main Line")</f>
        <v>Main Line</v>
      </c>
      <c r="D156" s="340" t="s">
        <v>63</v>
      </c>
      <c r="E156" s="652" t="s">
        <v>64</v>
      </c>
      <c r="F156" s="651" t="s">
        <v>65</v>
      </c>
      <c r="G156" s="340" t="s">
        <v>402</v>
      </c>
      <c r="H156" s="651" t="s">
        <v>67</v>
      </c>
      <c r="I156" s="344"/>
      <c r="J156" s="340"/>
      <c r="K156" s="340"/>
      <c r="L156" s="341"/>
      <c r="M156" s="342"/>
      <c r="N156" s="654" t="s">
        <v>7425</v>
      </c>
      <c r="O156" s="651" t="s">
        <v>7595</v>
      </c>
      <c r="P156" s="654" t="s">
        <v>7427</v>
      </c>
      <c r="Q156" s="339"/>
      <c r="R156" s="344">
        <v>180</v>
      </c>
      <c r="S156" s="345"/>
      <c r="T156" s="340"/>
      <c r="U156" s="346">
        <v>0.05</v>
      </c>
      <c r="V156" s="612" t="s">
        <v>7463</v>
      </c>
      <c r="W156" s="340" t="s">
        <v>2464</v>
      </c>
      <c r="X156" s="343" t="str">
        <f t="shared" si="6"/>
        <v>IN-TRANSIT</v>
      </c>
      <c r="Y156" s="652">
        <v>46245</v>
      </c>
      <c r="Z156" s="347">
        <v>46256</v>
      </c>
      <c r="AA156" s="348">
        <f>WEEKNUM(ESS_DATA[[#This Row],[Pick-Up Date]])</f>
        <v>34</v>
      </c>
      <c r="AB156" s="343" t="s">
        <v>7852</v>
      </c>
      <c r="AC156" s="351"/>
      <c r="AD156" s="340" t="s">
        <v>122</v>
      </c>
      <c r="AE156" s="340" t="s">
        <v>123</v>
      </c>
      <c r="AF156" s="340" t="s">
        <v>78</v>
      </c>
      <c r="AG156" s="347">
        <v>46253</v>
      </c>
      <c r="AH156" s="347">
        <v>46267</v>
      </c>
      <c r="AI156" s="347">
        <v>46267</v>
      </c>
      <c r="AJ156" s="347">
        <v>46302</v>
      </c>
      <c r="AK156" s="347">
        <v>46309</v>
      </c>
      <c r="AL156" s="347"/>
      <c r="AM156" s="349" t="s">
        <v>402</v>
      </c>
      <c r="AN156" s="347" t="s">
        <v>7853</v>
      </c>
      <c r="AO156" s="347" t="s">
        <v>161</v>
      </c>
      <c r="AP156" s="347" t="s">
        <v>7854</v>
      </c>
      <c r="AQ156" s="340">
        <v>275076509</v>
      </c>
      <c r="AR156" s="340">
        <v>275076509</v>
      </c>
      <c r="AS156" s="340">
        <f>ESS_DATA[[#This Row],[ETA On S/O]]-ESS_DATA[[#This Row],[ETD On S/O]]+1</f>
        <v>50</v>
      </c>
      <c r="AT156" s="340"/>
      <c r="AU156" s="347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46317</v>
      </c>
      <c r="AX156" s="340">
        <f>IF(ESS_DATA[[#This Row],[New Ark PO Type]]="Offshore",0,IFERROR(VLOOKUP(ESS_DATA[[#This Row],[PORT OF LOADING]]&amp;ESS_DATA[[#This Row],[PORT DESTINATION]],LT_REF[],7,0),14))</f>
        <v>8</v>
      </c>
      <c r="AY156" s="347">
        <f>IFERROR(ESS_DATA[[#This Row],[ODP ETA Port]]+ESS_DATA[[#This Row],[Customs/Leg3 Assumption]],"n/a")</f>
        <v>46317</v>
      </c>
      <c r="AZ156" s="343">
        <f>YEAR(ESS_DATA[[#This Row],[ETA for New Ark update]])</f>
        <v>2026</v>
      </c>
      <c r="BA156" s="343">
        <f>MONTH(ESS_DATA[[#This Row],[ETA for New Ark update]])</f>
        <v>10</v>
      </c>
      <c r="BB156" s="343">
        <f>IFERROR(_xlfn.ISOWEEKNUM(ESS_DATA[[#This Row],[ETA for New Ark update]]),0)</f>
        <v>43</v>
      </c>
      <c r="BC156" s="343" t="str">
        <f>_xlfn.XLOOKUP(ESS_DATA[[#This Row],[PORT DESTINATION]],Table12[PORT DESTINATION],Table12[Cosco Line],,0)</f>
        <v>AEM</v>
      </c>
      <c r="BD156" s="343"/>
      <c r="BE156" s="350"/>
      <c r="BF156" s="350"/>
      <c r="BG156" s="350"/>
      <c r="BH156" s="350"/>
      <c r="BI156" s="350"/>
    </row>
    <row r="157" spans="1:61" s="613" customFormat="1" ht="10">
      <c r="A157" s="351" t="s">
        <v>7862</v>
      </c>
      <c r="B157" s="340" t="s">
        <v>7423</v>
      </c>
      <c r="C157" s="340" t="str">
        <f>IFERROR(LEFT(ESS_DATA[[#This Row],[TCL REFERENCE]],FIND(".",ESS_DATA[[#This Row],[TCL REFERENCE]],1)-1),"Main Line")</f>
        <v>26AUG002</v>
      </c>
      <c r="D157" s="340" t="s">
        <v>63</v>
      </c>
      <c r="E157" s="343" t="s">
        <v>64</v>
      </c>
      <c r="F157" s="343" t="s">
        <v>65</v>
      </c>
      <c r="G157" s="340" t="s">
        <v>402</v>
      </c>
      <c r="H157" s="340" t="s">
        <v>67</v>
      </c>
      <c r="I157" s="343"/>
      <c r="J157" s="340"/>
      <c r="K157" s="340"/>
      <c r="L157" s="341"/>
      <c r="M157" s="342" t="s">
        <v>68</v>
      </c>
      <c r="N157" s="651" t="s">
        <v>7437</v>
      </c>
      <c r="O157" s="651" t="s">
        <v>7438</v>
      </c>
      <c r="P157" s="651" t="s">
        <v>7439</v>
      </c>
      <c r="Q157" s="339"/>
      <c r="R157" s="344">
        <v>130</v>
      </c>
      <c r="S157" s="345"/>
      <c r="T157" s="340"/>
      <c r="U157" s="346">
        <f>ESS_DATA[[#This Row],[QUANTITY]]/260</f>
        <v>0.5</v>
      </c>
      <c r="V157" s="612" t="s">
        <v>7473</v>
      </c>
      <c r="W157" s="340" t="s">
        <v>2465</v>
      </c>
      <c r="X157" s="343" t="str">
        <f t="shared" si="6"/>
        <v>IN-TRANSIT</v>
      </c>
      <c r="Y157" s="652">
        <v>46251</v>
      </c>
      <c r="Z157" s="347">
        <v>46256</v>
      </c>
      <c r="AA157" s="348">
        <f>WEEKNUM(ESS_DATA[[#This Row],[Pick-Up Date]])</f>
        <v>34</v>
      </c>
      <c r="AB157" s="343" t="s">
        <v>7852</v>
      </c>
      <c r="AC157" s="351"/>
      <c r="AD157" s="340" t="s">
        <v>122</v>
      </c>
      <c r="AE157" s="340" t="s">
        <v>123</v>
      </c>
      <c r="AF157" s="340" t="s">
        <v>78</v>
      </c>
      <c r="AG157" s="347">
        <v>46253</v>
      </c>
      <c r="AH157" s="347">
        <v>46267</v>
      </c>
      <c r="AI157" s="347">
        <v>46267</v>
      </c>
      <c r="AJ157" s="347">
        <v>46302</v>
      </c>
      <c r="AK157" s="347">
        <v>46309</v>
      </c>
      <c r="AL157" s="347"/>
      <c r="AM157" s="349" t="s">
        <v>402</v>
      </c>
      <c r="AN157" s="347" t="s">
        <v>7853</v>
      </c>
      <c r="AO157" s="347" t="s">
        <v>161</v>
      </c>
      <c r="AP157" s="347" t="s">
        <v>7854</v>
      </c>
      <c r="AQ157" s="340">
        <v>275076509</v>
      </c>
      <c r="AR157" s="340">
        <v>275076509</v>
      </c>
      <c r="AS157" s="340">
        <f>ESS_DATA[[#This Row],[ETA On S/O]]-ESS_DATA[[#This Row],[ETD On S/O]]+1</f>
        <v>50</v>
      </c>
      <c r="AT157" s="340"/>
      <c r="AU157" s="347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46317</v>
      </c>
      <c r="AX157" s="340">
        <f>IF(ESS_DATA[[#This Row],[New Ark PO Type]]="Offshore",0,IFERROR(VLOOKUP(ESS_DATA[[#This Row],[PORT OF LOADING]]&amp;ESS_DATA[[#This Row],[PORT DESTINATION]],LT_REF[],7,0),14))</f>
        <v>8</v>
      </c>
      <c r="AY157" s="347">
        <f>IFERROR(ESS_DATA[[#This Row],[ODP ETA Port]]+ESS_DATA[[#This Row],[Customs/Leg3 Assumption]],"n/a")</f>
        <v>46317</v>
      </c>
      <c r="AZ157" s="343">
        <f>YEAR(ESS_DATA[[#This Row],[ETA for New Ark update]])</f>
        <v>2026</v>
      </c>
      <c r="BA157" s="343">
        <f>MONTH(ESS_DATA[[#This Row],[ETA for New Ark update]])</f>
        <v>10</v>
      </c>
      <c r="BB157" s="343">
        <f>IFERROR(_xlfn.ISOWEEKNUM(ESS_DATA[[#This Row],[ETA for New Ark update]]),0)</f>
        <v>43</v>
      </c>
      <c r="BC157" s="343" t="str">
        <f>_xlfn.XLOOKUP(ESS_DATA[[#This Row],[PORT DESTINATION]],Table12[PORT DESTINATION],Table12[Cosco Line],,0)</f>
        <v>AEM</v>
      </c>
      <c r="BD157" s="343"/>
      <c r="BE157" s="350"/>
      <c r="BF157" s="350"/>
      <c r="BG157" s="350"/>
      <c r="BH157" s="350"/>
      <c r="BI157" s="350"/>
    </row>
    <row r="158" spans="1:61" s="613" customFormat="1" ht="10">
      <c r="A158" s="351" t="s">
        <v>7863</v>
      </c>
      <c r="B158" s="340" t="s">
        <v>7423</v>
      </c>
      <c r="C158" s="340" t="str">
        <f>IFERROR(LEFT(ESS_DATA[[#This Row],[TCL REFERENCE]],FIND(".",ESS_DATA[[#This Row],[TCL REFERENCE]],1)-1),"Main Line")</f>
        <v>26AUG004</v>
      </c>
      <c r="D158" s="340" t="s">
        <v>63</v>
      </c>
      <c r="E158" s="343" t="s">
        <v>64</v>
      </c>
      <c r="F158" s="343" t="s">
        <v>65</v>
      </c>
      <c r="G158" s="340" t="s">
        <v>402</v>
      </c>
      <c r="H158" s="340" t="s">
        <v>67</v>
      </c>
      <c r="I158" s="343"/>
      <c r="J158" s="340"/>
      <c r="K158" s="340"/>
      <c r="L158" s="341"/>
      <c r="M158" s="342" t="s">
        <v>68</v>
      </c>
      <c r="N158" s="651" t="s">
        <v>7449</v>
      </c>
      <c r="O158" s="651" t="s">
        <v>7646</v>
      </c>
      <c r="P158" s="651" t="s">
        <v>7451</v>
      </c>
      <c r="Q158" s="339"/>
      <c r="R158" s="344">
        <v>130</v>
      </c>
      <c r="S158" s="345"/>
      <c r="T158" s="340"/>
      <c r="U158" s="346">
        <f>ESS_DATA[[#This Row],[QUANTITY]]/260</f>
        <v>0.5</v>
      </c>
      <c r="V158" s="612" t="s">
        <v>7473</v>
      </c>
      <c r="W158" s="340" t="s">
        <v>2465</v>
      </c>
      <c r="X158" s="343" t="str">
        <f t="shared" si="6"/>
        <v>IN-TRANSIT</v>
      </c>
      <c r="Y158" s="652">
        <v>46251</v>
      </c>
      <c r="Z158" s="347">
        <v>46256</v>
      </c>
      <c r="AA158" s="348">
        <f>WEEKNUM(ESS_DATA[[#This Row],[Pick-Up Date]])</f>
        <v>34</v>
      </c>
      <c r="AB158" s="343" t="s">
        <v>7852</v>
      </c>
      <c r="AC158" s="351"/>
      <c r="AD158" s="340" t="s">
        <v>122</v>
      </c>
      <c r="AE158" s="340" t="s">
        <v>123</v>
      </c>
      <c r="AF158" s="340" t="s">
        <v>78</v>
      </c>
      <c r="AG158" s="347">
        <v>46253</v>
      </c>
      <c r="AH158" s="347">
        <v>46267</v>
      </c>
      <c r="AI158" s="347">
        <v>46267</v>
      </c>
      <c r="AJ158" s="347">
        <v>46302</v>
      </c>
      <c r="AK158" s="347">
        <v>46309</v>
      </c>
      <c r="AL158" s="347"/>
      <c r="AM158" s="349" t="s">
        <v>402</v>
      </c>
      <c r="AN158" s="347" t="s">
        <v>7853</v>
      </c>
      <c r="AO158" s="347" t="s">
        <v>161</v>
      </c>
      <c r="AP158" s="347" t="s">
        <v>7854</v>
      </c>
      <c r="AQ158" s="340">
        <v>275076509</v>
      </c>
      <c r="AR158" s="340">
        <v>275076509</v>
      </c>
      <c r="AS158" s="340">
        <f>ESS_DATA[[#This Row],[ETA On S/O]]-ESS_DATA[[#This Row],[ETD On S/O]]+1</f>
        <v>50</v>
      </c>
      <c r="AT158" s="340"/>
      <c r="AU158" s="347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46317</v>
      </c>
      <c r="AX158" s="340">
        <f>IF(ESS_DATA[[#This Row],[New Ark PO Type]]="Offshore",0,IFERROR(VLOOKUP(ESS_DATA[[#This Row],[PORT OF LOADING]]&amp;ESS_DATA[[#This Row],[PORT DESTINATION]],LT_REF[],7,0),14))</f>
        <v>8</v>
      </c>
      <c r="AY158" s="347">
        <f>IFERROR(ESS_DATA[[#This Row],[ODP ETA Port]]+ESS_DATA[[#This Row],[Customs/Leg3 Assumption]],"n/a")</f>
        <v>46317</v>
      </c>
      <c r="AZ158" s="343">
        <f>YEAR(ESS_DATA[[#This Row],[ETA for New Ark update]])</f>
        <v>2026</v>
      </c>
      <c r="BA158" s="343">
        <f>MONTH(ESS_DATA[[#This Row],[ETA for New Ark update]])</f>
        <v>10</v>
      </c>
      <c r="BB158" s="343">
        <f>IFERROR(_xlfn.ISOWEEKNUM(ESS_DATA[[#This Row],[ETA for New Ark update]]),0)</f>
        <v>43</v>
      </c>
      <c r="BC158" s="343" t="str">
        <f>_xlfn.XLOOKUP(ESS_DATA[[#This Row],[PORT DESTINATION]],Table12[PORT DESTINATION],Table12[Cosco Line],,0)</f>
        <v>AEM</v>
      </c>
      <c r="BD158" s="343"/>
      <c r="BE158" s="350"/>
      <c r="BF158" s="350"/>
      <c r="BG158" s="350"/>
      <c r="BH158" s="350"/>
      <c r="BI158" s="350"/>
    </row>
    <row r="159" spans="1:61" s="613" customFormat="1" ht="10">
      <c r="A159" s="351" t="s">
        <v>7864</v>
      </c>
      <c r="B159" s="340" t="s">
        <v>7423</v>
      </c>
      <c r="C159" s="340" t="str">
        <f>IFERROR(LEFT(ESS_DATA[[#This Row],[TCL REFERENCE]],FIND(".",ESS_DATA[[#This Row],[TCL REFERENCE]],1)-1),"Main Line")</f>
        <v>Main Line</v>
      </c>
      <c r="D159" s="340" t="s">
        <v>63</v>
      </c>
      <c r="E159" s="343" t="s">
        <v>64</v>
      </c>
      <c r="F159" s="343" t="s">
        <v>65</v>
      </c>
      <c r="G159" s="340" t="s">
        <v>402</v>
      </c>
      <c r="H159" s="340" t="s">
        <v>67</v>
      </c>
      <c r="I159" s="343"/>
      <c r="J159" s="340"/>
      <c r="K159" s="340"/>
      <c r="L159" s="341"/>
      <c r="M159" s="342"/>
      <c r="N159" s="339" t="s">
        <v>7433</v>
      </c>
      <c r="O159" s="340" t="s">
        <v>7702</v>
      </c>
      <c r="P159" s="666" t="s">
        <v>7435</v>
      </c>
      <c r="Q159" s="339"/>
      <c r="R159" s="653">
        <v>108</v>
      </c>
      <c r="S159" s="345"/>
      <c r="T159" s="340"/>
      <c r="U159" s="346"/>
      <c r="V159" s="612" t="s">
        <v>7473</v>
      </c>
      <c r="W159" s="340" t="s">
        <v>2465</v>
      </c>
      <c r="X159" s="343" t="str">
        <f t="shared" si="6"/>
        <v>IN-TRANSIT</v>
      </c>
      <c r="Y159" s="652">
        <v>46251</v>
      </c>
      <c r="Z159" s="347">
        <v>46256</v>
      </c>
      <c r="AA159" s="348">
        <f>WEEKNUM(ESS_DATA[[#This Row],[Pick-Up Date]])</f>
        <v>34</v>
      </c>
      <c r="AB159" s="343" t="s">
        <v>7852</v>
      </c>
      <c r="AC159" s="351"/>
      <c r="AD159" s="340" t="s">
        <v>122</v>
      </c>
      <c r="AE159" s="340" t="s">
        <v>123</v>
      </c>
      <c r="AF159" s="340" t="s">
        <v>78</v>
      </c>
      <c r="AG159" s="347">
        <v>46253</v>
      </c>
      <c r="AH159" s="347">
        <v>46267</v>
      </c>
      <c r="AI159" s="347">
        <v>46267</v>
      </c>
      <c r="AJ159" s="347">
        <v>46302</v>
      </c>
      <c r="AK159" s="347">
        <v>46309</v>
      </c>
      <c r="AL159" s="347"/>
      <c r="AM159" s="349" t="s">
        <v>402</v>
      </c>
      <c r="AN159" s="347" t="s">
        <v>7853</v>
      </c>
      <c r="AO159" s="347" t="s">
        <v>161</v>
      </c>
      <c r="AP159" s="347" t="s">
        <v>7854</v>
      </c>
      <c r="AQ159" s="340">
        <v>275076509</v>
      </c>
      <c r="AR159" s="340">
        <v>275076509</v>
      </c>
      <c r="AS159" s="340">
        <f>ESS_DATA[[#This Row],[ETA On S/O]]-ESS_DATA[[#This Row],[ETD On S/O]]+1</f>
        <v>50</v>
      </c>
      <c r="AT159" s="340"/>
      <c r="AU159" s="347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46317</v>
      </c>
      <c r="AX159" s="340">
        <f>IF(ESS_DATA[[#This Row],[New Ark PO Type]]="Offshore",0,IFERROR(VLOOKUP(ESS_DATA[[#This Row],[PORT OF LOADING]]&amp;ESS_DATA[[#This Row],[PORT DESTINATION]],LT_REF[],7,0),14))</f>
        <v>8</v>
      </c>
      <c r="AY159" s="347">
        <f>IFERROR(ESS_DATA[[#This Row],[ODP ETA Port]]+ESS_DATA[[#This Row],[Customs/Leg3 Assumption]],"n/a")</f>
        <v>46317</v>
      </c>
      <c r="AZ159" s="343">
        <f>YEAR(ESS_DATA[[#This Row],[ETA for New Ark update]])</f>
        <v>2026</v>
      </c>
      <c r="BA159" s="343">
        <f>MONTH(ESS_DATA[[#This Row],[ETA for New Ark update]])</f>
        <v>10</v>
      </c>
      <c r="BB159" s="343">
        <f>IFERROR(_xlfn.ISOWEEKNUM(ESS_DATA[[#This Row],[ETA for New Ark update]]),0)</f>
        <v>43</v>
      </c>
      <c r="BC159" s="343" t="str">
        <f>_xlfn.XLOOKUP(ESS_DATA[[#This Row],[PORT DESTINATION]],Table12[PORT DESTINATION],Table12[Cosco Line],,0)</f>
        <v>AEM</v>
      </c>
      <c r="BD159" s="343"/>
      <c r="BE159" s="350"/>
      <c r="BF159" s="350"/>
      <c r="BG159" s="350"/>
      <c r="BH159" s="350"/>
      <c r="BI159" s="350"/>
    </row>
    <row r="160" spans="1:61" s="613" customFormat="1" ht="10">
      <c r="A160" s="351" t="s">
        <v>7865</v>
      </c>
      <c r="B160" s="340" t="s">
        <v>7423</v>
      </c>
      <c r="C160" s="340" t="str">
        <f>IFERROR(LEFT(ESS_DATA[[#This Row],[TCL REFERENCE]],FIND(".",ESS_DATA[[#This Row],[TCL REFERENCE]],1)-1),"Main Line")</f>
        <v>26AUG002</v>
      </c>
      <c r="D160" s="340" t="s">
        <v>63</v>
      </c>
      <c r="E160" s="343" t="s">
        <v>64</v>
      </c>
      <c r="F160" s="343" t="s">
        <v>65</v>
      </c>
      <c r="G160" s="340" t="s">
        <v>402</v>
      </c>
      <c r="H160" s="340" t="s">
        <v>67</v>
      </c>
      <c r="I160" s="343"/>
      <c r="J160" s="340"/>
      <c r="K160" s="340"/>
      <c r="L160" s="341"/>
      <c r="M160" s="342" t="s">
        <v>68</v>
      </c>
      <c r="N160" s="651" t="s">
        <v>7437</v>
      </c>
      <c r="O160" s="651" t="s">
        <v>7438</v>
      </c>
      <c r="P160" s="651" t="s">
        <v>7439</v>
      </c>
      <c r="Q160" s="339"/>
      <c r="R160" s="344">
        <v>130</v>
      </c>
      <c r="S160" s="345"/>
      <c r="T160" s="340"/>
      <c r="U160" s="346">
        <f>ESS_DATA[[#This Row],[QUANTITY]]/260</f>
        <v>0.5</v>
      </c>
      <c r="V160" s="612" t="s">
        <v>7482</v>
      </c>
      <c r="W160" s="340" t="s">
        <v>2465</v>
      </c>
      <c r="X160" s="343" t="str">
        <f t="shared" si="6"/>
        <v>IN-TRANSIT</v>
      </c>
      <c r="Y160" s="652">
        <v>46251</v>
      </c>
      <c r="Z160" s="347">
        <v>46256</v>
      </c>
      <c r="AA160" s="348">
        <f>WEEKNUM(ESS_DATA[[#This Row],[Pick-Up Date]])</f>
        <v>34</v>
      </c>
      <c r="AB160" s="343" t="s">
        <v>7866</v>
      </c>
      <c r="AC160" s="351"/>
      <c r="AD160" s="340" t="s">
        <v>122</v>
      </c>
      <c r="AE160" s="340" t="s">
        <v>123</v>
      </c>
      <c r="AF160" s="340" t="s">
        <v>78</v>
      </c>
      <c r="AG160" s="347">
        <v>46264</v>
      </c>
      <c r="AH160" s="347">
        <v>46269</v>
      </c>
      <c r="AI160" s="347">
        <v>46269</v>
      </c>
      <c r="AJ160" s="347">
        <v>46314</v>
      </c>
      <c r="AK160" s="347">
        <v>46318</v>
      </c>
      <c r="AL160" s="347"/>
      <c r="AM160" s="349" t="s">
        <v>402</v>
      </c>
      <c r="AN160" s="347" t="s">
        <v>6271</v>
      </c>
      <c r="AO160" s="347" t="s">
        <v>80</v>
      </c>
      <c r="AP160" s="347" t="s">
        <v>7867</v>
      </c>
      <c r="AQ160" s="340" t="s">
        <v>7868</v>
      </c>
      <c r="AR160" s="340" t="s">
        <v>7868</v>
      </c>
      <c r="AS160" s="340">
        <f>ESS_DATA[[#This Row],[ETA On S/O]]-ESS_DATA[[#This Row],[ETD On S/O]]+1</f>
        <v>51</v>
      </c>
      <c r="AT160" s="340"/>
      <c r="AU160" s="347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46322</v>
      </c>
      <c r="AX160" s="340">
        <f>IF(ESS_DATA[[#This Row],[New Ark PO Type]]="Offshore",0,IFERROR(VLOOKUP(ESS_DATA[[#This Row],[PORT OF LOADING]]&amp;ESS_DATA[[#This Row],[PORT DESTINATION]],LT_REF[],7,0),14))</f>
        <v>8</v>
      </c>
      <c r="AY160" s="347">
        <f>IFERROR(ESS_DATA[[#This Row],[ODP ETA Port]]+ESS_DATA[[#This Row],[Customs/Leg3 Assumption]],"n/a")</f>
        <v>46326</v>
      </c>
      <c r="AZ160" s="343">
        <f>YEAR(ESS_DATA[[#This Row],[ETA for New Ark update]])</f>
        <v>2026</v>
      </c>
      <c r="BA160" s="343">
        <f>MONTH(ESS_DATA[[#This Row],[ETA for New Ark update]])</f>
        <v>10</v>
      </c>
      <c r="BB160" s="343">
        <f>IFERROR(_xlfn.ISOWEEKNUM(ESS_DATA[[#This Row],[ETA for New Ark update]]),0)</f>
        <v>44</v>
      </c>
      <c r="BC160" s="343" t="str">
        <f>_xlfn.XLOOKUP(ESS_DATA[[#This Row],[PORT DESTINATION]],Table12[PORT DESTINATION],Table12[Cosco Line],,0)</f>
        <v>AEM</v>
      </c>
      <c r="BD160" s="343"/>
      <c r="BE160" s="350"/>
      <c r="BF160" s="350"/>
      <c r="BG160" s="350"/>
      <c r="BH160" s="350"/>
      <c r="BI160" s="350"/>
    </row>
    <row r="161" spans="1:61" s="613" customFormat="1" ht="10">
      <c r="A161" s="351" t="s">
        <v>7869</v>
      </c>
      <c r="B161" s="340" t="s">
        <v>7423</v>
      </c>
      <c r="C161" s="340" t="str">
        <f>IFERROR(LEFT(ESS_DATA[[#This Row],[TCL REFERENCE]],FIND(".",ESS_DATA[[#This Row],[TCL REFERENCE]],1)-1),"Main Line")</f>
        <v>26AUG004</v>
      </c>
      <c r="D161" s="340" t="s">
        <v>63</v>
      </c>
      <c r="E161" s="343" t="s">
        <v>64</v>
      </c>
      <c r="F161" s="343" t="s">
        <v>65</v>
      </c>
      <c r="G161" s="340" t="s">
        <v>402</v>
      </c>
      <c r="H161" s="340" t="s">
        <v>67</v>
      </c>
      <c r="I161" s="343"/>
      <c r="J161" s="340"/>
      <c r="K161" s="340"/>
      <c r="L161" s="341"/>
      <c r="M161" s="342" t="s">
        <v>68</v>
      </c>
      <c r="N161" s="651" t="s">
        <v>7449</v>
      </c>
      <c r="O161" s="651" t="s">
        <v>7646</v>
      </c>
      <c r="P161" s="651" t="s">
        <v>7451</v>
      </c>
      <c r="Q161" s="339"/>
      <c r="R161" s="344">
        <v>130</v>
      </c>
      <c r="S161" s="345"/>
      <c r="T161" s="340"/>
      <c r="U161" s="346">
        <f>ESS_DATA[[#This Row],[QUANTITY]]/260</f>
        <v>0.5</v>
      </c>
      <c r="V161" s="612" t="s">
        <v>7482</v>
      </c>
      <c r="W161" s="340" t="s">
        <v>2465</v>
      </c>
      <c r="X161" s="343" t="str">
        <f t="shared" si="6"/>
        <v>IN-TRANSIT</v>
      </c>
      <c r="Y161" s="652">
        <v>46251</v>
      </c>
      <c r="Z161" s="347">
        <v>46256</v>
      </c>
      <c r="AA161" s="348">
        <f>WEEKNUM(ESS_DATA[[#This Row],[Pick-Up Date]])</f>
        <v>34</v>
      </c>
      <c r="AB161" s="343" t="s">
        <v>7866</v>
      </c>
      <c r="AC161" s="351"/>
      <c r="AD161" s="340" t="s">
        <v>122</v>
      </c>
      <c r="AE161" s="340" t="s">
        <v>123</v>
      </c>
      <c r="AF161" s="340" t="s">
        <v>78</v>
      </c>
      <c r="AG161" s="347">
        <v>46264</v>
      </c>
      <c r="AH161" s="347">
        <v>46269</v>
      </c>
      <c r="AI161" s="347">
        <v>46269</v>
      </c>
      <c r="AJ161" s="347">
        <v>46314</v>
      </c>
      <c r="AK161" s="347">
        <v>46318</v>
      </c>
      <c r="AL161" s="347"/>
      <c r="AM161" s="349" t="s">
        <v>402</v>
      </c>
      <c r="AN161" s="347" t="s">
        <v>6271</v>
      </c>
      <c r="AO161" s="347" t="s">
        <v>80</v>
      </c>
      <c r="AP161" s="347" t="s">
        <v>7867</v>
      </c>
      <c r="AQ161" s="340" t="s">
        <v>7868</v>
      </c>
      <c r="AR161" s="340" t="s">
        <v>7868</v>
      </c>
      <c r="AS161" s="340">
        <f>ESS_DATA[[#This Row],[ETA On S/O]]-ESS_DATA[[#This Row],[ETD On S/O]]+1</f>
        <v>51</v>
      </c>
      <c r="AT161" s="340"/>
      <c r="AU161" s="347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46322</v>
      </c>
      <c r="AX161" s="340">
        <f>IF(ESS_DATA[[#This Row],[New Ark PO Type]]="Offshore",0,IFERROR(VLOOKUP(ESS_DATA[[#This Row],[PORT OF LOADING]]&amp;ESS_DATA[[#This Row],[PORT DESTINATION]],LT_REF[],7,0),14))</f>
        <v>8</v>
      </c>
      <c r="AY161" s="347">
        <f>IFERROR(ESS_DATA[[#This Row],[ODP ETA Port]]+ESS_DATA[[#This Row],[Customs/Leg3 Assumption]],"n/a")</f>
        <v>46326</v>
      </c>
      <c r="AZ161" s="343">
        <f>YEAR(ESS_DATA[[#This Row],[ETA for New Ark update]])</f>
        <v>2026</v>
      </c>
      <c r="BA161" s="343">
        <f>MONTH(ESS_DATA[[#This Row],[ETA for New Ark update]])</f>
        <v>10</v>
      </c>
      <c r="BB161" s="343">
        <f>IFERROR(_xlfn.ISOWEEKNUM(ESS_DATA[[#This Row],[ETA for New Ark update]]),0)</f>
        <v>44</v>
      </c>
      <c r="BC161" s="343" t="str">
        <f>_xlfn.XLOOKUP(ESS_DATA[[#This Row],[PORT DESTINATION]],Table12[PORT DESTINATION],Table12[Cosco Line],,0)</f>
        <v>AEM</v>
      </c>
      <c r="BD161" s="343"/>
      <c r="BE161" s="350"/>
      <c r="BF161" s="350"/>
      <c r="BG161" s="350"/>
      <c r="BH161" s="350"/>
      <c r="BI161" s="350"/>
    </row>
    <row r="162" spans="1:61" s="613" customFormat="1" ht="10">
      <c r="A162" s="351" t="s">
        <v>7865</v>
      </c>
      <c r="B162" s="340" t="s">
        <v>7423</v>
      </c>
      <c r="C162" s="340" t="str">
        <f>IFERROR(LEFT(ESS_DATA[[#This Row],[TCL REFERENCE]],FIND(".",ESS_DATA[[#This Row],[TCL REFERENCE]],1)-1),"Main Line")</f>
        <v>26AUG002</v>
      </c>
      <c r="D162" s="340" t="s">
        <v>63</v>
      </c>
      <c r="E162" s="343" t="s">
        <v>64</v>
      </c>
      <c r="F162" s="343" t="s">
        <v>65</v>
      </c>
      <c r="G162" s="340" t="s">
        <v>402</v>
      </c>
      <c r="H162" s="340" t="s">
        <v>67</v>
      </c>
      <c r="I162" s="343"/>
      <c r="J162" s="340"/>
      <c r="K162" s="340"/>
      <c r="L162" s="341"/>
      <c r="M162" s="342" t="s">
        <v>68</v>
      </c>
      <c r="N162" s="651" t="s">
        <v>7437</v>
      </c>
      <c r="O162" s="651" t="s">
        <v>7438</v>
      </c>
      <c r="P162" s="651" t="s">
        <v>7439</v>
      </c>
      <c r="Q162" s="344">
        <v>130</v>
      </c>
      <c r="R162" s="344">
        <v>130</v>
      </c>
      <c r="S162" s="345"/>
      <c r="T162" s="340"/>
      <c r="U162" s="346">
        <f>ESS_DATA[[#This Row],[QUANTITY]]/260</f>
        <v>0.5</v>
      </c>
      <c r="V162" s="612" t="s">
        <v>7695</v>
      </c>
      <c r="W162" s="340" t="s">
        <v>2466</v>
      </c>
      <c r="X162" s="343" t="str">
        <f t="shared" si="6"/>
        <v>IN-TRANSIT</v>
      </c>
      <c r="Y162" s="652">
        <v>46258</v>
      </c>
      <c r="Z162" s="347">
        <v>46256</v>
      </c>
      <c r="AA162" s="348">
        <f>WEEKNUM(ESS_DATA[[#This Row],[Pick-Up Date]])</f>
        <v>34</v>
      </c>
      <c r="AB162" s="343" t="s">
        <v>7866</v>
      </c>
      <c r="AC162" s="351"/>
      <c r="AD162" s="340" t="s">
        <v>122</v>
      </c>
      <c r="AE162" s="340" t="s">
        <v>123</v>
      </c>
      <c r="AF162" s="340" t="s">
        <v>78</v>
      </c>
      <c r="AG162" s="347">
        <v>46264</v>
      </c>
      <c r="AH162" s="347">
        <v>46269</v>
      </c>
      <c r="AI162" s="347">
        <v>46269</v>
      </c>
      <c r="AJ162" s="347">
        <v>46314</v>
      </c>
      <c r="AK162" s="347">
        <v>46318</v>
      </c>
      <c r="AL162" s="347"/>
      <c r="AM162" s="349" t="s">
        <v>402</v>
      </c>
      <c r="AN162" s="347" t="s">
        <v>6271</v>
      </c>
      <c r="AO162" s="347" t="s">
        <v>80</v>
      </c>
      <c r="AP162" s="347" t="s">
        <v>7867</v>
      </c>
      <c r="AQ162" s="340" t="s">
        <v>7868</v>
      </c>
      <c r="AR162" s="340" t="s">
        <v>7868</v>
      </c>
      <c r="AS162" s="340">
        <f>ESS_DATA[[#This Row],[ETA On S/O]]-ESS_DATA[[#This Row],[ETD On S/O]]+1</f>
        <v>51</v>
      </c>
      <c r="AT162" s="340"/>
      <c r="AU162" s="347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46322</v>
      </c>
      <c r="AX162" s="340">
        <f>IF(ESS_DATA[[#This Row],[New Ark PO Type]]="Offshore",0,IFERROR(VLOOKUP(ESS_DATA[[#This Row],[PORT OF LOADING]]&amp;ESS_DATA[[#This Row],[PORT DESTINATION]],LT_REF[],7,0),14))</f>
        <v>8</v>
      </c>
      <c r="AY162" s="347">
        <f>IFERROR(ESS_DATA[[#This Row],[ODP ETA Port]]+ESS_DATA[[#This Row],[Customs/Leg3 Assumption]],"n/a")</f>
        <v>46326</v>
      </c>
      <c r="AZ162" s="343">
        <f>YEAR(ESS_DATA[[#This Row],[ETA for New Ark update]])</f>
        <v>2026</v>
      </c>
      <c r="BA162" s="343">
        <f>MONTH(ESS_DATA[[#This Row],[ETA for New Ark update]])</f>
        <v>10</v>
      </c>
      <c r="BB162" s="343">
        <f>IFERROR(_xlfn.ISOWEEKNUM(ESS_DATA[[#This Row],[ETA for New Ark update]]),0)</f>
        <v>44</v>
      </c>
      <c r="BC162" s="343" t="str">
        <f>_xlfn.XLOOKUP(ESS_DATA[[#This Row],[PORT DESTINATION]],Table12[PORT DESTINATION],Table12[Cosco Line],,0)</f>
        <v>AEM</v>
      </c>
      <c r="BD162" s="343"/>
      <c r="BE162" s="350"/>
      <c r="BF162" s="350"/>
      <c r="BG162" s="350"/>
      <c r="BH162" s="350"/>
      <c r="BI162" s="350"/>
    </row>
    <row r="163" spans="1:61" s="613" customFormat="1" ht="10">
      <c r="A163" s="351" t="s">
        <v>7869</v>
      </c>
      <c r="B163" s="340" t="s">
        <v>7423</v>
      </c>
      <c r="C163" s="340" t="str">
        <f>IFERROR(LEFT(ESS_DATA[[#This Row],[TCL REFERENCE]],FIND(".",ESS_DATA[[#This Row],[TCL REFERENCE]],1)-1),"Main Line")</f>
        <v>26AUG004</v>
      </c>
      <c r="D163" s="340" t="s">
        <v>63</v>
      </c>
      <c r="E163" s="343" t="s">
        <v>64</v>
      </c>
      <c r="F163" s="343" t="s">
        <v>65</v>
      </c>
      <c r="G163" s="340" t="s">
        <v>402</v>
      </c>
      <c r="H163" s="340" t="s">
        <v>67</v>
      </c>
      <c r="I163" s="343"/>
      <c r="J163" s="340"/>
      <c r="K163" s="340"/>
      <c r="L163" s="341"/>
      <c r="M163" s="342" t="s">
        <v>68</v>
      </c>
      <c r="N163" s="651" t="s">
        <v>7449</v>
      </c>
      <c r="O163" s="651" t="s">
        <v>7646</v>
      </c>
      <c r="P163" s="651" t="s">
        <v>7451</v>
      </c>
      <c r="Q163" s="344">
        <v>130</v>
      </c>
      <c r="R163" s="344">
        <v>130</v>
      </c>
      <c r="S163" s="345"/>
      <c r="T163" s="340"/>
      <c r="U163" s="346">
        <f>ESS_DATA[[#This Row],[QUANTITY]]/260</f>
        <v>0.5</v>
      </c>
      <c r="V163" s="612" t="s">
        <v>7695</v>
      </c>
      <c r="W163" s="340" t="s">
        <v>2466</v>
      </c>
      <c r="X163" s="343" t="str">
        <f t="shared" si="6"/>
        <v>IN-TRANSIT</v>
      </c>
      <c r="Y163" s="652">
        <v>46258</v>
      </c>
      <c r="Z163" s="347">
        <v>46256</v>
      </c>
      <c r="AA163" s="348">
        <f>WEEKNUM(ESS_DATA[[#This Row],[Pick-Up Date]])</f>
        <v>34</v>
      </c>
      <c r="AB163" s="343" t="s">
        <v>7866</v>
      </c>
      <c r="AC163" s="351"/>
      <c r="AD163" s="340" t="s">
        <v>122</v>
      </c>
      <c r="AE163" s="340" t="s">
        <v>123</v>
      </c>
      <c r="AF163" s="340" t="s">
        <v>78</v>
      </c>
      <c r="AG163" s="347">
        <v>46264</v>
      </c>
      <c r="AH163" s="347">
        <v>46269</v>
      </c>
      <c r="AI163" s="347">
        <v>46269</v>
      </c>
      <c r="AJ163" s="347">
        <v>46314</v>
      </c>
      <c r="AK163" s="347">
        <v>46318</v>
      </c>
      <c r="AL163" s="347"/>
      <c r="AM163" s="349" t="s">
        <v>402</v>
      </c>
      <c r="AN163" s="347" t="s">
        <v>6271</v>
      </c>
      <c r="AO163" s="347" t="s">
        <v>80</v>
      </c>
      <c r="AP163" s="347" t="s">
        <v>7867</v>
      </c>
      <c r="AQ163" s="340" t="s">
        <v>7868</v>
      </c>
      <c r="AR163" s="340" t="s">
        <v>7868</v>
      </c>
      <c r="AS163" s="340">
        <f>ESS_DATA[[#This Row],[ETA On S/O]]-ESS_DATA[[#This Row],[ETD On S/O]]+1</f>
        <v>51</v>
      </c>
      <c r="AT163" s="340"/>
      <c r="AU163" s="347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46322</v>
      </c>
      <c r="AX163" s="340">
        <f>IF(ESS_DATA[[#This Row],[New Ark PO Type]]="Offshore",0,IFERROR(VLOOKUP(ESS_DATA[[#This Row],[PORT OF LOADING]]&amp;ESS_DATA[[#This Row],[PORT DESTINATION]],LT_REF[],7,0),14))</f>
        <v>8</v>
      </c>
      <c r="AY163" s="347">
        <f>IFERROR(ESS_DATA[[#This Row],[ODP ETA Port]]+ESS_DATA[[#This Row],[Customs/Leg3 Assumption]],"n/a")</f>
        <v>46326</v>
      </c>
      <c r="AZ163" s="343">
        <f>YEAR(ESS_DATA[[#This Row],[ETA for New Ark update]])</f>
        <v>2026</v>
      </c>
      <c r="BA163" s="343">
        <f>MONTH(ESS_DATA[[#This Row],[ETA for New Ark update]])</f>
        <v>10</v>
      </c>
      <c r="BB163" s="343">
        <f>IFERROR(_xlfn.ISOWEEKNUM(ESS_DATA[[#This Row],[ETA for New Ark update]]),0)</f>
        <v>44</v>
      </c>
      <c r="BC163" s="343" t="str">
        <f>_xlfn.XLOOKUP(ESS_DATA[[#This Row],[PORT DESTINATION]],Table12[PORT DESTINATION],Table12[Cosco Line],,0)</f>
        <v>AEM</v>
      </c>
      <c r="BD163" s="343"/>
      <c r="BE163" s="350"/>
      <c r="BF163" s="350"/>
      <c r="BG163" s="350"/>
      <c r="BH163" s="350"/>
      <c r="BI163" s="350"/>
    </row>
    <row r="164" spans="1:61" s="613" customFormat="1" ht="10">
      <c r="A164" s="351" t="s">
        <v>7870</v>
      </c>
      <c r="B164" s="340" t="s">
        <v>7423</v>
      </c>
      <c r="C164" s="340" t="str">
        <f>IFERROR(LEFT(ESS_DATA[[#This Row],[TCL REFERENCE]],FIND(".",ESS_DATA[[#This Row],[TCL REFERENCE]],1)-1),"Main Line")</f>
        <v>26AUG002</v>
      </c>
      <c r="D164" s="340" t="s">
        <v>63</v>
      </c>
      <c r="E164" s="343" t="s">
        <v>64</v>
      </c>
      <c r="F164" s="343" t="s">
        <v>65</v>
      </c>
      <c r="G164" s="340" t="s">
        <v>402</v>
      </c>
      <c r="H164" s="340" t="s">
        <v>67</v>
      </c>
      <c r="I164" s="343"/>
      <c r="J164" s="340"/>
      <c r="K164" s="340"/>
      <c r="L164" s="341"/>
      <c r="M164" s="342" t="s">
        <v>68</v>
      </c>
      <c r="N164" s="651" t="s">
        <v>7437</v>
      </c>
      <c r="O164" s="651" t="s">
        <v>7438</v>
      </c>
      <c r="P164" s="651" t="s">
        <v>7439</v>
      </c>
      <c r="Q164" s="344">
        <v>130</v>
      </c>
      <c r="R164" s="344">
        <v>130</v>
      </c>
      <c r="S164" s="345"/>
      <c r="T164" s="340"/>
      <c r="U164" s="346">
        <f>ESS_DATA[[#This Row],[QUANTITY]]/260</f>
        <v>0.5</v>
      </c>
      <c r="V164" s="612" t="s">
        <v>7708</v>
      </c>
      <c r="W164" s="340" t="s">
        <v>2466</v>
      </c>
      <c r="X164" s="343" t="str">
        <f t="shared" si="6"/>
        <v>IN-TRANSIT</v>
      </c>
      <c r="Y164" s="652">
        <v>46258</v>
      </c>
      <c r="Z164" s="347">
        <v>46258</v>
      </c>
      <c r="AA164" s="348">
        <f>WEEKNUM(ESS_DATA[[#This Row],[Pick-Up Date]])</f>
        <v>35</v>
      </c>
      <c r="AB164" s="343" t="s">
        <v>7866</v>
      </c>
      <c r="AC164" s="351"/>
      <c r="AD164" s="340" t="s">
        <v>122</v>
      </c>
      <c r="AE164" s="340" t="s">
        <v>123</v>
      </c>
      <c r="AF164" s="340" t="s">
        <v>78</v>
      </c>
      <c r="AG164" s="347">
        <v>46264</v>
      </c>
      <c r="AH164" s="347">
        <v>46269</v>
      </c>
      <c r="AI164" s="347">
        <v>46269</v>
      </c>
      <c r="AJ164" s="347">
        <v>46314</v>
      </c>
      <c r="AK164" s="347">
        <v>46318</v>
      </c>
      <c r="AL164" s="347"/>
      <c r="AM164" s="349" t="s">
        <v>402</v>
      </c>
      <c r="AN164" s="347" t="s">
        <v>6271</v>
      </c>
      <c r="AO164" s="347" t="s">
        <v>80</v>
      </c>
      <c r="AP164" s="347" t="s">
        <v>7867</v>
      </c>
      <c r="AQ164" s="340" t="s">
        <v>7868</v>
      </c>
      <c r="AR164" s="340" t="s">
        <v>7868</v>
      </c>
      <c r="AS164" s="340">
        <f>ESS_DATA[[#This Row],[ETA On S/O]]-ESS_DATA[[#This Row],[ETD On S/O]]+1</f>
        <v>51</v>
      </c>
      <c r="AT164" s="340"/>
      <c r="AU164" s="347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46322</v>
      </c>
      <c r="AX164" s="340">
        <f>IF(ESS_DATA[[#This Row],[New Ark PO Type]]="Offshore",0,IFERROR(VLOOKUP(ESS_DATA[[#This Row],[PORT OF LOADING]]&amp;ESS_DATA[[#This Row],[PORT DESTINATION]],LT_REF[],7,0),14))</f>
        <v>8</v>
      </c>
      <c r="AY164" s="347">
        <f>IFERROR(ESS_DATA[[#This Row],[ODP ETA Port]]+ESS_DATA[[#This Row],[Customs/Leg3 Assumption]],"n/a")</f>
        <v>46326</v>
      </c>
      <c r="AZ164" s="343">
        <f>YEAR(ESS_DATA[[#This Row],[ETA for New Ark update]])</f>
        <v>2026</v>
      </c>
      <c r="BA164" s="343">
        <f>MONTH(ESS_DATA[[#This Row],[ETA for New Ark update]])</f>
        <v>10</v>
      </c>
      <c r="BB164" s="343">
        <f>IFERROR(_xlfn.ISOWEEKNUM(ESS_DATA[[#This Row],[ETA for New Ark update]]),0)</f>
        <v>44</v>
      </c>
      <c r="BC164" s="343" t="str">
        <f>_xlfn.XLOOKUP(ESS_DATA[[#This Row],[PORT DESTINATION]],Table12[PORT DESTINATION],Table12[Cosco Line],,0)</f>
        <v>AEM</v>
      </c>
      <c r="BD164" s="343"/>
      <c r="BE164" s="350"/>
      <c r="BF164" s="350"/>
      <c r="BG164" s="350"/>
      <c r="BH164" s="350"/>
      <c r="BI164" s="350"/>
    </row>
    <row r="165" spans="1:61" s="613" customFormat="1" ht="10">
      <c r="A165" s="351" t="s">
        <v>7871</v>
      </c>
      <c r="B165" s="340" t="s">
        <v>7423</v>
      </c>
      <c r="C165" s="340" t="str">
        <f>IFERROR(LEFT(ESS_DATA[[#This Row],[TCL REFERENCE]],FIND(".",ESS_DATA[[#This Row],[TCL REFERENCE]],1)-1),"Main Line")</f>
        <v>26AUG004</v>
      </c>
      <c r="D165" s="340" t="s">
        <v>63</v>
      </c>
      <c r="E165" s="343" t="s">
        <v>64</v>
      </c>
      <c r="F165" s="343" t="s">
        <v>65</v>
      </c>
      <c r="G165" s="340" t="s">
        <v>402</v>
      </c>
      <c r="H165" s="340" t="s">
        <v>67</v>
      </c>
      <c r="I165" s="343"/>
      <c r="J165" s="340"/>
      <c r="K165" s="340"/>
      <c r="L165" s="341"/>
      <c r="M165" s="342" t="s">
        <v>68</v>
      </c>
      <c r="N165" s="651" t="s">
        <v>7449</v>
      </c>
      <c r="O165" s="651" t="s">
        <v>7646</v>
      </c>
      <c r="P165" s="651" t="s">
        <v>7451</v>
      </c>
      <c r="Q165" s="344">
        <v>130</v>
      </c>
      <c r="R165" s="344">
        <v>130</v>
      </c>
      <c r="S165" s="345"/>
      <c r="T165" s="340"/>
      <c r="U165" s="346">
        <f>ESS_DATA[[#This Row],[QUANTITY]]/260</f>
        <v>0.5</v>
      </c>
      <c r="V165" s="612" t="s">
        <v>7708</v>
      </c>
      <c r="W165" s="340" t="s">
        <v>2466</v>
      </c>
      <c r="X165" s="343" t="str">
        <f t="shared" si="6"/>
        <v>IN-TRANSIT</v>
      </c>
      <c r="Y165" s="652">
        <v>46258</v>
      </c>
      <c r="Z165" s="347">
        <v>46258</v>
      </c>
      <c r="AA165" s="348">
        <f>WEEKNUM(ESS_DATA[[#This Row],[Pick-Up Date]])</f>
        <v>35</v>
      </c>
      <c r="AB165" s="343" t="s">
        <v>7866</v>
      </c>
      <c r="AC165" s="351"/>
      <c r="AD165" s="340" t="s">
        <v>122</v>
      </c>
      <c r="AE165" s="340" t="s">
        <v>123</v>
      </c>
      <c r="AF165" s="340" t="s">
        <v>78</v>
      </c>
      <c r="AG165" s="347">
        <v>46264</v>
      </c>
      <c r="AH165" s="347">
        <v>46269</v>
      </c>
      <c r="AI165" s="347">
        <v>46269</v>
      </c>
      <c r="AJ165" s="347">
        <v>46314</v>
      </c>
      <c r="AK165" s="347">
        <v>46318</v>
      </c>
      <c r="AL165" s="347"/>
      <c r="AM165" s="349" t="s">
        <v>402</v>
      </c>
      <c r="AN165" s="347" t="s">
        <v>6271</v>
      </c>
      <c r="AO165" s="347" t="s">
        <v>80</v>
      </c>
      <c r="AP165" s="347" t="s">
        <v>7867</v>
      </c>
      <c r="AQ165" s="340" t="s">
        <v>7868</v>
      </c>
      <c r="AR165" s="340" t="s">
        <v>7868</v>
      </c>
      <c r="AS165" s="340">
        <f>ESS_DATA[[#This Row],[ETA On S/O]]-ESS_DATA[[#This Row],[ETD On S/O]]+1</f>
        <v>51</v>
      </c>
      <c r="AT165" s="340"/>
      <c r="AU165" s="347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46322</v>
      </c>
      <c r="AX165" s="340">
        <f>IF(ESS_DATA[[#This Row],[New Ark PO Type]]="Offshore",0,IFERROR(VLOOKUP(ESS_DATA[[#This Row],[PORT OF LOADING]]&amp;ESS_DATA[[#This Row],[PORT DESTINATION]],LT_REF[],7,0),14))</f>
        <v>8</v>
      </c>
      <c r="AY165" s="347">
        <f>IFERROR(ESS_DATA[[#This Row],[ODP ETA Port]]+ESS_DATA[[#This Row],[Customs/Leg3 Assumption]],"n/a")</f>
        <v>46326</v>
      </c>
      <c r="AZ165" s="343">
        <f>YEAR(ESS_DATA[[#This Row],[ETA for New Ark update]])</f>
        <v>2026</v>
      </c>
      <c r="BA165" s="343">
        <f>MONTH(ESS_DATA[[#This Row],[ETA for New Ark update]])</f>
        <v>10</v>
      </c>
      <c r="BB165" s="343">
        <f>IFERROR(_xlfn.ISOWEEKNUM(ESS_DATA[[#This Row],[ETA for New Ark update]]),0)</f>
        <v>44</v>
      </c>
      <c r="BC165" s="343" t="str">
        <f>_xlfn.XLOOKUP(ESS_DATA[[#This Row],[PORT DESTINATION]],Table12[PORT DESTINATION],Table12[Cosco Line],,0)</f>
        <v>AEM</v>
      </c>
      <c r="BD165" s="343"/>
      <c r="BE165" s="350"/>
      <c r="BF165" s="350"/>
      <c r="BG165" s="350"/>
      <c r="BH165" s="350"/>
      <c r="BI165" s="350"/>
    </row>
    <row r="166" spans="1:61" s="613" customFormat="1" ht="10">
      <c r="A166" s="351" t="s">
        <v>7872</v>
      </c>
      <c r="B166" s="340" t="s">
        <v>7423</v>
      </c>
      <c r="C166" s="340" t="str">
        <f>IFERROR(LEFT(ESS_DATA[[#This Row],[TCL REFERENCE]],FIND(".",ESS_DATA[[#This Row],[TCL REFERENCE]],1)-1),"Main Line")</f>
        <v>26AUG005</v>
      </c>
      <c r="D166" s="340" t="s">
        <v>63</v>
      </c>
      <c r="E166" s="343" t="s">
        <v>64</v>
      </c>
      <c r="F166" s="343" t="s">
        <v>65</v>
      </c>
      <c r="G166" s="340" t="s">
        <v>402</v>
      </c>
      <c r="H166" s="340" t="s">
        <v>67</v>
      </c>
      <c r="I166" s="343"/>
      <c r="J166" s="340"/>
      <c r="K166" s="340"/>
      <c r="L166" s="341"/>
      <c r="M166" s="342" t="s">
        <v>68</v>
      </c>
      <c r="N166" s="651" t="s">
        <v>7460</v>
      </c>
      <c r="O166" s="651" t="s">
        <v>7461</v>
      </c>
      <c r="P166" s="651" t="s">
        <v>7462</v>
      </c>
      <c r="Q166" s="339"/>
      <c r="R166" s="344">
        <v>552</v>
      </c>
      <c r="S166" s="345"/>
      <c r="T166" s="340"/>
      <c r="U166" s="346">
        <f>ESS_DATA[[#This Row],[QUANTITY]]/276</f>
        <v>2</v>
      </c>
      <c r="V166" s="612" t="s">
        <v>7873</v>
      </c>
      <c r="W166" s="665" t="s">
        <v>2465</v>
      </c>
      <c r="X166" s="343" t="str">
        <f t="shared" si="6"/>
        <v>IN-TRANSIT</v>
      </c>
      <c r="Y166" s="664">
        <v>46254</v>
      </c>
      <c r="Z166" s="347">
        <v>46276</v>
      </c>
      <c r="AA166" s="348">
        <f>WEEKNUM(ESS_DATA[[#This Row],[Pick-Up Date]])</f>
        <v>37</v>
      </c>
      <c r="AB166" s="343" t="s">
        <v>7874</v>
      </c>
      <c r="AC166" s="351"/>
      <c r="AD166" s="340" t="s">
        <v>122</v>
      </c>
      <c r="AE166" s="340" t="s">
        <v>123</v>
      </c>
      <c r="AF166" s="340" t="s">
        <v>78</v>
      </c>
      <c r="AG166" s="347">
        <v>46286</v>
      </c>
      <c r="AH166" s="347">
        <v>46288</v>
      </c>
      <c r="AI166" s="347">
        <v>46288</v>
      </c>
      <c r="AJ166" s="347">
        <v>46330</v>
      </c>
      <c r="AK166" s="347">
        <v>46330</v>
      </c>
      <c r="AL166" s="347"/>
      <c r="AM166" s="349" t="s">
        <v>402</v>
      </c>
      <c r="AN166" s="347" t="s">
        <v>7875</v>
      </c>
      <c r="AO166" s="347" t="s">
        <v>161</v>
      </c>
      <c r="AP166" s="347" t="s">
        <v>7876</v>
      </c>
      <c r="AQ166" s="340">
        <v>276339822</v>
      </c>
      <c r="AR166" s="340">
        <v>276339822</v>
      </c>
      <c r="AS166" s="340">
        <f>ESS_DATA[[#This Row],[ETA On S/O]]-ESS_DATA[[#This Row],[ETD On S/O]]+1</f>
        <v>45</v>
      </c>
      <c r="AT166" s="340"/>
      <c r="AU166" s="347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6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347" t="str">
        <f>IF(ISERROR(ESS_DATA[[#This Row],[New Ark PO status]]),"",_xlfn.XLOOKUP(ESS_DATA[[#This Row],[SPTN-PVHK New Ark PO'#]],New_Ark_Data[Purchase order Number],New_Ark_Data[Estimated time of arrival],"",0))</f>
        <v/>
      </c>
      <c r="AX166" s="340">
        <f>IF(ESS_DATA[[#This Row],[New Ark PO Type]]="Offshore",0,IFERROR(VLOOKUP(ESS_DATA[[#This Row],[PORT OF LOADING]]&amp;ESS_DATA[[#This Row],[PORT DESTINATION]],LT_REF[],7,0),14))</f>
        <v>8</v>
      </c>
      <c r="AY166" s="347">
        <f>IFERROR(ESS_DATA[[#This Row],[ODP ETA Port]]+ESS_DATA[[#This Row],[Customs/Leg3 Assumption]],"n/a")</f>
        <v>46338</v>
      </c>
      <c r="AZ166" s="343">
        <f>YEAR(ESS_DATA[[#This Row],[ETA for New Ark update]])</f>
        <v>2026</v>
      </c>
      <c r="BA166" s="343">
        <f>MONTH(ESS_DATA[[#This Row],[ETA for New Ark update]])</f>
        <v>11</v>
      </c>
      <c r="BB166" s="343">
        <f>IFERROR(_xlfn.ISOWEEKNUM(ESS_DATA[[#This Row],[ETA for New Ark update]]),0)</f>
        <v>46</v>
      </c>
      <c r="BC166" s="343" t="str">
        <f>_xlfn.XLOOKUP(ESS_DATA[[#This Row],[PORT DESTINATION]],Table12[PORT DESTINATION],Table12[Cosco Line],,0)</f>
        <v>AEM</v>
      </c>
      <c r="BD166" s="343"/>
      <c r="BE166" s="350"/>
      <c r="BF166" s="350"/>
      <c r="BG166" s="350"/>
      <c r="BH166" s="350"/>
      <c r="BI166" s="350"/>
    </row>
    <row r="167" spans="1:61" s="613" customFormat="1" ht="10">
      <c r="A167" s="351" t="s">
        <v>7877</v>
      </c>
      <c r="B167" s="340" t="s">
        <v>7423</v>
      </c>
      <c r="C167" s="340" t="str">
        <f>IFERROR(LEFT(ESS_DATA[[#This Row],[TCL REFERENCE]],FIND(".",ESS_DATA[[#This Row],[TCL REFERENCE]],1)-1),"Main Line")</f>
        <v>26AUG002</v>
      </c>
      <c r="D167" s="340" t="s">
        <v>63</v>
      </c>
      <c r="E167" s="343" t="s">
        <v>64</v>
      </c>
      <c r="F167" s="343" t="s">
        <v>65</v>
      </c>
      <c r="G167" s="340" t="s">
        <v>402</v>
      </c>
      <c r="H167" s="340" t="s">
        <v>67</v>
      </c>
      <c r="I167" s="343"/>
      <c r="J167" s="340"/>
      <c r="K167" s="340"/>
      <c r="L167" s="341"/>
      <c r="M167" s="342" t="s">
        <v>68</v>
      </c>
      <c r="N167" s="651" t="s">
        <v>7437</v>
      </c>
      <c r="O167" s="651" t="s">
        <v>7438</v>
      </c>
      <c r="P167" s="651" t="s">
        <v>7439</v>
      </c>
      <c r="Q167" s="339"/>
      <c r="R167" s="344">
        <v>130</v>
      </c>
      <c r="S167" s="345"/>
      <c r="T167" s="340"/>
      <c r="U167" s="346">
        <f>ESS_DATA[[#This Row],[QUANTITY]]/260</f>
        <v>0.5</v>
      </c>
      <c r="V167" s="612" t="s">
        <v>7878</v>
      </c>
      <c r="W167" s="340" t="s">
        <v>2467</v>
      </c>
      <c r="X167" s="343" t="str">
        <f t="shared" si="6"/>
        <v>IN-TRANSIT</v>
      </c>
      <c r="Y167" s="652">
        <v>46265</v>
      </c>
      <c r="Z167" s="347">
        <v>46266</v>
      </c>
      <c r="AA167" s="348">
        <f>WEEKNUM(ESS_DATA[[#This Row],[Pick-Up Date]])</f>
        <v>36</v>
      </c>
      <c r="AB167" s="650" t="s">
        <v>7879</v>
      </c>
      <c r="AC167" s="340"/>
      <c r="AD167" s="340" t="s">
        <v>122</v>
      </c>
      <c r="AE167" s="340" t="s">
        <v>123</v>
      </c>
      <c r="AF167" s="340" t="s">
        <v>78</v>
      </c>
      <c r="AG167" s="347">
        <v>46274</v>
      </c>
      <c r="AH167" s="347">
        <v>46273</v>
      </c>
      <c r="AI167" s="347">
        <v>46273</v>
      </c>
      <c r="AJ167" s="347">
        <v>46321</v>
      </c>
      <c r="AK167" s="347">
        <v>46323</v>
      </c>
      <c r="AL167" s="347"/>
      <c r="AM167" s="349" t="s">
        <v>402</v>
      </c>
      <c r="AN167" s="347" t="s">
        <v>6511</v>
      </c>
      <c r="AO167" s="347" t="s">
        <v>80</v>
      </c>
      <c r="AP167" s="347" t="s">
        <v>7880</v>
      </c>
      <c r="AQ167" s="340" t="s">
        <v>7881</v>
      </c>
      <c r="AR167" s="340" t="s">
        <v>7881</v>
      </c>
      <c r="AS167" s="340">
        <f>ESS_DATA[[#This Row],[ETA On S/O]]-ESS_DATA[[#This Row],[ETD On S/O]]+1</f>
        <v>48</v>
      </c>
      <c r="AT167" s="340"/>
      <c r="AU167" s="347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0">
        <f>IF(ESS_DATA[[#This Row],[New Ark PO Type]]="Offshore",0,IFERROR(VLOOKUP(ESS_DATA[[#This Row],[PORT OF LOADING]]&amp;ESS_DATA[[#This Row],[PORT DESTINATION]],LT_REF[],7,0),14))</f>
        <v>8</v>
      </c>
      <c r="AY167" s="347">
        <f>IFERROR(ESS_DATA[[#This Row],[ODP ETA Port]]+ESS_DATA[[#This Row],[Customs/Leg3 Assumption]],"n/a")</f>
        <v>46331</v>
      </c>
      <c r="AZ167" s="343">
        <f>YEAR(ESS_DATA[[#This Row],[ETA for New Ark update]])</f>
        <v>2026</v>
      </c>
      <c r="BA167" s="343">
        <f>MONTH(ESS_DATA[[#This Row],[ETA for New Ark update]])</f>
        <v>11</v>
      </c>
      <c r="BB167" s="343">
        <f>IFERROR(_xlfn.ISOWEEKNUM(ESS_DATA[[#This Row],[ETA for New Ark update]]),0)</f>
        <v>45</v>
      </c>
      <c r="BC167" s="343" t="str">
        <f>_xlfn.XLOOKUP(ESS_DATA[[#This Row],[PORT DESTINATION]],Table12[PORT DESTINATION],Table12[Cosco Line],,0)</f>
        <v>AEM</v>
      </c>
      <c r="BD167" s="343"/>
      <c r="BE167" s="350"/>
      <c r="BF167" s="350"/>
      <c r="BG167" s="350"/>
      <c r="BH167" s="350"/>
      <c r="BI167" s="350"/>
    </row>
    <row r="168" spans="1:61" s="613" customFormat="1" ht="10">
      <c r="A168" s="351" t="s">
        <v>7882</v>
      </c>
      <c r="B168" s="340" t="s">
        <v>7423</v>
      </c>
      <c r="C168" s="340" t="str">
        <f>IFERROR(LEFT(ESS_DATA[[#This Row],[TCL REFERENCE]],FIND(".",ESS_DATA[[#This Row],[TCL REFERENCE]],1)-1),"Main Line")</f>
        <v>26AUG004</v>
      </c>
      <c r="D168" s="340" t="s">
        <v>63</v>
      </c>
      <c r="E168" s="343" t="s">
        <v>64</v>
      </c>
      <c r="F168" s="343" t="s">
        <v>65</v>
      </c>
      <c r="G168" s="340" t="s">
        <v>402</v>
      </c>
      <c r="H168" s="340" t="s">
        <v>67</v>
      </c>
      <c r="I168" s="343"/>
      <c r="J168" s="340"/>
      <c r="K168" s="340"/>
      <c r="L168" s="341"/>
      <c r="M168" s="342" t="s">
        <v>68</v>
      </c>
      <c r="N168" s="651" t="s">
        <v>7449</v>
      </c>
      <c r="O168" s="651" t="s">
        <v>7646</v>
      </c>
      <c r="P168" s="651" t="s">
        <v>7451</v>
      </c>
      <c r="Q168" s="339"/>
      <c r="R168" s="344">
        <v>130</v>
      </c>
      <c r="S168" s="345"/>
      <c r="T168" s="340"/>
      <c r="U168" s="346">
        <f>ESS_DATA[[#This Row],[QUANTITY]]/260</f>
        <v>0.5</v>
      </c>
      <c r="V168" s="612" t="s">
        <v>7878</v>
      </c>
      <c r="W168" s="340" t="s">
        <v>2467</v>
      </c>
      <c r="X168" s="343" t="str">
        <f t="shared" si="6"/>
        <v>IN-TRANSIT</v>
      </c>
      <c r="Y168" s="652">
        <v>46265</v>
      </c>
      <c r="Z168" s="347">
        <v>46266</v>
      </c>
      <c r="AA168" s="348">
        <f>WEEKNUM(ESS_DATA[[#This Row],[Pick-Up Date]])</f>
        <v>36</v>
      </c>
      <c r="AB168" s="650" t="s">
        <v>7879</v>
      </c>
      <c r="AC168" s="340"/>
      <c r="AD168" s="340" t="s">
        <v>122</v>
      </c>
      <c r="AE168" s="340" t="s">
        <v>123</v>
      </c>
      <c r="AF168" s="340" t="s">
        <v>78</v>
      </c>
      <c r="AG168" s="347">
        <v>46274</v>
      </c>
      <c r="AH168" s="347">
        <v>46273</v>
      </c>
      <c r="AI168" s="347">
        <v>46273</v>
      </c>
      <c r="AJ168" s="347">
        <v>46321</v>
      </c>
      <c r="AK168" s="347">
        <v>46323</v>
      </c>
      <c r="AL168" s="347"/>
      <c r="AM168" s="349" t="s">
        <v>402</v>
      </c>
      <c r="AN168" s="347" t="s">
        <v>6511</v>
      </c>
      <c r="AO168" s="347" t="s">
        <v>80</v>
      </c>
      <c r="AP168" s="347" t="s">
        <v>7880</v>
      </c>
      <c r="AQ168" s="340" t="s">
        <v>7881</v>
      </c>
      <c r="AR168" s="340" t="s">
        <v>7881</v>
      </c>
      <c r="AS168" s="340">
        <f>ESS_DATA[[#This Row],[ETA On S/O]]-ESS_DATA[[#This Row],[ETD On S/O]]+1</f>
        <v>48</v>
      </c>
      <c r="AT168" s="340"/>
      <c r="AU168" s="347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0">
        <f>IF(ESS_DATA[[#This Row],[New Ark PO Type]]="Offshore",0,IFERROR(VLOOKUP(ESS_DATA[[#This Row],[PORT OF LOADING]]&amp;ESS_DATA[[#This Row],[PORT DESTINATION]],LT_REF[],7,0),14))</f>
        <v>8</v>
      </c>
      <c r="AY168" s="347">
        <f>IFERROR(ESS_DATA[[#This Row],[ODP ETA Port]]+ESS_DATA[[#This Row],[Customs/Leg3 Assumption]],"n/a")</f>
        <v>46331</v>
      </c>
      <c r="AZ168" s="343">
        <f>YEAR(ESS_DATA[[#This Row],[ETA for New Ark update]])</f>
        <v>2026</v>
      </c>
      <c r="BA168" s="343">
        <f>MONTH(ESS_DATA[[#This Row],[ETA for New Ark update]])</f>
        <v>11</v>
      </c>
      <c r="BB168" s="343">
        <f>IFERROR(_xlfn.ISOWEEKNUM(ESS_DATA[[#This Row],[ETA for New Ark update]]),0)</f>
        <v>45</v>
      </c>
      <c r="BC168" s="343" t="str">
        <f>_xlfn.XLOOKUP(ESS_DATA[[#This Row],[PORT DESTINATION]],Table12[PORT DESTINATION],Table12[Cosco Line],,0)</f>
        <v>AEM</v>
      </c>
      <c r="BD168" s="343"/>
      <c r="BE168" s="350"/>
      <c r="BF168" s="350"/>
      <c r="BG168" s="350"/>
      <c r="BH168" s="350"/>
      <c r="BI168" s="350"/>
    </row>
    <row r="169" spans="1:61" s="613" customFormat="1" ht="10">
      <c r="A169" s="351" t="s">
        <v>7883</v>
      </c>
      <c r="B169" s="340" t="s">
        <v>7423</v>
      </c>
      <c r="C169" s="340" t="str">
        <f>IFERROR(LEFT(ESS_DATA[[#This Row],[TCL REFERENCE]],FIND(".",ESS_DATA[[#This Row],[TCL REFERENCE]],1)-1),"Main Line")</f>
        <v>26AUG002</v>
      </c>
      <c r="D169" s="340" t="s">
        <v>63</v>
      </c>
      <c r="E169" s="343" t="s">
        <v>64</v>
      </c>
      <c r="F169" s="343" t="s">
        <v>65</v>
      </c>
      <c r="G169" s="340" t="s">
        <v>402</v>
      </c>
      <c r="H169" s="340" t="s">
        <v>67</v>
      </c>
      <c r="I169" s="343"/>
      <c r="J169" s="340"/>
      <c r="K169" s="340"/>
      <c r="L169" s="341"/>
      <c r="M169" s="342" t="s">
        <v>68</v>
      </c>
      <c r="N169" s="651" t="s">
        <v>7437</v>
      </c>
      <c r="O169" s="651" t="s">
        <v>7438</v>
      </c>
      <c r="P169" s="651" t="s">
        <v>7439</v>
      </c>
      <c r="Q169" s="339"/>
      <c r="R169" s="344">
        <v>130</v>
      </c>
      <c r="S169" s="345"/>
      <c r="T169" s="340"/>
      <c r="U169" s="346">
        <f>ESS_DATA[[#This Row],[QUANTITY]]/260</f>
        <v>0.5</v>
      </c>
      <c r="V169" s="612" t="s">
        <v>7884</v>
      </c>
      <c r="W169" s="340" t="s">
        <v>2467</v>
      </c>
      <c r="X169" s="343" t="str">
        <f t="shared" si="6"/>
        <v>IN-TRANSIT</v>
      </c>
      <c r="Y169" s="652">
        <v>46265</v>
      </c>
      <c r="Z169" s="347">
        <v>46266</v>
      </c>
      <c r="AA169" s="348">
        <f>WEEKNUM(ESS_DATA[[#This Row],[Pick-Up Date]])</f>
        <v>36</v>
      </c>
      <c r="AB169" s="650" t="s">
        <v>7879</v>
      </c>
      <c r="AC169" s="340"/>
      <c r="AD169" s="340" t="s">
        <v>122</v>
      </c>
      <c r="AE169" s="340" t="s">
        <v>123</v>
      </c>
      <c r="AF169" s="340" t="s">
        <v>78</v>
      </c>
      <c r="AG169" s="347">
        <v>46274</v>
      </c>
      <c r="AH169" s="347">
        <v>46273</v>
      </c>
      <c r="AI169" s="347">
        <v>46273</v>
      </c>
      <c r="AJ169" s="347">
        <v>46321</v>
      </c>
      <c r="AK169" s="347">
        <v>46323</v>
      </c>
      <c r="AL169" s="347"/>
      <c r="AM169" s="349" t="s">
        <v>402</v>
      </c>
      <c r="AN169" s="347" t="s">
        <v>6511</v>
      </c>
      <c r="AO169" s="347" t="s">
        <v>80</v>
      </c>
      <c r="AP169" s="347" t="s">
        <v>7880</v>
      </c>
      <c r="AQ169" s="340" t="s">
        <v>7881</v>
      </c>
      <c r="AR169" s="340" t="s">
        <v>7881</v>
      </c>
      <c r="AS169" s="340">
        <f>ESS_DATA[[#This Row],[ETA On S/O]]-ESS_DATA[[#This Row],[ETD On S/O]]+1</f>
        <v>48</v>
      </c>
      <c r="AT169" s="340"/>
      <c r="AU169" s="347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0">
        <f>IF(ESS_DATA[[#This Row],[New Ark PO Type]]="Offshore",0,IFERROR(VLOOKUP(ESS_DATA[[#This Row],[PORT OF LOADING]]&amp;ESS_DATA[[#This Row],[PORT DESTINATION]],LT_REF[],7,0),14))</f>
        <v>8</v>
      </c>
      <c r="AY169" s="347">
        <f>IFERROR(ESS_DATA[[#This Row],[ODP ETA Port]]+ESS_DATA[[#This Row],[Customs/Leg3 Assumption]],"n/a")</f>
        <v>46331</v>
      </c>
      <c r="AZ169" s="343">
        <f>YEAR(ESS_DATA[[#This Row],[ETA for New Ark update]])</f>
        <v>2026</v>
      </c>
      <c r="BA169" s="343">
        <f>MONTH(ESS_DATA[[#This Row],[ETA for New Ark update]])</f>
        <v>11</v>
      </c>
      <c r="BB169" s="343">
        <f>IFERROR(_xlfn.ISOWEEKNUM(ESS_DATA[[#This Row],[ETA for New Ark update]]),0)</f>
        <v>45</v>
      </c>
      <c r="BC169" s="343" t="str">
        <f>_xlfn.XLOOKUP(ESS_DATA[[#This Row],[PORT DESTINATION]],Table12[PORT DESTINATION],Table12[Cosco Line],,0)</f>
        <v>AEM</v>
      </c>
      <c r="BD169" s="343"/>
      <c r="BE169" s="350"/>
      <c r="BF169" s="350"/>
      <c r="BG169" s="350"/>
      <c r="BH169" s="350"/>
      <c r="BI169" s="350"/>
    </row>
    <row r="170" spans="1:61" s="613" customFormat="1" ht="10.5" customHeight="1">
      <c r="A170" s="351" t="s">
        <v>7885</v>
      </c>
      <c r="B170" s="340" t="s">
        <v>7423</v>
      </c>
      <c r="C170" s="340" t="str">
        <f>IFERROR(LEFT(ESS_DATA[[#This Row],[TCL REFERENCE]],FIND(".",ESS_DATA[[#This Row],[TCL REFERENCE]],1)-1),"Main Line")</f>
        <v>26AUG004</v>
      </c>
      <c r="D170" s="340" t="s">
        <v>63</v>
      </c>
      <c r="E170" s="343" t="s">
        <v>64</v>
      </c>
      <c r="F170" s="343" t="s">
        <v>65</v>
      </c>
      <c r="G170" s="340" t="s">
        <v>402</v>
      </c>
      <c r="H170" s="340" t="s">
        <v>67</v>
      </c>
      <c r="I170" s="343"/>
      <c r="J170" s="340"/>
      <c r="K170" s="340"/>
      <c r="L170" s="341"/>
      <c r="M170" s="342" t="s">
        <v>68</v>
      </c>
      <c r="N170" s="651" t="s">
        <v>7449</v>
      </c>
      <c r="O170" s="651" t="s">
        <v>7646</v>
      </c>
      <c r="P170" s="651" t="s">
        <v>7451</v>
      </c>
      <c r="Q170" s="339"/>
      <c r="R170" s="344">
        <v>130</v>
      </c>
      <c r="S170" s="345"/>
      <c r="T170" s="340"/>
      <c r="U170" s="346">
        <f>ESS_DATA[[#This Row],[QUANTITY]]/260</f>
        <v>0.5</v>
      </c>
      <c r="V170" s="612" t="s">
        <v>7884</v>
      </c>
      <c r="W170" s="340" t="s">
        <v>2467</v>
      </c>
      <c r="X170" s="343" t="str">
        <f t="shared" si="6"/>
        <v>IN-TRANSIT</v>
      </c>
      <c r="Y170" s="652">
        <v>46265</v>
      </c>
      <c r="Z170" s="347">
        <v>46266</v>
      </c>
      <c r="AA170" s="348">
        <f>WEEKNUM(ESS_DATA[[#This Row],[Pick-Up Date]])</f>
        <v>36</v>
      </c>
      <c r="AB170" s="650" t="s">
        <v>7879</v>
      </c>
      <c r="AC170" s="351"/>
      <c r="AD170" s="340" t="s">
        <v>122</v>
      </c>
      <c r="AE170" s="340" t="s">
        <v>123</v>
      </c>
      <c r="AF170" s="340" t="s">
        <v>78</v>
      </c>
      <c r="AG170" s="347">
        <v>46274</v>
      </c>
      <c r="AH170" s="347">
        <v>46273</v>
      </c>
      <c r="AI170" s="347">
        <v>46273</v>
      </c>
      <c r="AJ170" s="347">
        <v>46321</v>
      </c>
      <c r="AK170" s="347">
        <v>46323</v>
      </c>
      <c r="AL170" s="347"/>
      <c r="AM170" s="349" t="s">
        <v>402</v>
      </c>
      <c r="AN170" s="347" t="s">
        <v>6511</v>
      </c>
      <c r="AO170" s="347" t="s">
        <v>80</v>
      </c>
      <c r="AP170" s="347" t="s">
        <v>7880</v>
      </c>
      <c r="AQ170" s="340" t="s">
        <v>7881</v>
      </c>
      <c r="AR170" s="340" t="s">
        <v>7881</v>
      </c>
      <c r="AS170" s="340">
        <f>ESS_DATA[[#This Row],[ETA On S/O]]-ESS_DATA[[#This Row],[ETD On S/O]]+1</f>
        <v>48</v>
      </c>
      <c r="AT170" s="340"/>
      <c r="AU170" s="347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7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0">
        <f>IF(ESS_DATA[[#This Row],[New Ark PO Type]]="Offshore",0,IFERROR(VLOOKUP(ESS_DATA[[#This Row],[PORT OF LOADING]]&amp;ESS_DATA[[#This Row],[PORT DESTINATION]],LT_REF[],7,0),14))</f>
        <v>8</v>
      </c>
      <c r="AY170" s="347">
        <f>IFERROR(ESS_DATA[[#This Row],[ODP ETA Port]]+ESS_DATA[[#This Row],[Customs/Leg3 Assumption]],"n/a")</f>
        <v>46331</v>
      </c>
      <c r="AZ170" s="343">
        <f>YEAR(ESS_DATA[[#This Row],[ETA for New Ark update]])</f>
        <v>2026</v>
      </c>
      <c r="BA170" s="343">
        <f>MONTH(ESS_DATA[[#This Row],[ETA for New Ark update]])</f>
        <v>11</v>
      </c>
      <c r="BB170" s="343">
        <f>IFERROR(_xlfn.ISOWEEKNUM(ESS_DATA[[#This Row],[ETA for New Ark update]]),0)</f>
        <v>45</v>
      </c>
      <c r="BC170" s="343" t="str">
        <f>_xlfn.XLOOKUP(ESS_DATA[[#This Row],[PORT DESTINATION]],Table12[PORT DESTINATION],Table12[Cosco Line],,0)</f>
        <v>AEM</v>
      </c>
      <c r="BD170" s="343"/>
      <c r="BE170" s="350"/>
      <c r="BF170" s="350"/>
      <c r="BG170" s="350"/>
      <c r="BH170" s="350"/>
      <c r="BI170" s="350"/>
    </row>
    <row r="171" spans="1:61" s="613" customFormat="1" ht="11.25" customHeight="1">
      <c r="A171" s="351" t="s">
        <v>7886</v>
      </c>
      <c r="B171" s="340" t="s">
        <v>7423</v>
      </c>
      <c r="C171" s="340" t="str">
        <f>IFERROR(LEFT(ESS_DATA[[#This Row],[TCL REFERENCE]],FIND(".",ESS_DATA[[#This Row],[TCL REFERENCE]],1)-1),"Main Line")</f>
        <v>26AUG005</v>
      </c>
      <c r="D171" s="340" t="s">
        <v>63</v>
      </c>
      <c r="E171" s="652" t="s">
        <v>64</v>
      </c>
      <c r="F171" s="651" t="s">
        <v>65</v>
      </c>
      <c r="G171" s="340" t="s">
        <v>402</v>
      </c>
      <c r="H171" s="651" t="s">
        <v>67</v>
      </c>
      <c r="I171" s="344"/>
      <c r="J171" s="346"/>
      <c r="K171" s="612" t="s">
        <v>7873</v>
      </c>
      <c r="L171" s="340"/>
      <c r="M171" s="342" t="s">
        <v>68</v>
      </c>
      <c r="N171" s="651" t="s">
        <v>7460</v>
      </c>
      <c r="O171" s="651" t="s">
        <v>7461</v>
      </c>
      <c r="P171" s="651" t="s">
        <v>7462</v>
      </c>
      <c r="Q171" s="340"/>
      <c r="R171" s="616">
        <v>552</v>
      </c>
      <c r="S171" s="340"/>
      <c r="T171" s="347"/>
      <c r="U171" s="346">
        <f>ESS_DATA[[#This Row],[QUANTITY]]/276</f>
        <v>2</v>
      </c>
      <c r="V171" s="655" t="s">
        <v>7887</v>
      </c>
      <c r="W171" s="665" t="s">
        <v>2466</v>
      </c>
      <c r="X171" s="343" t="str">
        <f t="shared" si="6"/>
        <v>IN-TRANSIT</v>
      </c>
      <c r="Y171" s="664">
        <v>46260</v>
      </c>
      <c r="Z171" s="349">
        <v>46271</v>
      </c>
      <c r="AA171" s="348">
        <f>WEEKNUM(ESS_DATA[[#This Row],[Pick-Up Date]])</f>
        <v>37</v>
      </c>
      <c r="AB171" s="1216" t="s">
        <v>7888</v>
      </c>
      <c r="AC171" s="347"/>
      <c r="AD171" s="340" t="s">
        <v>122</v>
      </c>
      <c r="AE171" s="340" t="s">
        <v>123</v>
      </c>
      <c r="AF171" s="340" t="s">
        <v>78</v>
      </c>
      <c r="AG171" s="347">
        <v>46267</v>
      </c>
      <c r="AH171" s="347">
        <v>46280</v>
      </c>
      <c r="AI171" s="347">
        <v>46279</v>
      </c>
      <c r="AJ171" s="347">
        <v>46316</v>
      </c>
      <c r="AK171" s="347">
        <v>46330</v>
      </c>
      <c r="AL171" s="347"/>
      <c r="AM171" s="343" t="s">
        <v>402</v>
      </c>
      <c r="AN171" s="343" t="s">
        <v>7889</v>
      </c>
      <c r="AO171" s="347" t="s">
        <v>161</v>
      </c>
      <c r="AP171" s="347" t="s">
        <v>7890</v>
      </c>
      <c r="AQ171" s="343">
        <v>275550212</v>
      </c>
      <c r="AR171" s="343">
        <v>275550212</v>
      </c>
      <c r="AS171" s="340">
        <f>ESS_DATA[[#This Row],[ETA On S/O]]-ESS_DATA[[#This Row],[ETD On S/O]]+1</f>
        <v>50</v>
      </c>
      <c r="AT171" s="340"/>
      <c r="AU171" s="347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0">
        <f>IF(ESS_DATA[[#This Row],[New Ark PO Type]]="Offshore",0,IFERROR(VLOOKUP(ESS_DATA[[#This Row],[PORT OF LOADING]]&amp;ESS_DATA[[#This Row],[PORT DESTINATION]],LT_REF[],7,0),14))</f>
        <v>8</v>
      </c>
      <c r="AY171" s="347">
        <f>IFERROR(ESS_DATA[[#This Row],[ODP ETA Port]]+ESS_DATA[[#This Row],[Customs/Leg3 Assumption]],"n/a")</f>
        <v>46338</v>
      </c>
      <c r="AZ171" s="343">
        <f>YEAR(ESS_DATA[[#This Row],[ETA for New Ark update]])</f>
        <v>2026</v>
      </c>
      <c r="BA171" s="343">
        <f>MONTH(ESS_DATA[[#This Row],[ETA for New Ark update]])</f>
        <v>11</v>
      </c>
      <c r="BB171" s="343">
        <f>IFERROR(_xlfn.ISOWEEKNUM(ESS_DATA[[#This Row],[ETA for New Ark update]]),0)</f>
        <v>46</v>
      </c>
      <c r="BC171" s="343" t="str">
        <f>_xlfn.XLOOKUP(ESS_DATA[[#This Row],[PORT DESTINATION]],Table12[PORT DESTINATION],Table12[Cosco Line],,0)</f>
        <v>AEM</v>
      </c>
      <c r="BD171" s="343"/>
      <c r="BE171" s="350"/>
      <c r="BF171" s="350"/>
      <c r="BG171" s="350"/>
      <c r="BH171" s="350"/>
      <c r="BI171" s="350"/>
    </row>
    <row r="172" spans="1:61" s="613" customFormat="1" ht="12" customHeight="1">
      <c r="A172" s="351" t="s">
        <v>7891</v>
      </c>
      <c r="B172" s="340" t="s">
        <v>7423</v>
      </c>
      <c r="C172" s="340" t="str">
        <f>IFERROR(LEFT(ESS_DATA[[#This Row],[TCL REFERENCE]],FIND(".",ESS_DATA[[#This Row],[TCL REFERENCE]],1)-1),"Main Line")</f>
        <v>26AUG005</v>
      </c>
      <c r="D172" s="340" t="s">
        <v>63</v>
      </c>
      <c r="E172" s="652" t="s">
        <v>64</v>
      </c>
      <c r="F172" s="651" t="s">
        <v>65</v>
      </c>
      <c r="G172" s="340" t="s">
        <v>402</v>
      </c>
      <c r="H172" s="651" t="s">
        <v>67</v>
      </c>
      <c r="I172" s="344"/>
      <c r="J172" s="346"/>
      <c r="K172" s="612" t="s">
        <v>7873</v>
      </c>
      <c r="L172" s="340"/>
      <c r="M172" s="342" t="s">
        <v>68</v>
      </c>
      <c r="N172" s="651" t="s">
        <v>7460</v>
      </c>
      <c r="O172" s="651" t="s">
        <v>7461</v>
      </c>
      <c r="P172" s="651" t="s">
        <v>7462</v>
      </c>
      <c r="Q172" s="340"/>
      <c r="R172" s="616">
        <v>552</v>
      </c>
      <c r="S172" s="340"/>
      <c r="T172" s="347"/>
      <c r="U172" s="346">
        <f>ESS_DATA[[#This Row],[QUANTITY]]/276</f>
        <v>2</v>
      </c>
      <c r="V172" s="655" t="s">
        <v>7892</v>
      </c>
      <c r="W172" s="665" t="s">
        <v>2467</v>
      </c>
      <c r="X172" s="343" t="str">
        <f t="shared" si="6"/>
        <v>IN-TRANSIT</v>
      </c>
      <c r="Y172" s="664">
        <v>46267</v>
      </c>
      <c r="Z172" s="349">
        <v>46282</v>
      </c>
      <c r="AA172" s="348">
        <f>WEEKNUM(ESS_DATA[[#This Row],[Pick-Up Date]])</f>
        <v>38</v>
      </c>
      <c r="AB172" s="1220" t="s">
        <v>7893</v>
      </c>
      <c r="AC172" s="347"/>
      <c r="AD172" s="340" t="s">
        <v>122</v>
      </c>
      <c r="AE172" s="340" t="s">
        <v>123</v>
      </c>
      <c r="AF172" s="340" t="s">
        <v>78</v>
      </c>
      <c r="AG172" s="347">
        <v>46279</v>
      </c>
      <c r="AH172" s="347">
        <v>46297</v>
      </c>
      <c r="AI172" s="347">
        <v>46297</v>
      </c>
      <c r="AJ172" s="347">
        <v>46323</v>
      </c>
      <c r="AK172" s="347">
        <v>46337</v>
      </c>
      <c r="AL172" s="347"/>
      <c r="AM172" s="343" t="s">
        <v>402</v>
      </c>
      <c r="AN172" s="343" t="s">
        <v>7894</v>
      </c>
      <c r="AO172" s="347" t="s">
        <v>161</v>
      </c>
      <c r="AP172" s="347" t="s">
        <v>7895</v>
      </c>
      <c r="AQ172" s="343">
        <v>276027831</v>
      </c>
      <c r="AR172" s="340">
        <v>276027831</v>
      </c>
      <c r="AS172" s="340">
        <f>ESS_DATA[[#This Row],[ETA On S/O]]-ESS_DATA[[#This Row],[ETD On S/O]]+1</f>
        <v>45</v>
      </c>
      <c r="AT172" s="340"/>
      <c r="AU172" s="347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0">
        <f>IF(ESS_DATA[[#This Row],[New Ark PO Type]]="Offshore",0,IFERROR(VLOOKUP(ESS_DATA[[#This Row],[PORT OF LOADING]]&amp;ESS_DATA[[#This Row],[PORT DESTINATION]],LT_REF[],7,0),14))</f>
        <v>8</v>
      </c>
      <c r="AY172" s="347">
        <f>IFERROR(ESS_DATA[[#This Row],[ODP ETA Port]]+ESS_DATA[[#This Row],[Customs/Leg3 Assumption]],"n/a")</f>
        <v>46345</v>
      </c>
      <c r="AZ172" s="343">
        <f>YEAR(ESS_DATA[[#This Row],[ETA for New Ark update]])</f>
        <v>2026</v>
      </c>
      <c r="BA172" s="343">
        <f>MONTH(ESS_DATA[[#This Row],[ETA for New Ark update]])</f>
        <v>11</v>
      </c>
      <c r="BB172" s="343">
        <f>IFERROR(_xlfn.ISOWEEKNUM(ESS_DATA[[#This Row],[ETA for New Ark update]]),0)</f>
        <v>47</v>
      </c>
      <c r="BC172" s="343" t="str">
        <f>_xlfn.XLOOKUP(ESS_DATA[[#This Row],[PORT DESTINATION]],Table12[PORT DESTINATION],Table12[Cosco Line],,0)</f>
        <v>AEM</v>
      </c>
      <c r="BD172" s="343"/>
      <c r="BE172" s="350"/>
      <c r="BF172" s="350"/>
      <c r="BG172" s="350"/>
      <c r="BH172" s="350"/>
      <c r="BI172" s="350"/>
    </row>
    <row r="173" spans="1:61" s="613" customFormat="1" ht="12" customHeight="1">
      <c r="A173" s="351" t="s">
        <v>7896</v>
      </c>
      <c r="B173" s="340" t="s">
        <v>7423</v>
      </c>
      <c r="C173" s="340" t="str">
        <f>IFERROR(LEFT(ESS_DATA[[#This Row],[TCL REFERENCE]],FIND(".",ESS_DATA[[#This Row],[TCL REFERENCE]],1)-1),"Main Line")</f>
        <v>26AUG005</v>
      </c>
      <c r="D173" s="340" t="s">
        <v>63</v>
      </c>
      <c r="E173" s="652" t="s">
        <v>64</v>
      </c>
      <c r="F173" s="651" t="s">
        <v>65</v>
      </c>
      <c r="G173" s="340" t="s">
        <v>402</v>
      </c>
      <c r="H173" s="651" t="s">
        <v>67</v>
      </c>
      <c r="I173" s="344"/>
      <c r="J173" s="346"/>
      <c r="K173" s="612" t="s">
        <v>7873</v>
      </c>
      <c r="L173" s="340"/>
      <c r="M173" s="342" t="s">
        <v>68</v>
      </c>
      <c r="N173" s="651" t="s">
        <v>7460</v>
      </c>
      <c r="O173" s="651" t="s">
        <v>7461</v>
      </c>
      <c r="P173" s="651" t="s">
        <v>7462</v>
      </c>
      <c r="Q173" s="340"/>
      <c r="R173" s="616">
        <v>552</v>
      </c>
      <c r="S173" s="340"/>
      <c r="T173" s="347"/>
      <c r="U173" s="346">
        <f>ESS_DATA[[#This Row],[QUANTITY]]/276</f>
        <v>2</v>
      </c>
      <c r="V173" s="655" t="s">
        <v>7897</v>
      </c>
      <c r="W173" s="665" t="s">
        <v>2468</v>
      </c>
      <c r="X173" s="343" t="str">
        <f t="shared" si="6"/>
        <v>IN-TRANSIT</v>
      </c>
      <c r="Y173" s="664">
        <v>46272</v>
      </c>
      <c r="Z173" s="349">
        <v>46283</v>
      </c>
      <c r="AA173" s="348">
        <f>WEEKNUM(ESS_DATA[[#This Row],[Pick-Up Date]])</f>
        <v>38</v>
      </c>
      <c r="AB173" s="1220" t="s">
        <v>7898</v>
      </c>
      <c r="AC173" s="347"/>
      <c r="AD173" s="340" t="s">
        <v>122</v>
      </c>
      <c r="AE173" s="340" t="s">
        <v>123</v>
      </c>
      <c r="AF173" s="340" t="s">
        <v>78</v>
      </c>
      <c r="AG173" s="347">
        <v>46292</v>
      </c>
      <c r="AH173" s="347">
        <v>46297</v>
      </c>
      <c r="AI173" s="347">
        <v>46298</v>
      </c>
      <c r="AJ173" s="347">
        <v>46337</v>
      </c>
      <c r="AK173" s="347">
        <v>46337</v>
      </c>
      <c r="AL173" s="347"/>
      <c r="AM173" s="343" t="s">
        <v>402</v>
      </c>
      <c r="AN173" s="343" t="s">
        <v>7899</v>
      </c>
      <c r="AO173" s="347" t="s">
        <v>161</v>
      </c>
      <c r="AP173" s="343" t="s">
        <v>7900</v>
      </c>
      <c r="AQ173" s="343">
        <v>276766144</v>
      </c>
      <c r="AR173" s="343">
        <v>276766144</v>
      </c>
      <c r="AS173" s="340">
        <f>ESS_DATA[[#This Row],[ETA On S/O]]-ESS_DATA[[#This Row],[ETD On S/O]]+1</f>
        <v>46</v>
      </c>
      <c r="AT173" s="340"/>
      <c r="AU173" s="347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0">
        <f>IF(ESS_DATA[[#This Row],[New Ark PO Type]]="Offshore",0,IFERROR(VLOOKUP(ESS_DATA[[#This Row],[PORT OF LOADING]]&amp;ESS_DATA[[#This Row],[PORT DESTINATION]],LT_REF[],7,0),14))</f>
        <v>8</v>
      </c>
      <c r="AY173" s="347">
        <f>IFERROR(ESS_DATA[[#This Row],[ODP ETA Port]]+ESS_DATA[[#This Row],[Customs/Leg3 Assumption]],"n/a")</f>
        <v>46345</v>
      </c>
      <c r="AZ173" s="343">
        <f>YEAR(ESS_DATA[[#This Row],[ETA for New Ark update]])</f>
        <v>2026</v>
      </c>
      <c r="BA173" s="343">
        <f>MONTH(ESS_DATA[[#This Row],[ETA for New Ark update]])</f>
        <v>11</v>
      </c>
      <c r="BB173" s="343">
        <f>IFERROR(_xlfn.ISOWEEKNUM(ESS_DATA[[#This Row],[ETA for New Ark update]]),0)</f>
        <v>47</v>
      </c>
      <c r="BC173" s="343" t="str">
        <f>_xlfn.XLOOKUP(ESS_DATA[[#This Row],[PORT DESTINATION]],Table12[PORT DESTINATION],Table12[Cosco Line],,0)</f>
        <v>AEM</v>
      </c>
      <c r="BD173" s="343"/>
      <c r="BE173" s="350"/>
      <c r="BF173" s="350"/>
      <c r="BG173" s="350"/>
      <c r="BH173" s="350"/>
      <c r="BI173" s="350"/>
    </row>
    <row r="174" spans="1:61" s="889" customFormat="1" ht="13.5" customHeight="1">
      <c r="A174" s="875" t="s">
        <v>7901</v>
      </c>
      <c r="B174" s="876" t="s">
        <v>7902</v>
      </c>
      <c r="C174" s="876" t="str">
        <f>IFERROR(LEFT(ESS_DATA[[#This Row],[TCL REFERENCE]],FIND(".",ESS_DATA[[#This Row],[TCL REFERENCE]],1)-1),"Main Line")</f>
        <v>Main Line</v>
      </c>
      <c r="D174" s="876" t="s">
        <v>63</v>
      </c>
      <c r="E174" s="876" t="s">
        <v>64</v>
      </c>
      <c r="F174" s="877" t="s">
        <v>100</v>
      </c>
      <c r="G174" s="876" t="s">
        <v>402</v>
      </c>
      <c r="H174" s="876" t="s">
        <v>67</v>
      </c>
      <c r="I174" s="877"/>
      <c r="J174" s="876"/>
      <c r="K174" s="876"/>
      <c r="L174" s="878"/>
      <c r="M174" s="879" t="s">
        <v>68</v>
      </c>
      <c r="N174" s="880" t="s">
        <v>7903</v>
      </c>
      <c r="O174" s="875" t="s">
        <v>7904</v>
      </c>
      <c r="P174" s="875" t="s">
        <v>7905</v>
      </c>
      <c r="Q174" s="881"/>
      <c r="R174" s="882">
        <v>30</v>
      </c>
      <c r="S174" s="883"/>
      <c r="T174" s="876"/>
      <c r="U174" s="884">
        <f>ESS_DATA[[#This Row],[QUANTITY]]/10</f>
        <v>3</v>
      </c>
      <c r="V174" s="885" t="s">
        <v>7906</v>
      </c>
      <c r="W174" s="876" t="s">
        <v>7907</v>
      </c>
      <c r="X174" s="876" t="str">
        <f t="shared" ref="X174:X184" si="7">IF(AL174&lt;&gt;"","COMPLETED",IF(AI174&lt;&gt;"","IN-TRANSIT",""))</f>
        <v>COMPLETED</v>
      </c>
      <c r="Y174" s="927">
        <v>46251</v>
      </c>
      <c r="Z174" s="886">
        <v>46260</v>
      </c>
      <c r="AA174" s="887">
        <f>WEEKNUM(ESS_DATA[[#This Row],[Pick-Up Date]])</f>
        <v>35</v>
      </c>
      <c r="AB174" s="876" t="s">
        <v>7908</v>
      </c>
      <c r="AC174" s="876"/>
      <c r="AD174" s="876" t="s">
        <v>7590</v>
      </c>
      <c r="AE174" s="876" t="s">
        <v>7590</v>
      </c>
      <c r="AF174" s="876" t="s">
        <v>105</v>
      </c>
      <c r="AG174" s="886">
        <v>46264</v>
      </c>
      <c r="AH174" s="886">
        <v>46267</v>
      </c>
      <c r="AI174" s="886">
        <v>46267</v>
      </c>
      <c r="AJ174" s="886">
        <v>46295</v>
      </c>
      <c r="AK174" s="886">
        <v>46299</v>
      </c>
      <c r="AL174" s="886">
        <v>46301</v>
      </c>
      <c r="AM174" s="886" t="s">
        <v>402</v>
      </c>
      <c r="AN174" s="886" t="s">
        <v>5885</v>
      </c>
      <c r="AO174" s="886" t="s">
        <v>161</v>
      </c>
      <c r="AP174" s="886" t="s">
        <v>7909</v>
      </c>
      <c r="AQ174" s="980" t="s">
        <v>7910</v>
      </c>
      <c r="AR174" s="980" t="s">
        <v>7911</v>
      </c>
      <c r="AS174" s="876">
        <f>ESS_DATA[[#This Row],[ETA On S/O]]-ESS_DATA[[#This Row],[ETD On S/O]]+1</f>
        <v>32</v>
      </c>
      <c r="AT174" s="876"/>
      <c r="AU174" s="886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46301</v>
      </c>
      <c r="AV17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46312</v>
      </c>
      <c r="AX174" s="876">
        <f>IF(ESS_DATA[[#This Row],[New Ark PO Type]]="Offshore",0,IFERROR(VLOOKUP(ESS_DATA[[#This Row],[PORT OF LOADING]]&amp;ESS_DATA[[#This Row],[PORT DESTINATION]],LT_REF[],7,0),14))</f>
        <v>14</v>
      </c>
      <c r="AY174" s="886">
        <f>IFERROR(ESS_DATA[[#This Row],[ODP ETA Port]]+ESS_DATA[[#This Row],[Customs/Leg3 Assumption]],"n/a")</f>
        <v>46315</v>
      </c>
      <c r="AZ174" s="877">
        <f>YEAR(ESS_DATA[[#This Row],[ETA for New Ark update]])</f>
        <v>2026</v>
      </c>
      <c r="BA174" s="877">
        <f>MONTH(ESS_DATA[[#This Row],[ETA for New Ark update]])</f>
        <v>10</v>
      </c>
      <c r="BB174" s="877">
        <f>IFERROR(_xlfn.ISOWEEKNUM(ESS_DATA[[#This Row],[ETA for New Ark update]]),0)</f>
        <v>43</v>
      </c>
      <c r="BC174" s="877" t="str">
        <f>_xlfn.XLOOKUP(ESS_DATA[[#This Row],[PORT DESTINATION]],Table12[PORT DESTINATION],Table12[Cosco Line],,0)</f>
        <v>AEU</v>
      </c>
      <c r="BD174" s="877"/>
      <c r="BE174" s="888"/>
      <c r="BF174" s="888"/>
      <c r="BG174" s="888"/>
      <c r="BH174" s="888"/>
      <c r="BI174" s="888"/>
    </row>
    <row r="175" spans="1:61" s="691" customFormat="1" ht="13.5" customHeight="1">
      <c r="A175" s="172" t="s">
        <v>7912</v>
      </c>
      <c r="B175" s="41" t="s">
        <v>7913</v>
      </c>
      <c r="C175" s="41" t="str">
        <f>IFERROR(LEFT(ESS_DATA[[#This Row],[TCL REFERENCE]],FIND(".",ESS_DATA[[#This Row],[TCL REFERENCE]],1)-1),"Main Line")</f>
        <v>26AUG010</v>
      </c>
      <c r="D175" s="529" t="s">
        <v>68</v>
      </c>
      <c r="E175" s="529" t="s">
        <v>68</v>
      </c>
      <c r="F175" s="529" t="s">
        <v>68</v>
      </c>
      <c r="G175" s="41"/>
      <c r="H175" s="41" t="s">
        <v>7628</v>
      </c>
      <c r="I175" s="490"/>
      <c r="J175" s="41" t="s">
        <v>949</v>
      </c>
      <c r="K175" s="41"/>
      <c r="L175" s="535"/>
      <c r="M175" s="225"/>
      <c r="N175" s="692" t="s">
        <v>7914</v>
      </c>
      <c r="O175" s="692" t="s">
        <v>7915</v>
      </c>
      <c r="P175" s="692" t="s">
        <v>7916</v>
      </c>
      <c r="Q175" s="689"/>
      <c r="R175" s="690">
        <v>53</v>
      </c>
      <c r="S175" s="495"/>
      <c r="T175" s="41"/>
      <c r="U175" s="491">
        <f>ESS_DATA[[#This Row],[QUANTITY]]/124</f>
        <v>0.42741935483870969</v>
      </c>
      <c r="V175" s="530" t="s">
        <v>7917</v>
      </c>
      <c r="W175" s="872" t="s">
        <v>7918</v>
      </c>
      <c r="X175" s="873" t="str">
        <f t="shared" si="7"/>
        <v>COMPLETED</v>
      </c>
      <c r="Y175" s="874">
        <v>46252</v>
      </c>
      <c r="Z175" s="37">
        <v>46255</v>
      </c>
      <c r="AA175" s="492">
        <f>WEEKNUM(ESS_DATA[[#This Row],[Pick-Up Date]])</f>
        <v>34</v>
      </c>
      <c r="AB175" s="41" t="s">
        <v>7277</v>
      </c>
      <c r="AC175" s="41"/>
      <c r="AD175" s="225" t="s">
        <v>288</v>
      </c>
      <c r="AE175" s="225" t="s">
        <v>288</v>
      </c>
      <c r="AF175" s="41" t="s">
        <v>7919</v>
      </c>
      <c r="AG175" s="37">
        <v>46262</v>
      </c>
      <c r="AH175" s="37">
        <v>46264</v>
      </c>
      <c r="AI175" s="37">
        <v>46265</v>
      </c>
      <c r="AJ175" s="37">
        <v>46267</v>
      </c>
      <c r="AK175" s="37">
        <v>46270</v>
      </c>
      <c r="AL175" s="37">
        <v>46270</v>
      </c>
      <c r="AM175" s="529" t="s">
        <v>402</v>
      </c>
      <c r="AN175" s="37" t="s">
        <v>7920</v>
      </c>
      <c r="AO175" s="37" t="s">
        <v>161</v>
      </c>
      <c r="AP175" s="41" t="s">
        <v>7277</v>
      </c>
      <c r="AQ175" s="41" t="s">
        <v>7921</v>
      </c>
      <c r="AR175" s="41" t="s">
        <v>7921</v>
      </c>
      <c r="AS175" s="41">
        <f>ESS_DATA[[#This Row],[ETA On S/O]]-ESS_DATA[[#This Row],[ETD On S/O]]+1</f>
        <v>6</v>
      </c>
      <c r="AT175" s="41"/>
      <c r="AU175" s="37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41">
        <f>IF(ESS_DATA[[#This Row],[New Ark PO Type]]="Offshore",0,IFERROR(VLOOKUP(ESS_DATA[[#This Row],[PORT OF LOADING]]&amp;ESS_DATA[[#This Row],[PORT DESTINATION]],LT_REF[],7,0),14))</f>
        <v>14</v>
      </c>
      <c r="AY175" s="37">
        <f>IFERROR(ESS_DATA[[#This Row],[ODP ETA Port]]+ESS_DATA[[#This Row],[Customs/Leg3 Assumption]],"n/a")</f>
        <v>46284</v>
      </c>
      <c r="AZ175" s="178">
        <f>YEAR(ESS_DATA[[#This Row],[ETA for New Ark update]])</f>
        <v>2026</v>
      </c>
      <c r="BA175" s="178">
        <f>MONTH(ESS_DATA[[#This Row],[ETA for New Ark update]])</f>
        <v>9</v>
      </c>
      <c r="BB175" s="178">
        <f>IFERROR(_xlfn.ISOWEEKNUM(ESS_DATA[[#This Row],[ETA for New Ark update]]),0)</f>
        <v>38</v>
      </c>
      <c r="BC175" s="178" t="e">
        <f>_xlfn.XLOOKUP(ESS_DATA[[#This Row],[PORT DESTINATION]],Table12[PORT DESTINATION],Table12[Cosco Line],,0)</f>
        <v>#N/A</v>
      </c>
      <c r="BD175" s="178"/>
      <c r="BE175" s="175"/>
      <c r="BF175" s="175"/>
      <c r="BG175" s="175"/>
      <c r="BH175" s="175"/>
      <c r="BI175" s="175"/>
    </row>
    <row r="176" spans="1:61" s="691" customFormat="1" ht="15.75" customHeight="1">
      <c r="A176" s="172" t="s">
        <v>7922</v>
      </c>
      <c r="B176" s="41" t="s">
        <v>7913</v>
      </c>
      <c r="C176" s="41" t="str">
        <f>IFERROR(LEFT(ESS_DATA[[#This Row],[TCL REFERENCE]],FIND(".",ESS_DATA[[#This Row],[TCL REFERENCE]],1)-1),"Main Line")</f>
        <v>26AUG011</v>
      </c>
      <c r="D176" s="529" t="s">
        <v>68</v>
      </c>
      <c r="E176" s="529" t="s">
        <v>68</v>
      </c>
      <c r="F176" s="529" t="s">
        <v>68</v>
      </c>
      <c r="G176" s="41"/>
      <c r="H176" s="41" t="s">
        <v>7628</v>
      </c>
      <c r="I176" s="490"/>
      <c r="J176" s="41" t="s">
        <v>949</v>
      </c>
      <c r="K176" s="41"/>
      <c r="L176" s="535"/>
      <c r="M176" s="225"/>
      <c r="N176" s="692" t="s">
        <v>7923</v>
      </c>
      <c r="O176" s="692" t="s">
        <v>7924</v>
      </c>
      <c r="P176" s="692" t="s">
        <v>7925</v>
      </c>
      <c r="Q176" s="689"/>
      <c r="R176" s="690">
        <v>53</v>
      </c>
      <c r="S176" s="495"/>
      <c r="T176" s="41"/>
      <c r="U176" s="491">
        <f>ESS_DATA[[#This Row],[QUANTITY]]/124</f>
        <v>0.42741935483870969</v>
      </c>
      <c r="V176" s="530" t="s">
        <v>7917</v>
      </c>
      <c r="W176" s="872" t="s">
        <v>7918</v>
      </c>
      <c r="X176" s="873" t="str">
        <f t="shared" si="7"/>
        <v>COMPLETED</v>
      </c>
      <c r="Y176" s="874">
        <v>46252</v>
      </c>
      <c r="Z176" s="37">
        <v>46255</v>
      </c>
      <c r="AA176" s="492">
        <f>WEEKNUM(ESS_DATA[[#This Row],[Pick-Up Date]])</f>
        <v>34</v>
      </c>
      <c r="AB176" s="41" t="s">
        <v>7277</v>
      </c>
      <c r="AC176" s="41"/>
      <c r="AD176" s="225" t="s">
        <v>288</v>
      </c>
      <c r="AE176" s="225" t="s">
        <v>288</v>
      </c>
      <c r="AF176" s="41" t="s">
        <v>7919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46270</v>
      </c>
      <c r="AL176" s="37">
        <v>46270</v>
      </c>
      <c r="AM176" s="529" t="s">
        <v>402</v>
      </c>
      <c r="AN176" s="37" t="s">
        <v>7920</v>
      </c>
      <c r="AO176" s="37" t="s">
        <v>161</v>
      </c>
      <c r="AP176" s="41" t="s">
        <v>7277</v>
      </c>
      <c r="AQ176" s="41" t="s">
        <v>7921</v>
      </c>
      <c r="AR176" s="41" t="s">
        <v>7921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46284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691" customFormat="1" ht="15.75" customHeight="1">
      <c r="A177" s="172" t="s">
        <v>7926</v>
      </c>
      <c r="B177" s="41" t="s">
        <v>7913</v>
      </c>
      <c r="C177" s="41" t="str">
        <f>IFERROR(LEFT(ESS_DATA[[#This Row],[TCL REFERENCE]],FIND(".",ESS_DATA[[#This Row],[TCL REFERENCE]],1)-1),"Main Line")</f>
        <v>Main Line</v>
      </c>
      <c r="D177" s="529" t="s">
        <v>68</v>
      </c>
      <c r="E177" s="529" t="s">
        <v>68</v>
      </c>
      <c r="F177" s="529" t="s">
        <v>68</v>
      </c>
      <c r="G177" s="41"/>
      <c r="H177" s="41" t="s">
        <v>7628</v>
      </c>
      <c r="I177" s="490"/>
      <c r="J177" s="41" t="s">
        <v>949</v>
      </c>
      <c r="K177" s="41"/>
      <c r="L177" s="535"/>
      <c r="M177" s="225"/>
      <c r="N177" s="692" t="s">
        <v>7927</v>
      </c>
      <c r="O177" s="692" t="s">
        <v>7928</v>
      </c>
      <c r="P177" s="692" t="s">
        <v>7929</v>
      </c>
      <c r="Q177" s="494"/>
      <c r="R177" s="490">
        <v>16</v>
      </c>
      <c r="S177" s="495"/>
      <c r="T177" s="41"/>
      <c r="U177" s="491">
        <f>ESS_DATA[[#This Row],[QUANTITY]]/124</f>
        <v>0.12903225806451613</v>
      </c>
      <c r="V177" s="530" t="s">
        <v>7917</v>
      </c>
      <c r="W177" s="872" t="s">
        <v>7918</v>
      </c>
      <c r="X177" s="873" t="str">
        <f t="shared" si="7"/>
        <v>COMPLETED</v>
      </c>
      <c r="Y177" s="874">
        <v>46252</v>
      </c>
      <c r="Z177" s="37">
        <v>46255</v>
      </c>
      <c r="AA177" s="492">
        <f>WEEKNUM(ESS_DATA[[#This Row],[Pick-Up Date]])</f>
        <v>34</v>
      </c>
      <c r="AB177" s="41" t="s">
        <v>7277</v>
      </c>
      <c r="AC177" s="41"/>
      <c r="AD177" s="225" t="s">
        <v>288</v>
      </c>
      <c r="AE177" s="225" t="s">
        <v>288</v>
      </c>
      <c r="AF177" s="41" t="s">
        <v>7919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46270</v>
      </c>
      <c r="AL177" s="37">
        <v>46270</v>
      </c>
      <c r="AM177" s="529" t="s">
        <v>402</v>
      </c>
      <c r="AN177" s="37" t="s">
        <v>7920</v>
      </c>
      <c r="AO177" s="37" t="s">
        <v>161</v>
      </c>
      <c r="AP177" s="41" t="s">
        <v>7277</v>
      </c>
      <c r="AQ177" s="41" t="s">
        <v>7921</v>
      </c>
      <c r="AR177" s="41" t="s">
        <v>7921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46284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691" customFormat="1" ht="15.75" customHeight="1">
      <c r="A178" s="172" t="s">
        <v>7930</v>
      </c>
      <c r="B178" s="41" t="s">
        <v>7913</v>
      </c>
      <c r="C178" s="41" t="str">
        <f>IFERROR(LEFT(ESS_DATA[[#This Row],[TCL REFERENCE]],FIND(".",ESS_DATA[[#This Row],[TCL REFERENCE]],1)-1),"Main Line")</f>
        <v>26AUG010</v>
      </c>
      <c r="D178" s="529" t="s">
        <v>68</v>
      </c>
      <c r="E178" s="529" t="s">
        <v>68</v>
      </c>
      <c r="F178" s="529" t="s">
        <v>68</v>
      </c>
      <c r="G178" s="41"/>
      <c r="H178" s="41" t="s">
        <v>7628</v>
      </c>
      <c r="I178" s="490"/>
      <c r="J178" s="41" t="s">
        <v>949</v>
      </c>
      <c r="K178" s="41"/>
      <c r="L178" s="535"/>
      <c r="M178" s="225"/>
      <c r="N178" s="692" t="s">
        <v>7914</v>
      </c>
      <c r="O178" s="692" t="s">
        <v>7915</v>
      </c>
      <c r="P178" s="692" t="s">
        <v>7916</v>
      </c>
      <c r="Q178" s="494"/>
      <c r="R178" s="490">
        <v>1</v>
      </c>
      <c r="S178" s="495"/>
      <c r="T178" s="41"/>
      <c r="U178" s="491">
        <f>ESS_DATA[[#This Row],[QUANTITY]]/124</f>
        <v>8.0645161290322578E-3</v>
      </c>
      <c r="V178" s="530" t="s">
        <v>7917</v>
      </c>
      <c r="W178" s="872" t="s">
        <v>7918</v>
      </c>
      <c r="X178" s="178" t="str">
        <f t="shared" si="7"/>
        <v>COMPLETED</v>
      </c>
      <c r="Y178" s="874">
        <v>46252</v>
      </c>
      <c r="Z178" s="37">
        <v>46255</v>
      </c>
      <c r="AA178" s="492">
        <f>WEEKNUM(ESS_DATA[[#This Row],[Pick-Up Date]])</f>
        <v>34</v>
      </c>
      <c r="AB178" s="41" t="s">
        <v>7277</v>
      </c>
      <c r="AC178" s="41"/>
      <c r="AD178" s="225" t="s">
        <v>288</v>
      </c>
      <c r="AE178" s="225" t="s">
        <v>288</v>
      </c>
      <c r="AF178" s="41" t="s">
        <v>7919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46270</v>
      </c>
      <c r="AL178" s="37">
        <v>46270</v>
      </c>
      <c r="AM178" s="529" t="s">
        <v>402</v>
      </c>
      <c r="AN178" s="37" t="s">
        <v>7920</v>
      </c>
      <c r="AO178" s="37" t="s">
        <v>161</v>
      </c>
      <c r="AP178" s="41" t="s">
        <v>7277</v>
      </c>
      <c r="AQ178" s="41" t="s">
        <v>7921</v>
      </c>
      <c r="AR178" s="41" t="s">
        <v>7921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46284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691" customFormat="1" ht="15.75" customHeight="1">
      <c r="A179" s="172" t="s">
        <v>7931</v>
      </c>
      <c r="B179" s="41" t="s">
        <v>7913</v>
      </c>
      <c r="C179" s="41" t="str">
        <f>IFERROR(LEFT(ESS_DATA[[#This Row],[TCL REFERENCE]],FIND(".",ESS_DATA[[#This Row],[TCL REFERENCE]],1)-1),"Main Line")</f>
        <v>26AUG011</v>
      </c>
      <c r="D179" s="529" t="s">
        <v>68</v>
      </c>
      <c r="E179" s="529" t="s">
        <v>68</v>
      </c>
      <c r="F179" s="529" t="s">
        <v>68</v>
      </c>
      <c r="G179" s="41"/>
      <c r="H179" s="41" t="s">
        <v>7628</v>
      </c>
      <c r="I179" s="490"/>
      <c r="J179" s="41" t="s">
        <v>949</v>
      </c>
      <c r="K179" s="41"/>
      <c r="L179" s="535"/>
      <c r="M179" s="225"/>
      <c r="N179" s="692" t="s">
        <v>7923</v>
      </c>
      <c r="O179" s="692" t="s">
        <v>7924</v>
      </c>
      <c r="P179" s="692" t="s">
        <v>7925</v>
      </c>
      <c r="Q179" s="494"/>
      <c r="R179" s="490">
        <v>1</v>
      </c>
      <c r="S179" s="495"/>
      <c r="T179" s="41"/>
      <c r="U179" s="491">
        <f>ESS_DATA[[#This Row],[QUANTITY]]/124</f>
        <v>8.0645161290322578E-3</v>
      </c>
      <c r="V179" s="530" t="s">
        <v>7917</v>
      </c>
      <c r="W179" s="872" t="s">
        <v>7918</v>
      </c>
      <c r="X179" s="178" t="str">
        <f t="shared" si="7"/>
        <v>COMPLETED</v>
      </c>
      <c r="Y179" s="874">
        <v>46252</v>
      </c>
      <c r="Z179" s="37">
        <v>46255</v>
      </c>
      <c r="AA179" s="492">
        <f>WEEKNUM(ESS_DATA[[#This Row],[Pick-Up Date]])</f>
        <v>34</v>
      </c>
      <c r="AB179" s="41" t="s">
        <v>7277</v>
      </c>
      <c r="AC179" s="41"/>
      <c r="AD179" s="225" t="s">
        <v>288</v>
      </c>
      <c r="AE179" s="225" t="s">
        <v>288</v>
      </c>
      <c r="AF179" s="41" t="s">
        <v>7919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46270</v>
      </c>
      <c r="AL179" s="37">
        <v>46270</v>
      </c>
      <c r="AM179" s="529" t="s">
        <v>402</v>
      </c>
      <c r="AN179" s="37" t="s">
        <v>7920</v>
      </c>
      <c r="AO179" s="37" t="s">
        <v>161</v>
      </c>
      <c r="AP179" s="41" t="s">
        <v>7277</v>
      </c>
      <c r="AQ179" s="41" t="s">
        <v>7921</v>
      </c>
      <c r="AR179" s="41" t="s">
        <v>7921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46284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753" customFormat="1" ht="15.75" customHeight="1">
      <c r="A180" s="738" t="s">
        <v>7932</v>
      </c>
      <c r="B180" s="739" t="s">
        <v>7423</v>
      </c>
      <c r="C180" s="739" t="str">
        <f>IFERROR(LEFT(ESS_DATA[[#This Row],[TCL REFERENCE]],FIND(".",ESS_DATA[[#This Row],[TCL REFERENCE]],1)-1),"Main Line")</f>
        <v>26SEP002</v>
      </c>
      <c r="D180" s="750" t="s">
        <v>63</v>
      </c>
      <c r="E180" s="740" t="s">
        <v>64</v>
      </c>
      <c r="F180" s="740" t="str" cm="1">
        <f t="array" ref="F18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0" s="739"/>
      <c r="H180" s="739"/>
      <c r="I180" s="742"/>
      <c r="J180" s="739"/>
      <c r="K180" s="739"/>
      <c r="L180" s="743"/>
      <c r="M180" s="744"/>
      <c r="N180" s="745" t="s">
        <v>7437</v>
      </c>
      <c r="O180" s="745" t="s">
        <v>7438</v>
      </c>
      <c r="P180" s="745" t="s">
        <v>7439</v>
      </c>
      <c r="Q180" s="746"/>
      <c r="R180" s="742">
        <v>46</v>
      </c>
      <c r="S180" s="975"/>
      <c r="T180" s="739"/>
      <c r="U180" s="748">
        <f>ESS_DATA[[#This Row],[QUANTITY]]/264</f>
        <v>0.17424242424242425</v>
      </c>
      <c r="V180" s="749" t="s">
        <v>7463</v>
      </c>
      <c r="W180" s="895" t="s">
        <v>7933</v>
      </c>
      <c r="X180" s="741" t="str">
        <f t="shared" si="7"/>
        <v>IN-TRANSIT</v>
      </c>
      <c r="Y180" s="750">
        <v>46267</v>
      </c>
      <c r="Z180" s="750">
        <v>46273</v>
      </c>
      <c r="AA180" s="751">
        <f>WEEKNUM(ESS_DATA[[#This Row],[Pick-Up Date]])</f>
        <v>37</v>
      </c>
      <c r="AB180" s="739" t="s">
        <v>7934</v>
      </c>
      <c r="AC180" s="739"/>
      <c r="AD180" s="982" t="s">
        <v>122</v>
      </c>
      <c r="AE180" s="982" t="s">
        <v>122</v>
      </c>
      <c r="AF180" s="982" t="s">
        <v>124</v>
      </c>
      <c r="AG180" s="750">
        <v>46266</v>
      </c>
      <c r="AH180" s="750">
        <v>46281</v>
      </c>
      <c r="AI180" s="750">
        <v>46281</v>
      </c>
      <c r="AJ180" s="750">
        <v>46306</v>
      </c>
      <c r="AK180" s="750">
        <v>46313</v>
      </c>
      <c r="AL180" s="750"/>
      <c r="AM180" s="740" t="s">
        <v>402</v>
      </c>
      <c r="AN180" s="750" t="s">
        <v>7935</v>
      </c>
      <c r="AO180" s="750" t="s">
        <v>161</v>
      </c>
      <c r="AP180" s="750" t="s">
        <v>7936</v>
      </c>
      <c r="AQ180" s="739">
        <v>275749171</v>
      </c>
      <c r="AR180" s="739">
        <v>275749171</v>
      </c>
      <c r="AS180" s="739">
        <f>ESS_DATA[[#This Row],[ETA On S/O]]-ESS_DATA[[#This Row],[ETD On S/O]]+1</f>
        <v>41</v>
      </c>
      <c r="AT180" s="739"/>
      <c r="AU180" s="750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739">
        <f>IF(ESS_DATA[[#This Row],[New Ark PO Type]]="Offshore",0,IFERROR(VLOOKUP(ESS_DATA[[#This Row],[PORT OF LOADING]]&amp;ESS_DATA[[#This Row],[PORT DESTINATION]],LT_REF[],7,0),14))</f>
        <v>9</v>
      </c>
      <c r="AY180" s="750">
        <f>IFERROR(ESS_DATA[[#This Row],[ODP ETA Port]]+ESS_DATA[[#This Row],[Customs/Leg3 Assumption]],"n/a")</f>
        <v>46322</v>
      </c>
      <c r="AZ180" s="741">
        <f>YEAR(ESS_DATA[[#This Row],[ETA for New Ark update]])</f>
        <v>2026</v>
      </c>
      <c r="BA180" s="741">
        <f>MONTH(ESS_DATA[[#This Row],[ETA for New Ark update]])</f>
        <v>10</v>
      </c>
      <c r="BB180" s="741">
        <f>IFERROR(_xlfn.ISOWEEKNUM(ESS_DATA[[#This Row],[ETA for New Ark update]]),0)</f>
        <v>44</v>
      </c>
      <c r="BC180" s="741" t="str">
        <f>_xlfn.XLOOKUP(ESS_DATA[[#This Row],[PORT DESTINATION]],Table12[PORT DESTINATION],Table12[Cosco Line],,0)</f>
        <v>AEM</v>
      </c>
      <c r="BD180" s="741"/>
      <c r="BE180" s="752"/>
      <c r="BF180" s="752"/>
      <c r="BG180" s="752"/>
      <c r="BH180" s="752"/>
      <c r="BI180" s="752"/>
    </row>
    <row r="181" spans="1:61" s="753" customFormat="1" ht="15.75" customHeight="1">
      <c r="A181" s="738" t="s">
        <v>7937</v>
      </c>
      <c r="B181" s="739" t="s">
        <v>7423</v>
      </c>
      <c r="C181" s="739" t="str">
        <f>IFERROR(LEFT(ESS_DATA[[#This Row],[TCL REFERENCE]],FIND(".",ESS_DATA[[#This Row],[TCL REFERENCE]],1)-1),"Main Line")</f>
        <v>26SEP003</v>
      </c>
      <c r="D181" s="750" t="s">
        <v>63</v>
      </c>
      <c r="E181" s="740" t="s">
        <v>64</v>
      </c>
      <c r="F181" s="740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39"/>
      <c r="H181" s="739"/>
      <c r="I181" s="742"/>
      <c r="J181" s="739"/>
      <c r="K181" s="739"/>
      <c r="L181" s="743"/>
      <c r="M181" s="744"/>
      <c r="N181" s="745" t="s">
        <v>7446</v>
      </c>
      <c r="O181" s="745" t="s">
        <v>7438</v>
      </c>
      <c r="P181" s="745" t="s">
        <v>7447</v>
      </c>
      <c r="Q181" s="746"/>
      <c r="R181" s="742">
        <v>20</v>
      </c>
      <c r="S181" s="975"/>
      <c r="T181" s="739"/>
      <c r="U181" s="748">
        <f>ESS_DATA[[#This Row],[QUANTITY]]/264</f>
        <v>7.575757575757576E-2</v>
      </c>
      <c r="V181" s="749" t="s">
        <v>7463</v>
      </c>
      <c r="W181" s="895" t="s">
        <v>7933</v>
      </c>
      <c r="X181" s="741" t="str">
        <f t="shared" si="7"/>
        <v>IN-TRANSIT</v>
      </c>
      <c r="Y181" s="750">
        <v>46267</v>
      </c>
      <c r="Z181" s="750">
        <v>46273</v>
      </c>
      <c r="AA181" s="751">
        <f>WEEKNUM(ESS_DATA[[#This Row],[Pick-Up Date]])</f>
        <v>37</v>
      </c>
      <c r="AB181" s="739" t="s">
        <v>7934</v>
      </c>
      <c r="AC181" s="739"/>
      <c r="AD181" s="982" t="s">
        <v>122</v>
      </c>
      <c r="AE181" s="982" t="s">
        <v>122</v>
      </c>
      <c r="AF181" s="982" t="s">
        <v>124</v>
      </c>
      <c r="AG181" s="750">
        <v>46266</v>
      </c>
      <c r="AH181" s="750">
        <v>46281</v>
      </c>
      <c r="AI181" s="750">
        <v>46281</v>
      </c>
      <c r="AJ181" s="750">
        <v>46306</v>
      </c>
      <c r="AK181" s="750">
        <v>46313</v>
      </c>
      <c r="AL181" s="750"/>
      <c r="AM181" s="740" t="s">
        <v>402</v>
      </c>
      <c r="AN181" s="750" t="s">
        <v>7935</v>
      </c>
      <c r="AO181" s="750" t="s">
        <v>161</v>
      </c>
      <c r="AP181" s="750" t="s">
        <v>7936</v>
      </c>
      <c r="AQ181" s="739">
        <v>275749171</v>
      </c>
      <c r="AR181" s="739">
        <v>275749171</v>
      </c>
      <c r="AS181" s="739">
        <f>ESS_DATA[[#This Row],[ETA On S/O]]-ESS_DATA[[#This Row],[ETD On S/O]]+1</f>
        <v>41</v>
      </c>
      <c r="AT181" s="739"/>
      <c r="AU181" s="750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39">
        <f>IF(ESS_DATA[[#This Row],[New Ark PO Type]]="Offshore",0,IFERROR(VLOOKUP(ESS_DATA[[#This Row],[PORT OF LOADING]]&amp;ESS_DATA[[#This Row],[PORT DESTINATION]],LT_REF[],7,0),14))</f>
        <v>9</v>
      </c>
      <c r="AY181" s="750">
        <f>IFERROR(ESS_DATA[[#This Row],[ODP ETA Port]]+ESS_DATA[[#This Row],[Customs/Leg3 Assumption]],"n/a")</f>
        <v>46322</v>
      </c>
      <c r="AZ181" s="741">
        <f>YEAR(ESS_DATA[[#This Row],[ETA for New Ark update]])</f>
        <v>2026</v>
      </c>
      <c r="BA181" s="741">
        <f>MONTH(ESS_DATA[[#This Row],[ETA for New Ark update]])</f>
        <v>10</v>
      </c>
      <c r="BB181" s="741">
        <f>IFERROR(_xlfn.ISOWEEKNUM(ESS_DATA[[#This Row],[ETA for New Ark update]]),0)</f>
        <v>44</v>
      </c>
      <c r="BC181" s="741" t="str">
        <f>_xlfn.XLOOKUP(ESS_DATA[[#This Row],[PORT DESTINATION]],Table12[PORT DESTINATION],Table12[Cosco Line],,0)</f>
        <v>AEM</v>
      </c>
      <c r="BD181" s="741"/>
      <c r="BE181" s="752"/>
      <c r="BF181" s="752"/>
      <c r="BG181" s="752"/>
      <c r="BH181" s="752"/>
      <c r="BI181" s="752"/>
    </row>
    <row r="182" spans="1:61" s="753" customFormat="1" ht="15.75" customHeight="1">
      <c r="A182" s="738" t="s">
        <v>7938</v>
      </c>
      <c r="B182" s="739" t="s">
        <v>7423</v>
      </c>
      <c r="C182" s="739" t="str">
        <f>IFERROR(LEFT(ESS_DATA[[#This Row],[TCL REFERENCE]],FIND(".",ESS_DATA[[#This Row],[TCL REFERENCE]],1)-1),"Main Line")</f>
        <v>26SEP004</v>
      </c>
      <c r="D182" s="750" t="s">
        <v>63</v>
      </c>
      <c r="E182" s="740" t="s">
        <v>64</v>
      </c>
      <c r="F182" s="740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39"/>
      <c r="H182" s="739"/>
      <c r="I182" s="742"/>
      <c r="J182" s="739"/>
      <c r="K182" s="739"/>
      <c r="L182" s="743"/>
      <c r="M182" s="744"/>
      <c r="N182" s="745" t="s">
        <v>7449</v>
      </c>
      <c r="O182" s="745" t="s">
        <v>7646</v>
      </c>
      <c r="P182" s="745" t="s">
        <v>7451</v>
      </c>
      <c r="Q182" s="746"/>
      <c r="R182" s="742">
        <v>66</v>
      </c>
      <c r="S182" s="975"/>
      <c r="T182" s="739"/>
      <c r="U182" s="748">
        <f>ESS_DATA[[#This Row],[QUANTITY]]/264</f>
        <v>0.25</v>
      </c>
      <c r="V182" s="749" t="s">
        <v>7463</v>
      </c>
      <c r="W182" s="895" t="s">
        <v>7933</v>
      </c>
      <c r="X182" s="741" t="str">
        <f t="shared" si="7"/>
        <v>IN-TRANSIT</v>
      </c>
      <c r="Y182" s="750">
        <v>46267</v>
      </c>
      <c r="Z182" s="750">
        <v>46273</v>
      </c>
      <c r="AA182" s="751">
        <f>WEEKNUM(ESS_DATA[[#This Row],[Pick-Up Date]])</f>
        <v>37</v>
      </c>
      <c r="AB182" s="739" t="s">
        <v>7934</v>
      </c>
      <c r="AC182" s="739"/>
      <c r="AD182" s="982" t="s">
        <v>122</v>
      </c>
      <c r="AE182" s="982" t="s">
        <v>122</v>
      </c>
      <c r="AF182" s="982" t="s">
        <v>124</v>
      </c>
      <c r="AG182" s="750">
        <v>46266</v>
      </c>
      <c r="AH182" s="750">
        <v>46281</v>
      </c>
      <c r="AI182" s="750">
        <v>46281</v>
      </c>
      <c r="AJ182" s="750">
        <v>46306</v>
      </c>
      <c r="AK182" s="750">
        <v>46313</v>
      </c>
      <c r="AL182" s="750"/>
      <c r="AM182" s="740" t="s">
        <v>402</v>
      </c>
      <c r="AN182" s="750" t="s">
        <v>7935</v>
      </c>
      <c r="AO182" s="750" t="s">
        <v>161</v>
      </c>
      <c r="AP182" s="750" t="s">
        <v>7936</v>
      </c>
      <c r="AQ182" s="739">
        <v>275749171</v>
      </c>
      <c r="AR182" s="739">
        <v>275749171</v>
      </c>
      <c r="AS182" s="739">
        <f>ESS_DATA[[#This Row],[ETA On S/O]]-ESS_DATA[[#This Row],[ETD On S/O]]+1</f>
        <v>41</v>
      </c>
      <c r="AT182" s="739"/>
      <c r="AU182" s="750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39">
        <f>IF(ESS_DATA[[#This Row],[New Ark PO Type]]="Offshore",0,IFERROR(VLOOKUP(ESS_DATA[[#This Row],[PORT OF LOADING]]&amp;ESS_DATA[[#This Row],[PORT DESTINATION]],LT_REF[],7,0),14))</f>
        <v>9</v>
      </c>
      <c r="AY182" s="750">
        <f>IFERROR(ESS_DATA[[#This Row],[ODP ETA Port]]+ESS_DATA[[#This Row],[Customs/Leg3 Assumption]],"n/a")</f>
        <v>46322</v>
      </c>
      <c r="AZ182" s="741">
        <f>YEAR(ESS_DATA[[#This Row],[ETA for New Ark update]])</f>
        <v>2026</v>
      </c>
      <c r="BA182" s="741">
        <f>MONTH(ESS_DATA[[#This Row],[ETA for New Ark update]])</f>
        <v>10</v>
      </c>
      <c r="BB182" s="741">
        <f>IFERROR(_xlfn.ISOWEEKNUM(ESS_DATA[[#This Row],[ETA for New Ark update]]),0)</f>
        <v>44</v>
      </c>
      <c r="BC182" s="741" t="str">
        <f>_xlfn.XLOOKUP(ESS_DATA[[#This Row],[PORT DESTINATION]],Table12[PORT DESTINATION],Table12[Cosco Line],,0)</f>
        <v>AEM</v>
      </c>
      <c r="BD182" s="741"/>
      <c r="BE182" s="752"/>
      <c r="BF182" s="752"/>
      <c r="BG182" s="752"/>
      <c r="BH182" s="752"/>
      <c r="BI182" s="752"/>
    </row>
    <row r="183" spans="1:61" s="753" customFormat="1" ht="15.75" customHeight="1">
      <c r="A183" s="738" t="s">
        <v>7939</v>
      </c>
      <c r="B183" s="739" t="s">
        <v>7423</v>
      </c>
      <c r="C183" s="739" t="str">
        <f>IFERROR(LEFT(ESS_DATA[[#This Row],[TCL REFERENCE]],FIND(".",ESS_DATA[[#This Row],[TCL REFERENCE]],1)-1),"Main Line")</f>
        <v>26SEP008</v>
      </c>
      <c r="D183" s="750" t="s">
        <v>63</v>
      </c>
      <c r="E183" s="740" t="s">
        <v>64</v>
      </c>
      <c r="F183" s="740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39"/>
      <c r="H183" s="739"/>
      <c r="I183" s="742"/>
      <c r="J183" s="739"/>
      <c r="K183" s="739"/>
      <c r="L183" s="743"/>
      <c r="M183" s="744"/>
      <c r="N183" s="745" t="s">
        <v>7460</v>
      </c>
      <c r="O183" s="745" t="s">
        <v>7461</v>
      </c>
      <c r="P183" s="745" t="s">
        <v>7462</v>
      </c>
      <c r="Q183" s="746"/>
      <c r="R183" s="742">
        <v>132</v>
      </c>
      <c r="S183" s="975"/>
      <c r="T183" s="739"/>
      <c r="U183" s="748">
        <f>ESS_DATA[[#This Row],[QUANTITY]]/264</f>
        <v>0.5</v>
      </c>
      <c r="V183" s="749" t="s">
        <v>7463</v>
      </c>
      <c r="W183" s="895" t="s">
        <v>7933</v>
      </c>
      <c r="X183" s="741" t="str">
        <f t="shared" si="7"/>
        <v>IN-TRANSIT</v>
      </c>
      <c r="Y183" s="750">
        <v>46267</v>
      </c>
      <c r="Z183" s="750">
        <v>46273</v>
      </c>
      <c r="AA183" s="751">
        <f>WEEKNUM(ESS_DATA[[#This Row],[Pick-Up Date]])</f>
        <v>37</v>
      </c>
      <c r="AB183" s="739" t="s">
        <v>7934</v>
      </c>
      <c r="AC183" s="739"/>
      <c r="AD183" s="982" t="s">
        <v>122</v>
      </c>
      <c r="AE183" s="982" t="s">
        <v>122</v>
      </c>
      <c r="AF183" s="982" t="s">
        <v>124</v>
      </c>
      <c r="AG183" s="750">
        <v>46266</v>
      </c>
      <c r="AH183" s="750">
        <v>46281</v>
      </c>
      <c r="AI183" s="750">
        <v>46281</v>
      </c>
      <c r="AJ183" s="750">
        <v>46306</v>
      </c>
      <c r="AK183" s="750">
        <v>46313</v>
      </c>
      <c r="AL183" s="750"/>
      <c r="AM183" s="740" t="s">
        <v>402</v>
      </c>
      <c r="AN183" s="750" t="s">
        <v>7935</v>
      </c>
      <c r="AO183" s="750" t="s">
        <v>161</v>
      </c>
      <c r="AP183" s="750" t="s">
        <v>7936</v>
      </c>
      <c r="AQ183" s="739">
        <v>275749171</v>
      </c>
      <c r="AR183" s="739">
        <v>275749171</v>
      </c>
      <c r="AS183" s="739">
        <f>ESS_DATA[[#This Row],[ETA On S/O]]-ESS_DATA[[#This Row],[ETD On S/O]]+1</f>
        <v>41</v>
      </c>
      <c r="AT183" s="739"/>
      <c r="AU183" s="750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39">
        <f>IF(ESS_DATA[[#This Row],[New Ark PO Type]]="Offshore",0,IFERROR(VLOOKUP(ESS_DATA[[#This Row],[PORT OF LOADING]]&amp;ESS_DATA[[#This Row],[PORT DESTINATION]],LT_REF[],7,0),14))</f>
        <v>9</v>
      </c>
      <c r="AY183" s="750">
        <f>IFERROR(ESS_DATA[[#This Row],[ODP ETA Port]]+ESS_DATA[[#This Row],[Customs/Leg3 Assumption]],"n/a")</f>
        <v>46322</v>
      </c>
      <c r="AZ183" s="741">
        <f>YEAR(ESS_DATA[[#This Row],[ETA for New Ark update]])</f>
        <v>2026</v>
      </c>
      <c r="BA183" s="741">
        <f>MONTH(ESS_DATA[[#This Row],[ETA for New Ark update]])</f>
        <v>10</v>
      </c>
      <c r="BB183" s="741">
        <f>IFERROR(_xlfn.ISOWEEKNUM(ESS_DATA[[#This Row],[ETA for New Ark update]]),0)</f>
        <v>44</v>
      </c>
      <c r="BC183" s="741" t="str">
        <f>_xlfn.XLOOKUP(ESS_DATA[[#This Row],[PORT DESTINATION]],Table12[PORT DESTINATION],Table12[Cosco Line],,0)</f>
        <v>AEM</v>
      </c>
      <c r="BD183" s="741"/>
      <c r="BE183" s="752"/>
      <c r="BF183" s="752"/>
      <c r="BG183" s="752"/>
      <c r="BH183" s="752"/>
      <c r="BI183" s="752"/>
    </row>
    <row r="184" spans="1:61" s="753" customFormat="1" ht="15.75" customHeight="1">
      <c r="A184" s="738" t="s">
        <v>7940</v>
      </c>
      <c r="B184" s="739" t="s">
        <v>7423</v>
      </c>
      <c r="C184" s="739" t="str">
        <f>IFERROR(LEFT(ESS_DATA[[#This Row],[TCL REFERENCE]],FIND(".",ESS_DATA[[#This Row],[TCL REFERENCE]],1)-1),"Main Line")</f>
        <v>26SEP002</v>
      </c>
      <c r="D184" s="739" t="s">
        <v>63</v>
      </c>
      <c r="E184" s="740" t="s">
        <v>64</v>
      </c>
      <c r="F184" s="741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4" s="739"/>
      <c r="H184" s="739"/>
      <c r="I184" s="742"/>
      <c r="J184" s="739"/>
      <c r="K184" s="739"/>
      <c r="L184" s="743"/>
      <c r="M184" s="744"/>
      <c r="N184" s="745" t="s">
        <v>7437</v>
      </c>
      <c r="O184" s="745" t="s">
        <v>7438</v>
      </c>
      <c r="P184" s="745" t="s">
        <v>7439</v>
      </c>
      <c r="Q184" s="746"/>
      <c r="R184" s="742">
        <v>130</v>
      </c>
      <c r="S184" s="975"/>
      <c r="T184" s="739"/>
      <c r="U184" s="748">
        <f>ESS_DATA[[#This Row],[QUANTITY]]/260</f>
        <v>0.5</v>
      </c>
      <c r="V184" s="749" t="s">
        <v>7469</v>
      </c>
      <c r="W184" s="896" t="s">
        <v>7941</v>
      </c>
      <c r="X184" s="741" t="str">
        <f t="shared" si="7"/>
        <v>IN-TRANSIT</v>
      </c>
      <c r="Y184" s="895">
        <v>46273</v>
      </c>
      <c r="Z184" s="750">
        <v>46274</v>
      </c>
      <c r="AA184" s="751">
        <f>WEEKNUM(ESS_DATA[[#This Row],[Pick-Up Date]])</f>
        <v>37</v>
      </c>
      <c r="AB184" s="739" t="s">
        <v>7942</v>
      </c>
      <c r="AC184" s="739"/>
      <c r="AD184" s="739" t="s">
        <v>122</v>
      </c>
      <c r="AE184" s="739" t="s">
        <v>122</v>
      </c>
      <c r="AF184" s="739" t="s">
        <v>78</v>
      </c>
      <c r="AG184" s="750">
        <v>46280</v>
      </c>
      <c r="AH184" s="750">
        <v>46283</v>
      </c>
      <c r="AI184" s="750">
        <v>46284</v>
      </c>
      <c r="AJ184" s="750">
        <v>46328</v>
      </c>
      <c r="AK184" s="750">
        <v>46328</v>
      </c>
      <c r="AL184" s="750"/>
      <c r="AM184" s="740" t="s">
        <v>402</v>
      </c>
      <c r="AN184" s="750" t="s">
        <v>6633</v>
      </c>
      <c r="AO184" s="750" t="s">
        <v>80</v>
      </c>
      <c r="AP184" s="750" t="s">
        <v>7943</v>
      </c>
      <c r="AQ184" s="739" t="s">
        <v>7944</v>
      </c>
      <c r="AR184" s="739" t="s">
        <v>7944</v>
      </c>
      <c r="AS184" s="739">
        <f>ESS_DATA[[#This Row],[ETA On S/O]]-ESS_DATA[[#This Row],[ETD On S/O]]+1</f>
        <v>49</v>
      </c>
      <c r="AT184" s="739"/>
      <c r="AU184" s="750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39">
        <f>IF(ESS_DATA[[#This Row],[New Ark PO Type]]="Offshore",0,IFERROR(VLOOKUP(ESS_DATA[[#This Row],[PORT OF LOADING]]&amp;ESS_DATA[[#This Row],[PORT DESTINATION]],LT_REF[],7,0),14))</f>
        <v>8</v>
      </c>
      <c r="AY184" s="750">
        <f>IFERROR(ESS_DATA[[#This Row],[ODP ETA Port]]+ESS_DATA[[#This Row],[Customs/Leg3 Assumption]],"n/a")</f>
        <v>46336</v>
      </c>
      <c r="AZ184" s="741">
        <f>YEAR(ESS_DATA[[#This Row],[ETA for New Ark update]])</f>
        <v>2026</v>
      </c>
      <c r="BA184" s="741">
        <f>MONTH(ESS_DATA[[#This Row],[ETA for New Ark update]])</f>
        <v>11</v>
      </c>
      <c r="BB184" s="741">
        <f>IFERROR(_xlfn.ISOWEEKNUM(ESS_DATA[[#This Row],[ETA for New Ark update]]),0)</f>
        <v>46</v>
      </c>
      <c r="BC184" s="741" t="str">
        <f>_xlfn.XLOOKUP(ESS_DATA[[#This Row],[PORT DESTINATION]],Table12[PORT DESTINATION],Table12[Cosco Line],,0)</f>
        <v>AEM</v>
      </c>
      <c r="BD184" s="741"/>
      <c r="BE184" s="752"/>
      <c r="BF184" s="752"/>
      <c r="BG184" s="752"/>
      <c r="BH184" s="752"/>
      <c r="BI184" s="752"/>
    </row>
    <row r="185" spans="1:61" s="753" customFormat="1" ht="14.25" customHeight="1">
      <c r="A185" s="738" t="s">
        <v>7945</v>
      </c>
      <c r="B185" s="739" t="s">
        <v>7423</v>
      </c>
      <c r="C185" s="739" t="str">
        <f>IFERROR(LEFT(ESS_DATA[[#This Row],[TCL REFERENCE]],FIND(".",ESS_DATA[[#This Row],[TCL REFERENCE]],1)-1),"Main Line")</f>
        <v>26SEP004</v>
      </c>
      <c r="D185" s="739" t="s">
        <v>63</v>
      </c>
      <c r="E185" s="740" t="s">
        <v>64</v>
      </c>
      <c r="F185" s="741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39"/>
      <c r="H185" s="739"/>
      <c r="I185" s="742"/>
      <c r="J185" s="739"/>
      <c r="K185" s="739"/>
      <c r="L185" s="743"/>
      <c r="M185" s="744"/>
      <c r="N185" s="745" t="s">
        <v>7449</v>
      </c>
      <c r="O185" s="745" t="s">
        <v>7646</v>
      </c>
      <c r="P185" s="745" t="s">
        <v>7451</v>
      </c>
      <c r="Q185" s="746"/>
      <c r="R185" s="742">
        <v>130</v>
      </c>
      <c r="S185" s="975"/>
      <c r="T185" s="739"/>
      <c r="U185" s="748">
        <f>ESS_DATA[[#This Row],[QUANTITY]]/260</f>
        <v>0.5</v>
      </c>
      <c r="V185" s="749" t="s">
        <v>7469</v>
      </c>
      <c r="W185" s="896" t="s">
        <v>7941</v>
      </c>
      <c r="X185" s="741" t="str">
        <f t="shared" ref="X185:X217" si="8">IF(AL185&lt;&gt;"","COMPLETED",IF(AI185&lt;&gt;"","IN-TRANSIT",""))</f>
        <v>IN-TRANSIT</v>
      </c>
      <c r="Y185" s="895">
        <v>46273</v>
      </c>
      <c r="Z185" s="750">
        <v>46274</v>
      </c>
      <c r="AA185" s="751">
        <f>WEEKNUM(ESS_DATA[[#This Row],[Pick-Up Date]])</f>
        <v>37</v>
      </c>
      <c r="AB185" s="739" t="s">
        <v>7942</v>
      </c>
      <c r="AC185" s="739"/>
      <c r="AD185" s="739" t="s">
        <v>122</v>
      </c>
      <c r="AE185" s="739" t="s">
        <v>122</v>
      </c>
      <c r="AF185" s="739" t="s">
        <v>78</v>
      </c>
      <c r="AG185" s="750">
        <v>46280</v>
      </c>
      <c r="AH185" s="750">
        <v>46283</v>
      </c>
      <c r="AI185" s="750">
        <v>46284</v>
      </c>
      <c r="AJ185" s="750">
        <v>46328</v>
      </c>
      <c r="AK185" s="750">
        <v>46328</v>
      </c>
      <c r="AL185" s="750"/>
      <c r="AM185" s="740" t="s">
        <v>402</v>
      </c>
      <c r="AN185" s="750" t="s">
        <v>6633</v>
      </c>
      <c r="AO185" s="750" t="s">
        <v>80</v>
      </c>
      <c r="AP185" s="750" t="s">
        <v>7943</v>
      </c>
      <c r="AQ185" s="739" t="s">
        <v>7944</v>
      </c>
      <c r="AR185" s="739" t="s">
        <v>7944</v>
      </c>
      <c r="AS185" s="739">
        <f>ESS_DATA[[#This Row],[ETA On S/O]]-ESS_DATA[[#This Row],[ETD On S/O]]+1</f>
        <v>49</v>
      </c>
      <c r="AT185" s="739"/>
      <c r="AU185" s="750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39">
        <f>IF(ESS_DATA[[#This Row],[New Ark PO Type]]="Offshore",0,IFERROR(VLOOKUP(ESS_DATA[[#This Row],[PORT OF LOADING]]&amp;ESS_DATA[[#This Row],[PORT DESTINATION]],LT_REF[],7,0),14))</f>
        <v>8</v>
      </c>
      <c r="AY185" s="750">
        <f>IFERROR(ESS_DATA[[#This Row],[ODP ETA Port]]+ESS_DATA[[#This Row],[Customs/Leg3 Assumption]],"n/a")</f>
        <v>46336</v>
      </c>
      <c r="AZ185" s="741">
        <f>YEAR(ESS_DATA[[#This Row],[ETA for New Ark update]])</f>
        <v>2026</v>
      </c>
      <c r="BA185" s="741">
        <f>MONTH(ESS_DATA[[#This Row],[ETA for New Ark update]])</f>
        <v>11</v>
      </c>
      <c r="BB185" s="741">
        <f>IFERROR(_xlfn.ISOWEEKNUM(ESS_DATA[[#This Row],[ETA for New Ark update]]),0)</f>
        <v>46</v>
      </c>
      <c r="BC185" s="741" t="str">
        <f>_xlfn.XLOOKUP(ESS_DATA[[#This Row],[PORT DESTINATION]],Table12[PORT DESTINATION],Table12[Cosco Line],,0)</f>
        <v>AEM</v>
      </c>
      <c r="BD185" s="741"/>
      <c r="BE185" s="752"/>
      <c r="BF185" s="752"/>
      <c r="BG185" s="752"/>
      <c r="BH185" s="752"/>
      <c r="BI185" s="752"/>
    </row>
    <row r="186" spans="1:61" s="753" customFormat="1" ht="14.25" customHeight="1">
      <c r="A186" s="738" t="s">
        <v>7946</v>
      </c>
      <c r="B186" s="739" t="s">
        <v>7423</v>
      </c>
      <c r="C186" s="739" t="str">
        <f>IFERROR(LEFT(ESS_DATA[[#This Row],[TCL REFERENCE]],FIND(".",ESS_DATA[[#This Row],[TCL REFERENCE]],1)-1),"Main Line")</f>
        <v>26SEP001</v>
      </c>
      <c r="D186" s="739" t="s">
        <v>63</v>
      </c>
      <c r="E186" s="740" t="s">
        <v>64</v>
      </c>
      <c r="F186" s="741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6" s="739"/>
      <c r="H186" s="739"/>
      <c r="I186" s="742"/>
      <c r="J186" s="739"/>
      <c r="K186" s="739"/>
      <c r="L186" s="743"/>
      <c r="M186" s="744"/>
      <c r="N186" s="745" t="s">
        <v>7471</v>
      </c>
      <c r="O186" s="745" t="s">
        <v>7438</v>
      </c>
      <c r="P186" s="745" t="s">
        <v>7472</v>
      </c>
      <c r="Q186" s="746"/>
      <c r="R186" s="1025">
        <v>40</v>
      </c>
      <c r="S186" s="975"/>
      <c r="T186" s="739"/>
      <c r="U186" s="748">
        <f>ESS_DATA[[#This Row],[QUANTITY]]/264</f>
        <v>0.15151515151515152</v>
      </c>
      <c r="V186" s="749" t="s">
        <v>7947</v>
      </c>
      <c r="W186" s="739" t="s">
        <v>7948</v>
      </c>
      <c r="X186" s="741" t="str">
        <f t="shared" ref="X186:X192" si="9">IF(AL186&lt;&gt;"","COMPLETED",IF(AI186&lt;&gt;"","IN-TRANSIT",""))</f>
        <v>IN-TRANSIT</v>
      </c>
      <c r="Y186" s="750">
        <v>46273</v>
      </c>
      <c r="Z186" s="750">
        <v>46282</v>
      </c>
      <c r="AA186" s="751">
        <f>WEEKNUM(ESS_DATA[[#This Row],[Pick-Up Date]])</f>
        <v>38</v>
      </c>
      <c r="AB186" s="896" t="s">
        <v>7949</v>
      </c>
      <c r="AC186" s="739"/>
      <c r="AD186" s="739" t="s">
        <v>122</v>
      </c>
      <c r="AE186" s="739" t="s">
        <v>122</v>
      </c>
      <c r="AF186" s="1026" t="s">
        <v>7950</v>
      </c>
      <c r="AG186" s="750">
        <v>46280</v>
      </c>
      <c r="AH186" s="750">
        <v>46297</v>
      </c>
      <c r="AI186" s="750">
        <v>46297</v>
      </c>
      <c r="AJ186" s="750">
        <v>46321</v>
      </c>
      <c r="AK186" s="750">
        <v>46328</v>
      </c>
      <c r="AL186" s="750"/>
      <c r="AM186" s="740" t="s">
        <v>402</v>
      </c>
      <c r="AN186" s="750" t="s">
        <v>7894</v>
      </c>
      <c r="AO186" s="750" t="s">
        <v>161</v>
      </c>
      <c r="AP186" s="750" t="s">
        <v>7951</v>
      </c>
      <c r="AQ186" s="739">
        <v>276343831</v>
      </c>
      <c r="AR186" s="739">
        <v>276343831</v>
      </c>
      <c r="AS186" s="739">
        <f>ESS_DATA[[#This Row],[ETA On S/O]]-ESS_DATA[[#This Row],[ETD On S/O]]+1</f>
        <v>42</v>
      </c>
      <c r="AT186" s="739"/>
      <c r="AU186" s="750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39">
        <f>IF(ESS_DATA[[#This Row],[New Ark PO Type]]="Offshore",0,IFERROR(VLOOKUP(ESS_DATA[[#This Row],[PORT OF LOADING]]&amp;ESS_DATA[[#This Row],[PORT DESTINATION]],LT_REF[],7,0),14))</f>
        <v>0</v>
      </c>
      <c r="AY186" s="750">
        <f>IFERROR(ESS_DATA[[#This Row],[ODP ETA Port]]+ESS_DATA[[#This Row],[Customs/Leg3 Assumption]],"n/a")</f>
        <v>46328</v>
      </c>
      <c r="AZ186" s="741">
        <f>YEAR(ESS_DATA[[#This Row],[ETA for New Ark update]])</f>
        <v>2026</v>
      </c>
      <c r="BA186" s="741">
        <f>MONTH(ESS_DATA[[#This Row],[ETA for New Ark update]])</f>
        <v>11</v>
      </c>
      <c r="BB186" s="741">
        <f>IFERROR(_xlfn.ISOWEEKNUM(ESS_DATA[[#This Row],[ETA for New Ark update]]),0)</f>
        <v>45</v>
      </c>
      <c r="BC186" s="741" t="e">
        <f>_xlfn.XLOOKUP(ESS_DATA[[#This Row],[PORT DESTINATION]],Table12[PORT DESTINATION],Table12[Cosco Line],,0)</f>
        <v>#N/A</v>
      </c>
      <c r="BD186" s="741"/>
      <c r="BE186" s="752"/>
      <c r="BF186" s="752"/>
      <c r="BG186" s="752"/>
      <c r="BH186" s="752"/>
      <c r="BI186" s="752"/>
    </row>
    <row r="187" spans="1:61" s="753" customFormat="1" ht="14.25" customHeight="1">
      <c r="A187" s="738" t="s">
        <v>7952</v>
      </c>
      <c r="B187" s="739" t="s">
        <v>7423</v>
      </c>
      <c r="C187" s="739" t="str">
        <f>IFERROR(LEFT(ESS_DATA[[#This Row],[TCL REFERENCE]],FIND(".",ESS_DATA[[#This Row],[TCL REFERENCE]],1)-1),"Main Line")</f>
        <v>26SEP002</v>
      </c>
      <c r="D187" s="739" t="s">
        <v>63</v>
      </c>
      <c r="E187" s="740" t="s">
        <v>64</v>
      </c>
      <c r="F187" s="741" t="str" cm="1">
        <f t="array" ref="F18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7" s="739"/>
      <c r="H187" s="739"/>
      <c r="I187" s="742"/>
      <c r="J187" s="739"/>
      <c r="K187" s="739"/>
      <c r="L187" s="743"/>
      <c r="M187" s="744"/>
      <c r="N187" s="745" t="s">
        <v>7437</v>
      </c>
      <c r="O187" s="745" t="s">
        <v>7438</v>
      </c>
      <c r="P187" s="745" t="s">
        <v>7439</v>
      </c>
      <c r="Q187" s="746"/>
      <c r="R187" s="1025">
        <v>26</v>
      </c>
      <c r="S187" s="975"/>
      <c r="T187" s="739"/>
      <c r="U187" s="748">
        <f>ESS_DATA[[#This Row],[QUANTITY]]/264</f>
        <v>9.8484848484848481E-2</v>
      </c>
      <c r="V187" s="749" t="s">
        <v>7947</v>
      </c>
      <c r="W187" s="739" t="s">
        <v>7948</v>
      </c>
      <c r="X187" s="741" t="str">
        <f t="shared" si="9"/>
        <v>IN-TRANSIT</v>
      </c>
      <c r="Y187" s="750">
        <v>46273</v>
      </c>
      <c r="Z187" s="750">
        <v>46282</v>
      </c>
      <c r="AA187" s="751">
        <f>WEEKNUM(ESS_DATA[[#This Row],[Pick-Up Date]])</f>
        <v>38</v>
      </c>
      <c r="AB187" s="896" t="s">
        <v>7949</v>
      </c>
      <c r="AC187" s="739"/>
      <c r="AD187" s="739" t="s">
        <v>122</v>
      </c>
      <c r="AE187" s="739" t="s">
        <v>122</v>
      </c>
      <c r="AF187" s="1026" t="s">
        <v>7950</v>
      </c>
      <c r="AG187" s="750">
        <v>46280</v>
      </c>
      <c r="AH187" s="750">
        <v>46297</v>
      </c>
      <c r="AI187" s="750">
        <v>46297</v>
      </c>
      <c r="AJ187" s="750">
        <v>46321</v>
      </c>
      <c r="AK187" s="750">
        <v>46328</v>
      </c>
      <c r="AL187" s="750"/>
      <c r="AM187" s="740" t="s">
        <v>402</v>
      </c>
      <c r="AN187" s="750" t="s">
        <v>7894</v>
      </c>
      <c r="AO187" s="750" t="s">
        <v>161</v>
      </c>
      <c r="AP187" s="750" t="s">
        <v>7951</v>
      </c>
      <c r="AQ187" s="739">
        <v>276343831</v>
      </c>
      <c r="AR187" s="739">
        <v>276343831</v>
      </c>
      <c r="AS187" s="739">
        <f>ESS_DATA[[#This Row],[ETA On S/O]]-ESS_DATA[[#This Row],[ETD On S/O]]+1</f>
        <v>42</v>
      </c>
      <c r="AT187" s="739"/>
      <c r="AU187" s="750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39">
        <f>IF(ESS_DATA[[#This Row],[New Ark PO Type]]="Offshore",0,IFERROR(VLOOKUP(ESS_DATA[[#This Row],[PORT OF LOADING]]&amp;ESS_DATA[[#This Row],[PORT DESTINATION]],LT_REF[],7,0),14))</f>
        <v>0</v>
      </c>
      <c r="AY187" s="750">
        <f>IFERROR(ESS_DATA[[#This Row],[ODP ETA Port]]+ESS_DATA[[#This Row],[Customs/Leg3 Assumption]],"n/a")</f>
        <v>46328</v>
      </c>
      <c r="AZ187" s="741">
        <f>YEAR(ESS_DATA[[#This Row],[ETA for New Ark update]])</f>
        <v>2026</v>
      </c>
      <c r="BA187" s="741">
        <f>MONTH(ESS_DATA[[#This Row],[ETA for New Ark update]])</f>
        <v>11</v>
      </c>
      <c r="BB187" s="741">
        <f>IFERROR(_xlfn.ISOWEEKNUM(ESS_DATA[[#This Row],[ETA for New Ark update]]),0)</f>
        <v>45</v>
      </c>
      <c r="BC187" s="741" t="e">
        <f>_xlfn.XLOOKUP(ESS_DATA[[#This Row],[PORT DESTINATION]],Table12[PORT DESTINATION],Table12[Cosco Line],,0)</f>
        <v>#N/A</v>
      </c>
      <c r="BD187" s="741"/>
      <c r="BE187" s="752"/>
      <c r="BF187" s="752"/>
      <c r="BG187" s="752"/>
      <c r="BH187" s="752"/>
      <c r="BI187" s="752"/>
    </row>
    <row r="188" spans="1:61" s="753" customFormat="1" ht="14.25" customHeight="1">
      <c r="A188" s="738" t="s">
        <v>7953</v>
      </c>
      <c r="B188" s="739" t="s">
        <v>7423</v>
      </c>
      <c r="C188" s="739" t="str">
        <f>IFERROR(LEFT(ESS_DATA[[#This Row],[TCL REFERENCE]],FIND(".",ESS_DATA[[#This Row],[TCL REFERENCE]],1)-1),"Main Line")</f>
        <v>26SEP004</v>
      </c>
      <c r="D188" s="739" t="s">
        <v>63</v>
      </c>
      <c r="E188" s="740" t="s">
        <v>64</v>
      </c>
      <c r="F188" s="741" t="str" cm="1">
        <f t="array" ref="F18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8" s="739"/>
      <c r="H188" s="739"/>
      <c r="I188" s="742"/>
      <c r="J188" s="739"/>
      <c r="K188" s="739"/>
      <c r="L188" s="743"/>
      <c r="M188" s="744"/>
      <c r="N188" s="745" t="s">
        <v>7449</v>
      </c>
      <c r="O188" s="745" t="s">
        <v>7646</v>
      </c>
      <c r="P188" s="745" t="s">
        <v>7451</v>
      </c>
      <c r="Q188" s="746"/>
      <c r="R188" s="1025">
        <v>66</v>
      </c>
      <c r="S188" s="975"/>
      <c r="T188" s="739"/>
      <c r="U188" s="748">
        <f>ESS_DATA[[#This Row],[QUANTITY]]/264</f>
        <v>0.25</v>
      </c>
      <c r="V188" s="749" t="s">
        <v>7947</v>
      </c>
      <c r="W188" s="739" t="s">
        <v>7948</v>
      </c>
      <c r="X188" s="741" t="str">
        <f t="shared" si="9"/>
        <v>IN-TRANSIT</v>
      </c>
      <c r="Y188" s="750">
        <v>46273</v>
      </c>
      <c r="Z188" s="750">
        <v>46282</v>
      </c>
      <c r="AA188" s="751">
        <f>WEEKNUM(ESS_DATA[[#This Row],[Pick-Up Date]])</f>
        <v>38</v>
      </c>
      <c r="AB188" s="896" t="s">
        <v>7949</v>
      </c>
      <c r="AC188" s="739"/>
      <c r="AD188" s="739" t="s">
        <v>122</v>
      </c>
      <c r="AE188" s="739" t="s">
        <v>122</v>
      </c>
      <c r="AF188" s="1026" t="s">
        <v>7950</v>
      </c>
      <c r="AG188" s="750">
        <v>46280</v>
      </c>
      <c r="AH188" s="750">
        <v>46297</v>
      </c>
      <c r="AI188" s="750">
        <v>46297</v>
      </c>
      <c r="AJ188" s="750">
        <v>46321</v>
      </c>
      <c r="AK188" s="750">
        <v>46328</v>
      </c>
      <c r="AL188" s="750"/>
      <c r="AM188" s="740" t="s">
        <v>402</v>
      </c>
      <c r="AN188" s="750" t="s">
        <v>7894</v>
      </c>
      <c r="AO188" s="750" t="s">
        <v>161</v>
      </c>
      <c r="AP188" s="750" t="s">
        <v>7951</v>
      </c>
      <c r="AQ188" s="739">
        <v>276343831</v>
      </c>
      <c r="AR188" s="739">
        <v>276343831</v>
      </c>
      <c r="AS188" s="739">
        <f>ESS_DATA[[#This Row],[ETA On S/O]]-ESS_DATA[[#This Row],[ETD On S/O]]+1</f>
        <v>42</v>
      </c>
      <c r="AT188" s="739"/>
      <c r="AU188" s="750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39">
        <f>IF(ESS_DATA[[#This Row],[New Ark PO Type]]="Offshore",0,IFERROR(VLOOKUP(ESS_DATA[[#This Row],[PORT OF LOADING]]&amp;ESS_DATA[[#This Row],[PORT DESTINATION]],LT_REF[],7,0),14))</f>
        <v>0</v>
      </c>
      <c r="AY188" s="750">
        <f>IFERROR(ESS_DATA[[#This Row],[ODP ETA Port]]+ESS_DATA[[#This Row],[Customs/Leg3 Assumption]],"n/a")</f>
        <v>46328</v>
      </c>
      <c r="AZ188" s="741">
        <f>YEAR(ESS_DATA[[#This Row],[ETA for New Ark update]])</f>
        <v>2026</v>
      </c>
      <c r="BA188" s="741">
        <f>MONTH(ESS_DATA[[#This Row],[ETA for New Ark update]])</f>
        <v>11</v>
      </c>
      <c r="BB188" s="741">
        <f>IFERROR(_xlfn.ISOWEEKNUM(ESS_DATA[[#This Row],[ETA for New Ark update]]),0)</f>
        <v>45</v>
      </c>
      <c r="BC188" s="741" t="e">
        <f>_xlfn.XLOOKUP(ESS_DATA[[#This Row],[PORT DESTINATION]],Table12[PORT DESTINATION],Table12[Cosco Line],,0)</f>
        <v>#N/A</v>
      </c>
      <c r="BD188" s="741"/>
      <c r="BE188" s="752"/>
      <c r="BF188" s="752"/>
      <c r="BG188" s="752"/>
      <c r="BH188" s="752"/>
      <c r="BI188" s="752"/>
    </row>
    <row r="189" spans="1:61" s="753" customFormat="1" ht="14.25" customHeight="1">
      <c r="A189" s="738" t="s">
        <v>7954</v>
      </c>
      <c r="B189" s="739" t="s">
        <v>7423</v>
      </c>
      <c r="C189" s="739" t="str">
        <f>IFERROR(LEFT(ESS_DATA[[#This Row],[TCL REFERENCE]],FIND(".",ESS_DATA[[#This Row],[TCL REFERENCE]],1)-1),"Main Line")</f>
        <v>26SEP008</v>
      </c>
      <c r="D189" s="739" t="s">
        <v>63</v>
      </c>
      <c r="E189" s="740" t="s">
        <v>64</v>
      </c>
      <c r="F189" s="741" t="str" cm="1">
        <f t="array" ref="F18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9" s="739"/>
      <c r="H189" s="739"/>
      <c r="I189" s="742"/>
      <c r="J189" s="739"/>
      <c r="K189" s="739"/>
      <c r="L189" s="743"/>
      <c r="M189" s="744"/>
      <c r="N189" s="745" t="s">
        <v>7460</v>
      </c>
      <c r="O189" s="745" t="s">
        <v>7461</v>
      </c>
      <c r="P189" s="747" t="s">
        <v>7462</v>
      </c>
      <c r="Q189" s="746"/>
      <c r="R189" s="1025">
        <v>132</v>
      </c>
      <c r="S189" s="975"/>
      <c r="T189" s="739"/>
      <c r="U189" s="748">
        <f>ESS_DATA[[#This Row],[QUANTITY]]/264</f>
        <v>0.5</v>
      </c>
      <c r="V189" s="749" t="s">
        <v>7947</v>
      </c>
      <c r="W189" s="739" t="s">
        <v>7948</v>
      </c>
      <c r="X189" s="741" t="str">
        <f t="shared" si="9"/>
        <v>IN-TRANSIT</v>
      </c>
      <c r="Y189" s="750">
        <v>46273</v>
      </c>
      <c r="Z189" s="750">
        <v>46282</v>
      </c>
      <c r="AA189" s="751">
        <f>WEEKNUM(ESS_DATA[[#This Row],[Pick-Up Date]])</f>
        <v>38</v>
      </c>
      <c r="AB189" s="896" t="s">
        <v>7949</v>
      </c>
      <c r="AC189" s="739"/>
      <c r="AD189" s="739" t="s">
        <v>122</v>
      </c>
      <c r="AE189" s="739" t="s">
        <v>122</v>
      </c>
      <c r="AF189" s="1026" t="s">
        <v>7950</v>
      </c>
      <c r="AG189" s="750">
        <v>46280</v>
      </c>
      <c r="AH189" s="750">
        <v>46297</v>
      </c>
      <c r="AI189" s="750">
        <v>46297</v>
      </c>
      <c r="AJ189" s="750">
        <v>46321</v>
      </c>
      <c r="AK189" s="750">
        <v>46328</v>
      </c>
      <c r="AL189" s="750"/>
      <c r="AM189" s="740" t="s">
        <v>402</v>
      </c>
      <c r="AN189" s="750" t="s">
        <v>7894</v>
      </c>
      <c r="AO189" s="750" t="s">
        <v>161</v>
      </c>
      <c r="AP189" s="750" t="s">
        <v>7951</v>
      </c>
      <c r="AQ189" s="739">
        <v>276343831</v>
      </c>
      <c r="AR189" s="739">
        <v>276343831</v>
      </c>
      <c r="AS189" s="739">
        <f>ESS_DATA[[#This Row],[ETA On S/O]]-ESS_DATA[[#This Row],[ETD On S/O]]+1</f>
        <v>42</v>
      </c>
      <c r="AT189" s="739"/>
      <c r="AU189" s="750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39">
        <f>IF(ESS_DATA[[#This Row],[New Ark PO Type]]="Offshore",0,IFERROR(VLOOKUP(ESS_DATA[[#This Row],[PORT OF LOADING]]&amp;ESS_DATA[[#This Row],[PORT DESTINATION]],LT_REF[],7,0),14))</f>
        <v>0</v>
      </c>
      <c r="AY189" s="750">
        <f>IFERROR(ESS_DATA[[#This Row],[ODP ETA Port]]+ESS_DATA[[#This Row],[Customs/Leg3 Assumption]],"n/a")</f>
        <v>46328</v>
      </c>
      <c r="AZ189" s="741">
        <f>YEAR(ESS_DATA[[#This Row],[ETA for New Ark update]])</f>
        <v>2026</v>
      </c>
      <c r="BA189" s="741">
        <f>MONTH(ESS_DATA[[#This Row],[ETA for New Ark update]])</f>
        <v>11</v>
      </c>
      <c r="BB189" s="741">
        <f>IFERROR(_xlfn.ISOWEEKNUM(ESS_DATA[[#This Row],[ETA for New Ark update]]),0)</f>
        <v>45</v>
      </c>
      <c r="BC189" s="741" t="e">
        <f>_xlfn.XLOOKUP(ESS_DATA[[#This Row],[PORT DESTINATION]],Table12[PORT DESTINATION],Table12[Cosco Line],,0)</f>
        <v>#N/A</v>
      </c>
      <c r="BD189" s="741"/>
      <c r="BE189" s="752"/>
      <c r="BF189" s="752"/>
      <c r="BG189" s="752"/>
      <c r="BH189" s="752"/>
      <c r="BI189" s="752"/>
    </row>
    <row r="190" spans="1:61" s="753" customFormat="1" ht="15.75" customHeight="1">
      <c r="A190" s="738" t="s">
        <v>7955</v>
      </c>
      <c r="B190" s="739" t="s">
        <v>7423</v>
      </c>
      <c r="C190" s="739" t="str">
        <f>IFERROR(LEFT(ESS_DATA[[#This Row],[TCL REFERENCE]],FIND(".",ESS_DATA[[#This Row],[TCL REFERENCE]],1)-1),"Main Line")</f>
        <v>26SEP002</v>
      </c>
      <c r="D190" s="739" t="s">
        <v>63</v>
      </c>
      <c r="E190" s="740" t="s">
        <v>64</v>
      </c>
      <c r="F190" s="741" t="str" cm="1">
        <f t="array" ref="F19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0" s="739"/>
      <c r="H190" s="739"/>
      <c r="I190" s="742"/>
      <c r="J190" s="739"/>
      <c r="K190" s="739"/>
      <c r="L190" s="743"/>
      <c r="M190" s="744"/>
      <c r="N190" s="745" t="s">
        <v>7437</v>
      </c>
      <c r="O190" s="745" t="s">
        <v>7438</v>
      </c>
      <c r="P190" s="745" t="s">
        <v>7439</v>
      </c>
      <c r="Q190" s="746"/>
      <c r="R190" s="928">
        <v>90</v>
      </c>
      <c r="S190" s="975"/>
      <c r="T190" s="739"/>
      <c r="U190" s="748">
        <f>ESS_DATA[[#This Row],[QUANTITY]]/260</f>
        <v>0.34615384615384615</v>
      </c>
      <c r="V190" s="749" t="s">
        <v>7473</v>
      </c>
      <c r="W190" s="739" t="s">
        <v>7956</v>
      </c>
      <c r="X190" s="741" t="str">
        <f t="shared" si="9"/>
        <v>IN-TRANSIT</v>
      </c>
      <c r="Y190" s="943">
        <v>46279</v>
      </c>
      <c r="Z190" s="750">
        <v>46280</v>
      </c>
      <c r="AA190" s="751">
        <f>WEEKNUM(ESS_DATA[[#This Row],[Pick-Up Date]])</f>
        <v>38</v>
      </c>
      <c r="AB190" s="1271" t="s">
        <v>7957</v>
      </c>
      <c r="AC190" s="739"/>
      <c r="AD190" s="739" t="s">
        <v>122</v>
      </c>
      <c r="AE190" s="739" t="s">
        <v>122</v>
      </c>
      <c r="AF190" s="896" t="s">
        <v>124</v>
      </c>
      <c r="AG190" s="750">
        <v>46288</v>
      </c>
      <c r="AH190" s="750">
        <v>46289</v>
      </c>
      <c r="AI190" s="750">
        <v>46289</v>
      </c>
      <c r="AJ190" s="750">
        <v>46324</v>
      </c>
      <c r="AK190" s="750">
        <v>46326</v>
      </c>
      <c r="AL190" s="750"/>
      <c r="AM190" s="740" t="s">
        <v>402</v>
      </c>
      <c r="AN190" s="750" t="s">
        <v>7958</v>
      </c>
      <c r="AO190" s="750" t="s">
        <v>80</v>
      </c>
      <c r="AP190" s="750" t="s">
        <v>7959</v>
      </c>
      <c r="AQ190" s="739" t="s">
        <v>7960</v>
      </c>
      <c r="AR190" s="739" t="s">
        <v>7960</v>
      </c>
      <c r="AS190" s="739">
        <f>ESS_DATA[[#This Row],[ETA On S/O]]-ESS_DATA[[#This Row],[ETD On S/O]]+1</f>
        <v>37</v>
      </c>
      <c r="AT190" s="739"/>
      <c r="AU190" s="750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39">
        <f>IF(ESS_DATA[[#This Row],[New Ark PO Type]]="Offshore",0,IFERROR(VLOOKUP(ESS_DATA[[#This Row],[PORT OF LOADING]]&amp;ESS_DATA[[#This Row],[PORT DESTINATION]],LT_REF[],7,0),14))</f>
        <v>9</v>
      </c>
      <c r="AY190" s="750">
        <f>IFERROR(ESS_DATA[[#This Row],[ODP ETA Port]]+ESS_DATA[[#This Row],[Customs/Leg3 Assumption]],"n/a")</f>
        <v>46335</v>
      </c>
      <c r="AZ190" s="741">
        <f>YEAR(ESS_DATA[[#This Row],[ETA for New Ark update]])</f>
        <v>2026</v>
      </c>
      <c r="BA190" s="741">
        <f>MONTH(ESS_DATA[[#This Row],[ETA for New Ark update]])</f>
        <v>11</v>
      </c>
      <c r="BB190" s="741">
        <f>IFERROR(_xlfn.ISOWEEKNUM(ESS_DATA[[#This Row],[ETA for New Ark update]]),0)</f>
        <v>46</v>
      </c>
      <c r="BC190" s="741" t="str">
        <f>_xlfn.XLOOKUP(ESS_DATA[[#This Row],[PORT DESTINATION]],Table12[PORT DESTINATION],Table12[Cosco Line],,0)</f>
        <v>AEM</v>
      </c>
      <c r="BD190" s="741"/>
      <c r="BE190" s="752"/>
      <c r="BF190" s="752"/>
      <c r="BG190" s="752"/>
      <c r="BH190" s="752"/>
      <c r="BI190" s="752"/>
    </row>
    <row r="191" spans="1:61" s="753" customFormat="1" ht="15.75" customHeight="1">
      <c r="A191" s="738" t="s">
        <v>7961</v>
      </c>
      <c r="B191" s="739" t="s">
        <v>7423</v>
      </c>
      <c r="C191" s="739" t="str">
        <f>IFERROR(LEFT(ESS_DATA[[#This Row],[TCL REFERENCE]],FIND(".",ESS_DATA[[#This Row],[TCL REFERENCE]],1)-1),"Main Line")</f>
        <v>26SEP003</v>
      </c>
      <c r="D191" s="739" t="s">
        <v>63</v>
      </c>
      <c r="E191" s="740" t="s">
        <v>64</v>
      </c>
      <c r="F191" s="741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39"/>
      <c r="H191" s="739"/>
      <c r="I191" s="742"/>
      <c r="J191" s="739"/>
      <c r="K191" s="739"/>
      <c r="L191" s="743"/>
      <c r="M191" s="744"/>
      <c r="N191" s="745" t="s">
        <v>7446</v>
      </c>
      <c r="O191" s="745" t="s">
        <v>7438</v>
      </c>
      <c r="P191" s="745" t="s">
        <v>7447</v>
      </c>
      <c r="Q191" s="746"/>
      <c r="R191" s="928">
        <v>38</v>
      </c>
      <c r="S191" s="975"/>
      <c r="T191" s="739"/>
      <c r="U191" s="748">
        <f>ESS_DATA[[#This Row],[QUANTITY]]/260</f>
        <v>0.14615384615384616</v>
      </c>
      <c r="V191" s="749" t="s">
        <v>7473</v>
      </c>
      <c r="W191" s="739" t="s">
        <v>7956</v>
      </c>
      <c r="X191" s="741" t="str">
        <f t="shared" si="9"/>
        <v>IN-TRANSIT</v>
      </c>
      <c r="Y191" s="943">
        <v>46279</v>
      </c>
      <c r="Z191" s="750">
        <v>46280</v>
      </c>
      <c r="AA191" s="751">
        <f>WEEKNUM(ESS_DATA[[#This Row],[Pick-Up Date]])</f>
        <v>38</v>
      </c>
      <c r="AB191" s="739" t="s">
        <v>7957</v>
      </c>
      <c r="AC191" s="739"/>
      <c r="AD191" s="739" t="s">
        <v>122</v>
      </c>
      <c r="AE191" s="739" t="s">
        <v>122</v>
      </c>
      <c r="AF191" s="896" t="s">
        <v>124</v>
      </c>
      <c r="AG191" s="750">
        <v>46288</v>
      </c>
      <c r="AH191" s="750">
        <v>46289</v>
      </c>
      <c r="AI191" s="750">
        <v>46289</v>
      </c>
      <c r="AJ191" s="750">
        <v>46324</v>
      </c>
      <c r="AK191" s="750">
        <v>46326</v>
      </c>
      <c r="AL191" s="750"/>
      <c r="AM191" s="740" t="s">
        <v>402</v>
      </c>
      <c r="AN191" s="750" t="s">
        <v>7958</v>
      </c>
      <c r="AO191" s="750" t="s">
        <v>80</v>
      </c>
      <c r="AP191" s="750" t="s">
        <v>7959</v>
      </c>
      <c r="AQ191" s="739" t="s">
        <v>7960</v>
      </c>
      <c r="AR191" s="739" t="s">
        <v>7960</v>
      </c>
      <c r="AS191" s="739">
        <f>ESS_DATA[[#This Row],[ETA On S/O]]-ESS_DATA[[#This Row],[ETD On S/O]]+1</f>
        <v>37</v>
      </c>
      <c r="AT191" s="739"/>
      <c r="AU191" s="750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39">
        <f>IF(ESS_DATA[[#This Row],[New Ark PO Type]]="Offshore",0,IFERROR(VLOOKUP(ESS_DATA[[#This Row],[PORT OF LOADING]]&amp;ESS_DATA[[#This Row],[PORT DESTINATION]],LT_REF[],7,0),14))</f>
        <v>9</v>
      </c>
      <c r="AY191" s="750">
        <f>IFERROR(ESS_DATA[[#This Row],[ODP ETA Port]]+ESS_DATA[[#This Row],[Customs/Leg3 Assumption]],"n/a")</f>
        <v>46335</v>
      </c>
      <c r="AZ191" s="741">
        <f>YEAR(ESS_DATA[[#This Row],[ETA for New Ark update]])</f>
        <v>2026</v>
      </c>
      <c r="BA191" s="741">
        <f>MONTH(ESS_DATA[[#This Row],[ETA for New Ark update]])</f>
        <v>11</v>
      </c>
      <c r="BB191" s="741">
        <f>IFERROR(_xlfn.ISOWEEKNUM(ESS_DATA[[#This Row],[ETA for New Ark update]]),0)</f>
        <v>46</v>
      </c>
      <c r="BC191" s="741" t="str">
        <f>_xlfn.XLOOKUP(ESS_DATA[[#This Row],[PORT DESTINATION]],Table12[PORT DESTINATION],Table12[Cosco Line],,0)</f>
        <v>AEM</v>
      </c>
      <c r="BD191" s="741"/>
      <c r="BE191" s="752"/>
      <c r="BF191" s="752"/>
      <c r="BG191" s="752"/>
      <c r="BH191" s="752"/>
      <c r="BI191" s="752"/>
    </row>
    <row r="192" spans="1:61" s="753" customFormat="1" ht="15.75" customHeight="1">
      <c r="A192" s="738" t="s">
        <v>7962</v>
      </c>
      <c r="B192" s="739" t="s">
        <v>7423</v>
      </c>
      <c r="C192" s="739" t="str">
        <f>IFERROR(LEFT(ESS_DATA[[#This Row],[TCL REFERENCE]],FIND(".",ESS_DATA[[#This Row],[TCL REFERENCE]],1)-1),"Main Line")</f>
        <v>Main Line</v>
      </c>
      <c r="D192" s="739" t="s">
        <v>63</v>
      </c>
      <c r="E192" s="740" t="s">
        <v>64</v>
      </c>
      <c r="F192" s="741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39"/>
      <c r="H192" s="739"/>
      <c r="I192" s="742"/>
      <c r="J192" s="739"/>
      <c r="K192" s="739"/>
      <c r="L192" s="743"/>
      <c r="M192" s="744"/>
      <c r="N192" s="745" t="s">
        <v>7446</v>
      </c>
      <c r="O192" s="745" t="s">
        <v>7438</v>
      </c>
      <c r="P192" s="745" t="s">
        <v>7447</v>
      </c>
      <c r="Q192" s="746"/>
      <c r="R192" s="928">
        <v>2</v>
      </c>
      <c r="S192" s="975"/>
      <c r="T192" s="739"/>
      <c r="U192" s="748">
        <f>ESS_DATA[[#This Row],[QUANTITY]]/260</f>
        <v>7.6923076923076927E-3</v>
      </c>
      <c r="V192" s="749" t="s">
        <v>7473</v>
      </c>
      <c r="W192" s="739" t="s">
        <v>7956</v>
      </c>
      <c r="X192" s="741" t="str">
        <f t="shared" si="9"/>
        <v>IN-TRANSIT</v>
      </c>
      <c r="Y192" s="943">
        <v>46279</v>
      </c>
      <c r="Z192" s="750">
        <v>46280</v>
      </c>
      <c r="AA192" s="751">
        <f>WEEKNUM(ESS_DATA[[#This Row],[Pick-Up Date]])</f>
        <v>38</v>
      </c>
      <c r="AB192" s="739" t="s">
        <v>7957</v>
      </c>
      <c r="AC192" s="739"/>
      <c r="AD192" s="739" t="s">
        <v>122</v>
      </c>
      <c r="AE192" s="739" t="s">
        <v>122</v>
      </c>
      <c r="AF192" s="896" t="s">
        <v>124</v>
      </c>
      <c r="AG192" s="750">
        <v>46288</v>
      </c>
      <c r="AH192" s="750">
        <v>46289</v>
      </c>
      <c r="AI192" s="750">
        <v>46289</v>
      </c>
      <c r="AJ192" s="750">
        <v>46324</v>
      </c>
      <c r="AK192" s="750">
        <v>46326</v>
      </c>
      <c r="AL192" s="750"/>
      <c r="AM192" s="740" t="s">
        <v>402</v>
      </c>
      <c r="AN192" s="750" t="s">
        <v>7958</v>
      </c>
      <c r="AO192" s="750" t="s">
        <v>80</v>
      </c>
      <c r="AP192" s="750" t="s">
        <v>7959</v>
      </c>
      <c r="AQ192" s="739" t="s">
        <v>7960</v>
      </c>
      <c r="AR192" s="739" t="s">
        <v>7960</v>
      </c>
      <c r="AS192" s="739">
        <f>ESS_DATA[[#This Row],[ETA On S/O]]-ESS_DATA[[#This Row],[ETD On S/O]]+1</f>
        <v>37</v>
      </c>
      <c r="AT192" s="739"/>
      <c r="AU192" s="750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39">
        <f>IF(ESS_DATA[[#This Row],[New Ark PO Type]]="Offshore",0,IFERROR(VLOOKUP(ESS_DATA[[#This Row],[PORT OF LOADING]]&amp;ESS_DATA[[#This Row],[PORT DESTINATION]],LT_REF[],7,0),14))</f>
        <v>9</v>
      </c>
      <c r="AY192" s="750">
        <f>IFERROR(ESS_DATA[[#This Row],[ODP ETA Port]]+ESS_DATA[[#This Row],[Customs/Leg3 Assumption]],"n/a")</f>
        <v>46335</v>
      </c>
      <c r="AZ192" s="741">
        <f>YEAR(ESS_DATA[[#This Row],[ETA for New Ark update]])</f>
        <v>2026</v>
      </c>
      <c r="BA192" s="741">
        <f>MONTH(ESS_DATA[[#This Row],[ETA for New Ark update]])</f>
        <v>11</v>
      </c>
      <c r="BB192" s="741">
        <f>IFERROR(_xlfn.ISOWEEKNUM(ESS_DATA[[#This Row],[ETA for New Ark update]]),0)</f>
        <v>46</v>
      </c>
      <c r="BC192" s="741" t="str">
        <f>_xlfn.XLOOKUP(ESS_DATA[[#This Row],[PORT DESTINATION]],Table12[PORT DESTINATION],Table12[Cosco Line],,0)</f>
        <v>AEM</v>
      </c>
      <c r="BD192" s="741"/>
      <c r="BE192" s="752"/>
      <c r="BF192" s="752"/>
      <c r="BG192" s="752"/>
      <c r="BH192" s="752"/>
      <c r="BI192" s="752"/>
    </row>
    <row r="193" spans="1:61" s="753" customFormat="1" ht="15.75" customHeight="1">
      <c r="A193" s="738" t="s">
        <v>7963</v>
      </c>
      <c r="B193" s="739" t="s">
        <v>7423</v>
      </c>
      <c r="C193" s="739" t="str">
        <f>IFERROR(LEFT(ESS_DATA[[#This Row],[TCL REFERENCE]],FIND(".",ESS_DATA[[#This Row],[TCL REFERENCE]],1)-1),"Main Line")</f>
        <v>26SEP004</v>
      </c>
      <c r="D193" s="739" t="s">
        <v>63</v>
      </c>
      <c r="E193" s="740" t="s">
        <v>64</v>
      </c>
      <c r="F193" s="741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39"/>
      <c r="H193" s="739"/>
      <c r="I193" s="742"/>
      <c r="J193" s="739"/>
      <c r="K193" s="739"/>
      <c r="L193" s="743"/>
      <c r="M193" s="744"/>
      <c r="N193" s="745" t="s">
        <v>7449</v>
      </c>
      <c r="O193" s="745" t="s">
        <v>7646</v>
      </c>
      <c r="P193" s="745" t="s">
        <v>7451</v>
      </c>
      <c r="Q193" s="746"/>
      <c r="R193" s="1051">
        <v>130</v>
      </c>
      <c r="S193" s="975"/>
      <c r="T193" s="739"/>
      <c r="U193" s="748">
        <f>ESS_DATA[[#This Row],[QUANTITY]]/260</f>
        <v>0.5</v>
      </c>
      <c r="V193" s="749" t="s">
        <v>7473</v>
      </c>
      <c r="W193" s="739" t="s">
        <v>7956</v>
      </c>
      <c r="X193" s="741" t="str">
        <f t="shared" ref="X193" si="10">IF(AL193&lt;&gt;"","COMPLETED",IF(AI193&lt;&gt;"","IN-TRANSIT",""))</f>
        <v>IN-TRANSIT</v>
      </c>
      <c r="Y193" s="943">
        <v>46279</v>
      </c>
      <c r="Z193" s="750">
        <v>46280</v>
      </c>
      <c r="AA193" s="751">
        <f>WEEKNUM(ESS_DATA[[#This Row],[Pick-Up Date]])</f>
        <v>38</v>
      </c>
      <c r="AB193" s="739" t="s">
        <v>7957</v>
      </c>
      <c r="AC193" s="739"/>
      <c r="AD193" s="739" t="s">
        <v>122</v>
      </c>
      <c r="AE193" s="739" t="s">
        <v>122</v>
      </c>
      <c r="AF193" s="896" t="s">
        <v>124</v>
      </c>
      <c r="AG193" s="750">
        <v>46288</v>
      </c>
      <c r="AH193" s="750">
        <v>46289</v>
      </c>
      <c r="AI193" s="750">
        <v>46289</v>
      </c>
      <c r="AJ193" s="750">
        <v>46324</v>
      </c>
      <c r="AK193" s="750">
        <v>46326</v>
      </c>
      <c r="AL193" s="750"/>
      <c r="AM193" s="740" t="s">
        <v>402</v>
      </c>
      <c r="AN193" s="750" t="s">
        <v>7958</v>
      </c>
      <c r="AO193" s="750" t="s">
        <v>80</v>
      </c>
      <c r="AP193" s="750" t="s">
        <v>7959</v>
      </c>
      <c r="AQ193" s="739" t="s">
        <v>7960</v>
      </c>
      <c r="AR193" s="739" t="s">
        <v>7960</v>
      </c>
      <c r="AS193" s="739">
        <f>ESS_DATA[[#This Row],[ETA On S/O]]-ESS_DATA[[#This Row],[ETD On S/O]]+1</f>
        <v>37</v>
      </c>
      <c r="AT193" s="739"/>
      <c r="AU193" s="750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39">
        <f>IF(ESS_DATA[[#This Row],[New Ark PO Type]]="Offshore",0,IFERROR(VLOOKUP(ESS_DATA[[#This Row],[PORT OF LOADING]]&amp;ESS_DATA[[#This Row],[PORT DESTINATION]],LT_REF[],7,0),14))</f>
        <v>9</v>
      </c>
      <c r="AY193" s="750">
        <f>IFERROR(ESS_DATA[[#This Row],[ODP ETA Port]]+ESS_DATA[[#This Row],[Customs/Leg3 Assumption]],"n/a")</f>
        <v>46335</v>
      </c>
      <c r="AZ193" s="741">
        <f>YEAR(ESS_DATA[[#This Row],[ETA for New Ark update]])</f>
        <v>2026</v>
      </c>
      <c r="BA193" s="741">
        <f>MONTH(ESS_DATA[[#This Row],[ETA for New Ark update]])</f>
        <v>11</v>
      </c>
      <c r="BB193" s="741">
        <f>IFERROR(_xlfn.ISOWEEKNUM(ESS_DATA[[#This Row],[ETA for New Ark update]]),0)</f>
        <v>46</v>
      </c>
      <c r="BC193" s="741" t="str">
        <f>_xlfn.XLOOKUP(ESS_DATA[[#This Row],[PORT DESTINATION]],Table12[PORT DESTINATION],Table12[Cosco Line],,0)</f>
        <v>AEM</v>
      </c>
      <c r="BD193" s="741"/>
      <c r="BE193" s="752"/>
      <c r="BF193" s="752"/>
      <c r="BG193" s="752"/>
      <c r="BH193" s="752"/>
      <c r="BI193" s="752"/>
    </row>
    <row r="194" spans="1:61" s="753" customFormat="1" ht="15.75" customHeight="1">
      <c r="A194" s="738" t="s">
        <v>7964</v>
      </c>
      <c r="B194" s="739" t="s">
        <v>7423</v>
      </c>
      <c r="C194" s="739" t="str">
        <f>IFERROR(LEFT(ESS_DATA[[#This Row],[TCL REFERENCE]],FIND(".",ESS_DATA[[#This Row],[TCL REFERENCE]],1)-1),"Main Line")</f>
        <v>26SEP001</v>
      </c>
      <c r="D194" s="739" t="s">
        <v>63</v>
      </c>
      <c r="E194" s="740" t="s">
        <v>64</v>
      </c>
      <c r="F194" s="741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4" s="739"/>
      <c r="H194" s="739"/>
      <c r="I194" s="742"/>
      <c r="J194" s="739"/>
      <c r="K194" s="739"/>
      <c r="L194" s="743"/>
      <c r="M194" s="744"/>
      <c r="N194" s="745" t="s">
        <v>7471</v>
      </c>
      <c r="O194" s="745" t="s">
        <v>7438</v>
      </c>
      <c r="P194" s="745" t="s">
        <v>7472</v>
      </c>
      <c r="Q194" s="746"/>
      <c r="R194" s="928">
        <v>18</v>
      </c>
      <c r="S194" s="975"/>
      <c r="T194" s="739"/>
      <c r="U194" s="748">
        <f>ESS_DATA[[#This Row],[QUANTITY]]/260</f>
        <v>6.9230769230769235E-2</v>
      </c>
      <c r="V194" s="749" t="s">
        <v>7482</v>
      </c>
      <c r="W194" s="739" t="s">
        <v>7956</v>
      </c>
      <c r="X194" s="741" t="str">
        <f>IF(AL194&lt;&gt;"","COMPLETED",IF(AI194&lt;&gt;"","IN-TRANSIT",""))</f>
        <v>IN-TRANSIT</v>
      </c>
      <c r="Y194" s="895">
        <v>46282</v>
      </c>
      <c r="Z194" s="750">
        <v>46284</v>
      </c>
      <c r="AA194" s="751">
        <f>WEEKNUM(ESS_DATA[[#This Row],[Pick-Up Date]])</f>
        <v>38</v>
      </c>
      <c r="AB194" s="739" t="s">
        <v>7965</v>
      </c>
      <c r="AC194" s="739"/>
      <c r="AD194" s="739" t="s">
        <v>122</v>
      </c>
      <c r="AE194" s="739" t="s">
        <v>122</v>
      </c>
      <c r="AF194" s="739" t="s">
        <v>78</v>
      </c>
      <c r="AG194" s="750">
        <v>46290</v>
      </c>
      <c r="AH194" s="750">
        <v>46292</v>
      </c>
      <c r="AI194" s="750">
        <v>46292</v>
      </c>
      <c r="AJ194" s="750">
        <v>46342</v>
      </c>
      <c r="AK194" s="750">
        <v>46342</v>
      </c>
      <c r="AL194" s="750"/>
      <c r="AM194" s="740" t="s">
        <v>402</v>
      </c>
      <c r="AN194" s="750" t="s">
        <v>7966</v>
      </c>
      <c r="AO194" s="750" t="s">
        <v>80</v>
      </c>
      <c r="AP194" s="750" t="s">
        <v>7967</v>
      </c>
      <c r="AQ194" s="739" t="s">
        <v>7968</v>
      </c>
      <c r="AR194" s="739" t="s">
        <v>7968</v>
      </c>
      <c r="AS194" s="739">
        <f>ESS_DATA[[#This Row],[ETA On S/O]]-ESS_DATA[[#This Row],[ETD On S/O]]+1</f>
        <v>53</v>
      </c>
      <c r="AT194" s="739"/>
      <c r="AU194" s="750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4" s="75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750" t="str">
        <f>IF(ISERROR(ESS_DATA[[#This Row],[New Ark PO status]]),"",_xlfn.XLOOKUP(ESS_DATA[[#This Row],[SPTN-PVHK New Ark PO'#]],New_Ark_Data[Purchase order Number],New_Ark_Data[Estimated time of arrival],"",0))</f>
        <v/>
      </c>
      <c r="AX194" s="739">
        <f>IF(ESS_DATA[[#This Row],[New Ark PO Type]]="Offshore",0,IFERROR(VLOOKUP(ESS_DATA[[#This Row],[PORT OF LOADING]]&amp;ESS_DATA[[#This Row],[PORT DESTINATION]],LT_REF[],7,0),14))</f>
        <v>8</v>
      </c>
      <c r="AY194" s="750">
        <f>IFERROR(ESS_DATA[[#This Row],[ODP ETA Port]]+ESS_DATA[[#This Row],[Customs/Leg3 Assumption]],"n/a")</f>
        <v>46350</v>
      </c>
      <c r="AZ194" s="741">
        <f>YEAR(ESS_DATA[[#This Row],[ETA for New Ark update]])</f>
        <v>2026</v>
      </c>
      <c r="BA194" s="741">
        <f>MONTH(ESS_DATA[[#This Row],[ETA for New Ark update]])</f>
        <v>11</v>
      </c>
      <c r="BB194" s="741">
        <f>IFERROR(_xlfn.ISOWEEKNUM(ESS_DATA[[#This Row],[ETA for New Ark update]]),0)</f>
        <v>48</v>
      </c>
      <c r="BC194" s="741" t="str">
        <f>_xlfn.XLOOKUP(ESS_DATA[[#This Row],[PORT DESTINATION]],Table12[PORT DESTINATION],Table12[Cosco Line],,0)</f>
        <v>AEM</v>
      </c>
      <c r="BD194" s="741"/>
      <c r="BE194" s="752"/>
      <c r="BF194" s="752"/>
      <c r="BG194" s="752"/>
      <c r="BH194" s="752"/>
      <c r="BI194" s="752"/>
    </row>
    <row r="195" spans="1:61" s="753" customFormat="1" ht="15.75" customHeight="1">
      <c r="A195" s="738" t="s">
        <v>7969</v>
      </c>
      <c r="B195" s="739" t="s">
        <v>7423</v>
      </c>
      <c r="C195" s="739" t="str">
        <f>IFERROR(LEFT(ESS_DATA[[#This Row],[TCL REFERENCE]],FIND(".",ESS_DATA[[#This Row],[TCL REFERENCE]],1)-1),"Main Line")</f>
        <v>Main Line</v>
      </c>
      <c r="D195" s="739" t="s">
        <v>63</v>
      </c>
      <c r="E195" s="740" t="s">
        <v>64</v>
      </c>
      <c r="F195" s="741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39"/>
      <c r="H195" s="739"/>
      <c r="I195" s="742"/>
      <c r="J195" s="739"/>
      <c r="K195" s="739"/>
      <c r="L195" s="743"/>
      <c r="M195" s="744"/>
      <c r="N195" s="745" t="s">
        <v>7471</v>
      </c>
      <c r="O195" s="745" t="s">
        <v>7438</v>
      </c>
      <c r="P195" s="745" t="s">
        <v>7472</v>
      </c>
      <c r="Q195" s="746"/>
      <c r="R195" s="928">
        <v>2</v>
      </c>
      <c r="S195" s="975"/>
      <c r="T195" s="739"/>
      <c r="U195" s="748">
        <f>ESS_DATA[[#This Row],[QUANTITY]]/260</f>
        <v>7.6923076923076927E-3</v>
      </c>
      <c r="V195" s="749" t="s">
        <v>7482</v>
      </c>
      <c r="W195" s="739" t="s">
        <v>7956</v>
      </c>
      <c r="X195" s="741" t="str">
        <f>IF(AL195&lt;&gt;"","COMPLETED",IF(AI196&lt;&gt;"","IN-TRANSIT",""))</f>
        <v>IN-TRANSIT</v>
      </c>
      <c r="Y195" s="895">
        <v>46282</v>
      </c>
      <c r="Z195" s="750">
        <v>46284</v>
      </c>
      <c r="AA195" s="751">
        <f>WEEKNUM(ESS_DATA[[#This Row],[Pick-Up Date]])</f>
        <v>38</v>
      </c>
      <c r="AB195" s="739" t="s">
        <v>7965</v>
      </c>
      <c r="AC195" s="739"/>
      <c r="AD195" s="739" t="s">
        <v>122</v>
      </c>
      <c r="AE195" s="739" t="s">
        <v>122</v>
      </c>
      <c r="AF195" s="739" t="s">
        <v>78</v>
      </c>
      <c r="AG195" s="750">
        <v>46290</v>
      </c>
      <c r="AH195" s="750">
        <v>46292</v>
      </c>
      <c r="AI195" s="750">
        <v>46292</v>
      </c>
      <c r="AJ195" s="750">
        <v>46342</v>
      </c>
      <c r="AK195" s="750">
        <v>46342</v>
      </c>
      <c r="AL195" s="750"/>
      <c r="AM195" s="740" t="s">
        <v>402</v>
      </c>
      <c r="AN195" s="750" t="s">
        <v>7966</v>
      </c>
      <c r="AO195" s="750" t="s">
        <v>80</v>
      </c>
      <c r="AP195" s="750" t="s">
        <v>7967</v>
      </c>
      <c r="AQ195" s="739" t="s">
        <v>7968</v>
      </c>
      <c r="AR195" s="739" t="s">
        <v>7968</v>
      </c>
      <c r="AS195" s="739">
        <f>ESS_DATA[[#This Row],[ETA On S/O]]-ESS_DATA[[#This Row],[ETD On S/O]]+1</f>
        <v>53</v>
      </c>
      <c r="AT195" s="739"/>
      <c r="AU195" s="750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5" s="75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50" t="str">
        <f>IF(ISERROR(ESS_DATA[[#This Row],[New Ark PO status]]),"",_xlfn.XLOOKUP(ESS_DATA[[#This Row],[SPTN-PVHK New Ark PO'#]],New_Ark_Data[Purchase order Number],New_Ark_Data[Estimated time of arrival],"",0))</f>
        <v/>
      </c>
      <c r="AX195" s="739">
        <f>IF(ESS_DATA[[#This Row],[New Ark PO Type]]="Offshore",0,IFERROR(VLOOKUP(ESS_DATA[[#This Row],[PORT OF LOADING]]&amp;ESS_DATA[[#This Row],[PORT DESTINATION]],LT_REF[],7,0),14))</f>
        <v>8</v>
      </c>
      <c r="AY195" s="750">
        <f>IFERROR(ESS_DATA[[#This Row],[ODP ETA Port]]+ESS_DATA[[#This Row],[Customs/Leg3 Assumption]],"n/a")</f>
        <v>46350</v>
      </c>
      <c r="AZ195" s="741">
        <f>YEAR(ESS_DATA[[#This Row],[ETA for New Ark update]])</f>
        <v>2026</v>
      </c>
      <c r="BA195" s="741">
        <f>MONTH(ESS_DATA[[#This Row],[ETA for New Ark update]])</f>
        <v>11</v>
      </c>
      <c r="BB195" s="741">
        <f>IFERROR(_xlfn.ISOWEEKNUM(ESS_DATA[[#This Row],[ETA for New Ark update]]),0)</f>
        <v>48</v>
      </c>
      <c r="BC195" s="741" t="str">
        <f>_xlfn.XLOOKUP(ESS_DATA[[#This Row],[PORT DESTINATION]],Table12[PORT DESTINATION],Table12[Cosco Line],,0)</f>
        <v>AEM</v>
      </c>
      <c r="BD195" s="741"/>
      <c r="BE195" s="752"/>
      <c r="BF195" s="752"/>
      <c r="BG195" s="752"/>
      <c r="BH195" s="752"/>
      <c r="BI195" s="752"/>
    </row>
    <row r="196" spans="1:61" s="753" customFormat="1" ht="15" customHeight="1">
      <c r="A196" s="738" t="s">
        <v>7970</v>
      </c>
      <c r="B196" s="739" t="s">
        <v>7423</v>
      </c>
      <c r="C196" s="739" t="str">
        <f>IFERROR(LEFT(ESS_DATA[[#This Row],[TCL REFERENCE]],FIND(".",ESS_DATA[[#This Row],[TCL REFERENCE]],1)-1),"Main Line")</f>
        <v>26SEP002</v>
      </c>
      <c r="D196" s="739" t="s">
        <v>63</v>
      </c>
      <c r="E196" s="740" t="s">
        <v>64</v>
      </c>
      <c r="F196" s="741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39"/>
      <c r="H196" s="739"/>
      <c r="I196" s="742"/>
      <c r="J196" s="739"/>
      <c r="K196" s="739"/>
      <c r="L196" s="743"/>
      <c r="M196" s="744"/>
      <c r="N196" s="745" t="s">
        <v>7437</v>
      </c>
      <c r="O196" s="745" t="s">
        <v>7438</v>
      </c>
      <c r="P196" s="745" t="s">
        <v>7439</v>
      </c>
      <c r="Q196" s="746"/>
      <c r="R196" s="928">
        <v>94</v>
      </c>
      <c r="S196" s="975"/>
      <c r="T196" s="739"/>
      <c r="U196" s="748">
        <f>ESS_DATA[[#This Row],[QUANTITY]]/260</f>
        <v>0.36153846153846153</v>
      </c>
      <c r="V196" s="749" t="s">
        <v>7482</v>
      </c>
      <c r="W196" s="739" t="s">
        <v>7956</v>
      </c>
      <c r="X196" s="741" t="str">
        <f t="shared" ref="X196:X203" si="11">IF(AL196&lt;&gt;"","COMPLETED",IF(AI196&lt;&gt;"","IN-TRANSIT",""))</f>
        <v>IN-TRANSIT</v>
      </c>
      <c r="Y196" s="895">
        <v>46282</v>
      </c>
      <c r="Z196" s="750">
        <v>46284</v>
      </c>
      <c r="AA196" s="751">
        <f>WEEKNUM(ESS_DATA[[#This Row],[Pick-Up Date]])</f>
        <v>38</v>
      </c>
      <c r="AB196" s="739" t="s">
        <v>7965</v>
      </c>
      <c r="AC196" s="739"/>
      <c r="AD196" s="739" t="s">
        <v>122</v>
      </c>
      <c r="AE196" s="739" t="s">
        <v>122</v>
      </c>
      <c r="AF196" s="739" t="s">
        <v>78</v>
      </c>
      <c r="AG196" s="750">
        <v>46290</v>
      </c>
      <c r="AH196" s="750">
        <v>46292</v>
      </c>
      <c r="AI196" s="750">
        <v>46292</v>
      </c>
      <c r="AJ196" s="750">
        <v>46342</v>
      </c>
      <c r="AK196" s="750">
        <v>46342</v>
      </c>
      <c r="AL196" s="750"/>
      <c r="AM196" s="740" t="s">
        <v>402</v>
      </c>
      <c r="AN196" s="750" t="s">
        <v>7966</v>
      </c>
      <c r="AO196" s="750" t="s">
        <v>80</v>
      </c>
      <c r="AP196" s="750" t="s">
        <v>7967</v>
      </c>
      <c r="AQ196" s="739" t="s">
        <v>7968</v>
      </c>
      <c r="AR196" s="739" t="s">
        <v>7968</v>
      </c>
      <c r="AS196" s="739">
        <f>ESS_DATA[[#This Row],[ETA On S/O]]-ESS_DATA[[#This Row],[ETD On S/O]]+1</f>
        <v>53</v>
      </c>
      <c r="AT196" s="739"/>
      <c r="AU196" s="750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6" s="75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50" t="str">
        <f>IF(ISERROR(ESS_DATA[[#This Row],[New Ark PO status]]),"",_xlfn.XLOOKUP(ESS_DATA[[#This Row],[SPTN-PVHK New Ark PO'#]],New_Ark_Data[Purchase order Number],New_Ark_Data[Estimated time of arrival],"",0))</f>
        <v/>
      </c>
      <c r="AX196" s="739">
        <f>IF(ESS_DATA[[#This Row],[New Ark PO Type]]="Offshore",0,IFERROR(VLOOKUP(ESS_DATA[[#This Row],[PORT OF LOADING]]&amp;ESS_DATA[[#This Row],[PORT DESTINATION]],LT_REF[],7,0),14))</f>
        <v>8</v>
      </c>
      <c r="AY196" s="750">
        <f>IFERROR(ESS_DATA[[#This Row],[ODP ETA Port]]+ESS_DATA[[#This Row],[Customs/Leg3 Assumption]],"n/a")</f>
        <v>46350</v>
      </c>
      <c r="AZ196" s="741">
        <f>YEAR(ESS_DATA[[#This Row],[ETA for New Ark update]])</f>
        <v>2026</v>
      </c>
      <c r="BA196" s="741">
        <f>MONTH(ESS_DATA[[#This Row],[ETA for New Ark update]])</f>
        <v>11</v>
      </c>
      <c r="BB196" s="741">
        <f>IFERROR(_xlfn.ISOWEEKNUM(ESS_DATA[[#This Row],[ETA for New Ark update]]),0)</f>
        <v>48</v>
      </c>
      <c r="BC196" s="741" t="str">
        <f>_xlfn.XLOOKUP(ESS_DATA[[#This Row],[PORT DESTINATION]],Table12[PORT DESTINATION],Table12[Cosco Line],,0)</f>
        <v>AEM</v>
      </c>
      <c r="BD196" s="741"/>
      <c r="BE196" s="752"/>
      <c r="BF196" s="752"/>
      <c r="BG196" s="752"/>
      <c r="BH196" s="752"/>
      <c r="BI196" s="752"/>
    </row>
    <row r="197" spans="1:61" s="753" customFormat="1" ht="15" customHeight="1">
      <c r="A197" s="738" t="s">
        <v>7971</v>
      </c>
      <c r="B197" s="739" t="s">
        <v>7423</v>
      </c>
      <c r="C197" s="739" t="str">
        <f>IFERROR(LEFT(ESS_DATA[[#This Row],[TCL REFERENCE]],FIND(".",ESS_DATA[[#This Row],[TCL REFERENCE]],1)-1),"Main Line")</f>
        <v>Main Line</v>
      </c>
      <c r="D197" s="739" t="s">
        <v>63</v>
      </c>
      <c r="E197" s="740" t="s">
        <v>64</v>
      </c>
      <c r="F197" s="741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39"/>
      <c r="H197" s="739"/>
      <c r="I197" s="742"/>
      <c r="J197" s="739"/>
      <c r="K197" s="739"/>
      <c r="L197" s="743"/>
      <c r="M197" s="744"/>
      <c r="N197" s="745" t="s">
        <v>7437</v>
      </c>
      <c r="O197" s="745" t="s">
        <v>7438</v>
      </c>
      <c r="P197" s="745" t="s">
        <v>7439</v>
      </c>
      <c r="Q197" s="746"/>
      <c r="R197" s="928">
        <v>16</v>
      </c>
      <c r="S197" s="975"/>
      <c r="T197" s="739"/>
      <c r="U197" s="748">
        <f>ESS_DATA[[#This Row],[QUANTITY]]/260</f>
        <v>6.1538461538461542E-2</v>
      </c>
      <c r="V197" s="749" t="s">
        <v>7482</v>
      </c>
      <c r="W197" s="739" t="s">
        <v>7956</v>
      </c>
      <c r="X197" s="741" t="str">
        <f t="shared" si="11"/>
        <v>IN-TRANSIT</v>
      </c>
      <c r="Y197" s="895">
        <v>46282</v>
      </c>
      <c r="Z197" s="750">
        <v>46284</v>
      </c>
      <c r="AA197" s="751">
        <f>WEEKNUM(ESS_DATA[[#This Row],[Pick-Up Date]])</f>
        <v>38</v>
      </c>
      <c r="AB197" s="739" t="s">
        <v>7965</v>
      </c>
      <c r="AC197" s="739"/>
      <c r="AD197" s="739" t="s">
        <v>122</v>
      </c>
      <c r="AE197" s="739" t="s">
        <v>122</v>
      </c>
      <c r="AF197" s="739" t="s">
        <v>78</v>
      </c>
      <c r="AG197" s="750">
        <v>46290</v>
      </c>
      <c r="AH197" s="750">
        <v>46292</v>
      </c>
      <c r="AI197" s="750">
        <v>46292</v>
      </c>
      <c r="AJ197" s="750">
        <v>46342</v>
      </c>
      <c r="AK197" s="750">
        <v>46342</v>
      </c>
      <c r="AL197" s="750"/>
      <c r="AM197" s="740" t="s">
        <v>402</v>
      </c>
      <c r="AN197" s="750" t="s">
        <v>7966</v>
      </c>
      <c r="AO197" s="750" t="s">
        <v>80</v>
      </c>
      <c r="AP197" s="750" t="s">
        <v>7967</v>
      </c>
      <c r="AQ197" s="739" t="s">
        <v>7968</v>
      </c>
      <c r="AR197" s="739" t="s">
        <v>7968</v>
      </c>
      <c r="AS197" s="739">
        <f>ESS_DATA[[#This Row],[ETA On S/O]]-ESS_DATA[[#This Row],[ETD On S/O]]+1</f>
        <v>53</v>
      </c>
      <c r="AT197" s="739"/>
      <c r="AU197" s="750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7" s="75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50" t="str">
        <f>IF(ISERROR(ESS_DATA[[#This Row],[New Ark PO status]]),"",_xlfn.XLOOKUP(ESS_DATA[[#This Row],[SPTN-PVHK New Ark PO'#]],New_Ark_Data[Purchase order Number],New_Ark_Data[Estimated time of arrival],"",0))</f>
        <v/>
      </c>
      <c r="AX197" s="739">
        <f>IF(ESS_DATA[[#This Row],[New Ark PO Type]]="Offshore",0,IFERROR(VLOOKUP(ESS_DATA[[#This Row],[PORT OF LOADING]]&amp;ESS_DATA[[#This Row],[PORT DESTINATION]],LT_REF[],7,0),14))</f>
        <v>8</v>
      </c>
      <c r="AY197" s="750">
        <f>IFERROR(ESS_DATA[[#This Row],[ODP ETA Port]]+ESS_DATA[[#This Row],[Customs/Leg3 Assumption]],"n/a")</f>
        <v>46350</v>
      </c>
      <c r="AZ197" s="741">
        <f>YEAR(ESS_DATA[[#This Row],[ETA for New Ark update]])</f>
        <v>2026</v>
      </c>
      <c r="BA197" s="741">
        <f>MONTH(ESS_DATA[[#This Row],[ETA for New Ark update]])</f>
        <v>11</v>
      </c>
      <c r="BB197" s="741">
        <f>IFERROR(_xlfn.ISOWEEKNUM(ESS_DATA[[#This Row],[ETA for New Ark update]]),0)</f>
        <v>48</v>
      </c>
      <c r="BC197" s="741" t="str">
        <f>_xlfn.XLOOKUP(ESS_DATA[[#This Row],[PORT DESTINATION]],Table12[PORT DESTINATION],Table12[Cosco Line],,0)</f>
        <v>AEM</v>
      </c>
      <c r="BD197" s="741"/>
      <c r="BE197" s="752"/>
      <c r="BF197" s="752"/>
      <c r="BG197" s="752"/>
      <c r="BH197" s="752"/>
      <c r="BI197" s="752"/>
    </row>
    <row r="198" spans="1:61" s="753" customFormat="1" ht="15" customHeight="1">
      <c r="A198" s="738" t="s">
        <v>7972</v>
      </c>
      <c r="B198" s="739" t="s">
        <v>7423</v>
      </c>
      <c r="C198" s="739" t="str">
        <f>IFERROR(LEFT(ESS_DATA[[#This Row],[TCL REFERENCE]],FIND(".",ESS_DATA[[#This Row],[TCL REFERENCE]],1)-1),"Main Line")</f>
        <v>26SEP004</v>
      </c>
      <c r="D198" s="739" t="s">
        <v>63</v>
      </c>
      <c r="E198" s="740" t="s">
        <v>64</v>
      </c>
      <c r="F198" s="741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39"/>
      <c r="H198" s="739"/>
      <c r="I198" s="742"/>
      <c r="J198" s="739"/>
      <c r="K198" s="739"/>
      <c r="L198" s="743"/>
      <c r="M198" s="744"/>
      <c r="N198" s="745" t="s">
        <v>7449</v>
      </c>
      <c r="O198" s="745" t="s">
        <v>7646</v>
      </c>
      <c r="P198" s="745" t="s">
        <v>7451</v>
      </c>
      <c r="Q198" s="746"/>
      <c r="R198" s="957">
        <v>111</v>
      </c>
      <c r="S198" s="975"/>
      <c r="T198" s="739"/>
      <c r="U198" s="748">
        <f>ESS_DATA[[#This Row],[QUANTITY]]/260</f>
        <v>0.42692307692307691</v>
      </c>
      <c r="V198" s="749" t="s">
        <v>7482</v>
      </c>
      <c r="W198" s="739" t="s">
        <v>7956</v>
      </c>
      <c r="X198" s="741" t="str">
        <f t="shared" si="11"/>
        <v>IN-TRANSIT</v>
      </c>
      <c r="Y198" s="895">
        <v>46282</v>
      </c>
      <c r="Z198" s="750">
        <v>46284</v>
      </c>
      <c r="AA198" s="751">
        <f>WEEKNUM(ESS_DATA[[#This Row],[Pick-Up Date]])</f>
        <v>38</v>
      </c>
      <c r="AB198" s="739" t="s">
        <v>7965</v>
      </c>
      <c r="AC198" s="739"/>
      <c r="AD198" s="739" t="s">
        <v>122</v>
      </c>
      <c r="AE198" s="739" t="s">
        <v>122</v>
      </c>
      <c r="AF198" s="739" t="s">
        <v>78</v>
      </c>
      <c r="AG198" s="750">
        <v>46290</v>
      </c>
      <c r="AH198" s="750">
        <v>46292</v>
      </c>
      <c r="AI198" s="750">
        <v>46292</v>
      </c>
      <c r="AJ198" s="750">
        <v>46342</v>
      </c>
      <c r="AK198" s="750">
        <v>46342</v>
      </c>
      <c r="AL198" s="750"/>
      <c r="AM198" s="740" t="s">
        <v>402</v>
      </c>
      <c r="AN198" s="750" t="s">
        <v>7966</v>
      </c>
      <c r="AO198" s="750" t="s">
        <v>80</v>
      </c>
      <c r="AP198" s="750" t="s">
        <v>7967</v>
      </c>
      <c r="AQ198" s="739" t="s">
        <v>7968</v>
      </c>
      <c r="AR198" s="739" t="s">
        <v>7968</v>
      </c>
      <c r="AS198" s="739">
        <f>ESS_DATA[[#This Row],[ETA On S/O]]-ESS_DATA[[#This Row],[ETD On S/O]]+1</f>
        <v>53</v>
      </c>
      <c r="AT198" s="739"/>
      <c r="AU198" s="750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8" s="75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50" t="str">
        <f>IF(ISERROR(ESS_DATA[[#This Row],[New Ark PO status]]),"",_xlfn.XLOOKUP(ESS_DATA[[#This Row],[SPTN-PVHK New Ark PO'#]],New_Ark_Data[Purchase order Number],New_Ark_Data[Estimated time of arrival],"",0))</f>
        <v/>
      </c>
      <c r="AX198" s="739">
        <f>IF(ESS_DATA[[#This Row],[New Ark PO Type]]="Offshore",0,IFERROR(VLOOKUP(ESS_DATA[[#This Row],[PORT OF LOADING]]&amp;ESS_DATA[[#This Row],[PORT DESTINATION]],LT_REF[],7,0),14))</f>
        <v>8</v>
      </c>
      <c r="AY198" s="750">
        <f>IFERROR(ESS_DATA[[#This Row],[ODP ETA Port]]+ESS_DATA[[#This Row],[Customs/Leg3 Assumption]],"n/a")</f>
        <v>46350</v>
      </c>
      <c r="AZ198" s="741">
        <f>YEAR(ESS_DATA[[#This Row],[ETA for New Ark update]])</f>
        <v>2026</v>
      </c>
      <c r="BA198" s="741">
        <f>MONTH(ESS_DATA[[#This Row],[ETA for New Ark update]])</f>
        <v>11</v>
      </c>
      <c r="BB198" s="741">
        <f>IFERROR(_xlfn.ISOWEEKNUM(ESS_DATA[[#This Row],[ETA for New Ark update]]),0)</f>
        <v>48</v>
      </c>
      <c r="BC198" s="741" t="str">
        <f>_xlfn.XLOOKUP(ESS_DATA[[#This Row],[PORT DESTINATION]],Table12[PORT DESTINATION],Table12[Cosco Line],,0)</f>
        <v>AEM</v>
      </c>
      <c r="BD198" s="741"/>
      <c r="BE198" s="752"/>
      <c r="BF198" s="752"/>
      <c r="BG198" s="752"/>
      <c r="BH198" s="752"/>
      <c r="BI198" s="752"/>
    </row>
    <row r="199" spans="1:61" s="753" customFormat="1" ht="15" customHeight="1">
      <c r="A199" s="738" t="s">
        <v>7973</v>
      </c>
      <c r="B199" s="739" t="s">
        <v>7423</v>
      </c>
      <c r="C199" s="739" t="str">
        <f>IFERROR(LEFT(ESS_DATA[[#This Row],[TCL REFERENCE]],FIND(".",ESS_DATA[[#This Row],[TCL REFERENCE]],1)-1),"Main Line")</f>
        <v>Main Line</v>
      </c>
      <c r="D199" s="739" t="s">
        <v>63</v>
      </c>
      <c r="E199" s="740" t="s">
        <v>64</v>
      </c>
      <c r="F199" s="741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39"/>
      <c r="H199" s="739"/>
      <c r="I199" s="742"/>
      <c r="J199" s="739"/>
      <c r="K199" s="739"/>
      <c r="L199" s="743"/>
      <c r="M199" s="744"/>
      <c r="N199" s="745" t="s">
        <v>7449</v>
      </c>
      <c r="O199" s="745" t="s">
        <v>7646</v>
      </c>
      <c r="P199" s="745" t="s">
        <v>7451</v>
      </c>
      <c r="Q199" s="746"/>
      <c r="R199" s="1050">
        <v>19</v>
      </c>
      <c r="S199" s="975"/>
      <c r="T199" s="739"/>
      <c r="U199" s="748">
        <f>ESS_DATA[[#This Row],[QUANTITY]]/260</f>
        <v>7.3076923076923081E-2</v>
      </c>
      <c r="V199" s="749" t="s">
        <v>7482</v>
      </c>
      <c r="W199" s="739" t="s">
        <v>7956</v>
      </c>
      <c r="X199" s="741" t="str">
        <f t="shared" si="11"/>
        <v>IN-TRANSIT</v>
      </c>
      <c r="Y199" s="895">
        <v>46282</v>
      </c>
      <c r="Z199" s="750">
        <v>46284</v>
      </c>
      <c r="AA199" s="751">
        <f>WEEKNUM(ESS_DATA[[#This Row],[Pick-Up Date]])</f>
        <v>38</v>
      </c>
      <c r="AB199" s="739" t="s">
        <v>7965</v>
      </c>
      <c r="AC199" s="739"/>
      <c r="AD199" s="739" t="s">
        <v>122</v>
      </c>
      <c r="AE199" s="739" t="s">
        <v>122</v>
      </c>
      <c r="AF199" s="739" t="s">
        <v>78</v>
      </c>
      <c r="AG199" s="750">
        <v>46290</v>
      </c>
      <c r="AH199" s="750">
        <v>46292</v>
      </c>
      <c r="AI199" s="750">
        <v>46292</v>
      </c>
      <c r="AJ199" s="750">
        <v>46342</v>
      </c>
      <c r="AK199" s="750">
        <v>46342</v>
      </c>
      <c r="AL199" s="750"/>
      <c r="AM199" s="740" t="s">
        <v>402</v>
      </c>
      <c r="AN199" s="750" t="s">
        <v>7966</v>
      </c>
      <c r="AO199" s="750" t="s">
        <v>80</v>
      </c>
      <c r="AP199" s="750" t="s">
        <v>7967</v>
      </c>
      <c r="AQ199" s="739" t="s">
        <v>7968</v>
      </c>
      <c r="AR199" s="739" t="s">
        <v>7968</v>
      </c>
      <c r="AS199" s="739">
        <f>ESS_DATA[[#This Row],[ETA On S/O]]-ESS_DATA[[#This Row],[ETD On S/O]]+1</f>
        <v>53</v>
      </c>
      <c r="AT199" s="739"/>
      <c r="AU199" s="750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9" s="75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50" t="str">
        <f>IF(ISERROR(ESS_DATA[[#This Row],[New Ark PO status]]),"",_xlfn.XLOOKUP(ESS_DATA[[#This Row],[SPTN-PVHK New Ark PO'#]],New_Ark_Data[Purchase order Number],New_Ark_Data[Estimated time of arrival],"",0))</f>
        <v/>
      </c>
      <c r="AX199" s="739">
        <f>IF(ESS_DATA[[#This Row],[New Ark PO Type]]="Offshore",0,IFERROR(VLOOKUP(ESS_DATA[[#This Row],[PORT OF LOADING]]&amp;ESS_DATA[[#This Row],[PORT DESTINATION]],LT_REF[],7,0),14))</f>
        <v>8</v>
      </c>
      <c r="AY199" s="750">
        <f>IFERROR(ESS_DATA[[#This Row],[ODP ETA Port]]+ESS_DATA[[#This Row],[Customs/Leg3 Assumption]],"n/a")</f>
        <v>46350</v>
      </c>
      <c r="AZ199" s="741">
        <f>YEAR(ESS_DATA[[#This Row],[ETA for New Ark update]])</f>
        <v>2026</v>
      </c>
      <c r="BA199" s="741">
        <f>MONTH(ESS_DATA[[#This Row],[ETA for New Ark update]])</f>
        <v>11</v>
      </c>
      <c r="BB199" s="741">
        <f>IFERROR(_xlfn.ISOWEEKNUM(ESS_DATA[[#This Row],[ETA for New Ark update]]),0)</f>
        <v>48</v>
      </c>
      <c r="BC199" s="741" t="str">
        <f>_xlfn.XLOOKUP(ESS_DATA[[#This Row],[PORT DESTINATION]],Table12[PORT DESTINATION],Table12[Cosco Line],,0)</f>
        <v>AEM</v>
      </c>
      <c r="BD199" s="741"/>
      <c r="BE199" s="752"/>
      <c r="BF199" s="752"/>
      <c r="BG199" s="752"/>
      <c r="BH199" s="752"/>
      <c r="BI199" s="752"/>
    </row>
    <row r="200" spans="1:61" s="753" customFormat="1" ht="15" customHeight="1">
      <c r="A200" s="738" t="s">
        <v>7974</v>
      </c>
      <c r="B200" s="739" t="s">
        <v>7423</v>
      </c>
      <c r="C200" s="739" t="str">
        <f>IFERROR(LEFT(ESS_DATA[[#This Row],[TCL REFERENCE]],FIND(".",ESS_DATA[[#This Row],[TCL REFERENCE]],1)-1),"Main Line")</f>
        <v>Main Line</v>
      </c>
      <c r="D200" s="739" t="s">
        <v>63</v>
      </c>
      <c r="E200" s="740" t="s">
        <v>64</v>
      </c>
      <c r="F200" s="741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39"/>
      <c r="H200" s="739"/>
      <c r="I200" s="742"/>
      <c r="J200" s="739"/>
      <c r="K200" s="739"/>
      <c r="L200" s="743"/>
      <c r="M200" s="744"/>
      <c r="N200" s="747" t="s">
        <v>7425</v>
      </c>
      <c r="O200" s="745" t="s">
        <v>7595</v>
      </c>
      <c r="P200" s="747" t="s">
        <v>7427</v>
      </c>
      <c r="Q200" s="746"/>
      <c r="R200" s="957">
        <v>180</v>
      </c>
      <c r="S200" s="975"/>
      <c r="T200" s="739"/>
      <c r="U200" s="748">
        <v>0</v>
      </c>
      <c r="V200" s="749" t="s">
        <v>7482</v>
      </c>
      <c r="W200" s="739" t="s">
        <v>7956</v>
      </c>
      <c r="X200" s="741" t="str">
        <f t="shared" si="11"/>
        <v>IN-TRANSIT</v>
      </c>
      <c r="Y200" s="895">
        <v>46282</v>
      </c>
      <c r="Z200" s="750">
        <v>46284</v>
      </c>
      <c r="AA200" s="751">
        <f>WEEKNUM(ESS_DATA[[#This Row],[Pick-Up Date]])</f>
        <v>38</v>
      </c>
      <c r="AB200" s="739" t="s">
        <v>7965</v>
      </c>
      <c r="AC200" s="739"/>
      <c r="AD200" s="739" t="s">
        <v>122</v>
      </c>
      <c r="AE200" s="739" t="s">
        <v>122</v>
      </c>
      <c r="AF200" s="739" t="s">
        <v>78</v>
      </c>
      <c r="AG200" s="750">
        <v>46290</v>
      </c>
      <c r="AH200" s="750">
        <v>46292</v>
      </c>
      <c r="AI200" s="750">
        <v>46292</v>
      </c>
      <c r="AJ200" s="750">
        <v>46342</v>
      </c>
      <c r="AK200" s="750">
        <v>46342</v>
      </c>
      <c r="AL200" s="750"/>
      <c r="AM200" s="740" t="s">
        <v>402</v>
      </c>
      <c r="AN200" s="750" t="s">
        <v>7966</v>
      </c>
      <c r="AO200" s="750" t="s">
        <v>80</v>
      </c>
      <c r="AP200" s="750" t="s">
        <v>7967</v>
      </c>
      <c r="AQ200" s="739" t="s">
        <v>7968</v>
      </c>
      <c r="AR200" s="739" t="s">
        <v>7968</v>
      </c>
      <c r="AS200" s="739">
        <f>ESS_DATA[[#This Row],[ETA On S/O]]-ESS_DATA[[#This Row],[ETD On S/O]]+1</f>
        <v>53</v>
      </c>
      <c r="AT200" s="739"/>
      <c r="AU200" s="750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14" t="str">
        <f>IF(ISERROR(ESS_DATA[[#This Row],[New Ark PO status]]),"",_xlfn.XLOOKUP(ESS_DATA[[#This Row],[SPTN-PVHK New Ark PO'#]],New_Ark_Data[Purchase order Number],New_Ark_Data[Estimated time of arrival],"",0))</f>
        <v/>
      </c>
      <c r="AX200" s="739">
        <f>IF(ESS_DATA[[#This Row],[New Ark PO Type]]="Offshore",0,IFERROR(VLOOKUP(ESS_DATA[[#This Row],[PORT OF LOADING]]&amp;ESS_DATA[[#This Row],[PORT DESTINATION]],LT_REF[],7,0),14))</f>
        <v>8</v>
      </c>
      <c r="AY200" s="750">
        <f>IFERROR(ESS_DATA[[#This Row],[ODP ETA Port]]+ESS_DATA[[#This Row],[Customs/Leg3 Assumption]],"n/a")</f>
        <v>46350</v>
      </c>
      <c r="AZ200" s="741">
        <f>YEAR(ESS_DATA[[#This Row],[ETA for New Ark update]])</f>
        <v>2026</v>
      </c>
      <c r="BA200" s="741">
        <f>MONTH(ESS_DATA[[#This Row],[ETA for New Ark update]])</f>
        <v>11</v>
      </c>
      <c r="BB200" s="741">
        <f>IFERROR(_xlfn.ISOWEEKNUM(ESS_DATA[[#This Row],[ETA for New Ark update]]),0)</f>
        <v>48</v>
      </c>
      <c r="BC200" s="741" t="str">
        <f>_xlfn.XLOOKUP(ESS_DATA[[#This Row],[PORT DESTINATION]],Table12[PORT DESTINATION],Table12[Cosco Line],,0)</f>
        <v>AEM</v>
      </c>
      <c r="BD200" s="741"/>
      <c r="BE200" s="752"/>
      <c r="BF200" s="752"/>
      <c r="BG200" s="752"/>
      <c r="BH200" s="752"/>
      <c r="BI200" s="752"/>
    </row>
    <row r="201" spans="1:61" s="753" customFormat="1" ht="13.5" customHeight="1">
      <c r="A201" s="738" t="s">
        <v>7975</v>
      </c>
      <c r="B201" s="739" t="s">
        <v>7423</v>
      </c>
      <c r="C201" s="739" t="str">
        <f>IFERROR(LEFT(ESS_DATA[[#This Row],[TCL REFERENCE]],FIND(".",ESS_DATA[[#This Row],[TCL REFERENCE]],1)-1),"Main Line")</f>
        <v>26SEP002</v>
      </c>
      <c r="D201" s="739" t="s">
        <v>63</v>
      </c>
      <c r="E201" s="740" t="s">
        <v>64</v>
      </c>
      <c r="F201" s="741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39"/>
      <c r="H201" s="739"/>
      <c r="I201" s="742"/>
      <c r="J201" s="739"/>
      <c r="K201" s="739"/>
      <c r="L201" s="743"/>
      <c r="M201" s="744"/>
      <c r="N201" s="745" t="s">
        <v>7437</v>
      </c>
      <c r="O201" s="745" t="s">
        <v>7438</v>
      </c>
      <c r="P201" s="745" t="s">
        <v>7439</v>
      </c>
      <c r="Q201" s="746"/>
      <c r="R201" s="957">
        <v>130</v>
      </c>
      <c r="S201" s="975"/>
      <c r="T201" s="739"/>
      <c r="U201" s="748">
        <f>ESS_DATA[[#This Row],[QUANTITY]]/260</f>
        <v>0.5</v>
      </c>
      <c r="V201" s="749" t="s">
        <v>7486</v>
      </c>
      <c r="W201" s="944" t="s">
        <v>7976</v>
      </c>
      <c r="X201" s="959" t="str">
        <f t="shared" si="11"/>
        <v>IN-TRANSIT</v>
      </c>
      <c r="Y201" s="943">
        <v>46286</v>
      </c>
      <c r="Z201" s="750">
        <v>46284</v>
      </c>
      <c r="AA201" s="751">
        <f>WEEKNUM(ESS_DATA[[#This Row],[Pick-Up Date]])</f>
        <v>38</v>
      </c>
      <c r="AB201" s="739" t="s">
        <v>7965</v>
      </c>
      <c r="AC201" s="739"/>
      <c r="AD201" s="739" t="s">
        <v>122</v>
      </c>
      <c r="AE201" s="739" t="s">
        <v>122</v>
      </c>
      <c r="AF201" s="739" t="s">
        <v>78</v>
      </c>
      <c r="AG201" s="750">
        <v>46290</v>
      </c>
      <c r="AH201" s="750">
        <v>46292</v>
      </c>
      <c r="AI201" s="750">
        <v>46292</v>
      </c>
      <c r="AJ201" s="750">
        <v>46342</v>
      </c>
      <c r="AK201" s="750">
        <v>46342</v>
      </c>
      <c r="AL201" s="750"/>
      <c r="AM201" s="740" t="s">
        <v>402</v>
      </c>
      <c r="AN201" s="750" t="s">
        <v>7966</v>
      </c>
      <c r="AO201" s="750" t="s">
        <v>80</v>
      </c>
      <c r="AP201" s="750" t="s">
        <v>7967</v>
      </c>
      <c r="AQ201" s="739" t="s">
        <v>7968</v>
      </c>
      <c r="AR201" s="739" t="s">
        <v>7968</v>
      </c>
      <c r="AS201" s="739">
        <f>ESS_DATA[[#This Row],[ETA On S/O]]-ESS_DATA[[#This Row],[ETD On S/O]]+1</f>
        <v>53</v>
      </c>
      <c r="AT201" s="739"/>
      <c r="AU201" s="750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 t="str">
        <f>IF(ISERROR(ESS_DATA[[#This Row],[New Ark PO status]]),"",_xlfn.XLOOKUP(ESS_DATA[[#This Row],[SPTN-PVHK New Ark PO'#]],New_Ark_Data[Purchase order Number],New_Ark_Data[Estimated time of arrival],"",0))</f>
        <v/>
      </c>
      <c r="AX201" s="739">
        <f>IF(ESS_DATA[[#This Row],[New Ark PO Type]]="Offshore",0,IFERROR(VLOOKUP(ESS_DATA[[#This Row],[PORT OF LOADING]]&amp;ESS_DATA[[#This Row],[PORT DESTINATION]],LT_REF[],7,0),14))</f>
        <v>8</v>
      </c>
      <c r="AY201" s="750">
        <f>IFERROR(ESS_DATA[[#This Row],[ODP ETA Port]]+ESS_DATA[[#This Row],[Customs/Leg3 Assumption]],"n/a")</f>
        <v>46350</v>
      </c>
      <c r="AZ201" s="741">
        <f>YEAR(ESS_DATA[[#This Row],[ETA for New Ark update]])</f>
        <v>2026</v>
      </c>
      <c r="BA201" s="741">
        <f>MONTH(ESS_DATA[[#This Row],[ETA for New Ark update]])</f>
        <v>11</v>
      </c>
      <c r="BB201" s="741">
        <f>IFERROR(_xlfn.ISOWEEKNUM(ESS_DATA[[#This Row],[ETA for New Ark update]]),0)</f>
        <v>48</v>
      </c>
      <c r="BC201" s="741" t="str">
        <f>_xlfn.XLOOKUP(ESS_DATA[[#This Row],[PORT DESTINATION]],Table12[PORT DESTINATION],Table12[Cosco Line],,0)</f>
        <v>AEM</v>
      </c>
      <c r="BD201" s="741"/>
      <c r="BE201" s="752"/>
      <c r="BF201" s="752"/>
      <c r="BG201" s="752"/>
      <c r="BH201" s="752"/>
      <c r="BI201" s="752"/>
    </row>
    <row r="202" spans="1:61" s="753" customFormat="1" ht="15" customHeight="1">
      <c r="A202" s="738" t="s">
        <v>7977</v>
      </c>
      <c r="B202" s="739" t="s">
        <v>7423</v>
      </c>
      <c r="C202" s="739" t="str">
        <f>IFERROR(LEFT(ESS_DATA[[#This Row],[TCL REFERENCE]],FIND(".",ESS_DATA[[#This Row],[TCL REFERENCE]],1)-1),"Main Line")</f>
        <v>26SEP004</v>
      </c>
      <c r="D202" s="739" t="s">
        <v>63</v>
      </c>
      <c r="E202" s="740" t="s">
        <v>64</v>
      </c>
      <c r="F202" s="741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39"/>
      <c r="H202" s="739"/>
      <c r="I202" s="742"/>
      <c r="J202" s="739"/>
      <c r="K202" s="739"/>
      <c r="L202" s="743"/>
      <c r="M202" s="744"/>
      <c r="N202" s="745" t="s">
        <v>7449</v>
      </c>
      <c r="O202" s="745" t="s">
        <v>7646</v>
      </c>
      <c r="P202" s="745" t="s">
        <v>7451</v>
      </c>
      <c r="Q202" s="746"/>
      <c r="R202" s="957">
        <v>130</v>
      </c>
      <c r="S202" s="975"/>
      <c r="T202" s="739"/>
      <c r="U202" s="748">
        <f>ESS_DATA[[#This Row],[QUANTITY]]/260</f>
        <v>0.5</v>
      </c>
      <c r="V202" s="749" t="s">
        <v>7486</v>
      </c>
      <c r="W202" s="944" t="s">
        <v>7976</v>
      </c>
      <c r="X202" s="959" t="str">
        <f t="shared" si="11"/>
        <v>IN-TRANSIT</v>
      </c>
      <c r="Y202" s="943">
        <v>46286</v>
      </c>
      <c r="Z202" s="750">
        <v>46284</v>
      </c>
      <c r="AA202" s="751">
        <f>WEEKNUM(ESS_DATA[[#This Row],[Pick-Up Date]])</f>
        <v>38</v>
      </c>
      <c r="AB202" s="739" t="s">
        <v>7965</v>
      </c>
      <c r="AC202" s="739"/>
      <c r="AD202" s="739" t="s">
        <v>122</v>
      </c>
      <c r="AE202" s="739" t="s">
        <v>122</v>
      </c>
      <c r="AF202" s="739" t="s">
        <v>78</v>
      </c>
      <c r="AG202" s="750">
        <v>46290</v>
      </c>
      <c r="AH202" s="750">
        <v>46292</v>
      </c>
      <c r="AI202" s="750">
        <v>46292</v>
      </c>
      <c r="AJ202" s="750">
        <v>46342</v>
      </c>
      <c r="AK202" s="750">
        <v>46342</v>
      </c>
      <c r="AL202" s="750"/>
      <c r="AM202" s="740" t="s">
        <v>402</v>
      </c>
      <c r="AN202" s="750" t="s">
        <v>7966</v>
      </c>
      <c r="AO202" s="750" t="s">
        <v>80</v>
      </c>
      <c r="AP202" s="750" t="s">
        <v>7967</v>
      </c>
      <c r="AQ202" s="739" t="s">
        <v>7968</v>
      </c>
      <c r="AR202" s="739" t="s">
        <v>7968</v>
      </c>
      <c r="AS202" s="739">
        <f>ESS_DATA[[#This Row],[ETA On S/O]]-ESS_DATA[[#This Row],[ETD On S/O]]+1</f>
        <v>53</v>
      </c>
      <c r="AT202" s="739"/>
      <c r="AU202" s="750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39">
        <f>IF(ESS_DATA[[#This Row],[New Ark PO Type]]="Offshore",0,IFERROR(VLOOKUP(ESS_DATA[[#This Row],[PORT OF LOADING]]&amp;ESS_DATA[[#This Row],[PORT DESTINATION]],LT_REF[],7,0),14))</f>
        <v>8</v>
      </c>
      <c r="AY202" s="750">
        <f>IFERROR(ESS_DATA[[#This Row],[ODP ETA Port]]+ESS_DATA[[#This Row],[Customs/Leg3 Assumption]],"n/a")</f>
        <v>46350</v>
      </c>
      <c r="AZ202" s="741">
        <f>YEAR(ESS_DATA[[#This Row],[ETA for New Ark update]])</f>
        <v>2026</v>
      </c>
      <c r="BA202" s="741">
        <f>MONTH(ESS_DATA[[#This Row],[ETA for New Ark update]])</f>
        <v>11</v>
      </c>
      <c r="BB202" s="741">
        <f>IFERROR(_xlfn.ISOWEEKNUM(ESS_DATA[[#This Row],[ETA for New Ark update]]),0)</f>
        <v>48</v>
      </c>
      <c r="BC202" s="741" t="str">
        <f>_xlfn.XLOOKUP(ESS_DATA[[#This Row],[PORT DESTINATION]],Table12[PORT DESTINATION],Table12[Cosco Line],,0)</f>
        <v>AEM</v>
      </c>
      <c r="BD202" s="741"/>
      <c r="BE202" s="752"/>
      <c r="BF202" s="752"/>
      <c r="BG202" s="752"/>
      <c r="BH202" s="752"/>
      <c r="BI202" s="752"/>
    </row>
    <row r="203" spans="1:61" s="753" customFormat="1" ht="15" customHeight="1">
      <c r="A203" s="738" t="s">
        <v>7978</v>
      </c>
      <c r="B203" s="739" t="s">
        <v>7423</v>
      </c>
      <c r="C203" s="739" t="str">
        <f>IFERROR(LEFT(ESS_DATA[[#This Row],[TCL REFERENCE]],FIND(".",ESS_DATA[[#This Row],[TCL REFERENCE]],1)-1),"Main Line")</f>
        <v>26SEP005</v>
      </c>
      <c r="D203" s="739" t="s">
        <v>63</v>
      </c>
      <c r="E203" s="740" t="s">
        <v>64</v>
      </c>
      <c r="F203" s="741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39"/>
      <c r="H203" s="739"/>
      <c r="I203" s="742"/>
      <c r="J203" s="739"/>
      <c r="K203" s="739"/>
      <c r="L203" s="743"/>
      <c r="M203" s="744"/>
      <c r="N203" s="741" t="s">
        <v>7725</v>
      </c>
      <c r="O203" s="741" t="s">
        <v>7438</v>
      </c>
      <c r="P203" s="741" t="s">
        <v>7726</v>
      </c>
      <c r="Q203" s="746"/>
      <c r="R203" s="928">
        <v>42</v>
      </c>
      <c r="S203" s="975"/>
      <c r="T203" s="739"/>
      <c r="U203" s="748">
        <f>ESS_DATA[[#This Row],[QUANTITY]]/304</f>
        <v>0.13815789473684212</v>
      </c>
      <c r="V203" s="749" t="s">
        <v>7666</v>
      </c>
      <c r="W203" s="944" t="s">
        <v>7976</v>
      </c>
      <c r="X203" s="959" t="str">
        <f t="shared" si="11"/>
        <v>IN-TRANSIT</v>
      </c>
      <c r="Y203" s="943">
        <v>46288</v>
      </c>
      <c r="Z203" s="750">
        <v>46288</v>
      </c>
      <c r="AA203" s="751">
        <f>WEEKNUM(ESS_DATA[[#This Row],[Pick-Up Date]])</f>
        <v>39</v>
      </c>
      <c r="AB203" s="739" t="s">
        <v>7979</v>
      </c>
      <c r="AC203" s="739"/>
      <c r="AD203" s="739" t="s">
        <v>122</v>
      </c>
      <c r="AE203" s="739" t="s">
        <v>122</v>
      </c>
      <c r="AF203" s="739" t="s">
        <v>78</v>
      </c>
      <c r="AG203" s="750">
        <v>46297</v>
      </c>
      <c r="AH203" s="750">
        <v>46299</v>
      </c>
      <c r="AI203" s="750">
        <v>46299</v>
      </c>
      <c r="AJ203" s="750">
        <v>46337</v>
      </c>
      <c r="AK203" s="750">
        <v>46344</v>
      </c>
      <c r="AL203" s="750"/>
      <c r="AM203" s="740" t="s">
        <v>402</v>
      </c>
      <c r="AN203" s="750" t="s">
        <v>7047</v>
      </c>
      <c r="AO203" s="750" t="s">
        <v>80</v>
      </c>
      <c r="AP203" s="750" t="s">
        <v>7980</v>
      </c>
      <c r="AQ203" s="739" t="s">
        <v>7981</v>
      </c>
      <c r="AR203" s="739" t="s">
        <v>7981</v>
      </c>
      <c r="AS203" s="739">
        <f>ESS_DATA[[#This Row],[ETA On S/O]]-ESS_DATA[[#This Row],[ETD On S/O]]+1</f>
        <v>41</v>
      </c>
      <c r="AT203" s="739"/>
      <c r="AU203" s="750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39">
        <f>IF(ESS_DATA[[#This Row],[New Ark PO Type]]="Offshore",0,IFERROR(VLOOKUP(ESS_DATA[[#This Row],[PORT OF LOADING]]&amp;ESS_DATA[[#This Row],[PORT DESTINATION]],LT_REF[],7,0),14))</f>
        <v>8</v>
      </c>
      <c r="AY203" s="750">
        <f>IFERROR(ESS_DATA[[#This Row],[ODP ETA Port]]+ESS_DATA[[#This Row],[Customs/Leg3 Assumption]],"n/a")</f>
        <v>46352</v>
      </c>
      <c r="AZ203" s="741">
        <f>YEAR(ESS_DATA[[#This Row],[ETA for New Ark update]])</f>
        <v>2026</v>
      </c>
      <c r="BA203" s="741">
        <f>MONTH(ESS_DATA[[#This Row],[ETA for New Ark update]])</f>
        <v>11</v>
      </c>
      <c r="BB203" s="741">
        <f>IFERROR(_xlfn.ISOWEEKNUM(ESS_DATA[[#This Row],[ETA for New Ark update]]),0)</f>
        <v>48</v>
      </c>
      <c r="BC203" s="741" t="str">
        <f>_xlfn.XLOOKUP(ESS_DATA[[#This Row],[PORT DESTINATION]],Table12[PORT DESTINATION],Table12[Cosco Line],,0)</f>
        <v>AEM</v>
      </c>
      <c r="BD203" s="741"/>
      <c r="BE203" s="752"/>
      <c r="BF203" s="752"/>
      <c r="BG203" s="752"/>
      <c r="BH203" s="752"/>
      <c r="BI203" s="752"/>
    </row>
    <row r="204" spans="1:61" s="753" customFormat="1" ht="15.75" customHeight="1">
      <c r="A204" s="738" t="s">
        <v>7982</v>
      </c>
      <c r="B204" s="739" t="s">
        <v>7423</v>
      </c>
      <c r="C204" s="739" t="str">
        <f>IFERROR(LEFT(ESS_DATA[[#This Row],[TCL REFERENCE]],FIND(".",ESS_DATA[[#This Row],[TCL REFERENCE]],1)-1),"Main Line")</f>
        <v>Main Line</v>
      </c>
      <c r="D204" s="739" t="s">
        <v>63</v>
      </c>
      <c r="E204" s="740" t="s">
        <v>64</v>
      </c>
      <c r="F204" s="741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39"/>
      <c r="H204" s="739"/>
      <c r="I204" s="742"/>
      <c r="J204" s="739"/>
      <c r="K204" s="739"/>
      <c r="L204" s="743"/>
      <c r="M204" s="744"/>
      <c r="N204" s="741" t="s">
        <v>7725</v>
      </c>
      <c r="O204" s="741" t="s">
        <v>7438</v>
      </c>
      <c r="P204" s="741" t="s">
        <v>7726</v>
      </c>
      <c r="Q204" s="746"/>
      <c r="R204" s="928">
        <v>6</v>
      </c>
      <c r="S204" s="975"/>
      <c r="T204" s="739"/>
      <c r="U204" s="748">
        <f>ESS_DATA[[#This Row],[QUANTITY]]/304</f>
        <v>1.9736842105263157E-2</v>
      </c>
      <c r="V204" s="749" t="s">
        <v>7666</v>
      </c>
      <c r="W204" s="944" t="s">
        <v>7976</v>
      </c>
      <c r="X204" s="959" t="str">
        <f t="shared" ref="X204:X210" si="12">IF(AL204&lt;&gt;"","COMPLETED",IF(AI204&lt;&gt;"","IN-TRANSIT",""))</f>
        <v>IN-TRANSIT</v>
      </c>
      <c r="Y204" s="943">
        <v>46288</v>
      </c>
      <c r="Z204" s="750">
        <v>46288</v>
      </c>
      <c r="AA204" s="751">
        <f>WEEKNUM(ESS_DATA[[#This Row],[Pick-Up Date]])</f>
        <v>39</v>
      </c>
      <c r="AB204" s="739" t="s">
        <v>7979</v>
      </c>
      <c r="AC204" s="739"/>
      <c r="AD204" s="739" t="s">
        <v>122</v>
      </c>
      <c r="AE204" s="739" t="s">
        <v>122</v>
      </c>
      <c r="AF204" s="739" t="s">
        <v>78</v>
      </c>
      <c r="AG204" s="750">
        <v>46297</v>
      </c>
      <c r="AH204" s="750">
        <v>46299</v>
      </c>
      <c r="AI204" s="750">
        <v>46299</v>
      </c>
      <c r="AJ204" s="750">
        <v>46337</v>
      </c>
      <c r="AK204" s="750">
        <v>46344</v>
      </c>
      <c r="AL204" s="750"/>
      <c r="AM204" s="740" t="s">
        <v>402</v>
      </c>
      <c r="AN204" s="750" t="s">
        <v>7047</v>
      </c>
      <c r="AO204" s="750" t="s">
        <v>80</v>
      </c>
      <c r="AP204" s="750" t="s">
        <v>7980</v>
      </c>
      <c r="AQ204" s="739" t="s">
        <v>7981</v>
      </c>
      <c r="AR204" s="739" t="s">
        <v>7981</v>
      </c>
      <c r="AS204" s="739">
        <f>ESS_DATA[[#This Row],[ETA On S/O]]-ESS_DATA[[#This Row],[ETD On S/O]]+1</f>
        <v>41</v>
      </c>
      <c r="AT204" s="739"/>
      <c r="AU204" s="750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39">
        <f>IF(ESS_DATA[[#This Row],[New Ark PO Type]]="Offshore",0,IFERROR(VLOOKUP(ESS_DATA[[#This Row],[PORT OF LOADING]]&amp;ESS_DATA[[#This Row],[PORT DESTINATION]],LT_REF[],7,0),14))</f>
        <v>8</v>
      </c>
      <c r="AY204" s="750">
        <f>IFERROR(ESS_DATA[[#This Row],[ODP ETA Port]]+ESS_DATA[[#This Row],[Customs/Leg3 Assumption]],"n/a")</f>
        <v>46352</v>
      </c>
      <c r="AZ204" s="741">
        <f>YEAR(ESS_DATA[[#This Row],[ETA for New Ark update]])</f>
        <v>2026</v>
      </c>
      <c r="BA204" s="741">
        <f>MONTH(ESS_DATA[[#This Row],[ETA for New Ark update]])</f>
        <v>11</v>
      </c>
      <c r="BB204" s="741">
        <f>IFERROR(_xlfn.ISOWEEKNUM(ESS_DATA[[#This Row],[ETA for New Ark update]]),0)</f>
        <v>48</v>
      </c>
      <c r="BC204" s="741" t="str">
        <f>_xlfn.XLOOKUP(ESS_DATA[[#This Row],[PORT DESTINATION]],Table12[PORT DESTINATION],Table12[Cosco Line],,0)</f>
        <v>AEM</v>
      </c>
      <c r="BD204" s="741"/>
      <c r="BE204" s="752"/>
      <c r="BF204" s="752"/>
      <c r="BG204" s="752"/>
      <c r="BH204" s="752"/>
      <c r="BI204" s="752"/>
    </row>
    <row r="205" spans="1:61" s="753" customFormat="1" ht="14.25" customHeight="1">
      <c r="A205" s="738" t="s">
        <v>7983</v>
      </c>
      <c r="B205" s="739" t="s">
        <v>7423</v>
      </c>
      <c r="C205" s="739" t="str">
        <f>IFERROR(LEFT(ESS_DATA[[#This Row],[TCL REFERENCE]],FIND(".",ESS_DATA[[#This Row],[TCL REFERENCE]],1)-1),"Main Line")</f>
        <v>Main Line</v>
      </c>
      <c r="D205" s="739" t="s">
        <v>63</v>
      </c>
      <c r="E205" s="740" t="s">
        <v>64</v>
      </c>
      <c r="F205" s="741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39"/>
      <c r="H205" s="739"/>
      <c r="I205" s="742"/>
      <c r="J205" s="739"/>
      <c r="K205" s="739"/>
      <c r="L205" s="743"/>
      <c r="M205" s="744"/>
      <c r="N205" s="741" t="s">
        <v>7710</v>
      </c>
      <c r="O205" s="741" t="s">
        <v>7438</v>
      </c>
      <c r="P205" s="741" t="s">
        <v>7711</v>
      </c>
      <c r="Q205" s="746"/>
      <c r="R205" s="928">
        <v>101</v>
      </c>
      <c r="S205" s="975"/>
      <c r="T205" s="739"/>
      <c r="U205" s="748">
        <f>ESS_DATA[[#This Row],[QUANTITY]]/304</f>
        <v>0.33223684210526316</v>
      </c>
      <c r="V205" s="749" t="s">
        <v>7666</v>
      </c>
      <c r="W205" s="944" t="s">
        <v>7976</v>
      </c>
      <c r="X205" s="959" t="str">
        <f>IF(AL205&lt;&gt;"","COMPLETED",IF(AI205&lt;&gt;"","IN-TRANSIT",""))</f>
        <v>IN-TRANSIT</v>
      </c>
      <c r="Y205" s="943">
        <v>46288</v>
      </c>
      <c r="Z205" s="750">
        <v>46288</v>
      </c>
      <c r="AA205" s="751">
        <f>WEEKNUM(ESS_DATA[[#This Row],[Pick-Up Date]])</f>
        <v>39</v>
      </c>
      <c r="AB205" s="739" t="s">
        <v>7979</v>
      </c>
      <c r="AC205" s="739"/>
      <c r="AD205" s="739" t="s">
        <v>122</v>
      </c>
      <c r="AE205" s="739" t="s">
        <v>122</v>
      </c>
      <c r="AF205" s="739" t="s">
        <v>78</v>
      </c>
      <c r="AG205" s="750">
        <v>46297</v>
      </c>
      <c r="AH205" s="750">
        <v>46299</v>
      </c>
      <c r="AI205" s="750">
        <v>46299</v>
      </c>
      <c r="AJ205" s="750">
        <v>46337</v>
      </c>
      <c r="AK205" s="750">
        <v>46344</v>
      </c>
      <c r="AL205" s="750"/>
      <c r="AM205" s="740" t="s">
        <v>402</v>
      </c>
      <c r="AN205" s="750" t="s">
        <v>7047</v>
      </c>
      <c r="AO205" s="750" t="s">
        <v>80</v>
      </c>
      <c r="AP205" s="750" t="s">
        <v>7980</v>
      </c>
      <c r="AQ205" s="739" t="s">
        <v>7981</v>
      </c>
      <c r="AR205" s="739" t="s">
        <v>7981</v>
      </c>
      <c r="AS205" s="739">
        <f>ESS_DATA[[#This Row],[ETA On S/O]]-ESS_DATA[[#This Row],[ETD On S/O]]+1</f>
        <v>41</v>
      </c>
      <c r="AT205" s="739"/>
      <c r="AU205" s="750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39">
        <f>IF(ESS_DATA[[#This Row],[New Ark PO Type]]="Offshore",0,IFERROR(VLOOKUP(ESS_DATA[[#This Row],[PORT OF LOADING]]&amp;ESS_DATA[[#This Row],[PORT DESTINATION]],LT_REF[],7,0),14))</f>
        <v>8</v>
      </c>
      <c r="AY205" s="750">
        <f>IFERROR(ESS_DATA[[#This Row],[ODP ETA Port]]+ESS_DATA[[#This Row],[Customs/Leg3 Assumption]],"n/a")</f>
        <v>46352</v>
      </c>
      <c r="AZ205" s="741">
        <f>YEAR(ESS_DATA[[#This Row],[ETA for New Ark update]])</f>
        <v>2026</v>
      </c>
      <c r="BA205" s="741">
        <f>MONTH(ESS_DATA[[#This Row],[ETA for New Ark update]])</f>
        <v>11</v>
      </c>
      <c r="BB205" s="741">
        <f>IFERROR(_xlfn.ISOWEEKNUM(ESS_DATA[[#This Row],[ETA for New Ark update]]),0)</f>
        <v>48</v>
      </c>
      <c r="BC205" s="741" t="str">
        <f>_xlfn.XLOOKUP(ESS_DATA[[#This Row],[PORT DESTINATION]],Table12[PORT DESTINATION],Table12[Cosco Line],,0)</f>
        <v>AEM</v>
      </c>
      <c r="BD205" s="741"/>
      <c r="BE205" s="752"/>
      <c r="BF205" s="752"/>
      <c r="BG205" s="752"/>
      <c r="BH205" s="752"/>
      <c r="BI205" s="752"/>
    </row>
    <row r="206" spans="1:61" s="753" customFormat="1" ht="14.25" customHeight="1">
      <c r="A206" s="738" t="s">
        <v>7984</v>
      </c>
      <c r="B206" s="739" t="s">
        <v>7423</v>
      </c>
      <c r="C206" s="739" t="str">
        <f>IFERROR(LEFT(ESS_DATA[[#This Row],[TCL REFERENCE]],FIND(".",ESS_DATA[[#This Row],[TCL REFERENCE]],1)-1),"Main Line")</f>
        <v>Main Line</v>
      </c>
      <c r="D206" s="739" t="s">
        <v>63</v>
      </c>
      <c r="E206" s="740" t="s">
        <v>64</v>
      </c>
      <c r="F206" s="741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39"/>
      <c r="H206" s="739"/>
      <c r="I206" s="742"/>
      <c r="J206" s="739"/>
      <c r="K206" s="739"/>
      <c r="L206" s="743"/>
      <c r="M206" s="744"/>
      <c r="N206" s="741" t="s">
        <v>7710</v>
      </c>
      <c r="O206" s="741" t="s">
        <v>7438</v>
      </c>
      <c r="P206" s="741" t="s">
        <v>7711</v>
      </c>
      <c r="Q206" s="746"/>
      <c r="R206" s="928">
        <v>3</v>
      </c>
      <c r="S206" s="975"/>
      <c r="T206" s="739"/>
      <c r="U206" s="748">
        <f>ESS_DATA[[#This Row],[QUANTITY]]/304</f>
        <v>9.8684210526315784E-3</v>
      </c>
      <c r="V206" s="749" t="s">
        <v>7666</v>
      </c>
      <c r="W206" s="944" t="s">
        <v>7976</v>
      </c>
      <c r="X206" s="959" t="str">
        <f>IF(AL206&lt;&gt;"","COMPLETED",IF(AI206&lt;&gt;"","IN-TRANSIT",""))</f>
        <v>IN-TRANSIT</v>
      </c>
      <c r="Y206" s="943">
        <v>46288</v>
      </c>
      <c r="Z206" s="750">
        <v>46288</v>
      </c>
      <c r="AA206" s="751">
        <f>WEEKNUM(ESS_DATA[[#This Row],[Pick-Up Date]])</f>
        <v>39</v>
      </c>
      <c r="AB206" s="739" t="s">
        <v>7979</v>
      </c>
      <c r="AC206" s="739"/>
      <c r="AD206" s="739" t="s">
        <v>122</v>
      </c>
      <c r="AE206" s="739" t="s">
        <v>122</v>
      </c>
      <c r="AF206" s="739" t="s">
        <v>78</v>
      </c>
      <c r="AG206" s="750">
        <v>46297</v>
      </c>
      <c r="AH206" s="750">
        <v>46299</v>
      </c>
      <c r="AI206" s="750">
        <v>46299</v>
      </c>
      <c r="AJ206" s="750">
        <v>46337</v>
      </c>
      <c r="AK206" s="750">
        <v>46344</v>
      </c>
      <c r="AL206" s="750"/>
      <c r="AM206" s="740" t="s">
        <v>402</v>
      </c>
      <c r="AN206" s="750" t="s">
        <v>7047</v>
      </c>
      <c r="AO206" s="750" t="s">
        <v>80</v>
      </c>
      <c r="AP206" s="750" t="s">
        <v>7980</v>
      </c>
      <c r="AQ206" s="739" t="s">
        <v>7981</v>
      </c>
      <c r="AR206" s="739" t="s">
        <v>7981</v>
      </c>
      <c r="AS206" s="739">
        <f>ESS_DATA[[#This Row],[ETA On S/O]]-ESS_DATA[[#This Row],[ETD On S/O]]+1</f>
        <v>41</v>
      </c>
      <c r="AT206" s="739"/>
      <c r="AU206" s="750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39">
        <f>IF(ESS_DATA[[#This Row],[New Ark PO Type]]="Offshore",0,IFERROR(VLOOKUP(ESS_DATA[[#This Row],[PORT OF LOADING]]&amp;ESS_DATA[[#This Row],[PORT DESTINATION]],LT_REF[],7,0),14))</f>
        <v>8</v>
      </c>
      <c r="AY206" s="750">
        <f>IFERROR(ESS_DATA[[#This Row],[ODP ETA Port]]+ESS_DATA[[#This Row],[Customs/Leg3 Assumption]],"n/a")</f>
        <v>46352</v>
      </c>
      <c r="AZ206" s="741">
        <f>YEAR(ESS_DATA[[#This Row],[ETA for New Ark update]])</f>
        <v>2026</v>
      </c>
      <c r="BA206" s="741">
        <f>MONTH(ESS_DATA[[#This Row],[ETA for New Ark update]])</f>
        <v>11</v>
      </c>
      <c r="BB206" s="741">
        <f>IFERROR(_xlfn.ISOWEEKNUM(ESS_DATA[[#This Row],[ETA for New Ark update]]),0)</f>
        <v>48</v>
      </c>
      <c r="BC206" s="741" t="str">
        <f>_xlfn.XLOOKUP(ESS_DATA[[#This Row],[PORT DESTINATION]],Table12[PORT DESTINATION],Table12[Cosco Line],,0)</f>
        <v>AEM</v>
      </c>
      <c r="BD206" s="741"/>
      <c r="BE206" s="752"/>
      <c r="BF206" s="752"/>
      <c r="BG206" s="752"/>
      <c r="BH206" s="752"/>
      <c r="BI206" s="752"/>
    </row>
    <row r="207" spans="1:61" s="753" customFormat="1" ht="13.5" customHeight="1">
      <c r="A207" s="738" t="s">
        <v>7985</v>
      </c>
      <c r="B207" s="739" t="s">
        <v>7423</v>
      </c>
      <c r="C207" s="739" t="str">
        <f>IFERROR(LEFT(ESS_DATA[[#This Row],[TCL REFERENCE]],FIND(".",ESS_DATA[[#This Row],[TCL REFERENCE]],1)-1),"Main Line")</f>
        <v>26SEP007</v>
      </c>
      <c r="D207" s="739" t="s">
        <v>63</v>
      </c>
      <c r="E207" s="740" t="s">
        <v>64</v>
      </c>
      <c r="F207" s="741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39"/>
      <c r="H207" s="739"/>
      <c r="I207" s="742"/>
      <c r="J207" s="739"/>
      <c r="K207" s="739"/>
      <c r="L207" s="743"/>
      <c r="M207" s="744"/>
      <c r="N207" s="741" t="s">
        <v>7717</v>
      </c>
      <c r="O207" s="741" t="s">
        <v>7646</v>
      </c>
      <c r="P207" s="741" t="s">
        <v>7718</v>
      </c>
      <c r="Q207" s="746"/>
      <c r="R207" s="957">
        <v>143</v>
      </c>
      <c r="S207" s="975"/>
      <c r="T207" s="739"/>
      <c r="U207" s="748">
        <f>ESS_DATA[[#This Row],[QUANTITY]]/304</f>
        <v>0.47039473684210525</v>
      </c>
      <c r="V207" s="749" t="s">
        <v>7666</v>
      </c>
      <c r="W207" s="944" t="s">
        <v>7976</v>
      </c>
      <c r="X207" s="959" t="str">
        <f t="shared" si="12"/>
        <v>IN-TRANSIT</v>
      </c>
      <c r="Y207" s="943">
        <v>46288</v>
      </c>
      <c r="Z207" s="750">
        <v>46288</v>
      </c>
      <c r="AA207" s="751">
        <f>WEEKNUM(ESS_DATA[[#This Row],[Pick-Up Date]])</f>
        <v>39</v>
      </c>
      <c r="AB207" s="739" t="s">
        <v>7979</v>
      </c>
      <c r="AC207" s="739"/>
      <c r="AD207" s="739" t="s">
        <v>122</v>
      </c>
      <c r="AE207" s="739" t="s">
        <v>122</v>
      </c>
      <c r="AF207" s="739" t="s">
        <v>78</v>
      </c>
      <c r="AG207" s="750">
        <v>46297</v>
      </c>
      <c r="AH207" s="750">
        <v>46299</v>
      </c>
      <c r="AI207" s="750">
        <v>46299</v>
      </c>
      <c r="AJ207" s="750">
        <v>46337</v>
      </c>
      <c r="AK207" s="750">
        <v>46344</v>
      </c>
      <c r="AL207" s="750"/>
      <c r="AM207" s="740" t="s">
        <v>402</v>
      </c>
      <c r="AN207" s="750" t="s">
        <v>7047</v>
      </c>
      <c r="AO207" s="750" t="s">
        <v>80</v>
      </c>
      <c r="AP207" s="750" t="s">
        <v>7980</v>
      </c>
      <c r="AQ207" s="739" t="s">
        <v>7981</v>
      </c>
      <c r="AR207" s="739" t="s">
        <v>7981</v>
      </c>
      <c r="AS207" s="739">
        <f>ESS_DATA[[#This Row],[ETA On S/O]]-ESS_DATA[[#This Row],[ETD On S/O]]+1</f>
        <v>41</v>
      </c>
      <c r="AT207" s="739"/>
      <c r="AU207" s="750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39">
        <f>IF(ESS_DATA[[#This Row],[New Ark PO Type]]="Offshore",0,IFERROR(VLOOKUP(ESS_DATA[[#This Row],[PORT OF LOADING]]&amp;ESS_DATA[[#This Row],[PORT DESTINATION]],LT_REF[],7,0),14))</f>
        <v>8</v>
      </c>
      <c r="AY207" s="750">
        <f>IFERROR(ESS_DATA[[#This Row],[ODP ETA Port]]+ESS_DATA[[#This Row],[Customs/Leg3 Assumption]],"n/a")</f>
        <v>46352</v>
      </c>
      <c r="AZ207" s="741">
        <f>YEAR(ESS_DATA[[#This Row],[ETA for New Ark update]])</f>
        <v>2026</v>
      </c>
      <c r="BA207" s="741">
        <f>MONTH(ESS_DATA[[#This Row],[ETA for New Ark update]])</f>
        <v>11</v>
      </c>
      <c r="BB207" s="741">
        <f>IFERROR(_xlfn.ISOWEEKNUM(ESS_DATA[[#This Row],[ETA for New Ark update]]),0)</f>
        <v>48</v>
      </c>
      <c r="BC207" s="741" t="str">
        <f>_xlfn.XLOOKUP(ESS_DATA[[#This Row],[PORT DESTINATION]],Table12[PORT DESTINATION],Table12[Cosco Line],,0)</f>
        <v>AEM</v>
      </c>
      <c r="BD207" s="741"/>
      <c r="BE207" s="752"/>
      <c r="BF207" s="752"/>
      <c r="BG207" s="752"/>
      <c r="BH207" s="752"/>
      <c r="BI207" s="752"/>
    </row>
    <row r="208" spans="1:61" s="753" customFormat="1" ht="14.25" customHeight="1">
      <c r="A208" s="738" t="s">
        <v>7986</v>
      </c>
      <c r="B208" s="739" t="s">
        <v>7423</v>
      </c>
      <c r="C208" s="739" t="str">
        <f>IFERROR(LEFT(ESS_DATA[[#This Row],[TCL REFERENCE]],FIND(".",ESS_DATA[[#This Row],[TCL REFERENCE]],1)-1),"Main Line")</f>
        <v>Main Line</v>
      </c>
      <c r="D208" s="739" t="s">
        <v>63</v>
      </c>
      <c r="E208" s="740" t="s">
        <v>64</v>
      </c>
      <c r="F208" s="741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39"/>
      <c r="H208" s="739"/>
      <c r="I208" s="742"/>
      <c r="J208" s="739"/>
      <c r="K208" s="739"/>
      <c r="L208" s="743"/>
      <c r="M208" s="744"/>
      <c r="N208" s="741" t="s">
        <v>7717</v>
      </c>
      <c r="O208" s="741" t="s">
        <v>7646</v>
      </c>
      <c r="P208" s="741" t="s">
        <v>7718</v>
      </c>
      <c r="Q208" s="746"/>
      <c r="R208" s="957">
        <v>9</v>
      </c>
      <c r="S208" s="975"/>
      <c r="T208" s="739"/>
      <c r="U208" s="748">
        <f>ESS_DATA[[#This Row],[QUANTITY]]/304</f>
        <v>2.9605263157894735E-2</v>
      </c>
      <c r="V208" s="749" t="s">
        <v>7666</v>
      </c>
      <c r="W208" s="944" t="s">
        <v>7976</v>
      </c>
      <c r="X208" s="959" t="str">
        <f t="shared" si="12"/>
        <v>IN-TRANSIT</v>
      </c>
      <c r="Y208" s="943">
        <v>46288</v>
      </c>
      <c r="Z208" s="750">
        <v>46288</v>
      </c>
      <c r="AA208" s="751">
        <f>WEEKNUM(ESS_DATA[[#This Row],[Pick-Up Date]])</f>
        <v>39</v>
      </c>
      <c r="AB208" s="739" t="s">
        <v>7979</v>
      </c>
      <c r="AC208" s="739"/>
      <c r="AD208" s="739" t="s">
        <v>122</v>
      </c>
      <c r="AE208" s="739" t="s">
        <v>122</v>
      </c>
      <c r="AF208" s="739" t="s">
        <v>78</v>
      </c>
      <c r="AG208" s="750">
        <v>46297</v>
      </c>
      <c r="AH208" s="750">
        <v>46299</v>
      </c>
      <c r="AI208" s="750">
        <v>46299</v>
      </c>
      <c r="AJ208" s="750">
        <v>46337</v>
      </c>
      <c r="AK208" s="750">
        <v>46344</v>
      </c>
      <c r="AL208" s="750"/>
      <c r="AM208" s="740" t="s">
        <v>402</v>
      </c>
      <c r="AN208" s="750" t="s">
        <v>7047</v>
      </c>
      <c r="AO208" s="750" t="s">
        <v>80</v>
      </c>
      <c r="AP208" s="750" t="s">
        <v>7980</v>
      </c>
      <c r="AQ208" s="739" t="s">
        <v>7981</v>
      </c>
      <c r="AR208" s="739" t="s">
        <v>7981</v>
      </c>
      <c r="AS208" s="739">
        <f>ESS_DATA[[#This Row],[ETA On S/O]]-ESS_DATA[[#This Row],[ETD On S/O]]+1</f>
        <v>41</v>
      </c>
      <c r="AT208" s="739"/>
      <c r="AU208" s="750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39">
        <f>IF(ESS_DATA[[#This Row],[New Ark PO Type]]="Offshore",0,IFERROR(VLOOKUP(ESS_DATA[[#This Row],[PORT OF LOADING]]&amp;ESS_DATA[[#This Row],[PORT DESTINATION]],LT_REF[],7,0),14))</f>
        <v>8</v>
      </c>
      <c r="AY208" s="750">
        <f>IFERROR(ESS_DATA[[#This Row],[ODP ETA Port]]+ESS_DATA[[#This Row],[Customs/Leg3 Assumption]],"n/a")</f>
        <v>46352</v>
      </c>
      <c r="AZ208" s="741">
        <f>YEAR(ESS_DATA[[#This Row],[ETA for New Ark update]])</f>
        <v>2026</v>
      </c>
      <c r="BA208" s="741">
        <f>MONTH(ESS_DATA[[#This Row],[ETA for New Ark update]])</f>
        <v>11</v>
      </c>
      <c r="BB208" s="741">
        <f>IFERROR(_xlfn.ISOWEEKNUM(ESS_DATA[[#This Row],[ETA for New Ark update]]),0)</f>
        <v>48</v>
      </c>
      <c r="BC208" s="741" t="str">
        <f>_xlfn.XLOOKUP(ESS_DATA[[#This Row],[PORT DESTINATION]],Table12[PORT DESTINATION],Table12[Cosco Line],,0)</f>
        <v>AEM</v>
      </c>
      <c r="BD208" s="741"/>
      <c r="BE208" s="752"/>
      <c r="BF208" s="752"/>
      <c r="BG208" s="752"/>
      <c r="BH208" s="752"/>
      <c r="BI208" s="752"/>
    </row>
    <row r="209" spans="1:61" s="753" customFormat="1" ht="14.25" customHeight="1">
      <c r="A209" s="738" t="s">
        <v>7987</v>
      </c>
      <c r="B209" s="739" t="s">
        <v>7423</v>
      </c>
      <c r="C209" s="739" t="str">
        <f>IFERROR(LEFT(ESS_DATA[[#This Row],[TCL REFERENCE]],FIND(".",ESS_DATA[[#This Row],[TCL REFERENCE]],1)-1),"Main Line")</f>
        <v>26SEP005</v>
      </c>
      <c r="D209" s="739" t="s">
        <v>63</v>
      </c>
      <c r="E209" s="740" t="s">
        <v>64</v>
      </c>
      <c r="F209" s="741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39"/>
      <c r="H209" s="739"/>
      <c r="I209" s="742"/>
      <c r="J209" s="739"/>
      <c r="K209" s="739"/>
      <c r="L209" s="743"/>
      <c r="M209" s="744"/>
      <c r="N209" s="741" t="s">
        <v>7725</v>
      </c>
      <c r="O209" s="741" t="s">
        <v>7438</v>
      </c>
      <c r="P209" s="741" t="s">
        <v>7726</v>
      </c>
      <c r="Q209" s="746"/>
      <c r="R209" s="957">
        <v>152</v>
      </c>
      <c r="S209" s="975"/>
      <c r="T209" s="739"/>
      <c r="U209" s="748">
        <f>ESS_DATA[[#This Row],[QUANTITY]]/304</f>
        <v>0.5</v>
      </c>
      <c r="V209" s="749" t="s">
        <v>7695</v>
      </c>
      <c r="W209" s="944" t="s">
        <v>7988</v>
      </c>
      <c r="X209" s="959" t="str">
        <f t="shared" si="12"/>
        <v>IN-TRANSIT</v>
      </c>
      <c r="Y209" s="943">
        <v>46294</v>
      </c>
      <c r="Z209" s="750">
        <v>46294</v>
      </c>
      <c r="AA209" s="751">
        <f>WEEKNUM(ESS_DATA[[#This Row],[Pick-Up Date]])</f>
        <v>40</v>
      </c>
      <c r="AB209" s="739" t="s">
        <v>7989</v>
      </c>
      <c r="AC209" s="739"/>
      <c r="AD209" s="739" t="s">
        <v>122</v>
      </c>
      <c r="AE209" s="739" t="s">
        <v>122</v>
      </c>
      <c r="AF209" s="739" t="s">
        <v>78</v>
      </c>
      <c r="AG209" s="750">
        <v>46301</v>
      </c>
      <c r="AH209" s="750">
        <v>46306</v>
      </c>
      <c r="AI209" s="750">
        <v>46306</v>
      </c>
      <c r="AJ209" s="750">
        <v>46344</v>
      </c>
      <c r="AK209" s="750">
        <v>46344</v>
      </c>
      <c r="AL209" s="750"/>
      <c r="AM209" s="740" t="s">
        <v>402</v>
      </c>
      <c r="AN209" s="750" t="s">
        <v>7068</v>
      </c>
      <c r="AO209" s="750" t="s">
        <v>80</v>
      </c>
      <c r="AP209" s="750" t="s">
        <v>7990</v>
      </c>
      <c r="AQ209" s="739" t="s">
        <v>7991</v>
      </c>
      <c r="AR209" s="739" t="s">
        <v>7991</v>
      </c>
      <c r="AS209" s="739">
        <f>ESS_DATA[[#This Row],[ETA On S/O]]-ESS_DATA[[#This Row],[ETD On S/O]]+1</f>
        <v>44</v>
      </c>
      <c r="AT209" s="739"/>
      <c r="AU209" s="750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39">
        <f>IF(ESS_DATA[[#This Row],[New Ark PO Type]]="Offshore",0,IFERROR(VLOOKUP(ESS_DATA[[#This Row],[PORT OF LOADING]]&amp;ESS_DATA[[#This Row],[PORT DESTINATION]],LT_REF[],7,0),14))</f>
        <v>8</v>
      </c>
      <c r="AY209" s="750">
        <f>IFERROR(ESS_DATA[[#This Row],[ODP ETA Port]]+ESS_DATA[[#This Row],[Customs/Leg3 Assumption]],"n/a")</f>
        <v>46352</v>
      </c>
      <c r="AZ209" s="741">
        <f>YEAR(ESS_DATA[[#This Row],[ETA for New Ark update]])</f>
        <v>2026</v>
      </c>
      <c r="BA209" s="741">
        <f>MONTH(ESS_DATA[[#This Row],[ETA for New Ark update]])</f>
        <v>11</v>
      </c>
      <c r="BB209" s="741">
        <f>IFERROR(_xlfn.ISOWEEKNUM(ESS_DATA[[#This Row],[ETA for New Ark update]]),0)</f>
        <v>48</v>
      </c>
      <c r="BC209" s="741" t="str">
        <f>_xlfn.XLOOKUP(ESS_DATA[[#This Row],[PORT DESTINATION]],Table12[PORT DESTINATION],Table12[Cosco Line],,0)</f>
        <v>AEM</v>
      </c>
      <c r="BD209" s="741"/>
      <c r="BE209" s="752"/>
      <c r="BF209" s="752"/>
      <c r="BG209" s="752"/>
      <c r="BH209" s="752"/>
      <c r="BI209" s="752"/>
    </row>
    <row r="210" spans="1:61" s="753" customFormat="1" ht="14.25" customHeight="1">
      <c r="A210" s="738" t="s">
        <v>7992</v>
      </c>
      <c r="B210" s="739" t="s">
        <v>7423</v>
      </c>
      <c r="C210" s="739" t="str">
        <f>IFERROR(LEFT(ESS_DATA[[#This Row],[TCL REFERENCE]],FIND(".",ESS_DATA[[#This Row],[TCL REFERENCE]],1)-1),"Main Line")</f>
        <v>26SEP007</v>
      </c>
      <c r="D210" s="739" t="s">
        <v>63</v>
      </c>
      <c r="E210" s="740" t="s">
        <v>64</v>
      </c>
      <c r="F210" s="741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39"/>
      <c r="H210" s="739"/>
      <c r="I210" s="742"/>
      <c r="J210" s="739"/>
      <c r="K210" s="739"/>
      <c r="L210" s="743"/>
      <c r="M210" s="744"/>
      <c r="N210" s="741" t="s">
        <v>7717</v>
      </c>
      <c r="O210" s="741" t="s">
        <v>7646</v>
      </c>
      <c r="P210" s="741" t="s">
        <v>7718</v>
      </c>
      <c r="Q210" s="746"/>
      <c r="R210" s="957">
        <v>152</v>
      </c>
      <c r="S210" s="975"/>
      <c r="T210" s="739"/>
      <c r="U210" s="748">
        <f>ESS_DATA[[#This Row],[QUANTITY]]/304</f>
        <v>0.5</v>
      </c>
      <c r="V210" s="749" t="s">
        <v>7695</v>
      </c>
      <c r="W210" s="944" t="s">
        <v>7988</v>
      </c>
      <c r="X210" s="959" t="str">
        <f t="shared" si="12"/>
        <v>IN-TRANSIT</v>
      </c>
      <c r="Y210" s="943">
        <v>46294</v>
      </c>
      <c r="Z210" s="750">
        <v>46294</v>
      </c>
      <c r="AA210" s="751">
        <f>WEEKNUM(ESS_DATA[[#This Row],[Pick-Up Date]])</f>
        <v>40</v>
      </c>
      <c r="AB210" s="739" t="s">
        <v>7989</v>
      </c>
      <c r="AC210" s="739"/>
      <c r="AD210" s="739" t="s">
        <v>122</v>
      </c>
      <c r="AE210" s="739" t="s">
        <v>122</v>
      </c>
      <c r="AF210" s="739" t="s">
        <v>78</v>
      </c>
      <c r="AG210" s="750">
        <v>46301</v>
      </c>
      <c r="AH210" s="750">
        <v>46306</v>
      </c>
      <c r="AI210" s="750">
        <v>46306</v>
      </c>
      <c r="AJ210" s="750">
        <v>46344</v>
      </c>
      <c r="AK210" s="750">
        <v>46344</v>
      </c>
      <c r="AL210" s="750"/>
      <c r="AM210" s="740" t="s">
        <v>402</v>
      </c>
      <c r="AN210" s="750" t="s">
        <v>7068</v>
      </c>
      <c r="AO210" s="750" t="s">
        <v>80</v>
      </c>
      <c r="AP210" s="750" t="s">
        <v>7990</v>
      </c>
      <c r="AQ210" s="739" t="s">
        <v>7991</v>
      </c>
      <c r="AR210" s="739" t="s">
        <v>7991</v>
      </c>
      <c r="AS210" s="739">
        <f>ESS_DATA[[#This Row],[ETA On S/O]]-ESS_DATA[[#This Row],[ETD On S/O]]+1</f>
        <v>44</v>
      </c>
      <c r="AT210" s="739"/>
      <c r="AU210" s="750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39">
        <f>IF(ESS_DATA[[#This Row],[New Ark PO Type]]="Offshore",0,IFERROR(VLOOKUP(ESS_DATA[[#This Row],[PORT OF LOADING]]&amp;ESS_DATA[[#This Row],[PORT DESTINATION]],LT_REF[],7,0),14))</f>
        <v>8</v>
      </c>
      <c r="AY210" s="750">
        <f>IFERROR(ESS_DATA[[#This Row],[ODP ETA Port]]+ESS_DATA[[#This Row],[Customs/Leg3 Assumption]],"n/a")</f>
        <v>46352</v>
      </c>
      <c r="AZ210" s="741">
        <f>YEAR(ESS_DATA[[#This Row],[ETA for New Ark update]])</f>
        <v>2026</v>
      </c>
      <c r="BA210" s="741">
        <f>MONTH(ESS_DATA[[#This Row],[ETA for New Ark update]])</f>
        <v>11</v>
      </c>
      <c r="BB210" s="741">
        <f>IFERROR(_xlfn.ISOWEEKNUM(ESS_DATA[[#This Row],[ETA for New Ark update]]),0)</f>
        <v>48</v>
      </c>
      <c r="BC210" s="741" t="str">
        <f>_xlfn.XLOOKUP(ESS_DATA[[#This Row],[PORT DESTINATION]],Table12[PORT DESTINATION],Table12[Cosco Line],,0)</f>
        <v>AEM</v>
      </c>
      <c r="BD210" s="741"/>
      <c r="BE210" s="752"/>
      <c r="BF210" s="752"/>
      <c r="BG210" s="752"/>
      <c r="BH210" s="752"/>
      <c r="BI210" s="752"/>
    </row>
    <row r="211" spans="1:61" s="753" customFormat="1" ht="13.5" customHeight="1">
      <c r="A211" s="738" t="s">
        <v>7993</v>
      </c>
      <c r="B211" s="739" t="s">
        <v>7423</v>
      </c>
      <c r="C211" s="739" t="str">
        <f>IFERROR(LEFT(ESS_DATA[[#This Row],[TCL REFERENCE]],FIND(".",ESS_DATA[[#This Row],[TCL REFERENCE]],1)-1),"Main Line")</f>
        <v>26SEP008</v>
      </c>
      <c r="D211" s="739" t="s">
        <v>63</v>
      </c>
      <c r="E211" s="740" t="s">
        <v>64</v>
      </c>
      <c r="F211" s="741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1" s="739"/>
      <c r="H211" s="739"/>
      <c r="I211" s="742"/>
      <c r="J211" s="739"/>
      <c r="K211" s="739"/>
      <c r="L211" s="743"/>
      <c r="M211" s="744"/>
      <c r="N211" s="745" t="s">
        <v>7460</v>
      </c>
      <c r="O211" s="745" t="s">
        <v>7461</v>
      </c>
      <c r="P211" s="745" t="s">
        <v>7462</v>
      </c>
      <c r="Q211" s="746"/>
      <c r="R211" s="930">
        <v>472</v>
      </c>
      <c r="S211" s="975"/>
      <c r="T211" s="739"/>
      <c r="U211" s="748">
        <f>ESS_DATA[[#This Row],[QUANTITY]]/276</f>
        <v>1.7101449275362319</v>
      </c>
      <c r="V211" s="749" t="s">
        <v>7994</v>
      </c>
      <c r="W211" s="896" t="s">
        <v>7995</v>
      </c>
      <c r="X211" s="741" t="str">
        <f>IF(AL211&lt;&gt;"","COMPLETED",IF(AI211&lt;&gt;"","IN-TRANSIT",""))</f>
        <v>IN-TRANSIT</v>
      </c>
      <c r="Y211" s="895">
        <v>46279</v>
      </c>
      <c r="Z211" s="750">
        <v>46285</v>
      </c>
      <c r="AA211" s="751">
        <f>WEEKNUM(ESS_DATA[[#This Row],[Pick-Up Date]])</f>
        <v>39</v>
      </c>
      <c r="AB211" s="739" t="s">
        <v>7996</v>
      </c>
      <c r="AC211" s="739"/>
      <c r="AD211" s="739" t="s">
        <v>122</v>
      </c>
      <c r="AE211" s="739" t="s">
        <v>122</v>
      </c>
      <c r="AF211" s="896" t="s">
        <v>105</v>
      </c>
      <c r="AG211" s="750">
        <v>46291</v>
      </c>
      <c r="AH211" s="750">
        <v>46298</v>
      </c>
      <c r="AI211" s="750">
        <v>46300</v>
      </c>
      <c r="AJ211" s="750">
        <v>46340</v>
      </c>
      <c r="AK211" s="750">
        <v>46340</v>
      </c>
      <c r="AL211" s="750"/>
      <c r="AM211" s="740" t="s">
        <v>402</v>
      </c>
      <c r="AN211" s="750" t="s">
        <v>7997</v>
      </c>
      <c r="AO211" s="750" t="s">
        <v>161</v>
      </c>
      <c r="AP211" s="750" t="s">
        <v>7998</v>
      </c>
      <c r="AQ211" s="739">
        <v>276584236</v>
      </c>
      <c r="AR211" s="739">
        <v>276584236</v>
      </c>
      <c r="AS211" s="739">
        <f>ESS_DATA[[#This Row],[ETA On S/O]]-ESS_DATA[[#This Row],[ETD On S/O]]+1</f>
        <v>50</v>
      </c>
      <c r="AT211" s="739"/>
      <c r="AU211" s="750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39">
        <f>IF(ESS_DATA[[#This Row],[New Ark PO Type]]="Offshore",0,IFERROR(VLOOKUP(ESS_DATA[[#This Row],[PORT OF LOADING]]&amp;ESS_DATA[[#This Row],[PORT DESTINATION]],LT_REF[],7,0),14))</f>
        <v>7</v>
      </c>
      <c r="AY211" s="750">
        <f>IFERROR(ESS_DATA[[#This Row],[ODP ETA Port]]+ESS_DATA[[#This Row],[Customs/Leg3 Assumption]],"n/a")</f>
        <v>46347</v>
      </c>
      <c r="AZ211" s="741">
        <f>YEAR(ESS_DATA[[#This Row],[ETA for New Ark update]])</f>
        <v>2026</v>
      </c>
      <c r="BA211" s="741">
        <f>MONTH(ESS_DATA[[#This Row],[ETA for New Ark update]])</f>
        <v>11</v>
      </c>
      <c r="BB211" s="741">
        <f>IFERROR(_xlfn.ISOWEEKNUM(ESS_DATA[[#This Row],[ETA for New Ark update]]),0)</f>
        <v>47</v>
      </c>
      <c r="BC211" s="741" t="str">
        <f>_xlfn.XLOOKUP(ESS_DATA[[#This Row],[PORT DESTINATION]],Table12[PORT DESTINATION],Table12[Cosco Line],,0)</f>
        <v>AEU</v>
      </c>
      <c r="BD211" s="741"/>
      <c r="BE211" s="752"/>
      <c r="BF211" s="752"/>
      <c r="BG211" s="752"/>
      <c r="BH211" s="752"/>
      <c r="BI211" s="752"/>
    </row>
    <row r="212" spans="1:61" s="753" customFormat="1" ht="15" customHeight="1">
      <c r="A212" s="738" t="s">
        <v>7999</v>
      </c>
      <c r="B212" s="739" t="s">
        <v>7423</v>
      </c>
      <c r="C212" s="739" t="str">
        <f>IFERROR(LEFT(ESS_DATA[[#This Row],[TCL REFERENCE]],FIND(".",ESS_DATA[[#This Row],[TCL REFERENCE]],1)-1),"Main Line")</f>
        <v>Main Line</v>
      </c>
      <c r="D212" s="739" t="s">
        <v>63</v>
      </c>
      <c r="E212" s="740" t="s">
        <v>64</v>
      </c>
      <c r="F212" s="741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39"/>
      <c r="H212" s="739"/>
      <c r="I212" s="742"/>
      <c r="J212" s="739"/>
      <c r="K212" s="739"/>
      <c r="L212" s="743"/>
      <c r="M212" s="744"/>
      <c r="N212" s="745" t="s">
        <v>7460</v>
      </c>
      <c r="O212" s="745" t="s">
        <v>7461</v>
      </c>
      <c r="P212" s="745" t="s">
        <v>7462</v>
      </c>
      <c r="Q212" s="739"/>
      <c r="R212" s="929">
        <v>80</v>
      </c>
      <c r="S212" s="975"/>
      <c r="T212" s="739"/>
      <c r="U212" s="748">
        <f>ESS_DATA[[#This Row],[QUANTITY]]/276</f>
        <v>0.28985507246376813</v>
      </c>
      <c r="V212" s="749" t="s">
        <v>7994</v>
      </c>
      <c r="W212" s="896" t="s">
        <v>7995</v>
      </c>
      <c r="X212" s="741" t="str">
        <f t="shared" si="8"/>
        <v>IN-TRANSIT</v>
      </c>
      <c r="Y212" s="895">
        <v>46279</v>
      </c>
      <c r="Z212" s="750">
        <v>46285</v>
      </c>
      <c r="AA212" s="751">
        <f>WEEKNUM(ESS_DATA[[#This Row],[Pick-Up Date]])</f>
        <v>39</v>
      </c>
      <c r="AB212" s="739" t="s">
        <v>7996</v>
      </c>
      <c r="AC212" s="739"/>
      <c r="AD212" s="739" t="s">
        <v>122</v>
      </c>
      <c r="AE212" s="739" t="s">
        <v>122</v>
      </c>
      <c r="AF212" s="896" t="s">
        <v>105</v>
      </c>
      <c r="AG212" s="750">
        <v>46291</v>
      </c>
      <c r="AH212" s="750">
        <v>46298</v>
      </c>
      <c r="AI212" s="750">
        <v>46300</v>
      </c>
      <c r="AJ212" s="750">
        <v>46340</v>
      </c>
      <c r="AK212" s="750">
        <v>46340</v>
      </c>
      <c r="AL212" s="750"/>
      <c r="AM212" s="740" t="s">
        <v>402</v>
      </c>
      <c r="AN212" s="750" t="s">
        <v>7997</v>
      </c>
      <c r="AO212" s="750" t="s">
        <v>161</v>
      </c>
      <c r="AP212" s="750" t="s">
        <v>7998</v>
      </c>
      <c r="AQ212" s="739">
        <v>276584236</v>
      </c>
      <c r="AR212" s="739">
        <v>276584236</v>
      </c>
      <c r="AS212" s="739">
        <f>ESS_DATA[[#This Row],[ETA On S/O]]-ESS_DATA[[#This Row],[ETD On S/O]]+1</f>
        <v>50</v>
      </c>
      <c r="AT212" s="739"/>
      <c r="AU212" s="750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39">
        <f>IF(ESS_DATA[[#This Row],[New Ark PO Type]]="Offshore",0,IFERROR(VLOOKUP(ESS_DATA[[#This Row],[PORT OF LOADING]]&amp;ESS_DATA[[#This Row],[PORT DESTINATION]],LT_REF[],7,0),14))</f>
        <v>7</v>
      </c>
      <c r="AY212" s="750">
        <f>IFERROR(ESS_DATA[[#This Row],[ODP ETA Port]]+ESS_DATA[[#This Row],[Customs/Leg3 Assumption]],"n/a")</f>
        <v>46347</v>
      </c>
      <c r="AZ212" s="741">
        <f>YEAR(ESS_DATA[[#This Row],[ETA for New Ark update]])</f>
        <v>2026</v>
      </c>
      <c r="BA212" s="741">
        <f>MONTH(ESS_DATA[[#This Row],[ETA for New Ark update]])</f>
        <v>11</v>
      </c>
      <c r="BB212" s="741">
        <f>IFERROR(_xlfn.ISOWEEKNUM(ESS_DATA[[#This Row],[ETA for New Ark update]]),0)</f>
        <v>47</v>
      </c>
      <c r="BC212" s="741" t="str">
        <f>_xlfn.XLOOKUP(ESS_DATA[[#This Row],[PORT DESTINATION]],Table12[PORT DESTINATION],Table12[Cosco Line],,0)</f>
        <v>AEU</v>
      </c>
      <c r="BD212" s="741"/>
      <c r="BE212" s="752"/>
      <c r="BF212" s="752"/>
      <c r="BG212" s="752"/>
      <c r="BH212" s="752"/>
      <c r="BI212" s="752"/>
    </row>
    <row r="213" spans="1:61" s="753" customFormat="1" ht="15" customHeight="1">
      <c r="A213" s="738" t="s">
        <v>8000</v>
      </c>
      <c r="B213" s="739" t="s">
        <v>7423</v>
      </c>
      <c r="C213" s="739" t="str">
        <f>IFERROR(LEFT(ESS_DATA[[#This Row],[TCL REFERENCE]],FIND(".",ESS_DATA[[#This Row],[TCL REFERENCE]],1)-1),"Main Line")</f>
        <v>26SEP008</v>
      </c>
      <c r="D213" s="739" t="s">
        <v>63</v>
      </c>
      <c r="E213" s="740" t="s">
        <v>64</v>
      </c>
      <c r="F213" s="741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3" s="739"/>
      <c r="H213" s="739"/>
      <c r="I213" s="742"/>
      <c r="J213" s="739"/>
      <c r="K213" s="739"/>
      <c r="L213" s="743"/>
      <c r="M213" s="744"/>
      <c r="N213" s="745" t="s">
        <v>7460</v>
      </c>
      <c r="O213" s="745" t="s">
        <v>7461</v>
      </c>
      <c r="P213" s="745" t="s">
        <v>7462</v>
      </c>
      <c r="Q213" s="739"/>
      <c r="R213" s="957">
        <v>276</v>
      </c>
      <c r="S213" s="975"/>
      <c r="T213" s="739"/>
      <c r="U213" s="748">
        <f>ESS_DATA[[#This Row],[QUANTITY]]/276</f>
        <v>1</v>
      </c>
      <c r="V213" s="749" t="s">
        <v>7791</v>
      </c>
      <c r="W213" s="896" t="s">
        <v>7976</v>
      </c>
      <c r="X213" s="741" t="str">
        <f t="shared" si="8"/>
        <v>IN-TRANSIT</v>
      </c>
      <c r="Y213" s="895">
        <v>46287</v>
      </c>
      <c r="Z213" s="750">
        <v>46287</v>
      </c>
      <c r="AA213" s="751">
        <f>WEEKNUM(ESS_DATA[[#This Row],[Pick-Up Date]])</f>
        <v>39</v>
      </c>
      <c r="AB213" s="739" t="s">
        <v>8001</v>
      </c>
      <c r="AC213" s="739"/>
      <c r="AD213" s="739" t="s">
        <v>122</v>
      </c>
      <c r="AE213" s="739" t="s">
        <v>122</v>
      </c>
      <c r="AF213" s="896" t="s">
        <v>124</v>
      </c>
      <c r="AG213" s="750">
        <v>46300</v>
      </c>
      <c r="AH213" s="750">
        <v>46303</v>
      </c>
      <c r="AI213" s="750">
        <v>46303</v>
      </c>
      <c r="AJ213" s="750">
        <v>46327</v>
      </c>
      <c r="AK213" s="750">
        <v>46328</v>
      </c>
      <c r="AL213" s="750"/>
      <c r="AM213" s="740" t="s">
        <v>402</v>
      </c>
      <c r="AN213" s="750" t="s">
        <v>8002</v>
      </c>
      <c r="AO213" s="750" t="s">
        <v>161</v>
      </c>
      <c r="AP213" s="750" t="s">
        <v>8003</v>
      </c>
      <c r="AQ213" s="739">
        <v>276870378</v>
      </c>
      <c r="AR213" s="739">
        <v>276870378</v>
      </c>
      <c r="AS213" s="739">
        <f>ESS_DATA[[#This Row],[ETA On S/O]]-ESS_DATA[[#This Row],[ETD On S/O]]+1</f>
        <v>28</v>
      </c>
      <c r="AT213" s="739"/>
      <c r="AU213" s="750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2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39">
        <f>IF(ESS_DATA[[#This Row],[New Ark PO Type]]="Offshore",0,IFERROR(VLOOKUP(ESS_DATA[[#This Row],[PORT OF LOADING]]&amp;ESS_DATA[[#This Row],[PORT DESTINATION]],LT_REF[],7,0),14))</f>
        <v>9</v>
      </c>
      <c r="AY213" s="750">
        <f>IFERROR(ESS_DATA[[#This Row],[ODP ETA Port]]+ESS_DATA[[#This Row],[Customs/Leg3 Assumption]],"n/a")</f>
        <v>46337</v>
      </c>
      <c r="AZ213" s="741">
        <f>YEAR(ESS_DATA[[#This Row],[ETA for New Ark update]])</f>
        <v>2026</v>
      </c>
      <c r="BA213" s="741">
        <f>MONTH(ESS_DATA[[#This Row],[ETA for New Ark update]])</f>
        <v>11</v>
      </c>
      <c r="BB213" s="741">
        <f>IFERROR(_xlfn.ISOWEEKNUM(ESS_DATA[[#This Row],[ETA for New Ark update]]),0)</f>
        <v>46</v>
      </c>
      <c r="BC213" s="741" t="str">
        <f>_xlfn.XLOOKUP(ESS_DATA[[#This Row],[PORT DESTINATION]],Table12[PORT DESTINATION],Table12[Cosco Line],,0)</f>
        <v>AEM</v>
      </c>
      <c r="BD213" s="741"/>
      <c r="BE213" s="752"/>
      <c r="BF213" s="752"/>
      <c r="BG213" s="752"/>
      <c r="BH213" s="752"/>
      <c r="BI213" s="752"/>
    </row>
    <row r="214" spans="1:61" s="753" customFormat="1" ht="15" customHeight="1">
      <c r="A214" s="738" t="s">
        <v>7939</v>
      </c>
      <c r="B214" s="739" t="s">
        <v>7423</v>
      </c>
      <c r="C214" s="739" t="str">
        <f>IFERROR(LEFT(ESS_DATA[[#This Row],[TCL REFERENCE]],FIND(".",ESS_DATA[[#This Row],[TCL REFERENCE]],1)-1),"Main Line")</f>
        <v>26SEP008</v>
      </c>
      <c r="D214" s="739" t="s">
        <v>63</v>
      </c>
      <c r="E214" s="740" t="s">
        <v>64</v>
      </c>
      <c r="F214" s="741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4" s="739"/>
      <c r="H214" s="739"/>
      <c r="I214" s="742"/>
      <c r="J214" s="739"/>
      <c r="K214" s="739"/>
      <c r="L214" s="743"/>
      <c r="M214" s="744"/>
      <c r="N214" s="745" t="s">
        <v>7460</v>
      </c>
      <c r="O214" s="745" t="s">
        <v>7461</v>
      </c>
      <c r="P214" s="745" t="s">
        <v>7462</v>
      </c>
      <c r="Q214" s="739"/>
      <c r="R214" s="742">
        <v>276</v>
      </c>
      <c r="S214" s="269"/>
      <c r="T214" s="31"/>
      <c r="U214" s="748">
        <f>ESS_DATA[[#This Row],[QUANTITY]]/276</f>
        <v>1</v>
      </c>
      <c r="V214" s="749" t="s">
        <v>7878</v>
      </c>
      <c r="W214" s="896" t="s">
        <v>7976</v>
      </c>
      <c r="X214" s="741" t="str">
        <f t="shared" si="8"/>
        <v/>
      </c>
      <c r="Y214" s="895">
        <v>46287</v>
      </c>
      <c r="Z214" s="750">
        <v>46289</v>
      </c>
      <c r="AA214" s="751">
        <f>WEEKNUM(ESS_DATA[[#This Row],[Pick-Up Date]])</f>
        <v>39</v>
      </c>
      <c r="AB214" s="1271" t="s">
        <v>8004</v>
      </c>
      <c r="AC214" s="739"/>
      <c r="AD214" s="739" t="s">
        <v>122</v>
      </c>
      <c r="AE214" s="739" t="s">
        <v>122</v>
      </c>
      <c r="AF214" s="739" t="s">
        <v>78</v>
      </c>
      <c r="AG214" s="750">
        <v>46299</v>
      </c>
      <c r="AH214" s="750">
        <v>46316</v>
      </c>
      <c r="AI214" s="750"/>
      <c r="AJ214" s="750">
        <v>46351</v>
      </c>
      <c r="AK214" s="750">
        <v>46351</v>
      </c>
      <c r="AL214" s="750"/>
      <c r="AM214" s="740" t="s">
        <v>402</v>
      </c>
      <c r="AN214" s="750" t="s">
        <v>8005</v>
      </c>
      <c r="AO214" s="750" t="s">
        <v>161</v>
      </c>
      <c r="AP214" s="750" t="s">
        <v>8006</v>
      </c>
      <c r="AQ214" s="739">
        <v>277022399</v>
      </c>
      <c r="AR214" s="739">
        <v>277022399</v>
      </c>
      <c r="AS214" s="739">
        <f>ESS_DATA[[#This Row],[ETA On S/O]]-ESS_DATA[[#This Row],[ETD On S/O]]+1</f>
        <v>53</v>
      </c>
      <c r="AT214" s="739"/>
      <c r="AU214" s="750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46351</v>
      </c>
      <c r="AV214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057" t="str">
        <f>IF(ISERROR(ESS_DATA[[#This Row],[New Ark PO status]]),"",_xlfn.XLOOKUP(ESS_DATA[[#This Row],[SPTN-PVHK New Ark PO'#]],New_Ark_Data[Purchase order Number],New_Ark_Data[Estimated time of arrival],"",0))</f>
        <v/>
      </c>
      <c r="AX214" s="739">
        <f>IF(ESS_DATA[[#This Row],[New Ark PO Type]]="Offshore",0,IFERROR(VLOOKUP(ESS_DATA[[#This Row],[PORT OF LOADING]]&amp;ESS_DATA[[#This Row],[PORT DESTINATION]],LT_REF[],7,0),14))</f>
        <v>8</v>
      </c>
      <c r="AY214" s="30">
        <f>IFERROR(ESS_DATA[[#This Row],[ODP ETA Port]]+ESS_DATA[[#This Row],[Customs/Leg3 Assumption]],"n/a")</f>
        <v>46359</v>
      </c>
      <c r="AZ214" s="82">
        <f>YEAR(ESS_DATA[[#This Row],[ETA for New Ark update]])</f>
        <v>2026</v>
      </c>
      <c r="BA214" s="82">
        <f>MONTH(ESS_DATA[[#This Row],[ETA for New Ark update]])</f>
        <v>12</v>
      </c>
      <c r="BB214" s="82">
        <f>IFERROR(_xlfn.ISOWEEKNUM(ESS_DATA[[#This Row],[ETA for New Ark update]]),0)</f>
        <v>49</v>
      </c>
      <c r="BC214" s="82" t="str">
        <f>_xlfn.XLOOKUP(ESS_DATA[[#This Row],[PORT DESTINATION]],Table12[PORT DESTINATION],Table12[Cosco Line],,0)</f>
        <v>AEM</v>
      </c>
      <c r="BD214" s="82"/>
      <c r="BE214" s="752"/>
      <c r="BF214" s="752"/>
      <c r="BG214" s="752"/>
      <c r="BH214" s="752"/>
      <c r="BI214" s="752"/>
    </row>
    <row r="215" spans="1:61" s="753" customFormat="1" ht="15" customHeight="1">
      <c r="A215" s="738" t="s">
        <v>8007</v>
      </c>
      <c r="B215" s="739" t="s">
        <v>7423</v>
      </c>
      <c r="C215" s="739" t="str">
        <f>IFERROR(LEFT(ESS_DATA[[#This Row],[TCL REFERENCE]],FIND(".",ESS_DATA[[#This Row],[TCL REFERENCE]],1)-1),"Main Line")</f>
        <v>26SEP008</v>
      </c>
      <c r="D215" s="739" t="s">
        <v>63</v>
      </c>
      <c r="E215" s="740" t="s">
        <v>64</v>
      </c>
      <c r="F215" s="741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39"/>
      <c r="H215" s="739"/>
      <c r="I215" s="742"/>
      <c r="J215" s="739"/>
      <c r="K215" s="739"/>
      <c r="L215" s="743"/>
      <c r="M215" s="744"/>
      <c r="N215" s="745" t="s">
        <v>7460</v>
      </c>
      <c r="O215" s="745" t="s">
        <v>7461</v>
      </c>
      <c r="P215" s="745" t="s">
        <v>7462</v>
      </c>
      <c r="Q215" s="739"/>
      <c r="R215" s="957">
        <v>552</v>
      </c>
      <c r="S215" s="975"/>
      <c r="T215" s="739"/>
      <c r="U215" s="748">
        <f>ESS_DATA[[#This Row],[QUANTITY]]/276</f>
        <v>2</v>
      </c>
      <c r="V215" s="749" t="s">
        <v>8008</v>
      </c>
      <c r="W215" s="896" t="s">
        <v>7988</v>
      </c>
      <c r="X215" s="741" t="str">
        <f t="shared" si="8"/>
        <v/>
      </c>
      <c r="Y215" s="895">
        <v>46293</v>
      </c>
      <c r="Z215" s="750">
        <v>46293</v>
      </c>
      <c r="AA215" s="751">
        <f>WEEKNUM(ESS_DATA[[#This Row],[Pick-Up Date]])</f>
        <v>40</v>
      </c>
      <c r="AB215" s="739" t="s">
        <v>8009</v>
      </c>
      <c r="AC215" s="739"/>
      <c r="AD215" s="739" t="s">
        <v>122</v>
      </c>
      <c r="AE215" s="739" t="s">
        <v>122</v>
      </c>
      <c r="AF215" s="739" t="s">
        <v>78</v>
      </c>
      <c r="AG215" s="750">
        <v>46303</v>
      </c>
      <c r="AH215" s="750">
        <v>46311</v>
      </c>
      <c r="AI215" s="750"/>
      <c r="AJ215" s="750">
        <v>46358</v>
      </c>
      <c r="AK215" s="750">
        <v>46351</v>
      </c>
      <c r="AL215" s="750"/>
      <c r="AM215" s="740" t="s">
        <v>402</v>
      </c>
      <c r="AN215" s="750" t="s">
        <v>8010</v>
      </c>
      <c r="AO215" s="750" t="s">
        <v>161</v>
      </c>
      <c r="AP215" s="750" t="s">
        <v>8011</v>
      </c>
      <c r="AQ215" s="739">
        <v>277259035</v>
      </c>
      <c r="AR215" s="739">
        <v>277259035</v>
      </c>
      <c r="AS215" s="739">
        <f>ESS_DATA[[#This Row],[ETA On S/O]]-ESS_DATA[[#This Row],[ETD On S/O]]+1</f>
        <v>56</v>
      </c>
      <c r="AT215" s="739"/>
      <c r="AU215" s="750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46351</v>
      </c>
      <c r="AV2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4" t="str">
        <f>IF(ISERROR(ESS_DATA[[#This Row],[New Ark PO status]]),"",_xlfn.XLOOKUP(ESS_DATA[[#This Row],[SPTN-PVHK New Ark PO'#]],New_Ark_Data[Purchase order Number],New_Ark_Data[Estimated time of arrival],"",0))</f>
        <v/>
      </c>
      <c r="AX215" s="739">
        <f>IF(ESS_DATA[[#This Row],[New Ark PO Type]]="Offshore",0,IFERROR(VLOOKUP(ESS_DATA[[#This Row],[PORT OF LOADING]]&amp;ESS_DATA[[#This Row],[PORT DESTINATION]],LT_REF[],7,0),14))</f>
        <v>8</v>
      </c>
      <c r="AY215" s="750">
        <f>IFERROR(ESS_DATA[[#This Row],[ODP ETA Port]]+ESS_DATA[[#This Row],[Customs/Leg3 Assumption]],"n/a")</f>
        <v>46359</v>
      </c>
      <c r="AZ215" s="741">
        <f>YEAR(ESS_DATA[[#This Row],[ETA for New Ark update]])</f>
        <v>2026</v>
      </c>
      <c r="BA215" s="741">
        <f>MONTH(ESS_DATA[[#This Row],[ETA for New Ark update]])</f>
        <v>12</v>
      </c>
      <c r="BB215" s="741">
        <f>IFERROR(_xlfn.ISOWEEKNUM(ESS_DATA[[#This Row],[ETA for New Ark update]]),0)</f>
        <v>49</v>
      </c>
      <c r="BC215" s="741" t="str">
        <f>_xlfn.XLOOKUP(ESS_DATA[[#This Row],[PORT DESTINATION]],Table12[PORT DESTINATION],Table12[Cosco Line],,0)</f>
        <v>AEM</v>
      </c>
      <c r="BD215" s="741"/>
      <c r="BE215" s="752"/>
      <c r="BF215" s="752"/>
      <c r="BG215" s="752"/>
      <c r="BH215" s="752"/>
      <c r="BI215" s="752"/>
    </row>
    <row r="216" spans="1:61" s="753" customFormat="1" ht="15" customHeight="1">
      <c r="A216" s="738" t="s">
        <v>8012</v>
      </c>
      <c r="B216" s="739" t="s">
        <v>7423</v>
      </c>
      <c r="C216" s="739" t="str">
        <f>IFERROR(LEFT(ESS_DATA[[#This Row],[TCL REFERENCE]],FIND(".",ESS_DATA[[#This Row],[TCL REFERENCE]],1)-1),"Main Line")</f>
        <v>26SEP008</v>
      </c>
      <c r="D216" s="739" t="s">
        <v>63</v>
      </c>
      <c r="E216" s="740" t="s">
        <v>64</v>
      </c>
      <c r="F216" s="741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39"/>
      <c r="H216" s="739"/>
      <c r="I216" s="742"/>
      <c r="J216" s="739"/>
      <c r="K216" s="739"/>
      <c r="L216" s="743"/>
      <c r="M216" s="744"/>
      <c r="N216" s="745" t="s">
        <v>7460</v>
      </c>
      <c r="O216" s="745" t="s">
        <v>7461</v>
      </c>
      <c r="P216" s="745" t="s">
        <v>7462</v>
      </c>
      <c r="Q216" s="739"/>
      <c r="R216" s="957">
        <v>552</v>
      </c>
      <c r="S216" s="975"/>
      <c r="T216" s="739"/>
      <c r="U216" s="748">
        <f>ESS_DATA[[#This Row],[QUANTITY]]/276</f>
        <v>2</v>
      </c>
      <c r="V216" s="749" t="s">
        <v>8013</v>
      </c>
      <c r="W216" s="896" t="s">
        <v>8014</v>
      </c>
      <c r="X216" s="741" t="str">
        <f t="shared" si="8"/>
        <v/>
      </c>
      <c r="Y216" s="895">
        <v>46304</v>
      </c>
      <c r="Z216" s="750"/>
      <c r="AA216" s="751">
        <f>WEEKNUM(ESS_DATA[[#This Row],[Pick-Up Date]])</f>
        <v>0</v>
      </c>
      <c r="AB216" s="739"/>
      <c r="AC216" s="739"/>
      <c r="AD216" s="739" t="s">
        <v>122</v>
      </c>
      <c r="AE216" s="739" t="s">
        <v>122</v>
      </c>
      <c r="AF216" s="739" t="s">
        <v>78</v>
      </c>
      <c r="AG216" s="750">
        <v>46313</v>
      </c>
      <c r="AH216" s="750">
        <v>46316</v>
      </c>
      <c r="AI216" s="750"/>
      <c r="AJ216" s="750">
        <v>46358</v>
      </c>
      <c r="AK216" s="750">
        <v>46351</v>
      </c>
      <c r="AL216" s="750"/>
      <c r="AM216" s="740" t="s">
        <v>402</v>
      </c>
      <c r="AN216" s="750" t="s">
        <v>8005</v>
      </c>
      <c r="AO216" s="750" t="s">
        <v>161</v>
      </c>
      <c r="AP216" s="750" t="s">
        <v>8015</v>
      </c>
      <c r="AQ216" s="739">
        <v>277716563</v>
      </c>
      <c r="AR216" s="739">
        <v>277716563</v>
      </c>
      <c r="AS216" s="739">
        <f>ESS_DATA[[#This Row],[ETA On S/O]]-ESS_DATA[[#This Row],[ETD On S/O]]+1</f>
        <v>46</v>
      </c>
      <c r="AT216" s="739"/>
      <c r="AU216" s="750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46351</v>
      </c>
      <c r="AV2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39">
        <f>IF(ESS_DATA[[#This Row],[New Ark PO Type]]="Offshore",0,IFERROR(VLOOKUP(ESS_DATA[[#This Row],[PORT OF LOADING]]&amp;ESS_DATA[[#This Row],[PORT DESTINATION]],LT_REF[],7,0),14))</f>
        <v>8</v>
      </c>
      <c r="AY216" s="750">
        <f>IFERROR(ESS_DATA[[#This Row],[ODP ETA Port]]+ESS_DATA[[#This Row],[Customs/Leg3 Assumption]],"n/a")</f>
        <v>46359</v>
      </c>
      <c r="AZ216" s="741">
        <f>YEAR(ESS_DATA[[#This Row],[ETA for New Ark update]])</f>
        <v>2026</v>
      </c>
      <c r="BA216" s="741">
        <f>MONTH(ESS_DATA[[#This Row],[ETA for New Ark update]])</f>
        <v>12</v>
      </c>
      <c r="BB216" s="741">
        <f>IFERROR(_xlfn.ISOWEEKNUM(ESS_DATA[[#This Row],[ETA for New Ark update]]),0)</f>
        <v>49</v>
      </c>
      <c r="BC216" s="741" t="str">
        <f>_xlfn.XLOOKUP(ESS_DATA[[#This Row],[PORT DESTINATION]],Table12[PORT DESTINATION],Table12[Cosco Line],,0)</f>
        <v>AEM</v>
      </c>
      <c r="BD216" s="741"/>
      <c r="BE216" s="752"/>
      <c r="BF216" s="752"/>
      <c r="BG216" s="752"/>
      <c r="BH216" s="752"/>
      <c r="BI216" s="752"/>
    </row>
    <row r="217" spans="1:61" s="753" customFormat="1" ht="15.75" customHeight="1">
      <c r="A217" s="738" t="s">
        <v>8016</v>
      </c>
      <c r="B217" s="739" t="s">
        <v>7423</v>
      </c>
      <c r="C217" s="739" t="str">
        <f>IFERROR(LEFT(ESS_DATA[[#This Row],[TCL REFERENCE]],FIND(".",ESS_DATA[[#This Row],[TCL REFERENCE]],1)-1),"Main Line")</f>
        <v>26SEP008</v>
      </c>
      <c r="D217" s="739" t="s">
        <v>63</v>
      </c>
      <c r="E217" s="740" t="s">
        <v>64</v>
      </c>
      <c r="F217" s="741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39"/>
      <c r="H217" s="739"/>
      <c r="I217" s="742"/>
      <c r="J217" s="739"/>
      <c r="K217" s="739"/>
      <c r="L217" s="743"/>
      <c r="M217" s="744"/>
      <c r="N217" s="745" t="s">
        <v>7460</v>
      </c>
      <c r="O217" s="745" t="s">
        <v>7461</v>
      </c>
      <c r="P217" s="747" t="s">
        <v>7462</v>
      </c>
      <c r="Q217" s="739"/>
      <c r="R217" s="958">
        <v>276</v>
      </c>
      <c r="S217" s="975"/>
      <c r="T217" s="739"/>
      <c r="U217" s="748">
        <f>ESS_DATA[[#This Row],[QUANTITY]]/276</f>
        <v>1</v>
      </c>
      <c r="V217" s="749" t="s">
        <v>8017</v>
      </c>
      <c r="W217" s="896" t="s">
        <v>8018</v>
      </c>
      <c r="X217" s="741" t="str">
        <f t="shared" si="8"/>
        <v/>
      </c>
      <c r="Y217" s="895">
        <v>46307</v>
      </c>
      <c r="Z217" s="750"/>
      <c r="AA217" s="751">
        <f>WEEKNUM(ESS_DATA[[#This Row],[Pick-Up Date]])</f>
        <v>0</v>
      </c>
      <c r="AB217" s="739"/>
      <c r="AC217" s="739"/>
      <c r="AD217" s="739" t="s">
        <v>122</v>
      </c>
      <c r="AE217" s="739" t="s">
        <v>122</v>
      </c>
      <c r="AF217" s="739" t="s">
        <v>78</v>
      </c>
      <c r="AG217" s="750">
        <v>46316</v>
      </c>
      <c r="AH217" s="750">
        <v>46329</v>
      </c>
      <c r="AI217" s="750"/>
      <c r="AJ217" s="750">
        <v>46365</v>
      </c>
      <c r="AK217" s="750">
        <v>46365</v>
      </c>
      <c r="AL217" s="750"/>
      <c r="AM217" s="740" t="s">
        <v>402</v>
      </c>
      <c r="AN217" s="750" t="s">
        <v>8019</v>
      </c>
      <c r="AO217" s="750" t="s">
        <v>161</v>
      </c>
      <c r="AP217" s="750" t="s">
        <v>8020</v>
      </c>
      <c r="AQ217" s="739">
        <v>277763518</v>
      </c>
      <c r="AR217" s="739">
        <v>277763518</v>
      </c>
      <c r="AS217" s="739">
        <f>ESS_DATA[[#This Row],[ETA On S/O]]-ESS_DATA[[#This Row],[ETD On S/O]]+1</f>
        <v>50</v>
      </c>
      <c r="AT217" s="739"/>
      <c r="AU217" s="750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39">
        <f>IF(ESS_DATA[[#This Row],[New Ark PO Type]]="Offshore",0,IFERROR(VLOOKUP(ESS_DATA[[#This Row],[PORT OF LOADING]]&amp;ESS_DATA[[#This Row],[PORT DESTINATION]],LT_REF[],7,0),14))</f>
        <v>8</v>
      </c>
      <c r="AY217" s="750">
        <f>IFERROR(ESS_DATA[[#This Row],[ODP ETA Port]]+ESS_DATA[[#This Row],[Customs/Leg3 Assumption]],"n/a")</f>
        <v>46373</v>
      </c>
      <c r="AZ217" s="741">
        <f>YEAR(ESS_DATA[[#This Row],[ETA for New Ark update]])</f>
        <v>2026</v>
      </c>
      <c r="BA217" s="741">
        <f>MONTH(ESS_DATA[[#This Row],[ETA for New Ark update]])</f>
        <v>12</v>
      </c>
      <c r="BB217" s="741">
        <f>IFERROR(_xlfn.ISOWEEKNUM(ESS_DATA[[#This Row],[ETA for New Ark update]]),0)</f>
        <v>51</v>
      </c>
      <c r="BC217" s="741" t="str">
        <f>_xlfn.XLOOKUP(ESS_DATA[[#This Row],[PORT DESTINATION]],Table12[PORT DESTINATION],Table12[Cosco Line],,0)</f>
        <v>AEM</v>
      </c>
      <c r="BD217" s="741"/>
      <c r="BE217" s="752"/>
      <c r="BF217" s="752"/>
      <c r="BG217" s="752"/>
      <c r="BH217" s="752"/>
      <c r="BI217" s="752"/>
    </row>
    <row r="218" spans="1:61" s="613" customFormat="1" ht="15.75" customHeight="1">
      <c r="A218" s="351" t="s">
        <v>7974</v>
      </c>
      <c r="B218" s="340" t="s">
        <v>7913</v>
      </c>
      <c r="C218" s="340" t="str">
        <f>IFERROR(LEFT(ESS_DATA[[#This Row],[TCL REFERENCE]],FIND(".",ESS_DATA[[#This Row],[TCL REFERENCE]],1)-1),"Main Line")</f>
        <v>Main Line</v>
      </c>
      <c r="D218" s="340" t="s">
        <v>63</v>
      </c>
      <c r="E218" s="349" t="s">
        <v>64</v>
      </c>
      <c r="F218" s="343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8" s="340"/>
      <c r="H218" s="340"/>
      <c r="I218" s="344"/>
      <c r="J218" s="340"/>
      <c r="K218" s="340"/>
      <c r="L218" s="341"/>
      <c r="M218" s="342"/>
      <c r="N218" s="349" t="s">
        <v>8021</v>
      </c>
      <c r="O218" s="349" t="s">
        <v>7438</v>
      </c>
      <c r="P218" s="650" t="s">
        <v>8022</v>
      </c>
      <c r="Q218" s="339"/>
      <c r="R218" s="344">
        <v>9</v>
      </c>
      <c r="S218" s="345"/>
      <c r="T218" s="340"/>
      <c r="U218" s="346">
        <f>ESS_DATA[[#This Row],[QUANTITY]]/144</f>
        <v>6.25E-2</v>
      </c>
      <c r="V218" s="612" t="s">
        <v>8023</v>
      </c>
      <c r="W218" s="340" t="s">
        <v>7976</v>
      </c>
      <c r="X218" s="343" t="str">
        <f>IF(AL218&lt;&gt;"","COMPLETED",IF(AI218&lt;&gt;"","IN-TRANSIT",""))</f>
        <v/>
      </c>
      <c r="Y218" s="347">
        <v>46325</v>
      </c>
      <c r="Z218" s="347"/>
      <c r="AA218" s="348">
        <f>WEEKNUM(ESS_DATA[[#This Row],[Pick-Up Date]])</f>
        <v>0</v>
      </c>
      <c r="AB218" s="340"/>
      <c r="AC218" s="340"/>
      <c r="AD218" s="342" t="s">
        <v>288</v>
      </c>
      <c r="AE218" s="342" t="s">
        <v>288</v>
      </c>
      <c r="AF218" s="340" t="s">
        <v>105</v>
      </c>
      <c r="AG218" s="347"/>
      <c r="AH218" s="347"/>
      <c r="AI218" s="347"/>
      <c r="AJ218" s="347"/>
      <c r="AK218" s="347"/>
      <c r="AL218" s="347"/>
      <c r="AM218" s="349" t="s">
        <v>402</v>
      </c>
      <c r="AN218" s="347"/>
      <c r="AO218" s="347"/>
      <c r="AP218" s="347"/>
      <c r="AQ218" s="340"/>
      <c r="AR218" s="340"/>
      <c r="AS218" s="340">
        <f>ESS_DATA[[#This Row],[ETA On S/O]]-ESS_DATA[[#This Row],[ETD On S/O]]+1</f>
        <v>1</v>
      </c>
      <c r="AT218" s="340"/>
      <c r="AU218" s="347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18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272" t="str">
        <f>IF(ISERROR(ESS_DATA[[#This Row],[New Ark PO status]]),"",_xlfn.XLOOKUP(ESS_DATA[[#This Row],[SPTN-PVHK New Ark PO'#]],New_Ark_Data[Purchase order Number],New_Ark_Data[Estimated time of arrival],"",0))</f>
        <v/>
      </c>
      <c r="AX218" s="340">
        <f>IF(ESS_DATA[[#This Row],[New Ark PO Type]]="Offshore",0,IFERROR(VLOOKUP(ESS_DATA[[#This Row],[PORT OF LOADING]]&amp;ESS_DATA[[#This Row],[PORT DESTINATION]],LT_REF[],7,0),14))</f>
        <v>7</v>
      </c>
      <c r="AY218" s="347">
        <f>IFERROR(ESS_DATA[[#This Row],[ODP ETA Port]]+ESS_DATA[[#This Row],[Customs/Leg3 Assumption]],"n/a")</f>
        <v>46346</v>
      </c>
      <c r="AZ218" s="343">
        <f>YEAR(ESS_DATA[[#This Row],[ETA for New Ark update]])</f>
        <v>2026</v>
      </c>
      <c r="BA218" s="343">
        <f>MONTH(ESS_DATA[[#This Row],[ETA for New Ark update]])</f>
        <v>11</v>
      </c>
      <c r="BB218" s="343">
        <f>IFERROR(_xlfn.ISOWEEKNUM(ESS_DATA[[#This Row],[ETA for New Ark update]]),0)</f>
        <v>47</v>
      </c>
      <c r="BC218" s="343" t="str">
        <f>_xlfn.XLOOKUP(ESS_DATA[[#This Row],[PORT DESTINATION]],Table12[PORT DESTINATION],Table12[Cosco Line],,0)</f>
        <v>AEU</v>
      </c>
      <c r="BD218" s="343"/>
      <c r="BE218" s="350"/>
      <c r="BF218" s="350"/>
      <c r="BG218" s="350"/>
      <c r="BH218" s="350"/>
      <c r="BI218" s="350"/>
    </row>
    <row r="219" spans="1:61" s="613" customFormat="1" ht="15.75" customHeight="1">
      <c r="A219" s="351" t="s">
        <v>8024</v>
      </c>
      <c r="B219" s="340" t="s">
        <v>7913</v>
      </c>
      <c r="C219" s="340" t="str">
        <f>IFERROR(LEFT(ESS_DATA[[#This Row],[TCL REFERENCE]],FIND(".",ESS_DATA[[#This Row],[TCL REFERENCE]],1)-1),"Main Line")</f>
        <v>Main Line</v>
      </c>
      <c r="D219" s="340" t="s">
        <v>63</v>
      </c>
      <c r="E219" s="349" t="s">
        <v>64</v>
      </c>
      <c r="F219" s="343" t="str" cm="1">
        <f t="array" ref="F21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9" s="340"/>
      <c r="H219" s="340"/>
      <c r="I219" s="344"/>
      <c r="J219" s="340"/>
      <c r="K219" s="340"/>
      <c r="L219" s="341"/>
      <c r="M219" s="342"/>
      <c r="N219" s="349" t="s">
        <v>8025</v>
      </c>
      <c r="O219" s="349" t="s">
        <v>7438</v>
      </c>
      <c r="P219" s="650" t="s">
        <v>8026</v>
      </c>
      <c r="Q219" s="343"/>
      <c r="R219" s="650">
        <v>18</v>
      </c>
      <c r="S219" s="345"/>
      <c r="T219" s="340"/>
      <c r="U219" s="346">
        <f>ESS_DATA[[#This Row],[QUANTITY]]/144</f>
        <v>0.125</v>
      </c>
      <c r="V219" s="612" t="s">
        <v>8023</v>
      </c>
      <c r="W219" s="340" t="s">
        <v>7976</v>
      </c>
      <c r="X219" s="343" t="str">
        <f>IF(AL219&lt;&gt;"","COMPLETED",IF(AI219&lt;&gt;"","IN-TRANSIT",""))</f>
        <v/>
      </c>
      <c r="Y219" s="347">
        <v>46325</v>
      </c>
      <c r="Z219" s="347"/>
      <c r="AA219" s="348">
        <f>WEEKNUM(ESS_DATA[[#This Row],[Pick-Up Date]])</f>
        <v>0</v>
      </c>
      <c r="AB219" s="340"/>
      <c r="AC219" s="340"/>
      <c r="AD219" s="342" t="s">
        <v>288</v>
      </c>
      <c r="AE219" s="342" t="s">
        <v>288</v>
      </c>
      <c r="AF219" s="340" t="s">
        <v>105</v>
      </c>
      <c r="AG219" s="347"/>
      <c r="AH219" s="347"/>
      <c r="AI219" s="347"/>
      <c r="AJ219" s="347"/>
      <c r="AK219" s="347"/>
      <c r="AL219" s="347"/>
      <c r="AM219" s="349" t="s">
        <v>402</v>
      </c>
      <c r="AN219" s="347"/>
      <c r="AO219" s="347"/>
      <c r="AP219" s="347"/>
      <c r="AQ219" s="340"/>
      <c r="AR219" s="340"/>
      <c r="AS219" s="340">
        <f>ESS_DATA[[#This Row],[ETA On S/O]]-ESS_DATA[[#This Row],[ETD On S/O]]+1</f>
        <v>1</v>
      </c>
      <c r="AT219" s="340"/>
      <c r="AU219" s="347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0">
        <f>IF(ESS_DATA[[#This Row],[New Ark PO Type]]="Offshore",0,IFERROR(VLOOKUP(ESS_DATA[[#This Row],[PORT OF LOADING]]&amp;ESS_DATA[[#This Row],[PORT DESTINATION]],LT_REF[],7,0),14))</f>
        <v>7</v>
      </c>
      <c r="AY219" s="347">
        <f>IFERROR(ESS_DATA[[#This Row],[ODP ETA Port]]+ESS_DATA[[#This Row],[Customs/Leg3 Assumption]],"n/a")</f>
        <v>46346</v>
      </c>
      <c r="AZ219" s="343">
        <f>YEAR(ESS_DATA[[#This Row],[ETA for New Ark update]])</f>
        <v>2026</v>
      </c>
      <c r="BA219" s="343">
        <f>MONTH(ESS_DATA[[#This Row],[ETA for New Ark update]])</f>
        <v>11</v>
      </c>
      <c r="BB219" s="343">
        <f>IFERROR(_xlfn.ISOWEEKNUM(ESS_DATA[[#This Row],[ETA for New Ark update]]),0)</f>
        <v>47</v>
      </c>
      <c r="BC219" s="343" t="str">
        <f>_xlfn.XLOOKUP(ESS_DATA[[#This Row],[PORT DESTINATION]],Table12[PORT DESTINATION],Table12[Cosco Line],,0)</f>
        <v>AEU</v>
      </c>
      <c r="BD219" s="343"/>
      <c r="BE219" s="350"/>
      <c r="BF219" s="350"/>
      <c r="BG219" s="350"/>
      <c r="BH219" s="350"/>
      <c r="BI219" s="350"/>
    </row>
    <row r="220" spans="1:61" s="613" customFormat="1" ht="15.75" customHeight="1">
      <c r="A220" s="351" t="s">
        <v>8027</v>
      </c>
      <c r="B220" s="340" t="s">
        <v>7913</v>
      </c>
      <c r="C220" s="340" t="str">
        <f>IFERROR(LEFT(ESS_DATA[[#This Row],[TCL REFERENCE]],FIND(".",ESS_DATA[[#This Row],[TCL REFERENCE]],1)-1),"Main Line")</f>
        <v>Main Line</v>
      </c>
      <c r="D220" s="340" t="s">
        <v>63</v>
      </c>
      <c r="E220" s="349" t="s">
        <v>64</v>
      </c>
      <c r="F220" s="343" t="str" cm="1">
        <f t="array" ref="F22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0" s="340"/>
      <c r="H220" s="340"/>
      <c r="I220" s="344"/>
      <c r="J220" s="340"/>
      <c r="K220" s="340"/>
      <c r="L220" s="341"/>
      <c r="M220" s="342"/>
      <c r="N220" s="349" t="s">
        <v>8028</v>
      </c>
      <c r="O220" s="349" t="s">
        <v>7438</v>
      </c>
      <c r="P220" s="650" t="s">
        <v>8029</v>
      </c>
      <c r="Q220" s="343"/>
      <c r="R220" s="650">
        <v>18</v>
      </c>
      <c r="S220" s="345"/>
      <c r="T220" s="340"/>
      <c r="U220" s="346">
        <f>ESS_DATA[[#This Row],[QUANTITY]]/144</f>
        <v>0.125</v>
      </c>
      <c r="V220" s="612" t="s">
        <v>8023</v>
      </c>
      <c r="W220" s="340" t="s">
        <v>7976</v>
      </c>
      <c r="X220" s="343" t="str">
        <f t="shared" ref="X220:X226" si="13">IF(AL220&lt;&gt;"","COMPLETED",IF(AI220&lt;&gt;"","IN-TRANSIT",""))</f>
        <v/>
      </c>
      <c r="Y220" s="347">
        <v>46325</v>
      </c>
      <c r="Z220" s="347"/>
      <c r="AA220" s="348">
        <f>WEEKNUM(ESS_DATA[[#This Row],[Pick-Up Date]])</f>
        <v>0</v>
      </c>
      <c r="AB220" s="340"/>
      <c r="AC220" s="340"/>
      <c r="AD220" s="342" t="s">
        <v>288</v>
      </c>
      <c r="AE220" s="342" t="s">
        <v>288</v>
      </c>
      <c r="AF220" s="340" t="s">
        <v>105</v>
      </c>
      <c r="AG220" s="347"/>
      <c r="AH220" s="347"/>
      <c r="AI220" s="347"/>
      <c r="AJ220" s="347"/>
      <c r="AK220" s="347"/>
      <c r="AL220" s="347"/>
      <c r="AM220" s="349" t="s">
        <v>402</v>
      </c>
      <c r="AN220" s="347"/>
      <c r="AO220" s="347"/>
      <c r="AP220" s="347"/>
      <c r="AQ220" s="340"/>
      <c r="AR220" s="340"/>
      <c r="AS220" s="340">
        <f>ESS_DATA[[#This Row],[ETA On S/O]]-ESS_DATA[[#This Row],[ETD On S/O]]+1</f>
        <v>1</v>
      </c>
      <c r="AT220" s="340"/>
      <c r="AU220" s="347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0">
        <f>IF(ESS_DATA[[#This Row],[New Ark PO Type]]="Offshore",0,IFERROR(VLOOKUP(ESS_DATA[[#This Row],[PORT OF LOADING]]&amp;ESS_DATA[[#This Row],[PORT DESTINATION]],LT_REF[],7,0),14))</f>
        <v>7</v>
      </c>
      <c r="AY220" s="347">
        <f>IFERROR(ESS_DATA[[#This Row],[ODP ETA Port]]+ESS_DATA[[#This Row],[Customs/Leg3 Assumption]],"n/a")</f>
        <v>46346</v>
      </c>
      <c r="AZ220" s="343">
        <f>YEAR(ESS_DATA[[#This Row],[ETA for New Ark update]])</f>
        <v>2026</v>
      </c>
      <c r="BA220" s="343">
        <f>MONTH(ESS_DATA[[#This Row],[ETA for New Ark update]])</f>
        <v>11</v>
      </c>
      <c r="BB220" s="343">
        <f>IFERROR(_xlfn.ISOWEEKNUM(ESS_DATA[[#This Row],[ETA for New Ark update]]),0)</f>
        <v>47</v>
      </c>
      <c r="BC220" s="343" t="str">
        <f>_xlfn.XLOOKUP(ESS_DATA[[#This Row],[PORT DESTINATION]],Table12[PORT DESTINATION],Table12[Cosco Line],,0)</f>
        <v>AEU</v>
      </c>
      <c r="BD220" s="343"/>
      <c r="BE220" s="350"/>
      <c r="BF220" s="350"/>
      <c r="BG220" s="350"/>
      <c r="BH220" s="350"/>
      <c r="BI220" s="350"/>
    </row>
    <row r="221" spans="1:61" s="613" customFormat="1" ht="18" customHeight="1">
      <c r="A221" s="351" t="s">
        <v>8030</v>
      </c>
      <c r="B221" s="340" t="s">
        <v>7913</v>
      </c>
      <c r="C221" s="340" t="str">
        <f>IFERROR(LEFT(ESS_DATA[[#This Row],[TCL REFERENCE]],FIND(".",ESS_DATA[[#This Row],[TCL REFERENCE]],1)-1),"Main Line")</f>
        <v>Main Line</v>
      </c>
      <c r="D221" s="340" t="s">
        <v>63</v>
      </c>
      <c r="E221" s="349" t="s">
        <v>64</v>
      </c>
      <c r="F221" s="343" t="str" cm="1">
        <f t="array" ref="F22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1" s="340"/>
      <c r="H221" s="340"/>
      <c r="I221" s="344"/>
      <c r="J221" s="340"/>
      <c r="K221" s="340"/>
      <c r="L221" s="341"/>
      <c r="M221" s="342"/>
      <c r="N221" s="349" t="s">
        <v>8031</v>
      </c>
      <c r="O221" s="349" t="s">
        <v>7924</v>
      </c>
      <c r="P221" s="650" t="s">
        <v>8032</v>
      </c>
      <c r="Q221" s="343"/>
      <c r="R221" s="650">
        <v>60</v>
      </c>
      <c r="S221" s="345"/>
      <c r="T221" s="340"/>
      <c r="U221" s="346">
        <f>ESS_DATA[[#This Row],[QUANTITY]]/144</f>
        <v>0.41666666666666669</v>
      </c>
      <c r="V221" s="612" t="s">
        <v>8023</v>
      </c>
      <c r="W221" s="340" t="s">
        <v>7976</v>
      </c>
      <c r="X221" s="343" t="str">
        <f t="shared" si="13"/>
        <v/>
      </c>
      <c r="Y221" s="347">
        <v>46325</v>
      </c>
      <c r="Z221" s="347"/>
      <c r="AA221" s="348">
        <f>WEEKNUM(ESS_DATA[[#This Row],[Pick-Up Date]])</f>
        <v>0</v>
      </c>
      <c r="AB221" s="340"/>
      <c r="AC221" s="340"/>
      <c r="AD221" s="342" t="s">
        <v>288</v>
      </c>
      <c r="AE221" s="342" t="s">
        <v>288</v>
      </c>
      <c r="AF221" s="340" t="s">
        <v>105</v>
      </c>
      <c r="AG221" s="347"/>
      <c r="AH221" s="347"/>
      <c r="AI221" s="347"/>
      <c r="AJ221" s="347"/>
      <c r="AK221" s="347"/>
      <c r="AL221" s="347"/>
      <c r="AM221" s="349" t="s">
        <v>402</v>
      </c>
      <c r="AN221" s="347"/>
      <c r="AO221" s="347"/>
      <c r="AP221" s="347"/>
      <c r="AQ221" s="340"/>
      <c r="AR221" s="340"/>
      <c r="AS221" s="340">
        <f>ESS_DATA[[#This Row],[ETA On S/O]]-ESS_DATA[[#This Row],[ETD On S/O]]+1</f>
        <v>1</v>
      </c>
      <c r="AT221" s="340"/>
      <c r="AU221" s="347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0">
        <f>IF(ESS_DATA[[#This Row],[New Ark PO Type]]="Offshore",0,IFERROR(VLOOKUP(ESS_DATA[[#This Row],[PORT OF LOADING]]&amp;ESS_DATA[[#This Row],[PORT DESTINATION]],LT_REF[],7,0),14))</f>
        <v>7</v>
      </c>
      <c r="AY221" s="347">
        <f>IFERROR(ESS_DATA[[#This Row],[ODP ETA Port]]+ESS_DATA[[#This Row],[Customs/Leg3 Assumption]],"n/a")</f>
        <v>46346</v>
      </c>
      <c r="AZ221" s="343">
        <f>YEAR(ESS_DATA[[#This Row],[ETA for New Ark update]])</f>
        <v>2026</v>
      </c>
      <c r="BA221" s="343">
        <f>MONTH(ESS_DATA[[#This Row],[ETA for New Ark update]])</f>
        <v>11</v>
      </c>
      <c r="BB221" s="343">
        <f>IFERROR(_xlfn.ISOWEEKNUM(ESS_DATA[[#This Row],[ETA for New Ark update]]),0)</f>
        <v>47</v>
      </c>
      <c r="BC221" s="343" t="str">
        <f>_xlfn.XLOOKUP(ESS_DATA[[#This Row],[PORT DESTINATION]],Table12[PORT DESTINATION],Table12[Cosco Line],,0)</f>
        <v>AEU</v>
      </c>
      <c r="BD221" s="343"/>
      <c r="BE221" s="350"/>
      <c r="BF221" s="350"/>
      <c r="BG221" s="350"/>
      <c r="BH221" s="350"/>
      <c r="BI221" s="350"/>
    </row>
    <row r="222" spans="1:61" s="613" customFormat="1" ht="18.75" customHeight="1">
      <c r="A222" s="351" t="s">
        <v>8033</v>
      </c>
      <c r="B222" s="340" t="s">
        <v>7913</v>
      </c>
      <c r="C222" s="340" t="str">
        <f>IFERROR(LEFT(ESS_DATA[[#This Row],[TCL REFERENCE]],FIND(".",ESS_DATA[[#This Row],[TCL REFERENCE]],1)-1),"Main Line")</f>
        <v>Main Line</v>
      </c>
      <c r="D222" s="340" t="s">
        <v>63</v>
      </c>
      <c r="E222" s="349" t="s">
        <v>64</v>
      </c>
      <c r="F222" s="343" t="str" cm="1">
        <f t="array" ref="F22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2" s="340"/>
      <c r="H222" s="340"/>
      <c r="I222" s="344"/>
      <c r="J222" s="340"/>
      <c r="K222" s="340"/>
      <c r="L222" s="341"/>
      <c r="M222" s="342"/>
      <c r="N222" s="349" t="s">
        <v>8034</v>
      </c>
      <c r="O222" s="349" t="s">
        <v>8035</v>
      </c>
      <c r="P222" s="666" t="s">
        <v>8036</v>
      </c>
      <c r="Q222" s="339"/>
      <c r="R222" s="650">
        <v>24</v>
      </c>
      <c r="S222" s="345"/>
      <c r="T222" s="340"/>
      <c r="U222" s="346">
        <f>ESS_DATA[[#This Row],[QUANTITY]]/144</f>
        <v>0.16666666666666666</v>
      </c>
      <c r="V222" s="612" t="s">
        <v>8023</v>
      </c>
      <c r="W222" s="340" t="s">
        <v>7976</v>
      </c>
      <c r="X222" s="343" t="str">
        <f t="shared" si="13"/>
        <v/>
      </c>
      <c r="Y222" s="347">
        <v>46325</v>
      </c>
      <c r="Z222" s="347"/>
      <c r="AA222" s="348">
        <f>WEEKNUM(ESS_DATA[[#This Row],[Pick-Up Date]])</f>
        <v>0</v>
      </c>
      <c r="AB222" s="340"/>
      <c r="AC222" s="340"/>
      <c r="AD222" s="342" t="s">
        <v>288</v>
      </c>
      <c r="AE222" s="342" t="s">
        <v>288</v>
      </c>
      <c r="AF222" s="340" t="s">
        <v>105</v>
      </c>
      <c r="AG222" s="347"/>
      <c r="AH222" s="347"/>
      <c r="AI222" s="347"/>
      <c r="AJ222" s="347"/>
      <c r="AK222" s="347"/>
      <c r="AL222" s="347"/>
      <c r="AM222" s="349" t="s">
        <v>402</v>
      </c>
      <c r="AN222" s="347"/>
      <c r="AO222" s="347"/>
      <c r="AP222" s="347"/>
      <c r="AQ222" s="340"/>
      <c r="AR222" s="340"/>
      <c r="AS222" s="340">
        <f>ESS_DATA[[#This Row],[ETA On S/O]]-ESS_DATA[[#This Row],[ETD On S/O]]+1</f>
        <v>1</v>
      </c>
      <c r="AT222" s="340"/>
      <c r="AU222" s="347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0">
        <f>IF(ESS_DATA[[#This Row],[New Ark PO Type]]="Offshore",0,IFERROR(VLOOKUP(ESS_DATA[[#This Row],[PORT OF LOADING]]&amp;ESS_DATA[[#This Row],[PORT DESTINATION]],LT_REF[],7,0),14))</f>
        <v>7</v>
      </c>
      <c r="AY222" s="347">
        <f>IFERROR(ESS_DATA[[#This Row],[ODP ETA Port]]+ESS_DATA[[#This Row],[Customs/Leg3 Assumption]],"n/a")</f>
        <v>46346</v>
      </c>
      <c r="AZ222" s="343">
        <f>YEAR(ESS_DATA[[#This Row],[ETA for New Ark update]])</f>
        <v>2026</v>
      </c>
      <c r="BA222" s="343">
        <f>MONTH(ESS_DATA[[#This Row],[ETA for New Ark update]])</f>
        <v>11</v>
      </c>
      <c r="BB222" s="343">
        <f>IFERROR(_xlfn.ISOWEEKNUM(ESS_DATA[[#This Row],[ETA for New Ark update]]),0)</f>
        <v>47</v>
      </c>
      <c r="BC222" s="343" t="str">
        <f>_xlfn.XLOOKUP(ESS_DATA[[#This Row],[PORT DESTINATION]],Table12[PORT DESTINATION],Table12[Cosco Line],,0)</f>
        <v>AEU</v>
      </c>
      <c r="BD222" s="343"/>
      <c r="BE222" s="350"/>
      <c r="BF222" s="350"/>
      <c r="BG222" s="350"/>
      <c r="BH222" s="350"/>
      <c r="BI222" s="350"/>
    </row>
    <row r="223" spans="1:61" s="613" customFormat="1" ht="18.75" customHeight="1">
      <c r="A223" s="351" t="s">
        <v>8037</v>
      </c>
      <c r="B223" s="340" t="s">
        <v>8038</v>
      </c>
      <c r="C223" s="340" t="str">
        <f>IFERROR(LEFT(ESS_DATA[[#This Row],[TCL REFERENCE]],FIND(".",ESS_DATA[[#This Row],[TCL REFERENCE]],1)-1),"Main Line")</f>
        <v>Main Line</v>
      </c>
      <c r="D223" s="340" t="s">
        <v>63</v>
      </c>
      <c r="E223" s="349" t="s">
        <v>64</v>
      </c>
      <c r="F223" s="343" t="str" cm="1">
        <f t="array" ref="F22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3" s="340"/>
      <c r="H223" s="340"/>
      <c r="I223" s="344"/>
      <c r="J223" s="340"/>
      <c r="K223" s="340"/>
      <c r="L223" s="341"/>
      <c r="M223" s="342"/>
      <c r="N223" s="343" t="s">
        <v>8039</v>
      </c>
      <c r="O223" s="652" t="s">
        <v>8040</v>
      </c>
      <c r="P223" s="339" t="s">
        <v>8041</v>
      </c>
      <c r="Q223" s="1293"/>
      <c r="R223" s="1260">
        <v>15</v>
      </c>
      <c r="S223" s="345"/>
      <c r="T223" s="340"/>
      <c r="U223" s="346">
        <f>ESS_DATA[[#This Row],[QUANTITY]]/144</f>
        <v>0.10416666666666667</v>
      </c>
      <c r="V223" s="612" t="s">
        <v>8023</v>
      </c>
      <c r="W223" s="340" t="s">
        <v>7976</v>
      </c>
      <c r="X223" s="343" t="str">
        <f>IF(AL223&lt;&gt;"","COMPLETED",IF(AI223&lt;&gt;"","IN-TRANSIT",""))</f>
        <v/>
      </c>
      <c r="Y223" s="347">
        <v>46290</v>
      </c>
      <c r="Z223" s="347"/>
      <c r="AA223" s="348">
        <f>WEEKNUM(ESS_DATA[[#This Row],[Pick-Up Date]])</f>
        <v>0</v>
      </c>
      <c r="AB223" s="340"/>
      <c r="AC223" s="340"/>
      <c r="AD223" s="342" t="s">
        <v>288</v>
      </c>
      <c r="AE223" s="342" t="s">
        <v>288</v>
      </c>
      <c r="AF223" s="340" t="s">
        <v>105</v>
      </c>
      <c r="AG223" s="347"/>
      <c r="AH223" s="347"/>
      <c r="AI223" s="347"/>
      <c r="AJ223" s="347"/>
      <c r="AK223" s="347"/>
      <c r="AL223" s="347"/>
      <c r="AM223" s="349" t="s">
        <v>402</v>
      </c>
      <c r="AN223" s="347"/>
      <c r="AO223" s="347"/>
      <c r="AP223" s="347"/>
      <c r="AQ223" s="340"/>
      <c r="AR223" s="340"/>
      <c r="AS223" s="340">
        <f>ESS_DATA[[#This Row],[ETA On S/O]]-ESS_DATA[[#This Row],[ETD On S/O]]+1</f>
        <v>1</v>
      </c>
      <c r="AT223" s="340"/>
      <c r="AU223" s="347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3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272" t="str">
        <f>IF(ISERROR(ESS_DATA[[#This Row],[New Ark PO status]]),"",_xlfn.XLOOKUP(ESS_DATA[[#This Row],[SPTN-PVHK New Ark PO'#]],New_Ark_Data[Purchase order Number],New_Ark_Data[Estimated time of arrival],"",0))</f>
        <v/>
      </c>
      <c r="AX223" s="340">
        <f>IF(ESS_DATA[[#This Row],[New Ark PO Type]]="Offshore",0,IFERROR(VLOOKUP(ESS_DATA[[#This Row],[PORT OF LOADING]]&amp;ESS_DATA[[#This Row],[PORT DESTINATION]],LT_REF[],7,0),14))</f>
        <v>7</v>
      </c>
      <c r="AY223" s="347">
        <f>IFERROR(ESS_DATA[[#This Row],[ODP ETA Port]]+ESS_DATA[[#This Row],[Customs/Leg3 Assumption]],"n/a")</f>
        <v>46346</v>
      </c>
      <c r="AZ223" s="343">
        <f>YEAR(ESS_DATA[[#This Row],[ETA for New Ark update]])</f>
        <v>2026</v>
      </c>
      <c r="BA223" s="343">
        <f>MONTH(ESS_DATA[[#This Row],[ETA for New Ark update]])</f>
        <v>11</v>
      </c>
      <c r="BB223" s="343">
        <f>IFERROR(_xlfn.ISOWEEKNUM(ESS_DATA[[#This Row],[ETA for New Ark update]]),0)</f>
        <v>47</v>
      </c>
      <c r="BC223" s="343" t="str">
        <f>_xlfn.XLOOKUP(ESS_DATA[[#This Row],[PORT DESTINATION]],Table12[PORT DESTINATION],Table12[Cosco Line],,0)</f>
        <v>AEU</v>
      </c>
      <c r="BD223" s="343"/>
      <c r="BE223" s="350"/>
      <c r="BF223" s="350"/>
      <c r="BG223" s="350"/>
      <c r="BH223" s="350"/>
      <c r="BI223" s="350"/>
    </row>
    <row r="224" spans="1:61" s="1164" customFormat="1" ht="18.75" customHeight="1">
      <c r="A224" s="1145" t="s">
        <v>8042</v>
      </c>
      <c r="B224" s="1146" t="s">
        <v>8038</v>
      </c>
      <c r="C224" s="1146" t="str">
        <f>IFERROR(LEFT(ESS_DATA[[#This Row],[TCL REFERENCE]],FIND(".",ESS_DATA[[#This Row],[TCL REFERENCE]],1)-1),"Main Line")</f>
        <v>Main Line</v>
      </c>
      <c r="D224" s="1147" t="s">
        <v>68</v>
      </c>
      <c r="E224" s="1147" t="s">
        <v>68</v>
      </c>
      <c r="F224" s="1147" t="s">
        <v>68</v>
      </c>
      <c r="G224" s="1146"/>
      <c r="H224" s="1146" t="s">
        <v>7628</v>
      </c>
      <c r="I224" s="1148"/>
      <c r="J224" s="1146"/>
      <c r="K224" s="1146"/>
      <c r="L224" s="1149"/>
      <c r="M224" s="1150"/>
      <c r="N224" s="1151" t="s">
        <v>7914</v>
      </c>
      <c r="O224" s="1151" t="s">
        <v>7915</v>
      </c>
      <c r="P224" s="1152" t="s">
        <v>8029</v>
      </c>
      <c r="Q224" s="1294"/>
      <c r="R224" s="1289">
        <v>54</v>
      </c>
      <c r="S224" s="269"/>
      <c r="T224" s="31"/>
      <c r="U224" s="1156">
        <f>ESS_DATA[[#This Row],[QUANTITY]]/124</f>
        <v>0.43548387096774194</v>
      </c>
      <c r="V224" s="1157" t="s">
        <v>8043</v>
      </c>
      <c r="W224" s="1146" t="s">
        <v>8044</v>
      </c>
      <c r="X224" s="1158" t="str">
        <f t="shared" si="13"/>
        <v>COMPLETED</v>
      </c>
      <c r="Y224" s="1159">
        <v>46263</v>
      </c>
      <c r="Z224" s="1159">
        <v>46275</v>
      </c>
      <c r="AA224" s="1160">
        <f>WEEKNUM(ESS_DATA[[#This Row],[Pick-Up Date]])</f>
        <v>37</v>
      </c>
      <c r="AB224" s="1146" t="s">
        <v>7287</v>
      </c>
      <c r="AC224" s="31"/>
      <c r="AD224" s="1150" t="s">
        <v>288</v>
      </c>
      <c r="AE224" s="1150" t="s">
        <v>7631</v>
      </c>
      <c r="AF224" s="1161" t="s">
        <v>7076</v>
      </c>
      <c r="AG224" s="1159">
        <v>46278</v>
      </c>
      <c r="AH224" s="1159">
        <v>46277</v>
      </c>
      <c r="AI224" s="1159">
        <v>46278</v>
      </c>
      <c r="AJ224" s="1159">
        <v>46282</v>
      </c>
      <c r="AK224" s="1159">
        <v>46285</v>
      </c>
      <c r="AL224" s="1159">
        <v>46285</v>
      </c>
      <c r="AM224" s="1162" t="s">
        <v>402</v>
      </c>
      <c r="AN224" s="1159" t="s">
        <v>8045</v>
      </c>
      <c r="AO224" s="1159" t="s">
        <v>161</v>
      </c>
      <c r="AP224" s="1159" t="s">
        <v>8046</v>
      </c>
      <c r="AQ224" s="1146" t="s">
        <v>8047</v>
      </c>
      <c r="AR224" s="1146" t="s">
        <v>8047</v>
      </c>
      <c r="AS224" s="1146">
        <f>ESS_DATA[[#This Row],[ETA On S/O]]-ESS_DATA[[#This Row],[ETD On S/O]]+1</f>
        <v>5</v>
      </c>
      <c r="AT224" s="1146"/>
      <c r="AU224" s="1159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4" s="115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159" t="str">
        <f>IF(ISERROR(ESS_DATA[[#This Row],[New Ark PO status]]),"",_xlfn.XLOOKUP(ESS_DATA[[#This Row],[SPTN-PVHK New Ark PO'#]],New_Ark_Data[Purchase order Number],New_Ark_Data[Estimated time of arrival],"",0))</f>
        <v/>
      </c>
      <c r="AX224" s="1146">
        <f>IF(ESS_DATA[[#This Row],[New Ark PO Type]]="Offshore",0,IFERROR(VLOOKUP(ESS_DATA[[#This Row],[PORT OF LOADING]]&amp;ESS_DATA[[#This Row],[PORT DESTINATION]],LT_REF[],7,0),14))</f>
        <v>14</v>
      </c>
      <c r="AY224" s="1159">
        <f>IFERROR(ESS_DATA[[#This Row],[ODP ETA Port]]+ESS_DATA[[#This Row],[Customs/Leg3 Assumption]],"n/a")</f>
        <v>46299</v>
      </c>
      <c r="AZ224" s="1158">
        <f>YEAR(ESS_DATA[[#This Row],[ETA for New Ark update]])</f>
        <v>2026</v>
      </c>
      <c r="BA224" s="1158">
        <f>MONTH(ESS_DATA[[#This Row],[ETA for New Ark update]])</f>
        <v>10</v>
      </c>
      <c r="BB224" s="1158">
        <f>IFERROR(_xlfn.ISOWEEKNUM(ESS_DATA[[#This Row],[ETA for New Ark update]]),0)</f>
        <v>40</v>
      </c>
      <c r="BC224" s="1158" t="str">
        <f>_xlfn.XLOOKUP(ESS_DATA[[#This Row],[PORT DESTINATION]],Table12[PORT DESTINATION],Table12[Cosco Line],,0)</f>
        <v>n/a</v>
      </c>
      <c r="BD224" s="1158"/>
      <c r="BE224" s="1163"/>
      <c r="BF224" s="1163"/>
      <c r="BG224" s="1163"/>
      <c r="BH224" s="1163"/>
      <c r="BI224" s="1163"/>
    </row>
    <row r="225" spans="1:61" s="1164" customFormat="1" ht="19.5" customHeight="1">
      <c r="A225" s="1145" t="s">
        <v>8048</v>
      </c>
      <c r="B225" s="1146" t="s">
        <v>8038</v>
      </c>
      <c r="C225" s="1146" t="str">
        <f>IFERROR(LEFT(ESS_DATA[[#This Row],[TCL REFERENCE]],FIND(".",ESS_DATA[[#This Row],[TCL REFERENCE]],1)-1),"Main Line")</f>
        <v>Main Line</v>
      </c>
      <c r="D225" s="1147" t="s">
        <v>68</v>
      </c>
      <c r="E225" s="1147" t="s">
        <v>68</v>
      </c>
      <c r="F225" s="1147" t="s">
        <v>68</v>
      </c>
      <c r="G225" s="1146"/>
      <c r="H225" s="1146" t="s">
        <v>7628</v>
      </c>
      <c r="I225" s="1148"/>
      <c r="J225" s="1146"/>
      <c r="K225" s="1146"/>
      <c r="L225" s="1149"/>
      <c r="M225" s="1150"/>
      <c r="N225" s="1152" t="s">
        <v>7923</v>
      </c>
      <c r="O225" s="1151" t="s">
        <v>7924</v>
      </c>
      <c r="P225" s="1153" t="s">
        <v>8032</v>
      </c>
      <c r="Q225" s="1294"/>
      <c r="R225" s="1290">
        <v>54</v>
      </c>
      <c r="S225" s="269"/>
      <c r="T225" s="31"/>
      <c r="U225" s="1156">
        <f>ESS_DATA[[#This Row],[QUANTITY]]/124</f>
        <v>0.43548387096774194</v>
      </c>
      <c r="V225" s="1157" t="s">
        <v>8043</v>
      </c>
      <c r="W225" s="1146" t="s">
        <v>8044</v>
      </c>
      <c r="X225" s="1158" t="str">
        <f t="shared" si="13"/>
        <v>COMPLETED</v>
      </c>
      <c r="Y225" s="1159">
        <v>46263</v>
      </c>
      <c r="Z225" s="1159">
        <v>46275</v>
      </c>
      <c r="AA225" s="1160">
        <f>WEEKNUM(ESS_DATA[[#This Row],[Pick-Up Date]])</f>
        <v>37</v>
      </c>
      <c r="AB225" s="1146" t="s">
        <v>7287</v>
      </c>
      <c r="AC225" s="31"/>
      <c r="AD225" s="1150" t="s">
        <v>288</v>
      </c>
      <c r="AE225" s="1150" t="s">
        <v>7631</v>
      </c>
      <c r="AF225" s="1161" t="s">
        <v>7076</v>
      </c>
      <c r="AG225" s="1159">
        <v>46278</v>
      </c>
      <c r="AH225" s="1159">
        <v>46277</v>
      </c>
      <c r="AI225" s="1159">
        <v>46278</v>
      </c>
      <c r="AJ225" s="1159">
        <v>46282</v>
      </c>
      <c r="AK225" s="1159">
        <v>46285</v>
      </c>
      <c r="AL225" s="1159">
        <v>46285</v>
      </c>
      <c r="AM225" s="1162" t="s">
        <v>402</v>
      </c>
      <c r="AN225" s="1159" t="s">
        <v>8045</v>
      </c>
      <c r="AO225" s="1159" t="s">
        <v>161</v>
      </c>
      <c r="AP225" s="1159" t="s">
        <v>8046</v>
      </c>
      <c r="AQ225" s="1146" t="s">
        <v>8047</v>
      </c>
      <c r="AR225" s="1146" t="s">
        <v>8047</v>
      </c>
      <c r="AS225" s="1146">
        <f>ESS_DATA[[#This Row],[ETA On S/O]]-ESS_DATA[[#This Row],[ETD On S/O]]+1</f>
        <v>5</v>
      </c>
      <c r="AT225" s="1146"/>
      <c r="AU225" s="1159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5" s="115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159" t="str">
        <f>IF(ISERROR(ESS_DATA[[#This Row],[New Ark PO status]]),"",_xlfn.XLOOKUP(ESS_DATA[[#This Row],[SPTN-PVHK New Ark PO'#]],New_Ark_Data[Purchase order Number],New_Ark_Data[Estimated time of arrival],"",0))</f>
        <v/>
      </c>
      <c r="AX225" s="1146">
        <f>IF(ESS_DATA[[#This Row],[New Ark PO Type]]="Offshore",0,IFERROR(VLOOKUP(ESS_DATA[[#This Row],[PORT OF LOADING]]&amp;ESS_DATA[[#This Row],[PORT DESTINATION]],LT_REF[],7,0),14))</f>
        <v>14</v>
      </c>
      <c r="AY225" s="1159">
        <f>IFERROR(ESS_DATA[[#This Row],[ODP ETA Port]]+ESS_DATA[[#This Row],[Customs/Leg3 Assumption]],"n/a")</f>
        <v>46299</v>
      </c>
      <c r="AZ225" s="1158">
        <f>YEAR(ESS_DATA[[#This Row],[ETA for New Ark update]])</f>
        <v>2026</v>
      </c>
      <c r="BA225" s="1158">
        <f>MONTH(ESS_DATA[[#This Row],[ETA for New Ark update]])</f>
        <v>10</v>
      </c>
      <c r="BB225" s="1158">
        <f>IFERROR(_xlfn.ISOWEEKNUM(ESS_DATA[[#This Row],[ETA for New Ark update]]),0)</f>
        <v>40</v>
      </c>
      <c r="BC225" s="1158" t="str">
        <f>_xlfn.XLOOKUP(ESS_DATA[[#This Row],[PORT DESTINATION]],Table12[PORT DESTINATION],Table12[Cosco Line],,0)</f>
        <v>n/a</v>
      </c>
      <c r="BD225" s="1158"/>
      <c r="BE225" s="1163"/>
      <c r="BF225" s="1163"/>
      <c r="BG225" s="1163"/>
      <c r="BH225" s="1163"/>
      <c r="BI225" s="1163"/>
    </row>
    <row r="226" spans="1:61" s="1164" customFormat="1" ht="19.5" customHeight="1">
      <c r="A226" s="1145" t="s">
        <v>8049</v>
      </c>
      <c r="B226" s="1146" t="s">
        <v>8038</v>
      </c>
      <c r="C226" s="1146" t="str">
        <f>IFERROR(LEFT(ESS_DATA[[#This Row],[TCL REFERENCE]],FIND(".",ESS_DATA[[#This Row],[TCL REFERENCE]],1)-1),"Main Line")</f>
        <v>Main Line</v>
      </c>
      <c r="D226" s="1147" t="s">
        <v>68</v>
      </c>
      <c r="E226" s="1147" t="s">
        <v>68</v>
      </c>
      <c r="F226" s="1147" t="s">
        <v>68</v>
      </c>
      <c r="G226" s="1146"/>
      <c r="H226" s="1146" t="s">
        <v>7628</v>
      </c>
      <c r="I226" s="1148"/>
      <c r="J226" s="1146"/>
      <c r="K226" s="1146"/>
      <c r="L226" s="1149"/>
      <c r="M226" s="1150"/>
      <c r="N226" s="1152" t="s">
        <v>7927</v>
      </c>
      <c r="O226" s="1151" t="s">
        <v>7928</v>
      </c>
      <c r="P226" s="1153" t="s">
        <v>8036</v>
      </c>
      <c r="Q226" s="1294"/>
      <c r="R226" s="1290">
        <v>16</v>
      </c>
      <c r="S226" s="269"/>
      <c r="T226" s="31"/>
      <c r="U226" s="1156">
        <f>ESS_DATA[[#This Row],[QUANTITY]]/124</f>
        <v>0.12903225806451613</v>
      </c>
      <c r="V226" s="1157" t="s">
        <v>8043</v>
      </c>
      <c r="W226" s="1146" t="s">
        <v>8044</v>
      </c>
      <c r="X226" s="1158" t="str">
        <f t="shared" si="13"/>
        <v>COMPLETED</v>
      </c>
      <c r="Y226" s="1159">
        <v>46263</v>
      </c>
      <c r="Z226" s="1159">
        <v>46275</v>
      </c>
      <c r="AA226" s="1160">
        <f>WEEKNUM(ESS_DATA[[#This Row],[Pick-Up Date]])</f>
        <v>37</v>
      </c>
      <c r="AB226" s="1146" t="s">
        <v>7287</v>
      </c>
      <c r="AC226" s="31"/>
      <c r="AD226" s="1150" t="s">
        <v>288</v>
      </c>
      <c r="AE226" s="1150" t="s">
        <v>7631</v>
      </c>
      <c r="AF226" s="1161" t="s">
        <v>7076</v>
      </c>
      <c r="AG226" s="1159">
        <v>46278</v>
      </c>
      <c r="AH226" s="1159">
        <v>46277</v>
      </c>
      <c r="AI226" s="1159">
        <v>46278</v>
      </c>
      <c r="AJ226" s="1159">
        <v>46282</v>
      </c>
      <c r="AK226" s="1159">
        <v>46285</v>
      </c>
      <c r="AL226" s="1159">
        <v>46285</v>
      </c>
      <c r="AM226" s="1162" t="s">
        <v>402</v>
      </c>
      <c r="AN226" s="1159" t="s">
        <v>8045</v>
      </c>
      <c r="AO226" s="1159" t="s">
        <v>161</v>
      </c>
      <c r="AP226" s="1159" t="s">
        <v>8046</v>
      </c>
      <c r="AQ226" s="1146" t="s">
        <v>8047</v>
      </c>
      <c r="AR226" s="1146" t="s">
        <v>8047</v>
      </c>
      <c r="AS226" s="1146">
        <f>ESS_DATA[[#This Row],[ETA On S/O]]-ESS_DATA[[#This Row],[ETD On S/O]]+1</f>
        <v>5</v>
      </c>
      <c r="AT226" s="1146"/>
      <c r="AU226" s="1159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6" s="115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159" t="str">
        <f>IF(ISERROR(ESS_DATA[[#This Row],[New Ark PO status]]),"",_xlfn.XLOOKUP(ESS_DATA[[#This Row],[SPTN-PVHK New Ark PO'#]],New_Ark_Data[Purchase order Number],New_Ark_Data[Estimated time of arrival],"",0))</f>
        <v/>
      </c>
      <c r="AX226" s="1146">
        <f>IF(ESS_DATA[[#This Row],[New Ark PO Type]]="Offshore",0,IFERROR(VLOOKUP(ESS_DATA[[#This Row],[PORT OF LOADING]]&amp;ESS_DATA[[#This Row],[PORT DESTINATION]],LT_REF[],7,0),14))</f>
        <v>14</v>
      </c>
      <c r="AY226" s="1159">
        <f>IFERROR(ESS_DATA[[#This Row],[ODP ETA Port]]+ESS_DATA[[#This Row],[Customs/Leg3 Assumption]],"n/a")</f>
        <v>46299</v>
      </c>
      <c r="AZ226" s="1158">
        <f>YEAR(ESS_DATA[[#This Row],[ETA for New Ark update]])</f>
        <v>2026</v>
      </c>
      <c r="BA226" s="1158">
        <f>MONTH(ESS_DATA[[#This Row],[ETA for New Ark update]])</f>
        <v>10</v>
      </c>
      <c r="BB226" s="1158">
        <f>IFERROR(_xlfn.ISOWEEKNUM(ESS_DATA[[#This Row],[ETA for New Ark update]]),0)</f>
        <v>40</v>
      </c>
      <c r="BC226" s="1158" t="str">
        <f>_xlfn.XLOOKUP(ESS_DATA[[#This Row],[PORT DESTINATION]],Table12[PORT DESTINATION],Table12[Cosco Line],,0)</f>
        <v>n/a</v>
      </c>
      <c r="BD226" s="1158"/>
      <c r="BE226" s="1163"/>
      <c r="BF226" s="1163"/>
      <c r="BG226" s="1163"/>
      <c r="BH226" s="1163"/>
      <c r="BI226" s="1163"/>
    </row>
    <row r="227" spans="1:61" s="1143" customFormat="1" ht="19.5" customHeight="1">
      <c r="A227" s="311" t="s">
        <v>8050</v>
      </c>
      <c r="B227" s="313" t="s">
        <v>8051</v>
      </c>
      <c r="C227" s="313" t="str">
        <f>IFERROR(LEFT(ESS_DATA[[#This Row],[TCL REFERENCE]],FIND(".",ESS_DATA[[#This Row],[TCL REFERENCE]],1)-1),"Main Line")</f>
        <v>Main Line</v>
      </c>
      <c r="D227" s="1217" t="s">
        <v>68</v>
      </c>
      <c r="E227" s="1217" t="s">
        <v>68</v>
      </c>
      <c r="F227" s="1217" t="s">
        <v>68</v>
      </c>
      <c r="G227" s="313"/>
      <c r="H227" s="316" t="s">
        <v>7628</v>
      </c>
      <c r="I227" s="1165"/>
      <c r="J227" s="313"/>
      <c r="K227" s="313"/>
      <c r="L227" s="314"/>
      <c r="M227" s="315"/>
      <c r="N227" s="1166" t="s">
        <v>8052</v>
      </c>
      <c r="O227" s="322" t="s">
        <v>7438</v>
      </c>
      <c r="P227" s="1295" t="s">
        <v>8053</v>
      </c>
      <c r="Q227" s="1291"/>
      <c r="R227" s="317">
        <v>84</v>
      </c>
      <c r="S227" s="269"/>
      <c r="T227" s="31"/>
      <c r="U227" s="324">
        <f>ESS_DATA[[#This Row],[QUANTITY]]/200</f>
        <v>0.42</v>
      </c>
      <c r="V227" s="408" t="s">
        <v>8054</v>
      </c>
      <c r="W227" s="313" t="s">
        <v>8055</v>
      </c>
      <c r="X227" s="316" t="str">
        <f t="shared" ref="X227:X242" si="14">IF(AL227&lt;&gt;"","COMPLETED",IF(AI227&lt;&gt;"","IN-TRANSIT",""))</f>
        <v/>
      </c>
      <c r="Y227" s="320">
        <v>46324</v>
      </c>
      <c r="Z227" s="320"/>
      <c r="AA227" s="321">
        <f>WEEKNUM(ESS_DATA[[#This Row],[Pick-Up Date]])</f>
        <v>0</v>
      </c>
      <c r="AB227" s="313"/>
      <c r="AC227" s="31"/>
      <c r="AD227" s="313" t="s">
        <v>122</v>
      </c>
      <c r="AE227" s="313" t="s">
        <v>122</v>
      </c>
      <c r="AF227" s="313"/>
      <c r="AG227" s="320"/>
      <c r="AH227" s="320"/>
      <c r="AI227" s="320"/>
      <c r="AJ227" s="320"/>
      <c r="AK227" s="320"/>
      <c r="AL227" s="320"/>
      <c r="AM227" s="322"/>
      <c r="AN227" s="320"/>
      <c r="AO227" s="320"/>
      <c r="AP227" s="320"/>
      <c r="AQ227" s="313"/>
      <c r="AR227" s="313"/>
      <c r="AS227" s="313">
        <f>ESS_DATA[[#This Row],[ETA On S/O]]-ESS_DATA[[#This Row],[ETD On S/O]]+1</f>
        <v>1</v>
      </c>
      <c r="AT227" s="313"/>
      <c r="AU227" s="320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218" t="str">
        <f>IF(ISERROR(ESS_DATA[[#This Row],[New Ark PO status]]),"",_xlfn.XLOOKUP(ESS_DATA[[#This Row],[SPTN-PVHK New Ark PO'#]],New_Ark_Data[Purchase order Number],New_Ark_Data[Estimated time of arrival],"",0))</f>
        <v/>
      </c>
      <c r="AX227" s="313">
        <f>IF(ESS_DATA[[#This Row],[New Ark PO Type]]="Offshore",0,IFERROR(VLOOKUP(ESS_DATA[[#This Row],[PORT OF LOADING]]&amp;ESS_DATA[[#This Row],[PORT DESTINATION]],LT_REF[],7,0),14))</f>
        <v>14</v>
      </c>
      <c r="AY227" s="320">
        <f>IFERROR(ESS_DATA[[#This Row],[ODP ETA Port]]+ESS_DATA[[#This Row],[Customs/Leg3 Assumption]],"n/a")</f>
        <v>14</v>
      </c>
      <c r="AZ227" s="316">
        <f>YEAR(ESS_DATA[[#This Row],[ETA for New Ark update]])</f>
        <v>1900</v>
      </c>
      <c r="BA227" s="316">
        <f>MONTH(ESS_DATA[[#This Row],[ETA for New Ark update]])</f>
        <v>1</v>
      </c>
      <c r="BB227" s="316">
        <f>IFERROR(_xlfn.ISOWEEKNUM(ESS_DATA[[#This Row],[ETA for New Ark update]]),0)</f>
        <v>2</v>
      </c>
      <c r="BC227" s="316">
        <f>_xlfn.XLOOKUP(ESS_DATA[[#This Row],[PORT DESTINATION]],Table12[PORT DESTINATION],Table12[Cosco Line],,0)</f>
        <v>0</v>
      </c>
      <c r="BD227" s="316"/>
      <c r="BE227" s="323"/>
      <c r="BF227" s="323"/>
      <c r="BG227" s="323"/>
      <c r="BH227" s="323"/>
      <c r="BI227" s="323"/>
    </row>
    <row r="228" spans="1:61" s="1143" customFormat="1" ht="19.5" customHeight="1">
      <c r="A228" s="311" t="s">
        <v>8056</v>
      </c>
      <c r="B228" s="313" t="s">
        <v>8051</v>
      </c>
      <c r="C228" s="313" t="str">
        <f>IFERROR(LEFT(ESS_DATA[[#This Row],[TCL REFERENCE]],FIND(".",ESS_DATA[[#This Row],[TCL REFERENCE]],1)-1),"Main Line")</f>
        <v>Main Line</v>
      </c>
      <c r="D228" s="1217" t="s">
        <v>68</v>
      </c>
      <c r="E228" s="1217" t="s">
        <v>68</v>
      </c>
      <c r="F228" s="1217" t="s">
        <v>68</v>
      </c>
      <c r="G228" s="313"/>
      <c r="H228" s="316" t="s">
        <v>7628</v>
      </c>
      <c r="I228" s="1165"/>
      <c r="J228" s="313"/>
      <c r="K228" s="313"/>
      <c r="L228" s="314"/>
      <c r="M228" s="315"/>
      <c r="N228" s="1166" t="s">
        <v>8057</v>
      </c>
      <c r="O228" s="322" t="s">
        <v>7438</v>
      </c>
      <c r="P228" s="1166" t="s">
        <v>8058</v>
      </c>
      <c r="Q228" s="312"/>
      <c r="R228" s="376">
        <v>16</v>
      </c>
      <c r="S228" s="269"/>
      <c r="T228" s="31"/>
      <c r="U228" s="324">
        <f>ESS_DATA[[#This Row],[QUANTITY]]/200</f>
        <v>0.08</v>
      </c>
      <c r="V228" s="408" t="s">
        <v>8054</v>
      </c>
      <c r="W228" s="313" t="s">
        <v>8055</v>
      </c>
      <c r="X228" s="316" t="str">
        <f t="shared" si="14"/>
        <v/>
      </c>
      <c r="Y228" s="320">
        <v>46324</v>
      </c>
      <c r="Z228" s="320"/>
      <c r="AA228" s="321">
        <f>WEEKNUM(ESS_DATA[[#This Row],[Pick-Up Date]])</f>
        <v>0</v>
      </c>
      <c r="AB228" s="313"/>
      <c r="AC228" s="31"/>
      <c r="AD228" s="313" t="s">
        <v>122</v>
      </c>
      <c r="AE228" s="313" t="s">
        <v>122</v>
      </c>
      <c r="AF228" s="313"/>
      <c r="AG228" s="320"/>
      <c r="AH228" s="320"/>
      <c r="AI228" s="320"/>
      <c r="AJ228" s="320"/>
      <c r="AK228" s="320"/>
      <c r="AL228" s="320"/>
      <c r="AM228" s="322"/>
      <c r="AN228" s="320"/>
      <c r="AO228" s="320"/>
      <c r="AP228" s="320"/>
      <c r="AQ228" s="313"/>
      <c r="AR228" s="313"/>
      <c r="AS228" s="313">
        <f>ESS_DATA[[#This Row],[ETA On S/O]]-ESS_DATA[[#This Row],[ETD On S/O]]+1</f>
        <v>1</v>
      </c>
      <c r="AT228" s="313"/>
      <c r="AU228" s="320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218" t="str">
        <f>IF(ISERROR(ESS_DATA[[#This Row],[New Ark PO status]]),"",_xlfn.XLOOKUP(ESS_DATA[[#This Row],[SPTN-PVHK New Ark PO'#]],New_Ark_Data[Purchase order Number],New_Ark_Data[Estimated time of arrival],"",0))</f>
        <v/>
      </c>
      <c r="AX228" s="313">
        <f>IF(ESS_DATA[[#This Row],[New Ark PO Type]]="Offshore",0,IFERROR(VLOOKUP(ESS_DATA[[#This Row],[PORT OF LOADING]]&amp;ESS_DATA[[#This Row],[PORT DESTINATION]],LT_REF[],7,0),14))</f>
        <v>14</v>
      </c>
      <c r="AY228" s="320">
        <f>IFERROR(ESS_DATA[[#This Row],[ODP ETA Port]]+ESS_DATA[[#This Row],[Customs/Leg3 Assumption]],"n/a")</f>
        <v>14</v>
      </c>
      <c r="AZ228" s="316">
        <f>YEAR(ESS_DATA[[#This Row],[ETA for New Ark update]])</f>
        <v>1900</v>
      </c>
      <c r="BA228" s="316">
        <f>MONTH(ESS_DATA[[#This Row],[ETA for New Ark update]])</f>
        <v>1</v>
      </c>
      <c r="BB228" s="316">
        <f>IFERROR(_xlfn.ISOWEEKNUM(ESS_DATA[[#This Row],[ETA for New Ark update]]),0)</f>
        <v>2</v>
      </c>
      <c r="BC228" s="316">
        <f>_xlfn.XLOOKUP(ESS_DATA[[#This Row],[PORT DESTINATION]],Table12[PORT DESTINATION],Table12[Cosco Line],,0)</f>
        <v>0</v>
      </c>
      <c r="BD228" s="316"/>
      <c r="BE228" s="323"/>
      <c r="BF228" s="323"/>
      <c r="BG228" s="323"/>
      <c r="BH228" s="323"/>
      <c r="BI228" s="323"/>
    </row>
    <row r="229" spans="1:61" s="1143" customFormat="1" ht="19.5" customHeight="1">
      <c r="A229" s="311" t="s">
        <v>8059</v>
      </c>
      <c r="B229" s="313" t="s">
        <v>8051</v>
      </c>
      <c r="C229" s="313" t="str">
        <f>IFERROR(LEFT(ESS_DATA[[#This Row],[TCL REFERENCE]],FIND(".",ESS_DATA[[#This Row],[TCL REFERENCE]],1)-1),"Main Line")</f>
        <v>Main Line</v>
      </c>
      <c r="D229" s="1217" t="s">
        <v>68</v>
      </c>
      <c r="E229" s="1217" t="s">
        <v>68</v>
      </c>
      <c r="F229" s="1217" t="s">
        <v>68</v>
      </c>
      <c r="G229" s="313"/>
      <c r="H229" s="316" t="s">
        <v>7628</v>
      </c>
      <c r="I229" s="1165"/>
      <c r="J229" s="313"/>
      <c r="K229" s="313"/>
      <c r="L229" s="314"/>
      <c r="M229" s="315"/>
      <c r="N229" s="1166" t="s">
        <v>8060</v>
      </c>
      <c r="O229" s="322" t="s">
        <v>7461</v>
      </c>
      <c r="P229" s="1166" t="s">
        <v>8061</v>
      </c>
      <c r="Q229" s="312"/>
      <c r="R229" s="376">
        <v>99</v>
      </c>
      <c r="S229" s="269"/>
      <c r="T229" s="31"/>
      <c r="U229" s="324">
        <f>ESS_DATA[[#This Row],[QUANTITY]]/200</f>
        <v>0.495</v>
      </c>
      <c r="V229" s="408" t="s">
        <v>8054</v>
      </c>
      <c r="W229" s="313" t="s">
        <v>8055</v>
      </c>
      <c r="X229" s="316" t="str">
        <f t="shared" si="14"/>
        <v/>
      </c>
      <c r="Y229" s="320">
        <v>46324</v>
      </c>
      <c r="Z229" s="320"/>
      <c r="AA229" s="321">
        <f>WEEKNUM(ESS_DATA[[#This Row],[Pick-Up Date]])</f>
        <v>0</v>
      </c>
      <c r="AB229" s="313"/>
      <c r="AC229" s="31"/>
      <c r="AD229" s="313" t="s">
        <v>122</v>
      </c>
      <c r="AE229" s="313" t="s">
        <v>122</v>
      </c>
      <c r="AF229" s="313"/>
      <c r="AG229" s="320"/>
      <c r="AH229" s="320"/>
      <c r="AI229" s="320"/>
      <c r="AJ229" s="320"/>
      <c r="AK229" s="320"/>
      <c r="AL229" s="320"/>
      <c r="AM229" s="322"/>
      <c r="AN229" s="320"/>
      <c r="AO229" s="320"/>
      <c r="AP229" s="320"/>
      <c r="AQ229" s="313"/>
      <c r="AR229" s="313"/>
      <c r="AS229" s="313">
        <f>ESS_DATA[[#This Row],[ETA On S/O]]-ESS_DATA[[#This Row],[ETD On S/O]]+1</f>
        <v>1</v>
      </c>
      <c r="AT229" s="313"/>
      <c r="AU229" s="320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218" t="str">
        <f>IF(ISERROR(ESS_DATA[[#This Row],[New Ark PO status]]),"",_xlfn.XLOOKUP(ESS_DATA[[#This Row],[SPTN-PVHK New Ark PO'#]],New_Ark_Data[Purchase order Number],New_Ark_Data[Estimated time of arrival],"",0))</f>
        <v/>
      </c>
      <c r="AX229" s="313">
        <f>IF(ESS_DATA[[#This Row],[New Ark PO Type]]="Offshore",0,IFERROR(VLOOKUP(ESS_DATA[[#This Row],[PORT OF LOADING]]&amp;ESS_DATA[[#This Row],[PORT DESTINATION]],LT_REF[],7,0),14))</f>
        <v>14</v>
      </c>
      <c r="AY229" s="320">
        <f>IFERROR(ESS_DATA[[#This Row],[ODP ETA Port]]+ESS_DATA[[#This Row],[Customs/Leg3 Assumption]],"n/a")</f>
        <v>14</v>
      </c>
      <c r="AZ229" s="316">
        <f>YEAR(ESS_DATA[[#This Row],[ETA for New Ark update]])</f>
        <v>1900</v>
      </c>
      <c r="BA229" s="316">
        <f>MONTH(ESS_DATA[[#This Row],[ETA for New Ark update]])</f>
        <v>1</v>
      </c>
      <c r="BB229" s="316">
        <f>IFERROR(_xlfn.ISOWEEKNUM(ESS_DATA[[#This Row],[ETA for New Ark update]]),0)</f>
        <v>2</v>
      </c>
      <c r="BC229" s="316">
        <f>_xlfn.XLOOKUP(ESS_DATA[[#This Row],[PORT DESTINATION]],Table12[PORT DESTINATION],Table12[Cosco Line],,0)</f>
        <v>0</v>
      </c>
      <c r="BD229" s="316"/>
      <c r="BE229" s="323"/>
      <c r="BF229" s="323"/>
      <c r="BG229" s="323"/>
      <c r="BH229" s="323"/>
      <c r="BI229" s="323"/>
    </row>
    <row r="230" spans="1:61" s="1143" customFormat="1" ht="19.5" customHeight="1">
      <c r="A230" s="311" t="s">
        <v>8062</v>
      </c>
      <c r="B230" s="313" t="s">
        <v>8051</v>
      </c>
      <c r="C230" s="313" t="str">
        <f>IFERROR(LEFT(ESS_DATA[[#This Row],[TCL REFERENCE]],FIND(".",ESS_DATA[[#This Row],[TCL REFERENCE]],1)-1),"Main Line")</f>
        <v>Main Line</v>
      </c>
      <c r="D230" s="1217" t="s">
        <v>68</v>
      </c>
      <c r="E230" s="1217" t="s">
        <v>68</v>
      </c>
      <c r="F230" s="1217" t="s">
        <v>68</v>
      </c>
      <c r="G230" s="313"/>
      <c r="H230" s="312" t="s">
        <v>7628</v>
      </c>
      <c r="I230" s="1165"/>
      <c r="J230" s="313"/>
      <c r="K230" s="313"/>
      <c r="L230" s="314"/>
      <c r="M230" s="315"/>
      <c r="N230" s="1166" t="s">
        <v>8060</v>
      </c>
      <c r="O230" s="322" t="s">
        <v>7461</v>
      </c>
      <c r="P230" s="1166" t="s">
        <v>8061</v>
      </c>
      <c r="Q230" s="312"/>
      <c r="R230" s="317">
        <v>1</v>
      </c>
      <c r="S230" s="269"/>
      <c r="T230" s="31"/>
      <c r="U230" s="324">
        <f>ESS_DATA[[#This Row],[QUANTITY]]/200</f>
        <v>5.0000000000000001E-3</v>
      </c>
      <c r="V230" s="408" t="s">
        <v>8054</v>
      </c>
      <c r="W230" s="313" t="s">
        <v>8055</v>
      </c>
      <c r="X230" s="316" t="str">
        <f t="shared" si="14"/>
        <v/>
      </c>
      <c r="Y230" s="320">
        <v>46324</v>
      </c>
      <c r="Z230" s="320"/>
      <c r="AA230" s="321">
        <f>WEEKNUM(ESS_DATA[[#This Row],[Pick-Up Date]])</f>
        <v>0</v>
      </c>
      <c r="AB230" s="313"/>
      <c r="AC230" s="31"/>
      <c r="AD230" s="313" t="s">
        <v>122</v>
      </c>
      <c r="AE230" s="313" t="s">
        <v>122</v>
      </c>
      <c r="AF230" s="313"/>
      <c r="AG230" s="320"/>
      <c r="AH230" s="320"/>
      <c r="AI230" s="320"/>
      <c r="AJ230" s="320"/>
      <c r="AK230" s="320"/>
      <c r="AL230" s="320"/>
      <c r="AM230" s="322"/>
      <c r="AN230" s="320"/>
      <c r="AO230" s="320"/>
      <c r="AP230" s="320"/>
      <c r="AQ230" s="313"/>
      <c r="AR230" s="313"/>
      <c r="AS230" s="313">
        <f>ESS_DATA[[#This Row],[ETA On S/O]]-ESS_DATA[[#This Row],[ETD On S/O]]+1</f>
        <v>1</v>
      </c>
      <c r="AT230" s="313"/>
      <c r="AU230" s="320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218" t="str">
        <f>IF(ISERROR(ESS_DATA[[#This Row],[New Ark PO status]]),"",_xlfn.XLOOKUP(ESS_DATA[[#This Row],[SPTN-PVHK New Ark PO'#]],New_Ark_Data[Purchase order Number],New_Ark_Data[Estimated time of arrival],"",0))</f>
        <v/>
      </c>
      <c r="AX230" s="313">
        <f>IF(ESS_DATA[[#This Row],[New Ark PO Type]]="Offshore",0,IFERROR(VLOOKUP(ESS_DATA[[#This Row],[PORT OF LOADING]]&amp;ESS_DATA[[#This Row],[PORT DESTINATION]],LT_REF[],7,0),14))</f>
        <v>14</v>
      </c>
      <c r="AY230" s="320">
        <f>IFERROR(ESS_DATA[[#This Row],[ODP ETA Port]]+ESS_DATA[[#This Row],[Customs/Leg3 Assumption]],"n/a")</f>
        <v>14</v>
      </c>
      <c r="AZ230" s="316">
        <f>YEAR(ESS_DATA[[#This Row],[ETA for New Ark update]])</f>
        <v>1900</v>
      </c>
      <c r="BA230" s="316">
        <f>MONTH(ESS_DATA[[#This Row],[ETA for New Ark update]])</f>
        <v>1</v>
      </c>
      <c r="BB230" s="316">
        <f>IFERROR(_xlfn.ISOWEEKNUM(ESS_DATA[[#This Row],[ETA for New Ark update]]),0)</f>
        <v>2</v>
      </c>
      <c r="BC230" s="316">
        <f>_xlfn.XLOOKUP(ESS_DATA[[#This Row],[PORT DESTINATION]],Table12[PORT DESTINATION],Table12[Cosco Line],,0)</f>
        <v>0</v>
      </c>
      <c r="BD230" s="316"/>
      <c r="BE230" s="323"/>
      <c r="BF230" s="323"/>
      <c r="BG230" s="323"/>
      <c r="BH230" s="323"/>
      <c r="BI230" s="323"/>
    </row>
    <row r="231" spans="1:61" s="1164" customFormat="1" ht="16.5" customHeight="1">
      <c r="A231" s="1145" t="s">
        <v>8063</v>
      </c>
      <c r="B231" s="1146" t="s">
        <v>7913</v>
      </c>
      <c r="C231" s="1146" t="str">
        <f>IFERROR(LEFT(ESS_DATA[[#This Row],[TCL REFERENCE]],FIND(".",ESS_DATA[[#This Row],[TCL REFERENCE]],1)-1),"Main Line")</f>
        <v>Main Line</v>
      </c>
      <c r="D231" s="1250" t="s">
        <v>68</v>
      </c>
      <c r="E231" s="1147" t="s">
        <v>68</v>
      </c>
      <c r="F231" s="1147" t="s">
        <v>68</v>
      </c>
      <c r="G231" s="1146"/>
      <c r="H231" s="1158" t="s">
        <v>7628</v>
      </c>
      <c r="I231" s="1251"/>
      <c r="J231" s="1146"/>
      <c r="K231" s="1146"/>
      <c r="L231" s="1149"/>
      <c r="M231" s="1150"/>
      <c r="N231" s="1158" t="s">
        <v>8064</v>
      </c>
      <c r="O231" s="1162" t="s">
        <v>8065</v>
      </c>
      <c r="P231" s="1146" t="s">
        <v>8066</v>
      </c>
      <c r="Q231" s="1154"/>
      <c r="R231" s="1148">
        <v>8</v>
      </c>
      <c r="S231" s="1252"/>
      <c r="T231" s="1146"/>
      <c r="U231" s="1156">
        <f>ESS_DATA[[#This Row],[QUANTITY]]/8</f>
        <v>1</v>
      </c>
      <c r="V231" s="1157" t="s">
        <v>8067</v>
      </c>
      <c r="W231" s="1146" t="s">
        <v>8068</v>
      </c>
      <c r="X231" s="1158" t="str">
        <f t="shared" si="14"/>
        <v>COMPLETED</v>
      </c>
      <c r="Y231" s="1159">
        <v>46279</v>
      </c>
      <c r="Z231" s="1159">
        <v>46289</v>
      </c>
      <c r="AA231" s="1160">
        <f>WEEKNUM(ESS_DATA[[#This Row],[Pick-Up Date]])</f>
        <v>39</v>
      </c>
      <c r="AB231" s="1146"/>
      <c r="AC231" s="1146"/>
      <c r="AD231" s="1146" t="s">
        <v>8069</v>
      </c>
      <c r="AE231" s="1146" t="s">
        <v>8069</v>
      </c>
      <c r="AF231" s="1146" t="s">
        <v>8070</v>
      </c>
      <c r="AG231" s="1159">
        <v>46295</v>
      </c>
      <c r="AH231" s="1159">
        <v>46295</v>
      </c>
      <c r="AI231" s="1159">
        <v>46295</v>
      </c>
      <c r="AJ231" s="1159">
        <v>46299</v>
      </c>
      <c r="AK231" s="1159">
        <v>46301</v>
      </c>
      <c r="AL231" s="1159">
        <v>46301</v>
      </c>
      <c r="AM231" s="1162" t="s">
        <v>402</v>
      </c>
      <c r="AN231" s="1159" t="s">
        <v>8071</v>
      </c>
      <c r="AO231" s="1159" t="s">
        <v>161</v>
      </c>
      <c r="AP231" s="1159" t="s">
        <v>8072</v>
      </c>
      <c r="AQ231" s="1146">
        <v>277328350</v>
      </c>
      <c r="AR231" s="1146">
        <v>277328350</v>
      </c>
      <c r="AS231" s="1146">
        <f>ESS_DATA[[#This Row],[ETA On S/O]]-ESS_DATA[[#This Row],[ETD On S/O]]+1</f>
        <v>5</v>
      </c>
      <c r="AT231" s="1146"/>
      <c r="AU231" s="1159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46301</v>
      </c>
      <c r="AV231" s="114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253" t="str">
        <f>IF(ISERROR(ESS_DATA[[#This Row],[New Ark PO status]]),"",_xlfn.XLOOKUP(ESS_DATA[[#This Row],[SPTN-PVHK New Ark PO'#]],New_Ark_Data[Purchase order Number],New_Ark_Data[Estimated time of arrival],"",0))</f>
        <v/>
      </c>
      <c r="AX231" s="1146">
        <f>IF(ESS_DATA[[#This Row],[New Ark PO Type]]="Offshore",0,IFERROR(VLOOKUP(ESS_DATA[[#This Row],[PORT OF LOADING]]&amp;ESS_DATA[[#This Row],[PORT DESTINATION]],LT_REF[],7,0),14))</f>
        <v>14</v>
      </c>
      <c r="AY231" s="1159">
        <f>IFERROR(ESS_DATA[[#This Row],[ODP ETA Port]]+ESS_DATA[[#This Row],[Customs/Leg3 Assumption]],"n/a")</f>
        <v>46315</v>
      </c>
      <c r="AZ231" s="1158">
        <f>YEAR(ESS_DATA[[#This Row],[ETA for New Ark update]])</f>
        <v>2026</v>
      </c>
      <c r="BA231" s="1158">
        <f>MONTH(ESS_DATA[[#This Row],[ETA for New Ark update]])</f>
        <v>10</v>
      </c>
      <c r="BB231" s="1158">
        <f>IFERROR(_xlfn.ISOWEEKNUM(ESS_DATA[[#This Row],[ETA for New Ark update]]),0)</f>
        <v>43</v>
      </c>
      <c r="BC231" s="1158" t="str">
        <f>_xlfn.XLOOKUP(ESS_DATA[[#This Row],[PORT DESTINATION]],Table12[PORT DESTINATION],Table12[Cosco Line],,0)</f>
        <v>n/a</v>
      </c>
      <c r="BD231" s="1158"/>
      <c r="BE231" s="1163"/>
      <c r="BF231" s="1163"/>
      <c r="BG231" s="1163"/>
      <c r="BH231" s="1163"/>
      <c r="BI231" s="1163"/>
    </row>
    <row r="232" spans="1:61" s="1164" customFormat="1" ht="16.5" customHeight="1">
      <c r="A232" s="1145" t="s">
        <v>8073</v>
      </c>
      <c r="B232" s="1146" t="s">
        <v>7913</v>
      </c>
      <c r="C232" s="1146" t="str">
        <f>IFERROR(LEFT(ESS_DATA[[#This Row],[TCL REFERENCE]],FIND(".",ESS_DATA[[#This Row],[TCL REFERENCE]],1)-1),"Main Line")</f>
        <v>Main Line</v>
      </c>
      <c r="D232" s="1250" t="s">
        <v>68</v>
      </c>
      <c r="E232" s="1147" t="s">
        <v>68</v>
      </c>
      <c r="F232" s="1147" t="s">
        <v>68</v>
      </c>
      <c r="G232" s="1146"/>
      <c r="H232" s="1158" t="s">
        <v>7628</v>
      </c>
      <c r="I232" s="1251"/>
      <c r="J232" s="1146"/>
      <c r="K232" s="1146"/>
      <c r="L232" s="1149"/>
      <c r="M232" s="1150"/>
      <c r="N232" s="1158" t="s">
        <v>8064</v>
      </c>
      <c r="O232" s="1162" t="s">
        <v>8065</v>
      </c>
      <c r="P232" s="1146" t="s">
        <v>8066</v>
      </c>
      <c r="Q232" s="1154"/>
      <c r="R232" s="1148">
        <v>8</v>
      </c>
      <c r="S232" s="1252"/>
      <c r="T232" s="1146"/>
      <c r="U232" s="1156">
        <f>ESS_DATA[[#This Row],[QUANTITY]]/8</f>
        <v>1</v>
      </c>
      <c r="V232" s="1157" t="s">
        <v>7917</v>
      </c>
      <c r="W232" s="1146" t="s">
        <v>8074</v>
      </c>
      <c r="X232" s="1158" t="str">
        <f t="shared" si="14"/>
        <v/>
      </c>
      <c r="Y232" s="1159">
        <v>46304</v>
      </c>
      <c r="Z232" s="1159"/>
      <c r="AA232" s="1160">
        <f>WEEKNUM(ESS_DATA[[#This Row],[Pick-Up Date]])</f>
        <v>0</v>
      </c>
      <c r="AB232" s="1146"/>
      <c r="AC232" s="1146"/>
      <c r="AD232" s="1146" t="s">
        <v>8069</v>
      </c>
      <c r="AE232" s="1146" t="s">
        <v>8069</v>
      </c>
      <c r="AF232" s="1146" t="s">
        <v>8070</v>
      </c>
      <c r="AG232" s="1159">
        <v>46318</v>
      </c>
      <c r="AH232" s="1159">
        <v>46318</v>
      </c>
      <c r="AI232" s="1159"/>
      <c r="AJ232" s="1159">
        <v>46325</v>
      </c>
      <c r="AK232" s="1159">
        <v>46325</v>
      </c>
      <c r="AL232" s="1159"/>
      <c r="AM232" s="1162" t="s">
        <v>402</v>
      </c>
      <c r="AN232" s="1159" t="s">
        <v>8075</v>
      </c>
      <c r="AO232" s="1159" t="s">
        <v>161</v>
      </c>
      <c r="AP232" s="1159" t="s">
        <v>8076</v>
      </c>
      <c r="AQ232" s="1146">
        <v>279061500</v>
      </c>
      <c r="AR232" s="1146">
        <v>279061500</v>
      </c>
      <c r="AS232" s="1146">
        <f>ESS_DATA[[#This Row],[ETA On S/O]]-ESS_DATA[[#This Row],[ETD On S/O]]+1</f>
        <v>8</v>
      </c>
      <c r="AT232" s="1146"/>
      <c r="AU232" s="1159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46325</v>
      </c>
      <c r="AV232" s="114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253" t="str">
        <f>IF(ISERROR(ESS_DATA[[#This Row],[New Ark PO status]]),"",_xlfn.XLOOKUP(ESS_DATA[[#This Row],[SPTN-PVHK New Ark PO'#]],New_Ark_Data[Purchase order Number],New_Ark_Data[Estimated time of arrival],"",0))</f>
        <v/>
      </c>
      <c r="AX232" s="1146">
        <f>IF(ESS_DATA[[#This Row],[New Ark PO Type]]="Offshore",0,IFERROR(VLOOKUP(ESS_DATA[[#This Row],[PORT OF LOADING]]&amp;ESS_DATA[[#This Row],[PORT DESTINATION]],LT_REF[],7,0),14))</f>
        <v>14</v>
      </c>
      <c r="AY232" s="1159">
        <f>IFERROR(ESS_DATA[[#This Row],[ODP ETA Port]]+ESS_DATA[[#This Row],[Customs/Leg3 Assumption]],"n/a")</f>
        <v>46339</v>
      </c>
      <c r="AZ232" s="1158">
        <f>YEAR(ESS_DATA[[#This Row],[ETA for New Ark update]])</f>
        <v>2026</v>
      </c>
      <c r="BA232" s="1158">
        <f>MONTH(ESS_DATA[[#This Row],[ETA for New Ark update]])</f>
        <v>11</v>
      </c>
      <c r="BB232" s="1158">
        <f>IFERROR(_xlfn.ISOWEEKNUM(ESS_DATA[[#This Row],[ETA for New Ark update]]),0)</f>
        <v>46</v>
      </c>
      <c r="BC232" s="1158" t="str">
        <f>_xlfn.XLOOKUP(ESS_DATA[[#This Row],[PORT DESTINATION]],Table12[PORT DESTINATION],Table12[Cosco Line],,0)</f>
        <v>n/a</v>
      </c>
      <c r="BD232" s="1158"/>
      <c r="BE232" s="1163"/>
      <c r="BF232" s="1163"/>
      <c r="BG232" s="1163"/>
      <c r="BH232" s="1163"/>
      <c r="BI232" s="1163"/>
    </row>
    <row r="233" spans="1:61" s="1164" customFormat="1" ht="16.5" customHeight="1">
      <c r="A233" s="1145" t="s">
        <v>8077</v>
      </c>
      <c r="B233" s="1146" t="s">
        <v>7913</v>
      </c>
      <c r="C233" s="1146" t="str">
        <f>IFERROR(LEFT(ESS_DATA[[#This Row],[TCL REFERENCE]],FIND(".",ESS_DATA[[#This Row],[TCL REFERENCE]],1)-1),"Main Line")</f>
        <v>Main Line</v>
      </c>
      <c r="D233" s="1250" t="s">
        <v>68</v>
      </c>
      <c r="E233" s="1147" t="s">
        <v>68</v>
      </c>
      <c r="F233" s="1147" t="s">
        <v>68</v>
      </c>
      <c r="G233" s="1146"/>
      <c r="H233" s="1158" t="s">
        <v>7628</v>
      </c>
      <c r="I233" s="1148"/>
      <c r="J233" s="1146"/>
      <c r="K233" s="1146"/>
      <c r="L233" s="1149"/>
      <c r="M233" s="1150"/>
      <c r="N233" s="1162" t="s">
        <v>8078</v>
      </c>
      <c r="O233" s="1162" t="s">
        <v>7438</v>
      </c>
      <c r="P233" s="1153" t="s">
        <v>8029</v>
      </c>
      <c r="Q233" s="1154"/>
      <c r="R233" s="1148">
        <v>72</v>
      </c>
      <c r="S233" s="1252"/>
      <c r="T233" s="1146"/>
      <c r="U233" s="1156">
        <f>ESS_DATA[[#This Row],[QUANTITY]]/120</f>
        <v>0.6</v>
      </c>
      <c r="V233" s="1157" t="s">
        <v>8079</v>
      </c>
      <c r="W233" s="1146" t="s">
        <v>8080</v>
      </c>
      <c r="X233" s="1158" t="str">
        <f t="shared" si="14"/>
        <v/>
      </c>
      <c r="Y233" s="1159">
        <v>46310</v>
      </c>
      <c r="Z233" s="1159"/>
      <c r="AA233" s="1160">
        <f>WEEKNUM(ESS_DATA[[#This Row],[Pick-Up Date]])</f>
        <v>0</v>
      </c>
      <c r="AB233" s="1146"/>
      <c r="AC233" s="1146"/>
      <c r="AD233" s="1146" t="s">
        <v>8069</v>
      </c>
      <c r="AE233" s="1146" t="s">
        <v>8069</v>
      </c>
      <c r="AF233" s="1146" t="s">
        <v>8070</v>
      </c>
      <c r="AG233" s="1159">
        <v>46323</v>
      </c>
      <c r="AH233" s="1159">
        <v>46318</v>
      </c>
      <c r="AI233" s="1159"/>
      <c r="AJ233" s="1159">
        <v>46327</v>
      </c>
      <c r="AK233" s="1159">
        <v>46325</v>
      </c>
      <c r="AL233" s="1159"/>
      <c r="AM233" s="1162" t="s">
        <v>402</v>
      </c>
      <c r="AN233" s="1159" t="s">
        <v>8075</v>
      </c>
      <c r="AO233" s="1159" t="s">
        <v>161</v>
      </c>
      <c r="AP233" s="1159" t="s">
        <v>8081</v>
      </c>
      <c r="AQ233" s="1146">
        <v>279119773</v>
      </c>
      <c r="AR233" s="1146">
        <v>279119773</v>
      </c>
      <c r="AS233" s="1146">
        <f>ESS_DATA[[#This Row],[ETA On S/O]]-ESS_DATA[[#This Row],[ETD On S/O]]+1</f>
        <v>5</v>
      </c>
      <c r="AT233" s="1146"/>
      <c r="AU233" s="1159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46325</v>
      </c>
      <c r="AV233" s="114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253" t="str">
        <f>IF(ISERROR(ESS_DATA[[#This Row],[New Ark PO status]]),"",_xlfn.XLOOKUP(ESS_DATA[[#This Row],[SPTN-PVHK New Ark PO'#]],New_Ark_Data[Purchase order Number],New_Ark_Data[Estimated time of arrival],"",0))</f>
        <v/>
      </c>
      <c r="AX233" s="1146">
        <f>IF(ESS_DATA[[#This Row],[New Ark PO Type]]="Offshore",0,IFERROR(VLOOKUP(ESS_DATA[[#This Row],[PORT OF LOADING]]&amp;ESS_DATA[[#This Row],[PORT DESTINATION]],LT_REF[],7,0),14))</f>
        <v>14</v>
      </c>
      <c r="AY233" s="1159">
        <f>IFERROR(ESS_DATA[[#This Row],[ODP ETA Port]]+ESS_DATA[[#This Row],[Customs/Leg3 Assumption]],"n/a")</f>
        <v>46339</v>
      </c>
      <c r="AZ233" s="1158">
        <f>YEAR(ESS_DATA[[#This Row],[ETA for New Ark update]])</f>
        <v>2026</v>
      </c>
      <c r="BA233" s="1158">
        <f>MONTH(ESS_DATA[[#This Row],[ETA for New Ark update]])</f>
        <v>11</v>
      </c>
      <c r="BB233" s="1158">
        <f>IFERROR(_xlfn.ISOWEEKNUM(ESS_DATA[[#This Row],[ETA for New Ark update]]),0)</f>
        <v>46</v>
      </c>
      <c r="BC233" s="1158" t="str">
        <f>_xlfn.XLOOKUP(ESS_DATA[[#This Row],[PORT DESTINATION]],Table12[PORT DESTINATION],Table12[Cosco Line],,0)</f>
        <v>n/a</v>
      </c>
      <c r="BD233" s="1158"/>
      <c r="BE233" s="1163"/>
      <c r="BF233" s="1163"/>
      <c r="BG233" s="1163"/>
      <c r="BH233" s="1163"/>
      <c r="BI233" s="1163"/>
    </row>
    <row r="234" spans="1:61" s="1164" customFormat="1" ht="16.5" customHeight="1">
      <c r="A234" s="1145" t="s">
        <v>8082</v>
      </c>
      <c r="B234" s="1146" t="s">
        <v>8038</v>
      </c>
      <c r="C234" s="1146" t="str">
        <f>IFERROR(LEFT(ESS_DATA[[#This Row],[TCL REFERENCE]],FIND(".",ESS_DATA[[#This Row],[TCL REFERENCE]],1)-1),"Main Line")</f>
        <v>Main Line</v>
      </c>
      <c r="D234" s="1250" t="s">
        <v>68</v>
      </c>
      <c r="E234" s="1147" t="s">
        <v>68</v>
      </c>
      <c r="F234" s="1147" t="s">
        <v>68</v>
      </c>
      <c r="G234" s="1146"/>
      <c r="H234" s="1158" t="s">
        <v>7628</v>
      </c>
      <c r="I234" s="1148"/>
      <c r="J234" s="1146"/>
      <c r="K234" s="1146"/>
      <c r="L234" s="1149"/>
      <c r="M234" s="1150"/>
      <c r="N234" s="1152" t="s">
        <v>7923</v>
      </c>
      <c r="O234" s="1152" t="s">
        <v>7924</v>
      </c>
      <c r="P234" s="1153" t="s">
        <v>8032</v>
      </c>
      <c r="Q234" s="1154"/>
      <c r="R234" s="1148">
        <v>48</v>
      </c>
      <c r="S234" s="1252"/>
      <c r="T234" s="1146"/>
      <c r="U234" s="1156">
        <f>ESS_DATA[[#This Row],[QUANTITY]]/120</f>
        <v>0.4</v>
      </c>
      <c r="V234" s="1157" t="s">
        <v>8079</v>
      </c>
      <c r="W234" s="1146" t="s">
        <v>8080</v>
      </c>
      <c r="X234" s="1158" t="str">
        <f t="shared" si="14"/>
        <v/>
      </c>
      <c r="Y234" s="1159">
        <v>46310</v>
      </c>
      <c r="Z234" s="1159"/>
      <c r="AA234" s="1160">
        <f>WEEKNUM(ESS_DATA[[#This Row],[Pick-Up Date]])</f>
        <v>0</v>
      </c>
      <c r="AB234" s="1146"/>
      <c r="AC234" s="1146"/>
      <c r="AD234" s="1146" t="s">
        <v>8069</v>
      </c>
      <c r="AE234" s="1146" t="s">
        <v>8069</v>
      </c>
      <c r="AF234" s="1146" t="s">
        <v>8070</v>
      </c>
      <c r="AG234" s="1159">
        <v>46323</v>
      </c>
      <c r="AH234" s="1159">
        <v>46318</v>
      </c>
      <c r="AI234" s="1159"/>
      <c r="AJ234" s="1159">
        <v>46327</v>
      </c>
      <c r="AK234" s="1159">
        <v>46325</v>
      </c>
      <c r="AL234" s="1159"/>
      <c r="AM234" s="1162" t="s">
        <v>402</v>
      </c>
      <c r="AN234" s="1159" t="s">
        <v>8075</v>
      </c>
      <c r="AO234" s="1159" t="s">
        <v>161</v>
      </c>
      <c r="AP234" s="1159" t="s">
        <v>8081</v>
      </c>
      <c r="AQ234" s="1146">
        <v>279119773</v>
      </c>
      <c r="AR234" s="1146">
        <v>279119773</v>
      </c>
      <c r="AS234" s="1146">
        <f>ESS_DATA[[#This Row],[ETA On S/O]]-ESS_DATA[[#This Row],[ETD On S/O]]+1</f>
        <v>5</v>
      </c>
      <c r="AT234" s="1146"/>
      <c r="AU234" s="1159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46325</v>
      </c>
      <c r="AV234" s="114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253" t="str">
        <f>IF(ISERROR(ESS_DATA[[#This Row],[New Ark PO status]]),"",_xlfn.XLOOKUP(ESS_DATA[[#This Row],[SPTN-PVHK New Ark PO'#]],New_Ark_Data[Purchase order Number],New_Ark_Data[Estimated time of arrival],"",0))</f>
        <v/>
      </c>
      <c r="AX234" s="1146">
        <f>IF(ESS_DATA[[#This Row],[New Ark PO Type]]="Offshore",0,IFERROR(VLOOKUP(ESS_DATA[[#This Row],[PORT OF LOADING]]&amp;ESS_DATA[[#This Row],[PORT DESTINATION]],LT_REF[],7,0),14))</f>
        <v>14</v>
      </c>
      <c r="AY234" s="1159">
        <f>IFERROR(ESS_DATA[[#This Row],[ODP ETA Port]]+ESS_DATA[[#This Row],[Customs/Leg3 Assumption]],"n/a")</f>
        <v>46339</v>
      </c>
      <c r="AZ234" s="1158">
        <f>YEAR(ESS_DATA[[#This Row],[ETA for New Ark update]])</f>
        <v>2026</v>
      </c>
      <c r="BA234" s="1158">
        <f>MONTH(ESS_DATA[[#This Row],[ETA for New Ark update]])</f>
        <v>11</v>
      </c>
      <c r="BB234" s="1158">
        <f>IFERROR(_xlfn.ISOWEEKNUM(ESS_DATA[[#This Row],[ETA for New Ark update]]),0)</f>
        <v>46</v>
      </c>
      <c r="BC234" s="1158" t="str">
        <f>_xlfn.XLOOKUP(ESS_DATA[[#This Row],[PORT DESTINATION]],Table12[PORT DESTINATION],Table12[Cosco Line],,0)</f>
        <v>n/a</v>
      </c>
      <c r="BD234" s="1158"/>
      <c r="BE234" s="1163"/>
      <c r="BF234" s="1163"/>
      <c r="BG234" s="1163"/>
      <c r="BH234" s="1163"/>
      <c r="BI234" s="1163"/>
    </row>
    <row r="235" spans="1:61" s="1164" customFormat="1" ht="16.5" customHeight="1">
      <c r="A235" s="1145" t="s">
        <v>8083</v>
      </c>
      <c r="B235" s="1146" t="s">
        <v>7913</v>
      </c>
      <c r="C235" s="1146" t="str">
        <f>IFERROR(LEFT(ESS_DATA[[#This Row],[TCL REFERENCE]],FIND(".",ESS_DATA[[#This Row],[TCL REFERENCE]],1)-1),"Main Line")</f>
        <v>Main Line</v>
      </c>
      <c r="D235" s="1250" t="s">
        <v>68</v>
      </c>
      <c r="E235" s="1147" t="s">
        <v>68</v>
      </c>
      <c r="F235" s="1147" t="s">
        <v>68</v>
      </c>
      <c r="G235" s="1146"/>
      <c r="H235" s="1158" t="s">
        <v>7628</v>
      </c>
      <c r="I235" s="1148"/>
      <c r="J235" s="1146"/>
      <c r="K235" s="1146"/>
      <c r="L235" s="1149"/>
      <c r="M235" s="1150"/>
      <c r="N235" s="1162" t="s">
        <v>8078</v>
      </c>
      <c r="O235" s="1162" t="s">
        <v>7438</v>
      </c>
      <c r="P235" s="1153" t="s">
        <v>8029</v>
      </c>
      <c r="Q235" s="1154"/>
      <c r="R235" s="1148">
        <v>36</v>
      </c>
      <c r="S235" s="1252"/>
      <c r="T235" s="1146"/>
      <c r="U235" s="1156">
        <f>ESS_DATA[[#This Row],[QUANTITY]]/123</f>
        <v>0.29268292682926828</v>
      </c>
      <c r="V235" s="1157" t="s">
        <v>8084</v>
      </c>
      <c r="W235" s="1146" t="s">
        <v>8080</v>
      </c>
      <c r="X235" s="1158" t="str">
        <f t="shared" si="14"/>
        <v/>
      </c>
      <c r="Y235" s="1159">
        <v>46313</v>
      </c>
      <c r="Z235" s="1159"/>
      <c r="AA235" s="1160">
        <f>WEEKNUM(ESS_DATA[[#This Row],[Pick-Up Date]])</f>
        <v>0</v>
      </c>
      <c r="AB235" s="1146"/>
      <c r="AC235" s="1146"/>
      <c r="AD235" s="1146"/>
      <c r="AE235" s="1146"/>
      <c r="AF235" s="1146" t="s">
        <v>8085</v>
      </c>
      <c r="AG235" s="1159"/>
      <c r="AH235" s="1159"/>
      <c r="AI235" s="1159"/>
      <c r="AJ235" s="1159"/>
      <c r="AK235" s="1159"/>
      <c r="AL235" s="1159"/>
      <c r="AM235" s="1162" t="s">
        <v>402</v>
      </c>
      <c r="AN235" s="1159"/>
      <c r="AO235" s="1159"/>
      <c r="AP235" s="1159"/>
      <c r="AQ235" s="1146"/>
      <c r="AR235" s="1146"/>
      <c r="AS235" s="1146">
        <f>ESS_DATA[[#This Row],[ETA On S/O]]-ESS_DATA[[#This Row],[ETD On S/O]]+1</f>
        <v>1</v>
      </c>
      <c r="AT235" s="1146"/>
      <c r="AU235" s="1159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114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253" t="str">
        <f>IF(ISERROR(ESS_DATA[[#This Row],[New Ark PO status]]),"",_xlfn.XLOOKUP(ESS_DATA[[#This Row],[SPTN-PVHK New Ark PO'#]],New_Ark_Data[Purchase order Number],New_Ark_Data[Estimated time of arrival],"",0))</f>
        <v/>
      </c>
      <c r="AX235" s="1146">
        <f>IF(ESS_DATA[[#This Row],[New Ark PO Type]]="Offshore",0,IFERROR(VLOOKUP(ESS_DATA[[#This Row],[PORT OF LOADING]]&amp;ESS_DATA[[#This Row],[PORT DESTINATION]],LT_REF[],7,0),14))</f>
        <v>14</v>
      </c>
      <c r="AY235" s="1159">
        <f>IFERROR(ESS_DATA[[#This Row],[ODP ETA Port]]+ESS_DATA[[#This Row],[Customs/Leg3 Assumption]],"n/a")</f>
        <v>14</v>
      </c>
      <c r="AZ235" s="1158">
        <f>YEAR(ESS_DATA[[#This Row],[ETA for New Ark update]])</f>
        <v>1900</v>
      </c>
      <c r="BA235" s="1158">
        <f>MONTH(ESS_DATA[[#This Row],[ETA for New Ark update]])</f>
        <v>1</v>
      </c>
      <c r="BB235" s="1158">
        <f>IFERROR(_xlfn.ISOWEEKNUM(ESS_DATA[[#This Row],[ETA for New Ark update]]),0)</f>
        <v>2</v>
      </c>
      <c r="BC235" s="1158" t="e">
        <f>_xlfn.XLOOKUP(ESS_DATA[[#This Row],[PORT DESTINATION]],Table12[PORT DESTINATION],Table12[Cosco Line],,0)</f>
        <v>#N/A</v>
      </c>
      <c r="BD235" s="1158"/>
      <c r="BE235" s="1163"/>
      <c r="BF235" s="1163"/>
      <c r="BG235" s="1163"/>
      <c r="BH235" s="1163"/>
      <c r="BI235" s="1163"/>
    </row>
    <row r="236" spans="1:61" s="1164" customFormat="1" ht="16.5" customHeight="1">
      <c r="A236" s="1145" t="s">
        <v>8086</v>
      </c>
      <c r="B236" s="1146" t="s">
        <v>8038</v>
      </c>
      <c r="C236" s="1146" t="str">
        <f>IFERROR(LEFT(ESS_DATA[[#This Row],[TCL REFERENCE]],FIND(".",ESS_DATA[[#This Row],[TCL REFERENCE]],1)-1),"Main Line")</f>
        <v>Main Line</v>
      </c>
      <c r="D236" s="1250" t="s">
        <v>68</v>
      </c>
      <c r="E236" s="1147" t="s">
        <v>68</v>
      </c>
      <c r="F236" s="1147" t="s">
        <v>68</v>
      </c>
      <c r="G236" s="1146"/>
      <c r="H236" s="1158" t="s">
        <v>7628</v>
      </c>
      <c r="I236" s="1148"/>
      <c r="J236" s="1146"/>
      <c r="K236" s="1146"/>
      <c r="L236" s="1149"/>
      <c r="M236" s="1150"/>
      <c r="N236" s="1152" t="s">
        <v>7923</v>
      </c>
      <c r="O236" s="1152" t="s">
        <v>7924</v>
      </c>
      <c r="P236" s="1153" t="s">
        <v>8032</v>
      </c>
      <c r="Q236" s="1154"/>
      <c r="R236" s="1148">
        <v>36</v>
      </c>
      <c r="S236" s="1252"/>
      <c r="T236" s="1146"/>
      <c r="U236" s="1156">
        <f>ESS_DATA[[#This Row],[QUANTITY]]/123</f>
        <v>0.29268292682926828</v>
      </c>
      <c r="V236" s="1157" t="s">
        <v>8084</v>
      </c>
      <c r="W236" s="1146" t="s">
        <v>8080</v>
      </c>
      <c r="X236" s="1158" t="str">
        <f t="shared" si="14"/>
        <v/>
      </c>
      <c r="Y236" s="1159">
        <v>46313</v>
      </c>
      <c r="Z236" s="1159"/>
      <c r="AA236" s="1160">
        <f>WEEKNUM(ESS_DATA[[#This Row],[Pick-Up Date]])</f>
        <v>0</v>
      </c>
      <c r="AB236" s="1146"/>
      <c r="AC236" s="1146"/>
      <c r="AD236" s="1146"/>
      <c r="AE236" s="1146"/>
      <c r="AF236" s="1146" t="s">
        <v>8085</v>
      </c>
      <c r="AG236" s="1159"/>
      <c r="AH236" s="1159"/>
      <c r="AI236" s="1159"/>
      <c r="AJ236" s="1159"/>
      <c r="AK236" s="1159"/>
      <c r="AL236" s="1159"/>
      <c r="AM236" s="1162" t="s">
        <v>402</v>
      </c>
      <c r="AN236" s="1159"/>
      <c r="AO236" s="1159"/>
      <c r="AP236" s="1159"/>
      <c r="AQ236" s="1146"/>
      <c r="AR236" s="1146"/>
      <c r="AS236" s="1146">
        <f>ESS_DATA[[#This Row],[ETA On S/O]]-ESS_DATA[[#This Row],[ETD On S/O]]+1</f>
        <v>1</v>
      </c>
      <c r="AT236" s="1146"/>
      <c r="AU236" s="1159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114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253" t="str">
        <f>IF(ISERROR(ESS_DATA[[#This Row],[New Ark PO status]]),"",_xlfn.XLOOKUP(ESS_DATA[[#This Row],[SPTN-PVHK New Ark PO'#]],New_Ark_Data[Purchase order Number],New_Ark_Data[Estimated time of arrival],"",0))</f>
        <v/>
      </c>
      <c r="AX236" s="1146">
        <f>IF(ESS_DATA[[#This Row],[New Ark PO Type]]="Offshore",0,IFERROR(VLOOKUP(ESS_DATA[[#This Row],[PORT OF LOADING]]&amp;ESS_DATA[[#This Row],[PORT DESTINATION]],LT_REF[],7,0),14))</f>
        <v>14</v>
      </c>
      <c r="AY236" s="1159">
        <f>IFERROR(ESS_DATA[[#This Row],[ODP ETA Port]]+ESS_DATA[[#This Row],[Customs/Leg3 Assumption]],"n/a")</f>
        <v>14</v>
      </c>
      <c r="AZ236" s="1158">
        <f>YEAR(ESS_DATA[[#This Row],[ETA for New Ark update]])</f>
        <v>1900</v>
      </c>
      <c r="BA236" s="1158">
        <f>MONTH(ESS_DATA[[#This Row],[ETA for New Ark update]])</f>
        <v>1</v>
      </c>
      <c r="BB236" s="1158">
        <f>IFERROR(_xlfn.ISOWEEKNUM(ESS_DATA[[#This Row],[ETA for New Ark update]]),0)</f>
        <v>2</v>
      </c>
      <c r="BC236" s="1158" t="e">
        <f>_xlfn.XLOOKUP(ESS_DATA[[#This Row],[PORT DESTINATION]],Table12[PORT DESTINATION],Table12[Cosco Line],,0)</f>
        <v>#N/A</v>
      </c>
      <c r="BD236" s="1158"/>
      <c r="BE236" s="1163"/>
      <c r="BF236" s="1163"/>
      <c r="BG236" s="1163"/>
      <c r="BH236" s="1163"/>
      <c r="BI236" s="1163"/>
    </row>
    <row r="237" spans="1:61" s="1164" customFormat="1" ht="16.5" customHeight="1">
      <c r="A237" s="1145" t="s">
        <v>8087</v>
      </c>
      <c r="B237" s="1146" t="s">
        <v>8038</v>
      </c>
      <c r="C237" s="1146" t="str">
        <f>IFERROR(LEFT(ESS_DATA[[#This Row],[TCL REFERENCE]],FIND(".",ESS_DATA[[#This Row],[TCL REFERENCE]],1)-1),"Main Line")</f>
        <v>Main Line</v>
      </c>
      <c r="D237" s="1250" t="s">
        <v>68</v>
      </c>
      <c r="E237" s="1368" t="s">
        <v>68</v>
      </c>
      <c r="F237" s="1368" t="s">
        <v>68</v>
      </c>
      <c r="G237" s="1146"/>
      <c r="H237" s="1154" t="s">
        <v>7628</v>
      </c>
      <c r="I237" s="1148"/>
      <c r="J237" s="1146"/>
      <c r="K237" s="1146"/>
      <c r="L237" s="1149"/>
      <c r="M237" s="1150"/>
      <c r="N237" s="1369" t="s">
        <v>7927</v>
      </c>
      <c r="O237" s="1369" t="s">
        <v>7928</v>
      </c>
      <c r="P237" s="1155" t="s">
        <v>8036</v>
      </c>
      <c r="Q237" s="1154"/>
      <c r="R237" s="1370">
        <v>36</v>
      </c>
      <c r="S237" s="1252"/>
      <c r="T237" s="1146"/>
      <c r="U237" s="1156">
        <f>ESS_DATA[[#This Row],[QUANTITY]]/123</f>
        <v>0.29268292682926828</v>
      </c>
      <c r="V237" s="1371" t="s">
        <v>8084</v>
      </c>
      <c r="W237" s="1146" t="s">
        <v>8080</v>
      </c>
      <c r="X237" s="1154" t="str">
        <f t="shared" si="14"/>
        <v/>
      </c>
      <c r="Y237" s="1159">
        <v>46313</v>
      </c>
      <c r="Z237" s="1159"/>
      <c r="AA237" s="1160">
        <f>WEEKNUM(ESS_DATA[[#This Row],[Pick-Up Date]])</f>
        <v>0</v>
      </c>
      <c r="AB237" s="1146"/>
      <c r="AC237" s="1146"/>
      <c r="AD237" s="1146"/>
      <c r="AE237" s="1146"/>
      <c r="AF237" s="1146" t="s">
        <v>8085</v>
      </c>
      <c r="AG237" s="1159"/>
      <c r="AH237" s="1159"/>
      <c r="AI237" s="1159"/>
      <c r="AJ237" s="1159"/>
      <c r="AK237" s="1159"/>
      <c r="AL237" s="1159"/>
      <c r="AM237" s="1372" t="s">
        <v>402</v>
      </c>
      <c r="AN237" s="1159"/>
      <c r="AO237" s="1159"/>
      <c r="AP237" s="1159"/>
      <c r="AQ237" s="1146"/>
      <c r="AR237" s="1146"/>
      <c r="AS237" s="1146">
        <f>ESS_DATA[[#This Row],[ETA On S/O]]-ESS_DATA[[#This Row],[ETD On S/O]]+1</f>
        <v>1</v>
      </c>
      <c r="AT237" s="1146"/>
      <c r="AU237" s="1159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114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253" t="str">
        <f>IF(ISERROR(ESS_DATA[[#This Row],[New Ark PO status]]),"",_xlfn.XLOOKUP(ESS_DATA[[#This Row],[SPTN-PVHK New Ark PO'#]],New_Ark_Data[Purchase order Number],New_Ark_Data[Estimated time of arrival],"",0))</f>
        <v/>
      </c>
      <c r="AX237" s="1146">
        <f>IF(ESS_DATA[[#This Row],[New Ark PO Type]]="Offshore",0,IFERROR(VLOOKUP(ESS_DATA[[#This Row],[PORT OF LOADING]]&amp;ESS_DATA[[#This Row],[PORT DESTINATION]],LT_REF[],7,0),14))</f>
        <v>14</v>
      </c>
      <c r="AY237" s="1159">
        <f>IFERROR(ESS_DATA[[#This Row],[ODP ETA Port]]+ESS_DATA[[#This Row],[Customs/Leg3 Assumption]],"n/a")</f>
        <v>14</v>
      </c>
      <c r="AZ237" s="1154">
        <f>YEAR(ESS_DATA[[#This Row],[ETA for New Ark update]])</f>
        <v>1900</v>
      </c>
      <c r="BA237" s="1154">
        <f>MONTH(ESS_DATA[[#This Row],[ETA for New Ark update]])</f>
        <v>1</v>
      </c>
      <c r="BB237" s="1154">
        <f>IFERROR(_xlfn.ISOWEEKNUM(ESS_DATA[[#This Row],[ETA for New Ark update]]),0)</f>
        <v>2</v>
      </c>
      <c r="BC237" s="1154" t="e">
        <f>_xlfn.XLOOKUP(ESS_DATA[[#This Row],[PORT DESTINATION]],Table12[PORT DESTINATION],Table12[Cosco Line],,0)</f>
        <v>#N/A</v>
      </c>
      <c r="BD237" s="1154"/>
      <c r="BE237" s="1163"/>
      <c r="BF237" s="1163"/>
      <c r="BG237" s="1163"/>
      <c r="BH237" s="1163"/>
      <c r="BI237" s="1163"/>
    </row>
    <row r="238" spans="1:61" s="1367" customFormat="1" ht="16.5" customHeight="1">
      <c r="A238" s="1364" t="s">
        <v>8088</v>
      </c>
      <c r="B238" s="1158" t="s">
        <v>8038</v>
      </c>
      <c r="C238" s="1158" t="str">
        <f>IFERROR(LEFT(ESS_DATA[[#This Row],[TCL REFERENCE]],FIND(".",ESS_DATA[[#This Row],[TCL REFERENCE]],1)-1),"Main Line")</f>
        <v>Main Line</v>
      </c>
      <c r="D238" s="1147" t="s">
        <v>68</v>
      </c>
      <c r="E238" s="1147"/>
      <c r="F238" s="1147" t="s">
        <v>68</v>
      </c>
      <c r="G238" s="1158"/>
      <c r="H238" s="1158" t="s">
        <v>7628</v>
      </c>
      <c r="I238" s="260"/>
      <c r="J238" s="1359"/>
      <c r="K238" s="1359"/>
      <c r="L238" s="1360"/>
      <c r="M238" s="1361"/>
      <c r="N238" s="1382" t="s">
        <v>8089</v>
      </c>
      <c r="O238" s="1162" t="s">
        <v>8090</v>
      </c>
      <c r="P238" s="1382" t="s">
        <v>8091</v>
      </c>
      <c r="Q238" s="1364"/>
      <c r="R238" s="1363">
        <v>5</v>
      </c>
      <c r="S238" s="1362"/>
      <c r="T238" s="1359"/>
      <c r="U238" s="1156">
        <f>ESS_DATA[[#This Row],[QUANTITY]]/123</f>
        <v>4.065040650406504E-2</v>
      </c>
      <c r="V238" s="1157" t="s">
        <v>8084</v>
      </c>
      <c r="W238" s="1146" t="s">
        <v>8080</v>
      </c>
      <c r="X238" s="1158" t="str">
        <f>IF(AL238&lt;&gt;"","COMPLETED",IF(AI238&lt;&gt;"","IN-TRANSIT",""))</f>
        <v/>
      </c>
      <c r="Y238" s="1159">
        <v>46313</v>
      </c>
      <c r="Z238" s="1365"/>
      <c r="AA238" s="1363">
        <f>WEEKNUM(ESS_DATA[[#This Row],[Pick-Up Date]])</f>
        <v>0</v>
      </c>
      <c r="AB238" s="1364"/>
      <c r="AC238" s="1358"/>
      <c r="AD238" s="1364"/>
      <c r="AE238" s="1158"/>
      <c r="AF238" s="1146" t="s">
        <v>8085</v>
      </c>
      <c r="AG238" s="1365"/>
      <c r="AH238" s="1365"/>
      <c r="AI238" s="1365"/>
      <c r="AJ238" s="1365"/>
      <c r="AK238" s="1365"/>
      <c r="AL238" s="1365"/>
      <c r="AM238" s="1372" t="s">
        <v>402</v>
      </c>
      <c r="AN238" s="1365"/>
      <c r="AO238" s="1365"/>
      <c r="AP238" s="1365"/>
      <c r="AQ238" s="1364"/>
      <c r="AR238" s="1364"/>
      <c r="AS238" s="1364">
        <f>ESS_DATA[[#This Row],[ETA On S/O]]-ESS_DATA[[#This Row],[ETD On S/O]]+1</f>
        <v>1</v>
      </c>
      <c r="AT238" s="1364"/>
      <c r="AU238" s="1162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136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366">
        <f>IF(ISERROR(ESS_DATA[[#This Row],[New Ark PO status]]),"",_xlfn.XLOOKUP(ESS_DATA[[#This Row],[SPTN-PVHK New Ark PO'#]],New_Ark_Data[Purchase order Number],New_Ark_Data[Estimated time of arrival],"",0))</f>
        <v>0</v>
      </c>
      <c r="AX238" s="1158">
        <f>IF(ESS_DATA[[#This Row],[New Ark PO Type]]="Offshore",0,IFERROR(VLOOKUP(ESS_DATA[[#This Row],[PORT OF LOADING]]&amp;ESS_DATA[[#This Row],[PORT DESTINATION]],LT_REF[],7,0),14))</f>
        <v>14</v>
      </c>
      <c r="AY238" s="1365">
        <f>IFERROR(ESS_DATA[[#This Row],[ODP ETA Port]]+ESS_DATA[[#This Row],[Customs/Leg3 Assumption]],"n/a")</f>
        <v>14</v>
      </c>
      <c r="AZ238" s="1364">
        <f>YEAR(ESS_DATA[[#This Row],[ETA for New Ark update]])</f>
        <v>1900</v>
      </c>
      <c r="BA238" s="1364">
        <f>MONTH(ESS_DATA[[#This Row],[ETA for New Ark update]])</f>
        <v>1</v>
      </c>
      <c r="BB238" s="1364">
        <f>IFERROR(_xlfn.ISOWEEKNUM(ESS_DATA[[#This Row],[ETA for New Ark update]]),0)</f>
        <v>2</v>
      </c>
      <c r="BC238" s="1364" t="e">
        <f>_xlfn.XLOOKUP(ESS_DATA[[#This Row],[PORT DESTINATION]],Table12[PORT DESTINATION],Table12[Cosco Line],,0)</f>
        <v>#N/A</v>
      </c>
      <c r="BD238" s="1364"/>
      <c r="BE238" s="1158"/>
      <c r="BF238" s="1158"/>
      <c r="BG238" s="1158"/>
      <c r="BH238" s="1158"/>
      <c r="BI238" s="1158"/>
    </row>
    <row r="239" spans="1:61" s="1367" customFormat="1" ht="16.5" customHeight="1">
      <c r="A239" s="1364" t="s">
        <v>8092</v>
      </c>
      <c r="B239" s="1158" t="s">
        <v>8038</v>
      </c>
      <c r="C239" s="1158" t="str">
        <f>IFERROR(LEFT(ESS_DATA[[#This Row],[TCL REFERENCE]],FIND(".",ESS_DATA[[#This Row],[TCL REFERENCE]],1)-1),"Main Line")</f>
        <v>Main Line</v>
      </c>
      <c r="D239" s="1147" t="s">
        <v>68</v>
      </c>
      <c r="E239" s="1147"/>
      <c r="F239" s="1147" t="s">
        <v>68</v>
      </c>
      <c r="G239" s="1158"/>
      <c r="H239" s="1158" t="s">
        <v>7628</v>
      </c>
      <c r="I239" s="260"/>
      <c r="J239" s="1359"/>
      <c r="K239" s="1359"/>
      <c r="L239" s="1360"/>
      <c r="M239" s="1361"/>
      <c r="N239" s="1382" t="s">
        <v>8093</v>
      </c>
      <c r="O239" s="1162" t="s">
        <v>8094</v>
      </c>
      <c r="P239" s="1382" t="s">
        <v>8095</v>
      </c>
      <c r="Q239" s="1364"/>
      <c r="R239" s="1363">
        <v>5</v>
      </c>
      <c r="S239" s="1362"/>
      <c r="T239" s="1359"/>
      <c r="U239" s="1156">
        <f>ESS_DATA[[#This Row],[QUANTITY]]/123</f>
        <v>4.065040650406504E-2</v>
      </c>
      <c r="V239" s="1371" t="s">
        <v>8084</v>
      </c>
      <c r="W239" s="1146" t="s">
        <v>8080</v>
      </c>
      <c r="X239" s="1158" t="str">
        <f>IF(AL239&lt;&gt;"","COMPLETED",IF(AI239&lt;&gt;"","IN-TRANSIT",""))</f>
        <v/>
      </c>
      <c r="Y239" s="1159">
        <v>46313</v>
      </c>
      <c r="Z239" s="1365"/>
      <c r="AA239" s="1363">
        <f>WEEKNUM(ESS_DATA[[#This Row],[Pick-Up Date]])</f>
        <v>0</v>
      </c>
      <c r="AB239" s="1364"/>
      <c r="AC239" s="1358"/>
      <c r="AD239" s="1364"/>
      <c r="AE239" s="1158"/>
      <c r="AF239" s="1146" t="s">
        <v>8085</v>
      </c>
      <c r="AG239" s="1365"/>
      <c r="AH239" s="1365"/>
      <c r="AI239" s="1365"/>
      <c r="AJ239" s="1365"/>
      <c r="AK239" s="1365"/>
      <c r="AL239" s="1365"/>
      <c r="AM239" s="1372" t="s">
        <v>402</v>
      </c>
      <c r="AN239" s="1365"/>
      <c r="AO239" s="1365"/>
      <c r="AP239" s="1365"/>
      <c r="AQ239" s="1364"/>
      <c r="AR239" s="1364"/>
      <c r="AS239" s="1364">
        <f>ESS_DATA[[#This Row],[ETA On S/O]]-ESS_DATA[[#This Row],[ETD On S/O]]+1</f>
        <v>1</v>
      </c>
      <c r="AT239" s="1364"/>
      <c r="AU239" s="1162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136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366">
        <f>IF(ISERROR(ESS_DATA[[#This Row],[New Ark PO status]]),"",_xlfn.XLOOKUP(ESS_DATA[[#This Row],[SPTN-PVHK New Ark PO'#]],New_Ark_Data[Purchase order Number],New_Ark_Data[Estimated time of arrival],"",0))</f>
        <v>0</v>
      </c>
      <c r="AX239" s="1158">
        <f>IF(ESS_DATA[[#This Row],[New Ark PO Type]]="Offshore",0,IFERROR(VLOOKUP(ESS_DATA[[#This Row],[PORT OF LOADING]]&amp;ESS_DATA[[#This Row],[PORT DESTINATION]],LT_REF[],7,0),14))</f>
        <v>14</v>
      </c>
      <c r="AY239" s="1365">
        <f>IFERROR(ESS_DATA[[#This Row],[ODP ETA Port]]+ESS_DATA[[#This Row],[Customs/Leg3 Assumption]],"n/a")</f>
        <v>14</v>
      </c>
      <c r="AZ239" s="1364">
        <f>YEAR(ESS_DATA[[#This Row],[ETA for New Ark update]])</f>
        <v>1900</v>
      </c>
      <c r="BA239" s="1364">
        <f>MONTH(ESS_DATA[[#This Row],[ETA for New Ark update]])</f>
        <v>1</v>
      </c>
      <c r="BB239" s="1364">
        <f>IFERROR(_xlfn.ISOWEEKNUM(ESS_DATA[[#This Row],[ETA for New Ark update]]),0)</f>
        <v>2</v>
      </c>
      <c r="BC239" s="1364" t="e">
        <f>_xlfn.XLOOKUP(ESS_DATA[[#This Row],[PORT DESTINATION]],Table12[PORT DESTINATION],Table12[Cosco Line],,0)</f>
        <v>#N/A</v>
      </c>
      <c r="BD239" s="1364"/>
      <c r="BE239" s="1158"/>
      <c r="BF239" s="1158"/>
      <c r="BG239" s="1158"/>
      <c r="BH239" s="1158"/>
      <c r="BI239" s="1158"/>
    </row>
    <row r="240" spans="1:61" s="1367" customFormat="1" ht="16.5" customHeight="1">
      <c r="A240" s="1364" t="s">
        <v>8096</v>
      </c>
      <c r="B240" s="1158" t="s">
        <v>8038</v>
      </c>
      <c r="C240" s="1158" t="str">
        <f>IFERROR(LEFT(ESS_DATA[[#This Row],[TCL REFERENCE]],FIND(".",ESS_DATA[[#This Row],[TCL REFERENCE]],1)-1),"Main Line")</f>
        <v>Main Line</v>
      </c>
      <c r="D240" s="1147" t="s">
        <v>68</v>
      </c>
      <c r="E240" s="1147"/>
      <c r="F240" s="1147" t="s">
        <v>68</v>
      </c>
      <c r="G240" s="1158"/>
      <c r="H240" s="1158" t="s">
        <v>7628</v>
      </c>
      <c r="I240" s="260"/>
      <c r="J240" s="1359"/>
      <c r="K240" s="1359"/>
      <c r="L240" s="1360"/>
      <c r="M240" s="1361"/>
      <c r="N240" s="1382" t="s">
        <v>8097</v>
      </c>
      <c r="O240" s="1162" t="s">
        <v>8094</v>
      </c>
      <c r="P240" s="1382" t="s">
        <v>8098</v>
      </c>
      <c r="Q240" s="1364"/>
      <c r="R240" s="1363">
        <v>5</v>
      </c>
      <c r="S240" s="1362"/>
      <c r="T240" s="1359"/>
      <c r="U240" s="1383">
        <f>ESS_DATA[[#This Row],[QUANTITY]]/123</f>
        <v>4.065040650406504E-2</v>
      </c>
      <c r="V240" s="1157" t="s">
        <v>8084</v>
      </c>
      <c r="W240" s="1146" t="s">
        <v>8080</v>
      </c>
      <c r="X240" s="1384" t="str">
        <f>IF(AL240&lt;&gt;"","COMPLETED",IF(AI240&lt;&gt;"","IN-TRANSIT",""))</f>
        <v/>
      </c>
      <c r="Y240" s="1162">
        <v>46313</v>
      </c>
      <c r="Z240" s="1386"/>
      <c r="AA240" s="1363">
        <f>WEEKNUM(ESS_DATA[[#This Row],[Pick-Up Date]])</f>
        <v>0</v>
      </c>
      <c r="AB240" s="1364"/>
      <c r="AC240" s="1358"/>
      <c r="AD240" s="1364"/>
      <c r="AE240" s="1158"/>
      <c r="AF240" s="1146" t="s">
        <v>8085</v>
      </c>
      <c r="AG240" s="1365"/>
      <c r="AH240" s="1365"/>
      <c r="AI240" s="1365"/>
      <c r="AJ240" s="1365"/>
      <c r="AK240" s="1365"/>
      <c r="AL240" s="1388"/>
      <c r="AM240" s="1162" t="s">
        <v>402</v>
      </c>
      <c r="AN240" s="1386"/>
      <c r="AO240" s="1365"/>
      <c r="AP240" s="1365"/>
      <c r="AQ240" s="1364"/>
      <c r="AR240" s="1364"/>
      <c r="AS240" s="1364">
        <f>ESS_DATA[[#This Row],[ETA On S/O]]-ESS_DATA[[#This Row],[ETD On S/O]]+1</f>
        <v>1</v>
      </c>
      <c r="AT240" s="1364"/>
      <c r="AU240" s="1162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1364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366">
        <f>IF(ISERROR(ESS_DATA[[#This Row],[New Ark PO status]]),"",_xlfn.XLOOKUP(ESS_DATA[[#This Row],[SPTN-PVHK New Ark PO'#]],New_Ark_Data[Purchase order Number],New_Ark_Data[Estimated time of arrival],"",0))</f>
        <v>0</v>
      </c>
      <c r="AX240" s="1158">
        <f>IF(ESS_DATA[[#This Row],[New Ark PO Type]]="Offshore",0,IFERROR(VLOOKUP(ESS_DATA[[#This Row],[PORT OF LOADING]]&amp;ESS_DATA[[#This Row],[PORT DESTINATION]],LT_REF[],7,0),14))</f>
        <v>14</v>
      </c>
      <c r="AY240" s="1365">
        <f>IFERROR(ESS_DATA[[#This Row],[ODP ETA Port]]+ESS_DATA[[#This Row],[Customs/Leg3 Assumption]],"n/a")</f>
        <v>14</v>
      </c>
      <c r="AZ240" s="1364">
        <f>YEAR(ESS_DATA[[#This Row],[ETA for New Ark update]])</f>
        <v>1900</v>
      </c>
      <c r="BA240" s="1364">
        <f>MONTH(ESS_DATA[[#This Row],[ETA for New Ark update]])</f>
        <v>1</v>
      </c>
      <c r="BB240" s="1364">
        <f>IFERROR(_xlfn.ISOWEEKNUM(ESS_DATA[[#This Row],[ETA for New Ark update]]),0)</f>
        <v>2</v>
      </c>
      <c r="BC240" s="1364" t="e">
        <f>_xlfn.XLOOKUP(ESS_DATA[[#This Row],[PORT DESTINATION]],Table12[PORT DESTINATION],Table12[Cosco Line],,0)</f>
        <v>#N/A</v>
      </c>
      <c r="BD240" s="1364"/>
      <c r="BE240" s="1158"/>
      <c r="BF240" s="1158"/>
      <c r="BG240" s="1158"/>
      <c r="BH240" s="1158"/>
      <c r="BI240" s="1158"/>
    </row>
    <row r="241" spans="1:61" s="613" customFormat="1" ht="16.5" customHeight="1">
      <c r="A241" s="350" t="s">
        <v>8099</v>
      </c>
      <c r="B241" s="1373" t="s">
        <v>8038</v>
      </c>
      <c r="C241" s="1373" t="str">
        <f>IFERROR(LEFT(ESS_DATA[[#This Row],[TCL REFERENCE]],FIND(".",ESS_DATA[[#This Row],[TCL REFERENCE]],1)-1),"Main Line")</f>
        <v>Main Line</v>
      </c>
      <c r="D241" s="1373" t="s">
        <v>63</v>
      </c>
      <c r="E241" s="1374" t="s">
        <v>64</v>
      </c>
      <c r="F241" s="1375" t="str" cm="1">
        <f t="array" ref="F24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1" s="1373"/>
      <c r="H241" s="1373"/>
      <c r="I241" s="344"/>
      <c r="J241" s="340"/>
      <c r="K241" s="340"/>
      <c r="L241" s="341"/>
      <c r="M241" s="342"/>
      <c r="N241" s="1375" t="s">
        <v>8064</v>
      </c>
      <c r="O241" s="1374" t="s">
        <v>8065</v>
      </c>
      <c r="P241" s="1373" t="s">
        <v>8066</v>
      </c>
      <c r="Q241" s="1376"/>
      <c r="R241" s="1377">
        <v>16</v>
      </c>
      <c r="S241" s="345"/>
      <c r="T241" s="340"/>
      <c r="U241" s="1378">
        <f>ESS_DATA[[#This Row],[QUANTITY]]/16</f>
        <v>1</v>
      </c>
      <c r="V241" s="1379" t="s">
        <v>8100</v>
      </c>
      <c r="W241" s="340" t="s">
        <v>8074</v>
      </c>
      <c r="X241" s="1385" t="str">
        <f t="shared" si="14"/>
        <v/>
      </c>
      <c r="Y241" s="349">
        <v>46303</v>
      </c>
      <c r="Z241" s="1387">
        <v>46307</v>
      </c>
      <c r="AA241" s="1380">
        <f>WEEKNUM(ESS_DATA[[#This Row],[Pick-Up Date]])</f>
        <v>42</v>
      </c>
      <c r="AB241" s="1373"/>
      <c r="AC241" s="340"/>
      <c r="AD241" s="1373" t="s">
        <v>288</v>
      </c>
      <c r="AE241" s="1373"/>
      <c r="AF241" s="343" t="s">
        <v>105</v>
      </c>
      <c r="AG241" s="1387">
        <v>46308</v>
      </c>
      <c r="AH241" s="1216">
        <v>46314</v>
      </c>
      <c r="AI241" s="1216"/>
      <c r="AJ241" s="1216">
        <v>46349</v>
      </c>
      <c r="AK241" s="1216">
        <v>46347</v>
      </c>
      <c r="AL241" s="1216"/>
      <c r="AM241" s="349" t="s">
        <v>402</v>
      </c>
      <c r="AN241" s="1387" t="s">
        <v>8101</v>
      </c>
      <c r="AO241" s="1216" t="s">
        <v>161</v>
      </c>
      <c r="AP241" s="1216" t="s">
        <v>8102</v>
      </c>
      <c r="AQ241" s="1373">
        <v>277702299</v>
      </c>
      <c r="AR241" s="1373">
        <v>277702299</v>
      </c>
      <c r="AS241" s="1373">
        <f>ESS_DATA[[#This Row],[ETA On S/O]]-ESS_DATA[[#This Row],[ETD On S/O]]+1</f>
        <v>42</v>
      </c>
      <c r="AT241" s="1373"/>
      <c r="AU241" s="1216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46347</v>
      </c>
      <c r="AV241" s="137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381" t="str">
        <f>IF(ISERROR(ESS_DATA[[#This Row],[New Ark PO status]]),"",_xlfn.XLOOKUP(ESS_DATA[[#This Row],[SPTN-PVHK New Ark PO'#]],New_Ark_Data[Purchase order Number],New_Ark_Data[Estimated time of arrival],"",0))</f>
        <v/>
      </c>
      <c r="AX241" s="1373">
        <f>IF(ESS_DATA[[#This Row],[New Ark PO Type]]="Offshore",0,IFERROR(VLOOKUP(ESS_DATA[[#This Row],[PORT OF LOADING]]&amp;ESS_DATA[[#This Row],[PORT DESTINATION]],LT_REF[],7,0),14))</f>
        <v>7</v>
      </c>
      <c r="AY241" s="1216">
        <f>IFERROR(ESS_DATA[[#This Row],[ODP ETA Port]]+ESS_DATA[[#This Row],[Customs/Leg3 Assumption]],"n/a")</f>
        <v>46354</v>
      </c>
      <c r="AZ241" s="1375">
        <f>YEAR(ESS_DATA[[#This Row],[ETA for New Ark update]])</f>
        <v>2026</v>
      </c>
      <c r="BA241" s="1375">
        <f>MONTH(ESS_DATA[[#This Row],[ETA for New Ark update]])</f>
        <v>11</v>
      </c>
      <c r="BB241" s="1375">
        <f>IFERROR(_xlfn.ISOWEEKNUM(ESS_DATA[[#This Row],[ETA for New Ark update]]),0)</f>
        <v>48</v>
      </c>
      <c r="BC241" s="1375" t="str">
        <f>_xlfn.XLOOKUP(ESS_DATA[[#This Row],[PORT DESTINATION]],Table12[PORT DESTINATION],Table12[Cosco Line],,0)</f>
        <v>AEU</v>
      </c>
      <c r="BD241" s="1375"/>
      <c r="BE241" s="350"/>
      <c r="BF241" s="350"/>
      <c r="BG241" s="350"/>
      <c r="BH241" s="350"/>
      <c r="BI241" s="350"/>
    </row>
    <row r="242" spans="1:61" s="613" customFormat="1" ht="16.5" customHeight="1">
      <c r="A242" s="351" t="s">
        <v>8103</v>
      </c>
      <c r="B242" s="340" t="s">
        <v>8038</v>
      </c>
      <c r="C242" s="340" t="str">
        <f>IFERROR(LEFT(ESS_DATA[[#This Row],[TCL REFERENCE]],FIND(".",ESS_DATA[[#This Row],[TCL REFERENCE]],1)-1),"Main Line")</f>
        <v>Main Line</v>
      </c>
      <c r="D242" s="340" t="s">
        <v>63</v>
      </c>
      <c r="E242" s="349" t="s">
        <v>64</v>
      </c>
      <c r="F242" s="349"/>
      <c r="G242" s="340"/>
      <c r="H242" s="343"/>
      <c r="I242" s="1260"/>
      <c r="J242" s="340"/>
      <c r="K242" s="340"/>
      <c r="L242" s="341"/>
      <c r="M242" s="342"/>
      <c r="N242" s="343" t="s">
        <v>8104</v>
      </c>
      <c r="O242" s="349" t="s">
        <v>8065</v>
      </c>
      <c r="P242" s="340" t="s">
        <v>8105</v>
      </c>
      <c r="Q242" s="339"/>
      <c r="R242" s="344">
        <v>5</v>
      </c>
      <c r="S242" s="345"/>
      <c r="T242" s="340"/>
      <c r="U242" s="346"/>
      <c r="V242" s="612"/>
      <c r="W242" s="340"/>
      <c r="X242" s="343" t="str">
        <f t="shared" si="14"/>
        <v/>
      </c>
      <c r="Y242" s="1216"/>
      <c r="Z242" s="347"/>
      <c r="AA242" s="348">
        <f>WEEKNUM(ESS_DATA[[#This Row],[Pick-Up Date]])</f>
        <v>0</v>
      </c>
      <c r="AB242" s="340"/>
      <c r="AC242" s="340"/>
      <c r="AD242" s="340"/>
      <c r="AE242" s="340"/>
      <c r="AF242" s="343"/>
      <c r="AG242" s="1389"/>
      <c r="AH242" s="347"/>
      <c r="AI242" s="347"/>
      <c r="AJ242" s="347"/>
      <c r="AK242" s="347"/>
      <c r="AL242" s="347"/>
      <c r="AM242" s="1374"/>
      <c r="AN242" s="347"/>
      <c r="AO242" s="347"/>
      <c r="AP242" s="347"/>
      <c r="AQ242" s="340"/>
      <c r="AR242" s="340"/>
      <c r="AS242" s="340">
        <f>ESS_DATA[[#This Row],[ETA On S/O]]-ESS_DATA[[#This Row],[ETD On S/O]]+1</f>
        <v>1</v>
      </c>
      <c r="AT242" s="340"/>
      <c r="AU242" s="347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4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272" t="str">
        <f>IF(ISERROR(ESS_DATA[[#This Row],[New Ark PO status]]),"",_xlfn.XLOOKUP(ESS_DATA[[#This Row],[SPTN-PVHK New Ark PO'#]],New_Ark_Data[Purchase order Number],New_Ark_Data[Estimated time of arrival],"",0))</f>
        <v/>
      </c>
      <c r="AX242" s="340">
        <f>IF(ESS_DATA[[#This Row],[New Ark PO Type]]="Offshore",0,IFERROR(VLOOKUP(ESS_DATA[[#This Row],[PORT OF LOADING]]&amp;ESS_DATA[[#This Row],[PORT DESTINATION]],LT_REF[],7,0),14))</f>
        <v>14</v>
      </c>
      <c r="AY242" s="347">
        <f>IFERROR(ESS_DATA[[#This Row],[ODP ETA Port]]+ESS_DATA[[#This Row],[Customs/Leg3 Assumption]],"n/a")</f>
        <v>14</v>
      </c>
      <c r="AZ242" s="343">
        <f>YEAR(ESS_DATA[[#This Row],[ETA for New Ark update]])</f>
        <v>1900</v>
      </c>
      <c r="BA242" s="343">
        <f>MONTH(ESS_DATA[[#This Row],[ETA for New Ark update]])</f>
        <v>1</v>
      </c>
      <c r="BB242" s="343">
        <f>IFERROR(_xlfn.ISOWEEKNUM(ESS_DATA[[#This Row],[ETA for New Ark update]]),0)</f>
        <v>2</v>
      </c>
      <c r="BC242" s="343">
        <f>_xlfn.XLOOKUP(ESS_DATA[[#This Row],[PORT DESTINATION]],Table12[PORT DESTINATION],Table12[Cosco Line],,0)</f>
        <v>0</v>
      </c>
      <c r="BD242" s="343"/>
      <c r="BE242" s="350"/>
      <c r="BF242" s="350"/>
      <c r="BG242" s="350"/>
      <c r="BH242" s="350"/>
      <c r="BI242" s="350"/>
    </row>
    <row r="243" spans="1:61" s="893" customFormat="1" ht="15.75" customHeight="1">
      <c r="A243" s="325" t="s">
        <v>8106</v>
      </c>
      <c r="B243" s="327" t="s">
        <v>7423</v>
      </c>
      <c r="C243" s="327" t="str">
        <f>IFERROR(LEFT(ESS_DATA[[#This Row],[TCL REFERENCE]],FIND(".",ESS_DATA[[#This Row],[TCL REFERENCE]],1)-1),"Main Line")</f>
        <v>Main Line</v>
      </c>
      <c r="D243" s="327" t="s">
        <v>63</v>
      </c>
      <c r="E243" s="335" t="s">
        <v>64</v>
      </c>
      <c r="F243" s="326" t="str" cm="1">
        <f t="array" ref="F24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3" s="327"/>
      <c r="H243" s="326"/>
      <c r="I243" s="1261"/>
      <c r="J243" s="327"/>
      <c r="K243" s="327"/>
      <c r="L243" s="328"/>
      <c r="M243" s="329"/>
      <c r="N243" s="892" t="s">
        <v>7471</v>
      </c>
      <c r="O243" s="892" t="s">
        <v>7438</v>
      </c>
      <c r="P243" s="892" t="s">
        <v>7472</v>
      </c>
      <c r="Q243" s="354"/>
      <c r="R243" s="331">
        <v>23</v>
      </c>
      <c r="S243" s="332"/>
      <c r="T243" s="327"/>
      <c r="U243" s="337">
        <f>ESS_DATA[[#This Row],[QUANTITY]]/260</f>
        <v>8.8461538461538466E-2</v>
      </c>
      <c r="V243" s="368" t="s">
        <v>7463</v>
      </c>
      <c r="W243" s="541" t="s">
        <v>8107</v>
      </c>
      <c r="X243" s="326" t="str">
        <f t="shared" ref="X243:X257" si="15">IF(AL243&lt;&gt;"","COMPLETED",IF(AI243&lt;&gt;"","IN-TRANSIT",""))</f>
        <v>IN-TRANSIT</v>
      </c>
      <c r="Y243" s="416">
        <v>46286</v>
      </c>
      <c r="Z243" s="333">
        <v>46287</v>
      </c>
      <c r="AA243" s="334">
        <f>WEEKNUM(ESS_DATA[[#This Row],[Pick-Up Date]])</f>
        <v>39</v>
      </c>
      <c r="AB243" s="892" t="s">
        <v>8108</v>
      </c>
      <c r="AC243" s="325"/>
      <c r="AD243" s="327" t="s">
        <v>122</v>
      </c>
      <c r="AE243" s="327" t="s">
        <v>122</v>
      </c>
      <c r="AF243" s="1144" t="s">
        <v>105</v>
      </c>
      <c r="AG243" s="333">
        <v>46290</v>
      </c>
      <c r="AH243" s="333">
        <v>46294</v>
      </c>
      <c r="AI243" s="333">
        <v>46294</v>
      </c>
      <c r="AJ243" s="333">
        <v>46326</v>
      </c>
      <c r="AK243" s="333">
        <v>46338</v>
      </c>
      <c r="AL243" s="333"/>
      <c r="AM243" s="335" t="s">
        <v>402</v>
      </c>
      <c r="AN243" s="333" t="s">
        <v>6835</v>
      </c>
      <c r="AO243" s="333" t="s">
        <v>80</v>
      </c>
      <c r="AP243" s="333" t="s">
        <v>8109</v>
      </c>
      <c r="AQ243" s="327" t="s">
        <v>8110</v>
      </c>
      <c r="AR243" s="327" t="s">
        <v>8110</v>
      </c>
      <c r="AS243" s="327">
        <f>ESS_DATA[[#This Row],[ETA On S/O]]-ESS_DATA[[#This Row],[ETD On S/O]]+1</f>
        <v>37</v>
      </c>
      <c r="AT243" s="327"/>
      <c r="AU243" s="333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327">
        <f>IF(ESS_DATA[[#This Row],[New Ark PO Type]]="Offshore",0,IFERROR(VLOOKUP(ESS_DATA[[#This Row],[PORT OF LOADING]]&amp;ESS_DATA[[#This Row],[PORT DESTINATION]],LT_REF[],7,0),14))</f>
        <v>7</v>
      </c>
      <c r="AY243" s="333">
        <f>IFERROR(ESS_DATA[[#This Row],[ODP ETA Port]]+ESS_DATA[[#This Row],[Customs/Leg3 Assumption]],"n/a")</f>
        <v>46345</v>
      </c>
      <c r="AZ243" s="326">
        <f>YEAR(ESS_DATA[[#This Row],[ETA for New Ark update]])</f>
        <v>2026</v>
      </c>
      <c r="BA243" s="326">
        <f>MONTH(ESS_DATA[[#This Row],[ETA for New Ark update]])</f>
        <v>11</v>
      </c>
      <c r="BB243" s="326">
        <f>IFERROR(_xlfn.ISOWEEKNUM(ESS_DATA[[#This Row],[ETA for New Ark update]]),0)</f>
        <v>47</v>
      </c>
      <c r="BC243" s="326" t="str">
        <f>_xlfn.XLOOKUP(ESS_DATA[[#This Row],[PORT DESTINATION]],Table12[PORT DESTINATION],Table12[Cosco Line],,0)</f>
        <v>AEU</v>
      </c>
      <c r="BD243" s="326"/>
      <c r="BE243" s="336"/>
      <c r="BF243" s="336"/>
      <c r="BG243" s="336"/>
      <c r="BH243" s="336"/>
      <c r="BI243" s="336"/>
    </row>
    <row r="244" spans="1:61" s="893" customFormat="1" ht="17.25" customHeight="1">
      <c r="A244" s="325" t="s">
        <v>8111</v>
      </c>
      <c r="B244" s="327" t="s">
        <v>7423</v>
      </c>
      <c r="C244" s="327" t="str">
        <f>IFERROR(LEFT(ESS_DATA[[#This Row],[TCL REFERENCE]],FIND(".",ESS_DATA[[#This Row],[TCL REFERENCE]],1)-1),"Main Line")</f>
        <v>Main Line</v>
      </c>
      <c r="D244" s="327" t="s">
        <v>63</v>
      </c>
      <c r="E244" s="335" t="s">
        <v>64</v>
      </c>
      <c r="F244" s="326" t="str" cm="1">
        <f t="array" ref="F24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4" s="327"/>
      <c r="H244" s="1144"/>
      <c r="I244" s="331"/>
      <c r="J244" s="327"/>
      <c r="K244" s="327"/>
      <c r="L244" s="328"/>
      <c r="M244" s="329"/>
      <c r="N244" s="892" t="s">
        <v>7471</v>
      </c>
      <c r="O244" s="892" t="s">
        <v>7438</v>
      </c>
      <c r="P244" s="892" t="s">
        <v>7472</v>
      </c>
      <c r="Q244" s="354"/>
      <c r="R244" s="331">
        <v>1</v>
      </c>
      <c r="S244" s="332"/>
      <c r="T244" s="327"/>
      <c r="U244" s="337">
        <f>ESS_DATA[[#This Row],[QUANTITY]]/260</f>
        <v>3.8461538461538464E-3</v>
      </c>
      <c r="V244" s="368" t="s">
        <v>7463</v>
      </c>
      <c r="W244" s="541" t="s">
        <v>8107</v>
      </c>
      <c r="X244" s="326" t="str">
        <f t="shared" si="15"/>
        <v>IN-TRANSIT</v>
      </c>
      <c r="Y244" s="416">
        <v>46286</v>
      </c>
      <c r="Z244" s="333">
        <v>46287</v>
      </c>
      <c r="AA244" s="334">
        <f>WEEKNUM(ESS_DATA[[#This Row],[Pick-Up Date]])</f>
        <v>39</v>
      </c>
      <c r="AB244" s="892" t="s">
        <v>8108</v>
      </c>
      <c r="AC244" s="325"/>
      <c r="AD244" s="327" t="s">
        <v>122</v>
      </c>
      <c r="AE244" s="327" t="s">
        <v>122</v>
      </c>
      <c r="AF244" s="327" t="s">
        <v>105</v>
      </c>
      <c r="AG244" s="333">
        <v>46290</v>
      </c>
      <c r="AH244" s="333">
        <v>46294</v>
      </c>
      <c r="AI244" s="333">
        <v>46294</v>
      </c>
      <c r="AJ244" s="333">
        <v>46326</v>
      </c>
      <c r="AK244" s="333">
        <v>46338</v>
      </c>
      <c r="AL244" s="333"/>
      <c r="AM244" s="335" t="s">
        <v>402</v>
      </c>
      <c r="AN244" s="333" t="s">
        <v>6835</v>
      </c>
      <c r="AO244" s="333" t="s">
        <v>80</v>
      </c>
      <c r="AP244" s="333" t="s">
        <v>8109</v>
      </c>
      <c r="AQ244" s="327" t="s">
        <v>8110</v>
      </c>
      <c r="AR244" s="327" t="s">
        <v>8110</v>
      </c>
      <c r="AS244" s="327">
        <f>ESS_DATA[[#This Row],[ETA On S/O]]-ESS_DATA[[#This Row],[ETD On S/O]]+1</f>
        <v>37</v>
      </c>
      <c r="AT244" s="327"/>
      <c r="AU244" s="333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327">
        <f>IF(ESS_DATA[[#This Row],[New Ark PO Type]]="Offshore",0,IFERROR(VLOOKUP(ESS_DATA[[#This Row],[PORT OF LOADING]]&amp;ESS_DATA[[#This Row],[PORT DESTINATION]],LT_REF[],7,0),14))</f>
        <v>7</v>
      </c>
      <c r="AY244" s="333">
        <f>IFERROR(ESS_DATA[[#This Row],[ODP ETA Port]]+ESS_DATA[[#This Row],[Customs/Leg3 Assumption]],"n/a")</f>
        <v>46345</v>
      </c>
      <c r="AZ244" s="326">
        <f>YEAR(ESS_DATA[[#This Row],[ETA for New Ark update]])</f>
        <v>2026</v>
      </c>
      <c r="BA244" s="326">
        <f>MONTH(ESS_DATA[[#This Row],[ETA for New Ark update]])</f>
        <v>11</v>
      </c>
      <c r="BB244" s="326">
        <f>IFERROR(_xlfn.ISOWEEKNUM(ESS_DATA[[#This Row],[ETA for New Ark update]]),0)</f>
        <v>47</v>
      </c>
      <c r="BC244" s="326" t="str">
        <f>_xlfn.XLOOKUP(ESS_DATA[[#This Row],[PORT DESTINATION]],Table12[PORT DESTINATION],Table12[Cosco Line],,0)</f>
        <v>AEU</v>
      </c>
      <c r="BD244" s="326"/>
      <c r="BE244" s="336"/>
      <c r="BF244" s="336"/>
      <c r="BG244" s="336"/>
      <c r="BH244" s="336"/>
      <c r="BI244" s="336"/>
    </row>
    <row r="245" spans="1:61" s="893" customFormat="1" ht="15.75" customHeight="1">
      <c r="A245" s="325" t="s">
        <v>8112</v>
      </c>
      <c r="B245" s="327" t="s">
        <v>7423</v>
      </c>
      <c r="C245" s="327" t="str">
        <f>IFERROR(LEFT(ESS_DATA[[#This Row],[TCL REFERENCE]],FIND(".",ESS_DATA[[#This Row],[TCL REFERENCE]],1)-1),"Main Line")</f>
        <v>26OCT002</v>
      </c>
      <c r="D245" s="327" t="s">
        <v>63</v>
      </c>
      <c r="E245" s="335" t="s">
        <v>64</v>
      </c>
      <c r="F245" s="326" t="str" cm="1">
        <f t="array" ref="F24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5" s="327"/>
      <c r="H245" s="327"/>
      <c r="I245" s="331"/>
      <c r="J245" s="327"/>
      <c r="K245" s="327"/>
      <c r="L245" s="328"/>
      <c r="M245" s="329"/>
      <c r="N245" s="892" t="s">
        <v>7437</v>
      </c>
      <c r="O245" s="892" t="s">
        <v>7438</v>
      </c>
      <c r="P245" s="892" t="s">
        <v>7439</v>
      </c>
      <c r="Q245" s="354"/>
      <c r="R245" s="331">
        <v>66</v>
      </c>
      <c r="S245" s="332"/>
      <c r="T245" s="327"/>
      <c r="U245" s="337">
        <f>ESS_DATA[[#This Row],[QUANTITY]]/260</f>
        <v>0.25384615384615383</v>
      </c>
      <c r="V245" s="368" t="s">
        <v>7463</v>
      </c>
      <c r="W245" s="541" t="s">
        <v>8107</v>
      </c>
      <c r="X245" s="326" t="str">
        <f t="shared" si="15"/>
        <v>IN-TRANSIT</v>
      </c>
      <c r="Y245" s="416">
        <v>46286</v>
      </c>
      <c r="Z245" s="333">
        <v>46287</v>
      </c>
      <c r="AA245" s="334">
        <f>WEEKNUM(ESS_DATA[[#This Row],[Pick-Up Date]])</f>
        <v>39</v>
      </c>
      <c r="AB245" s="892" t="s">
        <v>8108</v>
      </c>
      <c r="AC245" s="325"/>
      <c r="AD245" s="327" t="s">
        <v>122</v>
      </c>
      <c r="AE245" s="327" t="s">
        <v>122</v>
      </c>
      <c r="AF245" s="327" t="s">
        <v>105</v>
      </c>
      <c r="AG245" s="333">
        <v>46290</v>
      </c>
      <c r="AH245" s="333">
        <v>46294</v>
      </c>
      <c r="AI245" s="333">
        <v>46294</v>
      </c>
      <c r="AJ245" s="333">
        <v>46326</v>
      </c>
      <c r="AK245" s="333">
        <v>46338</v>
      </c>
      <c r="AL245" s="333"/>
      <c r="AM245" s="335" t="s">
        <v>402</v>
      </c>
      <c r="AN245" s="333" t="s">
        <v>6835</v>
      </c>
      <c r="AO245" s="333" t="s">
        <v>80</v>
      </c>
      <c r="AP245" s="333" t="s">
        <v>8109</v>
      </c>
      <c r="AQ245" s="327" t="s">
        <v>8110</v>
      </c>
      <c r="AR245" s="327" t="s">
        <v>8110</v>
      </c>
      <c r="AS245" s="327">
        <f>ESS_DATA[[#This Row],[ETA On S/O]]-ESS_DATA[[#This Row],[ETD On S/O]]+1</f>
        <v>37</v>
      </c>
      <c r="AT245" s="327"/>
      <c r="AU245" s="333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327">
        <f>IF(ESS_DATA[[#This Row],[New Ark PO Type]]="Offshore",0,IFERROR(VLOOKUP(ESS_DATA[[#This Row],[PORT OF LOADING]]&amp;ESS_DATA[[#This Row],[PORT DESTINATION]],LT_REF[],7,0),14))</f>
        <v>7</v>
      </c>
      <c r="AY245" s="333">
        <f>IFERROR(ESS_DATA[[#This Row],[ODP ETA Port]]+ESS_DATA[[#This Row],[Customs/Leg3 Assumption]],"n/a")</f>
        <v>46345</v>
      </c>
      <c r="AZ245" s="326">
        <f>YEAR(ESS_DATA[[#This Row],[ETA for New Ark update]])</f>
        <v>2026</v>
      </c>
      <c r="BA245" s="326">
        <f>MONTH(ESS_DATA[[#This Row],[ETA for New Ark update]])</f>
        <v>11</v>
      </c>
      <c r="BB245" s="326">
        <f>IFERROR(_xlfn.ISOWEEKNUM(ESS_DATA[[#This Row],[ETA for New Ark update]]),0)</f>
        <v>47</v>
      </c>
      <c r="BC245" s="326" t="str">
        <f>_xlfn.XLOOKUP(ESS_DATA[[#This Row],[PORT DESTINATION]],Table12[PORT DESTINATION],Table12[Cosco Line],,0)</f>
        <v>AEU</v>
      </c>
      <c r="BD245" s="326"/>
      <c r="BE245" s="336"/>
      <c r="BF245" s="336"/>
      <c r="BG245" s="336"/>
      <c r="BH245" s="336"/>
      <c r="BI245" s="336"/>
    </row>
    <row r="246" spans="1:61" s="893" customFormat="1" ht="16.5" customHeight="1">
      <c r="A246" s="325" t="s">
        <v>8113</v>
      </c>
      <c r="B246" s="327" t="s">
        <v>7423</v>
      </c>
      <c r="C246" s="327" t="str">
        <f>IFERROR(LEFT(ESS_DATA[[#This Row],[TCL REFERENCE]],FIND(".",ESS_DATA[[#This Row],[TCL REFERENCE]],1)-1),"Main Line")</f>
        <v>Main Line</v>
      </c>
      <c r="D246" s="327" t="s">
        <v>63</v>
      </c>
      <c r="E246" s="335" t="s">
        <v>64</v>
      </c>
      <c r="F246" s="326" t="str" cm="1">
        <f t="array" ref="F24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6" s="327"/>
      <c r="H246" s="327"/>
      <c r="I246" s="331"/>
      <c r="J246" s="327"/>
      <c r="K246" s="327"/>
      <c r="L246" s="328"/>
      <c r="M246" s="329"/>
      <c r="N246" s="892" t="s">
        <v>7437</v>
      </c>
      <c r="O246" s="892" t="s">
        <v>7438</v>
      </c>
      <c r="P246" s="892" t="s">
        <v>7439</v>
      </c>
      <c r="Q246" s="354"/>
      <c r="R246" s="331">
        <v>10</v>
      </c>
      <c r="S246" s="332"/>
      <c r="T246" s="327"/>
      <c r="U246" s="337">
        <f>ESS_DATA[[#This Row],[QUANTITY]]/260</f>
        <v>3.8461538461538464E-2</v>
      </c>
      <c r="V246" s="368" t="s">
        <v>7463</v>
      </c>
      <c r="W246" s="541" t="s">
        <v>8107</v>
      </c>
      <c r="X246" s="326" t="str">
        <f t="shared" si="15"/>
        <v>IN-TRANSIT</v>
      </c>
      <c r="Y246" s="416">
        <v>46286</v>
      </c>
      <c r="Z246" s="333">
        <v>46287</v>
      </c>
      <c r="AA246" s="334">
        <f>WEEKNUM(ESS_DATA[[#This Row],[Pick-Up Date]])</f>
        <v>39</v>
      </c>
      <c r="AB246" s="892" t="s">
        <v>8108</v>
      </c>
      <c r="AC246" s="325"/>
      <c r="AD246" s="327" t="s">
        <v>122</v>
      </c>
      <c r="AE246" s="327" t="s">
        <v>122</v>
      </c>
      <c r="AF246" s="327" t="s">
        <v>105</v>
      </c>
      <c r="AG246" s="333">
        <v>46290</v>
      </c>
      <c r="AH246" s="333">
        <v>46294</v>
      </c>
      <c r="AI246" s="333">
        <v>46294</v>
      </c>
      <c r="AJ246" s="333">
        <v>46326</v>
      </c>
      <c r="AK246" s="333">
        <v>46338</v>
      </c>
      <c r="AL246" s="333"/>
      <c r="AM246" s="335" t="s">
        <v>402</v>
      </c>
      <c r="AN246" s="333" t="s">
        <v>6835</v>
      </c>
      <c r="AO246" s="333" t="s">
        <v>80</v>
      </c>
      <c r="AP246" s="333" t="s">
        <v>8109</v>
      </c>
      <c r="AQ246" s="327" t="s">
        <v>8110</v>
      </c>
      <c r="AR246" s="327" t="s">
        <v>8110</v>
      </c>
      <c r="AS246" s="327">
        <f>ESS_DATA[[#This Row],[ETA On S/O]]-ESS_DATA[[#This Row],[ETD On S/O]]+1</f>
        <v>37</v>
      </c>
      <c r="AT246" s="327"/>
      <c r="AU246" s="333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4" t="str">
        <f>IF(ISERROR(ESS_DATA[[#This Row],[New Ark PO status]]),"",_xlfn.XLOOKUP(ESS_DATA[[#This Row],[SPTN-PVHK New Ark PO'#]],New_Ark_Data[Purchase order Number],New_Ark_Data[Estimated time of arrival],"",0))</f>
        <v/>
      </c>
      <c r="AX246" s="327">
        <f>IF(ESS_DATA[[#This Row],[New Ark PO Type]]="Offshore",0,IFERROR(VLOOKUP(ESS_DATA[[#This Row],[PORT OF LOADING]]&amp;ESS_DATA[[#This Row],[PORT DESTINATION]],LT_REF[],7,0),14))</f>
        <v>7</v>
      </c>
      <c r="AY246" s="333">
        <f>IFERROR(ESS_DATA[[#This Row],[ODP ETA Port]]+ESS_DATA[[#This Row],[Customs/Leg3 Assumption]],"n/a")</f>
        <v>46345</v>
      </c>
      <c r="AZ246" s="326">
        <f>YEAR(ESS_DATA[[#This Row],[ETA for New Ark update]])</f>
        <v>2026</v>
      </c>
      <c r="BA246" s="326">
        <f>MONTH(ESS_DATA[[#This Row],[ETA for New Ark update]])</f>
        <v>11</v>
      </c>
      <c r="BB246" s="326">
        <f>IFERROR(_xlfn.ISOWEEKNUM(ESS_DATA[[#This Row],[ETA for New Ark update]]),0)</f>
        <v>47</v>
      </c>
      <c r="BC246" s="326" t="str">
        <f>_xlfn.XLOOKUP(ESS_DATA[[#This Row],[PORT DESTINATION]],Table12[PORT DESTINATION],Table12[Cosco Line],,0)</f>
        <v>AEU</v>
      </c>
      <c r="BD246" s="326"/>
      <c r="BE246" s="336"/>
      <c r="BF246" s="336"/>
      <c r="BG246" s="336"/>
      <c r="BH246" s="336"/>
      <c r="BI246" s="336"/>
    </row>
    <row r="247" spans="1:61" s="893" customFormat="1" ht="17.25" customHeight="1">
      <c r="A247" s="325" t="s">
        <v>8114</v>
      </c>
      <c r="B247" s="327" t="s">
        <v>7423</v>
      </c>
      <c r="C247" s="327" t="str">
        <f>IFERROR(LEFT(ESS_DATA[[#This Row],[TCL REFERENCE]],FIND(".",ESS_DATA[[#This Row],[TCL REFERENCE]],1)-1),"Main Line")</f>
        <v>Main Line</v>
      </c>
      <c r="D247" s="327" t="s">
        <v>63</v>
      </c>
      <c r="E247" s="335" t="s">
        <v>64</v>
      </c>
      <c r="F247" s="326" t="str" cm="1">
        <f t="array" ref="F24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7" s="327"/>
      <c r="H247" s="327"/>
      <c r="I247" s="331"/>
      <c r="J247" s="327"/>
      <c r="K247" s="327"/>
      <c r="L247" s="328"/>
      <c r="M247" s="329"/>
      <c r="N247" s="892" t="s">
        <v>7446</v>
      </c>
      <c r="O247" s="892" t="s">
        <v>7438</v>
      </c>
      <c r="P247" s="892" t="s">
        <v>7447</v>
      </c>
      <c r="Q247" s="354"/>
      <c r="R247" s="331">
        <v>29</v>
      </c>
      <c r="S247" s="332"/>
      <c r="T247" s="327"/>
      <c r="U247" s="337">
        <f>ESS_DATA[[#This Row],[QUANTITY]]/260</f>
        <v>0.11153846153846154</v>
      </c>
      <c r="V247" s="368" t="s">
        <v>7463</v>
      </c>
      <c r="W247" s="541" t="s">
        <v>8107</v>
      </c>
      <c r="X247" s="326" t="str">
        <f t="shared" si="15"/>
        <v>IN-TRANSIT</v>
      </c>
      <c r="Y247" s="416">
        <v>46286</v>
      </c>
      <c r="Z247" s="333">
        <v>46287</v>
      </c>
      <c r="AA247" s="334">
        <f>WEEKNUM(ESS_DATA[[#This Row],[Pick-Up Date]])</f>
        <v>39</v>
      </c>
      <c r="AB247" s="892" t="s">
        <v>8108</v>
      </c>
      <c r="AC247" s="325"/>
      <c r="AD247" s="327" t="s">
        <v>122</v>
      </c>
      <c r="AE247" s="327" t="s">
        <v>122</v>
      </c>
      <c r="AF247" s="327" t="s">
        <v>105</v>
      </c>
      <c r="AG247" s="333">
        <v>46290</v>
      </c>
      <c r="AH247" s="333">
        <v>46294</v>
      </c>
      <c r="AI247" s="333">
        <v>46294</v>
      </c>
      <c r="AJ247" s="333">
        <v>46326</v>
      </c>
      <c r="AK247" s="333">
        <v>46338</v>
      </c>
      <c r="AL247" s="333"/>
      <c r="AM247" s="335" t="s">
        <v>402</v>
      </c>
      <c r="AN247" s="333" t="s">
        <v>6835</v>
      </c>
      <c r="AO247" s="333" t="s">
        <v>80</v>
      </c>
      <c r="AP247" s="333" t="s">
        <v>8109</v>
      </c>
      <c r="AQ247" s="327" t="s">
        <v>8110</v>
      </c>
      <c r="AR247" s="327" t="s">
        <v>8110</v>
      </c>
      <c r="AS247" s="327">
        <f>ESS_DATA[[#This Row],[ETA On S/O]]-ESS_DATA[[#This Row],[ETD On S/O]]+1</f>
        <v>37</v>
      </c>
      <c r="AT247" s="327"/>
      <c r="AU247" s="333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4" t="str">
        <f>IF(ISERROR(ESS_DATA[[#This Row],[New Ark PO status]]),"",_xlfn.XLOOKUP(ESS_DATA[[#This Row],[SPTN-PVHK New Ark PO'#]],New_Ark_Data[Purchase order Number],New_Ark_Data[Estimated time of arrival],"",0))</f>
        <v/>
      </c>
      <c r="AX247" s="327">
        <f>IF(ESS_DATA[[#This Row],[New Ark PO Type]]="Offshore",0,IFERROR(VLOOKUP(ESS_DATA[[#This Row],[PORT OF LOADING]]&amp;ESS_DATA[[#This Row],[PORT DESTINATION]],LT_REF[],7,0),14))</f>
        <v>7</v>
      </c>
      <c r="AY247" s="333">
        <f>IFERROR(ESS_DATA[[#This Row],[ODP ETA Port]]+ESS_DATA[[#This Row],[Customs/Leg3 Assumption]],"n/a")</f>
        <v>46345</v>
      </c>
      <c r="AZ247" s="326">
        <f>YEAR(ESS_DATA[[#This Row],[ETA for New Ark update]])</f>
        <v>2026</v>
      </c>
      <c r="BA247" s="326">
        <f>MONTH(ESS_DATA[[#This Row],[ETA for New Ark update]])</f>
        <v>11</v>
      </c>
      <c r="BB247" s="326">
        <f>IFERROR(_xlfn.ISOWEEKNUM(ESS_DATA[[#This Row],[ETA for New Ark update]]),0)</f>
        <v>47</v>
      </c>
      <c r="BC247" s="326" t="str">
        <f>_xlfn.XLOOKUP(ESS_DATA[[#This Row],[PORT DESTINATION]],Table12[PORT DESTINATION],Table12[Cosco Line],,0)</f>
        <v>AEU</v>
      </c>
      <c r="BD247" s="326"/>
      <c r="BE247" s="336"/>
      <c r="BF247" s="336"/>
      <c r="BG247" s="336"/>
      <c r="BH247" s="336"/>
      <c r="BI247" s="336"/>
    </row>
    <row r="248" spans="1:61" s="893" customFormat="1" ht="14.25" customHeight="1">
      <c r="A248" s="325" t="s">
        <v>8115</v>
      </c>
      <c r="B248" s="327" t="s">
        <v>7423</v>
      </c>
      <c r="C248" s="327" t="str">
        <f>IFERROR(LEFT(ESS_DATA[[#This Row],[TCL REFERENCE]],FIND(".",ESS_DATA[[#This Row],[TCL REFERENCE]],1)-1),"Main Line")</f>
        <v>Main Line</v>
      </c>
      <c r="D248" s="327" t="s">
        <v>63</v>
      </c>
      <c r="E248" s="335" t="s">
        <v>64</v>
      </c>
      <c r="F248" s="326" t="str" cm="1">
        <f t="array" ref="F24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8" s="327"/>
      <c r="H248" s="327"/>
      <c r="I248" s="331"/>
      <c r="J248" s="327"/>
      <c r="K248" s="327"/>
      <c r="L248" s="328"/>
      <c r="M248" s="329"/>
      <c r="N248" s="892" t="s">
        <v>7446</v>
      </c>
      <c r="O248" s="892" t="s">
        <v>7438</v>
      </c>
      <c r="P248" s="892" t="s">
        <v>7447</v>
      </c>
      <c r="Q248" s="354"/>
      <c r="R248" s="331">
        <v>1</v>
      </c>
      <c r="S248" s="332"/>
      <c r="T248" s="327"/>
      <c r="U248" s="337">
        <f>ESS_DATA[[#This Row],[QUANTITY]]/260</f>
        <v>3.8461538461538464E-3</v>
      </c>
      <c r="V248" s="368" t="s">
        <v>7463</v>
      </c>
      <c r="W248" s="541" t="s">
        <v>8107</v>
      </c>
      <c r="X248" s="326" t="str">
        <f t="shared" si="15"/>
        <v>IN-TRANSIT</v>
      </c>
      <c r="Y248" s="416">
        <v>46286</v>
      </c>
      <c r="Z248" s="333">
        <v>46287</v>
      </c>
      <c r="AA248" s="334">
        <f>WEEKNUM(ESS_DATA[[#This Row],[Pick-Up Date]])</f>
        <v>39</v>
      </c>
      <c r="AB248" s="892" t="s">
        <v>8108</v>
      </c>
      <c r="AC248" s="325"/>
      <c r="AD248" s="327" t="s">
        <v>122</v>
      </c>
      <c r="AE248" s="327" t="s">
        <v>122</v>
      </c>
      <c r="AF248" s="327" t="s">
        <v>105</v>
      </c>
      <c r="AG248" s="333">
        <v>46290</v>
      </c>
      <c r="AH248" s="333">
        <v>46294</v>
      </c>
      <c r="AI248" s="333">
        <v>46294</v>
      </c>
      <c r="AJ248" s="333">
        <v>46326</v>
      </c>
      <c r="AK248" s="333">
        <v>46338</v>
      </c>
      <c r="AL248" s="333"/>
      <c r="AM248" s="335" t="s">
        <v>402</v>
      </c>
      <c r="AN248" s="333" t="s">
        <v>6835</v>
      </c>
      <c r="AO248" s="333" t="s">
        <v>80</v>
      </c>
      <c r="AP248" s="333" t="s">
        <v>8109</v>
      </c>
      <c r="AQ248" s="327" t="s">
        <v>8110</v>
      </c>
      <c r="AR248" s="327" t="s">
        <v>8110</v>
      </c>
      <c r="AS248" s="327">
        <f>ESS_DATA[[#This Row],[ETA On S/O]]-ESS_DATA[[#This Row],[ETD On S/O]]+1</f>
        <v>37</v>
      </c>
      <c r="AT248" s="327"/>
      <c r="AU248" s="333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4" t="str">
        <f>IF(ISERROR(ESS_DATA[[#This Row],[New Ark PO status]]),"",_xlfn.XLOOKUP(ESS_DATA[[#This Row],[SPTN-PVHK New Ark PO'#]],New_Ark_Data[Purchase order Number],New_Ark_Data[Estimated time of arrival],"",0))</f>
        <v/>
      </c>
      <c r="AX248" s="327">
        <f>IF(ESS_DATA[[#This Row],[New Ark PO Type]]="Offshore",0,IFERROR(VLOOKUP(ESS_DATA[[#This Row],[PORT OF LOADING]]&amp;ESS_DATA[[#This Row],[PORT DESTINATION]],LT_REF[],7,0),14))</f>
        <v>7</v>
      </c>
      <c r="AY248" s="333">
        <f>IFERROR(ESS_DATA[[#This Row],[ODP ETA Port]]+ESS_DATA[[#This Row],[Customs/Leg3 Assumption]],"n/a")</f>
        <v>46345</v>
      </c>
      <c r="AZ248" s="326">
        <f>YEAR(ESS_DATA[[#This Row],[ETA for New Ark update]])</f>
        <v>2026</v>
      </c>
      <c r="BA248" s="326">
        <f>MONTH(ESS_DATA[[#This Row],[ETA for New Ark update]])</f>
        <v>11</v>
      </c>
      <c r="BB248" s="326">
        <f>IFERROR(_xlfn.ISOWEEKNUM(ESS_DATA[[#This Row],[ETA for New Ark update]]),0)</f>
        <v>47</v>
      </c>
      <c r="BC248" s="326" t="str">
        <f>_xlfn.XLOOKUP(ESS_DATA[[#This Row],[PORT DESTINATION]],Table12[PORT DESTINATION],Table12[Cosco Line],,0)</f>
        <v>AEU</v>
      </c>
      <c r="BD248" s="326"/>
      <c r="BE248" s="336"/>
      <c r="BF248" s="336"/>
      <c r="BG248" s="336"/>
      <c r="BH248" s="336"/>
      <c r="BI248" s="336"/>
    </row>
    <row r="249" spans="1:61" s="893" customFormat="1" ht="15.75" customHeight="1">
      <c r="A249" s="325" t="s">
        <v>8116</v>
      </c>
      <c r="B249" s="327" t="s">
        <v>7423</v>
      </c>
      <c r="C249" s="327" t="str">
        <f>IFERROR(LEFT(ESS_DATA[[#This Row],[TCL REFERENCE]],FIND(".",ESS_DATA[[#This Row],[TCL REFERENCE]],1)-1),"Main Line")</f>
        <v>26OCT004</v>
      </c>
      <c r="D249" s="327" t="s">
        <v>63</v>
      </c>
      <c r="E249" s="335" t="s">
        <v>64</v>
      </c>
      <c r="F249" s="326" t="str" cm="1">
        <f t="array" ref="F24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9" s="327"/>
      <c r="H249" s="327"/>
      <c r="I249" s="331"/>
      <c r="J249" s="327"/>
      <c r="K249" s="327"/>
      <c r="L249" s="328"/>
      <c r="M249" s="329"/>
      <c r="N249" s="892" t="s">
        <v>7449</v>
      </c>
      <c r="O249" s="892" t="s">
        <v>7646</v>
      </c>
      <c r="P249" s="892" t="s">
        <v>7451</v>
      </c>
      <c r="Q249" s="354"/>
      <c r="R249" s="331">
        <v>119</v>
      </c>
      <c r="S249" s="332"/>
      <c r="T249" s="327"/>
      <c r="U249" s="337">
        <f>ESS_DATA[[#This Row],[QUANTITY]]/260</f>
        <v>0.45769230769230768</v>
      </c>
      <c r="V249" s="368" t="s">
        <v>7463</v>
      </c>
      <c r="W249" s="541" t="s">
        <v>8107</v>
      </c>
      <c r="X249" s="326" t="str">
        <f t="shared" si="15"/>
        <v>IN-TRANSIT</v>
      </c>
      <c r="Y249" s="416">
        <v>46286</v>
      </c>
      <c r="Z249" s="333">
        <v>46287</v>
      </c>
      <c r="AA249" s="334">
        <f>WEEKNUM(ESS_DATA[[#This Row],[Pick-Up Date]])</f>
        <v>39</v>
      </c>
      <c r="AB249" s="892" t="s">
        <v>8108</v>
      </c>
      <c r="AC249" s="325"/>
      <c r="AD249" s="327" t="s">
        <v>122</v>
      </c>
      <c r="AE249" s="327" t="s">
        <v>122</v>
      </c>
      <c r="AF249" s="327" t="s">
        <v>105</v>
      </c>
      <c r="AG249" s="333">
        <v>46290</v>
      </c>
      <c r="AH249" s="333">
        <v>46294</v>
      </c>
      <c r="AI249" s="333">
        <v>46294</v>
      </c>
      <c r="AJ249" s="333">
        <v>46326</v>
      </c>
      <c r="AK249" s="333">
        <v>46338</v>
      </c>
      <c r="AL249" s="333"/>
      <c r="AM249" s="335" t="s">
        <v>402</v>
      </c>
      <c r="AN249" s="333" t="s">
        <v>6835</v>
      </c>
      <c r="AO249" s="333" t="s">
        <v>80</v>
      </c>
      <c r="AP249" s="333" t="s">
        <v>8109</v>
      </c>
      <c r="AQ249" s="327" t="s">
        <v>8110</v>
      </c>
      <c r="AR249" s="327" t="s">
        <v>8110</v>
      </c>
      <c r="AS249" s="327">
        <f>ESS_DATA[[#This Row],[ETA On S/O]]-ESS_DATA[[#This Row],[ETD On S/O]]+1</f>
        <v>37</v>
      </c>
      <c r="AT249" s="327"/>
      <c r="AU249" s="333" cm="1">
        <f t="array" ref="AU2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9" s="14" t="str">
        <f>IF(ISERROR(ESS_DATA[[#This Row],[New Ark PO status]]),"",_xlfn.XLOOKUP(ESS_DATA[[#This Row],[SPTN-PVHK New Ark PO'#]],New_Ark_Data[Purchase order Number],New_Ark_Data[Estimated time of arrival],"",0))</f>
        <v/>
      </c>
      <c r="AX249" s="327">
        <f>IF(ESS_DATA[[#This Row],[New Ark PO Type]]="Offshore",0,IFERROR(VLOOKUP(ESS_DATA[[#This Row],[PORT OF LOADING]]&amp;ESS_DATA[[#This Row],[PORT DESTINATION]],LT_REF[],7,0),14))</f>
        <v>7</v>
      </c>
      <c r="AY249" s="333">
        <f>IFERROR(ESS_DATA[[#This Row],[ODP ETA Port]]+ESS_DATA[[#This Row],[Customs/Leg3 Assumption]],"n/a")</f>
        <v>46345</v>
      </c>
      <c r="AZ249" s="326">
        <f>YEAR(ESS_DATA[[#This Row],[ETA for New Ark update]])</f>
        <v>2026</v>
      </c>
      <c r="BA249" s="326">
        <f>MONTH(ESS_DATA[[#This Row],[ETA for New Ark update]])</f>
        <v>11</v>
      </c>
      <c r="BB249" s="326">
        <f>IFERROR(_xlfn.ISOWEEKNUM(ESS_DATA[[#This Row],[ETA for New Ark update]]),0)</f>
        <v>47</v>
      </c>
      <c r="BC249" s="326" t="str">
        <f>_xlfn.XLOOKUP(ESS_DATA[[#This Row],[PORT DESTINATION]],Table12[PORT DESTINATION],Table12[Cosco Line],,0)</f>
        <v>AEU</v>
      </c>
      <c r="BD249" s="326"/>
      <c r="BE249" s="336"/>
      <c r="BF249" s="336"/>
      <c r="BG249" s="336"/>
      <c r="BH249" s="336"/>
      <c r="BI249" s="336"/>
    </row>
    <row r="250" spans="1:61" s="893" customFormat="1" ht="17.25" customHeight="1">
      <c r="A250" s="325" t="s">
        <v>8117</v>
      </c>
      <c r="B250" s="327" t="s">
        <v>7423</v>
      </c>
      <c r="C250" s="327" t="str">
        <f>IFERROR(LEFT(ESS_DATA[[#This Row],[TCL REFERENCE]],FIND(".",ESS_DATA[[#This Row],[TCL REFERENCE]],1)-1),"Main Line")</f>
        <v>Main Line</v>
      </c>
      <c r="D250" s="327" t="s">
        <v>63</v>
      </c>
      <c r="E250" s="335" t="s">
        <v>64</v>
      </c>
      <c r="F250" s="326" t="str" cm="1">
        <f t="array" ref="F25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50" s="327"/>
      <c r="H250" s="327"/>
      <c r="I250" s="331"/>
      <c r="J250" s="327"/>
      <c r="K250" s="327"/>
      <c r="L250" s="328"/>
      <c r="M250" s="329"/>
      <c r="N250" s="892" t="s">
        <v>7449</v>
      </c>
      <c r="O250" s="892" t="s">
        <v>7646</v>
      </c>
      <c r="P250" s="892" t="s">
        <v>7451</v>
      </c>
      <c r="Q250" s="354"/>
      <c r="R250" s="331">
        <v>11</v>
      </c>
      <c r="S250" s="332"/>
      <c r="T250" s="327"/>
      <c r="U250" s="337">
        <f>ESS_DATA[[#This Row],[QUANTITY]]/260</f>
        <v>4.230769230769231E-2</v>
      </c>
      <c r="V250" s="368" t="s">
        <v>7463</v>
      </c>
      <c r="W250" s="541" t="s">
        <v>8107</v>
      </c>
      <c r="X250" s="326" t="str">
        <f t="shared" si="15"/>
        <v>IN-TRANSIT</v>
      </c>
      <c r="Y250" s="416">
        <v>46286</v>
      </c>
      <c r="Z250" s="333">
        <v>46287</v>
      </c>
      <c r="AA250" s="334">
        <f>WEEKNUM(ESS_DATA[[#This Row],[Pick-Up Date]])</f>
        <v>39</v>
      </c>
      <c r="AB250" s="892" t="s">
        <v>8108</v>
      </c>
      <c r="AC250" s="325"/>
      <c r="AD250" s="327" t="s">
        <v>122</v>
      </c>
      <c r="AE250" s="327" t="s">
        <v>122</v>
      </c>
      <c r="AF250" s="327" t="s">
        <v>105</v>
      </c>
      <c r="AG250" s="333">
        <v>46290</v>
      </c>
      <c r="AH250" s="333">
        <v>46294</v>
      </c>
      <c r="AI250" s="333">
        <v>46294</v>
      </c>
      <c r="AJ250" s="333">
        <v>46326</v>
      </c>
      <c r="AK250" s="333">
        <v>46338</v>
      </c>
      <c r="AL250" s="333"/>
      <c r="AM250" s="335" t="s">
        <v>402</v>
      </c>
      <c r="AN250" s="333" t="s">
        <v>6835</v>
      </c>
      <c r="AO250" s="333" t="s">
        <v>80</v>
      </c>
      <c r="AP250" s="333" t="s">
        <v>8109</v>
      </c>
      <c r="AQ250" s="327" t="s">
        <v>8110</v>
      </c>
      <c r="AR250" s="327" t="s">
        <v>8110</v>
      </c>
      <c r="AS250" s="327">
        <f>ESS_DATA[[#This Row],[ETA On S/O]]-ESS_DATA[[#This Row],[ETD On S/O]]+1</f>
        <v>37</v>
      </c>
      <c r="AT250" s="327"/>
      <c r="AU250" s="333" cm="1">
        <f t="array" ref="AU2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46338</v>
      </c>
      <c r="AV2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0" s="14" t="str">
        <f>IF(ISERROR(ESS_DATA[[#This Row],[New Ark PO status]]),"",_xlfn.XLOOKUP(ESS_DATA[[#This Row],[SPTN-PVHK New Ark PO'#]],New_Ark_Data[Purchase order Number],New_Ark_Data[Estimated time of arrival],"",0))</f>
        <v/>
      </c>
      <c r="AX250" s="327">
        <f>IF(ESS_DATA[[#This Row],[New Ark PO Type]]="Offshore",0,IFERROR(VLOOKUP(ESS_DATA[[#This Row],[PORT OF LOADING]]&amp;ESS_DATA[[#This Row],[PORT DESTINATION]],LT_REF[],7,0),14))</f>
        <v>7</v>
      </c>
      <c r="AY250" s="333">
        <f>IFERROR(ESS_DATA[[#This Row],[ODP ETA Port]]+ESS_DATA[[#This Row],[Customs/Leg3 Assumption]],"n/a")</f>
        <v>46345</v>
      </c>
      <c r="AZ250" s="326">
        <f>YEAR(ESS_DATA[[#This Row],[ETA for New Ark update]])</f>
        <v>2026</v>
      </c>
      <c r="BA250" s="326">
        <f>MONTH(ESS_DATA[[#This Row],[ETA for New Ark update]])</f>
        <v>11</v>
      </c>
      <c r="BB250" s="326">
        <f>IFERROR(_xlfn.ISOWEEKNUM(ESS_DATA[[#This Row],[ETA for New Ark update]]),0)</f>
        <v>47</v>
      </c>
      <c r="BC250" s="326" t="str">
        <f>_xlfn.XLOOKUP(ESS_DATA[[#This Row],[PORT DESTINATION]],Table12[PORT DESTINATION],Table12[Cosco Line],,0)</f>
        <v>AEU</v>
      </c>
      <c r="BD250" s="326"/>
      <c r="BE250" s="336"/>
      <c r="BF250" s="336"/>
      <c r="BG250" s="336"/>
      <c r="BH250" s="336"/>
      <c r="BI250" s="336"/>
    </row>
    <row r="251" spans="1:61" s="893" customFormat="1" ht="17.25" customHeight="1">
      <c r="A251" s="325" t="s">
        <v>8118</v>
      </c>
      <c r="B251" s="327" t="s">
        <v>7423</v>
      </c>
      <c r="C251" s="327" t="str">
        <f>IFERROR(LEFT(ESS_DATA[[#This Row],[TCL REFERENCE]],FIND(".",ESS_DATA[[#This Row],[TCL REFERENCE]],1)-1),"Main Line")</f>
        <v>Main Line</v>
      </c>
      <c r="D251" s="327" t="s">
        <v>63</v>
      </c>
      <c r="E251" s="335" t="s">
        <v>64</v>
      </c>
      <c r="F251" s="326" t="str" cm="1">
        <f t="array" ref="F25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1" s="327"/>
      <c r="H251" s="327"/>
      <c r="I251" s="326"/>
      <c r="J251" s="327"/>
      <c r="K251" s="327"/>
      <c r="L251" s="328"/>
      <c r="M251" s="329"/>
      <c r="N251" s="894" t="s">
        <v>7425</v>
      </c>
      <c r="O251" s="892" t="s">
        <v>7595</v>
      </c>
      <c r="P251" s="894" t="s">
        <v>7427</v>
      </c>
      <c r="Q251" s="354"/>
      <c r="R251" s="402">
        <v>108</v>
      </c>
      <c r="S251" s="332"/>
      <c r="T251" s="327"/>
      <c r="U251" s="337">
        <f>ESS_DATA[[#This Row],[QUANTITY]]/130</f>
        <v>0.83076923076923082</v>
      </c>
      <c r="V251" s="368" t="s">
        <v>7469</v>
      </c>
      <c r="W251" s="541" t="s">
        <v>8080</v>
      </c>
      <c r="X251" s="327"/>
      <c r="Y251" s="416">
        <v>46307</v>
      </c>
      <c r="Z251" s="333">
        <v>46311</v>
      </c>
      <c r="AA251" s="334">
        <f>WEEKNUM(ESS_DATA[[#This Row],[Pick-Up Date]])</f>
        <v>42</v>
      </c>
      <c r="AB251" s="1144"/>
      <c r="AC251" s="327"/>
      <c r="AD251" s="327" t="s">
        <v>122</v>
      </c>
      <c r="AE251" s="327" t="s">
        <v>122</v>
      </c>
      <c r="AF251" s="41" t="s">
        <v>314</v>
      </c>
      <c r="AG251" s="333">
        <v>46318</v>
      </c>
      <c r="AH251" s="333">
        <v>46318</v>
      </c>
      <c r="AI251" s="333"/>
      <c r="AJ251" s="333">
        <v>46365</v>
      </c>
      <c r="AK251" s="333">
        <v>46365</v>
      </c>
      <c r="AL251" s="333"/>
      <c r="AM251" s="335" t="s">
        <v>402</v>
      </c>
      <c r="AN251" s="333" t="s">
        <v>8119</v>
      </c>
      <c r="AO251" s="333" t="s">
        <v>80</v>
      </c>
      <c r="AP251" s="333" t="s">
        <v>8120</v>
      </c>
      <c r="AQ251" s="327" t="s">
        <v>8121</v>
      </c>
      <c r="AR251" s="327" t="s">
        <v>8121</v>
      </c>
      <c r="AS251" s="327">
        <f>ESS_DATA[[#This Row],[ETA On S/O]]-ESS_DATA[[#This Row],[ETD On S/O]]+1</f>
        <v>48</v>
      </c>
      <c r="AT251" s="327"/>
      <c r="AU251" s="333"/>
      <c r="AV2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1" s="14" t="str">
        <f>IF(ISERROR(ESS_DATA[[#This Row],[New Ark PO status]]),"",_xlfn.XLOOKUP(ESS_DATA[[#This Row],[SPTN-PVHK New Ark PO'#]],New_Ark_Data[Purchase order Number],New_Ark_Data[Estimated time of arrival],"",0))</f>
        <v/>
      </c>
      <c r="AX251" s="327"/>
      <c r="AY251" s="333"/>
      <c r="AZ251" s="326"/>
      <c r="BA251" s="326"/>
      <c r="BB251" s="326"/>
      <c r="BC251" s="326"/>
      <c r="BD251" s="326"/>
      <c r="BE251" s="336"/>
      <c r="BF251" s="336"/>
      <c r="BG251" s="336"/>
      <c r="BH251" s="336"/>
      <c r="BI251" s="336"/>
    </row>
    <row r="252" spans="1:61" s="893" customFormat="1" ht="17.25" customHeight="1">
      <c r="A252" s="325" t="s">
        <v>8122</v>
      </c>
      <c r="B252" s="327" t="s">
        <v>7423</v>
      </c>
      <c r="C252" s="327" t="str">
        <f>IFERROR(LEFT(ESS_DATA[[#This Row],[TCL REFERENCE]],FIND(".",ESS_DATA[[#This Row],[TCL REFERENCE]],1)-1),"Main Line")</f>
        <v>26OCT002</v>
      </c>
      <c r="D252" s="327" t="s">
        <v>63</v>
      </c>
      <c r="E252" s="335" t="s">
        <v>64</v>
      </c>
      <c r="F252" s="326" t="str" cm="1">
        <f t="array" ref="F25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2" s="327"/>
      <c r="H252" s="327"/>
      <c r="I252" s="331"/>
      <c r="J252" s="327"/>
      <c r="K252" s="327"/>
      <c r="L252" s="328"/>
      <c r="M252" s="329"/>
      <c r="N252" s="892" t="s">
        <v>7437</v>
      </c>
      <c r="O252" s="892" t="s">
        <v>7438</v>
      </c>
      <c r="P252" s="892" t="s">
        <v>7439</v>
      </c>
      <c r="Q252" s="354"/>
      <c r="R252" s="331">
        <v>130</v>
      </c>
      <c r="S252" s="332"/>
      <c r="T252" s="327"/>
      <c r="U252" s="337">
        <f>ESS_DATA[[#This Row],[QUANTITY]]/260</f>
        <v>0.5</v>
      </c>
      <c r="V252" s="368" t="s">
        <v>7469</v>
      </c>
      <c r="W252" s="327" t="s">
        <v>8080</v>
      </c>
      <c r="X252" s="326" t="str">
        <f t="shared" ref="X252:X253" si="16">IF(AL252&lt;&gt;"","COMPLETED",IF(AI252&lt;&gt;"","IN-TRANSIT",""))</f>
        <v/>
      </c>
      <c r="Y252" s="416">
        <v>46307</v>
      </c>
      <c r="Z252" s="333">
        <v>46311</v>
      </c>
      <c r="AA252" s="334">
        <f>WEEKNUM(ESS_DATA[[#This Row],[Pick-Up Date]])</f>
        <v>42</v>
      </c>
      <c r="AB252" s="327"/>
      <c r="AC252" s="327"/>
      <c r="AD252" s="327" t="s">
        <v>122</v>
      </c>
      <c r="AE252" s="327" t="s">
        <v>122</v>
      </c>
      <c r="AF252" s="41" t="s">
        <v>314</v>
      </c>
      <c r="AG252" s="333">
        <v>46318</v>
      </c>
      <c r="AH252" s="333">
        <v>46318</v>
      </c>
      <c r="AI252" s="333"/>
      <c r="AJ252" s="333">
        <v>46365</v>
      </c>
      <c r="AK252" s="333">
        <v>46365</v>
      </c>
      <c r="AL252" s="333"/>
      <c r="AM252" s="335" t="s">
        <v>402</v>
      </c>
      <c r="AN252" s="333" t="s">
        <v>8119</v>
      </c>
      <c r="AO252" s="333" t="s">
        <v>80</v>
      </c>
      <c r="AP252" s="333" t="s">
        <v>8120</v>
      </c>
      <c r="AQ252" s="327" t="s">
        <v>8121</v>
      </c>
      <c r="AR252" s="327" t="s">
        <v>8121</v>
      </c>
      <c r="AS252" s="327">
        <f>ESS_DATA[[#This Row],[ETA On S/O]]-ESS_DATA[[#This Row],[ETD On S/O]]+1</f>
        <v>48</v>
      </c>
      <c r="AT252" s="327"/>
      <c r="AU252" s="333" cm="1">
        <f t="array" ref="AU2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2" s="14" t="str">
        <f>IF(ISERROR(ESS_DATA[[#This Row],[New Ark PO status]]),"",_xlfn.XLOOKUP(ESS_DATA[[#This Row],[SPTN-PVHK New Ark PO'#]],New_Ark_Data[Purchase order Number],New_Ark_Data[Estimated time of arrival],"",0))</f>
        <v/>
      </c>
      <c r="AX252" s="327">
        <f>IF(ESS_DATA[[#This Row],[New Ark PO Type]]="Offshore",0,IFERROR(VLOOKUP(ESS_DATA[[#This Row],[PORT OF LOADING]]&amp;ESS_DATA[[#This Row],[PORT DESTINATION]],LT_REF[],7,0),14))</f>
        <v>10</v>
      </c>
      <c r="AY252" s="333">
        <f>IFERROR(ESS_DATA[[#This Row],[ODP ETA Port]]+ESS_DATA[[#This Row],[Customs/Leg3 Assumption]],"n/a")</f>
        <v>46375</v>
      </c>
      <c r="AZ252" s="326">
        <f>YEAR(ESS_DATA[[#This Row],[ETA for New Ark update]])</f>
        <v>2026</v>
      </c>
      <c r="BA252" s="326">
        <f>MONTH(ESS_DATA[[#This Row],[ETA for New Ark update]])</f>
        <v>12</v>
      </c>
      <c r="BB252" s="326">
        <f>IFERROR(_xlfn.ISOWEEKNUM(ESS_DATA[[#This Row],[ETA for New Ark update]]),0)</f>
        <v>51</v>
      </c>
      <c r="BC252" s="326" t="str">
        <f>_xlfn.XLOOKUP(ESS_DATA[[#This Row],[PORT DESTINATION]],Table12[PORT DESTINATION],Table12[Cosco Line],,0)</f>
        <v>AEM</v>
      </c>
      <c r="BD252" s="326"/>
      <c r="BE252" s="336"/>
      <c r="BF252" s="336"/>
      <c r="BG252" s="336"/>
      <c r="BH252" s="336"/>
      <c r="BI252" s="336"/>
    </row>
    <row r="253" spans="1:61" s="893" customFormat="1" ht="17.25" customHeight="1">
      <c r="A253" s="325" t="s">
        <v>8123</v>
      </c>
      <c r="B253" s="327" t="s">
        <v>7423</v>
      </c>
      <c r="C253" s="327" t="str">
        <f>IFERROR(LEFT(ESS_DATA[[#This Row],[TCL REFERENCE]],FIND(".",ESS_DATA[[#This Row],[TCL REFERENCE]],1)-1),"Main Line")</f>
        <v>26OCT004</v>
      </c>
      <c r="D253" s="327" t="s">
        <v>63</v>
      </c>
      <c r="E253" s="335" t="s">
        <v>64</v>
      </c>
      <c r="F253" s="326" t="str" cm="1">
        <f t="array" ref="F25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3" s="327"/>
      <c r="H253" s="327"/>
      <c r="I253" s="331"/>
      <c r="J253" s="327"/>
      <c r="K253" s="327"/>
      <c r="L253" s="328"/>
      <c r="M253" s="329"/>
      <c r="N253" s="892" t="s">
        <v>7449</v>
      </c>
      <c r="O253" s="892" t="s">
        <v>7646</v>
      </c>
      <c r="P253" s="892" t="s">
        <v>7451</v>
      </c>
      <c r="Q253" s="354"/>
      <c r="R253" s="331">
        <v>130</v>
      </c>
      <c r="S253" s="332"/>
      <c r="T253" s="327"/>
      <c r="U253" s="337">
        <f>ESS_DATA[[#This Row],[QUANTITY]]/260</f>
        <v>0.5</v>
      </c>
      <c r="V253" s="368" t="s">
        <v>7469</v>
      </c>
      <c r="W253" s="327" t="s">
        <v>8080</v>
      </c>
      <c r="X253" s="326" t="str">
        <f t="shared" si="16"/>
        <v/>
      </c>
      <c r="Y253" s="416">
        <v>46307</v>
      </c>
      <c r="Z253" s="333">
        <v>46311</v>
      </c>
      <c r="AA253" s="334">
        <f>WEEKNUM(ESS_DATA[[#This Row],[Pick-Up Date]])</f>
        <v>42</v>
      </c>
      <c r="AB253" s="327"/>
      <c r="AC253" s="327"/>
      <c r="AD253" s="327" t="s">
        <v>122</v>
      </c>
      <c r="AE253" s="327" t="s">
        <v>122</v>
      </c>
      <c r="AF253" s="41" t="s">
        <v>314</v>
      </c>
      <c r="AG253" s="333">
        <v>46318</v>
      </c>
      <c r="AH253" s="333">
        <v>46318</v>
      </c>
      <c r="AI253" s="333"/>
      <c r="AJ253" s="333">
        <v>46365</v>
      </c>
      <c r="AK253" s="333">
        <v>46365</v>
      </c>
      <c r="AL253" s="333"/>
      <c r="AM253" s="335" t="s">
        <v>402</v>
      </c>
      <c r="AN253" s="333" t="s">
        <v>8119</v>
      </c>
      <c r="AO253" s="333" t="s">
        <v>80</v>
      </c>
      <c r="AP253" s="333" t="s">
        <v>8120</v>
      </c>
      <c r="AQ253" s="327" t="s">
        <v>8121</v>
      </c>
      <c r="AR253" s="327" t="s">
        <v>8121</v>
      </c>
      <c r="AS253" s="327">
        <f>ESS_DATA[[#This Row],[ETA On S/O]]-ESS_DATA[[#This Row],[ETD On S/O]]+1</f>
        <v>48</v>
      </c>
      <c r="AT253" s="327"/>
      <c r="AU253" s="333" cm="1">
        <f t="array" ref="AU2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3" s="14" t="str">
        <f>IF(ISERROR(ESS_DATA[[#This Row],[New Ark PO status]]),"",_xlfn.XLOOKUP(ESS_DATA[[#This Row],[SPTN-PVHK New Ark PO'#]],New_Ark_Data[Purchase order Number],New_Ark_Data[Estimated time of arrival],"",0))</f>
        <v/>
      </c>
      <c r="AX253" s="327">
        <f>IF(ESS_DATA[[#This Row],[New Ark PO Type]]="Offshore",0,IFERROR(VLOOKUP(ESS_DATA[[#This Row],[PORT OF LOADING]]&amp;ESS_DATA[[#This Row],[PORT DESTINATION]],LT_REF[],7,0),14))</f>
        <v>10</v>
      </c>
      <c r="AY253" s="333">
        <f>IFERROR(ESS_DATA[[#This Row],[ODP ETA Port]]+ESS_DATA[[#This Row],[Customs/Leg3 Assumption]],"n/a")</f>
        <v>46375</v>
      </c>
      <c r="AZ253" s="326">
        <f>YEAR(ESS_DATA[[#This Row],[ETA for New Ark update]])</f>
        <v>2026</v>
      </c>
      <c r="BA253" s="326">
        <f>MONTH(ESS_DATA[[#This Row],[ETA for New Ark update]])</f>
        <v>12</v>
      </c>
      <c r="BB253" s="326">
        <f>IFERROR(_xlfn.ISOWEEKNUM(ESS_DATA[[#This Row],[ETA for New Ark update]]),0)</f>
        <v>51</v>
      </c>
      <c r="BC253" s="326" t="str">
        <f>_xlfn.XLOOKUP(ESS_DATA[[#This Row],[PORT DESTINATION]],Table12[PORT DESTINATION],Table12[Cosco Line],,0)</f>
        <v>AEM</v>
      </c>
      <c r="BD253" s="326"/>
      <c r="BE253" s="336"/>
      <c r="BF253" s="336"/>
      <c r="BG253" s="336"/>
      <c r="BH253" s="336"/>
      <c r="BI253" s="336"/>
    </row>
    <row r="254" spans="1:61" s="893" customFormat="1" ht="17.25" customHeight="1">
      <c r="A254" s="325" t="s">
        <v>8124</v>
      </c>
      <c r="B254" s="327" t="s">
        <v>7423</v>
      </c>
      <c r="C254" s="327" t="str">
        <f>IFERROR(LEFT(ESS_DATA[[#This Row],[TCL REFERENCE]],FIND(".",ESS_DATA[[#This Row],[TCL REFERENCE]],1)-1),"Main Line")</f>
        <v>26OCT002</v>
      </c>
      <c r="D254" s="327" t="s">
        <v>63</v>
      </c>
      <c r="E254" s="335" t="s">
        <v>64</v>
      </c>
      <c r="F254" s="326" t="str" cm="1">
        <f t="array" ref="F25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4" s="327"/>
      <c r="H254" s="327"/>
      <c r="I254" s="331"/>
      <c r="J254" s="327"/>
      <c r="K254" s="327"/>
      <c r="L254" s="328"/>
      <c r="M254" s="329"/>
      <c r="N254" s="892" t="s">
        <v>7437</v>
      </c>
      <c r="O254" s="892" t="s">
        <v>7438</v>
      </c>
      <c r="P254" s="892" t="s">
        <v>7439</v>
      </c>
      <c r="Q254" s="354"/>
      <c r="R254" s="331">
        <v>130</v>
      </c>
      <c r="S254" s="332"/>
      <c r="T254" s="327"/>
      <c r="U254" s="337">
        <f>ESS_DATA[[#This Row],[QUANTITY]]/260</f>
        <v>0.5</v>
      </c>
      <c r="V254" s="368" t="s">
        <v>7473</v>
      </c>
      <c r="W254" s="327" t="s">
        <v>8080</v>
      </c>
      <c r="X254" s="326" t="str">
        <f t="shared" ref="X254:X255" si="17">IF(AL254&lt;&gt;"","COMPLETED",IF(AI254&lt;&gt;"","IN-TRANSIT",""))</f>
        <v/>
      </c>
      <c r="Y254" s="416">
        <v>46307</v>
      </c>
      <c r="Z254" s="333">
        <v>46311</v>
      </c>
      <c r="AA254" s="334">
        <f>WEEKNUM(ESS_DATA[[#This Row],[Pick-Up Date]])</f>
        <v>42</v>
      </c>
      <c r="AB254" s="327"/>
      <c r="AC254" s="327"/>
      <c r="AD254" s="327" t="s">
        <v>122</v>
      </c>
      <c r="AE254" s="327" t="s">
        <v>122</v>
      </c>
      <c r="AF254" s="41" t="s">
        <v>314</v>
      </c>
      <c r="AG254" s="333">
        <v>46318</v>
      </c>
      <c r="AH254" s="333">
        <v>46318</v>
      </c>
      <c r="AI254" s="333"/>
      <c r="AJ254" s="333">
        <v>46365</v>
      </c>
      <c r="AK254" s="333">
        <v>46365</v>
      </c>
      <c r="AL254" s="333"/>
      <c r="AM254" s="335" t="s">
        <v>402</v>
      </c>
      <c r="AN254" s="333" t="s">
        <v>8119</v>
      </c>
      <c r="AO254" s="333" t="s">
        <v>80</v>
      </c>
      <c r="AP254" s="333" t="s">
        <v>8120</v>
      </c>
      <c r="AQ254" s="327" t="s">
        <v>8121</v>
      </c>
      <c r="AR254" s="327" t="s">
        <v>8121</v>
      </c>
      <c r="AS254" s="327">
        <f>ESS_DATA[[#This Row],[ETA On S/O]]-ESS_DATA[[#This Row],[ETD On S/O]]+1</f>
        <v>48</v>
      </c>
      <c r="AT254" s="327"/>
      <c r="AU254" s="333" cm="1">
        <f t="array" ref="AU2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4" s="14" t="str">
        <f>IF(ISERROR(ESS_DATA[[#This Row],[New Ark PO status]]),"",_xlfn.XLOOKUP(ESS_DATA[[#This Row],[SPTN-PVHK New Ark PO'#]],New_Ark_Data[Purchase order Number],New_Ark_Data[Estimated time of arrival],"",0))</f>
        <v/>
      </c>
      <c r="AX254" s="327">
        <f>IF(ESS_DATA[[#This Row],[New Ark PO Type]]="Offshore",0,IFERROR(VLOOKUP(ESS_DATA[[#This Row],[PORT OF LOADING]]&amp;ESS_DATA[[#This Row],[PORT DESTINATION]],LT_REF[],7,0),14))</f>
        <v>10</v>
      </c>
      <c r="AY254" s="333">
        <f>IFERROR(ESS_DATA[[#This Row],[ODP ETA Port]]+ESS_DATA[[#This Row],[Customs/Leg3 Assumption]],"n/a")</f>
        <v>46375</v>
      </c>
      <c r="AZ254" s="326">
        <f>YEAR(ESS_DATA[[#This Row],[ETA for New Ark update]])</f>
        <v>2026</v>
      </c>
      <c r="BA254" s="326">
        <f>MONTH(ESS_DATA[[#This Row],[ETA for New Ark update]])</f>
        <v>12</v>
      </c>
      <c r="BB254" s="326">
        <f>IFERROR(_xlfn.ISOWEEKNUM(ESS_DATA[[#This Row],[ETA for New Ark update]]),0)</f>
        <v>51</v>
      </c>
      <c r="BC254" s="326" t="str">
        <f>_xlfn.XLOOKUP(ESS_DATA[[#This Row],[PORT DESTINATION]],Table12[PORT DESTINATION],Table12[Cosco Line],,0)</f>
        <v>AEM</v>
      </c>
      <c r="BD254" s="326"/>
      <c r="BE254" s="336"/>
      <c r="BF254" s="336"/>
      <c r="BG254" s="336"/>
      <c r="BH254" s="336"/>
      <c r="BI254" s="336"/>
    </row>
    <row r="255" spans="1:61" s="893" customFormat="1" ht="17.25" customHeight="1">
      <c r="A255" s="325" t="s">
        <v>8125</v>
      </c>
      <c r="B255" s="327" t="s">
        <v>7423</v>
      </c>
      <c r="C255" s="327" t="str">
        <f>IFERROR(LEFT(ESS_DATA[[#This Row],[TCL REFERENCE]],FIND(".",ESS_DATA[[#This Row],[TCL REFERENCE]],1)-1),"Main Line")</f>
        <v>26OCT004</v>
      </c>
      <c r="D255" s="327" t="s">
        <v>63</v>
      </c>
      <c r="E255" s="335" t="s">
        <v>64</v>
      </c>
      <c r="F255" s="326" t="str" cm="1">
        <f t="array" ref="F25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5" s="327"/>
      <c r="H255" s="327"/>
      <c r="I255" s="331"/>
      <c r="J255" s="327"/>
      <c r="K255" s="327"/>
      <c r="L255" s="328"/>
      <c r="M255" s="329"/>
      <c r="N255" s="892" t="s">
        <v>7449</v>
      </c>
      <c r="O255" s="892" t="s">
        <v>7646</v>
      </c>
      <c r="P255" s="892" t="s">
        <v>7451</v>
      </c>
      <c r="Q255" s="354"/>
      <c r="R255" s="331">
        <v>130</v>
      </c>
      <c r="S255" s="332"/>
      <c r="T255" s="327"/>
      <c r="U255" s="337">
        <f>ESS_DATA[[#This Row],[QUANTITY]]/260</f>
        <v>0.5</v>
      </c>
      <c r="V255" s="368" t="s">
        <v>7473</v>
      </c>
      <c r="W255" s="327" t="s">
        <v>8080</v>
      </c>
      <c r="X255" s="326" t="str">
        <f t="shared" si="17"/>
        <v/>
      </c>
      <c r="Y255" s="416">
        <v>46307</v>
      </c>
      <c r="Z255" s="333">
        <v>46311</v>
      </c>
      <c r="AA255" s="334">
        <f>WEEKNUM(ESS_DATA[[#This Row],[Pick-Up Date]])</f>
        <v>42</v>
      </c>
      <c r="AB255" s="327"/>
      <c r="AC255" s="327"/>
      <c r="AD255" s="327" t="s">
        <v>122</v>
      </c>
      <c r="AE255" s="327" t="s">
        <v>122</v>
      </c>
      <c r="AF255" s="41" t="s">
        <v>314</v>
      </c>
      <c r="AG255" s="333">
        <v>46318</v>
      </c>
      <c r="AH255" s="333">
        <v>46318</v>
      </c>
      <c r="AI255" s="333"/>
      <c r="AJ255" s="333">
        <v>46365</v>
      </c>
      <c r="AK255" s="333">
        <v>46365</v>
      </c>
      <c r="AL255" s="333"/>
      <c r="AM255" s="335" t="s">
        <v>402</v>
      </c>
      <c r="AN255" s="333" t="s">
        <v>8119</v>
      </c>
      <c r="AO255" s="333" t="s">
        <v>80</v>
      </c>
      <c r="AP255" s="333" t="s">
        <v>8120</v>
      </c>
      <c r="AQ255" s="327" t="s">
        <v>8121</v>
      </c>
      <c r="AR255" s="327" t="s">
        <v>8121</v>
      </c>
      <c r="AS255" s="327">
        <f>ESS_DATA[[#This Row],[ETA On S/O]]-ESS_DATA[[#This Row],[ETD On S/O]]+1</f>
        <v>48</v>
      </c>
      <c r="AT255" s="327"/>
      <c r="AU255" s="333" cm="1">
        <f t="array" ref="AU2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46365</v>
      </c>
      <c r="AV2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5" s="14" t="str">
        <f>IF(ISERROR(ESS_DATA[[#This Row],[New Ark PO status]]),"",_xlfn.XLOOKUP(ESS_DATA[[#This Row],[SPTN-PVHK New Ark PO'#]],New_Ark_Data[Purchase order Number],New_Ark_Data[Estimated time of arrival],"",0))</f>
        <v/>
      </c>
      <c r="AX255" s="327">
        <f>IF(ESS_DATA[[#This Row],[New Ark PO Type]]="Offshore",0,IFERROR(VLOOKUP(ESS_DATA[[#This Row],[PORT OF LOADING]]&amp;ESS_DATA[[#This Row],[PORT DESTINATION]],LT_REF[],7,0),14))</f>
        <v>10</v>
      </c>
      <c r="AY255" s="333">
        <f>IFERROR(ESS_DATA[[#This Row],[ODP ETA Port]]+ESS_DATA[[#This Row],[Customs/Leg3 Assumption]],"n/a")</f>
        <v>46375</v>
      </c>
      <c r="AZ255" s="326">
        <f>YEAR(ESS_DATA[[#This Row],[ETA for New Ark update]])</f>
        <v>2026</v>
      </c>
      <c r="BA255" s="326">
        <f>MONTH(ESS_DATA[[#This Row],[ETA for New Ark update]])</f>
        <v>12</v>
      </c>
      <c r="BB255" s="326">
        <f>IFERROR(_xlfn.ISOWEEKNUM(ESS_DATA[[#This Row],[ETA for New Ark update]]),0)</f>
        <v>51</v>
      </c>
      <c r="BC255" s="326" t="str">
        <f>_xlfn.XLOOKUP(ESS_DATA[[#This Row],[PORT DESTINATION]],Table12[PORT DESTINATION],Table12[Cosco Line],,0)</f>
        <v>AEM</v>
      </c>
      <c r="BD255" s="326"/>
      <c r="BE255" s="336"/>
      <c r="BF255" s="336"/>
      <c r="BG255" s="336"/>
      <c r="BH255" s="336"/>
      <c r="BI255" s="336"/>
    </row>
    <row r="256" spans="1:61" s="893" customFormat="1" ht="16.5" customHeight="1">
      <c r="A256" s="325" t="s">
        <v>8126</v>
      </c>
      <c r="B256" s="327" t="s">
        <v>7423</v>
      </c>
      <c r="C256" s="327" t="str">
        <f>IFERROR(LEFT(ESS_DATA[[#This Row],[TCL REFERENCE]],FIND(".",ESS_DATA[[#This Row],[TCL REFERENCE]],1)-1),"Main Line")</f>
        <v>26OCT005</v>
      </c>
      <c r="D256" s="327" t="s">
        <v>63</v>
      </c>
      <c r="E256" s="335" t="s">
        <v>64</v>
      </c>
      <c r="F256" s="326" t="str" cm="1">
        <f t="array" ref="F25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6" s="327"/>
      <c r="H256" s="327"/>
      <c r="I256" s="331"/>
      <c r="J256" s="327"/>
      <c r="K256" s="327"/>
      <c r="L256" s="328"/>
      <c r="M256" s="329"/>
      <c r="N256" s="892" t="s">
        <v>7460</v>
      </c>
      <c r="O256" s="892" t="s">
        <v>7461</v>
      </c>
      <c r="P256" s="892" t="s">
        <v>7462</v>
      </c>
      <c r="Q256" s="354"/>
      <c r="R256" s="331">
        <v>520</v>
      </c>
      <c r="S256" s="332"/>
      <c r="T256" s="327"/>
      <c r="U256" s="337">
        <f>ESS_DATA[[#This Row],[QUANTITY]]/276</f>
        <v>1.8840579710144927</v>
      </c>
      <c r="V256" s="368" t="s">
        <v>7659</v>
      </c>
      <c r="W256" s="327" t="s">
        <v>8080</v>
      </c>
      <c r="X256" s="326" t="str">
        <f t="shared" si="15"/>
        <v/>
      </c>
      <c r="Y256" s="333">
        <v>46312</v>
      </c>
      <c r="Z256" s="333"/>
      <c r="AA256" s="334">
        <f>WEEKNUM(ESS_DATA[[#This Row],[Pick-Up Date]])</f>
        <v>0</v>
      </c>
      <c r="AB256" s="327"/>
      <c r="AC256" s="327"/>
      <c r="AD256" s="327" t="s">
        <v>122</v>
      </c>
      <c r="AE256" s="327" t="s">
        <v>122</v>
      </c>
      <c r="AF256" s="41" t="s">
        <v>314</v>
      </c>
      <c r="AG256" s="333">
        <v>46315</v>
      </c>
      <c r="AH256" s="333">
        <v>46325</v>
      </c>
      <c r="AI256" s="333"/>
      <c r="AJ256" s="333">
        <v>46358</v>
      </c>
      <c r="AK256" s="333">
        <v>46358</v>
      </c>
      <c r="AL256" s="333"/>
      <c r="AM256" s="335" t="s">
        <v>402</v>
      </c>
      <c r="AN256" s="333" t="s">
        <v>8127</v>
      </c>
      <c r="AO256" s="333" t="s">
        <v>161</v>
      </c>
      <c r="AP256" s="333" t="s">
        <v>8128</v>
      </c>
      <c r="AQ256" s="327">
        <v>277778182</v>
      </c>
      <c r="AR256" s="327">
        <v>277778182</v>
      </c>
      <c r="AS256" s="327">
        <f>ESS_DATA[[#This Row],[ETA On S/O]]-ESS_DATA[[#This Row],[ETD On S/O]]+1</f>
        <v>44</v>
      </c>
      <c r="AT256" s="327"/>
      <c r="AU256" s="333" cm="1">
        <f t="array" ref="AU2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46358</v>
      </c>
      <c r="AV2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6" s="14" t="str">
        <f>IF(ISERROR(ESS_DATA[[#This Row],[New Ark PO status]]),"",_xlfn.XLOOKUP(ESS_DATA[[#This Row],[SPTN-PVHK New Ark PO'#]],New_Ark_Data[Purchase order Number],New_Ark_Data[Estimated time of arrival],"",0))</f>
        <v/>
      </c>
      <c r="AX256" s="327">
        <f>IF(ESS_DATA[[#This Row],[New Ark PO Type]]="Offshore",0,IFERROR(VLOOKUP(ESS_DATA[[#This Row],[PORT OF LOADING]]&amp;ESS_DATA[[#This Row],[PORT DESTINATION]],LT_REF[],7,0),14))</f>
        <v>10</v>
      </c>
      <c r="AY256" s="333">
        <f>IFERROR(ESS_DATA[[#This Row],[ODP ETA Port]]+ESS_DATA[[#This Row],[Customs/Leg3 Assumption]],"n/a")</f>
        <v>46368</v>
      </c>
      <c r="AZ256" s="326">
        <f>YEAR(ESS_DATA[[#This Row],[ETA for New Ark update]])</f>
        <v>2026</v>
      </c>
      <c r="BA256" s="326">
        <f>MONTH(ESS_DATA[[#This Row],[ETA for New Ark update]])</f>
        <v>12</v>
      </c>
      <c r="BB256" s="326">
        <f>IFERROR(_xlfn.ISOWEEKNUM(ESS_DATA[[#This Row],[ETA for New Ark update]]),0)</f>
        <v>50</v>
      </c>
      <c r="BC256" s="326" t="str">
        <f>_xlfn.XLOOKUP(ESS_DATA[[#This Row],[PORT DESTINATION]],Table12[PORT DESTINATION],Table12[Cosco Line],,0)</f>
        <v>AEM</v>
      </c>
      <c r="BD256" s="326"/>
      <c r="BE256" s="336"/>
      <c r="BF256" s="336"/>
      <c r="BG256" s="336"/>
      <c r="BH256" s="336"/>
      <c r="BI256" s="336"/>
    </row>
    <row r="257" spans="1:61" s="893" customFormat="1" ht="16.5" customHeight="1">
      <c r="A257" s="325" t="s">
        <v>8129</v>
      </c>
      <c r="B257" s="327" t="s">
        <v>7423</v>
      </c>
      <c r="C257" s="327" t="str">
        <f>IFERROR(LEFT(ESS_DATA[[#This Row],[TCL REFERENCE]],FIND(".",ESS_DATA[[#This Row],[TCL REFERENCE]],1)-1),"Main Line")</f>
        <v>Main Line</v>
      </c>
      <c r="D257" s="327" t="s">
        <v>63</v>
      </c>
      <c r="E257" s="335" t="s">
        <v>64</v>
      </c>
      <c r="F257" s="326" t="str" cm="1">
        <f t="array" ref="F25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7" s="327"/>
      <c r="H257" s="327"/>
      <c r="I257" s="331"/>
      <c r="J257" s="327"/>
      <c r="K257" s="327"/>
      <c r="L257" s="328"/>
      <c r="M257" s="329"/>
      <c r="N257" s="892" t="s">
        <v>7460</v>
      </c>
      <c r="O257" s="892" t="s">
        <v>7461</v>
      </c>
      <c r="P257" s="892" t="s">
        <v>7462</v>
      </c>
      <c r="Q257" s="354"/>
      <c r="R257" s="331">
        <v>32</v>
      </c>
      <c r="S257" s="332"/>
      <c r="T257" s="327"/>
      <c r="U257" s="337">
        <f>ESS_DATA[[#This Row],[QUANTITY]]/276</f>
        <v>0.11594202898550725</v>
      </c>
      <c r="V257" s="368" t="s">
        <v>7659</v>
      </c>
      <c r="W257" s="327" t="s">
        <v>8080</v>
      </c>
      <c r="X257" s="326" t="str">
        <f t="shared" si="15"/>
        <v/>
      </c>
      <c r="Y257" s="333">
        <v>46312</v>
      </c>
      <c r="Z257" s="333"/>
      <c r="AA257" s="334">
        <f>WEEKNUM(ESS_DATA[[#This Row],[Pick-Up Date]])</f>
        <v>0</v>
      </c>
      <c r="AB257" s="327"/>
      <c r="AC257" s="327"/>
      <c r="AD257" s="327" t="s">
        <v>122</v>
      </c>
      <c r="AE257" s="327" t="s">
        <v>122</v>
      </c>
      <c r="AF257" s="41" t="s">
        <v>314</v>
      </c>
      <c r="AG257" s="333">
        <v>46315</v>
      </c>
      <c r="AH257" s="333">
        <v>46325</v>
      </c>
      <c r="AI257" s="333"/>
      <c r="AJ257" s="333">
        <v>46358</v>
      </c>
      <c r="AK257" s="333">
        <v>46358</v>
      </c>
      <c r="AL257" s="333"/>
      <c r="AM257" s="335" t="s">
        <v>402</v>
      </c>
      <c r="AN257" s="333" t="s">
        <v>8127</v>
      </c>
      <c r="AO257" s="333" t="s">
        <v>161</v>
      </c>
      <c r="AP257" s="333" t="s">
        <v>8128</v>
      </c>
      <c r="AQ257" s="327">
        <v>277778182</v>
      </c>
      <c r="AR257" s="327">
        <v>277778182</v>
      </c>
      <c r="AS257" s="327">
        <f>ESS_DATA[[#This Row],[ETA On S/O]]-ESS_DATA[[#This Row],[ETD On S/O]]+1</f>
        <v>44</v>
      </c>
      <c r="AT257" s="327"/>
      <c r="AU257" s="333" cm="1">
        <f t="array" ref="AU2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46358</v>
      </c>
      <c r="AV25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7" s="14" t="str">
        <f>IF(ISERROR(ESS_DATA[[#This Row],[New Ark PO status]]),"",_xlfn.XLOOKUP(ESS_DATA[[#This Row],[SPTN-PVHK New Ark PO'#]],New_Ark_Data[Purchase order Number],New_Ark_Data[Estimated time of arrival],"",0))</f>
        <v/>
      </c>
      <c r="AX257" s="327">
        <f>IF(ESS_DATA[[#This Row],[New Ark PO Type]]="Offshore",0,IFERROR(VLOOKUP(ESS_DATA[[#This Row],[PORT OF LOADING]]&amp;ESS_DATA[[#This Row],[PORT DESTINATION]],LT_REF[],7,0),14))</f>
        <v>10</v>
      </c>
      <c r="AY257" s="333">
        <f>IFERROR(ESS_DATA[[#This Row],[ODP ETA Port]]+ESS_DATA[[#This Row],[Customs/Leg3 Assumption]],"n/a")</f>
        <v>46368</v>
      </c>
      <c r="AZ257" s="326">
        <f>YEAR(ESS_DATA[[#This Row],[ETA for New Ark update]])</f>
        <v>2026</v>
      </c>
      <c r="BA257" s="326">
        <f>MONTH(ESS_DATA[[#This Row],[ETA for New Ark update]])</f>
        <v>12</v>
      </c>
      <c r="BB257" s="326">
        <f>IFERROR(_xlfn.ISOWEEKNUM(ESS_DATA[[#This Row],[ETA for New Ark update]]),0)</f>
        <v>50</v>
      </c>
      <c r="BC257" s="326" t="str">
        <f>_xlfn.XLOOKUP(ESS_DATA[[#This Row],[PORT DESTINATION]],Table12[PORT DESTINATION],Table12[Cosco Line],,0)</f>
        <v>AEM</v>
      </c>
      <c r="BD257" s="326"/>
      <c r="BE257" s="336"/>
      <c r="BF257" s="336"/>
      <c r="BG257" s="336"/>
      <c r="BH257" s="336"/>
      <c r="BI257" s="336"/>
    </row>
    <row r="258" spans="1:61" s="893" customFormat="1" ht="16.5" customHeight="1">
      <c r="A258" s="325" t="s">
        <v>8130</v>
      </c>
      <c r="B258" s="327" t="s">
        <v>7423</v>
      </c>
      <c r="C258" s="327" t="str">
        <f>IFERROR(LEFT(ESS_DATA[[#This Row],[TCL REFERENCE]],FIND(".",ESS_DATA[[#This Row],[TCL REFERENCE]],1)-1),"Main Line")</f>
        <v>26OCT005</v>
      </c>
      <c r="D258" s="327" t="s">
        <v>63</v>
      </c>
      <c r="E258" s="335" t="s">
        <v>64</v>
      </c>
      <c r="F258" s="326" t="str" cm="1">
        <f t="array" ref="F25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8" s="327"/>
      <c r="H258" s="327"/>
      <c r="I258" s="331"/>
      <c r="J258" s="327"/>
      <c r="K258" s="327"/>
      <c r="L258" s="328"/>
      <c r="M258" s="329"/>
      <c r="N258" s="892" t="s">
        <v>7460</v>
      </c>
      <c r="O258" s="892" t="s">
        <v>7461</v>
      </c>
      <c r="P258" s="892" t="s">
        <v>7462</v>
      </c>
      <c r="Q258" s="354"/>
      <c r="R258" s="331">
        <v>276</v>
      </c>
      <c r="S258" s="332"/>
      <c r="T258" s="327"/>
      <c r="U258" s="337">
        <f>ESS_DATA[[#This Row],[QUANTITY]]/276</f>
        <v>1</v>
      </c>
      <c r="V258" s="368" t="s">
        <v>7666</v>
      </c>
      <c r="W258" s="327" t="s">
        <v>8131</v>
      </c>
      <c r="X258" s="326" t="str">
        <f t="shared" ref="X258" si="18">IF(AL258&lt;&gt;"","COMPLETED",IF(AI258&lt;&gt;"","IN-TRANSIT",""))</f>
        <v/>
      </c>
      <c r="Y258" s="333">
        <v>46317</v>
      </c>
      <c r="Z258" s="333"/>
      <c r="AA258" s="334">
        <f>WEEKNUM(ESS_DATA[[#This Row],[Pick-Up Date]])</f>
        <v>0</v>
      </c>
      <c r="AB258" s="327"/>
      <c r="AC258" s="327"/>
      <c r="AD258" s="327" t="s">
        <v>122</v>
      </c>
      <c r="AE258" s="327" t="s">
        <v>122</v>
      </c>
      <c r="AF258" s="41" t="s">
        <v>314</v>
      </c>
      <c r="AG258" s="333"/>
      <c r="AH258" s="333"/>
      <c r="AI258" s="333"/>
      <c r="AJ258" s="333"/>
      <c r="AK258" s="333"/>
      <c r="AL258" s="333"/>
      <c r="AM258" s="335"/>
      <c r="AN258" s="333"/>
      <c r="AO258" s="333" t="s">
        <v>161</v>
      </c>
      <c r="AP258" s="333" t="s">
        <v>8132</v>
      </c>
      <c r="AQ258" s="327"/>
      <c r="AR258" s="327"/>
      <c r="AS258" s="327">
        <f>ESS_DATA[[#This Row],[ETA On S/O]]-ESS_DATA[[#This Row],[ETD On S/O]]+1</f>
        <v>1</v>
      </c>
      <c r="AT258" s="327"/>
      <c r="AU258" s="333" cm="1">
        <f t="array" ref="AU2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8" s="14" t="str">
        <f>IF(ISERROR(ESS_DATA[[#This Row],[New Ark PO status]]),"",_xlfn.XLOOKUP(ESS_DATA[[#This Row],[SPTN-PVHK New Ark PO'#]],New_Ark_Data[Purchase order Number],New_Ark_Data[Estimated time of arrival],"",0))</f>
        <v/>
      </c>
      <c r="AX258" s="327">
        <f>IF(ESS_DATA[[#This Row],[New Ark PO Type]]="Offshore",0,IFERROR(VLOOKUP(ESS_DATA[[#This Row],[PORT OF LOADING]]&amp;ESS_DATA[[#This Row],[PORT DESTINATION]],LT_REF[],7,0),14))</f>
        <v>10</v>
      </c>
      <c r="AY258" s="333">
        <f>IFERROR(ESS_DATA[[#This Row],[ODP ETA Port]]+ESS_DATA[[#This Row],[Customs/Leg3 Assumption]],"n/a")</f>
        <v>10</v>
      </c>
      <c r="AZ258" s="326">
        <f>YEAR(ESS_DATA[[#This Row],[ETA for New Ark update]])</f>
        <v>1900</v>
      </c>
      <c r="BA258" s="326">
        <f>MONTH(ESS_DATA[[#This Row],[ETA for New Ark update]])</f>
        <v>1</v>
      </c>
      <c r="BB258" s="326">
        <f>IFERROR(_xlfn.ISOWEEKNUM(ESS_DATA[[#This Row],[ETA for New Ark update]]),0)</f>
        <v>2</v>
      </c>
      <c r="BC258" s="326" t="str">
        <f>_xlfn.XLOOKUP(ESS_DATA[[#This Row],[PORT DESTINATION]],Table12[PORT DESTINATION],Table12[Cosco Line],,0)</f>
        <v>AEM</v>
      </c>
      <c r="BD258" s="326"/>
      <c r="BE258" s="336"/>
      <c r="BF258" s="336"/>
      <c r="BG258" s="336"/>
      <c r="BH258" s="336"/>
      <c r="BI258" s="336"/>
    </row>
    <row r="259" spans="1:61" s="893" customFormat="1" ht="16.5" customHeight="1">
      <c r="A259" s="325" t="s">
        <v>8133</v>
      </c>
      <c r="B259" s="327" t="s">
        <v>7423</v>
      </c>
      <c r="C259" s="327" t="str">
        <f>IFERROR(LEFT(ESS_DATA[[#This Row],[TCL REFERENCE]],FIND(".",ESS_DATA[[#This Row],[TCL REFERENCE]],1)-1),"Main Line")</f>
        <v>26OCT005</v>
      </c>
      <c r="D259" s="327" t="s">
        <v>63</v>
      </c>
      <c r="E259" s="335" t="s">
        <v>64</v>
      </c>
      <c r="F259" s="326" t="str" cm="1">
        <f t="array" ref="F25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9" s="327"/>
      <c r="H259" s="327"/>
      <c r="I259" s="331"/>
      <c r="J259" s="327"/>
      <c r="K259" s="327"/>
      <c r="L259" s="328"/>
      <c r="M259" s="329"/>
      <c r="N259" s="892" t="s">
        <v>7460</v>
      </c>
      <c r="O259" s="892" t="s">
        <v>7461</v>
      </c>
      <c r="P259" s="892" t="s">
        <v>7462</v>
      </c>
      <c r="Q259" s="354"/>
      <c r="R259" s="331">
        <v>276</v>
      </c>
      <c r="S259" s="332"/>
      <c r="T259" s="327"/>
      <c r="U259" s="337">
        <f>ESS_DATA[[#This Row],[QUANTITY]]/276</f>
        <v>1</v>
      </c>
      <c r="V259" s="368" t="s">
        <v>7695</v>
      </c>
      <c r="W259" s="327" t="s">
        <v>8131</v>
      </c>
      <c r="X259" s="326" t="str">
        <f>IF(AL259&lt;&gt;"","COMPLETED",IF(AI259&lt;&gt;"","IN-TRANSIT",""))</f>
        <v/>
      </c>
      <c r="Y259" s="333">
        <v>46317</v>
      </c>
      <c r="Z259" s="333"/>
      <c r="AA259" s="334">
        <f>WEEKNUM(ESS_DATA[[#This Row],[Pick-Up Date]])</f>
        <v>0</v>
      </c>
      <c r="AB259" s="327"/>
      <c r="AC259" s="327"/>
      <c r="AD259" s="327" t="s">
        <v>122</v>
      </c>
      <c r="AE259" s="327" t="s">
        <v>122</v>
      </c>
      <c r="AF259" s="41" t="s">
        <v>314</v>
      </c>
      <c r="AG259" s="333"/>
      <c r="AH259" s="333"/>
      <c r="AI259" s="333"/>
      <c r="AJ259" s="333"/>
      <c r="AK259" s="333"/>
      <c r="AL259" s="333"/>
      <c r="AM259" s="335"/>
      <c r="AN259" s="333"/>
      <c r="AO259" s="333" t="s">
        <v>161</v>
      </c>
      <c r="AP259" s="333" t="s">
        <v>8132</v>
      </c>
      <c r="AQ259" s="327"/>
      <c r="AR259" s="327"/>
      <c r="AS259" s="327">
        <f>ESS_DATA[[#This Row],[ETA On S/O]]-ESS_DATA[[#This Row],[ETD On S/O]]+1</f>
        <v>1</v>
      </c>
      <c r="AT259" s="327"/>
      <c r="AU259" s="333" cm="1">
        <f t="array" ref="AU2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9" s="32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9" s="1273" t="str">
        <f>IF(ISERROR(ESS_DATA[[#This Row],[New Ark PO status]]),"",_xlfn.XLOOKUP(ESS_DATA[[#This Row],[SPTN-PVHK New Ark PO'#]],New_Ark_Data[Purchase order Number],New_Ark_Data[Estimated time of arrival],"",0))</f>
        <v/>
      </c>
      <c r="AX259" s="327">
        <f>IF(ESS_DATA[[#This Row],[New Ark PO Type]]="Offshore",0,IFERROR(VLOOKUP(ESS_DATA[[#This Row],[PORT OF LOADING]]&amp;ESS_DATA[[#This Row],[PORT DESTINATION]],LT_REF[],7,0),14))</f>
        <v>10</v>
      </c>
      <c r="AY259" s="333">
        <f>IFERROR(ESS_DATA[[#This Row],[ODP ETA Port]]+ESS_DATA[[#This Row],[Customs/Leg3 Assumption]],"n/a")</f>
        <v>10</v>
      </c>
      <c r="AZ259" s="326">
        <f>YEAR(ESS_DATA[[#This Row],[ETA for New Ark update]])</f>
        <v>1900</v>
      </c>
      <c r="BA259" s="326">
        <f>MONTH(ESS_DATA[[#This Row],[ETA for New Ark update]])</f>
        <v>1</v>
      </c>
      <c r="BB259" s="326">
        <f>IFERROR(_xlfn.ISOWEEKNUM(ESS_DATA[[#This Row],[ETA for New Ark update]]),0)</f>
        <v>2</v>
      </c>
      <c r="BC259" s="326" t="str">
        <f>_xlfn.XLOOKUP(ESS_DATA[[#This Row],[PORT DESTINATION]],Table12[PORT DESTINATION],Table12[Cosco Line],,0)</f>
        <v>AEM</v>
      </c>
      <c r="BD259" s="326"/>
      <c r="BE259" s="336"/>
      <c r="BF259" s="336"/>
      <c r="BG259" s="336"/>
      <c r="BH259" s="336"/>
      <c r="BI259" s="336"/>
    </row>
    <row r="260" spans="1:61" s="1143" customFormat="1" ht="16.5" customHeight="1">
      <c r="A260" s="311" t="s">
        <v>8134</v>
      </c>
      <c r="B260" s="313" t="s">
        <v>7423</v>
      </c>
      <c r="C260" s="313" t="str">
        <f>IFERROR(LEFT(ESS_DATA[[#This Row],[TCL REFERENCE]],FIND(".",ESS_DATA[[#This Row],[TCL REFERENCE]],1)-1),"Main Line")</f>
        <v>26NOV002</v>
      </c>
      <c r="D260" s="313" t="s">
        <v>63</v>
      </c>
      <c r="E260" s="322" t="s">
        <v>64</v>
      </c>
      <c r="F260" s="316"/>
      <c r="G260" s="313"/>
      <c r="H260" s="313"/>
      <c r="I260" s="317"/>
      <c r="J260" s="313"/>
      <c r="K260" s="313"/>
      <c r="L260" s="314"/>
      <c r="M260" s="315"/>
      <c r="N260" s="1142" t="s">
        <v>7437</v>
      </c>
      <c r="O260" s="1142" t="s">
        <v>7438</v>
      </c>
      <c r="P260" s="1142" t="s">
        <v>7439</v>
      </c>
      <c r="Q260" s="312"/>
      <c r="R260" s="317">
        <v>22</v>
      </c>
      <c r="S260" s="269"/>
      <c r="T260" s="31"/>
      <c r="U260" s="324">
        <f>ESS_DATA[[#This Row],[QUANTITY]]/260</f>
        <v>8.461538461538462E-2</v>
      </c>
      <c r="V260" s="408" t="s">
        <v>7463</v>
      </c>
      <c r="W260" s="374" t="s">
        <v>8131</v>
      </c>
      <c r="X260" s="316" t="str">
        <f t="shared" ref="X260:X261" si="19">IF(AL260&lt;&gt;"","COMPLETED",IF(AI260&lt;&gt;"","IN-TRANSIT",""))</f>
        <v/>
      </c>
      <c r="Y260" s="688">
        <v>46315</v>
      </c>
      <c r="Z260" s="320"/>
      <c r="AA260" s="321">
        <f>WEEKNUM(ESS_DATA[[#This Row],[Pick-Up Date]])</f>
        <v>0</v>
      </c>
      <c r="AB260" s="313"/>
      <c r="AC260" s="31"/>
      <c r="AD260" s="313" t="s">
        <v>122</v>
      </c>
      <c r="AE260" s="313" t="s">
        <v>122</v>
      </c>
      <c r="AF260" s="313" t="s">
        <v>8135</v>
      </c>
      <c r="AG260" s="320"/>
      <c r="AH260" s="320"/>
      <c r="AI260" s="320"/>
      <c r="AJ260" s="320"/>
      <c r="AK260" s="320"/>
      <c r="AL260" s="320"/>
      <c r="AM260" s="322"/>
      <c r="AN260" s="320"/>
      <c r="AO260" s="320"/>
      <c r="AP260" s="320"/>
      <c r="AQ260" s="313"/>
      <c r="AR260" s="313"/>
      <c r="AS260" s="313">
        <f>ESS_DATA[[#This Row],[ETA On S/O]]-ESS_DATA[[#This Row],[ETD On S/O]]+1</f>
        <v>1</v>
      </c>
      <c r="AT260" s="313"/>
      <c r="AU260" s="320" cm="1">
        <f t="array" ref="AU2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0" s="1218" t="str">
        <f>IF(ISERROR(ESS_DATA[[#This Row],[New Ark PO status]]),"",_xlfn.XLOOKUP(ESS_DATA[[#This Row],[SPTN-PVHK New Ark PO'#]],New_Ark_Data[Purchase order Number],New_Ark_Data[Estimated time of arrival],"",0))</f>
        <v/>
      </c>
      <c r="AX260" s="313">
        <f>IF(ESS_DATA[[#This Row],[New Ark PO Type]]="Offshore",0,IFERROR(VLOOKUP(ESS_DATA[[#This Row],[PORT OF LOADING]]&amp;ESS_DATA[[#This Row],[PORT DESTINATION]],LT_REF[],7,0),14))</f>
        <v>14</v>
      </c>
      <c r="AY260" s="320">
        <f>IFERROR(ESS_DATA[[#This Row],[ODP ETA Port]]+ESS_DATA[[#This Row],[Customs/Leg3 Assumption]],"n/a")</f>
        <v>14</v>
      </c>
      <c r="AZ260" s="316">
        <f>YEAR(ESS_DATA[[#This Row],[ETA for New Ark update]])</f>
        <v>1900</v>
      </c>
      <c r="BA260" s="316">
        <f>MONTH(ESS_DATA[[#This Row],[ETA for New Ark update]])</f>
        <v>1</v>
      </c>
      <c r="BB260" s="316">
        <f>IFERROR(_xlfn.ISOWEEKNUM(ESS_DATA[[#This Row],[ETA for New Ark update]]),0)</f>
        <v>2</v>
      </c>
      <c r="BC260" s="316" t="e">
        <f>_xlfn.XLOOKUP(ESS_DATA[[#This Row],[PORT DESTINATION]],Table12[PORT DESTINATION],Table12[Cosco Line],,0)</f>
        <v>#N/A</v>
      </c>
      <c r="BD260" s="316"/>
      <c r="BE260" s="323"/>
      <c r="BF260" s="323"/>
      <c r="BG260" s="323"/>
      <c r="BH260" s="323"/>
      <c r="BI260" s="323"/>
    </row>
    <row r="261" spans="1:61" s="1143" customFormat="1" ht="16.5" customHeight="1">
      <c r="A261" s="311" t="s">
        <v>8136</v>
      </c>
      <c r="B261" s="313" t="s">
        <v>7423</v>
      </c>
      <c r="C261" s="313" t="str">
        <f>IFERROR(LEFT(ESS_DATA[[#This Row],[TCL REFERENCE]],FIND(".",ESS_DATA[[#This Row],[TCL REFERENCE]],1)-1),"Main Line")</f>
        <v>Main Line</v>
      </c>
      <c r="D261" s="313" t="s">
        <v>63</v>
      </c>
      <c r="E261" s="322" t="s">
        <v>64</v>
      </c>
      <c r="F261" s="316"/>
      <c r="G261" s="313"/>
      <c r="H261" s="313"/>
      <c r="I261" s="317"/>
      <c r="J261" s="313"/>
      <c r="K261" s="313"/>
      <c r="L261" s="314"/>
      <c r="M261" s="315"/>
      <c r="N261" s="1142" t="s">
        <v>7437</v>
      </c>
      <c r="O261" s="1142" t="s">
        <v>7438</v>
      </c>
      <c r="P261" s="1142" t="s">
        <v>7439</v>
      </c>
      <c r="Q261" s="312"/>
      <c r="R261" s="317">
        <v>28</v>
      </c>
      <c r="S261" s="269"/>
      <c r="T261" s="31"/>
      <c r="U261" s="324">
        <f>ESS_DATA[[#This Row],[QUANTITY]]/260</f>
        <v>0.1076923076923077</v>
      </c>
      <c r="V261" s="408" t="s">
        <v>7463</v>
      </c>
      <c r="W261" s="374" t="s">
        <v>8131</v>
      </c>
      <c r="X261" s="316" t="str">
        <f t="shared" si="19"/>
        <v/>
      </c>
      <c r="Y261" s="688">
        <v>46315</v>
      </c>
      <c r="Z261" s="320"/>
      <c r="AA261" s="321">
        <f>WEEKNUM(ESS_DATA[[#This Row],[Pick-Up Date]])</f>
        <v>0</v>
      </c>
      <c r="AB261" s="313"/>
      <c r="AC261" s="31"/>
      <c r="AD261" s="313" t="s">
        <v>122</v>
      </c>
      <c r="AE261" s="313" t="s">
        <v>122</v>
      </c>
      <c r="AF261" s="313" t="s">
        <v>8135</v>
      </c>
      <c r="AG261" s="320"/>
      <c r="AH261" s="320"/>
      <c r="AI261" s="320"/>
      <c r="AJ261" s="320"/>
      <c r="AK261" s="320"/>
      <c r="AL261" s="320"/>
      <c r="AM261" s="322"/>
      <c r="AN261" s="320"/>
      <c r="AO261" s="320"/>
      <c r="AP261" s="320"/>
      <c r="AQ261" s="313"/>
      <c r="AR261" s="313"/>
      <c r="AS261" s="313">
        <f>ESS_DATA[[#This Row],[ETA On S/O]]-ESS_DATA[[#This Row],[ETD On S/O]]+1</f>
        <v>1</v>
      </c>
      <c r="AT261" s="313"/>
      <c r="AU261" s="320" cm="1">
        <f t="array" ref="AU2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1" s="1218" t="str">
        <f>IF(ISERROR(ESS_DATA[[#This Row],[New Ark PO status]]),"",_xlfn.XLOOKUP(ESS_DATA[[#This Row],[SPTN-PVHK New Ark PO'#]],New_Ark_Data[Purchase order Number],New_Ark_Data[Estimated time of arrival],"",0))</f>
        <v/>
      </c>
      <c r="AX261" s="313">
        <f>IF(ESS_DATA[[#This Row],[New Ark PO Type]]="Offshore",0,IFERROR(VLOOKUP(ESS_DATA[[#This Row],[PORT OF LOADING]]&amp;ESS_DATA[[#This Row],[PORT DESTINATION]],LT_REF[],7,0),14))</f>
        <v>14</v>
      </c>
      <c r="AY261" s="320">
        <f>IFERROR(ESS_DATA[[#This Row],[ODP ETA Port]]+ESS_DATA[[#This Row],[Customs/Leg3 Assumption]],"n/a")</f>
        <v>14</v>
      </c>
      <c r="AZ261" s="316">
        <f>YEAR(ESS_DATA[[#This Row],[ETA for New Ark update]])</f>
        <v>1900</v>
      </c>
      <c r="BA261" s="316">
        <f>MONTH(ESS_DATA[[#This Row],[ETA for New Ark update]])</f>
        <v>1</v>
      </c>
      <c r="BB261" s="316">
        <f>IFERROR(_xlfn.ISOWEEKNUM(ESS_DATA[[#This Row],[ETA for New Ark update]]),0)</f>
        <v>2</v>
      </c>
      <c r="BC261" s="316" t="e">
        <f>_xlfn.XLOOKUP(ESS_DATA[[#This Row],[PORT DESTINATION]],Table12[PORT DESTINATION],Table12[Cosco Line],,0)</f>
        <v>#N/A</v>
      </c>
      <c r="BD261" s="316"/>
      <c r="BE261" s="323"/>
      <c r="BF261" s="323"/>
      <c r="BG261" s="323"/>
      <c r="BH261" s="323"/>
      <c r="BI261" s="323"/>
    </row>
    <row r="262" spans="1:61" s="1143" customFormat="1" ht="16.5" customHeight="1">
      <c r="A262" s="311" t="s">
        <v>8137</v>
      </c>
      <c r="B262" s="313" t="s">
        <v>7423</v>
      </c>
      <c r="C262" s="313" t="str">
        <f>IFERROR(LEFT(ESS_DATA[[#This Row],[TCL REFERENCE]],FIND(".",ESS_DATA[[#This Row],[TCL REFERENCE]],1)-1),"Main Line")</f>
        <v>Main Line</v>
      </c>
      <c r="D262" s="313" t="s">
        <v>63</v>
      </c>
      <c r="E262" s="322" t="s">
        <v>64</v>
      </c>
      <c r="F262" s="316"/>
      <c r="G262" s="313"/>
      <c r="H262" s="313"/>
      <c r="I262" s="317"/>
      <c r="J262" s="313"/>
      <c r="K262" s="313"/>
      <c r="L262" s="314"/>
      <c r="M262" s="315"/>
      <c r="N262" s="1142" t="s">
        <v>7446</v>
      </c>
      <c r="O262" s="1142" t="s">
        <v>7438</v>
      </c>
      <c r="P262" s="1142" t="s">
        <v>7447</v>
      </c>
      <c r="Q262" s="312"/>
      <c r="R262" s="317">
        <v>78</v>
      </c>
      <c r="S262" s="269"/>
      <c r="T262" s="31"/>
      <c r="U262" s="324">
        <f>ESS_DATA[[#This Row],[QUANTITY]]/260</f>
        <v>0.3</v>
      </c>
      <c r="V262" s="408" t="s">
        <v>7463</v>
      </c>
      <c r="W262" s="374" t="s">
        <v>8131</v>
      </c>
      <c r="X262" s="316" t="str">
        <f t="shared" ref="X262:X264" si="20">IF(AL262&lt;&gt;"","COMPLETED",IF(AI262&lt;&gt;"","IN-TRANSIT",""))</f>
        <v/>
      </c>
      <c r="Y262" s="688">
        <v>46315</v>
      </c>
      <c r="Z262" s="320"/>
      <c r="AA262" s="321">
        <f>WEEKNUM(ESS_DATA[[#This Row],[Pick-Up Date]])</f>
        <v>0</v>
      </c>
      <c r="AB262" s="313"/>
      <c r="AC262" s="31"/>
      <c r="AD262" s="313" t="s">
        <v>122</v>
      </c>
      <c r="AE262" s="313" t="s">
        <v>122</v>
      </c>
      <c r="AF262" s="313" t="s">
        <v>8135</v>
      </c>
      <c r="AG262" s="320"/>
      <c r="AH262" s="320"/>
      <c r="AI262" s="320"/>
      <c r="AJ262" s="320"/>
      <c r="AK262" s="320"/>
      <c r="AL262" s="320"/>
      <c r="AM262" s="322"/>
      <c r="AN262" s="320"/>
      <c r="AO262" s="320"/>
      <c r="AP262" s="320"/>
      <c r="AQ262" s="313"/>
      <c r="AR262" s="313"/>
      <c r="AS262" s="313">
        <f>ESS_DATA[[#This Row],[ETA On S/O]]-ESS_DATA[[#This Row],[ETD On S/O]]+1</f>
        <v>1</v>
      </c>
      <c r="AT262" s="313"/>
      <c r="AU262" s="320" cm="1">
        <f t="array" ref="AU2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2" s="1218" t="str">
        <f>IF(ISERROR(ESS_DATA[[#This Row],[New Ark PO status]]),"",_xlfn.XLOOKUP(ESS_DATA[[#This Row],[SPTN-PVHK New Ark PO'#]],New_Ark_Data[Purchase order Number],New_Ark_Data[Estimated time of arrival],"",0))</f>
        <v/>
      </c>
      <c r="AX262" s="313">
        <f>IF(ESS_DATA[[#This Row],[New Ark PO Type]]="Offshore",0,IFERROR(VLOOKUP(ESS_DATA[[#This Row],[PORT OF LOADING]]&amp;ESS_DATA[[#This Row],[PORT DESTINATION]],LT_REF[],7,0),14))</f>
        <v>14</v>
      </c>
      <c r="AY262" s="320">
        <f>IFERROR(ESS_DATA[[#This Row],[ODP ETA Port]]+ESS_DATA[[#This Row],[Customs/Leg3 Assumption]],"n/a")</f>
        <v>14</v>
      </c>
      <c r="AZ262" s="316">
        <f>YEAR(ESS_DATA[[#This Row],[ETA for New Ark update]])</f>
        <v>1900</v>
      </c>
      <c r="BA262" s="316">
        <f>MONTH(ESS_DATA[[#This Row],[ETA for New Ark update]])</f>
        <v>1</v>
      </c>
      <c r="BB262" s="316">
        <f>IFERROR(_xlfn.ISOWEEKNUM(ESS_DATA[[#This Row],[ETA for New Ark update]]),0)</f>
        <v>2</v>
      </c>
      <c r="BC262" s="316" t="e">
        <f>_xlfn.XLOOKUP(ESS_DATA[[#This Row],[PORT DESTINATION]],Table12[PORT DESTINATION],Table12[Cosco Line],,0)</f>
        <v>#N/A</v>
      </c>
      <c r="BD262" s="316"/>
      <c r="BE262" s="323"/>
      <c r="BF262" s="323"/>
      <c r="BG262" s="323"/>
      <c r="BH262" s="323"/>
      <c r="BI262" s="323"/>
    </row>
    <row r="263" spans="1:61" s="1143" customFormat="1" ht="16.5" customHeight="1">
      <c r="A263" s="311" t="s">
        <v>8138</v>
      </c>
      <c r="B263" s="313" t="s">
        <v>7423</v>
      </c>
      <c r="C263" s="313" t="str">
        <f>IFERROR(LEFT(ESS_DATA[[#This Row],[TCL REFERENCE]],FIND(".",ESS_DATA[[#This Row],[TCL REFERENCE]],1)-1),"Main Line")</f>
        <v>Main Line</v>
      </c>
      <c r="D263" s="313" t="s">
        <v>63</v>
      </c>
      <c r="E263" s="322" t="s">
        <v>64</v>
      </c>
      <c r="F263" s="316"/>
      <c r="G263" s="313"/>
      <c r="H263" s="313"/>
      <c r="I263" s="317"/>
      <c r="J263" s="313"/>
      <c r="K263" s="313"/>
      <c r="L263" s="314"/>
      <c r="M263" s="315"/>
      <c r="N263" s="1142" t="s">
        <v>7446</v>
      </c>
      <c r="O263" s="1142" t="s">
        <v>7438</v>
      </c>
      <c r="P263" s="1142" t="s">
        <v>7447</v>
      </c>
      <c r="Q263" s="312"/>
      <c r="R263" s="317">
        <v>2</v>
      </c>
      <c r="S263" s="269"/>
      <c r="T263" s="31"/>
      <c r="U263" s="324">
        <f>ESS_DATA[[#This Row],[QUANTITY]]/260</f>
        <v>7.6923076923076927E-3</v>
      </c>
      <c r="V263" s="408" t="s">
        <v>7463</v>
      </c>
      <c r="W263" s="374" t="s">
        <v>8131</v>
      </c>
      <c r="X263" s="316" t="str">
        <f t="shared" si="20"/>
        <v/>
      </c>
      <c r="Y263" s="688">
        <v>46315</v>
      </c>
      <c r="Z263" s="320"/>
      <c r="AA263" s="321">
        <f>WEEKNUM(ESS_DATA[[#This Row],[Pick-Up Date]])</f>
        <v>0</v>
      </c>
      <c r="AB263" s="313"/>
      <c r="AC263" s="31"/>
      <c r="AD263" s="313" t="s">
        <v>122</v>
      </c>
      <c r="AE263" s="313" t="s">
        <v>122</v>
      </c>
      <c r="AF263" s="313" t="s">
        <v>8135</v>
      </c>
      <c r="AG263" s="320"/>
      <c r="AH263" s="320"/>
      <c r="AI263" s="320"/>
      <c r="AJ263" s="320"/>
      <c r="AK263" s="320"/>
      <c r="AL263" s="320"/>
      <c r="AM263" s="322"/>
      <c r="AN263" s="320"/>
      <c r="AO263" s="320"/>
      <c r="AP263" s="320"/>
      <c r="AQ263" s="313"/>
      <c r="AR263" s="313"/>
      <c r="AS263" s="313">
        <f>ESS_DATA[[#This Row],[ETA On S/O]]-ESS_DATA[[#This Row],[ETD On S/O]]+1</f>
        <v>1</v>
      </c>
      <c r="AT263" s="313"/>
      <c r="AU263" s="320" cm="1">
        <f t="array" ref="AU2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3" s="1218" t="str">
        <f>IF(ISERROR(ESS_DATA[[#This Row],[New Ark PO status]]),"",_xlfn.XLOOKUP(ESS_DATA[[#This Row],[SPTN-PVHK New Ark PO'#]],New_Ark_Data[Purchase order Number],New_Ark_Data[Estimated time of arrival],"",0))</f>
        <v/>
      </c>
      <c r="AX263" s="313">
        <f>IF(ESS_DATA[[#This Row],[New Ark PO Type]]="Offshore",0,IFERROR(VLOOKUP(ESS_DATA[[#This Row],[PORT OF LOADING]]&amp;ESS_DATA[[#This Row],[PORT DESTINATION]],LT_REF[],7,0),14))</f>
        <v>14</v>
      </c>
      <c r="AY263" s="320">
        <f>IFERROR(ESS_DATA[[#This Row],[ODP ETA Port]]+ESS_DATA[[#This Row],[Customs/Leg3 Assumption]],"n/a")</f>
        <v>14</v>
      </c>
      <c r="AZ263" s="316">
        <f>YEAR(ESS_DATA[[#This Row],[ETA for New Ark update]])</f>
        <v>1900</v>
      </c>
      <c r="BA263" s="316">
        <f>MONTH(ESS_DATA[[#This Row],[ETA for New Ark update]])</f>
        <v>1</v>
      </c>
      <c r="BB263" s="316">
        <f>IFERROR(_xlfn.ISOWEEKNUM(ESS_DATA[[#This Row],[ETA for New Ark update]]),0)</f>
        <v>2</v>
      </c>
      <c r="BC263" s="316" t="e">
        <f>_xlfn.XLOOKUP(ESS_DATA[[#This Row],[PORT DESTINATION]],Table12[PORT DESTINATION],Table12[Cosco Line],,0)</f>
        <v>#N/A</v>
      </c>
      <c r="BD263" s="316"/>
      <c r="BE263" s="323"/>
      <c r="BF263" s="323"/>
      <c r="BG263" s="323"/>
      <c r="BH263" s="323"/>
      <c r="BI263" s="323"/>
    </row>
    <row r="264" spans="1:61" s="1143" customFormat="1" ht="16.5" customHeight="1">
      <c r="A264" s="311" t="s">
        <v>8139</v>
      </c>
      <c r="B264" s="313" t="s">
        <v>7423</v>
      </c>
      <c r="C264" s="313" t="str">
        <f>IFERROR(LEFT(ESS_DATA[[#This Row],[TCL REFERENCE]],FIND(".",ESS_DATA[[#This Row],[TCL REFERENCE]],1)-1),"Main Line")</f>
        <v>26NOV004</v>
      </c>
      <c r="D264" s="313" t="s">
        <v>63</v>
      </c>
      <c r="E264" s="322" t="s">
        <v>64</v>
      </c>
      <c r="F264" s="316"/>
      <c r="G264" s="313"/>
      <c r="H264" s="313"/>
      <c r="I264" s="317"/>
      <c r="J264" s="313"/>
      <c r="K264" s="313"/>
      <c r="L264" s="314"/>
      <c r="M264" s="315"/>
      <c r="N264" s="1142" t="s">
        <v>7449</v>
      </c>
      <c r="O264" s="1142" t="s">
        <v>7646</v>
      </c>
      <c r="P264" s="1142" t="s">
        <v>7451</v>
      </c>
      <c r="Q264" s="312"/>
      <c r="R264" s="317">
        <v>96</v>
      </c>
      <c r="S264" s="269"/>
      <c r="T264" s="31"/>
      <c r="U264" s="324">
        <f>ESS_DATA[[#This Row],[QUANTITY]]/260</f>
        <v>0.36923076923076925</v>
      </c>
      <c r="V264" s="408" t="s">
        <v>7463</v>
      </c>
      <c r="W264" s="374" t="s">
        <v>8131</v>
      </c>
      <c r="X264" s="316" t="str">
        <f t="shared" si="20"/>
        <v/>
      </c>
      <c r="Y264" s="688">
        <v>46315</v>
      </c>
      <c r="Z264" s="320"/>
      <c r="AA264" s="321">
        <f>WEEKNUM(ESS_DATA[[#This Row],[Pick-Up Date]])</f>
        <v>0</v>
      </c>
      <c r="AB264" s="313"/>
      <c r="AC264" s="31"/>
      <c r="AD264" s="313" t="s">
        <v>122</v>
      </c>
      <c r="AE264" s="313" t="s">
        <v>122</v>
      </c>
      <c r="AF264" s="313" t="s">
        <v>8135</v>
      </c>
      <c r="AG264" s="320"/>
      <c r="AH264" s="320"/>
      <c r="AI264" s="320"/>
      <c r="AJ264" s="320"/>
      <c r="AK264" s="320"/>
      <c r="AL264" s="320"/>
      <c r="AM264" s="322"/>
      <c r="AN264" s="320"/>
      <c r="AO264" s="320"/>
      <c r="AP264" s="320"/>
      <c r="AQ264" s="313"/>
      <c r="AR264" s="313"/>
      <c r="AS264" s="313">
        <f>ESS_DATA[[#This Row],[ETA On S/O]]-ESS_DATA[[#This Row],[ETD On S/O]]+1</f>
        <v>1</v>
      </c>
      <c r="AT264" s="313"/>
      <c r="AU264" s="320" cm="1">
        <f t="array" ref="AU2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4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4" s="1218" t="str">
        <f>IF(ISERROR(ESS_DATA[[#This Row],[New Ark PO status]]),"",_xlfn.XLOOKUP(ESS_DATA[[#This Row],[SPTN-PVHK New Ark PO'#]],New_Ark_Data[Purchase order Number],New_Ark_Data[Estimated time of arrival],"",0))</f>
        <v/>
      </c>
      <c r="AX264" s="313">
        <f>IF(ESS_DATA[[#This Row],[New Ark PO Type]]="Offshore",0,IFERROR(VLOOKUP(ESS_DATA[[#This Row],[PORT OF LOADING]]&amp;ESS_DATA[[#This Row],[PORT DESTINATION]],LT_REF[],7,0),14))</f>
        <v>14</v>
      </c>
      <c r="AY264" s="320">
        <f>IFERROR(ESS_DATA[[#This Row],[ODP ETA Port]]+ESS_DATA[[#This Row],[Customs/Leg3 Assumption]],"n/a")</f>
        <v>14</v>
      </c>
      <c r="AZ264" s="316">
        <f>YEAR(ESS_DATA[[#This Row],[ETA for New Ark update]])</f>
        <v>1900</v>
      </c>
      <c r="BA264" s="316">
        <f>MONTH(ESS_DATA[[#This Row],[ETA for New Ark update]])</f>
        <v>1</v>
      </c>
      <c r="BB264" s="316">
        <f>IFERROR(_xlfn.ISOWEEKNUM(ESS_DATA[[#This Row],[ETA for New Ark update]]),0)</f>
        <v>2</v>
      </c>
      <c r="BC264" s="316" t="e">
        <f>_xlfn.XLOOKUP(ESS_DATA[[#This Row],[PORT DESTINATION]],Table12[PORT DESTINATION],Table12[Cosco Line],,0)</f>
        <v>#N/A</v>
      </c>
      <c r="BD264" s="316"/>
      <c r="BE264" s="323"/>
      <c r="BF264" s="323"/>
      <c r="BG264" s="323"/>
      <c r="BH264" s="323"/>
      <c r="BI264" s="323"/>
    </row>
    <row r="265" spans="1:61" s="1143" customFormat="1" ht="16.5" customHeight="1">
      <c r="A265" s="311" t="s">
        <v>8140</v>
      </c>
      <c r="B265" s="313" t="s">
        <v>7423</v>
      </c>
      <c r="C265" s="313" t="str">
        <f>IFERROR(LEFT(ESS_DATA[[#This Row],[TCL REFERENCE]],FIND(".",ESS_DATA[[#This Row],[TCL REFERENCE]],1)-1),"Main Line")</f>
        <v>Main Line</v>
      </c>
      <c r="D265" s="313" t="s">
        <v>63</v>
      </c>
      <c r="E265" s="322" t="s">
        <v>64</v>
      </c>
      <c r="F265" s="316"/>
      <c r="G265" s="313"/>
      <c r="H265" s="313"/>
      <c r="I265" s="317"/>
      <c r="J265" s="313"/>
      <c r="K265" s="313"/>
      <c r="L265" s="314"/>
      <c r="M265" s="315"/>
      <c r="N265" s="1142" t="s">
        <v>7449</v>
      </c>
      <c r="O265" s="1142" t="s">
        <v>7646</v>
      </c>
      <c r="P265" s="1142" t="s">
        <v>7451</v>
      </c>
      <c r="Q265" s="312"/>
      <c r="R265" s="317">
        <v>34</v>
      </c>
      <c r="S265" s="269"/>
      <c r="T265" s="31"/>
      <c r="U265" s="324">
        <f>ESS_DATA[[#This Row],[QUANTITY]]/260</f>
        <v>0.13076923076923078</v>
      </c>
      <c r="V265" s="408" t="s">
        <v>7463</v>
      </c>
      <c r="W265" s="374" t="s">
        <v>8131</v>
      </c>
      <c r="X265" s="316" t="str">
        <f t="shared" ref="X265" si="21">IF(AL265&lt;&gt;"","COMPLETED",IF(AI265&lt;&gt;"","IN-TRANSIT",""))</f>
        <v/>
      </c>
      <c r="Y265" s="688">
        <v>46315</v>
      </c>
      <c r="Z265" s="320"/>
      <c r="AA265" s="321">
        <f>WEEKNUM(ESS_DATA[[#This Row],[Pick-Up Date]])</f>
        <v>0</v>
      </c>
      <c r="AB265" s="313"/>
      <c r="AC265" s="31"/>
      <c r="AD265" s="313" t="s">
        <v>122</v>
      </c>
      <c r="AE265" s="313" t="s">
        <v>122</v>
      </c>
      <c r="AF265" s="313" t="s">
        <v>8135</v>
      </c>
      <c r="AG265" s="320"/>
      <c r="AH265" s="320"/>
      <c r="AI265" s="320"/>
      <c r="AJ265" s="320"/>
      <c r="AK265" s="320"/>
      <c r="AL265" s="320"/>
      <c r="AM265" s="322"/>
      <c r="AN265" s="320"/>
      <c r="AO265" s="320"/>
      <c r="AP265" s="320"/>
      <c r="AQ265" s="313"/>
      <c r="AR265" s="313"/>
      <c r="AS265" s="313">
        <f>ESS_DATA[[#This Row],[ETA On S/O]]-ESS_DATA[[#This Row],[ETD On S/O]]+1</f>
        <v>1</v>
      </c>
      <c r="AT265" s="313"/>
      <c r="AU265" s="320" cm="1">
        <f t="array" ref="AU2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5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5" s="1218" t="str">
        <f>IF(ISERROR(ESS_DATA[[#This Row],[New Ark PO status]]),"",_xlfn.XLOOKUP(ESS_DATA[[#This Row],[SPTN-PVHK New Ark PO'#]],New_Ark_Data[Purchase order Number],New_Ark_Data[Estimated time of arrival],"",0))</f>
        <v/>
      </c>
      <c r="AX265" s="313">
        <f>IF(ESS_DATA[[#This Row],[New Ark PO Type]]="Offshore",0,IFERROR(VLOOKUP(ESS_DATA[[#This Row],[PORT OF LOADING]]&amp;ESS_DATA[[#This Row],[PORT DESTINATION]],LT_REF[],7,0),14))</f>
        <v>14</v>
      </c>
      <c r="AY265" s="320">
        <f>IFERROR(ESS_DATA[[#This Row],[ODP ETA Port]]+ESS_DATA[[#This Row],[Customs/Leg3 Assumption]],"n/a")</f>
        <v>14</v>
      </c>
      <c r="AZ265" s="316">
        <f>YEAR(ESS_DATA[[#This Row],[ETA for New Ark update]])</f>
        <v>1900</v>
      </c>
      <c r="BA265" s="316">
        <f>MONTH(ESS_DATA[[#This Row],[ETA for New Ark update]])</f>
        <v>1</v>
      </c>
      <c r="BB265" s="316">
        <f>IFERROR(_xlfn.ISOWEEKNUM(ESS_DATA[[#This Row],[ETA for New Ark update]]),0)</f>
        <v>2</v>
      </c>
      <c r="BC265" s="316" t="e">
        <f>_xlfn.XLOOKUP(ESS_DATA[[#This Row],[PORT DESTINATION]],Table12[PORT DESTINATION],Table12[Cosco Line],,0)</f>
        <v>#N/A</v>
      </c>
      <c r="BD265" s="316"/>
      <c r="BE265" s="323"/>
      <c r="BF265" s="323"/>
      <c r="BG265" s="323"/>
      <c r="BH265" s="323"/>
      <c r="BI265" s="323"/>
    </row>
    <row r="266" spans="1:61" s="1143" customFormat="1" ht="16.5" customHeight="1">
      <c r="A266" s="311" t="s">
        <v>8141</v>
      </c>
      <c r="B266" s="313" t="s">
        <v>7423</v>
      </c>
      <c r="C266" s="313" t="str">
        <f>IFERROR(LEFT(ESS_DATA[[#This Row],[TCL REFERENCE]],FIND(".",ESS_DATA[[#This Row],[TCL REFERENCE]],1)-1),"Main Line")</f>
        <v>Main Line</v>
      </c>
      <c r="D266" s="313" t="s">
        <v>63</v>
      </c>
      <c r="E266" s="322" t="s">
        <v>64</v>
      </c>
      <c r="F266" s="316"/>
      <c r="G266" s="313"/>
      <c r="H266" s="313"/>
      <c r="I266" s="317"/>
      <c r="J266" s="313"/>
      <c r="K266" s="313"/>
      <c r="L266" s="314"/>
      <c r="M266" s="315"/>
      <c r="N266" s="1142" t="s">
        <v>7471</v>
      </c>
      <c r="O266" s="1142" t="s">
        <v>7438</v>
      </c>
      <c r="P266" s="1142" t="s">
        <v>7472</v>
      </c>
      <c r="Q266" s="312"/>
      <c r="R266" s="317">
        <v>126</v>
      </c>
      <c r="S266" s="269"/>
      <c r="T266" s="31"/>
      <c r="U266" s="324">
        <f>ESS_DATA[[#This Row],[QUANTITY]]/260</f>
        <v>0.48461538461538461</v>
      </c>
      <c r="V266" s="408" t="s">
        <v>7469</v>
      </c>
      <c r="W266" s="374" t="s">
        <v>8055</v>
      </c>
      <c r="X266" s="316" t="str">
        <f>IF(AL266&lt;&gt;"","COMPLETED",IF(AI266&lt;&gt;"","IN-TRANSIT",""))</f>
        <v/>
      </c>
      <c r="Y266" s="688">
        <v>46321</v>
      </c>
      <c r="Z266" s="320"/>
      <c r="AA266" s="321">
        <f>WEEKNUM(ESS_DATA[[#This Row],[Pick-Up Date]])</f>
        <v>0</v>
      </c>
      <c r="AB266" s="313"/>
      <c r="AC266" s="31"/>
      <c r="AD266" s="313" t="s">
        <v>122</v>
      </c>
      <c r="AE266" s="313" t="s">
        <v>122</v>
      </c>
      <c r="AF266" s="313" t="s">
        <v>105</v>
      </c>
      <c r="AG266" s="320"/>
      <c r="AH266" s="320"/>
      <c r="AI266" s="320"/>
      <c r="AJ266" s="320"/>
      <c r="AK266" s="320"/>
      <c r="AL266" s="320"/>
      <c r="AM266" s="322"/>
      <c r="AN266" s="320"/>
      <c r="AO266" s="320"/>
      <c r="AP266" s="320"/>
      <c r="AQ266" s="313"/>
      <c r="AR266" s="313"/>
      <c r="AS266" s="313">
        <f>ESS_DATA[[#This Row],[ETA On S/O]]-ESS_DATA[[#This Row],[ETD On S/O]]+1</f>
        <v>1</v>
      </c>
      <c r="AT266" s="313"/>
      <c r="AU266" s="320" cm="1">
        <f t="array" ref="AU2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6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6" s="1218" t="str">
        <f>IF(ISERROR(ESS_DATA[[#This Row],[New Ark PO status]]),"",_xlfn.XLOOKUP(ESS_DATA[[#This Row],[SPTN-PVHK New Ark PO'#]],New_Ark_Data[Purchase order Number],New_Ark_Data[Estimated time of arrival],"",0))</f>
        <v/>
      </c>
      <c r="AX266" s="313">
        <f>IF(ESS_DATA[[#This Row],[New Ark PO Type]]="Offshore",0,IFERROR(VLOOKUP(ESS_DATA[[#This Row],[PORT OF LOADING]]&amp;ESS_DATA[[#This Row],[PORT DESTINATION]],LT_REF[],7,0),14))</f>
        <v>7</v>
      </c>
      <c r="AY266" s="320">
        <f>IFERROR(ESS_DATA[[#This Row],[ODP ETA Port]]+ESS_DATA[[#This Row],[Customs/Leg3 Assumption]],"n/a")</f>
        <v>7</v>
      </c>
      <c r="AZ266" s="316">
        <f>YEAR(ESS_DATA[[#This Row],[ETA for New Ark update]])</f>
        <v>1900</v>
      </c>
      <c r="BA266" s="316">
        <f>MONTH(ESS_DATA[[#This Row],[ETA for New Ark update]])</f>
        <v>1</v>
      </c>
      <c r="BB266" s="316">
        <f>IFERROR(_xlfn.ISOWEEKNUM(ESS_DATA[[#This Row],[ETA for New Ark update]]),0)</f>
        <v>1</v>
      </c>
      <c r="BC266" s="316" t="str">
        <f>_xlfn.XLOOKUP(ESS_DATA[[#This Row],[PORT DESTINATION]],Table12[PORT DESTINATION],Table12[Cosco Line],,0)</f>
        <v>AEU</v>
      </c>
      <c r="BD266" s="316"/>
      <c r="BE266" s="323"/>
      <c r="BF266" s="323"/>
      <c r="BG266" s="323"/>
      <c r="BH266" s="323"/>
      <c r="BI266" s="323"/>
    </row>
    <row r="267" spans="1:61" s="1143" customFormat="1" ht="16.5" customHeight="1">
      <c r="A267" s="311" t="s">
        <v>8142</v>
      </c>
      <c r="B267" s="313" t="s">
        <v>7423</v>
      </c>
      <c r="C267" s="313" t="str">
        <f>IFERROR(LEFT(ESS_DATA[[#This Row],[TCL REFERENCE]],FIND(".",ESS_DATA[[#This Row],[TCL REFERENCE]],1)-1),"Main Line")</f>
        <v>Main Line</v>
      </c>
      <c r="D267" s="313" t="s">
        <v>63</v>
      </c>
      <c r="E267" s="322" t="s">
        <v>64</v>
      </c>
      <c r="F267" s="316"/>
      <c r="G267" s="313"/>
      <c r="H267" s="313"/>
      <c r="I267" s="317"/>
      <c r="J267" s="313"/>
      <c r="K267" s="313"/>
      <c r="L267" s="314"/>
      <c r="M267" s="315"/>
      <c r="N267" s="1142" t="s">
        <v>7471</v>
      </c>
      <c r="O267" s="1142" t="s">
        <v>7438</v>
      </c>
      <c r="P267" s="1142" t="s">
        <v>7472</v>
      </c>
      <c r="Q267" s="312"/>
      <c r="R267" s="317">
        <v>4</v>
      </c>
      <c r="S267" s="269"/>
      <c r="T267" s="31"/>
      <c r="U267" s="324">
        <f>ESS_DATA[[#This Row],[QUANTITY]]/260</f>
        <v>1.5384615384615385E-2</v>
      </c>
      <c r="V267" s="408" t="s">
        <v>7469</v>
      </c>
      <c r="W267" s="374" t="s">
        <v>8055</v>
      </c>
      <c r="X267" s="316" t="str">
        <f t="shared" ref="X267" si="22">IF(AL267&lt;&gt;"","COMPLETED",IF(AI267&lt;&gt;"","IN-TRANSIT",""))</f>
        <v/>
      </c>
      <c r="Y267" s="688">
        <v>46321</v>
      </c>
      <c r="Z267" s="320"/>
      <c r="AA267" s="321">
        <f>WEEKNUM(ESS_DATA[[#This Row],[Pick-Up Date]])</f>
        <v>0</v>
      </c>
      <c r="AB267" s="313"/>
      <c r="AC267" s="31"/>
      <c r="AD267" s="313" t="s">
        <v>122</v>
      </c>
      <c r="AE267" s="313" t="s">
        <v>122</v>
      </c>
      <c r="AF267" s="313" t="s">
        <v>105</v>
      </c>
      <c r="AG267" s="320"/>
      <c r="AH267" s="320"/>
      <c r="AI267" s="320"/>
      <c r="AJ267" s="320"/>
      <c r="AK267" s="320"/>
      <c r="AL267" s="320"/>
      <c r="AM267" s="322"/>
      <c r="AN267" s="320"/>
      <c r="AO267" s="320"/>
      <c r="AP267" s="320"/>
      <c r="AQ267" s="313"/>
      <c r="AR267" s="313"/>
      <c r="AS267" s="313">
        <f>ESS_DATA[[#This Row],[ETA On S/O]]-ESS_DATA[[#This Row],[ETD On S/O]]+1</f>
        <v>1</v>
      </c>
      <c r="AT267" s="313"/>
      <c r="AU267" s="320" cm="1">
        <f t="array" ref="AU2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7" s="1218" t="str">
        <f>IF(ISERROR(ESS_DATA[[#This Row],[New Ark PO status]]),"",_xlfn.XLOOKUP(ESS_DATA[[#This Row],[SPTN-PVHK New Ark PO'#]],New_Ark_Data[Purchase order Number],New_Ark_Data[Estimated time of arrival],"",0))</f>
        <v/>
      </c>
      <c r="AX267" s="313">
        <f>IF(ESS_DATA[[#This Row],[New Ark PO Type]]="Offshore",0,IFERROR(VLOOKUP(ESS_DATA[[#This Row],[PORT OF LOADING]]&amp;ESS_DATA[[#This Row],[PORT DESTINATION]],LT_REF[],7,0),14))</f>
        <v>7</v>
      </c>
      <c r="AY267" s="320">
        <f>IFERROR(ESS_DATA[[#This Row],[ODP ETA Port]]+ESS_DATA[[#This Row],[Customs/Leg3 Assumption]],"n/a")</f>
        <v>7</v>
      </c>
      <c r="AZ267" s="316">
        <f>YEAR(ESS_DATA[[#This Row],[ETA for New Ark update]])</f>
        <v>1900</v>
      </c>
      <c r="BA267" s="316">
        <f>MONTH(ESS_DATA[[#This Row],[ETA for New Ark update]])</f>
        <v>1</v>
      </c>
      <c r="BB267" s="316">
        <f>IFERROR(_xlfn.ISOWEEKNUM(ESS_DATA[[#This Row],[ETA for New Ark update]]),0)</f>
        <v>1</v>
      </c>
      <c r="BC267" s="316" t="str">
        <f>_xlfn.XLOOKUP(ESS_DATA[[#This Row],[PORT DESTINATION]],Table12[PORT DESTINATION],Table12[Cosco Line],,0)</f>
        <v>AEU</v>
      </c>
      <c r="BD267" s="316"/>
      <c r="BE267" s="323"/>
      <c r="BF267" s="323"/>
      <c r="BG267" s="323"/>
      <c r="BH267" s="323"/>
      <c r="BI267" s="323"/>
    </row>
    <row r="268" spans="1:61" s="1143" customFormat="1" ht="16.5" customHeight="1">
      <c r="A268" s="311" t="s">
        <v>8143</v>
      </c>
      <c r="B268" s="313" t="s">
        <v>7423</v>
      </c>
      <c r="C268" s="313" t="str">
        <f>IFERROR(LEFT(ESS_DATA[[#This Row],[TCL REFERENCE]],FIND(".",ESS_DATA[[#This Row],[TCL REFERENCE]],1)-1),"Main Line")</f>
        <v>26NOV004</v>
      </c>
      <c r="D268" s="313" t="s">
        <v>63</v>
      </c>
      <c r="E268" s="322" t="s">
        <v>64</v>
      </c>
      <c r="F268" s="316"/>
      <c r="G268" s="313"/>
      <c r="H268" s="313"/>
      <c r="I268" s="317"/>
      <c r="J268" s="313"/>
      <c r="K268" s="313"/>
      <c r="L268" s="314"/>
      <c r="M268" s="315"/>
      <c r="N268" s="1142" t="s">
        <v>7449</v>
      </c>
      <c r="O268" s="1142" t="s">
        <v>7646</v>
      </c>
      <c r="P268" s="1142" t="s">
        <v>7451</v>
      </c>
      <c r="Q268" s="312"/>
      <c r="R268" s="317">
        <v>130</v>
      </c>
      <c r="S268" s="269"/>
      <c r="T268" s="31"/>
      <c r="U268" s="324">
        <f>ESS_DATA[[#This Row],[QUANTITY]]/260</f>
        <v>0.5</v>
      </c>
      <c r="V268" s="408" t="s">
        <v>7469</v>
      </c>
      <c r="W268" s="374" t="s">
        <v>8055</v>
      </c>
      <c r="X268" s="316" t="str">
        <f t="shared" ref="X268:X275" si="23">IF(AL268&lt;&gt;"","COMPLETED",IF(AI268&lt;&gt;"","IN-TRANSIT",""))</f>
        <v/>
      </c>
      <c r="Y268" s="688">
        <v>46321</v>
      </c>
      <c r="Z268" s="320"/>
      <c r="AA268" s="321">
        <f>WEEKNUM(ESS_DATA[[#This Row],[Pick-Up Date]])</f>
        <v>0</v>
      </c>
      <c r="AB268" s="313"/>
      <c r="AC268" s="31"/>
      <c r="AD268" s="313" t="s">
        <v>122</v>
      </c>
      <c r="AE268" s="313" t="s">
        <v>122</v>
      </c>
      <c r="AF268" s="313" t="s">
        <v>105</v>
      </c>
      <c r="AG268" s="320"/>
      <c r="AH268" s="320"/>
      <c r="AI268" s="320"/>
      <c r="AJ268" s="320"/>
      <c r="AK268" s="320"/>
      <c r="AL268" s="320"/>
      <c r="AM268" s="322"/>
      <c r="AN268" s="320"/>
      <c r="AO268" s="320"/>
      <c r="AP268" s="320"/>
      <c r="AQ268" s="313"/>
      <c r="AR268" s="313"/>
      <c r="AS268" s="313">
        <f>ESS_DATA[[#This Row],[ETA On S/O]]-ESS_DATA[[#This Row],[ETD On S/O]]+1</f>
        <v>1</v>
      </c>
      <c r="AT268" s="313"/>
      <c r="AU268" s="320" cm="1">
        <f t="array" ref="AU2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8" s="1218" t="str">
        <f>IF(ISERROR(ESS_DATA[[#This Row],[New Ark PO status]]),"",_xlfn.XLOOKUP(ESS_DATA[[#This Row],[SPTN-PVHK New Ark PO'#]],New_Ark_Data[Purchase order Number],New_Ark_Data[Estimated time of arrival],"",0))</f>
        <v/>
      </c>
      <c r="AX268" s="313">
        <f>IF(ESS_DATA[[#This Row],[New Ark PO Type]]="Offshore",0,IFERROR(VLOOKUP(ESS_DATA[[#This Row],[PORT OF LOADING]]&amp;ESS_DATA[[#This Row],[PORT DESTINATION]],LT_REF[],7,0),14))</f>
        <v>7</v>
      </c>
      <c r="AY268" s="320">
        <f>IFERROR(ESS_DATA[[#This Row],[ODP ETA Port]]+ESS_DATA[[#This Row],[Customs/Leg3 Assumption]],"n/a")</f>
        <v>7</v>
      </c>
      <c r="AZ268" s="316">
        <f>YEAR(ESS_DATA[[#This Row],[ETA for New Ark update]])</f>
        <v>1900</v>
      </c>
      <c r="BA268" s="316">
        <f>MONTH(ESS_DATA[[#This Row],[ETA for New Ark update]])</f>
        <v>1</v>
      </c>
      <c r="BB268" s="316">
        <f>IFERROR(_xlfn.ISOWEEKNUM(ESS_DATA[[#This Row],[ETA for New Ark update]]),0)</f>
        <v>1</v>
      </c>
      <c r="BC268" s="316" t="str">
        <f>_xlfn.XLOOKUP(ESS_DATA[[#This Row],[PORT DESTINATION]],Table12[PORT DESTINATION],Table12[Cosco Line],,0)</f>
        <v>AEU</v>
      </c>
      <c r="BD268" s="316"/>
      <c r="BE268" s="323"/>
      <c r="BF268" s="323"/>
      <c r="BG268" s="323"/>
      <c r="BH268" s="323"/>
      <c r="BI268" s="323"/>
    </row>
    <row r="269" spans="1:61" s="1143" customFormat="1" ht="16.5" customHeight="1">
      <c r="A269" s="311" t="s">
        <v>8144</v>
      </c>
      <c r="B269" s="313" t="s">
        <v>7423</v>
      </c>
      <c r="C269" s="313" t="str">
        <f>IFERROR(LEFT(ESS_DATA[[#This Row],[TCL REFERENCE]],FIND(".",ESS_DATA[[#This Row],[TCL REFERENCE]],1)-1),"Main Line")</f>
        <v>26NOV002</v>
      </c>
      <c r="D269" s="313" t="s">
        <v>63</v>
      </c>
      <c r="E269" s="322" t="s">
        <v>64</v>
      </c>
      <c r="F269" s="316"/>
      <c r="G269" s="313"/>
      <c r="H269" s="313"/>
      <c r="I269" s="317"/>
      <c r="J269" s="313"/>
      <c r="K269" s="313"/>
      <c r="L269" s="314"/>
      <c r="M269" s="315"/>
      <c r="N269" s="1142" t="s">
        <v>7437</v>
      </c>
      <c r="O269" s="1142" t="s">
        <v>7438</v>
      </c>
      <c r="P269" s="1142" t="s">
        <v>7439</v>
      </c>
      <c r="Q269" s="312"/>
      <c r="R269" s="317">
        <v>130</v>
      </c>
      <c r="S269" s="269"/>
      <c r="T269" s="31"/>
      <c r="U269" s="324">
        <f>ESS_DATA[[#This Row],[QUANTITY]]/260</f>
        <v>0.5</v>
      </c>
      <c r="V269" s="408" t="s">
        <v>7473</v>
      </c>
      <c r="W269" s="313" t="s">
        <v>8131</v>
      </c>
      <c r="X269" s="316" t="str">
        <f t="shared" si="23"/>
        <v/>
      </c>
      <c r="Y269" s="688">
        <v>46315</v>
      </c>
      <c r="Z269" s="320"/>
      <c r="AA269" s="321">
        <f>WEEKNUM(ESS_DATA[[#This Row],[Pick-Up Date]])</f>
        <v>0</v>
      </c>
      <c r="AB269" s="313"/>
      <c r="AC269" s="31"/>
      <c r="AD269" s="313" t="s">
        <v>122</v>
      </c>
      <c r="AE269" s="313" t="s">
        <v>122</v>
      </c>
      <c r="AF269" s="41" t="s">
        <v>314</v>
      </c>
      <c r="AG269" s="320"/>
      <c r="AH269" s="320"/>
      <c r="AI269" s="320"/>
      <c r="AJ269" s="320"/>
      <c r="AK269" s="320"/>
      <c r="AL269" s="320"/>
      <c r="AM269" s="322"/>
      <c r="AN269" s="320"/>
      <c r="AO269" s="320"/>
      <c r="AP269" s="320"/>
      <c r="AQ269" s="313"/>
      <c r="AR269" s="313"/>
      <c r="AS269" s="313">
        <f>ESS_DATA[[#This Row],[ETA On S/O]]-ESS_DATA[[#This Row],[ETD On S/O]]+1</f>
        <v>1</v>
      </c>
      <c r="AT269" s="313"/>
      <c r="AU269" s="320" cm="1">
        <f t="array" ref="AU2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9" s="1218" t="str">
        <f>IF(ISERROR(ESS_DATA[[#This Row],[New Ark PO status]]),"",_xlfn.XLOOKUP(ESS_DATA[[#This Row],[SPTN-PVHK New Ark PO'#]],New_Ark_Data[Purchase order Number],New_Ark_Data[Estimated time of arrival],"",0))</f>
        <v/>
      </c>
      <c r="AX269" s="313">
        <f>IF(ESS_DATA[[#This Row],[New Ark PO Type]]="Offshore",0,IFERROR(VLOOKUP(ESS_DATA[[#This Row],[PORT OF LOADING]]&amp;ESS_DATA[[#This Row],[PORT DESTINATION]],LT_REF[],7,0),14))</f>
        <v>10</v>
      </c>
      <c r="AY269" s="320">
        <f>IFERROR(ESS_DATA[[#This Row],[ODP ETA Port]]+ESS_DATA[[#This Row],[Customs/Leg3 Assumption]],"n/a")</f>
        <v>10</v>
      </c>
      <c r="AZ269" s="316">
        <f>YEAR(ESS_DATA[[#This Row],[ETA for New Ark update]])</f>
        <v>1900</v>
      </c>
      <c r="BA269" s="316">
        <f>MONTH(ESS_DATA[[#This Row],[ETA for New Ark update]])</f>
        <v>1</v>
      </c>
      <c r="BB269" s="316">
        <f>IFERROR(_xlfn.ISOWEEKNUM(ESS_DATA[[#This Row],[ETA for New Ark update]]),0)</f>
        <v>2</v>
      </c>
      <c r="BC269" s="316" t="str">
        <f>_xlfn.XLOOKUP(ESS_DATA[[#This Row],[PORT DESTINATION]],Table12[PORT DESTINATION],Table12[Cosco Line],,0)</f>
        <v>AEM</v>
      </c>
      <c r="BD269" s="316"/>
      <c r="BE269" s="323"/>
      <c r="BF269" s="323"/>
      <c r="BG269" s="323"/>
      <c r="BH269" s="323"/>
      <c r="BI269" s="323"/>
    </row>
    <row r="270" spans="1:61" s="1143" customFormat="1" ht="16.5" customHeight="1">
      <c r="A270" s="311" t="s">
        <v>8145</v>
      </c>
      <c r="B270" s="313" t="s">
        <v>7423</v>
      </c>
      <c r="C270" s="313" t="str">
        <f>IFERROR(LEFT(ESS_DATA[[#This Row],[TCL REFERENCE]],FIND(".",ESS_DATA[[#This Row],[TCL REFERENCE]],1)-1),"Main Line")</f>
        <v>26NOV004</v>
      </c>
      <c r="D270" s="313" t="s">
        <v>63</v>
      </c>
      <c r="E270" s="322" t="s">
        <v>64</v>
      </c>
      <c r="F270" s="316"/>
      <c r="G270" s="313"/>
      <c r="H270" s="313"/>
      <c r="I270" s="317"/>
      <c r="J270" s="313"/>
      <c r="K270" s="313"/>
      <c r="L270" s="314"/>
      <c r="M270" s="315"/>
      <c r="N270" s="1142" t="s">
        <v>7449</v>
      </c>
      <c r="O270" s="1142" t="s">
        <v>7646</v>
      </c>
      <c r="P270" s="1142" t="s">
        <v>7451</v>
      </c>
      <c r="Q270" s="312"/>
      <c r="R270" s="317">
        <v>130</v>
      </c>
      <c r="S270" s="269"/>
      <c r="T270" s="31"/>
      <c r="U270" s="324">
        <f>ESS_DATA[[#This Row],[QUANTITY]]/260</f>
        <v>0.5</v>
      </c>
      <c r="V270" s="408" t="s">
        <v>7473</v>
      </c>
      <c r="W270" s="313" t="s">
        <v>8131</v>
      </c>
      <c r="X270" s="316" t="str">
        <f t="shared" si="23"/>
        <v/>
      </c>
      <c r="Y270" s="688">
        <v>46315</v>
      </c>
      <c r="Z270" s="320"/>
      <c r="AA270" s="321">
        <f>WEEKNUM(ESS_DATA[[#This Row],[Pick-Up Date]])</f>
        <v>0</v>
      </c>
      <c r="AB270" s="313"/>
      <c r="AC270" s="31"/>
      <c r="AD270" s="313" t="s">
        <v>122</v>
      </c>
      <c r="AE270" s="313" t="s">
        <v>122</v>
      </c>
      <c r="AF270" s="41" t="s">
        <v>314</v>
      </c>
      <c r="AG270" s="320"/>
      <c r="AH270" s="320"/>
      <c r="AI270" s="320"/>
      <c r="AJ270" s="320"/>
      <c r="AK270" s="320"/>
      <c r="AL270" s="320"/>
      <c r="AM270" s="322"/>
      <c r="AN270" s="320"/>
      <c r="AO270" s="320"/>
      <c r="AP270" s="320"/>
      <c r="AQ270" s="313"/>
      <c r="AR270" s="313"/>
      <c r="AS270" s="313">
        <f>ESS_DATA[[#This Row],[ETA On S/O]]-ESS_DATA[[#This Row],[ETD On S/O]]+1</f>
        <v>1</v>
      </c>
      <c r="AT270" s="313"/>
      <c r="AU270" s="320" cm="1">
        <f t="array" ref="AU2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0" s="1218" t="str">
        <f>IF(ISERROR(ESS_DATA[[#This Row],[New Ark PO status]]),"",_xlfn.XLOOKUP(ESS_DATA[[#This Row],[SPTN-PVHK New Ark PO'#]],New_Ark_Data[Purchase order Number],New_Ark_Data[Estimated time of arrival],"",0))</f>
        <v/>
      </c>
      <c r="AX270" s="313">
        <f>IF(ESS_DATA[[#This Row],[New Ark PO Type]]="Offshore",0,IFERROR(VLOOKUP(ESS_DATA[[#This Row],[PORT OF LOADING]]&amp;ESS_DATA[[#This Row],[PORT DESTINATION]],LT_REF[],7,0),14))</f>
        <v>10</v>
      </c>
      <c r="AY270" s="320">
        <f>IFERROR(ESS_DATA[[#This Row],[ODP ETA Port]]+ESS_DATA[[#This Row],[Customs/Leg3 Assumption]],"n/a")</f>
        <v>10</v>
      </c>
      <c r="AZ270" s="316">
        <f>YEAR(ESS_DATA[[#This Row],[ETA for New Ark update]])</f>
        <v>1900</v>
      </c>
      <c r="BA270" s="316">
        <f>MONTH(ESS_DATA[[#This Row],[ETA for New Ark update]])</f>
        <v>1</v>
      </c>
      <c r="BB270" s="316">
        <f>IFERROR(_xlfn.ISOWEEKNUM(ESS_DATA[[#This Row],[ETA for New Ark update]]),0)</f>
        <v>2</v>
      </c>
      <c r="BC270" s="316" t="str">
        <f>_xlfn.XLOOKUP(ESS_DATA[[#This Row],[PORT DESTINATION]],Table12[PORT DESTINATION],Table12[Cosco Line],,0)</f>
        <v>AEM</v>
      </c>
      <c r="BD270" s="316"/>
      <c r="BE270" s="323"/>
      <c r="BF270" s="323"/>
      <c r="BG270" s="323"/>
      <c r="BH270" s="323"/>
      <c r="BI270" s="323"/>
    </row>
    <row r="271" spans="1:61" s="1143" customFormat="1" ht="16.5" customHeight="1">
      <c r="A271" s="311" t="s">
        <v>8146</v>
      </c>
      <c r="B271" s="313" t="s">
        <v>7423</v>
      </c>
      <c r="C271" s="313" t="str">
        <f>IFERROR(LEFT(ESS_DATA[[#This Row],[TCL REFERENCE]],FIND(".",ESS_DATA[[#This Row],[TCL REFERENCE]],1)-1),"Main Line")</f>
        <v>26NOV002</v>
      </c>
      <c r="D271" s="313" t="s">
        <v>63</v>
      </c>
      <c r="E271" s="322" t="s">
        <v>64</v>
      </c>
      <c r="F271" s="316"/>
      <c r="G271" s="313"/>
      <c r="H271" s="313"/>
      <c r="I271" s="317"/>
      <c r="J271" s="313"/>
      <c r="K271" s="313"/>
      <c r="L271" s="314"/>
      <c r="M271" s="315"/>
      <c r="N271" s="1142" t="s">
        <v>7437</v>
      </c>
      <c r="O271" s="1142" t="s">
        <v>7438</v>
      </c>
      <c r="P271" s="1142" t="s">
        <v>7439</v>
      </c>
      <c r="Q271" s="312"/>
      <c r="R271" s="317">
        <v>130</v>
      </c>
      <c r="S271" s="269"/>
      <c r="T271" s="31"/>
      <c r="U271" s="324">
        <f>ESS_DATA[[#This Row],[QUANTITY]]/260</f>
        <v>0.5</v>
      </c>
      <c r="V271" s="408" t="s">
        <v>7482</v>
      </c>
      <c r="W271" s="374" t="s">
        <v>8055</v>
      </c>
      <c r="X271" s="316" t="str">
        <f t="shared" si="23"/>
        <v/>
      </c>
      <c r="Y271" s="688">
        <v>46321</v>
      </c>
      <c r="Z271" s="320"/>
      <c r="AA271" s="321">
        <f>WEEKNUM(ESS_DATA[[#This Row],[Pick-Up Date]])</f>
        <v>0</v>
      </c>
      <c r="AB271" s="313"/>
      <c r="AC271" s="31"/>
      <c r="AD271" s="313" t="s">
        <v>122</v>
      </c>
      <c r="AE271" s="313" t="s">
        <v>122</v>
      </c>
      <c r="AF271" s="41" t="s">
        <v>314</v>
      </c>
      <c r="AG271" s="320"/>
      <c r="AH271" s="320"/>
      <c r="AI271" s="320"/>
      <c r="AJ271" s="320"/>
      <c r="AK271" s="320"/>
      <c r="AL271" s="320"/>
      <c r="AM271" s="322"/>
      <c r="AN271" s="320"/>
      <c r="AO271" s="320"/>
      <c r="AP271" s="320"/>
      <c r="AQ271" s="313"/>
      <c r="AR271" s="313"/>
      <c r="AS271" s="313">
        <f>ESS_DATA[[#This Row],[ETA On S/O]]-ESS_DATA[[#This Row],[ETD On S/O]]+1</f>
        <v>1</v>
      </c>
      <c r="AT271" s="313"/>
      <c r="AU271" s="320" cm="1">
        <f t="array" ref="AU2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1" s="1218" t="str">
        <f>IF(ISERROR(ESS_DATA[[#This Row],[New Ark PO status]]),"",_xlfn.XLOOKUP(ESS_DATA[[#This Row],[SPTN-PVHK New Ark PO'#]],New_Ark_Data[Purchase order Number],New_Ark_Data[Estimated time of arrival],"",0))</f>
        <v/>
      </c>
      <c r="AX271" s="313">
        <f>IF(ESS_DATA[[#This Row],[New Ark PO Type]]="Offshore",0,IFERROR(VLOOKUP(ESS_DATA[[#This Row],[PORT OF LOADING]]&amp;ESS_DATA[[#This Row],[PORT DESTINATION]],LT_REF[],7,0),14))</f>
        <v>10</v>
      </c>
      <c r="AY271" s="320">
        <f>IFERROR(ESS_DATA[[#This Row],[ODP ETA Port]]+ESS_DATA[[#This Row],[Customs/Leg3 Assumption]],"n/a")</f>
        <v>10</v>
      </c>
      <c r="AZ271" s="316">
        <f>YEAR(ESS_DATA[[#This Row],[ETA for New Ark update]])</f>
        <v>1900</v>
      </c>
      <c r="BA271" s="316">
        <f>MONTH(ESS_DATA[[#This Row],[ETA for New Ark update]])</f>
        <v>1</v>
      </c>
      <c r="BB271" s="316">
        <f>IFERROR(_xlfn.ISOWEEKNUM(ESS_DATA[[#This Row],[ETA for New Ark update]]),0)</f>
        <v>2</v>
      </c>
      <c r="BC271" s="316" t="str">
        <f>_xlfn.XLOOKUP(ESS_DATA[[#This Row],[PORT DESTINATION]],Table12[PORT DESTINATION],Table12[Cosco Line],,0)</f>
        <v>AEM</v>
      </c>
      <c r="BD271" s="316"/>
      <c r="BE271" s="323"/>
      <c r="BF271" s="323"/>
      <c r="BG271" s="323"/>
      <c r="BH271" s="323"/>
      <c r="BI271" s="323"/>
    </row>
    <row r="272" spans="1:61" s="1143" customFormat="1" ht="16.5" customHeight="1">
      <c r="A272" s="311" t="s">
        <v>8147</v>
      </c>
      <c r="B272" s="313" t="s">
        <v>7423</v>
      </c>
      <c r="C272" s="313" t="str">
        <f>IFERROR(LEFT(ESS_DATA[[#This Row],[TCL REFERENCE]],FIND(".",ESS_DATA[[#This Row],[TCL REFERENCE]],1)-1),"Main Line")</f>
        <v>26NOV004</v>
      </c>
      <c r="D272" s="313" t="s">
        <v>63</v>
      </c>
      <c r="E272" s="322" t="s">
        <v>64</v>
      </c>
      <c r="F272" s="316"/>
      <c r="G272" s="313"/>
      <c r="H272" s="313"/>
      <c r="I272" s="317"/>
      <c r="J272" s="313"/>
      <c r="K272" s="313"/>
      <c r="L272" s="314"/>
      <c r="M272" s="315"/>
      <c r="N272" s="1142" t="s">
        <v>7449</v>
      </c>
      <c r="O272" s="1142" t="s">
        <v>7646</v>
      </c>
      <c r="P272" s="1142" t="s">
        <v>7451</v>
      </c>
      <c r="Q272" s="312"/>
      <c r="R272" s="317">
        <v>130</v>
      </c>
      <c r="S272" s="269"/>
      <c r="T272" s="31"/>
      <c r="U272" s="324">
        <f>ESS_DATA[[#This Row],[QUANTITY]]/260</f>
        <v>0.5</v>
      </c>
      <c r="V272" s="408" t="s">
        <v>7482</v>
      </c>
      <c r="W272" s="374" t="s">
        <v>8055</v>
      </c>
      <c r="X272" s="316" t="str">
        <f t="shared" si="23"/>
        <v/>
      </c>
      <c r="Y272" s="688">
        <v>46321</v>
      </c>
      <c r="Z272" s="320"/>
      <c r="AA272" s="321">
        <f>WEEKNUM(ESS_DATA[[#This Row],[Pick-Up Date]])</f>
        <v>0</v>
      </c>
      <c r="AB272" s="313"/>
      <c r="AC272" s="31"/>
      <c r="AD272" s="313" t="s">
        <v>122</v>
      </c>
      <c r="AE272" s="313" t="s">
        <v>122</v>
      </c>
      <c r="AF272" s="41" t="s">
        <v>314</v>
      </c>
      <c r="AG272" s="320"/>
      <c r="AH272" s="320"/>
      <c r="AI272" s="320"/>
      <c r="AJ272" s="320"/>
      <c r="AK272" s="320"/>
      <c r="AL272" s="320"/>
      <c r="AM272" s="322"/>
      <c r="AN272" s="320"/>
      <c r="AO272" s="320"/>
      <c r="AP272" s="320"/>
      <c r="AQ272" s="313"/>
      <c r="AR272" s="313"/>
      <c r="AS272" s="313">
        <f>ESS_DATA[[#This Row],[ETA On S/O]]-ESS_DATA[[#This Row],[ETD On S/O]]+1</f>
        <v>1</v>
      </c>
      <c r="AT272" s="313"/>
      <c r="AU272" s="320" cm="1">
        <f t="array" ref="AU2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2" s="1218" t="str">
        <f>IF(ISERROR(ESS_DATA[[#This Row],[New Ark PO status]]),"",_xlfn.XLOOKUP(ESS_DATA[[#This Row],[SPTN-PVHK New Ark PO'#]],New_Ark_Data[Purchase order Number],New_Ark_Data[Estimated time of arrival],"",0))</f>
        <v/>
      </c>
      <c r="AX272" s="313">
        <f>IF(ESS_DATA[[#This Row],[New Ark PO Type]]="Offshore",0,IFERROR(VLOOKUP(ESS_DATA[[#This Row],[PORT OF LOADING]]&amp;ESS_DATA[[#This Row],[PORT DESTINATION]],LT_REF[],7,0),14))</f>
        <v>10</v>
      </c>
      <c r="AY272" s="320">
        <f>IFERROR(ESS_DATA[[#This Row],[ODP ETA Port]]+ESS_DATA[[#This Row],[Customs/Leg3 Assumption]],"n/a")</f>
        <v>10</v>
      </c>
      <c r="AZ272" s="316">
        <f>YEAR(ESS_DATA[[#This Row],[ETA for New Ark update]])</f>
        <v>1900</v>
      </c>
      <c r="BA272" s="316">
        <f>MONTH(ESS_DATA[[#This Row],[ETA for New Ark update]])</f>
        <v>1</v>
      </c>
      <c r="BB272" s="316">
        <f>IFERROR(_xlfn.ISOWEEKNUM(ESS_DATA[[#This Row],[ETA for New Ark update]]),0)</f>
        <v>2</v>
      </c>
      <c r="BC272" s="316" t="str">
        <f>_xlfn.XLOOKUP(ESS_DATA[[#This Row],[PORT DESTINATION]],Table12[PORT DESTINATION],Table12[Cosco Line],,0)</f>
        <v>AEM</v>
      </c>
      <c r="BD272" s="316"/>
      <c r="BE272" s="323"/>
      <c r="BF272" s="323"/>
      <c r="BG272" s="323"/>
      <c r="BH272" s="323"/>
      <c r="BI272" s="323"/>
    </row>
    <row r="273" spans="1:61" s="1143" customFormat="1" ht="16.5" customHeight="1">
      <c r="A273" s="311" t="s">
        <v>8148</v>
      </c>
      <c r="B273" s="313" t="s">
        <v>7423</v>
      </c>
      <c r="C273" s="313" t="str">
        <f>IFERROR(LEFT(ESS_DATA[[#This Row],[TCL REFERENCE]],FIND(".",ESS_DATA[[#This Row],[TCL REFERENCE]],1)-1),"Main Line")</f>
        <v>26NOV002</v>
      </c>
      <c r="D273" s="313" t="s">
        <v>63</v>
      </c>
      <c r="E273" s="322" t="s">
        <v>64</v>
      </c>
      <c r="F273" s="316"/>
      <c r="G273" s="313"/>
      <c r="H273" s="313"/>
      <c r="I273" s="317"/>
      <c r="J273" s="313"/>
      <c r="K273" s="313"/>
      <c r="L273" s="314"/>
      <c r="M273" s="315"/>
      <c r="N273" s="1142" t="s">
        <v>7437</v>
      </c>
      <c r="O273" s="1142" t="s">
        <v>7438</v>
      </c>
      <c r="P273" s="1142" t="s">
        <v>7439</v>
      </c>
      <c r="Q273" s="312"/>
      <c r="R273" s="317">
        <v>130</v>
      </c>
      <c r="S273" s="269"/>
      <c r="T273" s="31"/>
      <c r="U273" s="324">
        <f>ESS_DATA[[#This Row],[QUANTITY]]/260</f>
        <v>0.5</v>
      </c>
      <c r="V273" s="408" t="s">
        <v>7486</v>
      </c>
      <c r="W273" s="313" t="s">
        <v>8055</v>
      </c>
      <c r="X273" s="316" t="str">
        <f t="shared" si="23"/>
        <v/>
      </c>
      <c r="Y273" s="320">
        <v>46325</v>
      </c>
      <c r="Z273" s="320"/>
      <c r="AA273" s="321">
        <f>WEEKNUM(ESS_DATA[[#This Row],[Pick-Up Date]])</f>
        <v>0</v>
      </c>
      <c r="AB273" s="313"/>
      <c r="AC273" s="31"/>
      <c r="AD273" s="313" t="s">
        <v>122</v>
      </c>
      <c r="AE273" s="313" t="s">
        <v>122</v>
      </c>
      <c r="AF273" s="41" t="s">
        <v>314</v>
      </c>
      <c r="AG273" s="320"/>
      <c r="AH273" s="320"/>
      <c r="AI273" s="320"/>
      <c r="AJ273" s="320"/>
      <c r="AK273" s="320"/>
      <c r="AL273" s="320"/>
      <c r="AM273" s="322"/>
      <c r="AN273" s="320"/>
      <c r="AO273" s="320"/>
      <c r="AP273" s="320"/>
      <c r="AQ273" s="313"/>
      <c r="AR273" s="313"/>
      <c r="AS273" s="313">
        <f>ESS_DATA[[#This Row],[ETA On S/O]]-ESS_DATA[[#This Row],[ETD On S/O]]+1</f>
        <v>1</v>
      </c>
      <c r="AT273" s="313"/>
      <c r="AU273" s="320" cm="1">
        <f t="array" ref="AU2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3" s="1218" t="str">
        <f>IF(ISERROR(ESS_DATA[[#This Row],[New Ark PO status]]),"",_xlfn.XLOOKUP(ESS_DATA[[#This Row],[SPTN-PVHK New Ark PO'#]],New_Ark_Data[Purchase order Number],New_Ark_Data[Estimated time of arrival],"",0))</f>
        <v/>
      </c>
      <c r="AX273" s="313">
        <f>IF(ESS_DATA[[#This Row],[New Ark PO Type]]="Offshore",0,IFERROR(VLOOKUP(ESS_DATA[[#This Row],[PORT OF LOADING]]&amp;ESS_DATA[[#This Row],[PORT DESTINATION]],LT_REF[],7,0),14))</f>
        <v>10</v>
      </c>
      <c r="AY273" s="320">
        <f>IFERROR(ESS_DATA[[#This Row],[ODP ETA Port]]+ESS_DATA[[#This Row],[Customs/Leg3 Assumption]],"n/a")</f>
        <v>10</v>
      </c>
      <c r="AZ273" s="316">
        <f>YEAR(ESS_DATA[[#This Row],[ETA for New Ark update]])</f>
        <v>1900</v>
      </c>
      <c r="BA273" s="316">
        <f>MONTH(ESS_DATA[[#This Row],[ETA for New Ark update]])</f>
        <v>1</v>
      </c>
      <c r="BB273" s="316">
        <f>IFERROR(_xlfn.ISOWEEKNUM(ESS_DATA[[#This Row],[ETA for New Ark update]]),0)</f>
        <v>2</v>
      </c>
      <c r="BC273" s="316" t="str">
        <f>_xlfn.XLOOKUP(ESS_DATA[[#This Row],[PORT DESTINATION]],Table12[PORT DESTINATION],Table12[Cosco Line],,0)</f>
        <v>AEM</v>
      </c>
      <c r="BD273" s="316"/>
      <c r="BE273" s="323"/>
      <c r="BF273" s="323"/>
      <c r="BG273" s="323"/>
      <c r="BH273" s="323"/>
      <c r="BI273" s="323"/>
    </row>
    <row r="274" spans="1:61" s="1143" customFormat="1" ht="16.5" customHeight="1">
      <c r="A274" s="311" t="s">
        <v>8149</v>
      </c>
      <c r="B274" s="313" t="s">
        <v>7423</v>
      </c>
      <c r="C274" s="313" t="str">
        <f>IFERROR(LEFT(ESS_DATA[[#This Row],[TCL REFERENCE]],FIND(".",ESS_DATA[[#This Row],[TCL REFERENCE]],1)-1),"Main Line")</f>
        <v>26NOV004</v>
      </c>
      <c r="D274" s="313" t="s">
        <v>63</v>
      </c>
      <c r="E274" s="322" t="s">
        <v>64</v>
      </c>
      <c r="F274" s="316"/>
      <c r="G274" s="313"/>
      <c r="H274" s="313"/>
      <c r="I274" s="317"/>
      <c r="J274" s="313"/>
      <c r="K274" s="313"/>
      <c r="L274" s="314"/>
      <c r="M274" s="315"/>
      <c r="N274" s="1142" t="s">
        <v>7449</v>
      </c>
      <c r="O274" s="1142" t="s">
        <v>7646</v>
      </c>
      <c r="P274" s="1142" t="s">
        <v>7451</v>
      </c>
      <c r="Q274" s="312"/>
      <c r="R274" s="317">
        <v>130</v>
      </c>
      <c r="S274" s="269"/>
      <c r="T274" s="31"/>
      <c r="U274" s="324">
        <f>ESS_DATA[[#This Row],[QUANTITY]]/260</f>
        <v>0.5</v>
      </c>
      <c r="V274" s="408" t="s">
        <v>7486</v>
      </c>
      <c r="W274" s="313" t="s">
        <v>8055</v>
      </c>
      <c r="X274" s="316" t="str">
        <f t="shared" si="23"/>
        <v/>
      </c>
      <c r="Y274" s="320">
        <v>46325</v>
      </c>
      <c r="Z274" s="320"/>
      <c r="AA274" s="321">
        <f>WEEKNUM(ESS_DATA[[#This Row],[Pick-Up Date]])</f>
        <v>0</v>
      </c>
      <c r="AB274" s="313"/>
      <c r="AC274" s="31"/>
      <c r="AD274" s="313" t="s">
        <v>122</v>
      </c>
      <c r="AE274" s="313" t="s">
        <v>122</v>
      </c>
      <c r="AF274" s="41" t="s">
        <v>314</v>
      </c>
      <c r="AG274" s="320"/>
      <c r="AH274" s="320"/>
      <c r="AI274" s="320"/>
      <c r="AJ274" s="320"/>
      <c r="AK274" s="320"/>
      <c r="AL274" s="320"/>
      <c r="AM274" s="322"/>
      <c r="AN274" s="320"/>
      <c r="AO274" s="320"/>
      <c r="AP274" s="320"/>
      <c r="AQ274" s="313"/>
      <c r="AR274" s="313"/>
      <c r="AS274" s="313">
        <f>ESS_DATA[[#This Row],[ETA On S/O]]-ESS_DATA[[#This Row],[ETD On S/O]]+1</f>
        <v>1</v>
      </c>
      <c r="AT274" s="313"/>
      <c r="AU274" s="320" cm="1">
        <f t="array" ref="AU2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4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4" s="1218" t="str">
        <f>IF(ISERROR(ESS_DATA[[#This Row],[New Ark PO status]]),"",_xlfn.XLOOKUP(ESS_DATA[[#This Row],[SPTN-PVHK New Ark PO'#]],New_Ark_Data[Purchase order Number],New_Ark_Data[Estimated time of arrival],"",0))</f>
        <v/>
      </c>
      <c r="AX274" s="313">
        <f>IF(ESS_DATA[[#This Row],[New Ark PO Type]]="Offshore",0,IFERROR(VLOOKUP(ESS_DATA[[#This Row],[PORT OF LOADING]]&amp;ESS_DATA[[#This Row],[PORT DESTINATION]],LT_REF[],7,0),14))</f>
        <v>10</v>
      </c>
      <c r="AY274" s="320">
        <f>IFERROR(ESS_DATA[[#This Row],[ODP ETA Port]]+ESS_DATA[[#This Row],[Customs/Leg3 Assumption]],"n/a")</f>
        <v>10</v>
      </c>
      <c r="AZ274" s="316">
        <f>YEAR(ESS_DATA[[#This Row],[ETA for New Ark update]])</f>
        <v>1900</v>
      </c>
      <c r="BA274" s="316">
        <f>MONTH(ESS_DATA[[#This Row],[ETA for New Ark update]])</f>
        <v>1</v>
      </c>
      <c r="BB274" s="316">
        <f>IFERROR(_xlfn.ISOWEEKNUM(ESS_DATA[[#This Row],[ETA for New Ark update]]),0)</f>
        <v>2</v>
      </c>
      <c r="BC274" s="316" t="str">
        <f>_xlfn.XLOOKUP(ESS_DATA[[#This Row],[PORT DESTINATION]],Table12[PORT DESTINATION],Table12[Cosco Line],,0)</f>
        <v>AEM</v>
      </c>
      <c r="BD274" s="316"/>
      <c r="BE274" s="323"/>
      <c r="BF274" s="323"/>
      <c r="BG274" s="323"/>
      <c r="BH274" s="323"/>
      <c r="BI274" s="323"/>
    </row>
    <row r="275" spans="1:61" s="1143" customFormat="1" ht="16.5" customHeight="1">
      <c r="A275" s="311" t="s">
        <v>8150</v>
      </c>
      <c r="B275" s="313" t="s">
        <v>7423</v>
      </c>
      <c r="C275" s="313" t="str">
        <f>IFERROR(LEFT(ESS_DATA[[#This Row],[TCL REFERENCE]],FIND(".",ESS_DATA[[#This Row],[TCL REFERENCE]],1)-1),"Main Line")</f>
        <v>26NOV002</v>
      </c>
      <c r="D275" s="313" t="s">
        <v>63</v>
      </c>
      <c r="E275" s="322" t="s">
        <v>64</v>
      </c>
      <c r="F275" s="316"/>
      <c r="G275" s="313"/>
      <c r="H275" s="313"/>
      <c r="I275" s="317"/>
      <c r="J275" s="313"/>
      <c r="K275" s="313"/>
      <c r="L275" s="314"/>
      <c r="M275" s="315"/>
      <c r="N275" s="1142" t="s">
        <v>7437</v>
      </c>
      <c r="O275" s="1142" t="s">
        <v>7438</v>
      </c>
      <c r="P275" s="1142" t="s">
        <v>7439</v>
      </c>
      <c r="Q275" s="312"/>
      <c r="R275" s="317">
        <v>130</v>
      </c>
      <c r="S275" s="269"/>
      <c r="T275" s="31"/>
      <c r="U275" s="324">
        <f>ESS_DATA[[#This Row],[QUANTITY]]/260</f>
        <v>0.5</v>
      </c>
      <c r="V275" s="408" t="s">
        <v>7666</v>
      </c>
      <c r="W275" s="313" t="s">
        <v>8055</v>
      </c>
      <c r="X275" s="316" t="str">
        <f t="shared" si="23"/>
        <v/>
      </c>
      <c r="Y275" s="320">
        <v>46325</v>
      </c>
      <c r="Z275" s="320"/>
      <c r="AA275" s="321">
        <f>WEEKNUM(ESS_DATA[[#This Row],[Pick-Up Date]])</f>
        <v>0</v>
      </c>
      <c r="AB275" s="313"/>
      <c r="AC275" s="31"/>
      <c r="AD275" s="313" t="s">
        <v>122</v>
      </c>
      <c r="AE275" s="313" t="s">
        <v>122</v>
      </c>
      <c r="AF275" s="313"/>
      <c r="AG275" s="320"/>
      <c r="AH275" s="320"/>
      <c r="AI275" s="320"/>
      <c r="AJ275" s="320"/>
      <c r="AK275" s="320"/>
      <c r="AL275" s="320"/>
      <c r="AM275" s="322"/>
      <c r="AN275" s="320"/>
      <c r="AO275" s="320"/>
      <c r="AP275" s="320"/>
      <c r="AQ275" s="313"/>
      <c r="AR275" s="313"/>
      <c r="AS275" s="313">
        <f>ESS_DATA[[#This Row],[ETA On S/O]]-ESS_DATA[[#This Row],[ETD On S/O]]+1</f>
        <v>1</v>
      </c>
      <c r="AT275" s="313"/>
      <c r="AU275" s="320" cm="1">
        <f t="array" ref="AU2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5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5" s="1218" t="str">
        <f>IF(ISERROR(ESS_DATA[[#This Row],[New Ark PO status]]),"",_xlfn.XLOOKUP(ESS_DATA[[#This Row],[SPTN-PVHK New Ark PO'#]],New_Ark_Data[Purchase order Number],New_Ark_Data[Estimated time of arrival],"",0))</f>
        <v/>
      </c>
      <c r="AX275" s="313">
        <f>IF(ESS_DATA[[#This Row],[New Ark PO Type]]="Offshore",0,IFERROR(VLOOKUP(ESS_DATA[[#This Row],[PORT OF LOADING]]&amp;ESS_DATA[[#This Row],[PORT DESTINATION]],LT_REF[],7,0),14))</f>
        <v>14</v>
      </c>
      <c r="AY275" s="320">
        <f>IFERROR(ESS_DATA[[#This Row],[ODP ETA Port]]+ESS_DATA[[#This Row],[Customs/Leg3 Assumption]],"n/a")</f>
        <v>14</v>
      </c>
      <c r="AZ275" s="316">
        <f>YEAR(ESS_DATA[[#This Row],[ETA for New Ark update]])</f>
        <v>1900</v>
      </c>
      <c r="BA275" s="316">
        <f>MONTH(ESS_DATA[[#This Row],[ETA for New Ark update]])</f>
        <v>1</v>
      </c>
      <c r="BB275" s="316">
        <f>IFERROR(_xlfn.ISOWEEKNUM(ESS_DATA[[#This Row],[ETA for New Ark update]]),0)</f>
        <v>2</v>
      </c>
      <c r="BC275" s="316">
        <f>_xlfn.XLOOKUP(ESS_DATA[[#This Row],[PORT DESTINATION]],Table12[PORT DESTINATION],Table12[Cosco Line],,0)</f>
        <v>0</v>
      </c>
      <c r="BD275" s="316"/>
      <c r="BE275" s="323"/>
      <c r="BF275" s="323"/>
      <c r="BG275" s="323"/>
      <c r="BH275" s="323"/>
      <c r="BI275" s="323"/>
    </row>
    <row r="276" spans="1:61" s="1143" customFormat="1" ht="16.5" customHeight="1">
      <c r="A276" s="311" t="s">
        <v>8151</v>
      </c>
      <c r="B276" s="313" t="s">
        <v>7423</v>
      </c>
      <c r="C276" s="313" t="str">
        <f>IFERROR(LEFT(ESS_DATA[[#This Row],[TCL REFERENCE]],FIND(".",ESS_DATA[[#This Row],[TCL REFERENCE]],1)-1),"Main Line")</f>
        <v>26NOV004</v>
      </c>
      <c r="D276" s="313" t="s">
        <v>63</v>
      </c>
      <c r="E276" s="322" t="s">
        <v>64</v>
      </c>
      <c r="F276" s="316"/>
      <c r="G276" s="313"/>
      <c r="H276" s="313"/>
      <c r="I276" s="317"/>
      <c r="J276" s="313"/>
      <c r="K276" s="313"/>
      <c r="L276" s="314"/>
      <c r="M276" s="315"/>
      <c r="N276" s="1142" t="s">
        <v>7449</v>
      </c>
      <c r="O276" s="1142" t="s">
        <v>7646</v>
      </c>
      <c r="P276" s="1142" t="s">
        <v>7451</v>
      </c>
      <c r="Q276" s="312"/>
      <c r="R276" s="317">
        <v>130</v>
      </c>
      <c r="S276" s="269"/>
      <c r="T276" s="31"/>
      <c r="U276" s="324">
        <f>ESS_DATA[[#This Row],[QUANTITY]]/260</f>
        <v>0.5</v>
      </c>
      <c r="V276" s="408" t="s">
        <v>7666</v>
      </c>
      <c r="W276" s="313" t="s">
        <v>8055</v>
      </c>
      <c r="X276" s="316" t="str">
        <f t="shared" ref="X276:X278" si="24">IF(AL276&lt;&gt;"","COMPLETED",IF(AI276&lt;&gt;"","IN-TRANSIT",""))</f>
        <v/>
      </c>
      <c r="Y276" s="320">
        <v>46325</v>
      </c>
      <c r="Z276" s="320"/>
      <c r="AA276" s="321">
        <f>WEEKNUM(ESS_DATA[[#This Row],[Pick-Up Date]])</f>
        <v>0</v>
      </c>
      <c r="AB276" s="313"/>
      <c r="AC276" s="31"/>
      <c r="AD276" s="313" t="s">
        <v>122</v>
      </c>
      <c r="AE276" s="313" t="s">
        <v>122</v>
      </c>
      <c r="AF276" s="313"/>
      <c r="AG276" s="320"/>
      <c r="AH276" s="320"/>
      <c r="AI276" s="320"/>
      <c r="AJ276" s="320"/>
      <c r="AK276" s="320"/>
      <c r="AL276" s="320"/>
      <c r="AM276" s="322"/>
      <c r="AN276" s="320"/>
      <c r="AO276" s="320"/>
      <c r="AP276" s="320"/>
      <c r="AQ276" s="313"/>
      <c r="AR276" s="313"/>
      <c r="AS276" s="313">
        <f>ESS_DATA[[#This Row],[ETA On S/O]]-ESS_DATA[[#This Row],[ETD On S/O]]+1</f>
        <v>1</v>
      </c>
      <c r="AT276" s="313"/>
      <c r="AU276" s="320" cm="1">
        <f t="array" ref="AU2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6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6" s="1218" t="str">
        <f>IF(ISERROR(ESS_DATA[[#This Row],[New Ark PO status]]),"",_xlfn.XLOOKUP(ESS_DATA[[#This Row],[SPTN-PVHK New Ark PO'#]],New_Ark_Data[Purchase order Number],New_Ark_Data[Estimated time of arrival],"",0))</f>
        <v/>
      </c>
      <c r="AX276" s="313">
        <f>IF(ESS_DATA[[#This Row],[New Ark PO Type]]="Offshore",0,IFERROR(VLOOKUP(ESS_DATA[[#This Row],[PORT OF LOADING]]&amp;ESS_DATA[[#This Row],[PORT DESTINATION]],LT_REF[],7,0),14))</f>
        <v>14</v>
      </c>
      <c r="AY276" s="320">
        <f>IFERROR(ESS_DATA[[#This Row],[ODP ETA Port]]+ESS_DATA[[#This Row],[Customs/Leg3 Assumption]],"n/a")</f>
        <v>14</v>
      </c>
      <c r="AZ276" s="316">
        <f>YEAR(ESS_DATA[[#This Row],[ETA for New Ark update]])</f>
        <v>1900</v>
      </c>
      <c r="BA276" s="316">
        <f>MONTH(ESS_DATA[[#This Row],[ETA for New Ark update]])</f>
        <v>1</v>
      </c>
      <c r="BB276" s="316">
        <f>IFERROR(_xlfn.ISOWEEKNUM(ESS_DATA[[#This Row],[ETA for New Ark update]]),0)</f>
        <v>2</v>
      </c>
      <c r="BC276" s="316">
        <f>_xlfn.XLOOKUP(ESS_DATA[[#This Row],[PORT DESTINATION]],Table12[PORT DESTINATION],Table12[Cosco Line],,0)</f>
        <v>0</v>
      </c>
      <c r="BD276" s="316"/>
      <c r="BE276" s="323"/>
      <c r="BF276" s="323"/>
      <c r="BG276" s="323"/>
      <c r="BH276" s="323"/>
      <c r="BI276" s="323"/>
    </row>
    <row r="277" spans="1:61" s="1143" customFormat="1" ht="16.5" customHeight="1">
      <c r="A277" s="311" t="s">
        <v>8152</v>
      </c>
      <c r="B277" s="313" t="s">
        <v>7423</v>
      </c>
      <c r="C277" s="313" t="str">
        <f>IFERROR(LEFT(ESS_DATA[[#This Row],[TCL REFERENCE]],FIND(".",ESS_DATA[[#This Row],[TCL REFERENCE]],1)-1),"Main Line")</f>
        <v>26NOV002</v>
      </c>
      <c r="D277" s="313" t="s">
        <v>63</v>
      </c>
      <c r="E277" s="322" t="s">
        <v>64</v>
      </c>
      <c r="F277" s="316"/>
      <c r="G277" s="313"/>
      <c r="H277" s="313"/>
      <c r="I277" s="317"/>
      <c r="J277" s="313"/>
      <c r="K277" s="313"/>
      <c r="L277" s="314"/>
      <c r="M277" s="315"/>
      <c r="N277" s="1142" t="s">
        <v>7437</v>
      </c>
      <c r="O277" s="1142" t="s">
        <v>7438</v>
      </c>
      <c r="P277" s="1142" t="s">
        <v>7439</v>
      </c>
      <c r="Q277" s="312"/>
      <c r="R277" s="317">
        <v>130</v>
      </c>
      <c r="S277" s="269"/>
      <c r="T277" s="31"/>
      <c r="U277" s="324">
        <f>ESS_DATA[[#This Row],[QUANTITY]]/260</f>
        <v>0.5</v>
      </c>
      <c r="V277" s="408" t="s">
        <v>7695</v>
      </c>
      <c r="W277" s="313" t="s">
        <v>8153</v>
      </c>
      <c r="X277" s="316" t="str">
        <f t="shared" si="24"/>
        <v/>
      </c>
      <c r="Y277" s="320">
        <v>46332</v>
      </c>
      <c r="Z277" s="320"/>
      <c r="AA277" s="321">
        <f>WEEKNUM(ESS_DATA[[#This Row],[Pick-Up Date]])</f>
        <v>0</v>
      </c>
      <c r="AB277" s="313"/>
      <c r="AC277" s="31"/>
      <c r="AD277" s="313" t="s">
        <v>122</v>
      </c>
      <c r="AE277" s="313" t="s">
        <v>122</v>
      </c>
      <c r="AF277" s="313"/>
      <c r="AG277" s="320"/>
      <c r="AH277" s="320"/>
      <c r="AI277" s="320"/>
      <c r="AJ277" s="320"/>
      <c r="AK277" s="320"/>
      <c r="AL277" s="320"/>
      <c r="AM277" s="322"/>
      <c r="AN277" s="320"/>
      <c r="AO277" s="320"/>
      <c r="AP277" s="320"/>
      <c r="AQ277" s="313"/>
      <c r="AR277" s="313"/>
      <c r="AS277" s="313">
        <f>ESS_DATA[[#This Row],[ETA On S/O]]-ESS_DATA[[#This Row],[ETD On S/O]]+1</f>
        <v>1</v>
      </c>
      <c r="AT277" s="313"/>
      <c r="AU277" s="320" cm="1">
        <f t="array" ref="AU2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7" s="1218" t="str">
        <f>IF(ISERROR(ESS_DATA[[#This Row],[New Ark PO status]]),"",_xlfn.XLOOKUP(ESS_DATA[[#This Row],[SPTN-PVHK New Ark PO'#]],New_Ark_Data[Purchase order Number],New_Ark_Data[Estimated time of arrival],"",0))</f>
        <v/>
      </c>
      <c r="AX277" s="313">
        <f>IF(ESS_DATA[[#This Row],[New Ark PO Type]]="Offshore",0,IFERROR(VLOOKUP(ESS_DATA[[#This Row],[PORT OF LOADING]]&amp;ESS_DATA[[#This Row],[PORT DESTINATION]],LT_REF[],7,0),14))</f>
        <v>14</v>
      </c>
      <c r="AY277" s="320">
        <f>IFERROR(ESS_DATA[[#This Row],[ODP ETA Port]]+ESS_DATA[[#This Row],[Customs/Leg3 Assumption]],"n/a")</f>
        <v>14</v>
      </c>
      <c r="AZ277" s="316">
        <f>YEAR(ESS_DATA[[#This Row],[ETA for New Ark update]])</f>
        <v>1900</v>
      </c>
      <c r="BA277" s="316">
        <f>MONTH(ESS_DATA[[#This Row],[ETA for New Ark update]])</f>
        <v>1</v>
      </c>
      <c r="BB277" s="316">
        <f>IFERROR(_xlfn.ISOWEEKNUM(ESS_DATA[[#This Row],[ETA for New Ark update]]),0)</f>
        <v>2</v>
      </c>
      <c r="BC277" s="316">
        <f>_xlfn.XLOOKUP(ESS_DATA[[#This Row],[PORT DESTINATION]],Table12[PORT DESTINATION],Table12[Cosco Line],,0)</f>
        <v>0</v>
      </c>
      <c r="BD277" s="316"/>
      <c r="BE277" s="323"/>
      <c r="BF277" s="323"/>
      <c r="BG277" s="323"/>
      <c r="BH277" s="323"/>
      <c r="BI277" s="323"/>
    </row>
    <row r="278" spans="1:61" s="1143" customFormat="1" ht="16.5" customHeight="1">
      <c r="A278" s="311" t="s">
        <v>8154</v>
      </c>
      <c r="B278" s="313" t="s">
        <v>7423</v>
      </c>
      <c r="C278" s="313" t="str">
        <f>IFERROR(LEFT(ESS_DATA[[#This Row],[TCL REFERENCE]],FIND(".",ESS_DATA[[#This Row],[TCL REFERENCE]],1)-1),"Main Line")</f>
        <v>26NOV004</v>
      </c>
      <c r="D278" s="313" t="s">
        <v>63</v>
      </c>
      <c r="E278" s="322" t="s">
        <v>64</v>
      </c>
      <c r="F278" s="316"/>
      <c r="G278" s="313"/>
      <c r="H278" s="313"/>
      <c r="I278" s="317"/>
      <c r="J278" s="313"/>
      <c r="K278" s="313"/>
      <c r="L278" s="314"/>
      <c r="M278" s="315"/>
      <c r="N278" s="1142" t="s">
        <v>7449</v>
      </c>
      <c r="O278" s="1142" t="s">
        <v>7646</v>
      </c>
      <c r="P278" s="1142" t="s">
        <v>7451</v>
      </c>
      <c r="Q278" s="312"/>
      <c r="R278" s="317">
        <v>130</v>
      </c>
      <c r="S278" s="269"/>
      <c r="T278" s="31"/>
      <c r="U278" s="324">
        <f>ESS_DATA[[#This Row],[QUANTITY]]/260</f>
        <v>0.5</v>
      </c>
      <c r="V278" s="408" t="s">
        <v>7695</v>
      </c>
      <c r="W278" s="313" t="s">
        <v>8153</v>
      </c>
      <c r="X278" s="316" t="str">
        <f t="shared" si="24"/>
        <v/>
      </c>
      <c r="Y278" s="320">
        <v>46332</v>
      </c>
      <c r="Z278" s="320"/>
      <c r="AA278" s="321">
        <f>WEEKNUM(ESS_DATA[[#This Row],[Pick-Up Date]])</f>
        <v>0</v>
      </c>
      <c r="AB278" s="313"/>
      <c r="AC278" s="31"/>
      <c r="AD278" s="313" t="s">
        <v>122</v>
      </c>
      <c r="AE278" s="313" t="s">
        <v>122</v>
      </c>
      <c r="AF278" s="313"/>
      <c r="AG278" s="320"/>
      <c r="AH278" s="320"/>
      <c r="AI278" s="320"/>
      <c r="AJ278" s="320"/>
      <c r="AK278" s="320"/>
      <c r="AL278" s="320"/>
      <c r="AM278" s="322"/>
      <c r="AN278" s="320"/>
      <c r="AO278" s="320"/>
      <c r="AP278" s="320"/>
      <c r="AQ278" s="313"/>
      <c r="AR278" s="313"/>
      <c r="AS278" s="313">
        <f>ESS_DATA[[#This Row],[ETA On S/O]]-ESS_DATA[[#This Row],[ETD On S/O]]+1</f>
        <v>1</v>
      </c>
      <c r="AT278" s="313"/>
      <c r="AU278" s="320" cm="1">
        <f t="array" ref="AU2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8" s="1218" t="str">
        <f>IF(ISERROR(ESS_DATA[[#This Row],[New Ark PO status]]),"",_xlfn.XLOOKUP(ESS_DATA[[#This Row],[SPTN-PVHK New Ark PO'#]],New_Ark_Data[Purchase order Number],New_Ark_Data[Estimated time of arrival],"",0))</f>
        <v/>
      </c>
      <c r="AX278" s="313">
        <f>IF(ESS_DATA[[#This Row],[New Ark PO Type]]="Offshore",0,IFERROR(VLOOKUP(ESS_DATA[[#This Row],[PORT OF LOADING]]&amp;ESS_DATA[[#This Row],[PORT DESTINATION]],LT_REF[],7,0),14))</f>
        <v>14</v>
      </c>
      <c r="AY278" s="320">
        <f>IFERROR(ESS_DATA[[#This Row],[ODP ETA Port]]+ESS_DATA[[#This Row],[Customs/Leg3 Assumption]],"n/a")</f>
        <v>14</v>
      </c>
      <c r="AZ278" s="316">
        <f>YEAR(ESS_DATA[[#This Row],[ETA for New Ark update]])</f>
        <v>1900</v>
      </c>
      <c r="BA278" s="316">
        <f>MONTH(ESS_DATA[[#This Row],[ETA for New Ark update]])</f>
        <v>1</v>
      </c>
      <c r="BB278" s="316">
        <f>IFERROR(_xlfn.ISOWEEKNUM(ESS_DATA[[#This Row],[ETA for New Ark update]]),0)</f>
        <v>2</v>
      </c>
      <c r="BC278" s="316">
        <f>_xlfn.XLOOKUP(ESS_DATA[[#This Row],[PORT DESTINATION]],Table12[PORT DESTINATION],Table12[Cosco Line],,0)</f>
        <v>0</v>
      </c>
      <c r="BD278" s="316"/>
      <c r="BE278" s="323"/>
      <c r="BF278" s="323"/>
      <c r="BG278" s="323"/>
      <c r="BH278" s="323"/>
      <c r="BI278" s="323"/>
    </row>
    <row r="279" spans="1:61" s="1143" customFormat="1" ht="16.5" customHeight="1">
      <c r="A279" s="311" t="s">
        <v>8155</v>
      </c>
      <c r="B279" s="313" t="s">
        <v>7423</v>
      </c>
      <c r="C279" s="313" t="str">
        <f>IFERROR(LEFT(ESS_DATA[[#This Row],[TCL REFERENCE]],FIND(".",ESS_DATA[[#This Row],[TCL REFERENCE]],1)-1),"Main Line")</f>
        <v>26NOV002</v>
      </c>
      <c r="D279" s="313" t="s">
        <v>63</v>
      </c>
      <c r="E279" s="322" t="s">
        <v>64</v>
      </c>
      <c r="F279" s="316"/>
      <c r="G279" s="313"/>
      <c r="H279" s="313"/>
      <c r="I279" s="317"/>
      <c r="J279" s="313"/>
      <c r="K279" s="313"/>
      <c r="L279" s="314"/>
      <c r="M279" s="315"/>
      <c r="N279" s="1142" t="s">
        <v>7437</v>
      </c>
      <c r="O279" s="1142" t="s">
        <v>7438</v>
      </c>
      <c r="P279" s="1142" t="s">
        <v>7439</v>
      </c>
      <c r="Q279" s="312"/>
      <c r="R279" s="317">
        <v>130</v>
      </c>
      <c r="S279" s="269"/>
      <c r="T279" s="31"/>
      <c r="U279" s="324">
        <f>ESS_DATA[[#This Row],[QUANTITY]]/260</f>
        <v>0.5</v>
      </c>
      <c r="V279" s="408" t="s">
        <v>7708</v>
      </c>
      <c r="W279" s="313" t="s">
        <v>8153</v>
      </c>
      <c r="X279" s="316" t="str">
        <f t="shared" ref="X279:X280" si="25">IF(AL279&lt;&gt;"","COMPLETED",IF(AI279&lt;&gt;"","IN-TRANSIT",""))</f>
        <v/>
      </c>
      <c r="Y279" s="320">
        <v>46332</v>
      </c>
      <c r="Z279" s="320"/>
      <c r="AA279" s="321">
        <f>WEEKNUM(ESS_DATA[[#This Row],[Pick-Up Date]])</f>
        <v>0</v>
      </c>
      <c r="AB279" s="313"/>
      <c r="AC279" s="31"/>
      <c r="AD279" s="313" t="s">
        <v>122</v>
      </c>
      <c r="AE279" s="313" t="s">
        <v>122</v>
      </c>
      <c r="AF279" s="313"/>
      <c r="AG279" s="320"/>
      <c r="AH279" s="320"/>
      <c r="AI279" s="320"/>
      <c r="AJ279" s="320"/>
      <c r="AK279" s="320"/>
      <c r="AL279" s="320"/>
      <c r="AM279" s="322"/>
      <c r="AN279" s="320"/>
      <c r="AO279" s="320"/>
      <c r="AP279" s="320"/>
      <c r="AQ279" s="313"/>
      <c r="AR279" s="313"/>
      <c r="AS279" s="313">
        <f>ESS_DATA[[#This Row],[ETA On S/O]]-ESS_DATA[[#This Row],[ETD On S/O]]+1</f>
        <v>1</v>
      </c>
      <c r="AT279" s="313"/>
      <c r="AU279" s="320" cm="1">
        <f t="array" ref="AU2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9" s="1218" t="str">
        <f>IF(ISERROR(ESS_DATA[[#This Row],[New Ark PO status]]),"",_xlfn.XLOOKUP(ESS_DATA[[#This Row],[SPTN-PVHK New Ark PO'#]],New_Ark_Data[Purchase order Number],New_Ark_Data[Estimated time of arrival],"",0))</f>
        <v/>
      </c>
      <c r="AX279" s="313">
        <f>IF(ESS_DATA[[#This Row],[New Ark PO Type]]="Offshore",0,IFERROR(VLOOKUP(ESS_DATA[[#This Row],[PORT OF LOADING]]&amp;ESS_DATA[[#This Row],[PORT DESTINATION]],LT_REF[],7,0),14))</f>
        <v>14</v>
      </c>
      <c r="AY279" s="320">
        <f>IFERROR(ESS_DATA[[#This Row],[ODP ETA Port]]+ESS_DATA[[#This Row],[Customs/Leg3 Assumption]],"n/a")</f>
        <v>14</v>
      </c>
      <c r="AZ279" s="316">
        <f>YEAR(ESS_DATA[[#This Row],[ETA for New Ark update]])</f>
        <v>1900</v>
      </c>
      <c r="BA279" s="316">
        <f>MONTH(ESS_DATA[[#This Row],[ETA for New Ark update]])</f>
        <v>1</v>
      </c>
      <c r="BB279" s="316">
        <f>IFERROR(_xlfn.ISOWEEKNUM(ESS_DATA[[#This Row],[ETA for New Ark update]]),0)</f>
        <v>2</v>
      </c>
      <c r="BC279" s="316">
        <f>_xlfn.XLOOKUP(ESS_DATA[[#This Row],[PORT DESTINATION]],Table12[PORT DESTINATION],Table12[Cosco Line],,0)</f>
        <v>0</v>
      </c>
      <c r="BD279" s="316"/>
      <c r="BE279" s="323"/>
      <c r="BF279" s="323"/>
      <c r="BG279" s="323"/>
      <c r="BH279" s="323"/>
      <c r="BI279" s="323"/>
    </row>
    <row r="280" spans="1:61" s="1143" customFormat="1" ht="16.5" customHeight="1">
      <c r="A280" s="311" t="s">
        <v>8156</v>
      </c>
      <c r="B280" s="313" t="s">
        <v>7423</v>
      </c>
      <c r="C280" s="313" t="str">
        <f>IFERROR(LEFT(ESS_DATA[[#This Row],[TCL REFERENCE]],FIND(".",ESS_DATA[[#This Row],[TCL REFERENCE]],1)-1),"Main Line")</f>
        <v>26NOV004</v>
      </c>
      <c r="D280" s="313" t="s">
        <v>63</v>
      </c>
      <c r="E280" s="322" t="s">
        <v>64</v>
      </c>
      <c r="F280" s="316"/>
      <c r="G280" s="313"/>
      <c r="H280" s="313"/>
      <c r="I280" s="317"/>
      <c r="J280" s="313"/>
      <c r="K280" s="313"/>
      <c r="L280" s="314"/>
      <c r="M280" s="315"/>
      <c r="N280" s="1142" t="s">
        <v>7449</v>
      </c>
      <c r="O280" s="1142" t="s">
        <v>7646</v>
      </c>
      <c r="P280" s="1142" t="s">
        <v>7451</v>
      </c>
      <c r="Q280" s="312"/>
      <c r="R280" s="317">
        <v>130</v>
      </c>
      <c r="S280" s="269"/>
      <c r="T280" s="31"/>
      <c r="U280" s="324">
        <f>ESS_DATA[[#This Row],[QUANTITY]]/260</f>
        <v>0.5</v>
      </c>
      <c r="V280" s="408" t="s">
        <v>7708</v>
      </c>
      <c r="W280" s="313" t="s">
        <v>8153</v>
      </c>
      <c r="X280" s="316" t="str">
        <f t="shared" si="25"/>
        <v/>
      </c>
      <c r="Y280" s="320">
        <v>46332</v>
      </c>
      <c r="Z280" s="320"/>
      <c r="AA280" s="321">
        <f>WEEKNUM(ESS_DATA[[#This Row],[Pick-Up Date]])</f>
        <v>0</v>
      </c>
      <c r="AB280" s="313"/>
      <c r="AC280" s="31"/>
      <c r="AD280" s="313" t="s">
        <v>122</v>
      </c>
      <c r="AE280" s="313" t="s">
        <v>122</v>
      </c>
      <c r="AF280" s="313"/>
      <c r="AG280" s="320"/>
      <c r="AH280" s="320"/>
      <c r="AI280" s="320"/>
      <c r="AJ280" s="320"/>
      <c r="AK280" s="320"/>
      <c r="AL280" s="320"/>
      <c r="AM280" s="322"/>
      <c r="AN280" s="320"/>
      <c r="AO280" s="320"/>
      <c r="AP280" s="320"/>
      <c r="AQ280" s="313"/>
      <c r="AR280" s="313"/>
      <c r="AS280" s="313">
        <f>ESS_DATA[[#This Row],[ETA On S/O]]-ESS_DATA[[#This Row],[ETD On S/O]]+1</f>
        <v>1</v>
      </c>
      <c r="AT280" s="313"/>
      <c r="AU280" s="320" cm="1">
        <f t="array" ref="AU2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0" s="1218" t="str">
        <f>IF(ISERROR(ESS_DATA[[#This Row],[New Ark PO status]]),"",_xlfn.XLOOKUP(ESS_DATA[[#This Row],[SPTN-PVHK New Ark PO'#]],New_Ark_Data[Purchase order Number],New_Ark_Data[Estimated time of arrival],"",0))</f>
        <v/>
      </c>
      <c r="AX280" s="313">
        <f>IF(ESS_DATA[[#This Row],[New Ark PO Type]]="Offshore",0,IFERROR(VLOOKUP(ESS_DATA[[#This Row],[PORT OF LOADING]]&amp;ESS_DATA[[#This Row],[PORT DESTINATION]],LT_REF[],7,0),14))</f>
        <v>14</v>
      </c>
      <c r="AY280" s="320">
        <f>IFERROR(ESS_DATA[[#This Row],[ODP ETA Port]]+ESS_DATA[[#This Row],[Customs/Leg3 Assumption]],"n/a")</f>
        <v>14</v>
      </c>
      <c r="AZ280" s="316">
        <f>YEAR(ESS_DATA[[#This Row],[ETA for New Ark update]])</f>
        <v>1900</v>
      </c>
      <c r="BA280" s="316">
        <f>MONTH(ESS_DATA[[#This Row],[ETA for New Ark update]])</f>
        <v>1</v>
      </c>
      <c r="BB280" s="316">
        <f>IFERROR(_xlfn.ISOWEEKNUM(ESS_DATA[[#This Row],[ETA for New Ark update]]),0)</f>
        <v>2</v>
      </c>
      <c r="BC280" s="316">
        <f>_xlfn.XLOOKUP(ESS_DATA[[#This Row],[PORT DESTINATION]],Table12[PORT DESTINATION],Table12[Cosco Line],,0)</f>
        <v>0</v>
      </c>
      <c r="BD280" s="316"/>
      <c r="BE280" s="323"/>
      <c r="BF280" s="323"/>
      <c r="BG280" s="323"/>
      <c r="BH280" s="323"/>
      <c r="BI280" s="323"/>
    </row>
    <row r="281" spans="1:61" s="1143" customFormat="1" ht="16.5" customHeight="1">
      <c r="A281" s="311" t="s">
        <v>8157</v>
      </c>
      <c r="B281" s="313" t="s">
        <v>7423</v>
      </c>
      <c r="C281" s="313" t="str">
        <f>IFERROR(LEFT(ESS_DATA[[#This Row],[TCL REFERENCE]],FIND(".",ESS_DATA[[#This Row],[TCL REFERENCE]],1)-1),"Main Line")</f>
        <v>26NOV002</v>
      </c>
      <c r="D281" s="313" t="s">
        <v>63</v>
      </c>
      <c r="E281" s="322" t="s">
        <v>64</v>
      </c>
      <c r="F281" s="316"/>
      <c r="G281" s="313"/>
      <c r="H281" s="313"/>
      <c r="I281" s="317"/>
      <c r="J281" s="313"/>
      <c r="K281" s="313"/>
      <c r="L281" s="314"/>
      <c r="M281" s="315"/>
      <c r="N281" s="1142" t="s">
        <v>7437</v>
      </c>
      <c r="O281" s="1142" t="s">
        <v>7438</v>
      </c>
      <c r="P281" s="1142" t="s">
        <v>7439</v>
      </c>
      <c r="Q281" s="312"/>
      <c r="R281" s="317">
        <v>130</v>
      </c>
      <c r="S281" s="269"/>
      <c r="T281" s="31"/>
      <c r="U281" s="324">
        <f>ESS_DATA[[#This Row],[QUANTITY]]/260</f>
        <v>0.5</v>
      </c>
      <c r="V281" s="408" t="s">
        <v>7785</v>
      </c>
      <c r="W281" s="313" t="s">
        <v>8158</v>
      </c>
      <c r="X281" s="316" t="str">
        <f t="shared" ref="X281:X282" si="26">IF(AL281&lt;&gt;"","COMPLETED",IF(AI281&lt;&gt;"","IN-TRANSIT",""))</f>
        <v/>
      </c>
      <c r="Y281" s="320">
        <v>46339</v>
      </c>
      <c r="Z281" s="320"/>
      <c r="AA281" s="321">
        <f>WEEKNUM(ESS_DATA[[#This Row],[Pick-Up Date]])</f>
        <v>0</v>
      </c>
      <c r="AB281" s="313"/>
      <c r="AC281" s="31"/>
      <c r="AD281" s="313" t="s">
        <v>122</v>
      </c>
      <c r="AE281" s="313" t="s">
        <v>122</v>
      </c>
      <c r="AF281" s="313"/>
      <c r="AG281" s="320"/>
      <c r="AH281" s="320"/>
      <c r="AI281" s="320"/>
      <c r="AJ281" s="320"/>
      <c r="AK281" s="320"/>
      <c r="AL281" s="320"/>
      <c r="AM281" s="322"/>
      <c r="AN281" s="320"/>
      <c r="AO281" s="320"/>
      <c r="AP281" s="320"/>
      <c r="AQ281" s="313"/>
      <c r="AR281" s="313"/>
      <c r="AS281" s="313">
        <f>ESS_DATA[[#This Row],[ETA On S/O]]-ESS_DATA[[#This Row],[ETD On S/O]]+1</f>
        <v>1</v>
      </c>
      <c r="AT281" s="313"/>
      <c r="AU281" s="320" cm="1">
        <f t="array" ref="AU2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1" s="1218" t="str">
        <f>IF(ISERROR(ESS_DATA[[#This Row],[New Ark PO status]]),"",_xlfn.XLOOKUP(ESS_DATA[[#This Row],[SPTN-PVHK New Ark PO'#]],New_Ark_Data[Purchase order Number],New_Ark_Data[Estimated time of arrival],"",0))</f>
        <v/>
      </c>
      <c r="AX281" s="313">
        <f>IF(ESS_DATA[[#This Row],[New Ark PO Type]]="Offshore",0,IFERROR(VLOOKUP(ESS_DATA[[#This Row],[PORT OF LOADING]]&amp;ESS_DATA[[#This Row],[PORT DESTINATION]],LT_REF[],7,0),14))</f>
        <v>14</v>
      </c>
      <c r="AY281" s="320">
        <f>IFERROR(ESS_DATA[[#This Row],[ODP ETA Port]]+ESS_DATA[[#This Row],[Customs/Leg3 Assumption]],"n/a")</f>
        <v>14</v>
      </c>
      <c r="AZ281" s="316">
        <f>YEAR(ESS_DATA[[#This Row],[ETA for New Ark update]])</f>
        <v>1900</v>
      </c>
      <c r="BA281" s="316">
        <f>MONTH(ESS_DATA[[#This Row],[ETA for New Ark update]])</f>
        <v>1</v>
      </c>
      <c r="BB281" s="316">
        <f>IFERROR(_xlfn.ISOWEEKNUM(ESS_DATA[[#This Row],[ETA for New Ark update]]),0)</f>
        <v>2</v>
      </c>
      <c r="BC281" s="316">
        <f>_xlfn.XLOOKUP(ESS_DATA[[#This Row],[PORT DESTINATION]],Table12[PORT DESTINATION],Table12[Cosco Line],,0)</f>
        <v>0</v>
      </c>
      <c r="BD281" s="316"/>
      <c r="BE281" s="323"/>
      <c r="BF281" s="323"/>
      <c r="BG281" s="323"/>
      <c r="BH281" s="323"/>
      <c r="BI281" s="323" t="s">
        <v>4407</v>
      </c>
    </row>
    <row r="282" spans="1:61" s="1143" customFormat="1" ht="16.5" customHeight="1">
      <c r="A282" s="311" t="s">
        <v>8159</v>
      </c>
      <c r="B282" s="313" t="s">
        <v>7423</v>
      </c>
      <c r="C282" s="313" t="str">
        <f>IFERROR(LEFT(ESS_DATA[[#This Row],[TCL REFERENCE]],FIND(".",ESS_DATA[[#This Row],[TCL REFERENCE]],1)-1),"Main Line")</f>
        <v>26NOV004</v>
      </c>
      <c r="D282" s="313" t="s">
        <v>63</v>
      </c>
      <c r="E282" s="322" t="s">
        <v>64</v>
      </c>
      <c r="F282" s="316"/>
      <c r="G282" s="313"/>
      <c r="H282" s="313"/>
      <c r="I282" s="317"/>
      <c r="J282" s="313"/>
      <c r="K282" s="313"/>
      <c r="L282" s="314"/>
      <c r="M282" s="315"/>
      <c r="N282" s="1142" t="s">
        <v>7449</v>
      </c>
      <c r="O282" s="1142" t="s">
        <v>7646</v>
      </c>
      <c r="P282" s="1142" t="s">
        <v>7451</v>
      </c>
      <c r="Q282" s="312"/>
      <c r="R282" s="317">
        <v>130</v>
      </c>
      <c r="S282" s="269"/>
      <c r="T282" s="31"/>
      <c r="U282" s="324">
        <f>ESS_DATA[[#This Row],[QUANTITY]]/260</f>
        <v>0.5</v>
      </c>
      <c r="V282" s="408" t="s">
        <v>7785</v>
      </c>
      <c r="W282" s="313" t="s">
        <v>8158</v>
      </c>
      <c r="X282" s="316" t="str">
        <f t="shared" si="26"/>
        <v/>
      </c>
      <c r="Y282" s="320">
        <v>46339</v>
      </c>
      <c r="Z282" s="320"/>
      <c r="AA282" s="321">
        <f>WEEKNUM(ESS_DATA[[#This Row],[Pick-Up Date]])</f>
        <v>0</v>
      </c>
      <c r="AB282" s="313"/>
      <c r="AC282" s="31"/>
      <c r="AD282" s="313" t="s">
        <v>122</v>
      </c>
      <c r="AE282" s="313" t="s">
        <v>122</v>
      </c>
      <c r="AF282" s="313"/>
      <c r="AG282" s="320"/>
      <c r="AH282" s="320"/>
      <c r="AI282" s="320"/>
      <c r="AJ282" s="320"/>
      <c r="AK282" s="320"/>
      <c r="AL282" s="320"/>
      <c r="AM282" s="322"/>
      <c r="AN282" s="320"/>
      <c r="AO282" s="320"/>
      <c r="AP282" s="320"/>
      <c r="AQ282" s="313"/>
      <c r="AR282" s="313"/>
      <c r="AS282" s="313">
        <f>ESS_DATA[[#This Row],[ETA On S/O]]-ESS_DATA[[#This Row],[ETD On S/O]]+1</f>
        <v>1</v>
      </c>
      <c r="AT282" s="313"/>
      <c r="AU282" s="320" cm="1">
        <f t="array" ref="AU2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2" s="1218" t="str">
        <f>IF(ISERROR(ESS_DATA[[#This Row],[New Ark PO status]]),"",_xlfn.XLOOKUP(ESS_DATA[[#This Row],[SPTN-PVHK New Ark PO'#]],New_Ark_Data[Purchase order Number],New_Ark_Data[Estimated time of arrival],"",0))</f>
        <v/>
      </c>
      <c r="AX282" s="313">
        <f>IF(ESS_DATA[[#This Row],[New Ark PO Type]]="Offshore",0,IFERROR(VLOOKUP(ESS_DATA[[#This Row],[PORT OF LOADING]]&amp;ESS_DATA[[#This Row],[PORT DESTINATION]],LT_REF[],7,0),14))</f>
        <v>14</v>
      </c>
      <c r="AY282" s="320">
        <f>IFERROR(ESS_DATA[[#This Row],[ODP ETA Port]]+ESS_DATA[[#This Row],[Customs/Leg3 Assumption]],"n/a")</f>
        <v>14</v>
      </c>
      <c r="AZ282" s="316">
        <f>YEAR(ESS_DATA[[#This Row],[ETA for New Ark update]])</f>
        <v>1900</v>
      </c>
      <c r="BA282" s="316">
        <f>MONTH(ESS_DATA[[#This Row],[ETA for New Ark update]])</f>
        <v>1</v>
      </c>
      <c r="BB282" s="316">
        <f>IFERROR(_xlfn.ISOWEEKNUM(ESS_DATA[[#This Row],[ETA for New Ark update]]),0)</f>
        <v>2</v>
      </c>
      <c r="BC282" s="316">
        <f>_xlfn.XLOOKUP(ESS_DATA[[#This Row],[PORT DESTINATION]],Table12[PORT DESTINATION],Table12[Cosco Line],,0)</f>
        <v>0</v>
      </c>
      <c r="BD282" s="316"/>
      <c r="BE282" s="323"/>
      <c r="BF282" s="323"/>
      <c r="BG282" s="323"/>
      <c r="BH282" s="323"/>
      <c r="BI282" s="323"/>
    </row>
    <row r="283" spans="1:61" s="1143" customFormat="1" ht="16.5" customHeight="1">
      <c r="A283" s="311" t="s">
        <v>8160</v>
      </c>
      <c r="B283" s="313" t="s">
        <v>7423</v>
      </c>
      <c r="C283" s="313" t="str">
        <f>IFERROR(LEFT(ESS_DATA[[#This Row],[TCL REFERENCE]],FIND(".",ESS_DATA[[#This Row],[TCL REFERENCE]],1)-1),"Main Line")</f>
        <v>26NOV005</v>
      </c>
      <c r="D283" s="313" t="s">
        <v>63</v>
      </c>
      <c r="E283" s="322" t="s">
        <v>64</v>
      </c>
      <c r="F283" s="316"/>
      <c r="G283" s="313"/>
      <c r="H283" s="313"/>
      <c r="I283" s="317"/>
      <c r="J283" s="313"/>
      <c r="K283" s="313"/>
      <c r="L283" s="314"/>
      <c r="M283" s="315"/>
      <c r="N283" s="1142" t="s">
        <v>7460</v>
      </c>
      <c r="O283" s="1142" t="s">
        <v>7461</v>
      </c>
      <c r="P283" s="1142" t="s">
        <v>7462</v>
      </c>
      <c r="Q283" s="312"/>
      <c r="R283" s="317">
        <v>528</v>
      </c>
      <c r="S283" s="269"/>
      <c r="T283" s="31"/>
      <c r="U283" s="324">
        <f>ESS_DATA[[#This Row],[QUANTITY]]/276</f>
        <v>1.9130434782608696</v>
      </c>
      <c r="V283" s="408" t="s">
        <v>8161</v>
      </c>
      <c r="W283" s="374" t="s">
        <v>8153</v>
      </c>
      <c r="X283" s="316" t="str">
        <f t="shared" ref="X283:X284" si="27">IF(AL283&lt;&gt;"","COMPLETED",IF(AI283&lt;&gt;"","IN-TRANSIT",""))</f>
        <v/>
      </c>
      <c r="Y283" s="688">
        <v>46330</v>
      </c>
      <c r="Z283" s="320"/>
      <c r="AA283" s="321">
        <f>WEEKNUM(ESS_DATA[[#This Row],[Pick-Up Date]])</f>
        <v>0</v>
      </c>
      <c r="AB283" s="313"/>
      <c r="AC283" s="31"/>
      <c r="AD283" s="313" t="s">
        <v>122</v>
      </c>
      <c r="AE283" s="313" t="s">
        <v>122</v>
      </c>
      <c r="AF283" s="41" t="s">
        <v>314</v>
      </c>
      <c r="AG283" s="320"/>
      <c r="AH283" s="320"/>
      <c r="AI283" s="320"/>
      <c r="AJ283" s="320"/>
      <c r="AK283" s="320"/>
      <c r="AL283" s="320"/>
      <c r="AM283" s="322"/>
      <c r="AN283" s="320"/>
      <c r="AO283" s="320"/>
      <c r="AP283" s="320"/>
      <c r="AQ283" s="313"/>
      <c r="AR283" s="313"/>
      <c r="AS283" s="313">
        <f>ESS_DATA[[#This Row],[ETA On S/O]]-ESS_DATA[[#This Row],[ETD On S/O]]+1</f>
        <v>1</v>
      </c>
      <c r="AT283" s="313"/>
      <c r="AU283" s="320" cm="1">
        <f t="array" ref="AU2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3" s="1218" t="str">
        <f>IF(ISERROR(ESS_DATA[[#This Row],[New Ark PO status]]),"",_xlfn.XLOOKUP(ESS_DATA[[#This Row],[SPTN-PVHK New Ark PO'#]],New_Ark_Data[Purchase order Number],New_Ark_Data[Estimated time of arrival],"",0))</f>
        <v/>
      </c>
      <c r="AX283" s="313">
        <f>IF(ESS_DATA[[#This Row],[New Ark PO Type]]="Offshore",0,IFERROR(VLOOKUP(ESS_DATA[[#This Row],[PORT OF LOADING]]&amp;ESS_DATA[[#This Row],[PORT DESTINATION]],LT_REF[],7,0),14))</f>
        <v>10</v>
      </c>
      <c r="AY283" s="320">
        <f>IFERROR(ESS_DATA[[#This Row],[ODP ETA Port]]+ESS_DATA[[#This Row],[Customs/Leg3 Assumption]],"n/a")</f>
        <v>10</v>
      </c>
      <c r="AZ283" s="316">
        <f>YEAR(ESS_DATA[[#This Row],[ETA for New Ark update]])</f>
        <v>1900</v>
      </c>
      <c r="BA283" s="316">
        <f>MONTH(ESS_DATA[[#This Row],[ETA for New Ark update]])</f>
        <v>1</v>
      </c>
      <c r="BB283" s="316">
        <f>IFERROR(_xlfn.ISOWEEKNUM(ESS_DATA[[#This Row],[ETA for New Ark update]]),0)</f>
        <v>2</v>
      </c>
      <c r="BC283" s="316" t="str">
        <f>_xlfn.XLOOKUP(ESS_DATA[[#This Row],[PORT DESTINATION]],Table12[PORT DESTINATION],Table12[Cosco Line],,0)</f>
        <v>AEM</v>
      </c>
      <c r="BD283" s="316"/>
      <c r="BE283" s="323"/>
      <c r="BF283" s="323"/>
      <c r="BG283" s="323"/>
      <c r="BH283" s="323"/>
      <c r="BI283" s="323"/>
    </row>
    <row r="284" spans="1:61" s="1143" customFormat="1" ht="16.5" customHeight="1">
      <c r="A284" s="311" t="s">
        <v>8162</v>
      </c>
      <c r="B284" s="313" t="s">
        <v>7423</v>
      </c>
      <c r="C284" s="313" t="str">
        <f>IFERROR(LEFT(ESS_DATA[[#This Row],[TCL REFERENCE]],FIND(".",ESS_DATA[[#This Row],[TCL REFERENCE]],1)-1),"Main Line")</f>
        <v>Main Line</v>
      </c>
      <c r="D284" s="313" t="s">
        <v>63</v>
      </c>
      <c r="E284" s="322" t="s">
        <v>64</v>
      </c>
      <c r="F284" s="316"/>
      <c r="G284" s="313"/>
      <c r="H284" s="313"/>
      <c r="I284" s="317"/>
      <c r="J284" s="313"/>
      <c r="K284" s="313"/>
      <c r="L284" s="314"/>
      <c r="M284" s="315"/>
      <c r="N284" s="1142" t="s">
        <v>7460</v>
      </c>
      <c r="O284" s="1142" t="s">
        <v>7461</v>
      </c>
      <c r="P284" s="1142" t="s">
        <v>7462</v>
      </c>
      <c r="Q284" s="312"/>
      <c r="R284" s="317">
        <v>24</v>
      </c>
      <c r="S284" s="269"/>
      <c r="T284" s="31"/>
      <c r="U284" s="324">
        <f>ESS_DATA[[#This Row],[QUANTITY]]/276</f>
        <v>8.6956521739130432E-2</v>
      </c>
      <c r="V284" s="408" t="s">
        <v>8161</v>
      </c>
      <c r="W284" s="374" t="s">
        <v>8153</v>
      </c>
      <c r="X284" s="316" t="str">
        <f t="shared" si="27"/>
        <v/>
      </c>
      <c r="Y284" s="688">
        <v>46330</v>
      </c>
      <c r="Z284" s="320"/>
      <c r="AA284" s="321">
        <f>WEEKNUM(ESS_DATA[[#This Row],[Pick-Up Date]])</f>
        <v>0</v>
      </c>
      <c r="AB284" s="313"/>
      <c r="AC284" s="31"/>
      <c r="AD284" s="313" t="s">
        <v>122</v>
      </c>
      <c r="AE284" s="313" t="s">
        <v>122</v>
      </c>
      <c r="AF284" s="41" t="s">
        <v>314</v>
      </c>
      <c r="AG284" s="320"/>
      <c r="AH284" s="320"/>
      <c r="AI284" s="320"/>
      <c r="AJ284" s="320"/>
      <c r="AK284" s="320"/>
      <c r="AL284" s="320"/>
      <c r="AM284" s="322"/>
      <c r="AN284" s="320"/>
      <c r="AO284" s="320"/>
      <c r="AP284" s="320"/>
      <c r="AQ284" s="313"/>
      <c r="AR284" s="313"/>
      <c r="AS284" s="313">
        <f>ESS_DATA[[#This Row],[ETA On S/O]]-ESS_DATA[[#This Row],[ETD On S/O]]+1</f>
        <v>1</v>
      </c>
      <c r="AT284" s="313"/>
      <c r="AU284" s="320" cm="1">
        <f t="array" ref="AU2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4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4" s="1218" t="str">
        <f>IF(ISERROR(ESS_DATA[[#This Row],[New Ark PO status]]),"",_xlfn.XLOOKUP(ESS_DATA[[#This Row],[SPTN-PVHK New Ark PO'#]],New_Ark_Data[Purchase order Number],New_Ark_Data[Estimated time of arrival],"",0))</f>
        <v/>
      </c>
      <c r="AX284" s="313">
        <f>IF(ESS_DATA[[#This Row],[New Ark PO Type]]="Offshore",0,IFERROR(VLOOKUP(ESS_DATA[[#This Row],[PORT OF LOADING]]&amp;ESS_DATA[[#This Row],[PORT DESTINATION]],LT_REF[],7,0),14))</f>
        <v>10</v>
      </c>
      <c r="AY284" s="320">
        <f>IFERROR(ESS_DATA[[#This Row],[ODP ETA Port]]+ESS_DATA[[#This Row],[Customs/Leg3 Assumption]],"n/a")</f>
        <v>10</v>
      </c>
      <c r="AZ284" s="316">
        <f>YEAR(ESS_DATA[[#This Row],[ETA for New Ark update]])</f>
        <v>1900</v>
      </c>
      <c r="BA284" s="316">
        <f>MONTH(ESS_DATA[[#This Row],[ETA for New Ark update]])</f>
        <v>1</v>
      </c>
      <c r="BB284" s="316">
        <f>IFERROR(_xlfn.ISOWEEKNUM(ESS_DATA[[#This Row],[ETA for New Ark update]]),0)</f>
        <v>2</v>
      </c>
      <c r="BC284" s="316" t="str">
        <f>_xlfn.XLOOKUP(ESS_DATA[[#This Row],[PORT DESTINATION]],Table12[PORT DESTINATION],Table12[Cosco Line],,0)</f>
        <v>AEM</v>
      </c>
      <c r="BD284" s="316"/>
      <c r="BE284" s="323"/>
      <c r="BF284" s="323"/>
      <c r="BG284" s="323"/>
      <c r="BH284" s="323"/>
      <c r="BI284" s="323"/>
    </row>
    <row r="285" spans="1:61" s="1143" customFormat="1" ht="16.5" customHeight="1">
      <c r="A285" s="311" t="s">
        <v>8163</v>
      </c>
      <c r="B285" s="313" t="s">
        <v>7423</v>
      </c>
      <c r="C285" s="313" t="str">
        <f>IFERROR(LEFT(ESS_DATA[[#This Row],[TCL REFERENCE]],FIND(".",ESS_DATA[[#This Row],[TCL REFERENCE]],1)-1),"Main Line")</f>
        <v>26NOV005</v>
      </c>
      <c r="D285" s="313" t="s">
        <v>63</v>
      </c>
      <c r="E285" s="322" t="s">
        <v>64</v>
      </c>
      <c r="F285" s="316"/>
      <c r="G285" s="313"/>
      <c r="H285" s="313"/>
      <c r="I285" s="317"/>
      <c r="J285" s="313"/>
      <c r="K285" s="313"/>
      <c r="L285" s="314"/>
      <c r="M285" s="315"/>
      <c r="N285" s="1142" t="s">
        <v>7460</v>
      </c>
      <c r="O285" s="1142" t="s">
        <v>7461</v>
      </c>
      <c r="P285" s="1142" t="s">
        <v>7462</v>
      </c>
      <c r="Q285" s="312"/>
      <c r="R285" s="317">
        <v>276</v>
      </c>
      <c r="S285" s="269"/>
      <c r="T285" s="31"/>
      <c r="U285" s="324">
        <f>ESS_DATA[[#This Row],[QUANTITY]]/276</f>
        <v>1</v>
      </c>
      <c r="V285" s="408" t="s">
        <v>7884</v>
      </c>
      <c r="W285" s="374" t="s">
        <v>8164</v>
      </c>
      <c r="X285" s="316" t="str">
        <f>IF(AL285&lt;&gt;"","COMPLETED",IF(AI285&lt;&gt;"","IN-TRANSIT",""))</f>
        <v/>
      </c>
      <c r="Y285" s="688">
        <v>46335</v>
      </c>
      <c r="Z285" s="320"/>
      <c r="AA285" s="321">
        <f>WEEKNUM(ESS_DATA[[#This Row],[Pick-Up Date]])</f>
        <v>0</v>
      </c>
      <c r="AB285" s="313"/>
      <c r="AC285" s="31"/>
      <c r="AD285" s="313" t="s">
        <v>122</v>
      </c>
      <c r="AE285" s="313" t="s">
        <v>122</v>
      </c>
      <c r="AF285" s="313" t="s">
        <v>105</v>
      </c>
      <c r="AG285" s="320"/>
      <c r="AH285" s="320"/>
      <c r="AI285" s="320"/>
      <c r="AJ285" s="320"/>
      <c r="AK285" s="320"/>
      <c r="AL285" s="320"/>
      <c r="AM285" s="322"/>
      <c r="AN285" s="320"/>
      <c r="AO285" s="320"/>
      <c r="AP285" s="320"/>
      <c r="AQ285" s="313"/>
      <c r="AR285" s="313"/>
      <c r="AS285" s="313">
        <f>ESS_DATA[[#This Row],[ETA On S/O]]-ESS_DATA[[#This Row],[ETD On S/O]]+1</f>
        <v>1</v>
      </c>
      <c r="AT285" s="313"/>
      <c r="AU285" s="320" cm="1">
        <f t="array" ref="AU2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5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5" s="1218" t="str">
        <f>IF(ISERROR(ESS_DATA[[#This Row],[New Ark PO status]]),"",_xlfn.XLOOKUP(ESS_DATA[[#This Row],[SPTN-PVHK New Ark PO'#]],New_Ark_Data[Purchase order Number],New_Ark_Data[Estimated time of arrival],"",0))</f>
        <v/>
      </c>
      <c r="AX285" s="313">
        <f>IF(ESS_DATA[[#This Row],[New Ark PO Type]]="Offshore",0,IFERROR(VLOOKUP(ESS_DATA[[#This Row],[PORT OF LOADING]]&amp;ESS_DATA[[#This Row],[PORT DESTINATION]],LT_REF[],7,0),14))</f>
        <v>7</v>
      </c>
      <c r="AY285" s="320">
        <f>IFERROR(ESS_DATA[[#This Row],[ODP ETA Port]]+ESS_DATA[[#This Row],[Customs/Leg3 Assumption]],"n/a")</f>
        <v>7</v>
      </c>
      <c r="AZ285" s="316">
        <f>YEAR(ESS_DATA[[#This Row],[ETA for New Ark update]])</f>
        <v>1900</v>
      </c>
      <c r="BA285" s="316">
        <f>MONTH(ESS_DATA[[#This Row],[ETA for New Ark update]])</f>
        <v>1</v>
      </c>
      <c r="BB285" s="316">
        <f>IFERROR(_xlfn.ISOWEEKNUM(ESS_DATA[[#This Row],[ETA for New Ark update]]),0)</f>
        <v>1</v>
      </c>
      <c r="BC285" s="316" t="str">
        <f>_xlfn.XLOOKUP(ESS_DATA[[#This Row],[PORT DESTINATION]],Table12[PORT DESTINATION],Table12[Cosco Line],,0)</f>
        <v>AEU</v>
      </c>
      <c r="BD285" s="316"/>
      <c r="BE285" s="323"/>
      <c r="BF285" s="323"/>
      <c r="BG285" s="323"/>
      <c r="BH285" s="323"/>
      <c r="BI285" s="323"/>
    </row>
    <row r="286" spans="1:61" s="893" customFormat="1" ht="16.5" customHeight="1">
      <c r="A286" s="33"/>
      <c r="B286" s="31"/>
      <c r="C286" s="31"/>
      <c r="D286" s="31"/>
      <c r="E286" s="162"/>
      <c r="F286" s="82"/>
      <c r="G286" s="31"/>
      <c r="H286" s="31"/>
      <c r="I286" s="163"/>
      <c r="J286" s="31"/>
      <c r="K286" s="31"/>
      <c r="L286" s="268"/>
      <c r="M286" s="212"/>
      <c r="N286" s="82"/>
      <c r="O286" s="162"/>
      <c r="P286" s="31"/>
      <c r="Q286" s="165"/>
      <c r="R286" s="163"/>
      <c r="S286" s="269"/>
      <c r="T286" s="31"/>
      <c r="U286" s="270"/>
      <c r="V286" s="372"/>
      <c r="W286" s="31"/>
      <c r="X286" s="82" t="str">
        <f>IF(AL286&lt;&gt;"","COMPLETED",IF(AI286&lt;&gt;"","IN-TRANSIT",""))</f>
        <v/>
      </c>
      <c r="Y286" s="30"/>
      <c r="Z286" s="30"/>
      <c r="AA286" s="166">
        <f>WEEKNUM(ESS_DATA[[#This Row],[Pick-Up Date]])</f>
        <v>0</v>
      </c>
      <c r="AB286" s="31"/>
      <c r="AC286" s="31"/>
      <c r="AD286" s="31"/>
      <c r="AE286" s="31"/>
      <c r="AF286" s="31"/>
      <c r="AG286" s="30"/>
      <c r="AH286" s="30"/>
      <c r="AI286" s="30"/>
      <c r="AJ286" s="30"/>
      <c r="AK286" s="30"/>
      <c r="AL286" s="30"/>
      <c r="AM286" s="162"/>
      <c r="AN286" s="30"/>
      <c r="AO286" s="30"/>
      <c r="AP286" s="30"/>
      <c r="AQ286" s="31"/>
      <c r="AR286" s="31"/>
      <c r="AS286" s="31">
        <f>ESS_DATA[[#This Row],[ETA On S/O]]-ESS_DATA[[#This Row],[ETD On S/O]]+1</f>
        <v>1</v>
      </c>
      <c r="AT286" s="31"/>
      <c r="AU286" s="347" cm="1">
        <f t="array" ref="AU2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6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6" s="1057" t="str">
        <f>IF(ISERROR(ESS_DATA[[#This Row],[New Ark PO status]]),"",_xlfn.XLOOKUP(ESS_DATA[[#This Row],[SPTN-PVHK New Ark PO'#]],New_Ark_Data[Purchase order Number],New_Ark_Data[Estimated time of arrival],"",0))</f>
        <v/>
      </c>
      <c r="AX286" s="327">
        <f>IF(ESS_DATA[[#This Row],[New Ark PO Type]]="Offshore",0,IFERROR(VLOOKUP(ESS_DATA[[#This Row],[PORT OF LOADING]]&amp;ESS_DATA[[#This Row],[PORT DESTINATION]],LT_REF[],7,0),14))</f>
        <v>14</v>
      </c>
      <c r="AY286" s="30">
        <f>IFERROR(ESS_DATA[[#This Row],[ODP ETA Port]]+ESS_DATA[[#This Row],[Customs/Leg3 Assumption]],"n/a")</f>
        <v>14</v>
      </c>
      <c r="AZ286" s="82">
        <f>YEAR(ESS_DATA[[#This Row],[ETA for New Ark update]])</f>
        <v>1900</v>
      </c>
      <c r="BA286" s="82">
        <f>MONTH(ESS_DATA[[#This Row],[ETA for New Ark update]])</f>
        <v>1</v>
      </c>
      <c r="BB286" s="82">
        <f>IFERROR(_xlfn.ISOWEEKNUM(ESS_DATA[[#This Row],[ETA for New Ark update]]),0)</f>
        <v>2</v>
      </c>
      <c r="BC286" s="82">
        <f>_xlfn.XLOOKUP(ESS_DATA[[#This Row],[PORT DESTINATION]],Table12[PORT DESTINATION],Table12[Cosco Line],,0)</f>
        <v>0</v>
      </c>
      <c r="BD286" s="82"/>
      <c r="BE286" s="336"/>
      <c r="BF286" s="336"/>
      <c r="BG286" s="336"/>
      <c r="BH286" s="336"/>
      <c r="BI286" s="336"/>
    </row>
    <row r="287" spans="1:61" s="893" customFormat="1" ht="16.5" customHeight="1">
      <c r="A287" s="33"/>
      <c r="B287" s="31"/>
      <c r="C287" s="31"/>
      <c r="D287" s="31"/>
      <c r="E287" s="162"/>
      <c r="F287" s="82"/>
      <c r="G287" s="31"/>
      <c r="H287" s="31"/>
      <c r="I287" s="163"/>
      <c r="J287" s="31"/>
      <c r="K287" s="31"/>
      <c r="L287" s="268"/>
      <c r="M287" s="212"/>
      <c r="N287" s="82"/>
      <c r="O287" s="162"/>
      <c r="P287" s="31"/>
      <c r="Q287" s="165"/>
      <c r="R287" s="163"/>
      <c r="S287" s="269"/>
      <c r="T287" s="31"/>
      <c r="U287" s="270"/>
      <c r="V287" s="372"/>
      <c r="W287" s="31"/>
      <c r="X287" s="82" t="str">
        <f>IF(AL287&lt;&gt;"","COMPLETED",IF(AI287&lt;&gt;"","IN-TRANSIT",""))</f>
        <v/>
      </c>
      <c r="Y287" s="30"/>
      <c r="Z287" s="30"/>
      <c r="AA287" s="166">
        <f>WEEKNUM(ESS_DATA[[#This Row],[Pick-Up Date]])</f>
        <v>0</v>
      </c>
      <c r="AB287" s="31"/>
      <c r="AC287" s="31"/>
      <c r="AD287" s="31"/>
      <c r="AE287" s="31"/>
      <c r="AF287" s="31"/>
      <c r="AG287" s="30"/>
      <c r="AH287" s="30"/>
      <c r="AI287" s="30"/>
      <c r="AJ287" s="30"/>
      <c r="AK287" s="30"/>
      <c r="AL287" s="30"/>
      <c r="AM287" s="162"/>
      <c r="AN287" s="30"/>
      <c r="AO287" s="30"/>
      <c r="AP287" s="30"/>
      <c r="AQ287" s="31"/>
      <c r="AR287" s="31"/>
      <c r="AS287" s="31">
        <f>ESS_DATA[[#This Row],[ETA On S/O]]-ESS_DATA[[#This Row],[ETD On S/O]]+1</f>
        <v>1</v>
      </c>
      <c r="AT287" s="31"/>
      <c r="AU287" s="347" cm="1">
        <f t="array" ref="AU2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7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7" s="1057" t="str">
        <f>IF(ISERROR(ESS_DATA[[#This Row],[New Ark PO status]]),"",_xlfn.XLOOKUP(ESS_DATA[[#This Row],[SPTN-PVHK New Ark PO'#]],New_Ark_Data[Purchase order Number],New_Ark_Data[Estimated time of arrival],"",0))</f>
        <v/>
      </c>
      <c r="AX287" s="327">
        <f>IF(ESS_DATA[[#This Row],[New Ark PO Type]]="Offshore",0,IFERROR(VLOOKUP(ESS_DATA[[#This Row],[PORT OF LOADING]]&amp;ESS_DATA[[#This Row],[PORT DESTINATION]],LT_REF[],7,0),14))</f>
        <v>14</v>
      </c>
      <c r="AY287" s="30">
        <f>IFERROR(ESS_DATA[[#This Row],[ODP ETA Port]]+ESS_DATA[[#This Row],[Customs/Leg3 Assumption]],"n/a")</f>
        <v>14</v>
      </c>
      <c r="AZ287" s="82">
        <f>YEAR(ESS_DATA[[#This Row],[ETA for New Ark update]])</f>
        <v>1900</v>
      </c>
      <c r="BA287" s="82">
        <f>MONTH(ESS_DATA[[#This Row],[ETA for New Ark update]])</f>
        <v>1</v>
      </c>
      <c r="BB287" s="82">
        <f>IFERROR(_xlfn.ISOWEEKNUM(ESS_DATA[[#This Row],[ETA for New Ark update]]),0)</f>
        <v>2</v>
      </c>
      <c r="BC287" s="82">
        <f>_xlfn.XLOOKUP(ESS_DATA[[#This Row],[PORT DESTINATION]],Table12[PORT DESTINATION],Table12[Cosco Line],,0)</f>
        <v>0</v>
      </c>
      <c r="BD287" s="82"/>
      <c r="BE287" s="336"/>
      <c r="BF287" s="336"/>
      <c r="BG287" s="336"/>
      <c r="BH287" s="336"/>
      <c r="BI287" s="336"/>
    </row>
    <row r="288" spans="1:61" s="961" customFormat="1" ht="16.5" customHeight="1">
      <c r="A288" s="33"/>
      <c r="B288" s="31"/>
      <c r="C288" s="31"/>
      <c r="D288" s="31"/>
      <c r="E288" s="162"/>
      <c r="F288" s="82"/>
      <c r="G288" s="31"/>
      <c r="H288" s="31"/>
      <c r="I288" s="163"/>
      <c r="J288" s="31"/>
      <c r="K288" s="31"/>
      <c r="L288" s="268"/>
      <c r="M288" s="212"/>
      <c r="N288" s="31"/>
      <c r="O288" s="162"/>
      <c r="P288" s="31"/>
      <c r="Q288" s="165"/>
      <c r="R288" s="163"/>
      <c r="S288" s="269"/>
      <c r="T288" s="31"/>
      <c r="U288" s="270"/>
      <c r="V288" s="372"/>
      <c r="W288" s="31"/>
      <c r="X288" s="82" t="str">
        <f>IF(AL288&lt;&gt;"","COMPLETED",IF(AI288&lt;&gt;"","IN-TRANSIT",""))</f>
        <v/>
      </c>
      <c r="Y288" s="30"/>
      <c r="Z288" s="30"/>
      <c r="AA288" s="166">
        <f>WEEKNUM(ESS_DATA[[#This Row],[Pick-Up Date]])</f>
        <v>0</v>
      </c>
      <c r="AB288" s="31"/>
      <c r="AC288" s="31"/>
      <c r="AD288" s="31"/>
      <c r="AE288" s="31"/>
      <c r="AF288" s="31"/>
      <c r="AG288" s="30"/>
      <c r="AH288" s="30"/>
      <c r="AI288" s="30"/>
      <c r="AJ288" s="30"/>
      <c r="AK288" s="30"/>
      <c r="AL288" s="30"/>
      <c r="AM288" s="162"/>
      <c r="AN288" s="30"/>
      <c r="AO288" s="30"/>
      <c r="AP288" s="30"/>
      <c r="AQ288" s="31"/>
      <c r="AR288" s="31"/>
      <c r="AS288" s="31">
        <f>ESS_DATA[[#This Row],[ETA On S/O]]-ESS_DATA[[#This Row],[ETD On S/O]]+1</f>
        <v>1</v>
      </c>
      <c r="AT288" s="31"/>
      <c r="AU288" s="30" cm="1">
        <f t="array" ref="AU2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8" s="14" t="str">
        <f>IF(ISERROR(ESS_DATA[[#This Row],[New Ark PO status]]),"",_xlfn.XLOOKUP(ESS_DATA[[#This Row],[SPTN-PVHK New Ark PO'#]],New_Ark_Data[Purchase order Number],New_Ark_Data[Estimated time of arrival],"",0))</f>
        <v/>
      </c>
      <c r="AX288" s="31">
        <f>IF(ESS_DATA[[#This Row],[New Ark PO Type]]="Offshore",0,IFERROR(VLOOKUP(ESS_DATA[[#This Row],[PORT OF LOADING]]&amp;ESS_DATA[[#This Row],[PORT DESTINATION]],LT_REF[],7,0),14))</f>
        <v>14</v>
      </c>
      <c r="AY288" s="30">
        <f>IFERROR(ESS_DATA[[#This Row],[ODP ETA Port]]+ESS_DATA[[#This Row],[Customs/Leg3 Assumption]],"n/a")</f>
        <v>14</v>
      </c>
      <c r="AZ288" s="82">
        <f>YEAR(ESS_DATA[[#This Row],[ETA for New Ark update]])</f>
        <v>1900</v>
      </c>
      <c r="BA288" s="82">
        <f>MONTH(ESS_DATA[[#This Row],[ETA for New Ark update]])</f>
        <v>1</v>
      </c>
      <c r="BB288" s="82">
        <f>IFERROR(_xlfn.ISOWEEKNUM(ESS_DATA[[#This Row],[ETA for New Ark update]]),0)</f>
        <v>2</v>
      </c>
      <c r="BC288" s="82">
        <f>_xlfn.XLOOKUP(ESS_DATA[[#This Row],[PORT DESTINATION]],Table12[PORT DESTINATION],Table12[Cosco Line],,0)</f>
        <v>0</v>
      </c>
      <c r="BD288" s="82"/>
      <c r="BE288" s="32"/>
      <c r="BF288" s="32"/>
      <c r="BG288" s="32"/>
      <c r="BH288" s="32"/>
      <c r="BI288" s="32"/>
    </row>
    <row r="289" spans="1:56" s="23" customFormat="1" ht="10">
      <c r="A289" s="33"/>
      <c r="B289" s="31"/>
      <c r="C289" s="31"/>
      <c r="D289" s="31"/>
      <c r="E289" s="82"/>
      <c r="F289" s="741"/>
      <c r="G289" s="31"/>
      <c r="H289" s="31"/>
      <c r="I289" s="31"/>
      <c r="J289" s="31"/>
      <c r="K289" s="31"/>
      <c r="L289" s="268"/>
      <c r="M289" s="212"/>
      <c r="N289" s="82"/>
      <c r="O289" s="395"/>
      <c r="P289" s="82"/>
      <c r="Q289" s="273"/>
      <c r="R289" s="163"/>
      <c r="S289" s="269"/>
      <c r="T289" s="31"/>
      <c r="U289" s="270"/>
      <c r="V289" s="372"/>
      <c r="W289" s="31"/>
      <c r="X289" s="31" t="str">
        <f t="shared" ref="X289:X293" si="28">IF(AL289&lt;&gt;"","COMPLETED",IF(AI289&lt;&gt;"","IN-TRANSIT",""))</f>
        <v/>
      </c>
      <c r="Y289" s="34"/>
      <c r="Z289" s="30"/>
      <c r="AA289" s="166"/>
      <c r="AB289" s="31"/>
      <c r="AC289" s="31"/>
      <c r="AD289" s="31"/>
      <c r="AE289" s="31"/>
      <c r="AF289" s="31"/>
      <c r="AG289" s="30"/>
      <c r="AH289" s="30"/>
      <c r="AI289" s="30"/>
      <c r="AJ289" s="30"/>
      <c r="AK289" s="30"/>
      <c r="AL289" s="30"/>
      <c r="AM289" s="162"/>
      <c r="AN289" s="30"/>
      <c r="AO289" s="30"/>
      <c r="AP289" s="30"/>
      <c r="AQ289" s="31"/>
      <c r="AR289" s="31"/>
      <c r="AS289" s="31">
        <f>ESS_DATA[[#This Row],[ETA On S/O]]-ESS_DATA[[#This Row],[ETD On S/O]]+1</f>
        <v>1</v>
      </c>
      <c r="AT289" s="31"/>
      <c r="AU289" s="347" cm="1">
        <f t="array" ref="AU2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9" s="14" t="str">
        <f>IF(ISERROR(ESS_DATA[[#This Row],[New Ark PO status]]),"",_xlfn.XLOOKUP(ESS_DATA[[#This Row],[SPTN-PVHK New Ark PO'#]],New_Ark_Data[Purchase order Number],New_Ark_Data[Estimated time of arrival],"",0))</f>
        <v/>
      </c>
      <c r="AX289" s="12">
        <f>IF(ESS_DATA[[#This Row],[New Ark PO Type]]="Offshore",0,IFERROR(VLOOKUP(ESS_DATA[[#This Row],[PORT OF LOADING]]&amp;ESS_DATA[[#This Row],[PORT DESTINATION]],LT_REF[],7,0),14))</f>
        <v>14</v>
      </c>
      <c r="AY289" s="14">
        <f>IFERROR(ESS_DATA[[#This Row],[ODP ETA Port]]+ESS_DATA[[#This Row],[Customs/Leg3 Assumption]],"n/a")</f>
        <v>14</v>
      </c>
      <c r="AZ289" s="82">
        <f>YEAR(ESS_DATA[[#This Row],[ETA for New Ark update]])</f>
        <v>1900</v>
      </c>
      <c r="BA289" s="82">
        <f>MONTH(ESS_DATA[[#This Row],[ETA for New Ark update]])</f>
        <v>1</v>
      </c>
      <c r="BB289" s="82">
        <f>IFERROR(_xlfn.ISOWEEKNUM(ESS_DATA[[#This Row],[ETA for New Ark update]]),0)</f>
        <v>2</v>
      </c>
      <c r="BC289" s="82">
        <f>_xlfn.XLOOKUP(ESS_DATA[[#This Row],[PORT DESTINATION]],Table12[PORT DESTINATION],Table12[Cosco Line],,0)</f>
        <v>0</v>
      </c>
      <c r="BD289" s="82"/>
    </row>
    <row r="290" spans="1:56" s="23" customFormat="1" ht="10">
      <c r="A290" s="82">
        <v>202509</v>
      </c>
      <c r="B290" s="293"/>
      <c r="C290" s="82"/>
      <c r="D290" s="82"/>
      <c r="E290" s="160" t="s">
        <v>68</v>
      </c>
      <c r="F290" s="160" t="s">
        <v>68</v>
      </c>
      <c r="G290" s="82"/>
      <c r="H290" s="12"/>
      <c r="I290" s="82"/>
      <c r="J290" s="82" t="s">
        <v>949</v>
      </c>
      <c r="K290" s="82"/>
      <c r="L290" s="79"/>
      <c r="M290" s="218"/>
      <c r="N290" s="147" t="s">
        <v>8165</v>
      </c>
      <c r="O290" s="147" t="s">
        <v>8166</v>
      </c>
      <c r="P290" s="147" t="s">
        <v>8167</v>
      </c>
      <c r="Q290" s="160">
        <v>5000</v>
      </c>
      <c r="R290" s="163">
        <v>131</v>
      </c>
      <c r="S290" s="260"/>
      <c r="T290" s="82"/>
      <c r="U290" s="299"/>
      <c r="V290" s="372"/>
      <c r="W290" s="147" t="s">
        <v>68</v>
      </c>
      <c r="X290" s="147" t="str">
        <f t="shared" si="28"/>
        <v/>
      </c>
      <c r="Y290" s="161"/>
      <c r="Z290" s="162"/>
      <c r="AA290" s="163">
        <f>WEEKNUM(ESS_DATA[[#This Row],[Pick-Up Date]])</f>
        <v>0</v>
      </c>
      <c r="AB290" s="82"/>
      <c r="AC290" s="82"/>
      <c r="AD290" s="147" t="s">
        <v>122</v>
      </c>
      <c r="AE290" s="12" t="s">
        <v>123</v>
      </c>
      <c r="AF290" s="31"/>
      <c r="AG290" s="162"/>
      <c r="AH290" s="162"/>
      <c r="AI290" s="162"/>
      <c r="AJ290" s="162"/>
      <c r="AK290" s="162"/>
      <c r="AL290" s="162"/>
      <c r="AM290" s="162"/>
      <c r="AN290" s="162"/>
      <c r="AO290" s="162"/>
      <c r="AP290" s="162"/>
      <c r="AQ290" s="82"/>
      <c r="AR290" s="82"/>
      <c r="AS290" s="82">
        <f>ESS_DATA[[#This Row],[ETA On S/O]]-ESS_DATA[[#This Row],[ETD On S/O]]+1</f>
        <v>1</v>
      </c>
      <c r="AT290" s="82"/>
      <c r="AU290" s="347" cm="1">
        <f t="array" ref="AU2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0" s="14" t="str">
        <f>IF(ISERROR(ESS_DATA[[#This Row],[New Ark PO status]]),"",_xlfn.XLOOKUP(ESS_DATA[[#This Row],[SPTN-PVHK New Ark PO'#]],New_Ark_Data[Purchase order Number],New_Ark_Data[Estimated time of arrival],"",0))</f>
        <v/>
      </c>
      <c r="AX290" s="12">
        <f>IF(ESS_DATA[[#This Row],[New Ark PO Type]]="Offshore",0,IFERROR(VLOOKUP(ESS_DATA[[#This Row],[PORT OF LOADING]]&amp;ESS_DATA[[#This Row],[PORT DESTINATION]],LT_REF[],7,0),14))</f>
        <v>14</v>
      </c>
      <c r="AY290" s="14">
        <f>IFERROR(ESS_DATA[[#This Row],[ODP ETA Port]]+ESS_DATA[[#This Row],[Customs/Leg3 Assumption]],"n/a")</f>
        <v>14</v>
      </c>
      <c r="AZ290" s="82">
        <f>YEAR(ESS_DATA[[#This Row],[ETA for New Ark update]])</f>
        <v>1900</v>
      </c>
      <c r="BA290" s="82">
        <f>MONTH(ESS_DATA[[#This Row],[ETA for New Ark update]])</f>
        <v>1</v>
      </c>
      <c r="BB290" s="82">
        <f>IFERROR(_xlfn.ISOWEEKNUM(ESS_DATA[[#This Row],[ETA for New Ark update]]),0)</f>
        <v>2</v>
      </c>
      <c r="BC290" s="82">
        <f>_xlfn.XLOOKUP(ESS_DATA[[#This Row],[PORT DESTINATION]],Table12[PORT DESTINATION],Table12[Cosco Line],,0)</f>
        <v>0</v>
      </c>
      <c r="BD290" s="82"/>
    </row>
    <row r="291" spans="1:56" s="23" customFormat="1" ht="10">
      <c r="A291" s="82">
        <v>202509</v>
      </c>
      <c r="B291" s="216"/>
      <c r="C291" s="82"/>
      <c r="D291" s="82"/>
      <c r="E291" s="160" t="s">
        <v>68</v>
      </c>
      <c r="F291" s="160" t="s">
        <v>68</v>
      </c>
      <c r="G291" s="82"/>
      <c r="H291" s="12"/>
      <c r="I291" s="82"/>
      <c r="J291" s="82" t="s">
        <v>949</v>
      </c>
      <c r="K291" s="82"/>
      <c r="L291" s="79"/>
      <c r="M291" s="218"/>
      <c r="N291" s="147" t="s">
        <v>8168</v>
      </c>
      <c r="O291" s="147" t="s">
        <v>8166</v>
      </c>
      <c r="P291" s="147" t="s">
        <v>8169</v>
      </c>
      <c r="Q291" s="160">
        <v>12000</v>
      </c>
      <c r="R291" s="163">
        <v>100</v>
      </c>
      <c r="S291" s="260"/>
      <c r="T291" s="82"/>
      <c r="U291" s="299"/>
      <c r="V291" s="372"/>
      <c r="W291" s="147" t="s">
        <v>68</v>
      </c>
      <c r="X291" s="147" t="str">
        <f t="shared" si="28"/>
        <v/>
      </c>
      <c r="Y291" s="161"/>
      <c r="Z291" s="162"/>
      <c r="AA291" s="163">
        <f>WEEKNUM(ESS_DATA[[#This Row],[Pick-Up Date]])</f>
        <v>0</v>
      </c>
      <c r="AB291" s="82"/>
      <c r="AC291" s="82"/>
      <c r="AD291" s="147" t="s">
        <v>122</v>
      </c>
      <c r="AE291" s="12" t="s">
        <v>123</v>
      </c>
      <c r="AF291" s="31"/>
      <c r="AG291" s="162"/>
      <c r="AH291" s="162"/>
      <c r="AI291" s="162"/>
      <c r="AJ291" s="162"/>
      <c r="AK291" s="162"/>
      <c r="AL291" s="162"/>
      <c r="AM291" s="162"/>
      <c r="AN291" s="162"/>
      <c r="AO291" s="162"/>
      <c r="AP291" s="162"/>
      <c r="AQ291" s="82"/>
      <c r="AR291" s="82"/>
      <c r="AS291" s="82">
        <f>ESS_DATA[[#This Row],[ETA On S/O]]-ESS_DATA[[#This Row],[ETD On S/O]]+1</f>
        <v>1</v>
      </c>
      <c r="AT291" s="82"/>
      <c r="AU291" s="347" cm="1">
        <f t="array" ref="AU2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1" s="14" t="str">
        <f>IF(ISERROR(ESS_DATA[[#This Row],[New Ark PO status]]),"",_xlfn.XLOOKUP(ESS_DATA[[#This Row],[SPTN-PVHK New Ark PO'#]],New_Ark_Data[Purchase order Number],New_Ark_Data[Estimated time of arrival],"",0))</f>
        <v/>
      </c>
      <c r="AX291" s="12">
        <f>IF(ESS_DATA[[#This Row],[New Ark PO Type]]="Offshore",0,IFERROR(VLOOKUP(ESS_DATA[[#This Row],[PORT OF LOADING]]&amp;ESS_DATA[[#This Row],[PORT DESTINATION]],LT_REF[],7,0),14))</f>
        <v>14</v>
      </c>
      <c r="AY291" s="14">
        <f>IFERROR(ESS_DATA[[#This Row],[ODP ETA Port]]+ESS_DATA[[#This Row],[Customs/Leg3 Assumption]],"n/a")</f>
        <v>14</v>
      </c>
      <c r="AZ291" s="82">
        <f>YEAR(ESS_DATA[[#This Row],[ETA for New Ark update]])</f>
        <v>1900</v>
      </c>
      <c r="BA291" s="82">
        <f>MONTH(ESS_DATA[[#This Row],[ETA for New Ark update]])</f>
        <v>1</v>
      </c>
      <c r="BB291" s="82">
        <f>IFERROR(_xlfn.ISOWEEKNUM(ESS_DATA[[#This Row],[ETA for New Ark update]]),0)</f>
        <v>2</v>
      </c>
      <c r="BC291" s="82">
        <f>_xlfn.XLOOKUP(ESS_DATA[[#This Row],[PORT DESTINATION]],Table12[PORT DESTINATION],Table12[Cosco Line],,0)</f>
        <v>0</v>
      </c>
      <c r="BD291" s="82"/>
    </row>
    <row r="292" spans="1:56" s="23" customFormat="1" ht="10">
      <c r="A292" s="82" t="s">
        <v>8170</v>
      </c>
      <c r="B292" s="216"/>
      <c r="C292" s="82" t="str">
        <f>IFERROR(LEFT(ESS_DATA[[#This Row],[TCL REFERENCE]],FIND(".",ESS_DATA[[#This Row],[TCL REFERENCE]],1)-1),"Main Line")</f>
        <v>Main Line</v>
      </c>
      <c r="D292" s="82"/>
      <c r="E292" s="160" t="s">
        <v>68</v>
      </c>
      <c r="F292" s="160" t="s">
        <v>68</v>
      </c>
      <c r="G292" s="82"/>
      <c r="H292" s="12"/>
      <c r="I292" s="82"/>
      <c r="J292" s="82" t="s">
        <v>949</v>
      </c>
      <c r="K292" s="82"/>
      <c r="L292" s="79"/>
      <c r="M292" s="218"/>
      <c r="N292" s="147" t="s">
        <v>8171</v>
      </c>
      <c r="O292" s="147" t="s">
        <v>8172</v>
      </c>
      <c r="P292" s="147" t="s">
        <v>8173</v>
      </c>
      <c r="Q292" s="160"/>
      <c r="R292" s="163">
        <v>36</v>
      </c>
      <c r="S292" s="260"/>
      <c r="T292" s="82"/>
      <c r="U292" s="299"/>
      <c r="V292" s="372"/>
      <c r="W292" s="147" t="s">
        <v>68</v>
      </c>
      <c r="X292" s="147" t="str">
        <f t="shared" si="28"/>
        <v/>
      </c>
      <c r="Y292" s="161"/>
      <c r="Z292" s="162"/>
      <c r="AA292" s="163">
        <f>WEEKNUM(ESS_DATA[[#This Row],[Pick-Up Date]])</f>
        <v>0</v>
      </c>
      <c r="AB292" s="82"/>
      <c r="AC292" s="82"/>
      <c r="AD292" s="147" t="s">
        <v>122</v>
      </c>
      <c r="AE292" s="12" t="s">
        <v>123</v>
      </c>
      <c r="AF292" s="31"/>
      <c r="AG292" s="162"/>
      <c r="AH292" s="162"/>
      <c r="AI292" s="162"/>
      <c r="AJ292" s="162"/>
      <c r="AK292" s="162"/>
      <c r="AL292" s="162"/>
      <c r="AM292" s="162"/>
      <c r="AN292" s="162"/>
      <c r="AO292" s="162"/>
      <c r="AP292" s="162"/>
      <c r="AQ292" s="82"/>
      <c r="AR292" s="82"/>
      <c r="AS292" s="82">
        <f>ESS_DATA[[#This Row],[ETA On S/O]]-ESS_DATA[[#This Row],[ETD On S/O]]+1</f>
        <v>1</v>
      </c>
      <c r="AT292" s="82"/>
      <c r="AU292" s="347" cm="1">
        <f t="array" ref="AU2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2" s="14" t="str">
        <f>IF(ISERROR(ESS_DATA[[#This Row],[New Ark PO status]]),"",_xlfn.XLOOKUP(ESS_DATA[[#This Row],[SPTN-PVHK New Ark PO'#]],New_Ark_Data[Purchase order Number],New_Ark_Data[Estimated time of arrival],"",0))</f>
        <v/>
      </c>
      <c r="AX292" s="12">
        <f>IF(ESS_DATA[[#This Row],[New Ark PO Type]]="Offshore",0,IFERROR(VLOOKUP(ESS_DATA[[#This Row],[PORT OF LOADING]]&amp;ESS_DATA[[#This Row],[PORT DESTINATION]],LT_REF[],7,0),14))</f>
        <v>14</v>
      </c>
      <c r="AY292" s="14">
        <f>IFERROR(ESS_DATA[[#This Row],[ODP ETA Port]]+ESS_DATA[[#This Row],[Customs/Leg3 Assumption]],"n/a")</f>
        <v>14</v>
      </c>
      <c r="AZ292" s="82">
        <f>YEAR(ESS_DATA[[#This Row],[ETA for New Ark update]])</f>
        <v>1900</v>
      </c>
      <c r="BA292" s="82">
        <f>MONTH(ESS_DATA[[#This Row],[ETA for New Ark update]])</f>
        <v>1</v>
      </c>
      <c r="BB292" s="82">
        <f>IFERROR(_xlfn.ISOWEEKNUM(ESS_DATA[[#This Row],[ETA for New Ark update]]),0)</f>
        <v>2</v>
      </c>
      <c r="BC292" s="82">
        <f>_xlfn.XLOOKUP(ESS_DATA[[#This Row],[PORT DESTINATION]],Table12[PORT DESTINATION],Table12[Cosco Line],,0)</f>
        <v>0</v>
      </c>
      <c r="BD292" s="82"/>
    </row>
    <row r="293" spans="1:56" s="23" customFormat="1" ht="10">
      <c r="A293" s="82" t="s">
        <v>8170</v>
      </c>
      <c r="B293" s="216"/>
      <c r="C293" s="82" t="str">
        <f>IFERROR(LEFT(ESS_DATA[[#This Row],[TCL REFERENCE]],FIND(".",ESS_DATA[[#This Row],[TCL REFERENCE]],1)-1),"Main Line")</f>
        <v>Main Line</v>
      </c>
      <c r="D293" s="82"/>
      <c r="E293" s="160" t="s">
        <v>68</v>
      </c>
      <c r="F293" s="160" t="s">
        <v>68</v>
      </c>
      <c r="G293" s="82"/>
      <c r="H293" s="12"/>
      <c r="I293" s="82"/>
      <c r="J293" s="82" t="s">
        <v>949</v>
      </c>
      <c r="K293" s="82"/>
      <c r="L293" s="79"/>
      <c r="M293" s="218"/>
      <c r="N293" s="147" t="s">
        <v>8174</v>
      </c>
      <c r="O293" s="147" t="s">
        <v>8172</v>
      </c>
      <c r="P293" s="147" t="s">
        <v>8175</v>
      </c>
      <c r="Q293" s="160"/>
      <c r="R293" s="163">
        <v>52</v>
      </c>
      <c r="S293" s="260"/>
      <c r="T293" s="82"/>
      <c r="U293" s="299"/>
      <c r="V293" s="372"/>
      <c r="W293" s="147" t="s">
        <v>68</v>
      </c>
      <c r="X293" s="147" t="str">
        <f t="shared" si="28"/>
        <v/>
      </c>
      <c r="Y293" s="161"/>
      <c r="Z293" s="162"/>
      <c r="AA293" s="163">
        <f>WEEKNUM(ESS_DATA[[#This Row],[Pick-Up Date]])</f>
        <v>0</v>
      </c>
      <c r="AB293" s="82"/>
      <c r="AC293" s="82"/>
      <c r="AD293" s="147" t="s">
        <v>122</v>
      </c>
      <c r="AE293" s="12" t="s">
        <v>123</v>
      </c>
      <c r="AF293" s="31"/>
      <c r="AG293" s="162"/>
      <c r="AH293" s="162"/>
      <c r="AI293" s="162"/>
      <c r="AJ293" s="162"/>
      <c r="AK293" s="162"/>
      <c r="AL293" s="162"/>
      <c r="AM293" s="162"/>
      <c r="AN293" s="162"/>
      <c r="AO293" s="162"/>
      <c r="AP293" s="162"/>
      <c r="AQ293" s="82"/>
      <c r="AR293" s="82"/>
      <c r="AS293" s="82">
        <f>ESS_DATA[[#This Row],[ETA On S/O]]-ESS_DATA[[#This Row],[ETD On S/O]]+1</f>
        <v>1</v>
      </c>
      <c r="AT293" s="82"/>
      <c r="AU293" s="347" cm="1">
        <f t="array" ref="AU2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3" s="14" t="str">
        <f>IF(ISERROR(ESS_DATA[[#This Row],[New Ark PO status]]),"",_xlfn.XLOOKUP(ESS_DATA[[#This Row],[SPTN-PVHK New Ark PO'#]],New_Ark_Data[Purchase order Number],New_Ark_Data[Estimated time of arrival],"",0))</f>
        <v/>
      </c>
      <c r="AX293" s="12">
        <f>IF(ESS_DATA[[#This Row],[New Ark PO Type]]="Offshore",0,IFERROR(VLOOKUP(ESS_DATA[[#This Row],[PORT OF LOADING]]&amp;ESS_DATA[[#This Row],[PORT DESTINATION]],LT_REF[],7,0),14))</f>
        <v>14</v>
      </c>
      <c r="AY293" s="14">
        <f>IFERROR(ESS_DATA[[#This Row],[ODP ETA Port]]+ESS_DATA[[#This Row],[Customs/Leg3 Assumption]],"n/a")</f>
        <v>14</v>
      </c>
      <c r="AZ293" s="82">
        <f>YEAR(ESS_DATA[[#This Row],[ETA for New Ark update]])</f>
        <v>1900</v>
      </c>
      <c r="BA293" s="82">
        <f>MONTH(ESS_DATA[[#This Row],[ETA for New Ark update]])</f>
        <v>1</v>
      </c>
      <c r="BB293" s="82">
        <f>IFERROR(_xlfn.ISOWEEKNUM(ESS_DATA[[#This Row],[ETA for New Ark update]]),0)</f>
        <v>2</v>
      </c>
      <c r="BC293" s="82">
        <f>_xlfn.XLOOKUP(ESS_DATA[[#This Row],[PORT DESTINATION]],Table12[PORT DESTINATION],Table12[Cosco Line],,0)</f>
        <v>0</v>
      </c>
      <c r="BD293" s="165"/>
    </row>
    <row r="294" spans="1:56" s="23" customFormat="1" ht="11.25" customHeight="1">
      <c r="A294" s="5"/>
      <c r="B294"/>
      <c r="C294" s="5"/>
      <c r="F294" s="5"/>
      <c r="H294" s="5"/>
      <c r="I294" s="5"/>
      <c r="J294" s="5"/>
      <c r="L294"/>
      <c r="M294" s="5"/>
      <c r="N294" s="5"/>
      <c r="O294" s="6"/>
      <c r="P294" s="5"/>
      <c r="Q294" s="5"/>
      <c r="R294" s="5"/>
      <c r="S294" s="5"/>
      <c r="T294" s="5"/>
      <c r="U294" s="5"/>
      <c r="V294" s="5"/>
      <c r="W294" s="5"/>
      <c r="X294" s="5"/>
      <c r="Y294" s="373"/>
      <c r="Z294" s="301"/>
      <c r="AA294" s="5"/>
      <c r="AB294" s="5"/>
      <c r="AC294" s="5"/>
      <c r="AD294" s="6"/>
      <c r="AE294" s="6"/>
      <c r="AF294" s="6"/>
      <c r="AG294" s="6"/>
      <c r="AH294" s="8"/>
      <c r="AI294" s="9"/>
      <c r="AJ294" s="9"/>
      <c r="AK294" s="5"/>
      <c r="AL294" s="5"/>
      <c r="AM294" s="5"/>
      <c r="AN294" s="5"/>
      <c r="AO294" s="7"/>
      <c r="AP294" s="10"/>
      <c r="AQ294" s="10"/>
      <c r="AR294" s="7"/>
      <c r="AS294" s="32"/>
      <c r="AT294" s="32"/>
      <c r="AU294" s="5"/>
      <c r="AV294" s="5"/>
      <c r="AW294" s="5"/>
      <c r="AX294" s="5"/>
      <c r="AY294" s="5"/>
      <c r="AZ294" s="5"/>
      <c r="BA294" s="5"/>
    </row>
    <row r="295" spans="1:56" s="23" customFormat="1" ht="11.25" customHeight="1">
      <c r="A295" s="5"/>
      <c r="B295"/>
      <c r="C295" s="5"/>
      <c r="F295" s="5"/>
      <c r="H295" s="5"/>
      <c r="I295" s="5"/>
      <c r="J295" s="5"/>
      <c r="L295"/>
      <c r="M295" s="5"/>
      <c r="N295" s="5"/>
      <c r="O295" s="6"/>
      <c r="P295" s="5"/>
      <c r="Q295" s="5"/>
      <c r="R295" s="5"/>
      <c r="S295" s="5"/>
      <c r="T295" s="5"/>
      <c r="U295" s="5"/>
      <c r="V295" s="5"/>
      <c r="W295" s="5"/>
      <c r="X295" s="5"/>
      <c r="Y295" s="373"/>
      <c r="Z295" s="301"/>
      <c r="AA295" s="5"/>
      <c r="AB295" s="5"/>
      <c r="AC295" s="5"/>
      <c r="AD295" s="6"/>
      <c r="AE295" s="6"/>
      <c r="AF295" s="6"/>
      <c r="AG295" s="6"/>
      <c r="AH295" s="8"/>
      <c r="AI295" s="9"/>
      <c r="AJ295" s="9"/>
      <c r="AK295" s="5"/>
      <c r="AL295" s="5"/>
      <c r="AM295" s="5"/>
      <c r="AN295" s="5"/>
      <c r="AO295" s="7"/>
      <c r="AP295" s="10"/>
      <c r="AQ295" s="10"/>
      <c r="AR295" s="7"/>
      <c r="AS295" s="32"/>
      <c r="AT295" s="32"/>
      <c r="AU295" s="5"/>
      <c r="AV295" s="5"/>
      <c r="AW295" s="5"/>
      <c r="AX295" s="5"/>
      <c r="AY295" s="5"/>
      <c r="AZ295" s="5"/>
      <c r="BA295" s="5"/>
    </row>
    <row r="296" spans="1:56" s="23" customFormat="1" ht="11.25" customHeight="1">
      <c r="A296" s="5"/>
      <c r="B296"/>
      <c r="C296" s="5"/>
      <c r="F296" s="5"/>
      <c r="H296" s="5"/>
      <c r="I296" s="5"/>
      <c r="J296" s="5"/>
      <c r="L296"/>
      <c r="M296" s="5"/>
      <c r="N296" s="5"/>
      <c r="O296" s="6"/>
      <c r="P296" s="5"/>
      <c r="Q296" s="5"/>
      <c r="R296" s="5"/>
      <c r="S296" s="5"/>
      <c r="T296" s="5"/>
      <c r="U296" s="5"/>
      <c r="V296" s="5"/>
      <c r="W296" s="5"/>
      <c r="X296" s="5"/>
      <c r="Y296" s="373"/>
      <c r="Z296" s="301"/>
      <c r="AA296" s="5"/>
      <c r="AB296" s="5"/>
      <c r="AC296" s="5"/>
      <c r="AD296" s="6"/>
      <c r="AE296" s="6"/>
      <c r="AF296" s="6"/>
      <c r="AG296" s="6"/>
      <c r="AH296" s="8"/>
      <c r="AI296" s="9"/>
      <c r="AJ296" s="9"/>
      <c r="AK296" s="5"/>
      <c r="AL296" s="5"/>
      <c r="AM296" s="5"/>
      <c r="AN296" s="5"/>
      <c r="AO296" s="7"/>
      <c r="AP296" s="10"/>
      <c r="AQ296" s="10"/>
      <c r="AR296" s="7"/>
      <c r="AS296" s="32"/>
      <c r="AT296" s="32"/>
      <c r="AU296" s="5"/>
      <c r="AV296" s="5"/>
      <c r="AW296" s="5"/>
      <c r="AX296" s="5"/>
      <c r="AY296" s="5"/>
      <c r="AZ296" s="5"/>
      <c r="BA296" s="5"/>
    </row>
    <row r="297" spans="1:56" s="23" customFormat="1" ht="11.25" customHeight="1">
      <c r="A297" s="5"/>
      <c r="B297"/>
      <c r="C297" s="5"/>
      <c r="F297" s="5"/>
      <c r="H297" s="5"/>
      <c r="I297" s="5"/>
      <c r="J297" s="5"/>
      <c r="L297"/>
      <c r="M297" s="5"/>
      <c r="N297" s="5"/>
      <c r="O297" s="6"/>
      <c r="P297" s="5"/>
      <c r="Q297" s="5"/>
      <c r="R297" s="5"/>
      <c r="S297" s="5"/>
      <c r="T297" s="5"/>
      <c r="U297" s="5"/>
      <c r="V297" s="5"/>
      <c r="W297" s="5"/>
      <c r="X297" s="5"/>
      <c r="Y297" s="373"/>
      <c r="Z297" s="301"/>
      <c r="AA297" s="5"/>
      <c r="AB297" s="5"/>
      <c r="AC297" s="5"/>
      <c r="AD297" s="6"/>
      <c r="AE297" s="6"/>
      <c r="AF297" s="6"/>
      <c r="AG297" s="6"/>
      <c r="AH297" s="8"/>
      <c r="AI297" s="9"/>
      <c r="AJ297" s="9"/>
      <c r="AK297" s="5"/>
      <c r="AL297" s="5"/>
      <c r="AM297" s="5"/>
      <c r="AN297" s="5"/>
      <c r="AO297" s="7"/>
      <c r="AP297" s="10"/>
      <c r="AQ297" s="10"/>
      <c r="AR297" s="7"/>
      <c r="AS297" s="32"/>
      <c r="AT297" s="32"/>
      <c r="AU297" s="5"/>
      <c r="AV297" s="5"/>
      <c r="AW297" s="5"/>
      <c r="AX297" s="5"/>
      <c r="AY297" s="5"/>
      <c r="AZ297" s="5"/>
      <c r="BA297" s="5"/>
    </row>
    <row r="298" spans="1:56" s="23" customFormat="1" ht="13">
      <c r="A298" s="5"/>
      <c r="B298"/>
      <c r="C298" s="5"/>
      <c r="F298" s="5"/>
      <c r="H298" s="5"/>
      <c r="I298" s="5"/>
      <c r="J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373"/>
      <c r="Z298" s="301"/>
      <c r="AA298" s="5"/>
      <c r="AB298" s="5"/>
      <c r="AC298" s="5"/>
      <c r="AD298" s="6"/>
      <c r="AE298" s="6"/>
      <c r="AF298" s="6"/>
      <c r="AG298" s="6"/>
      <c r="AH298" s="8"/>
      <c r="AI298" s="9"/>
      <c r="AJ298" s="9"/>
      <c r="AK298" s="5"/>
      <c r="AL298" s="5"/>
      <c r="AM298" s="5"/>
      <c r="AN298" s="5"/>
      <c r="AO298" s="7"/>
      <c r="AP298" s="10"/>
      <c r="AQ298" s="10"/>
      <c r="AR298" s="7"/>
      <c r="AS298" s="32"/>
      <c r="AT298" s="32"/>
      <c r="AU298" s="5"/>
      <c r="AV298" s="5"/>
      <c r="AW298" s="5"/>
      <c r="AX298" s="5"/>
      <c r="AY298" s="5"/>
      <c r="AZ298" s="5"/>
      <c r="BA298" s="5"/>
    </row>
    <row r="299" spans="1:56" s="23" customFormat="1" ht="13">
      <c r="A299" s="5"/>
      <c r="B299"/>
      <c r="C299" s="5"/>
      <c r="F299" s="5"/>
      <c r="H299" s="5"/>
      <c r="I299" s="5"/>
      <c r="J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373"/>
      <c r="Z299" s="301"/>
      <c r="AA299" s="5"/>
      <c r="AB299" s="5"/>
      <c r="AC299" s="5"/>
      <c r="AD299" s="6"/>
      <c r="AE299" s="6"/>
      <c r="AF299" s="6"/>
      <c r="AG299" s="6"/>
      <c r="AH299" s="8"/>
      <c r="AI299" s="9"/>
      <c r="AJ299" s="9"/>
      <c r="AK299" s="5"/>
      <c r="AL299" s="5"/>
      <c r="AM299" s="5"/>
      <c r="AN299" s="5"/>
      <c r="AO299" s="7"/>
      <c r="AP299" s="10"/>
      <c r="AQ299" s="10"/>
      <c r="AR299" s="7"/>
      <c r="AS299" s="32"/>
      <c r="AT299" s="32"/>
      <c r="AU299" s="5"/>
      <c r="AV299" s="5"/>
      <c r="AW299" s="5"/>
      <c r="AX299" s="5"/>
      <c r="AY299" s="5"/>
      <c r="AZ299" s="5"/>
      <c r="BA299" s="5"/>
    </row>
    <row r="300" spans="1:56" s="23" customFormat="1" ht="13">
      <c r="A300" s="5"/>
      <c r="B300"/>
      <c r="C300" s="5"/>
      <c r="F300" s="5"/>
      <c r="H300" s="5"/>
      <c r="I300" s="5"/>
      <c r="J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373"/>
      <c r="Z300" s="301"/>
      <c r="AA300" s="5"/>
      <c r="AB300" s="5"/>
      <c r="AC300" s="5"/>
      <c r="AD300" s="6"/>
      <c r="AE300" s="6"/>
      <c r="AF300" s="6"/>
      <c r="AG300" s="6"/>
      <c r="AH300" s="8"/>
      <c r="AI300" s="9"/>
      <c r="AJ300" s="9"/>
      <c r="AK300" s="5"/>
      <c r="AL300" s="5"/>
      <c r="AM300" s="5"/>
      <c r="AN300" s="5"/>
      <c r="AO300" s="7"/>
      <c r="AP300" s="10"/>
      <c r="AQ300" s="10"/>
      <c r="AR300" s="7"/>
      <c r="AS300" s="32"/>
      <c r="AT300" s="32"/>
      <c r="AU300" s="5"/>
      <c r="AV300" s="5"/>
      <c r="AW300" s="5"/>
      <c r="AX300" s="5"/>
      <c r="AY300" s="5"/>
      <c r="AZ300" s="5"/>
      <c r="BA300" s="5"/>
    </row>
    <row r="301" spans="1:56" s="23" customFormat="1" ht="13">
      <c r="A301" s="5"/>
      <c r="B301"/>
      <c r="C301" s="5"/>
      <c r="F301" s="5"/>
      <c r="H301" s="5"/>
      <c r="I301" s="5"/>
      <c r="J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373"/>
      <c r="Z301" s="301"/>
      <c r="AA301" s="5"/>
      <c r="AB301" s="5"/>
      <c r="AC301" s="5"/>
      <c r="AD301" s="6"/>
      <c r="AE301" s="6"/>
      <c r="AF301" s="6"/>
      <c r="AG301" s="6"/>
      <c r="AH301" s="8"/>
      <c r="AI301" s="9"/>
      <c r="AJ301" s="9"/>
      <c r="AK301" s="5"/>
      <c r="AL301" s="5"/>
      <c r="AM301" s="5"/>
      <c r="AN301" s="5"/>
      <c r="AO301" s="7"/>
      <c r="AP301" s="10"/>
      <c r="AQ301" s="10"/>
      <c r="AR301" s="7"/>
      <c r="AS301" s="32"/>
      <c r="AT301" s="32"/>
      <c r="AU301" s="5"/>
      <c r="AV301" s="5"/>
      <c r="AW301" s="5"/>
      <c r="AX301" s="5"/>
      <c r="AY301" s="5"/>
      <c r="AZ301" s="5"/>
      <c r="BA301" s="5"/>
    </row>
    <row r="302" spans="1:56" s="23" customFormat="1" ht="13">
      <c r="A302" s="5"/>
      <c r="B302"/>
      <c r="C302" s="5"/>
      <c r="F302" s="5"/>
      <c r="H302" s="5"/>
      <c r="I302" s="5"/>
      <c r="J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373"/>
      <c r="Z302" s="301"/>
      <c r="AA302" s="5"/>
      <c r="AB302" s="5"/>
      <c r="AC302" s="5"/>
      <c r="AD302" s="6"/>
      <c r="AE302" s="6"/>
      <c r="AF302" s="6"/>
      <c r="AG302" s="6"/>
      <c r="AH302" s="8"/>
      <c r="AI302" s="9"/>
      <c r="AJ302" s="9"/>
      <c r="AK302" s="5"/>
      <c r="AL302" s="5"/>
      <c r="AM302" s="5"/>
      <c r="AN302" s="5"/>
      <c r="AO302" s="7"/>
      <c r="AP302" s="10"/>
      <c r="AQ302" s="10"/>
      <c r="AR302" s="7"/>
      <c r="AS302" s="32"/>
      <c r="AT302" s="32"/>
      <c r="AU302" s="5"/>
      <c r="AV302" s="5"/>
      <c r="AW302" s="5"/>
      <c r="AX302" s="5"/>
      <c r="AY302" s="5"/>
      <c r="AZ302" s="5"/>
      <c r="BA302" s="5"/>
    </row>
    <row r="303" spans="1:56" s="23" customFormat="1" ht="11.25" customHeight="1">
      <c r="A303" s="5"/>
      <c r="B303"/>
      <c r="C303" s="5"/>
      <c r="F303" s="5"/>
      <c r="H303" s="5"/>
      <c r="I303" s="5"/>
      <c r="J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373"/>
      <c r="Z303" s="301"/>
      <c r="AA303" s="5"/>
      <c r="AB303" s="5"/>
      <c r="AC303" s="5"/>
      <c r="AD303" s="6"/>
      <c r="AE303" s="6"/>
      <c r="AF303" s="6"/>
      <c r="AG303" s="6"/>
      <c r="AH303" s="8"/>
      <c r="AI303" s="9"/>
      <c r="AJ303" s="9"/>
      <c r="AK303" s="5"/>
      <c r="AL303" s="5"/>
      <c r="AM303" s="5"/>
      <c r="AN303" s="5"/>
      <c r="AO303" s="7"/>
      <c r="AP303" s="10"/>
      <c r="AQ303" s="10"/>
      <c r="AR303" s="7"/>
      <c r="AS303" s="32"/>
      <c r="AT303" s="32"/>
      <c r="AU303" s="5"/>
      <c r="AV303" s="5"/>
      <c r="AW303" s="5"/>
      <c r="AX303" s="5"/>
      <c r="AY303" s="5"/>
      <c r="AZ303" s="5"/>
      <c r="BA303" s="5"/>
    </row>
    <row r="304" spans="1:56" s="23" customFormat="1" ht="13">
      <c r="A304" s="5"/>
      <c r="B304"/>
      <c r="C304" s="5"/>
      <c r="F304" s="5"/>
      <c r="H304" s="5"/>
      <c r="I304" s="5"/>
      <c r="J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373"/>
      <c r="Z304" s="301"/>
      <c r="AA304" s="5"/>
      <c r="AB304" s="5"/>
      <c r="AC304" s="5"/>
      <c r="AD304" s="6"/>
      <c r="AE304" s="6"/>
      <c r="AF304" s="6"/>
      <c r="AG304" s="6"/>
      <c r="AH304" s="8"/>
      <c r="AI304" s="9"/>
      <c r="AJ304" s="9"/>
      <c r="AK304" s="5"/>
      <c r="AL304" s="5"/>
      <c r="AM304" s="5"/>
      <c r="AN304" s="5"/>
      <c r="AO304" s="7"/>
      <c r="AP304" s="10"/>
      <c r="AQ304" s="10"/>
      <c r="AR304" s="7"/>
      <c r="AS304" s="32"/>
      <c r="AT304" s="32"/>
      <c r="AU304" s="5"/>
      <c r="AV304" s="5"/>
      <c r="AW304" s="5"/>
      <c r="AX304" s="5"/>
      <c r="AY304" s="5"/>
      <c r="AZ304" s="5"/>
      <c r="BA304" s="5"/>
    </row>
    <row r="305" spans="1:53" s="23" customFormat="1" ht="13">
      <c r="A305" s="5"/>
      <c r="B305"/>
      <c r="C305" s="5"/>
      <c r="F305" s="5"/>
      <c r="H305" s="5"/>
      <c r="I305" s="5"/>
      <c r="J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373"/>
      <c r="Z305" s="301"/>
      <c r="AA305" s="5"/>
      <c r="AB305" s="5"/>
      <c r="AC305" s="5"/>
      <c r="AD305" s="6"/>
      <c r="AE305" s="6"/>
      <c r="AF305" s="6"/>
      <c r="AG305" s="6"/>
      <c r="AH305" s="8"/>
      <c r="AI305" s="9"/>
      <c r="AJ305" s="9"/>
      <c r="AK305" s="5"/>
      <c r="AL305" s="5"/>
      <c r="AM305" s="5"/>
      <c r="AN305" s="5"/>
      <c r="AO305" s="7"/>
      <c r="AP305" s="10"/>
      <c r="AQ305" s="10"/>
      <c r="AR305" s="7"/>
      <c r="AS305" s="32"/>
      <c r="AT305" s="32"/>
      <c r="AU305" s="5"/>
      <c r="AV305" s="5"/>
      <c r="AW305" s="5"/>
      <c r="AX305" s="5"/>
      <c r="AY305" s="5"/>
      <c r="AZ305" s="5"/>
      <c r="BA305" s="5"/>
    </row>
    <row r="306" spans="1:53" s="23" customFormat="1" ht="11.25" customHeight="1">
      <c r="A306" s="5"/>
      <c r="B306"/>
      <c r="C306" s="5"/>
      <c r="F306" s="5"/>
      <c r="H306" s="5"/>
      <c r="I306" s="5"/>
      <c r="J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373"/>
      <c r="Z306" s="301"/>
      <c r="AA306" s="5"/>
      <c r="AB306" s="5"/>
      <c r="AC306" s="5"/>
      <c r="AD306" s="6"/>
      <c r="AE306" s="6"/>
      <c r="AF306" s="6"/>
      <c r="AG306" s="6"/>
      <c r="AH306" s="8"/>
      <c r="AI306" s="9"/>
      <c r="AJ306" s="9"/>
      <c r="AK306" s="5"/>
      <c r="AL306" s="5"/>
      <c r="AM306" s="5"/>
      <c r="AN306" s="5"/>
      <c r="AO306" s="7"/>
      <c r="AP306" s="10"/>
      <c r="AQ306" s="10"/>
      <c r="AR306" s="7"/>
      <c r="AS306" s="32"/>
      <c r="AT306" s="32"/>
      <c r="AU306" s="5"/>
      <c r="AV306" s="5"/>
      <c r="AW306" s="5"/>
      <c r="AX306" s="5"/>
      <c r="AY306" s="5"/>
      <c r="AZ306" s="5"/>
      <c r="BA306" s="5"/>
    </row>
    <row r="307" spans="1:53" s="23" customFormat="1" ht="10">
      <c r="I307" s="5"/>
      <c r="L307" s="5"/>
      <c r="M307" s="5"/>
      <c r="N307" s="5"/>
      <c r="O307" s="5"/>
      <c r="P307" s="5"/>
      <c r="Q307" s="5"/>
      <c r="R307" s="5"/>
      <c r="S307" s="5"/>
      <c r="Y307" s="155"/>
    </row>
    <row r="308" spans="1:53" s="23" customFormat="1" ht="10">
      <c r="I308" s="5"/>
      <c r="L308" s="5"/>
      <c r="M308" s="5"/>
      <c r="N308" s="5"/>
      <c r="O308" s="5"/>
      <c r="P308" s="5"/>
      <c r="Q308" s="5"/>
      <c r="R308" s="5"/>
      <c r="S308" s="5"/>
      <c r="Y308" s="155"/>
    </row>
    <row r="309" spans="1:53" s="23" customFormat="1" ht="10">
      <c r="I309" s="5"/>
      <c r="L309" s="5"/>
      <c r="M309" s="5"/>
      <c r="N309" s="5"/>
      <c r="O309" s="5"/>
      <c r="P309" s="5"/>
      <c r="Q309" s="5"/>
      <c r="R309" s="5"/>
      <c r="S309" s="5"/>
      <c r="Y309" s="155"/>
    </row>
    <row r="310" spans="1:53" s="23" customFormat="1" ht="10">
      <c r="I310" s="5"/>
      <c r="L310" s="5"/>
      <c r="M310" s="5"/>
      <c r="N310" s="5"/>
      <c r="O310" s="5"/>
      <c r="P310" s="5"/>
      <c r="Q310" s="5"/>
      <c r="R310" s="5"/>
      <c r="S310" s="5"/>
      <c r="Y310" s="155"/>
    </row>
    <row r="311" spans="1:53" s="23" customFormat="1" ht="10">
      <c r="I311" s="5"/>
      <c r="L311" s="5"/>
      <c r="M311" s="5"/>
      <c r="N311" s="5"/>
      <c r="O311" s="5"/>
      <c r="P311" s="5"/>
      <c r="Q311" s="5"/>
      <c r="R311" s="5"/>
      <c r="S311" s="5"/>
      <c r="Y311" s="155"/>
    </row>
    <row r="312" spans="1:53" s="23" customFormat="1" ht="10">
      <c r="I312" s="5"/>
      <c r="L312" s="5"/>
      <c r="M312" s="5"/>
      <c r="N312" s="5"/>
      <c r="O312" s="5"/>
      <c r="P312" s="5"/>
      <c r="Q312" s="5"/>
      <c r="R312" s="5"/>
      <c r="S312" s="5"/>
      <c r="Y312" s="155"/>
    </row>
    <row r="313" spans="1:53" s="23" customFormat="1" ht="11.25" customHeight="1">
      <c r="I313" s="5"/>
      <c r="L313" s="5"/>
      <c r="M313" s="5"/>
      <c r="N313" s="5"/>
      <c r="O313" s="5"/>
      <c r="P313" s="5"/>
      <c r="Q313" s="5"/>
      <c r="R313" s="5"/>
      <c r="S313" s="5"/>
      <c r="Y313" s="155"/>
    </row>
    <row r="314" spans="1:53" s="23" customFormat="1" ht="11.25" customHeight="1">
      <c r="I314" s="5"/>
      <c r="L314" s="5"/>
      <c r="M314" s="5"/>
      <c r="N314" s="5"/>
      <c r="O314" s="5"/>
      <c r="P314" s="5"/>
      <c r="Q314" s="5"/>
      <c r="R314" s="5"/>
      <c r="S314" s="5"/>
      <c r="Y314" s="155"/>
    </row>
    <row r="315" spans="1:53" s="23" customFormat="1" ht="11.25" customHeight="1">
      <c r="I315" s="5"/>
      <c r="L315" s="5"/>
      <c r="M315" s="5"/>
      <c r="N315" s="5"/>
      <c r="O315" s="5"/>
      <c r="P315" s="5"/>
      <c r="Q315" s="5"/>
      <c r="R315" s="5"/>
      <c r="S315" s="5"/>
      <c r="Y315" s="155"/>
    </row>
    <row r="316" spans="1:53" s="23" customFormat="1" ht="10">
      <c r="I316" s="5"/>
      <c r="L316" s="5"/>
      <c r="M316" s="5"/>
      <c r="N316" s="5"/>
      <c r="O316" s="5"/>
      <c r="P316" s="5"/>
      <c r="Q316" s="5"/>
      <c r="R316" s="5"/>
      <c r="S316" s="5"/>
      <c r="Y316" s="155"/>
    </row>
    <row r="317" spans="1:53" s="23" customFormat="1" ht="10">
      <c r="I317" s="5"/>
      <c r="L317" s="5"/>
      <c r="M317" s="5"/>
      <c r="N317" s="5"/>
      <c r="O317" s="5"/>
      <c r="P317" s="5"/>
      <c r="Q317" s="5"/>
      <c r="R317" s="5"/>
      <c r="S317" s="5"/>
      <c r="Y317" s="155"/>
    </row>
    <row r="318" spans="1:53" s="23" customFormat="1" ht="11.25" customHeight="1">
      <c r="I318" s="5"/>
      <c r="L318" s="5"/>
      <c r="M318" s="5"/>
      <c r="N318" s="5"/>
      <c r="O318" s="5"/>
      <c r="P318" s="5"/>
      <c r="Q318" s="5"/>
      <c r="R318" s="5"/>
      <c r="S318" s="5"/>
      <c r="Y318" s="155"/>
    </row>
    <row r="319" spans="1:53" s="23" customFormat="1" ht="10">
      <c r="I319" s="5"/>
      <c r="L319" s="5"/>
      <c r="M319" s="5"/>
      <c r="N319" s="5"/>
      <c r="O319" s="5"/>
      <c r="P319" s="5"/>
      <c r="Q319" s="5"/>
      <c r="R319" s="5"/>
      <c r="S319" s="5"/>
      <c r="Y319" s="155"/>
    </row>
    <row r="320" spans="1:53" s="23" customFormat="1" ht="10">
      <c r="I320" s="5"/>
      <c r="L320" s="5"/>
      <c r="M320" s="5"/>
      <c r="N320" s="5"/>
      <c r="O320" s="5"/>
      <c r="P320" s="5"/>
      <c r="Q320" s="5"/>
      <c r="R320" s="5"/>
      <c r="S320" s="5"/>
      <c r="Y320" s="155"/>
    </row>
    <row r="321" spans="9:25" s="23" customFormat="1" ht="10">
      <c r="I321" s="5"/>
      <c r="L321" s="5"/>
      <c r="M321" s="5"/>
      <c r="N321" s="5"/>
      <c r="O321" s="5"/>
      <c r="P321" s="5"/>
      <c r="Q321" s="5"/>
      <c r="R321" s="5"/>
      <c r="S321" s="5"/>
      <c r="Y321" s="155"/>
    </row>
    <row r="322" spans="9:25" s="23" customFormat="1" ht="10">
      <c r="I322" s="5"/>
      <c r="L322" s="5"/>
      <c r="M322" s="5"/>
      <c r="N322" s="5"/>
      <c r="O322" s="5"/>
      <c r="P322" s="5"/>
      <c r="Q322" s="5"/>
      <c r="R322" s="5"/>
      <c r="S322" s="5"/>
      <c r="Y322" s="155"/>
    </row>
    <row r="323" spans="9:25" s="23" customFormat="1" ht="10">
      <c r="I323" s="5"/>
      <c r="L323" s="5"/>
      <c r="M323" s="5"/>
      <c r="N323" s="5"/>
      <c r="O323" s="5"/>
      <c r="P323" s="5"/>
      <c r="Q323" s="5"/>
      <c r="R323" s="5"/>
      <c r="S323" s="5"/>
      <c r="Y323" s="155"/>
    </row>
    <row r="324" spans="9:25" s="23" customFormat="1" ht="10">
      <c r="I324" s="5"/>
      <c r="L324" s="5"/>
      <c r="M324" s="5"/>
      <c r="N324" s="5"/>
      <c r="O324" s="5"/>
      <c r="P324" s="5"/>
      <c r="Q324" s="5"/>
      <c r="R324" s="5"/>
      <c r="S324" s="5"/>
      <c r="Y324" s="155"/>
    </row>
    <row r="325" spans="9:25" s="23" customFormat="1" ht="10">
      <c r="I325" s="5"/>
      <c r="L325" s="5"/>
      <c r="M325" s="5"/>
      <c r="N325" s="5"/>
      <c r="O325" s="5"/>
      <c r="P325" s="5"/>
      <c r="Q325" s="5"/>
      <c r="R325" s="5"/>
      <c r="S325" s="5"/>
      <c r="Y325" s="155"/>
    </row>
    <row r="326" spans="9:25" s="23" customFormat="1" ht="10">
      <c r="I326" s="5"/>
      <c r="L326" s="5"/>
      <c r="M326" s="5"/>
      <c r="N326" s="5"/>
      <c r="O326" s="5"/>
      <c r="P326" s="5"/>
      <c r="Q326" s="5"/>
      <c r="R326" s="5"/>
      <c r="S326" s="5"/>
      <c r="Y326" s="155"/>
    </row>
    <row r="327" spans="9:25" s="23" customFormat="1" ht="11.25" customHeight="1">
      <c r="I327" s="5"/>
      <c r="L327" s="5"/>
      <c r="M327" s="5"/>
      <c r="N327" s="5"/>
      <c r="O327" s="5"/>
      <c r="P327" s="5"/>
      <c r="Q327" s="5"/>
      <c r="R327" s="5"/>
      <c r="S327" s="5"/>
      <c r="Y327" s="155"/>
    </row>
    <row r="328" spans="9:25" s="23" customFormat="1" ht="10">
      <c r="I328" s="5"/>
      <c r="L328" s="5"/>
      <c r="M328" s="5"/>
      <c r="N328" s="5"/>
      <c r="O328" s="5"/>
      <c r="P328" s="5"/>
      <c r="Q328" s="5"/>
      <c r="R328" s="5"/>
      <c r="S328" s="5"/>
      <c r="Y328" s="155"/>
    </row>
    <row r="329" spans="9:25" s="23" customFormat="1" ht="10">
      <c r="I329" s="5"/>
      <c r="L329" s="5"/>
      <c r="M329" s="5"/>
      <c r="N329" s="5"/>
      <c r="O329" s="5"/>
      <c r="P329" s="5"/>
      <c r="Q329" s="5"/>
      <c r="R329" s="5"/>
      <c r="S329" s="5"/>
      <c r="Y329" s="155"/>
    </row>
    <row r="330" spans="9:25" s="23" customFormat="1" ht="11.25" customHeight="1">
      <c r="I330" s="5"/>
      <c r="L330" s="5"/>
      <c r="M330" s="5"/>
      <c r="N330" s="5"/>
      <c r="O330" s="5"/>
      <c r="P330" s="5"/>
      <c r="Q330" s="5"/>
      <c r="R330" s="5"/>
      <c r="S330" s="5"/>
      <c r="Y330" s="155"/>
    </row>
    <row r="331" spans="9:25" s="23" customFormat="1" ht="10">
      <c r="I331" s="5"/>
      <c r="L331" s="5"/>
      <c r="M331" s="5"/>
      <c r="N331" s="5"/>
      <c r="O331" s="5"/>
      <c r="P331" s="5"/>
      <c r="Q331" s="5"/>
      <c r="R331" s="5"/>
      <c r="S331" s="5"/>
      <c r="Y331" s="155"/>
    </row>
    <row r="332" spans="9:25" s="23" customFormat="1" ht="10">
      <c r="I332" s="5"/>
      <c r="L332" s="5"/>
      <c r="M332" s="5"/>
      <c r="N332" s="5"/>
      <c r="O332" s="5"/>
      <c r="P332" s="5"/>
      <c r="Q332" s="5"/>
      <c r="R332" s="5"/>
      <c r="S332" s="5"/>
      <c r="Y332" s="155"/>
    </row>
    <row r="333" spans="9:25" s="23" customFormat="1" ht="10">
      <c r="I333" s="5"/>
      <c r="L333" s="5"/>
      <c r="M333" s="5"/>
      <c r="N333" s="5"/>
      <c r="O333" s="5"/>
      <c r="P333" s="5"/>
      <c r="Q333" s="5"/>
      <c r="R333" s="5"/>
      <c r="S333" s="5"/>
      <c r="Y333" s="155"/>
    </row>
    <row r="334" spans="9:25" s="23" customFormat="1" ht="10">
      <c r="I334" s="5"/>
      <c r="L334" s="5"/>
      <c r="M334" s="5"/>
      <c r="N334" s="5"/>
      <c r="O334" s="5"/>
      <c r="P334" s="5"/>
      <c r="Q334" s="5"/>
      <c r="R334" s="5"/>
      <c r="S334" s="5"/>
      <c r="Y334" s="155"/>
    </row>
    <row r="335" spans="9:25" s="23" customFormat="1" ht="10">
      <c r="I335" s="5"/>
      <c r="L335" s="5"/>
      <c r="M335" s="5"/>
      <c r="N335" s="5"/>
      <c r="O335" s="5"/>
      <c r="P335" s="5"/>
      <c r="Q335" s="5"/>
      <c r="R335" s="5"/>
      <c r="S335" s="5"/>
      <c r="Y335" s="155"/>
    </row>
    <row r="336" spans="9:25" s="23" customFormat="1" ht="10">
      <c r="I336" s="5"/>
      <c r="L336" s="5"/>
      <c r="M336" s="5"/>
      <c r="N336" s="5"/>
      <c r="O336" s="5"/>
      <c r="P336" s="5"/>
      <c r="Q336" s="5"/>
      <c r="R336" s="5"/>
      <c r="S336" s="5"/>
      <c r="Y336" s="155"/>
    </row>
    <row r="337" spans="7:25" s="23" customFormat="1" ht="11.25" customHeight="1">
      <c r="I337" s="5"/>
      <c r="L337" s="5"/>
      <c r="M337" s="5"/>
      <c r="N337" s="5"/>
      <c r="O337" s="5"/>
      <c r="P337" s="5"/>
      <c r="Q337" s="5"/>
      <c r="R337" s="5"/>
      <c r="S337" s="5"/>
      <c r="Y337" s="155"/>
    </row>
    <row r="338" spans="7:25" s="23" customFormat="1" ht="11.25" customHeight="1">
      <c r="I338" s="5"/>
      <c r="L338" s="5"/>
      <c r="M338" s="5"/>
      <c r="N338" s="5"/>
      <c r="O338" s="5"/>
      <c r="P338" s="5"/>
      <c r="Q338" s="5"/>
      <c r="R338" s="5"/>
      <c r="S338" s="5"/>
      <c r="Y338" s="155"/>
    </row>
    <row r="339" spans="7:25" s="23" customFormat="1" ht="11.25" customHeight="1">
      <c r="I339" s="5"/>
      <c r="L339" s="5"/>
      <c r="M339" s="5"/>
      <c r="N339" s="5"/>
      <c r="O339" s="5"/>
      <c r="P339" s="5"/>
      <c r="Q339" s="5"/>
      <c r="R339" s="5"/>
      <c r="S339" s="5"/>
      <c r="Y339" s="155"/>
    </row>
    <row r="340" spans="7:25" s="23" customFormat="1" ht="10">
      <c r="I340" s="5"/>
      <c r="L340" s="5"/>
      <c r="M340" s="5"/>
      <c r="N340" s="5"/>
      <c r="O340" s="5"/>
      <c r="P340" s="5"/>
      <c r="Q340" s="5"/>
      <c r="R340" s="5"/>
      <c r="S340" s="5"/>
      <c r="Y340" s="155"/>
    </row>
    <row r="341" spans="7:25" s="23" customFormat="1" ht="10">
      <c r="I341" s="5"/>
      <c r="L341" s="5"/>
      <c r="M341" s="5"/>
      <c r="N341" s="5"/>
      <c r="O341" s="5"/>
      <c r="P341" s="5"/>
      <c r="Q341" s="5"/>
      <c r="R341" s="5"/>
      <c r="S341" s="5"/>
      <c r="Y341" s="155"/>
    </row>
    <row r="342" spans="7:25" s="23" customFormat="1" ht="10">
      <c r="I342" s="5"/>
      <c r="L342" s="5"/>
      <c r="M342" s="5"/>
      <c r="N342" s="5"/>
      <c r="O342" s="5"/>
      <c r="P342" s="5"/>
      <c r="Q342" s="5"/>
      <c r="R342" s="5"/>
      <c r="S342" s="5"/>
      <c r="Y342" s="155"/>
    </row>
    <row r="343" spans="7:25" s="23" customFormat="1" ht="10">
      <c r="I343" s="5"/>
      <c r="L343" s="5"/>
      <c r="M343" s="5"/>
      <c r="N343" s="5"/>
      <c r="O343" s="5"/>
      <c r="P343" s="5"/>
      <c r="Q343" s="5"/>
      <c r="R343" s="5"/>
      <c r="S343" s="5"/>
      <c r="Y343" s="155"/>
    </row>
    <row r="344" spans="7:25" ht="11.25" customHeight="1">
      <c r="G344" s="21"/>
      <c r="K344" s="21"/>
      <c r="L344" s="5"/>
      <c r="O344" s="5"/>
    </row>
    <row r="345" spans="7:25" ht="11.25" customHeight="1">
      <c r="G345" s="21"/>
      <c r="K345" s="21"/>
      <c r="L345" s="5"/>
      <c r="O345" s="5"/>
    </row>
  </sheetData>
  <sheetProtection formatCells="0" formatColumns="0" insertColumns="0" insertRows="0"/>
  <phoneticPr fontId="0" type="noConversion"/>
  <conditionalFormatting sqref="A1">
    <cfRule type="duplicateValues" dxfId="56" priority="3"/>
  </conditionalFormatting>
  <conditionalFormatting sqref="A289:A293 A2:A142">
    <cfRule type="duplicateValues" dxfId="55" priority="4821"/>
  </conditionalFormatting>
  <conditionalFormatting sqref="M1:N170 M174:N217 M218:M222 M223:N226 M227:M233 M234:N234 M235 M236:N237 M238:M242 M243:N293">
    <cfRule type="cellIs" dxfId="54" priority="1" operator="equal">
      <formula>"No"</formula>
    </cfRule>
    <cfRule type="cellIs" dxfId="53" priority="2" operator="equal">
      <formula>"Yes"</formula>
    </cfRule>
  </conditionalFormatting>
  <conditionalFormatting sqref="N294:N1048576">
    <cfRule type="cellIs" dxfId="52" priority="10" operator="equal">
      <formula>"Yes"</formula>
    </cfRule>
    <cfRule type="cellIs" dxfId="51" priority="11" operator="equal">
      <formula>"No"</formula>
    </cfRule>
  </conditionalFormatting>
  <dataValidations count="1">
    <dataValidation allowBlank="1" showInputMessage="1" showErrorMessage="1" sqref="AX140:BE145 AV294:BA695 BB294:XFD899 BE143:XFD145 BF140:XFD142 R289 H128:H131 G132:H139 B180:G183 A1:N1 I2:N49 G2:I58 K51:L53 J129:J131 G132:J132 H59:N127 H128:J128 K128:N139 J133:J139 I128:I139 L171:N173 G59:G131 B174:N174 A2:F139 Z14:Z15 S33:U49 Q31:Q49 W50:X50 W24:Z49 W54:X58 AP51:AR53 Q53 AF51:AN53 AS50:AT58 AD50:AE58 O24:O27 AB51 W51:AA53 AC51:AC53 M50:N58 AA14:AT49 W87:AA87 AS90:AT107 AB90:AB103 V14:V49 U28:U30 W14:Y23 AC59:AT89 Q146:Q161 AU1:AU107 Q30:T30 Q21:U27 R31:U32 Q88:AA89 Q59:AA86 Q87:T87 Q51:V51 W167:X170 S146:T170 Q167:Q170 F167:F170 H167:N170 G167:G173 B167:E173 AS108:AU145 B146:N165 Q166:T166 Q99:T145 P21:P23 A166:N166 A140:N145 AC146:AU173 AB171 K289:N289 G251:I251 AB142:AB148 N1:O23 P1:AT13 P28:T29 P14:U20 P23:R23 N27:P30 AB166 W90:AA166 AX1:XFD139 W184:AL185 AB251:AB285 F290:F293 AG266:AR289 W286 X286:AC287 W288:AC289 AC180:AU183 Q180:AA183 Y167:AA173 AS266:AU293 G289:J293 A289:A293 S174:T179 W174:AU179 B175:F179 J175:N179 Q174:Q179 N180:N217 N222:N226 N234 F224:F240 F242 Q171:X173 AC90:AR145 G252:G288 N243:N288 AG258:AU265 AG186:AL257 AB209:AB242 N236:N237 W186:AA285 J180:M288 AX146:XFD293 AV1:AW293 AC186:AC285 Q184:Q289 S184:T289 AD186:AF293 B180:E293 G175:G250 AM184:AU257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" sqref="J1"/>
    </sheetView>
  </sheetViews>
  <sheetFormatPr defaultColWidth="9" defaultRowHeight="13"/>
  <cols>
    <col min="1" max="1" width="26.8984375" bestFit="1" customWidth="1"/>
    <col min="2" max="2" width="25.8984375" customWidth="1"/>
    <col min="3" max="3" width="18.09765625" bestFit="1" customWidth="1"/>
    <col min="4" max="4" width="30.09765625" customWidth="1"/>
    <col min="5" max="5" width="26.89843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0" t="s">
        <v>8176</v>
      </c>
      <c r="B1" s="221">
        <v>46261</v>
      </c>
    </row>
    <row r="3" spans="1:10" ht="35">
      <c r="B3" s="48" t="s">
        <v>8177</v>
      </c>
      <c r="C3" s="1021" t="s">
        <v>8178</v>
      </c>
      <c r="D3" s="48" t="s">
        <v>8179</v>
      </c>
      <c r="E3" s="1021" t="s">
        <v>8180</v>
      </c>
      <c r="F3" s="1021" t="s">
        <v>8181</v>
      </c>
      <c r="G3" s="1021" t="s">
        <v>8182</v>
      </c>
      <c r="H3" s="48" t="s">
        <v>8183</v>
      </c>
      <c r="I3" s="285" t="s">
        <v>8184</v>
      </c>
      <c r="J3" s="1136" t="s">
        <v>8185</v>
      </c>
    </row>
    <row r="4" spans="1:10" ht="14.5">
      <c r="B4" s="47" t="s">
        <v>8186</v>
      </c>
      <c r="C4" s="47" t="s">
        <v>8187</v>
      </c>
      <c r="D4" s="47" t="s">
        <v>8188</v>
      </c>
      <c r="E4" s="47"/>
      <c r="F4" s="47" t="s">
        <v>8189</v>
      </c>
      <c r="G4" s="195">
        <v>46305</v>
      </c>
      <c r="H4" s="47" t="s">
        <v>8190</v>
      </c>
      <c r="I4" s="47" t="s">
        <v>8191</v>
      </c>
      <c r="J4" s="47" t="s">
        <v>5903</v>
      </c>
    </row>
    <row r="5" spans="1:10" ht="14.5">
      <c r="B5" s="47" t="s">
        <v>8192</v>
      </c>
      <c r="C5" s="47" t="s">
        <v>8187</v>
      </c>
      <c r="D5" s="47" t="s">
        <v>8188</v>
      </c>
      <c r="E5" s="47"/>
      <c r="F5" s="47" t="s">
        <v>8189</v>
      </c>
      <c r="G5" s="195">
        <v>46276</v>
      </c>
      <c r="H5" s="47" t="s">
        <v>8190</v>
      </c>
      <c r="I5" s="47" t="s">
        <v>8191</v>
      </c>
      <c r="J5" s="47" t="s">
        <v>5901</v>
      </c>
    </row>
    <row r="6" spans="1:10" ht="14.5">
      <c r="B6" s="47" t="s">
        <v>5893</v>
      </c>
      <c r="C6" s="47" t="s">
        <v>8187</v>
      </c>
      <c r="D6" s="47" t="s">
        <v>8193</v>
      </c>
      <c r="E6" s="47"/>
      <c r="F6" s="47" t="s">
        <v>8189</v>
      </c>
      <c r="G6" s="195">
        <v>46276</v>
      </c>
      <c r="H6" s="47" t="s">
        <v>8190</v>
      </c>
      <c r="I6" s="47" t="s">
        <v>8191</v>
      </c>
      <c r="J6" s="47" t="s">
        <v>5890</v>
      </c>
    </row>
    <row r="7" spans="1:10" ht="14.5">
      <c r="B7" s="47" t="s">
        <v>6537</v>
      </c>
      <c r="C7" s="47" t="s">
        <v>64</v>
      </c>
      <c r="D7" s="47" t="s">
        <v>8194</v>
      </c>
      <c r="E7" s="47" t="s">
        <v>6535</v>
      </c>
      <c r="F7" s="47" t="s">
        <v>8189</v>
      </c>
      <c r="G7" s="195">
        <v>46329</v>
      </c>
      <c r="H7" s="47" t="s">
        <v>8195</v>
      </c>
      <c r="I7" s="47" t="s">
        <v>8191</v>
      </c>
      <c r="J7" s="47" t="s">
        <v>6535</v>
      </c>
    </row>
    <row r="8" spans="1:10" ht="14.5">
      <c r="B8" s="47" t="s">
        <v>6597</v>
      </c>
      <c r="C8" s="47" t="s">
        <v>64</v>
      </c>
      <c r="D8" s="47" t="s">
        <v>8196</v>
      </c>
      <c r="E8" s="47" t="s">
        <v>6596</v>
      </c>
      <c r="F8" s="47" t="s">
        <v>8189</v>
      </c>
      <c r="G8" s="195">
        <v>46342</v>
      </c>
      <c r="H8" s="47" t="s">
        <v>8195</v>
      </c>
      <c r="I8" s="47" t="s">
        <v>8191</v>
      </c>
      <c r="J8" s="47" t="s">
        <v>6596</v>
      </c>
    </row>
    <row r="9" spans="1:10" ht="14.5">
      <c r="B9" s="47" t="s">
        <v>6562</v>
      </c>
      <c r="C9" s="47" t="s">
        <v>64</v>
      </c>
      <c r="D9" s="47" t="s">
        <v>8197</v>
      </c>
      <c r="E9" s="47" t="s">
        <v>6561</v>
      </c>
      <c r="F9" s="47" t="s">
        <v>8189</v>
      </c>
      <c r="G9" s="195">
        <v>46314</v>
      </c>
      <c r="H9" s="47" t="s">
        <v>8195</v>
      </c>
      <c r="I9" s="47" t="s">
        <v>8191</v>
      </c>
      <c r="J9" s="47" t="s">
        <v>6561</v>
      </c>
    </row>
    <row r="10" spans="1:10" ht="14.5">
      <c r="B10" s="47" t="s">
        <v>6330</v>
      </c>
      <c r="C10" s="47" t="s">
        <v>64</v>
      </c>
      <c r="D10" s="47" t="s">
        <v>8198</v>
      </c>
      <c r="E10" s="47" t="s">
        <v>6328</v>
      </c>
      <c r="F10" s="47" t="s">
        <v>8189</v>
      </c>
      <c r="G10" s="195">
        <v>46314</v>
      </c>
      <c r="H10" s="47" t="s">
        <v>8195</v>
      </c>
      <c r="I10" s="47" t="s">
        <v>8191</v>
      </c>
      <c r="J10" s="47" t="s">
        <v>6328</v>
      </c>
    </row>
    <row r="11" spans="1:10" ht="14.5">
      <c r="B11" s="47" t="s">
        <v>6324</v>
      </c>
      <c r="C11" s="47" t="s">
        <v>8187</v>
      </c>
      <c r="D11" s="47" t="s">
        <v>8199</v>
      </c>
      <c r="E11" s="47" t="s">
        <v>6320</v>
      </c>
      <c r="F11" s="47" t="s">
        <v>8189</v>
      </c>
      <c r="G11" s="195">
        <v>46307</v>
      </c>
      <c r="H11" s="47" t="s">
        <v>8190</v>
      </c>
      <c r="I11" s="47" t="s">
        <v>8191</v>
      </c>
      <c r="J11" s="47" t="s">
        <v>6320</v>
      </c>
    </row>
    <row r="12" spans="1:10" ht="14.5">
      <c r="B12" s="47" t="s">
        <v>6592</v>
      </c>
      <c r="C12" s="47" t="s">
        <v>64</v>
      </c>
      <c r="D12" s="47" t="s">
        <v>8200</v>
      </c>
      <c r="E12" s="47" t="s">
        <v>6591</v>
      </c>
      <c r="F12" s="47" t="s">
        <v>8189</v>
      </c>
      <c r="G12" s="195">
        <v>46342</v>
      </c>
      <c r="H12" s="47" t="s">
        <v>8195</v>
      </c>
      <c r="I12" s="47" t="s">
        <v>8191</v>
      </c>
      <c r="J12" s="47" t="s">
        <v>6591</v>
      </c>
    </row>
    <row r="13" spans="1:10" ht="14.5">
      <c r="B13" s="47" t="s">
        <v>6584</v>
      </c>
      <c r="C13" s="47" t="s">
        <v>64</v>
      </c>
      <c r="D13" s="47" t="s">
        <v>8201</v>
      </c>
      <c r="E13" s="47" t="s">
        <v>6582</v>
      </c>
      <c r="F13" s="47" t="s">
        <v>8189</v>
      </c>
      <c r="G13" s="195">
        <v>46343</v>
      </c>
      <c r="H13" s="47" t="s">
        <v>8195</v>
      </c>
      <c r="I13" s="47" t="s">
        <v>8191</v>
      </c>
      <c r="J13" s="47" t="s">
        <v>6582</v>
      </c>
    </row>
    <row r="14" spans="1:10" ht="14.5">
      <c r="B14" s="47" t="s">
        <v>6588</v>
      </c>
      <c r="C14" s="47" t="s">
        <v>64</v>
      </c>
      <c r="D14" s="47" t="s">
        <v>8202</v>
      </c>
      <c r="E14" s="47" t="s">
        <v>6587</v>
      </c>
      <c r="F14" s="47" t="s">
        <v>8189</v>
      </c>
      <c r="G14" s="195">
        <v>46346</v>
      </c>
      <c r="H14" s="47" t="s">
        <v>8195</v>
      </c>
      <c r="I14" s="47" t="s">
        <v>8191</v>
      </c>
      <c r="J14" s="47" t="s">
        <v>6587</v>
      </c>
    </row>
    <row r="15" spans="1:10" ht="14.5">
      <c r="B15" s="47" t="s">
        <v>6532</v>
      </c>
      <c r="C15" s="47" t="s">
        <v>64</v>
      </c>
      <c r="D15" s="47" t="s">
        <v>8203</v>
      </c>
      <c r="E15" s="47" t="s">
        <v>6531</v>
      </c>
      <c r="F15" s="47" t="s">
        <v>8189</v>
      </c>
      <c r="G15" s="195">
        <v>46329</v>
      </c>
      <c r="H15" s="47" t="s">
        <v>8195</v>
      </c>
      <c r="I15" s="47" t="s">
        <v>8191</v>
      </c>
      <c r="J15" s="47" t="s">
        <v>6531</v>
      </c>
    </row>
    <row r="16" spans="1:10" ht="14.5">
      <c r="B16" s="47" t="s">
        <v>6509</v>
      </c>
      <c r="C16" s="47" t="s">
        <v>8187</v>
      </c>
      <c r="D16" s="47" t="s">
        <v>8204</v>
      </c>
      <c r="E16" s="47" t="s">
        <v>6506</v>
      </c>
      <c r="F16" s="47" t="s">
        <v>8189</v>
      </c>
      <c r="G16" s="195">
        <v>46314</v>
      </c>
      <c r="H16" s="47" t="s">
        <v>8190</v>
      </c>
      <c r="I16" s="47" t="s">
        <v>8191</v>
      </c>
      <c r="J16" s="47" t="s">
        <v>6506</v>
      </c>
    </row>
    <row r="17" spans="2:10" ht="14.5">
      <c r="B17" s="47" t="s">
        <v>6341</v>
      </c>
      <c r="C17" s="47" t="s">
        <v>8187</v>
      </c>
      <c r="D17" s="47" t="s">
        <v>8205</v>
      </c>
      <c r="E17" s="47" t="s">
        <v>6337</v>
      </c>
      <c r="F17" s="47" t="s">
        <v>8189</v>
      </c>
      <c r="G17" s="195">
        <v>46311</v>
      </c>
      <c r="H17" s="47" t="s">
        <v>8190</v>
      </c>
      <c r="I17" s="47" t="s">
        <v>8191</v>
      </c>
      <c r="J17" s="47" t="s">
        <v>6337</v>
      </c>
    </row>
    <row r="18" spans="2:10" ht="14.5">
      <c r="B18" s="47" t="s">
        <v>6577</v>
      </c>
      <c r="C18" s="47" t="s">
        <v>64</v>
      </c>
      <c r="D18" s="47" t="s">
        <v>8206</v>
      </c>
      <c r="E18" s="47" t="s">
        <v>6576</v>
      </c>
      <c r="F18" s="47" t="s">
        <v>8189</v>
      </c>
      <c r="G18" s="195">
        <v>46321</v>
      </c>
      <c r="H18" s="47" t="s">
        <v>8195</v>
      </c>
      <c r="I18" s="47" t="s">
        <v>8191</v>
      </c>
      <c r="J18" s="47" t="s">
        <v>6576</v>
      </c>
    </row>
    <row r="19" spans="2:10" ht="14.5">
      <c r="B19" s="1027" t="s">
        <v>6567</v>
      </c>
      <c r="C19" s="1027" t="s">
        <v>64</v>
      </c>
      <c r="D19" s="1027" t="s">
        <v>8207</v>
      </c>
      <c r="E19" s="1027" t="s">
        <v>6566</v>
      </c>
      <c r="F19" s="1027" t="s">
        <v>8189</v>
      </c>
      <c r="G19" s="1028">
        <v>46317</v>
      </c>
      <c r="H19" s="1027" t="s">
        <v>8195</v>
      </c>
      <c r="I19" s="1027" t="s">
        <v>8191</v>
      </c>
      <c r="J19" s="1027" t="s">
        <v>6566</v>
      </c>
    </row>
    <row r="20" spans="2:10" ht="14.5">
      <c r="B20" s="47" t="s">
        <v>6572</v>
      </c>
      <c r="C20" s="47" t="s">
        <v>64</v>
      </c>
      <c r="D20" s="47" t="s">
        <v>8208</v>
      </c>
      <c r="E20" s="47" t="s">
        <v>6571</v>
      </c>
      <c r="F20" s="47" t="s">
        <v>8189</v>
      </c>
      <c r="G20" s="195">
        <v>46321</v>
      </c>
      <c r="H20" s="47" t="s">
        <v>8195</v>
      </c>
      <c r="I20" s="47" t="s">
        <v>8191</v>
      </c>
      <c r="J20" s="47" t="s">
        <v>6571</v>
      </c>
    </row>
    <row r="21" spans="2:10" ht="14.5">
      <c r="B21" s="47" t="s">
        <v>6539</v>
      </c>
      <c r="C21" s="47" t="s">
        <v>64</v>
      </c>
      <c r="D21" s="47" t="s">
        <v>8209</v>
      </c>
      <c r="E21" s="47" t="s">
        <v>6538</v>
      </c>
      <c r="F21" s="47" t="s">
        <v>8189</v>
      </c>
      <c r="G21" s="195">
        <v>46311</v>
      </c>
      <c r="H21" s="47" t="s">
        <v>8195</v>
      </c>
      <c r="I21" s="47" t="s">
        <v>8191</v>
      </c>
      <c r="J21" s="47" t="s">
        <v>6538</v>
      </c>
    </row>
    <row r="22" spans="2:10" ht="14.5">
      <c r="B22" s="47" t="s">
        <v>6519</v>
      </c>
      <c r="C22" s="47" t="s">
        <v>64</v>
      </c>
      <c r="D22" s="47" t="s">
        <v>8210</v>
      </c>
      <c r="E22" s="47" t="s">
        <v>6518</v>
      </c>
      <c r="F22" s="47" t="s">
        <v>8189</v>
      </c>
      <c r="G22" s="195">
        <v>46317</v>
      </c>
      <c r="H22" s="47" t="s">
        <v>8195</v>
      </c>
      <c r="I22" s="47" t="s">
        <v>8191</v>
      </c>
      <c r="J22" s="47" t="s">
        <v>6518</v>
      </c>
    </row>
    <row r="23" spans="2:10" ht="14.5">
      <c r="B23" s="47" t="s">
        <v>6444</v>
      </c>
      <c r="C23" s="47" t="s">
        <v>64</v>
      </c>
      <c r="D23" s="47" t="s">
        <v>8211</v>
      </c>
      <c r="E23" s="47" t="s">
        <v>6443</v>
      </c>
      <c r="F23" s="47" t="s">
        <v>8189</v>
      </c>
      <c r="G23" s="195">
        <v>46314</v>
      </c>
      <c r="H23" s="47" t="s">
        <v>8195</v>
      </c>
      <c r="I23" s="47" t="s">
        <v>8191</v>
      </c>
      <c r="J23" s="47" t="s">
        <v>6443</v>
      </c>
    </row>
    <row r="24" spans="2:10" ht="14.5">
      <c r="B24" s="47" t="s">
        <v>6373</v>
      </c>
      <c r="C24" s="47" t="s">
        <v>8187</v>
      </c>
      <c r="D24" s="47" t="s">
        <v>8212</v>
      </c>
      <c r="E24" s="47" t="s">
        <v>6372</v>
      </c>
      <c r="F24" s="47" t="s">
        <v>8189</v>
      </c>
      <c r="G24" s="195">
        <v>46304</v>
      </c>
      <c r="H24" s="47" t="s">
        <v>8190</v>
      </c>
      <c r="I24" s="47" t="s">
        <v>8191</v>
      </c>
      <c r="J24" s="47" t="s">
        <v>6372</v>
      </c>
    </row>
    <row r="25" spans="2:10" ht="14.5">
      <c r="B25" s="47" t="s">
        <v>6556</v>
      </c>
      <c r="C25" s="47" t="s">
        <v>8187</v>
      </c>
      <c r="D25" s="47" t="s">
        <v>8213</v>
      </c>
      <c r="E25" s="47" t="s">
        <v>6555</v>
      </c>
      <c r="F25" s="47" t="s">
        <v>8189</v>
      </c>
      <c r="G25" s="195">
        <v>46309</v>
      </c>
      <c r="H25" s="47" t="s">
        <v>8190</v>
      </c>
      <c r="I25" s="47" t="s">
        <v>8191</v>
      </c>
      <c r="J25" s="47" t="s">
        <v>6555</v>
      </c>
    </row>
    <row r="26" spans="2:10" ht="14.5">
      <c r="B26" s="47" t="s">
        <v>6448</v>
      </c>
      <c r="C26" s="47" t="s">
        <v>64</v>
      </c>
      <c r="D26" s="47" t="s">
        <v>8214</v>
      </c>
      <c r="E26" s="47" t="s">
        <v>6447</v>
      </c>
      <c r="F26" s="47" t="s">
        <v>8189</v>
      </c>
      <c r="G26" s="195">
        <v>46311</v>
      </c>
      <c r="H26" s="47" t="s">
        <v>8195</v>
      </c>
      <c r="I26" s="47" t="s">
        <v>8191</v>
      </c>
      <c r="J26" s="47" t="s">
        <v>6447</v>
      </c>
    </row>
    <row r="27" spans="2:10" ht="14.25" customHeight="1">
      <c r="B27" s="47" t="s">
        <v>6515</v>
      </c>
      <c r="C27" s="47" t="s">
        <v>64</v>
      </c>
      <c r="D27" s="47" t="s">
        <v>8215</v>
      </c>
      <c r="E27" s="47" t="s">
        <v>6514</v>
      </c>
      <c r="F27" s="47" t="s">
        <v>8189</v>
      </c>
      <c r="G27" s="195">
        <v>46329</v>
      </c>
      <c r="H27" s="47" t="s">
        <v>8195</v>
      </c>
      <c r="I27" s="47" t="s">
        <v>8191</v>
      </c>
      <c r="J27" s="47" t="s">
        <v>6514</v>
      </c>
    </row>
    <row r="28" spans="2:10" ht="14.5">
      <c r="B28" s="47" t="s">
        <v>6055</v>
      </c>
      <c r="C28" s="47" t="s">
        <v>8187</v>
      </c>
      <c r="D28" s="47" t="s">
        <v>8216</v>
      </c>
      <c r="E28" s="47"/>
      <c r="F28" s="47" t="s">
        <v>8189</v>
      </c>
      <c r="G28" s="195">
        <v>46300</v>
      </c>
      <c r="H28" s="47" t="s">
        <v>8190</v>
      </c>
      <c r="I28" s="47" t="s">
        <v>8191</v>
      </c>
      <c r="J28" s="47" t="s">
        <v>8217</v>
      </c>
    </row>
    <row r="29" spans="2:10" ht="14.5">
      <c r="B29" s="47" t="s">
        <v>6276</v>
      </c>
      <c r="C29" s="47" t="s">
        <v>8187</v>
      </c>
      <c r="D29" s="47" t="s">
        <v>8218</v>
      </c>
      <c r="E29" s="47" t="s">
        <v>6274</v>
      </c>
      <c r="F29" s="47" t="s">
        <v>8189</v>
      </c>
      <c r="G29" s="195">
        <v>46304</v>
      </c>
      <c r="H29" s="47" t="s">
        <v>8190</v>
      </c>
      <c r="I29" s="47" t="s">
        <v>8191</v>
      </c>
      <c r="J29" s="47" t="s">
        <v>6274</v>
      </c>
    </row>
    <row r="30" spans="2:10" ht="14.5">
      <c r="B30" s="47" t="s">
        <v>6462</v>
      </c>
      <c r="C30" s="47" t="s">
        <v>8187</v>
      </c>
      <c r="D30" s="47" t="s">
        <v>8219</v>
      </c>
      <c r="E30" s="47" t="s">
        <v>6460</v>
      </c>
      <c r="F30" s="47" t="s">
        <v>8189</v>
      </c>
      <c r="G30" s="195">
        <v>46302</v>
      </c>
      <c r="H30" s="47" t="s">
        <v>8190</v>
      </c>
      <c r="I30" s="47" t="s">
        <v>8191</v>
      </c>
      <c r="J30" s="47" t="s">
        <v>6460</v>
      </c>
    </row>
    <row r="31" spans="2:10" ht="14.5">
      <c r="B31" s="47" t="s">
        <v>6485</v>
      </c>
      <c r="C31" s="47" t="s">
        <v>8187</v>
      </c>
      <c r="D31" s="47" t="s">
        <v>8220</v>
      </c>
      <c r="E31" s="47" t="s">
        <v>6482</v>
      </c>
      <c r="F31" s="47" t="s">
        <v>8189</v>
      </c>
      <c r="G31" s="195">
        <v>46305</v>
      </c>
      <c r="H31" s="47" t="s">
        <v>8190</v>
      </c>
      <c r="I31" s="47" t="s">
        <v>8191</v>
      </c>
      <c r="J31" s="47" t="s">
        <v>6482</v>
      </c>
    </row>
    <row r="32" spans="2:10" ht="14.5">
      <c r="B32" s="47" t="s">
        <v>6478</v>
      </c>
      <c r="C32" s="47" t="s">
        <v>8187</v>
      </c>
      <c r="D32" s="47" t="s">
        <v>8221</v>
      </c>
      <c r="E32" s="47" t="s">
        <v>6477</v>
      </c>
      <c r="F32" s="47" t="s">
        <v>8189</v>
      </c>
      <c r="G32" s="195">
        <v>46305</v>
      </c>
      <c r="H32" s="47" t="s">
        <v>8190</v>
      </c>
      <c r="I32" s="47" t="s">
        <v>8191</v>
      </c>
      <c r="J32" s="47" t="s">
        <v>6477</v>
      </c>
    </row>
    <row r="33" spans="2:10" ht="14.5">
      <c r="B33" s="47" t="s">
        <v>6474</v>
      </c>
      <c r="C33" s="47" t="s">
        <v>8187</v>
      </c>
      <c r="D33" s="47" t="s">
        <v>8222</v>
      </c>
      <c r="E33" s="47" t="s">
        <v>6473</v>
      </c>
      <c r="F33" s="47" t="s">
        <v>8189</v>
      </c>
      <c r="G33" s="195">
        <v>46305</v>
      </c>
      <c r="H33" s="47" t="s">
        <v>8190</v>
      </c>
      <c r="I33" s="47" t="s">
        <v>8191</v>
      </c>
      <c r="J33" s="47" t="s">
        <v>6473</v>
      </c>
    </row>
    <row r="34" spans="2:10" ht="14.5">
      <c r="B34" s="47" t="s">
        <v>6471</v>
      </c>
      <c r="C34" s="47" t="s">
        <v>8187</v>
      </c>
      <c r="D34" s="47" t="s">
        <v>8223</v>
      </c>
      <c r="E34" s="47" t="s">
        <v>6470</v>
      </c>
      <c r="F34" s="47" t="s">
        <v>8189</v>
      </c>
      <c r="G34" s="195">
        <v>46305</v>
      </c>
      <c r="H34" s="47" t="s">
        <v>8190</v>
      </c>
      <c r="I34" s="47" t="s">
        <v>8191</v>
      </c>
      <c r="J34" s="47" t="s">
        <v>6470</v>
      </c>
    </row>
    <row r="35" spans="2:10" ht="14.5">
      <c r="B35" s="47" t="s">
        <v>6466</v>
      </c>
      <c r="C35" s="47" t="s">
        <v>8187</v>
      </c>
      <c r="D35" s="47" t="s">
        <v>8224</v>
      </c>
      <c r="E35" s="47" t="s">
        <v>6465</v>
      </c>
      <c r="F35" s="47" t="s">
        <v>8189</v>
      </c>
      <c r="G35" s="195">
        <v>46305</v>
      </c>
      <c r="H35" s="47" t="s">
        <v>8190</v>
      </c>
      <c r="I35" s="47" t="s">
        <v>8191</v>
      </c>
      <c r="J35" s="47" t="s">
        <v>6465</v>
      </c>
    </row>
    <row r="36" spans="2:10" ht="14.5">
      <c r="B36" s="47" t="s">
        <v>6457</v>
      </c>
      <c r="C36" s="47" t="s">
        <v>8187</v>
      </c>
      <c r="D36" s="47" t="s">
        <v>8225</v>
      </c>
      <c r="E36" s="47" t="s">
        <v>6456</v>
      </c>
      <c r="F36" s="47" t="s">
        <v>8189</v>
      </c>
      <c r="G36" s="195">
        <v>46303</v>
      </c>
      <c r="H36" s="47" t="s">
        <v>8190</v>
      </c>
      <c r="I36" s="47" t="s">
        <v>8191</v>
      </c>
      <c r="J36" s="47" t="s">
        <v>6456</v>
      </c>
    </row>
    <row r="37" spans="2:10" ht="14.5">
      <c r="B37" s="47" t="s">
        <v>6453</v>
      </c>
      <c r="C37" s="47" t="s">
        <v>8187</v>
      </c>
      <c r="D37" s="47" t="s">
        <v>8226</v>
      </c>
      <c r="E37" s="47" t="s">
        <v>6452</v>
      </c>
      <c r="F37" s="47" t="s">
        <v>8189</v>
      </c>
      <c r="G37" s="195">
        <v>46305</v>
      </c>
      <c r="H37" s="47" t="s">
        <v>8190</v>
      </c>
      <c r="I37" s="47" t="s">
        <v>8191</v>
      </c>
      <c r="J37" s="47" t="s">
        <v>6452</v>
      </c>
    </row>
    <row r="38" spans="2:10" ht="14.5">
      <c r="B38" s="47" t="s">
        <v>6439</v>
      </c>
      <c r="C38" s="47" t="s">
        <v>8187</v>
      </c>
      <c r="D38" s="47" t="s">
        <v>8227</v>
      </c>
      <c r="E38" s="47" t="s">
        <v>6436</v>
      </c>
      <c r="F38" s="47" t="s">
        <v>8189</v>
      </c>
      <c r="G38" s="195">
        <v>46313</v>
      </c>
      <c r="H38" s="47" t="s">
        <v>8190</v>
      </c>
      <c r="I38" s="47" t="s">
        <v>8191</v>
      </c>
      <c r="J38" s="47" t="s">
        <v>6436</v>
      </c>
    </row>
    <row r="39" spans="2:10" ht="14.5">
      <c r="B39" s="47" t="s">
        <v>6283</v>
      </c>
      <c r="C39" s="47" t="s">
        <v>64</v>
      </c>
      <c r="D39" s="47" t="s">
        <v>8228</v>
      </c>
      <c r="E39" s="47" t="s">
        <v>6280</v>
      </c>
      <c r="F39" s="47" t="s">
        <v>8189</v>
      </c>
      <c r="G39" s="195">
        <v>46310</v>
      </c>
      <c r="H39" s="47" t="s">
        <v>8195</v>
      </c>
      <c r="I39" s="47" t="s">
        <v>8191</v>
      </c>
      <c r="J39" s="47" t="s">
        <v>6280</v>
      </c>
    </row>
    <row r="40" spans="2:10" ht="14.5">
      <c r="B40" s="47" t="s">
        <v>6082</v>
      </c>
      <c r="C40" s="47" t="s">
        <v>64</v>
      </c>
      <c r="D40" s="47" t="s">
        <v>8229</v>
      </c>
      <c r="E40" s="47" t="s">
        <v>6081</v>
      </c>
      <c r="F40" s="47" t="s">
        <v>8189</v>
      </c>
      <c r="G40" s="195">
        <v>46310</v>
      </c>
      <c r="H40" s="47" t="s">
        <v>8195</v>
      </c>
      <c r="I40" s="47" t="s">
        <v>8191</v>
      </c>
      <c r="J40" s="47" t="s">
        <v>6081</v>
      </c>
    </row>
    <row r="41" spans="2:10" ht="14.5">
      <c r="B41" s="47" t="s">
        <v>6579</v>
      </c>
      <c r="C41" s="47" t="s">
        <v>8187</v>
      </c>
      <c r="D41" s="47" t="s">
        <v>8230</v>
      </c>
      <c r="E41" s="47" t="s">
        <v>6578</v>
      </c>
      <c r="F41" s="47" t="s">
        <v>8189</v>
      </c>
      <c r="G41" s="195">
        <v>46323</v>
      </c>
      <c r="H41" s="47" t="s">
        <v>8190</v>
      </c>
      <c r="I41" s="47" t="s">
        <v>8191</v>
      </c>
      <c r="J41" s="47"/>
    </row>
    <row r="42" spans="2:10" ht="14.5">
      <c r="B42" s="47" t="s">
        <v>6487</v>
      </c>
      <c r="C42" s="47" t="s">
        <v>64</v>
      </c>
      <c r="D42" s="47" t="s">
        <v>8231</v>
      </c>
      <c r="E42" s="47" t="s">
        <v>6486</v>
      </c>
      <c r="F42" s="47" t="s">
        <v>8189</v>
      </c>
      <c r="G42" s="195">
        <v>46312</v>
      </c>
      <c r="H42" s="47" t="s">
        <v>8195</v>
      </c>
      <c r="I42" s="47" t="s">
        <v>8191</v>
      </c>
      <c r="J42" s="47" t="s">
        <v>6486</v>
      </c>
    </row>
    <row r="43" spans="2:10" ht="14.5">
      <c r="B43" s="47" t="s">
        <v>6286</v>
      </c>
      <c r="C43" s="47" t="s">
        <v>64</v>
      </c>
      <c r="D43" s="47" t="s">
        <v>8232</v>
      </c>
      <c r="E43" s="47" t="s">
        <v>6285</v>
      </c>
      <c r="F43" s="47" t="s">
        <v>8189</v>
      </c>
      <c r="G43" s="195">
        <v>46310</v>
      </c>
      <c r="H43" s="47" t="s">
        <v>8195</v>
      </c>
      <c r="I43" s="47" t="s">
        <v>8191</v>
      </c>
      <c r="J43" s="47" t="s">
        <v>6285</v>
      </c>
    </row>
    <row r="44" spans="2:10" ht="14.5">
      <c r="B44" s="47" t="s">
        <v>6086</v>
      </c>
      <c r="C44" s="47" t="s">
        <v>64</v>
      </c>
      <c r="D44" s="47" t="s">
        <v>8233</v>
      </c>
      <c r="E44" s="47" t="s">
        <v>6085</v>
      </c>
      <c r="F44" s="47" t="s">
        <v>8189</v>
      </c>
      <c r="G44" s="195">
        <v>46310</v>
      </c>
      <c r="H44" s="47" t="s">
        <v>8195</v>
      </c>
      <c r="I44" s="47" t="s">
        <v>8191</v>
      </c>
      <c r="J44" s="47" t="s">
        <v>6085</v>
      </c>
    </row>
    <row r="45" spans="2:10" ht="14.5">
      <c r="B45" s="47" t="s">
        <v>7908</v>
      </c>
      <c r="C45" s="47" t="s">
        <v>64</v>
      </c>
      <c r="D45" s="47" t="s">
        <v>8234</v>
      </c>
      <c r="E45" s="47" t="s">
        <v>8235</v>
      </c>
      <c r="F45" s="47" t="s">
        <v>8236</v>
      </c>
      <c r="G45" s="195">
        <v>46312</v>
      </c>
      <c r="H45" s="47" t="s">
        <v>8195</v>
      </c>
      <c r="I45" s="47" t="s">
        <v>8191</v>
      </c>
      <c r="J45" s="47" t="s">
        <v>7901</v>
      </c>
    </row>
    <row r="46" spans="2:10" ht="14.5">
      <c r="B46" s="47" t="s">
        <v>7841</v>
      </c>
      <c r="C46" s="47" t="s">
        <v>64</v>
      </c>
      <c r="D46" s="47" t="s">
        <v>8237</v>
      </c>
      <c r="E46" s="47" t="s">
        <v>8238</v>
      </c>
      <c r="F46" s="47" t="s">
        <v>8236</v>
      </c>
      <c r="G46" s="195">
        <v>46310</v>
      </c>
      <c r="H46" s="47" t="s">
        <v>8195</v>
      </c>
      <c r="I46" s="47" t="s">
        <v>8191</v>
      </c>
      <c r="J46" s="47" t="s">
        <v>8239</v>
      </c>
    </row>
    <row r="47" spans="2:10" ht="14.5">
      <c r="B47" s="47" t="s">
        <v>8240</v>
      </c>
      <c r="C47" s="47" t="s">
        <v>64</v>
      </c>
      <c r="D47" s="47" t="s">
        <v>8241</v>
      </c>
      <c r="E47" s="47" t="s">
        <v>8242</v>
      </c>
      <c r="F47" s="47" t="s">
        <v>8189</v>
      </c>
      <c r="G47" s="195">
        <v>46269</v>
      </c>
      <c r="H47" s="47" t="s">
        <v>8190</v>
      </c>
      <c r="I47" s="47" t="s">
        <v>8191</v>
      </c>
      <c r="J47" s="47" t="s">
        <v>8243</v>
      </c>
    </row>
    <row r="48" spans="2:10" ht="14.5">
      <c r="B48" s="47" t="s">
        <v>7852</v>
      </c>
      <c r="C48" s="47" t="s">
        <v>64</v>
      </c>
      <c r="D48" s="47" t="s">
        <v>8244</v>
      </c>
      <c r="E48" s="47" t="s">
        <v>8245</v>
      </c>
      <c r="F48" s="47" t="s">
        <v>8236</v>
      </c>
      <c r="G48" s="195">
        <v>46317</v>
      </c>
      <c r="H48" s="47" t="s">
        <v>8195</v>
      </c>
      <c r="I48" s="47" t="s">
        <v>8191</v>
      </c>
      <c r="J48" s="47" t="s">
        <v>8246</v>
      </c>
    </row>
    <row r="49" spans="2:10" ht="14.5">
      <c r="B49" s="47" t="s">
        <v>7866</v>
      </c>
      <c r="C49" s="47" t="s">
        <v>64</v>
      </c>
      <c r="D49" s="47" t="s">
        <v>8247</v>
      </c>
      <c r="E49" s="47" t="s">
        <v>8248</v>
      </c>
      <c r="F49" s="47" t="s">
        <v>8236</v>
      </c>
      <c r="G49" s="195">
        <v>46322</v>
      </c>
      <c r="H49" s="47" t="s">
        <v>8195</v>
      </c>
      <c r="I49" s="47" t="s">
        <v>8191</v>
      </c>
      <c r="J49" s="47" t="s">
        <v>8249</v>
      </c>
    </row>
    <row r="50" spans="2:10" ht="14.5">
      <c r="B50" s="47" t="s">
        <v>7837</v>
      </c>
      <c r="C50" s="47" t="s">
        <v>64</v>
      </c>
      <c r="D50" s="47" t="s">
        <v>8250</v>
      </c>
      <c r="E50" s="47" t="s">
        <v>8251</v>
      </c>
      <c r="F50" s="47" t="s">
        <v>8236</v>
      </c>
      <c r="G50" s="195">
        <v>46310</v>
      </c>
      <c r="H50" s="47" t="s">
        <v>8195</v>
      </c>
      <c r="I50" s="47" t="s">
        <v>8191</v>
      </c>
      <c r="J50" s="47" t="s">
        <v>7834</v>
      </c>
    </row>
    <row r="51" spans="2:10" ht="14.5">
      <c r="B51" s="47" t="s">
        <v>6355</v>
      </c>
      <c r="C51" s="47" t="s">
        <v>8187</v>
      </c>
      <c r="D51" s="47" t="s">
        <v>8252</v>
      </c>
      <c r="E51" s="47" t="s">
        <v>6354</v>
      </c>
      <c r="F51" s="47" t="s">
        <v>8189</v>
      </c>
      <c r="G51" s="195">
        <v>46296</v>
      </c>
      <c r="H51" s="47" t="s">
        <v>8190</v>
      </c>
      <c r="I51" s="47" t="s">
        <v>8191</v>
      </c>
      <c r="J51" s="47" t="s">
        <v>6354</v>
      </c>
    </row>
    <row r="52" spans="2:10" ht="14.5">
      <c r="B52" s="47" t="s">
        <v>6364</v>
      </c>
      <c r="C52" s="47" t="s">
        <v>8187</v>
      </c>
      <c r="D52" s="47" t="s">
        <v>8253</v>
      </c>
      <c r="E52" s="47" t="s">
        <v>6363</v>
      </c>
      <c r="F52" s="47" t="s">
        <v>8189</v>
      </c>
      <c r="G52" s="195">
        <v>46296</v>
      </c>
      <c r="H52" s="47" t="s">
        <v>8190</v>
      </c>
      <c r="I52" s="47" t="s">
        <v>8191</v>
      </c>
      <c r="J52" s="47" t="s">
        <v>6363</v>
      </c>
    </row>
    <row r="53" spans="2:10" ht="14.5">
      <c r="B53" s="47" t="s">
        <v>6369</v>
      </c>
      <c r="C53" s="47" t="s">
        <v>8187</v>
      </c>
      <c r="D53" s="47" t="s">
        <v>8254</v>
      </c>
      <c r="E53" s="47" t="s">
        <v>6368</v>
      </c>
      <c r="F53" s="47" t="s">
        <v>8189</v>
      </c>
      <c r="G53" s="195">
        <v>46296</v>
      </c>
      <c r="H53" s="47" t="s">
        <v>8190</v>
      </c>
      <c r="I53" s="47" t="s">
        <v>8191</v>
      </c>
      <c r="J53" s="47" t="s">
        <v>6368</v>
      </c>
    </row>
    <row r="54" spans="2:10" ht="14.5">
      <c r="B54" s="47" t="s">
        <v>6360</v>
      </c>
      <c r="C54" s="47" t="s">
        <v>8187</v>
      </c>
      <c r="D54" s="47" t="s">
        <v>8255</v>
      </c>
      <c r="E54" s="47" t="s">
        <v>6359</v>
      </c>
      <c r="F54" s="47" t="s">
        <v>8189</v>
      </c>
      <c r="G54" s="195">
        <v>46297</v>
      </c>
      <c r="H54" s="47" t="s">
        <v>8190</v>
      </c>
      <c r="I54" s="47" t="s">
        <v>8191</v>
      </c>
      <c r="J54" s="47" t="s">
        <v>6359</v>
      </c>
    </row>
    <row r="55" spans="2:10" ht="14.5">
      <c r="B55" s="47" t="s">
        <v>6203</v>
      </c>
      <c r="C55" s="47" t="s">
        <v>8187</v>
      </c>
      <c r="D55" s="47" t="s">
        <v>8256</v>
      </c>
      <c r="E55" s="47" t="s">
        <v>6199</v>
      </c>
      <c r="F55" s="47" t="s">
        <v>8189</v>
      </c>
      <c r="G55" s="195">
        <v>46304</v>
      </c>
      <c r="H55" s="47" t="s">
        <v>8190</v>
      </c>
      <c r="I55" s="47" t="s">
        <v>8191</v>
      </c>
      <c r="J55" s="47" t="s">
        <v>6199</v>
      </c>
    </row>
    <row r="56" spans="2:10" ht="14.5">
      <c r="B56" s="47" t="s">
        <v>6417</v>
      </c>
      <c r="C56" s="47" t="s">
        <v>64</v>
      </c>
      <c r="D56" s="47" t="s">
        <v>8257</v>
      </c>
      <c r="E56" s="47" t="s">
        <v>6414</v>
      </c>
      <c r="F56" s="47" t="s">
        <v>8189</v>
      </c>
      <c r="G56" s="195">
        <v>46328</v>
      </c>
      <c r="H56" s="47" t="s">
        <v>8195</v>
      </c>
      <c r="I56" s="47" t="s">
        <v>8191</v>
      </c>
      <c r="J56" s="47" t="s">
        <v>6414</v>
      </c>
    </row>
    <row r="57" spans="2:10" ht="14.5">
      <c r="B57" s="47" t="s">
        <v>6079</v>
      </c>
      <c r="C57" s="47" t="s">
        <v>64</v>
      </c>
      <c r="D57" s="47" t="s">
        <v>8258</v>
      </c>
      <c r="E57" s="47" t="s">
        <v>6078</v>
      </c>
      <c r="F57" s="47" t="s">
        <v>8189</v>
      </c>
      <c r="G57" s="195">
        <v>46310</v>
      </c>
      <c r="H57" s="47" t="s">
        <v>8195</v>
      </c>
      <c r="I57" s="47" t="s">
        <v>8191</v>
      </c>
      <c r="J57" s="47" t="s">
        <v>6078</v>
      </c>
    </row>
    <row r="58" spans="2:10" ht="14.5">
      <c r="B58" s="47" t="s">
        <v>6288</v>
      </c>
      <c r="C58" s="47" t="s">
        <v>64</v>
      </c>
      <c r="D58" s="47" t="s">
        <v>8259</v>
      </c>
      <c r="E58" s="47" t="s">
        <v>6287</v>
      </c>
      <c r="F58" s="47" t="s">
        <v>8189</v>
      </c>
      <c r="G58" s="195">
        <v>46326</v>
      </c>
      <c r="H58" s="47" t="s">
        <v>8195</v>
      </c>
      <c r="I58" s="47" t="s">
        <v>8191</v>
      </c>
      <c r="J58" s="47" t="s">
        <v>6287</v>
      </c>
    </row>
    <row r="59" spans="2:10" ht="14.5">
      <c r="B59" s="47" t="s">
        <v>6292</v>
      </c>
      <c r="C59" s="47" t="s">
        <v>64</v>
      </c>
      <c r="D59" s="47" t="s">
        <v>8260</v>
      </c>
      <c r="E59" s="47" t="s">
        <v>6291</v>
      </c>
      <c r="F59" s="47" t="s">
        <v>8189</v>
      </c>
      <c r="G59" s="195">
        <v>46326</v>
      </c>
      <c r="H59" s="47" t="s">
        <v>8195</v>
      </c>
      <c r="I59" s="47" t="s">
        <v>8191</v>
      </c>
      <c r="J59" s="47" t="s">
        <v>6291</v>
      </c>
    </row>
    <row r="60" spans="2:10" ht="14.5">
      <c r="B60" s="47" t="s">
        <v>6043</v>
      </c>
      <c r="C60" s="47" t="s">
        <v>64</v>
      </c>
      <c r="D60" s="47" t="s">
        <v>8261</v>
      </c>
      <c r="E60" s="47" t="s">
        <v>6042</v>
      </c>
      <c r="F60" s="47" t="s">
        <v>8189</v>
      </c>
      <c r="G60" s="195">
        <v>46302</v>
      </c>
      <c r="H60" s="47" t="s">
        <v>8195</v>
      </c>
      <c r="I60" s="47" t="s">
        <v>8191</v>
      </c>
      <c r="J60" s="47" t="s">
        <v>6042</v>
      </c>
    </row>
    <row r="61" spans="2:10" ht="14.5">
      <c r="B61" s="47" t="s">
        <v>6241</v>
      </c>
      <c r="C61" s="47" t="s">
        <v>64</v>
      </c>
      <c r="D61" s="47" t="s">
        <v>8262</v>
      </c>
      <c r="E61" s="47" t="s">
        <v>6240</v>
      </c>
      <c r="F61" s="47" t="s">
        <v>8189</v>
      </c>
      <c r="G61" s="195">
        <v>46305</v>
      </c>
      <c r="H61" s="47" t="s">
        <v>8195</v>
      </c>
      <c r="I61" s="47" t="s">
        <v>8191</v>
      </c>
      <c r="J61" s="47" t="s">
        <v>6240</v>
      </c>
    </row>
    <row r="62" spans="2:10" ht="14.5">
      <c r="B62" s="47" t="s">
        <v>6035</v>
      </c>
      <c r="C62" s="47" t="s">
        <v>64</v>
      </c>
      <c r="D62" s="47" t="s">
        <v>8263</v>
      </c>
      <c r="E62" s="47" t="s">
        <v>6034</v>
      </c>
      <c r="F62" s="47" t="s">
        <v>8189</v>
      </c>
      <c r="G62" s="195">
        <v>46302</v>
      </c>
      <c r="H62" s="47" t="s">
        <v>8195</v>
      </c>
      <c r="I62" s="47" t="s">
        <v>8191</v>
      </c>
      <c r="J62" s="47" t="s">
        <v>6034</v>
      </c>
    </row>
    <row r="63" spans="2:10" ht="14.5">
      <c r="B63" s="47" t="s">
        <v>6040</v>
      </c>
      <c r="C63" s="47" t="s">
        <v>64</v>
      </c>
      <c r="D63" s="47" t="s">
        <v>8264</v>
      </c>
      <c r="E63" s="47" t="s">
        <v>6039</v>
      </c>
      <c r="F63" s="47" t="s">
        <v>8189</v>
      </c>
      <c r="G63" s="195">
        <v>46302</v>
      </c>
      <c r="H63" s="47" t="s">
        <v>8195</v>
      </c>
      <c r="I63" s="47" t="s">
        <v>8191</v>
      </c>
      <c r="J63" s="47" t="s">
        <v>6039</v>
      </c>
    </row>
    <row r="64" spans="2:10" ht="14.5">
      <c r="B64" s="47" t="s">
        <v>6270</v>
      </c>
      <c r="C64" s="47" t="s">
        <v>64</v>
      </c>
      <c r="D64" s="47" t="s">
        <v>8265</v>
      </c>
      <c r="E64" s="47" t="s">
        <v>6269</v>
      </c>
      <c r="F64" s="47" t="s">
        <v>8189</v>
      </c>
      <c r="G64" s="195">
        <v>46322</v>
      </c>
      <c r="H64" s="47" t="s">
        <v>8195</v>
      </c>
      <c r="I64" s="47" t="s">
        <v>8191</v>
      </c>
      <c r="J64" s="47" t="s">
        <v>6269</v>
      </c>
    </row>
    <row r="65" spans="2:10" ht="14.5">
      <c r="B65" s="47" t="s">
        <v>6077</v>
      </c>
      <c r="C65" s="47" t="s">
        <v>64</v>
      </c>
      <c r="D65" s="47" t="s">
        <v>8266</v>
      </c>
      <c r="E65" s="47" t="s">
        <v>6076</v>
      </c>
      <c r="F65" s="47" t="s">
        <v>8189</v>
      </c>
      <c r="G65" s="195">
        <v>46310</v>
      </c>
      <c r="H65" s="47" t="s">
        <v>8195</v>
      </c>
      <c r="I65" s="47" t="s">
        <v>8191</v>
      </c>
      <c r="J65" s="47" t="s">
        <v>6076</v>
      </c>
    </row>
    <row r="66" spans="2:10" ht="14.5">
      <c r="B66" s="47" t="s">
        <v>6073</v>
      </c>
      <c r="C66" s="47" t="s">
        <v>64</v>
      </c>
      <c r="D66" s="47" t="s">
        <v>8267</v>
      </c>
      <c r="E66" s="47" t="s">
        <v>6072</v>
      </c>
      <c r="F66" s="47" t="s">
        <v>8189</v>
      </c>
      <c r="G66" s="195">
        <v>46310</v>
      </c>
      <c r="H66" s="47" t="s">
        <v>8195</v>
      </c>
      <c r="I66" s="47" t="s">
        <v>8191</v>
      </c>
      <c r="J66" s="47" t="s">
        <v>6072</v>
      </c>
    </row>
    <row r="67" spans="2:10" ht="14.5">
      <c r="B67" s="47" t="s">
        <v>6246</v>
      </c>
      <c r="C67" s="47" t="s">
        <v>64</v>
      </c>
      <c r="D67" s="47" t="s">
        <v>8268</v>
      </c>
      <c r="E67" s="47" t="s">
        <v>6245</v>
      </c>
      <c r="F67" s="47" t="s">
        <v>8189</v>
      </c>
      <c r="G67" s="195">
        <v>46304</v>
      </c>
      <c r="H67" s="47" t="s">
        <v>8195</v>
      </c>
      <c r="I67" s="47" t="s">
        <v>8191</v>
      </c>
      <c r="J67" s="47" t="s">
        <v>6245</v>
      </c>
    </row>
    <row r="68" spans="2:10" ht="14.5">
      <c r="B68" s="47" t="s">
        <v>6294</v>
      </c>
      <c r="C68" s="47" t="s">
        <v>64</v>
      </c>
      <c r="D68" s="47" t="s">
        <v>8269</v>
      </c>
      <c r="E68" s="47" t="s">
        <v>6293</v>
      </c>
      <c r="F68" s="47" t="s">
        <v>8189</v>
      </c>
      <c r="G68" s="195">
        <v>46325</v>
      </c>
      <c r="H68" s="47" t="s">
        <v>8195</v>
      </c>
      <c r="I68" s="47" t="s">
        <v>8191</v>
      </c>
      <c r="J68" s="47" t="s">
        <v>6293</v>
      </c>
    </row>
    <row r="69" spans="2:10" ht="14.5">
      <c r="B69" s="47" t="s">
        <v>6049</v>
      </c>
      <c r="C69" s="47" t="s">
        <v>64</v>
      </c>
      <c r="D69" s="47" t="s">
        <v>8270</v>
      </c>
      <c r="E69" s="47" t="s">
        <v>6048</v>
      </c>
      <c r="F69" s="47" t="s">
        <v>8189</v>
      </c>
      <c r="G69" s="195">
        <v>46269</v>
      </c>
      <c r="H69" s="47" t="s">
        <v>8195</v>
      </c>
      <c r="I69" s="47" t="s">
        <v>8191</v>
      </c>
      <c r="J69" s="47" t="s">
        <v>6048</v>
      </c>
    </row>
    <row r="70" spans="2:10" ht="14.5">
      <c r="B70" s="47" t="s">
        <v>6045</v>
      </c>
      <c r="C70" s="47" t="s">
        <v>64</v>
      </c>
      <c r="D70" s="47" t="s">
        <v>8271</v>
      </c>
      <c r="E70" s="47" t="s">
        <v>6044</v>
      </c>
      <c r="F70" s="47" t="s">
        <v>8189</v>
      </c>
      <c r="G70" s="195">
        <v>46300</v>
      </c>
      <c r="H70" s="47" t="s">
        <v>8195</v>
      </c>
      <c r="I70" s="47" t="s">
        <v>8191</v>
      </c>
      <c r="J70" s="47" t="s">
        <v>6044</v>
      </c>
    </row>
    <row r="71" spans="2:10" ht="14.5">
      <c r="B71" s="47" t="s">
        <v>6170</v>
      </c>
      <c r="C71" s="47" t="s">
        <v>64</v>
      </c>
      <c r="D71" s="47" t="s">
        <v>8272</v>
      </c>
      <c r="E71" s="47" t="s">
        <v>6169</v>
      </c>
      <c r="F71" s="47" t="s">
        <v>8189</v>
      </c>
      <c r="G71" s="195">
        <v>46312</v>
      </c>
      <c r="H71" s="47" t="s">
        <v>8195</v>
      </c>
      <c r="I71" s="47" t="s">
        <v>8191</v>
      </c>
      <c r="J71" s="47" t="s">
        <v>6169</v>
      </c>
    </row>
    <row r="72" spans="2:10" ht="14.5">
      <c r="B72" s="47" t="s">
        <v>7845</v>
      </c>
      <c r="C72" s="47" t="s">
        <v>64</v>
      </c>
      <c r="D72" s="47" t="s">
        <v>8273</v>
      </c>
      <c r="E72" s="47" t="s">
        <v>8274</v>
      </c>
      <c r="F72" s="47" t="s">
        <v>8236</v>
      </c>
      <c r="G72" s="195">
        <v>46296</v>
      </c>
      <c r="H72" s="47" t="s">
        <v>8195</v>
      </c>
      <c r="I72" s="47" t="s">
        <v>8191</v>
      </c>
      <c r="J72" s="47" t="s">
        <v>8275</v>
      </c>
    </row>
    <row r="73" spans="2:10" ht="14.5">
      <c r="B73" s="47" t="s">
        <v>6433</v>
      </c>
      <c r="C73" s="47" t="s">
        <v>64</v>
      </c>
      <c r="D73" s="47" t="s">
        <v>8276</v>
      </c>
      <c r="E73" s="47" t="s">
        <v>6432</v>
      </c>
      <c r="F73" s="47" t="s">
        <v>8189</v>
      </c>
      <c r="G73" s="195">
        <v>46321</v>
      </c>
      <c r="H73" s="47" t="s">
        <v>8195</v>
      </c>
      <c r="I73" s="47" t="s">
        <v>8191</v>
      </c>
      <c r="J73" s="47" t="s">
        <v>6432</v>
      </c>
    </row>
    <row r="74" spans="2:10" ht="14.5">
      <c r="B74" s="47" t="s">
        <v>6196</v>
      </c>
      <c r="C74" s="47" t="s">
        <v>64</v>
      </c>
      <c r="D74" s="47" t="s">
        <v>8277</v>
      </c>
      <c r="E74" s="47" t="s">
        <v>6194</v>
      </c>
      <c r="F74" s="47" t="s">
        <v>8189</v>
      </c>
      <c r="G74" s="195">
        <v>46328</v>
      </c>
      <c r="H74" s="47" t="s">
        <v>8195</v>
      </c>
      <c r="I74" s="47" t="s">
        <v>8191</v>
      </c>
      <c r="J74" s="47" t="s">
        <v>6194</v>
      </c>
    </row>
    <row r="75" spans="2:10" ht="14.5">
      <c r="B75" s="47" t="s">
        <v>6395</v>
      </c>
      <c r="C75" s="47" t="s">
        <v>64</v>
      </c>
      <c r="D75" s="47" t="s">
        <v>8278</v>
      </c>
      <c r="E75" s="47" t="s">
        <v>6393</v>
      </c>
      <c r="F75" s="47" t="s">
        <v>8189</v>
      </c>
      <c r="G75" s="195">
        <v>46318</v>
      </c>
      <c r="H75" s="47" t="s">
        <v>8195</v>
      </c>
      <c r="I75" s="47" t="s">
        <v>8191</v>
      </c>
      <c r="J75" s="47" t="s">
        <v>6393</v>
      </c>
    </row>
    <row r="76" spans="2:10" ht="14.5">
      <c r="B76" s="47" t="s">
        <v>6392</v>
      </c>
      <c r="C76" s="47" t="s">
        <v>64</v>
      </c>
      <c r="D76" s="47" t="s">
        <v>8279</v>
      </c>
      <c r="E76" s="47" t="s">
        <v>6390</v>
      </c>
      <c r="F76" s="47" t="s">
        <v>8189</v>
      </c>
      <c r="G76" s="195">
        <v>46318</v>
      </c>
      <c r="H76" s="47" t="s">
        <v>8195</v>
      </c>
      <c r="I76" s="47" t="s">
        <v>8191</v>
      </c>
      <c r="J76" s="47" t="s">
        <v>6390</v>
      </c>
    </row>
    <row r="77" spans="2:10" ht="14.5">
      <c r="B77" s="47" t="s">
        <v>6211</v>
      </c>
      <c r="C77" s="47" t="s">
        <v>64</v>
      </c>
      <c r="D77" s="47" t="s">
        <v>8280</v>
      </c>
      <c r="E77" s="47" t="s">
        <v>8281</v>
      </c>
      <c r="F77" s="47" t="s">
        <v>8189</v>
      </c>
      <c r="G77" s="195">
        <v>46306</v>
      </c>
      <c r="H77" s="47" t="s">
        <v>8195</v>
      </c>
      <c r="I77" s="47" t="s">
        <v>8191</v>
      </c>
      <c r="J77" s="47" t="s">
        <v>8281</v>
      </c>
    </row>
    <row r="78" spans="2:10" ht="14.5">
      <c r="B78" s="47" t="s">
        <v>6217</v>
      </c>
      <c r="C78" s="47" t="s">
        <v>64</v>
      </c>
      <c r="D78" s="47" t="s">
        <v>8282</v>
      </c>
      <c r="E78" s="47" t="s">
        <v>6215</v>
      </c>
      <c r="F78" s="47" t="s">
        <v>8189</v>
      </c>
      <c r="G78" s="195">
        <v>46306</v>
      </c>
      <c r="H78" s="47" t="s">
        <v>8195</v>
      </c>
      <c r="I78" s="47" t="s">
        <v>8191</v>
      </c>
      <c r="J78" s="47" t="s">
        <v>6215</v>
      </c>
    </row>
    <row r="79" spans="2:10" ht="14.5">
      <c r="B79" s="47" t="s">
        <v>6259</v>
      </c>
      <c r="C79" s="47" t="s">
        <v>64</v>
      </c>
      <c r="D79" s="47" t="s">
        <v>8283</v>
      </c>
      <c r="E79" s="47" t="s">
        <v>6258</v>
      </c>
      <c r="F79" s="47" t="s">
        <v>8189</v>
      </c>
      <c r="G79" s="195">
        <v>46305</v>
      </c>
      <c r="H79" s="47" t="s">
        <v>8195</v>
      </c>
      <c r="I79" s="47" t="s">
        <v>8191</v>
      </c>
      <c r="J79" s="47" t="s">
        <v>6258</v>
      </c>
    </row>
    <row r="80" spans="2:10" ht="14.5">
      <c r="B80" s="47" t="s">
        <v>6256</v>
      </c>
      <c r="C80" s="47" t="s">
        <v>64</v>
      </c>
      <c r="D80" s="47" t="s">
        <v>8284</v>
      </c>
      <c r="E80" s="47" t="s">
        <v>6255</v>
      </c>
      <c r="F80" s="47" t="s">
        <v>8189</v>
      </c>
      <c r="G80" s="195">
        <v>46305</v>
      </c>
      <c r="H80" s="47" t="s">
        <v>8195</v>
      </c>
      <c r="I80" s="47" t="s">
        <v>8191</v>
      </c>
      <c r="J80" s="47" t="s">
        <v>6255</v>
      </c>
    </row>
    <row r="81" spans="2:10" ht="14.5">
      <c r="B81" s="47" t="s">
        <v>6386</v>
      </c>
      <c r="C81" s="47" t="s">
        <v>64</v>
      </c>
      <c r="D81" s="47" t="s">
        <v>8285</v>
      </c>
      <c r="E81" s="47" t="s">
        <v>6385</v>
      </c>
      <c r="F81" s="47" t="s">
        <v>8189</v>
      </c>
      <c r="G81" s="195">
        <v>46318</v>
      </c>
      <c r="H81" s="47" t="s">
        <v>8195</v>
      </c>
      <c r="I81" s="47" t="s">
        <v>8191</v>
      </c>
      <c r="J81" s="47" t="s">
        <v>6385</v>
      </c>
    </row>
    <row r="82" spans="2:10" ht="14.5">
      <c r="B82" s="47" t="s">
        <v>6225</v>
      </c>
      <c r="C82" s="47" t="s">
        <v>8187</v>
      </c>
      <c r="D82" s="47" t="s">
        <v>8286</v>
      </c>
      <c r="E82" s="47" t="s">
        <v>6223</v>
      </c>
      <c r="F82" s="47" t="s">
        <v>8189</v>
      </c>
      <c r="G82" s="195">
        <v>46294</v>
      </c>
      <c r="H82" s="47" t="s">
        <v>8190</v>
      </c>
      <c r="I82" s="47" t="s">
        <v>8191</v>
      </c>
      <c r="J82" s="47" t="s">
        <v>6223</v>
      </c>
    </row>
    <row r="83" spans="2:10" ht="14.5">
      <c r="B83" s="47" t="s">
        <v>6254</v>
      </c>
      <c r="C83" s="47" t="s">
        <v>64</v>
      </c>
      <c r="D83" s="47" t="s">
        <v>8287</v>
      </c>
      <c r="E83" s="47" t="s">
        <v>6253</v>
      </c>
      <c r="F83" s="47" t="s">
        <v>8189</v>
      </c>
      <c r="G83" s="195">
        <v>46305</v>
      </c>
      <c r="H83" s="47" t="s">
        <v>8195</v>
      </c>
      <c r="I83" s="47" t="s">
        <v>8191</v>
      </c>
      <c r="J83" s="47" t="s">
        <v>6253</v>
      </c>
    </row>
    <row r="84" spans="2:10" ht="14.5">
      <c r="B84" s="47" t="s">
        <v>6404</v>
      </c>
      <c r="C84" s="47" t="s">
        <v>64</v>
      </c>
      <c r="D84" s="47" t="s">
        <v>8288</v>
      </c>
      <c r="E84" s="47" t="s">
        <v>6403</v>
      </c>
      <c r="F84" s="47" t="s">
        <v>8189</v>
      </c>
      <c r="G84" s="195">
        <v>46329</v>
      </c>
      <c r="H84" s="47" t="s">
        <v>8195</v>
      </c>
      <c r="I84" s="47" t="s">
        <v>8191</v>
      </c>
      <c r="J84" s="47" t="s">
        <v>6403</v>
      </c>
    </row>
    <row r="85" spans="2:10" ht="14.5">
      <c r="B85" s="47" t="s">
        <v>6179</v>
      </c>
      <c r="C85" s="47" t="s">
        <v>64</v>
      </c>
      <c r="D85" s="47" t="s">
        <v>8289</v>
      </c>
      <c r="E85" s="47" t="s">
        <v>6178</v>
      </c>
      <c r="F85" s="47" t="s">
        <v>8189</v>
      </c>
      <c r="G85" s="195">
        <v>46311</v>
      </c>
      <c r="H85" s="47" t="s">
        <v>8195</v>
      </c>
      <c r="I85" s="47" t="s">
        <v>8191</v>
      </c>
      <c r="J85" s="47" t="s">
        <v>6178</v>
      </c>
    </row>
    <row r="86" spans="2:10" ht="14.5">
      <c r="B86" s="47" t="s">
        <v>6222</v>
      </c>
      <c r="C86" s="47" t="s">
        <v>64</v>
      </c>
      <c r="D86" s="47" t="s">
        <v>8290</v>
      </c>
      <c r="E86" s="47" t="s">
        <v>6221</v>
      </c>
      <c r="F86" s="47" t="s">
        <v>8189</v>
      </c>
      <c r="G86" s="195">
        <v>46306</v>
      </c>
      <c r="H86" s="47" t="s">
        <v>8195</v>
      </c>
      <c r="I86" s="47" t="s">
        <v>8191</v>
      </c>
      <c r="J86" s="47" t="s">
        <v>6221</v>
      </c>
    </row>
    <row r="87" spans="2:10" ht="14.5">
      <c r="B87" s="47" t="s">
        <v>6220</v>
      </c>
      <c r="C87" s="47" t="s">
        <v>64</v>
      </c>
      <c r="D87" s="47" t="s">
        <v>8291</v>
      </c>
      <c r="E87" s="47" t="s">
        <v>6218</v>
      </c>
      <c r="F87" s="47" t="s">
        <v>8189</v>
      </c>
      <c r="G87" s="195">
        <v>46306</v>
      </c>
      <c r="H87" s="47" t="s">
        <v>8195</v>
      </c>
      <c r="I87" s="47" t="s">
        <v>8191</v>
      </c>
      <c r="J87" s="47" t="s">
        <v>6218</v>
      </c>
    </row>
    <row r="88" spans="2:10" ht="14.5">
      <c r="B88" s="47" t="s">
        <v>5729</v>
      </c>
      <c r="C88" s="47" t="s">
        <v>64</v>
      </c>
      <c r="D88" s="47" t="s">
        <v>8292</v>
      </c>
      <c r="E88" s="47" t="s">
        <v>5728</v>
      </c>
      <c r="F88" s="47" t="s">
        <v>8189</v>
      </c>
      <c r="G88" s="195">
        <v>46322</v>
      </c>
      <c r="H88" s="47" t="s">
        <v>8195</v>
      </c>
      <c r="I88" s="47" t="s">
        <v>8191</v>
      </c>
      <c r="J88" s="47" t="s">
        <v>5728</v>
      </c>
    </row>
    <row r="89" spans="2:10" ht="14.5">
      <c r="B89" s="47" t="s">
        <v>6229</v>
      </c>
      <c r="C89" s="47" t="s">
        <v>8187</v>
      </c>
      <c r="D89" s="47" t="s">
        <v>8293</v>
      </c>
      <c r="E89" s="47" t="s">
        <v>6228</v>
      </c>
      <c r="F89" s="47" t="s">
        <v>8189</v>
      </c>
      <c r="G89" s="195">
        <v>46305</v>
      </c>
      <c r="H89" s="47" t="s">
        <v>8190</v>
      </c>
      <c r="I89" s="47" t="s">
        <v>8191</v>
      </c>
      <c r="J89" s="47" t="s">
        <v>6228</v>
      </c>
    </row>
    <row r="90" spans="2:10" ht="14.5">
      <c r="B90" s="47" t="s">
        <v>6382</v>
      </c>
      <c r="C90" s="47" t="s">
        <v>64</v>
      </c>
      <c r="D90" s="47" t="s">
        <v>8294</v>
      </c>
      <c r="E90" s="47" t="s">
        <v>6381</v>
      </c>
      <c r="F90" s="47" t="s">
        <v>8189</v>
      </c>
      <c r="G90" s="195">
        <v>46310</v>
      </c>
      <c r="H90" s="47" t="s">
        <v>8195</v>
      </c>
      <c r="I90" s="47" t="s">
        <v>8191</v>
      </c>
      <c r="J90" s="47" t="s">
        <v>6381</v>
      </c>
    </row>
    <row r="91" spans="2:10" ht="14.5">
      <c r="B91" s="47" t="s">
        <v>6249</v>
      </c>
      <c r="C91" s="47" t="s">
        <v>64</v>
      </c>
      <c r="D91" s="47" t="s">
        <v>8295</v>
      </c>
      <c r="E91" s="47" t="s">
        <v>6248</v>
      </c>
      <c r="F91" s="47" t="s">
        <v>8189</v>
      </c>
      <c r="G91" s="195">
        <v>46305</v>
      </c>
      <c r="H91" s="47" t="s">
        <v>8195</v>
      </c>
      <c r="I91" s="47" t="s">
        <v>8191</v>
      </c>
      <c r="J91" s="47" t="s">
        <v>6248</v>
      </c>
    </row>
    <row r="92" spans="2:10" ht="14.5">
      <c r="B92" s="47" t="s">
        <v>6408</v>
      </c>
      <c r="C92" s="47" t="s">
        <v>64</v>
      </c>
      <c r="D92" s="47" t="s">
        <v>8296</v>
      </c>
      <c r="E92" s="47" t="s">
        <v>6407</v>
      </c>
      <c r="F92" s="47" t="s">
        <v>8189</v>
      </c>
      <c r="G92" s="195">
        <v>46329</v>
      </c>
      <c r="H92" s="47" t="s">
        <v>8195</v>
      </c>
      <c r="I92" s="47" t="s">
        <v>8191</v>
      </c>
      <c r="J92" s="47" t="s">
        <v>6407</v>
      </c>
    </row>
    <row r="93" spans="2:10" ht="14.5">
      <c r="B93" s="47" t="s">
        <v>6181</v>
      </c>
      <c r="C93" s="47" t="s">
        <v>64</v>
      </c>
      <c r="D93" s="47" t="s">
        <v>8297</v>
      </c>
      <c r="E93" s="47" t="s">
        <v>6180</v>
      </c>
      <c r="F93" s="47" t="s">
        <v>8189</v>
      </c>
      <c r="G93" s="195">
        <v>46328</v>
      </c>
      <c r="H93" s="47" t="s">
        <v>8195</v>
      </c>
      <c r="I93" s="47" t="s">
        <v>8191</v>
      </c>
      <c r="J93" s="47" t="s">
        <v>6180</v>
      </c>
    </row>
    <row r="94" spans="2:10" ht="14.5">
      <c r="B94" s="47" t="s">
        <v>5737</v>
      </c>
      <c r="C94" s="47" t="s">
        <v>64</v>
      </c>
      <c r="D94" s="47" t="s">
        <v>8298</v>
      </c>
      <c r="E94" s="47" t="s">
        <v>5734</v>
      </c>
      <c r="F94" s="47" t="s">
        <v>8189</v>
      </c>
      <c r="G94" s="195">
        <v>46322</v>
      </c>
      <c r="H94" s="47" t="s">
        <v>8195</v>
      </c>
      <c r="I94" s="47" t="s">
        <v>8191</v>
      </c>
      <c r="J94" s="47" t="s">
        <v>5734</v>
      </c>
    </row>
    <row r="95" spans="2:10" ht="14.5">
      <c r="B95" s="47" t="s">
        <v>6377</v>
      </c>
      <c r="C95" s="47" t="s">
        <v>64</v>
      </c>
      <c r="D95" s="47" t="s">
        <v>8299</v>
      </c>
      <c r="E95" s="47" t="s">
        <v>6376</v>
      </c>
      <c r="F95" s="47" t="s">
        <v>8189</v>
      </c>
      <c r="G95" s="195">
        <v>46310</v>
      </c>
      <c r="H95" s="47" t="s">
        <v>8195</v>
      </c>
      <c r="I95" s="47" t="s">
        <v>8191</v>
      </c>
      <c r="J95" s="47" t="s">
        <v>6376</v>
      </c>
    </row>
    <row r="96" spans="2:10" ht="14.5">
      <c r="B96" s="47" t="s">
        <v>6008</v>
      </c>
      <c r="C96" s="47" t="s">
        <v>64</v>
      </c>
      <c r="D96" s="47" t="s">
        <v>8300</v>
      </c>
      <c r="E96" s="47" t="s">
        <v>6007</v>
      </c>
      <c r="F96" s="47" t="s">
        <v>8189</v>
      </c>
      <c r="G96" s="195">
        <v>46311</v>
      </c>
      <c r="H96" s="47" t="s">
        <v>8195</v>
      </c>
      <c r="I96" s="47" t="s">
        <v>8191</v>
      </c>
      <c r="J96" s="47" t="s">
        <v>6007</v>
      </c>
    </row>
    <row r="97" spans="2:10" ht="14.5">
      <c r="B97" s="47" t="s">
        <v>6191</v>
      </c>
      <c r="C97" s="47" t="s">
        <v>64</v>
      </c>
      <c r="D97" s="47" t="s">
        <v>8301</v>
      </c>
      <c r="E97" s="47" t="s">
        <v>6190</v>
      </c>
      <c r="F97" s="47" t="s">
        <v>8189</v>
      </c>
      <c r="G97" s="195">
        <v>46328</v>
      </c>
      <c r="H97" s="47" t="s">
        <v>8195</v>
      </c>
      <c r="I97" s="47" t="s">
        <v>8191</v>
      </c>
      <c r="J97" s="47" t="s">
        <v>6190</v>
      </c>
    </row>
    <row r="98" spans="2:10" ht="14.5">
      <c r="B98" s="47" t="s">
        <v>6423</v>
      </c>
      <c r="C98" s="47" t="s">
        <v>64</v>
      </c>
      <c r="D98" s="47" t="s">
        <v>8302</v>
      </c>
      <c r="E98" s="47" t="s">
        <v>6421</v>
      </c>
      <c r="F98" s="47" t="s">
        <v>8189</v>
      </c>
      <c r="G98" s="195">
        <v>46336</v>
      </c>
      <c r="H98" s="47" t="s">
        <v>8195</v>
      </c>
      <c r="I98" s="47" t="s">
        <v>8191</v>
      </c>
      <c r="J98" s="47" t="s">
        <v>6421</v>
      </c>
    </row>
    <row r="99" spans="2:10" ht="14.5">
      <c r="B99" s="47" t="s">
        <v>6012</v>
      </c>
      <c r="C99" s="47" t="s">
        <v>64</v>
      </c>
      <c r="D99" s="47" t="s">
        <v>8303</v>
      </c>
      <c r="E99" s="47" t="s">
        <v>6011</v>
      </c>
      <c r="F99" s="47" t="s">
        <v>8189</v>
      </c>
      <c r="G99" s="195">
        <v>46303</v>
      </c>
      <c r="H99" s="47" t="s">
        <v>8195</v>
      </c>
      <c r="I99" s="47" t="s">
        <v>8191</v>
      </c>
      <c r="J99" s="47" t="s">
        <v>6011</v>
      </c>
    </row>
    <row r="100" spans="2:10" ht="14.5">
      <c r="B100" s="47" t="s">
        <v>5724</v>
      </c>
      <c r="C100" s="47" t="s">
        <v>64</v>
      </c>
      <c r="D100" s="47" t="s">
        <v>8304</v>
      </c>
      <c r="E100" s="47" t="s">
        <v>5723</v>
      </c>
      <c r="F100" s="47" t="s">
        <v>8189</v>
      </c>
      <c r="G100" s="195">
        <v>46321</v>
      </c>
      <c r="H100" s="47" t="s">
        <v>8195</v>
      </c>
      <c r="I100" s="47" t="s">
        <v>8191</v>
      </c>
      <c r="J100" s="47" t="s">
        <v>5723</v>
      </c>
    </row>
    <row r="101" spans="2:10" ht="14.5">
      <c r="B101" s="47" t="s">
        <v>6071</v>
      </c>
      <c r="C101" s="47" t="s">
        <v>64</v>
      </c>
      <c r="D101" s="47" t="s">
        <v>8305</v>
      </c>
      <c r="E101" s="47" t="s">
        <v>6070</v>
      </c>
      <c r="F101" s="47" t="s">
        <v>8189</v>
      </c>
      <c r="G101" s="195">
        <v>46316</v>
      </c>
      <c r="H101" s="47" t="s">
        <v>8195</v>
      </c>
      <c r="I101" s="47" t="s">
        <v>8191</v>
      </c>
      <c r="J101" s="47" t="s">
        <v>6070</v>
      </c>
    </row>
    <row r="102" spans="2:10" ht="14.5">
      <c r="B102" s="47" t="s">
        <v>5733</v>
      </c>
      <c r="C102" s="47" t="s">
        <v>64</v>
      </c>
      <c r="D102" s="47" t="s">
        <v>8306</v>
      </c>
      <c r="E102" s="47" t="s">
        <v>5732</v>
      </c>
      <c r="F102" s="47" t="s">
        <v>8189</v>
      </c>
      <c r="G102" s="195">
        <v>46322</v>
      </c>
      <c r="H102" s="47" t="s">
        <v>8195</v>
      </c>
      <c r="I102" s="47" t="s">
        <v>8191</v>
      </c>
      <c r="J102" s="47" t="s">
        <v>5732</v>
      </c>
    </row>
    <row r="103" spans="2:10" ht="14.5">
      <c r="B103" s="47" t="s">
        <v>6096</v>
      </c>
      <c r="C103" s="47" t="s">
        <v>64</v>
      </c>
      <c r="D103" s="47" t="s">
        <v>8307</v>
      </c>
      <c r="E103" s="47" t="s">
        <v>6095</v>
      </c>
      <c r="F103" s="47" t="s">
        <v>8189</v>
      </c>
      <c r="G103" s="195">
        <v>46321</v>
      </c>
      <c r="H103" s="47" t="s">
        <v>8195</v>
      </c>
      <c r="I103" s="47" t="s">
        <v>8191</v>
      </c>
      <c r="J103" s="47" t="s">
        <v>6095</v>
      </c>
    </row>
    <row r="104" spans="2:10" ht="14.5">
      <c r="B104" s="47" t="s">
        <v>6131</v>
      </c>
      <c r="C104" s="47" t="s">
        <v>64</v>
      </c>
      <c r="D104" s="47" t="s">
        <v>8308</v>
      </c>
      <c r="E104" s="47" t="s">
        <v>6130</v>
      </c>
      <c r="F104" s="47" t="s">
        <v>8189</v>
      </c>
      <c r="G104" s="195">
        <v>46310</v>
      </c>
      <c r="H104" s="47" t="s">
        <v>8195</v>
      </c>
      <c r="I104" s="47" t="s">
        <v>8191</v>
      </c>
      <c r="J104" s="47" t="s">
        <v>6130</v>
      </c>
    </row>
    <row r="105" spans="2:10" ht="14.5">
      <c r="B105" s="47" t="s">
        <v>6296</v>
      </c>
      <c r="C105" s="47" t="s">
        <v>64</v>
      </c>
      <c r="D105" s="47" t="s">
        <v>8309</v>
      </c>
      <c r="E105" s="47" t="s">
        <v>6295</v>
      </c>
      <c r="F105" s="47" t="s">
        <v>8189</v>
      </c>
      <c r="G105" s="195">
        <v>46321</v>
      </c>
      <c r="H105" s="47" t="s">
        <v>8195</v>
      </c>
      <c r="I105" s="47" t="s">
        <v>8191</v>
      </c>
      <c r="J105" s="47" t="s">
        <v>6295</v>
      </c>
    </row>
    <row r="106" spans="2:10" ht="14.5">
      <c r="B106" s="47" t="s">
        <v>6334</v>
      </c>
      <c r="C106" s="47" t="s">
        <v>64</v>
      </c>
      <c r="D106" s="47" t="s">
        <v>8310</v>
      </c>
      <c r="E106" s="47" t="s">
        <v>6333</v>
      </c>
      <c r="F106" s="47" t="s">
        <v>8189</v>
      </c>
      <c r="G106" s="195">
        <v>46310</v>
      </c>
      <c r="H106" s="47" t="s">
        <v>8195</v>
      </c>
      <c r="I106" s="47" t="s">
        <v>8191</v>
      </c>
      <c r="J106" s="47" t="s">
        <v>6333</v>
      </c>
    </row>
    <row r="107" spans="2:10" ht="14.5">
      <c r="B107" s="47" t="s">
        <v>6262</v>
      </c>
      <c r="C107" s="47" t="s">
        <v>8187</v>
      </c>
      <c r="D107" s="47" t="s">
        <v>8311</v>
      </c>
      <c r="E107" s="47" t="s">
        <v>6260</v>
      </c>
      <c r="F107" s="47" t="s">
        <v>8189</v>
      </c>
      <c r="G107" s="195">
        <v>46298</v>
      </c>
      <c r="H107" s="47" t="s">
        <v>8190</v>
      </c>
      <c r="I107" s="47" t="s">
        <v>8191</v>
      </c>
      <c r="J107" s="47" t="s">
        <v>6260</v>
      </c>
    </row>
    <row r="108" spans="2:10" ht="14.5">
      <c r="B108" s="47" t="s">
        <v>6384</v>
      </c>
      <c r="C108" s="47" t="s">
        <v>64</v>
      </c>
      <c r="D108" s="47" t="s">
        <v>8312</v>
      </c>
      <c r="E108" s="47" t="s">
        <v>6383</v>
      </c>
      <c r="F108" s="47" t="s">
        <v>8189</v>
      </c>
      <c r="G108" s="195">
        <v>46310</v>
      </c>
      <c r="H108" s="47" t="s">
        <v>8195</v>
      </c>
      <c r="I108" s="47" t="s">
        <v>8191</v>
      </c>
      <c r="J108" s="47" t="s">
        <v>6383</v>
      </c>
    </row>
    <row r="109" spans="2:10" ht="14.5">
      <c r="B109" s="47" t="s">
        <v>6174</v>
      </c>
      <c r="C109" s="47" t="s">
        <v>64</v>
      </c>
      <c r="D109" s="47" t="s">
        <v>8313</v>
      </c>
      <c r="E109" s="47" t="s">
        <v>6173</v>
      </c>
      <c r="F109" s="47" t="s">
        <v>8189</v>
      </c>
      <c r="G109" s="195">
        <v>46305</v>
      </c>
      <c r="H109" s="47" t="s">
        <v>8195</v>
      </c>
      <c r="I109" s="47" t="s">
        <v>8191</v>
      </c>
      <c r="J109" s="47"/>
    </row>
    <row r="110" spans="2:10" ht="14.5">
      <c r="B110" s="47" t="s">
        <v>6185</v>
      </c>
      <c r="C110" s="47" t="s">
        <v>64</v>
      </c>
      <c r="D110" s="47" t="s">
        <v>8314</v>
      </c>
      <c r="E110" s="47" t="s">
        <v>6184</v>
      </c>
      <c r="F110" s="47" t="s">
        <v>8189</v>
      </c>
      <c r="G110" s="195">
        <v>46328</v>
      </c>
      <c r="H110" s="47" t="s">
        <v>8195</v>
      </c>
      <c r="I110" s="47" t="s">
        <v>8191</v>
      </c>
      <c r="J110" s="47" t="s">
        <v>6184</v>
      </c>
    </row>
    <row r="111" spans="2:10" ht="14.5">
      <c r="B111" s="47" t="s">
        <v>5945</v>
      </c>
      <c r="C111" s="47" t="s">
        <v>64</v>
      </c>
      <c r="D111" s="47" t="s">
        <v>8315</v>
      </c>
      <c r="E111" s="47" t="s">
        <v>5942</v>
      </c>
      <c r="F111" s="47" t="s">
        <v>8189</v>
      </c>
      <c r="G111" s="195">
        <v>46309</v>
      </c>
      <c r="H111" s="47" t="s">
        <v>8195</v>
      </c>
      <c r="I111" s="47" t="s">
        <v>8191</v>
      </c>
      <c r="J111" s="47" t="s">
        <v>5942</v>
      </c>
    </row>
    <row r="112" spans="2:10" ht="14.5">
      <c r="B112" s="47" t="s">
        <v>6088</v>
      </c>
      <c r="C112" s="47" t="s">
        <v>64</v>
      </c>
      <c r="D112" s="47" t="s">
        <v>8316</v>
      </c>
      <c r="E112" s="47" t="s">
        <v>6087</v>
      </c>
      <c r="F112" s="47" t="s">
        <v>8189</v>
      </c>
      <c r="G112" s="195">
        <v>46320</v>
      </c>
      <c r="H112" s="47" t="s">
        <v>8195</v>
      </c>
      <c r="I112" s="47" t="s">
        <v>8191</v>
      </c>
      <c r="J112" s="47" t="s">
        <v>6087</v>
      </c>
    </row>
    <row r="113" spans="2:10" ht="14.5">
      <c r="B113" s="47" t="s">
        <v>6094</v>
      </c>
      <c r="C113" s="47" t="s">
        <v>64</v>
      </c>
      <c r="D113" s="47" t="s">
        <v>8317</v>
      </c>
      <c r="E113" s="47" t="s">
        <v>6093</v>
      </c>
      <c r="F113" s="47" t="s">
        <v>8189</v>
      </c>
      <c r="G113" s="195">
        <v>46320</v>
      </c>
      <c r="H113" s="47" t="s">
        <v>8195</v>
      </c>
      <c r="I113" s="47" t="s">
        <v>8191</v>
      </c>
      <c r="J113" s="47" t="s">
        <v>6093</v>
      </c>
    </row>
    <row r="114" spans="2:10" ht="14.5">
      <c r="B114" s="47" t="s">
        <v>6092</v>
      </c>
      <c r="C114" s="47" t="s">
        <v>64</v>
      </c>
      <c r="D114" s="47" t="s">
        <v>8318</v>
      </c>
      <c r="E114" s="47" t="s">
        <v>6091</v>
      </c>
      <c r="F114" s="47" t="s">
        <v>8189</v>
      </c>
      <c r="G114" s="195">
        <v>46320</v>
      </c>
      <c r="H114" s="47" t="s">
        <v>8195</v>
      </c>
      <c r="I114" s="47" t="s">
        <v>8191</v>
      </c>
      <c r="J114" s="47" t="s">
        <v>6091</v>
      </c>
    </row>
    <row r="115" spans="2:10" ht="14.5">
      <c r="B115" s="47" t="s">
        <v>6187</v>
      </c>
      <c r="C115" s="47" t="s">
        <v>64</v>
      </c>
      <c r="D115" s="47" t="s">
        <v>8319</v>
      </c>
      <c r="E115" s="47" t="s">
        <v>6186</v>
      </c>
      <c r="F115" s="47" t="s">
        <v>8189</v>
      </c>
      <c r="G115" s="195">
        <v>46328</v>
      </c>
      <c r="H115" s="47" t="s">
        <v>8195</v>
      </c>
      <c r="I115" s="47" t="s">
        <v>8191</v>
      </c>
      <c r="J115" s="47" t="s">
        <v>6186</v>
      </c>
    </row>
    <row r="116" spans="2:10" ht="14.5">
      <c r="B116" s="47" t="s">
        <v>5947</v>
      </c>
      <c r="C116" s="47" t="s">
        <v>64</v>
      </c>
      <c r="D116" s="47" t="s">
        <v>8320</v>
      </c>
      <c r="E116" s="47" t="s">
        <v>5946</v>
      </c>
      <c r="F116" s="47" t="s">
        <v>8189</v>
      </c>
      <c r="G116" s="195">
        <v>46309</v>
      </c>
      <c r="H116" s="47" t="s">
        <v>8195</v>
      </c>
      <c r="I116" s="47" t="s">
        <v>8191</v>
      </c>
      <c r="J116" s="47" t="s">
        <v>5946</v>
      </c>
    </row>
    <row r="117" spans="2:10" ht="14.5">
      <c r="B117" s="47" t="s">
        <v>6267</v>
      </c>
      <c r="C117" s="47" t="s">
        <v>8187</v>
      </c>
      <c r="D117" s="47" t="s">
        <v>8321</v>
      </c>
      <c r="E117" s="47" t="s">
        <v>6265</v>
      </c>
      <c r="F117" s="47" t="s">
        <v>8189</v>
      </c>
      <c r="G117" s="195">
        <v>46298</v>
      </c>
      <c r="H117" s="47" t="s">
        <v>8190</v>
      </c>
      <c r="I117" s="47" t="s">
        <v>8191</v>
      </c>
      <c r="J117" s="47" t="s">
        <v>6265</v>
      </c>
    </row>
    <row r="118" spans="2:10" ht="14.5">
      <c r="B118" s="47" t="s">
        <v>6066</v>
      </c>
      <c r="C118" s="47" t="s">
        <v>64</v>
      </c>
      <c r="D118" s="47" t="s">
        <v>8322</v>
      </c>
      <c r="E118" s="47" t="s">
        <v>6065</v>
      </c>
      <c r="F118" s="47" t="s">
        <v>8189</v>
      </c>
      <c r="G118" s="195">
        <v>46316</v>
      </c>
      <c r="H118" s="47" t="s">
        <v>8195</v>
      </c>
      <c r="I118" s="47" t="s">
        <v>8191</v>
      </c>
      <c r="J118" s="47" t="s">
        <v>6065</v>
      </c>
    </row>
    <row r="119" spans="2:10" ht="14.5">
      <c r="B119" s="47" t="s">
        <v>5939</v>
      </c>
      <c r="C119" s="47" t="s">
        <v>64</v>
      </c>
      <c r="D119" s="47" t="s">
        <v>8323</v>
      </c>
      <c r="E119" s="47" t="s">
        <v>5938</v>
      </c>
      <c r="F119" s="47" t="s">
        <v>8189</v>
      </c>
      <c r="G119" s="195">
        <v>46309</v>
      </c>
      <c r="H119" s="47" t="s">
        <v>8195</v>
      </c>
      <c r="I119" s="47" t="s">
        <v>8191</v>
      </c>
      <c r="J119" s="47" t="s">
        <v>5938</v>
      </c>
    </row>
    <row r="120" spans="2:10" ht="14.5">
      <c r="B120" s="47" t="s">
        <v>6411</v>
      </c>
      <c r="C120" s="47" t="s">
        <v>8187</v>
      </c>
      <c r="D120" s="47" t="s">
        <v>8324</v>
      </c>
      <c r="E120" s="47" t="s">
        <v>6409</v>
      </c>
      <c r="F120" s="47" t="s">
        <v>8189</v>
      </c>
      <c r="G120" s="195">
        <v>46316</v>
      </c>
      <c r="H120" s="47" t="s">
        <v>8190</v>
      </c>
      <c r="I120" s="47" t="s">
        <v>8191</v>
      </c>
      <c r="J120" s="47" t="s">
        <v>6409</v>
      </c>
    </row>
    <row r="121" spans="2:10" ht="14.5">
      <c r="B121" s="47" t="s">
        <v>6237</v>
      </c>
      <c r="C121" s="47" t="s">
        <v>8187</v>
      </c>
      <c r="D121" s="47" t="s">
        <v>8325</v>
      </c>
      <c r="E121" s="47" t="s">
        <v>6233</v>
      </c>
      <c r="F121" s="47" t="s">
        <v>8189</v>
      </c>
      <c r="G121" s="195">
        <v>46305</v>
      </c>
      <c r="H121" s="47" t="s">
        <v>8190</v>
      </c>
      <c r="I121" s="47" t="s">
        <v>8191</v>
      </c>
      <c r="J121" s="47" t="s">
        <v>6233</v>
      </c>
    </row>
    <row r="122" spans="2:10" ht="14.5">
      <c r="B122" s="47" t="s">
        <v>6005</v>
      </c>
      <c r="C122" s="47" t="s">
        <v>8187</v>
      </c>
      <c r="D122" s="47" t="s">
        <v>8326</v>
      </c>
      <c r="E122" s="47" t="s">
        <v>6004</v>
      </c>
      <c r="F122" s="47" t="s">
        <v>8189</v>
      </c>
      <c r="G122" s="195">
        <v>46287</v>
      </c>
      <c r="H122" s="47" t="s">
        <v>8190</v>
      </c>
      <c r="I122" s="47" t="s">
        <v>8191</v>
      </c>
      <c r="J122" s="47" t="s">
        <v>6004</v>
      </c>
    </row>
    <row r="123" spans="2:10" ht="14.5">
      <c r="B123" s="47" t="s">
        <v>5340</v>
      </c>
      <c r="C123" s="47" t="s">
        <v>64</v>
      </c>
      <c r="D123" s="47" t="s">
        <v>8327</v>
      </c>
      <c r="E123" s="47"/>
      <c r="F123" s="47" t="s">
        <v>8189</v>
      </c>
      <c r="G123" s="195">
        <v>46267</v>
      </c>
      <c r="H123" s="47" t="s">
        <v>8195</v>
      </c>
      <c r="I123" s="47" t="s">
        <v>8191</v>
      </c>
      <c r="J123" s="47" t="s">
        <v>8328</v>
      </c>
    </row>
    <row r="124" spans="2:10" ht="14.5">
      <c r="B124" s="47" t="s">
        <v>6135</v>
      </c>
      <c r="C124" s="47" t="s">
        <v>64</v>
      </c>
      <c r="D124" s="47" t="s">
        <v>8329</v>
      </c>
      <c r="E124" s="47" t="s">
        <v>6134</v>
      </c>
      <c r="F124" s="47" t="s">
        <v>8189</v>
      </c>
      <c r="G124" s="195">
        <v>46303</v>
      </c>
      <c r="H124" s="47" t="s">
        <v>8195</v>
      </c>
      <c r="I124" s="47" t="s">
        <v>8191</v>
      </c>
      <c r="J124" s="47" t="s">
        <v>6134</v>
      </c>
    </row>
    <row r="125" spans="2:10" ht="14.5">
      <c r="B125" s="47" t="s">
        <v>5993</v>
      </c>
      <c r="C125" s="47" t="s">
        <v>64</v>
      </c>
      <c r="D125" s="47" t="s">
        <v>8330</v>
      </c>
      <c r="E125" s="47" t="s">
        <v>5992</v>
      </c>
      <c r="F125" s="47" t="s">
        <v>8189</v>
      </c>
      <c r="G125" s="195">
        <v>46309</v>
      </c>
      <c r="H125" s="47" t="s">
        <v>8195</v>
      </c>
      <c r="I125" s="47" t="s">
        <v>8191</v>
      </c>
      <c r="J125" s="47" t="s">
        <v>5992</v>
      </c>
    </row>
    <row r="126" spans="2:10" ht="14.5">
      <c r="B126" s="47" t="s">
        <v>5854</v>
      </c>
      <c r="C126" s="47" t="s">
        <v>64</v>
      </c>
      <c r="D126" s="47" t="s">
        <v>8331</v>
      </c>
      <c r="E126" s="47" t="s">
        <v>5849</v>
      </c>
      <c r="F126" s="47" t="s">
        <v>8189</v>
      </c>
      <c r="G126" s="195">
        <v>46303</v>
      </c>
      <c r="H126" s="47" t="s">
        <v>8195</v>
      </c>
      <c r="I126" s="47" t="s">
        <v>8191</v>
      </c>
      <c r="J126" s="47" t="s">
        <v>5849</v>
      </c>
    </row>
    <row r="127" spans="2:10" ht="14.5">
      <c r="B127" s="47" t="s">
        <v>5929</v>
      </c>
      <c r="C127" s="47" t="s">
        <v>8187</v>
      </c>
      <c r="D127" s="47" t="s">
        <v>8332</v>
      </c>
      <c r="E127" s="47" t="s">
        <v>5928</v>
      </c>
      <c r="F127" s="47" t="s">
        <v>8189</v>
      </c>
      <c r="G127" s="195">
        <v>46282</v>
      </c>
      <c r="H127" s="47" t="s">
        <v>8190</v>
      </c>
      <c r="I127" s="47" t="s">
        <v>8191</v>
      </c>
      <c r="J127" s="47" t="s">
        <v>5928</v>
      </c>
    </row>
    <row r="128" spans="2:10" ht="14.5">
      <c r="B128" s="47" t="s">
        <v>6023</v>
      </c>
      <c r="C128" s="47" t="s">
        <v>64</v>
      </c>
      <c r="D128" s="47" t="s">
        <v>8333</v>
      </c>
      <c r="E128" s="47" t="s">
        <v>6021</v>
      </c>
      <c r="F128" s="47" t="s">
        <v>8189</v>
      </c>
      <c r="G128" s="195">
        <v>46303</v>
      </c>
      <c r="H128" s="47" t="s">
        <v>8195</v>
      </c>
      <c r="I128" s="47" t="s">
        <v>8191</v>
      </c>
      <c r="J128" s="47" t="s">
        <v>6021</v>
      </c>
    </row>
    <row r="129" spans="2:10" ht="14.5">
      <c r="B129" s="47" t="s">
        <v>6033</v>
      </c>
      <c r="C129" s="47" t="s">
        <v>64</v>
      </c>
      <c r="D129" s="47" t="s">
        <v>8334</v>
      </c>
      <c r="E129" s="47" t="s">
        <v>6032</v>
      </c>
      <c r="F129" s="47" t="s">
        <v>8189</v>
      </c>
      <c r="G129" s="195">
        <v>46300</v>
      </c>
      <c r="H129" s="47" t="s">
        <v>8195</v>
      </c>
      <c r="I129" s="47" t="s">
        <v>8191</v>
      </c>
      <c r="J129" s="47" t="s">
        <v>6032</v>
      </c>
    </row>
    <row r="130" spans="2:10" ht="14.5">
      <c r="B130" s="47" t="s">
        <v>5837</v>
      </c>
      <c r="C130" s="47" t="s">
        <v>8187</v>
      </c>
      <c r="D130" s="47" t="s">
        <v>8335</v>
      </c>
      <c r="E130" s="47" t="s">
        <v>5836</v>
      </c>
      <c r="F130" s="47" t="s">
        <v>8189</v>
      </c>
      <c r="G130" s="195">
        <v>46315</v>
      </c>
      <c r="H130" s="47" t="s">
        <v>8190</v>
      </c>
      <c r="I130" s="47" t="s">
        <v>8191</v>
      </c>
      <c r="J130" s="47" t="s">
        <v>5836</v>
      </c>
    </row>
    <row r="131" spans="2:10" ht="14.5">
      <c r="B131" s="47" t="s">
        <v>8336</v>
      </c>
      <c r="C131" s="47" t="s">
        <v>64</v>
      </c>
      <c r="D131" s="47" t="s">
        <v>8216</v>
      </c>
      <c r="E131" s="47" t="s">
        <v>6054</v>
      </c>
      <c r="F131" s="47" t="s">
        <v>8189</v>
      </c>
      <c r="G131" s="195">
        <v>46300</v>
      </c>
      <c r="H131" s="47" t="s">
        <v>8337</v>
      </c>
      <c r="I131" s="47" t="s">
        <v>8191</v>
      </c>
      <c r="J131" s="47" t="s">
        <v>6054</v>
      </c>
    </row>
    <row r="132" spans="2:10" ht="14.5">
      <c r="B132" s="47" t="s">
        <v>6051</v>
      </c>
      <c r="C132" s="47" t="s">
        <v>64</v>
      </c>
      <c r="D132" s="47" t="s">
        <v>8338</v>
      </c>
      <c r="E132" s="47" t="s">
        <v>6050</v>
      </c>
      <c r="F132" s="47" t="s">
        <v>8189</v>
      </c>
      <c r="G132" s="195">
        <v>46300</v>
      </c>
      <c r="H132" s="47" t="s">
        <v>8195</v>
      </c>
      <c r="I132" s="47" t="s">
        <v>8191</v>
      </c>
      <c r="J132" s="47" t="s">
        <v>6050</v>
      </c>
    </row>
    <row r="133" spans="2:10" ht="14.5">
      <c r="B133" s="47" t="s">
        <v>6031</v>
      </c>
      <c r="C133" s="47" t="s">
        <v>64</v>
      </c>
      <c r="D133" s="47" t="s">
        <v>8339</v>
      </c>
      <c r="E133" s="47" t="s">
        <v>6030</v>
      </c>
      <c r="F133" s="47" t="s">
        <v>8189</v>
      </c>
      <c r="G133" s="195">
        <v>46300</v>
      </c>
      <c r="H133" s="47" t="s">
        <v>8195</v>
      </c>
      <c r="I133" s="47" t="s">
        <v>8191</v>
      </c>
      <c r="J133" s="47" t="s">
        <v>6030</v>
      </c>
    </row>
    <row r="134" spans="2:10" ht="14.5">
      <c r="B134" s="47" t="s">
        <v>6027</v>
      </c>
      <c r="C134" s="47" t="s">
        <v>64</v>
      </c>
      <c r="D134" s="47" t="s">
        <v>8340</v>
      </c>
      <c r="E134" s="47" t="s">
        <v>6026</v>
      </c>
      <c r="F134" s="47" t="s">
        <v>8189</v>
      </c>
      <c r="G134" s="195">
        <v>46300</v>
      </c>
      <c r="H134" s="47" t="s">
        <v>8195</v>
      </c>
      <c r="I134" s="47" t="s">
        <v>8191</v>
      </c>
      <c r="J134" s="47" t="s">
        <v>6026</v>
      </c>
    </row>
    <row r="135" spans="2:10" ht="14.5">
      <c r="B135" s="47" t="s">
        <v>6345</v>
      </c>
      <c r="C135" s="47" t="s">
        <v>8187</v>
      </c>
      <c r="D135" s="47" t="s">
        <v>8341</v>
      </c>
      <c r="E135" s="47" t="s">
        <v>6344</v>
      </c>
      <c r="F135" s="47" t="s">
        <v>8189</v>
      </c>
      <c r="G135" s="195">
        <v>46295</v>
      </c>
      <c r="H135" s="47" t="s">
        <v>8190</v>
      </c>
      <c r="I135" s="47" t="s">
        <v>8191</v>
      </c>
      <c r="J135" s="47" t="s">
        <v>6344</v>
      </c>
    </row>
    <row r="136" spans="2:10" ht="14.5">
      <c r="B136" s="47" t="s">
        <v>5986</v>
      </c>
      <c r="C136" s="47" t="s">
        <v>64</v>
      </c>
      <c r="D136" s="47" t="s">
        <v>8342</v>
      </c>
      <c r="E136" s="47" t="s">
        <v>5985</v>
      </c>
      <c r="F136" s="47" t="s">
        <v>8189</v>
      </c>
      <c r="G136" s="195">
        <v>46309</v>
      </c>
      <c r="H136" s="47" t="s">
        <v>8195</v>
      </c>
      <c r="I136" s="47" t="s">
        <v>8191</v>
      </c>
      <c r="J136" s="47" t="s">
        <v>5985</v>
      </c>
    </row>
    <row r="137" spans="2:10" ht="14.5">
      <c r="B137" s="47" t="s">
        <v>5991</v>
      </c>
      <c r="C137" s="47" t="s">
        <v>64</v>
      </c>
      <c r="D137" s="47" t="s">
        <v>8343</v>
      </c>
      <c r="E137" s="47" t="s">
        <v>5990</v>
      </c>
      <c r="F137" s="47" t="s">
        <v>8189</v>
      </c>
      <c r="G137" s="195">
        <v>46309</v>
      </c>
      <c r="H137" s="47" t="s">
        <v>8195</v>
      </c>
      <c r="I137" s="47" t="s">
        <v>8191</v>
      </c>
      <c r="J137" s="47" t="s">
        <v>5990</v>
      </c>
    </row>
    <row r="138" spans="2:10" ht="14.5">
      <c r="B138" s="47" t="s">
        <v>6145</v>
      </c>
      <c r="C138" s="47" t="s">
        <v>64</v>
      </c>
      <c r="D138" s="47" t="s">
        <v>8344</v>
      </c>
      <c r="E138" s="47" t="s">
        <v>6144</v>
      </c>
      <c r="F138" s="47" t="s">
        <v>8189</v>
      </c>
      <c r="G138" s="195">
        <v>46311</v>
      </c>
      <c r="H138" s="47" t="s">
        <v>8195</v>
      </c>
      <c r="I138" s="47" t="s">
        <v>8191</v>
      </c>
      <c r="J138" s="47" t="s">
        <v>6144</v>
      </c>
    </row>
    <row r="139" spans="2:10" ht="14.5">
      <c r="B139" s="47" t="s">
        <v>5996</v>
      </c>
      <c r="C139" s="47" t="s">
        <v>64</v>
      </c>
      <c r="D139" s="47" t="s">
        <v>8345</v>
      </c>
      <c r="E139" s="47" t="s">
        <v>5995</v>
      </c>
      <c r="F139" s="47" t="s">
        <v>8189</v>
      </c>
      <c r="G139" s="195">
        <v>46309</v>
      </c>
      <c r="H139" s="47" t="s">
        <v>8195</v>
      </c>
      <c r="I139" s="47" t="s">
        <v>8191</v>
      </c>
      <c r="J139" s="47" t="s">
        <v>5995</v>
      </c>
    </row>
    <row r="140" spans="2:10" ht="14.5">
      <c r="B140" s="47" t="s">
        <v>6150</v>
      </c>
      <c r="C140" s="47" t="s">
        <v>64</v>
      </c>
      <c r="D140" s="47" t="s">
        <v>8346</v>
      </c>
      <c r="E140" s="47" t="s">
        <v>6149</v>
      </c>
      <c r="F140" s="47" t="s">
        <v>8189</v>
      </c>
      <c r="G140" s="195">
        <v>46305</v>
      </c>
      <c r="H140" s="47" t="s">
        <v>8195</v>
      </c>
      <c r="I140" s="47" t="s">
        <v>8191</v>
      </c>
      <c r="J140" s="47" t="s">
        <v>6149</v>
      </c>
    </row>
    <row r="141" spans="2:10" ht="14.5">
      <c r="B141" s="47" t="s">
        <v>6155</v>
      </c>
      <c r="C141" s="47" t="s">
        <v>64</v>
      </c>
      <c r="D141" s="47" t="s">
        <v>8347</v>
      </c>
      <c r="E141" s="47" t="s">
        <v>6154</v>
      </c>
      <c r="F141" s="47" t="s">
        <v>8189</v>
      </c>
      <c r="G141" s="195">
        <v>46305</v>
      </c>
      <c r="H141" s="47" t="s">
        <v>8195</v>
      </c>
      <c r="I141" s="47" t="s">
        <v>8191</v>
      </c>
      <c r="J141" s="47" t="s">
        <v>6154</v>
      </c>
    </row>
    <row r="142" spans="2:10" ht="14.5">
      <c r="B142" s="47" t="s">
        <v>6157</v>
      </c>
      <c r="C142" s="47" t="s">
        <v>64</v>
      </c>
      <c r="D142" s="47" t="s">
        <v>8348</v>
      </c>
      <c r="E142" s="47" t="s">
        <v>6156</v>
      </c>
      <c r="F142" s="47" t="s">
        <v>8189</v>
      </c>
      <c r="G142" s="195">
        <v>46305</v>
      </c>
      <c r="H142" s="47" t="s">
        <v>8195</v>
      </c>
      <c r="I142" s="47" t="s">
        <v>8191</v>
      </c>
      <c r="J142" s="47" t="s">
        <v>6156</v>
      </c>
    </row>
    <row r="143" spans="2:10" ht="14.5">
      <c r="B143" s="47" t="s">
        <v>6168</v>
      </c>
      <c r="C143" s="47" t="s">
        <v>64</v>
      </c>
      <c r="D143" s="47" t="s">
        <v>8349</v>
      </c>
      <c r="E143" s="47" t="s">
        <v>6167</v>
      </c>
      <c r="F143" s="47" t="s">
        <v>8189</v>
      </c>
      <c r="G143" s="195">
        <v>46312</v>
      </c>
      <c r="H143" s="47" t="s">
        <v>8195</v>
      </c>
      <c r="I143" s="47" t="s">
        <v>8191</v>
      </c>
      <c r="J143" s="47" t="s">
        <v>6167</v>
      </c>
    </row>
    <row r="144" spans="2:10" ht="14.5">
      <c r="B144" s="47" t="s">
        <v>6106</v>
      </c>
      <c r="C144" s="47" t="s">
        <v>64</v>
      </c>
      <c r="D144" s="47" t="s">
        <v>8350</v>
      </c>
      <c r="E144" s="47" t="s">
        <v>6104</v>
      </c>
      <c r="F144" s="47" t="s">
        <v>8189</v>
      </c>
      <c r="G144" s="195">
        <v>46309</v>
      </c>
      <c r="H144" s="47" t="s">
        <v>8195</v>
      </c>
      <c r="I144" s="47" t="s">
        <v>8191</v>
      </c>
      <c r="J144" s="47" t="s">
        <v>6104</v>
      </c>
    </row>
    <row r="145" spans="2:10" ht="14.5">
      <c r="B145" s="47" t="s">
        <v>6113</v>
      </c>
      <c r="C145" s="47" t="s">
        <v>64</v>
      </c>
      <c r="D145" s="47" t="s">
        <v>8351</v>
      </c>
      <c r="E145" s="47" t="s">
        <v>6111</v>
      </c>
      <c r="F145" s="47" t="s">
        <v>8189</v>
      </c>
      <c r="G145" s="195">
        <v>46309</v>
      </c>
      <c r="H145" s="47" t="s">
        <v>8195</v>
      </c>
      <c r="I145" s="47" t="s">
        <v>8191</v>
      </c>
      <c r="J145" s="47" t="s">
        <v>6111</v>
      </c>
    </row>
    <row r="146" spans="2:10" ht="14.5">
      <c r="B146" s="47" t="s">
        <v>6115</v>
      </c>
      <c r="C146" s="47" t="s">
        <v>64</v>
      </c>
      <c r="D146" s="47" t="s">
        <v>8352</v>
      </c>
      <c r="E146" s="47" t="s">
        <v>6114</v>
      </c>
      <c r="F146" s="47" t="s">
        <v>8189</v>
      </c>
      <c r="G146" s="195">
        <v>46309</v>
      </c>
      <c r="H146" s="47" t="s">
        <v>8195</v>
      </c>
      <c r="I146" s="47" t="s">
        <v>8191</v>
      </c>
      <c r="J146" s="47" t="s">
        <v>6114</v>
      </c>
    </row>
    <row r="147" spans="2:10" ht="14.5">
      <c r="B147" s="47" t="s">
        <v>6117</v>
      </c>
      <c r="C147" s="47" t="s">
        <v>64</v>
      </c>
      <c r="D147" s="47" t="s">
        <v>8353</v>
      </c>
      <c r="E147" s="47" t="s">
        <v>6116</v>
      </c>
      <c r="F147" s="47" t="s">
        <v>8189</v>
      </c>
      <c r="G147" s="195">
        <v>46309</v>
      </c>
      <c r="H147" s="47" t="s">
        <v>8195</v>
      </c>
      <c r="I147" s="47" t="s">
        <v>8191</v>
      </c>
      <c r="J147" s="47" t="s">
        <v>6116</v>
      </c>
    </row>
    <row r="148" spans="2:10" ht="14.5">
      <c r="B148" s="47" t="s">
        <v>6121</v>
      </c>
      <c r="C148" s="47" t="s">
        <v>64</v>
      </c>
      <c r="D148" s="47" t="s">
        <v>8354</v>
      </c>
      <c r="E148" s="47" t="s">
        <v>6120</v>
      </c>
      <c r="F148" s="47" t="s">
        <v>8189</v>
      </c>
      <c r="G148" s="195">
        <v>46309</v>
      </c>
      <c r="H148" s="47" t="s">
        <v>8195</v>
      </c>
      <c r="I148" s="47" t="s">
        <v>8191</v>
      </c>
      <c r="J148" s="47" t="s">
        <v>6120</v>
      </c>
    </row>
    <row r="149" spans="2:10" ht="14.5">
      <c r="B149" s="47" t="s">
        <v>6124</v>
      </c>
      <c r="C149" s="47" t="s">
        <v>64</v>
      </c>
      <c r="D149" s="47" t="s">
        <v>8355</v>
      </c>
      <c r="E149" s="47" t="s">
        <v>6122</v>
      </c>
      <c r="F149" s="47" t="s">
        <v>8189</v>
      </c>
      <c r="G149" s="195">
        <v>46309</v>
      </c>
      <c r="H149" s="47" t="s">
        <v>8195</v>
      </c>
      <c r="I149" s="47" t="s">
        <v>8191</v>
      </c>
      <c r="J149" s="47" t="s">
        <v>6122</v>
      </c>
    </row>
    <row r="150" spans="2:10" ht="14.5">
      <c r="B150" s="47" t="s">
        <v>6428</v>
      </c>
      <c r="C150" s="47" t="s">
        <v>64</v>
      </c>
      <c r="D150" s="47" t="s">
        <v>8356</v>
      </c>
      <c r="E150" s="47" t="s">
        <v>6427</v>
      </c>
      <c r="F150" s="47" t="s">
        <v>8189</v>
      </c>
      <c r="G150" s="195">
        <v>46304</v>
      </c>
      <c r="H150" s="47" t="s">
        <v>8195</v>
      </c>
      <c r="I150" s="47" t="s">
        <v>8191</v>
      </c>
      <c r="J150" s="47" t="s">
        <v>6427</v>
      </c>
    </row>
    <row r="151" spans="2:10" ht="14.5">
      <c r="B151" s="47" t="s">
        <v>6162</v>
      </c>
      <c r="C151" s="47" t="s">
        <v>64</v>
      </c>
      <c r="D151" s="47" t="s">
        <v>8357</v>
      </c>
      <c r="E151" s="47" t="s">
        <v>6161</v>
      </c>
      <c r="F151" s="47" t="s">
        <v>8189</v>
      </c>
      <c r="G151" s="195">
        <v>46312</v>
      </c>
      <c r="H151" s="47" t="s">
        <v>8195</v>
      </c>
      <c r="I151" s="47" t="s">
        <v>8191</v>
      </c>
      <c r="J151" s="47" t="s">
        <v>6161</v>
      </c>
    </row>
    <row r="152" spans="2:10" ht="14.5">
      <c r="B152" s="47" t="s">
        <v>6397</v>
      </c>
      <c r="C152" s="47" t="s">
        <v>64</v>
      </c>
      <c r="D152" s="47" t="s">
        <v>8358</v>
      </c>
      <c r="E152" s="47" t="s">
        <v>6396</v>
      </c>
      <c r="F152" s="47" t="s">
        <v>8189</v>
      </c>
      <c r="G152" s="195">
        <v>46312</v>
      </c>
      <c r="H152" s="47" t="s">
        <v>8195</v>
      </c>
      <c r="I152" s="47" t="s">
        <v>8191</v>
      </c>
      <c r="J152" s="47" t="s">
        <v>6396</v>
      </c>
    </row>
    <row r="153" spans="2:10" ht="14.5">
      <c r="B153" s="47" t="s">
        <v>6140</v>
      </c>
      <c r="C153" s="47" t="s">
        <v>64</v>
      </c>
      <c r="D153" s="47" t="s">
        <v>8359</v>
      </c>
      <c r="E153" s="47" t="s">
        <v>6139</v>
      </c>
      <c r="F153" s="47" t="s">
        <v>8189</v>
      </c>
      <c r="G153" s="195">
        <v>46321</v>
      </c>
      <c r="H153" s="47" t="s">
        <v>8195</v>
      </c>
      <c r="I153" s="47" t="s">
        <v>8191</v>
      </c>
      <c r="J153" s="47" t="s">
        <v>6139</v>
      </c>
    </row>
    <row r="154" spans="2:10" ht="14.5">
      <c r="B154" s="47" t="s">
        <v>6172</v>
      </c>
      <c r="C154" s="47" t="s">
        <v>64</v>
      </c>
      <c r="D154" s="47" t="s">
        <v>8360</v>
      </c>
      <c r="E154" s="47" t="s">
        <v>6171</v>
      </c>
      <c r="F154" s="47" t="s">
        <v>8189</v>
      </c>
      <c r="G154" s="195">
        <v>46312</v>
      </c>
      <c r="H154" s="47" t="s">
        <v>8195</v>
      </c>
      <c r="I154" s="47" t="s">
        <v>8191</v>
      </c>
      <c r="J154" s="47" t="s">
        <v>6171</v>
      </c>
    </row>
    <row r="155" spans="2:10" ht="14.5">
      <c r="B155" s="47" t="s">
        <v>6402</v>
      </c>
      <c r="C155" s="47" t="s">
        <v>64</v>
      </c>
      <c r="D155" s="47" t="s">
        <v>8361</v>
      </c>
      <c r="E155" s="47" t="s">
        <v>6401</v>
      </c>
      <c r="F155" s="47" t="s">
        <v>8189</v>
      </c>
      <c r="G155" s="195">
        <v>46312</v>
      </c>
      <c r="H155" s="47" t="s">
        <v>8195</v>
      </c>
      <c r="I155" s="47" t="s">
        <v>8191</v>
      </c>
      <c r="J155" s="47" t="s">
        <v>6401</v>
      </c>
    </row>
    <row r="156" spans="2:10" ht="14.5">
      <c r="B156" s="47" t="s">
        <v>6126</v>
      </c>
      <c r="C156" s="47" t="s">
        <v>64</v>
      </c>
      <c r="D156" s="47" t="s">
        <v>8362</v>
      </c>
      <c r="E156" s="47" t="s">
        <v>6125</v>
      </c>
      <c r="F156" s="47" t="s">
        <v>8189</v>
      </c>
      <c r="G156" s="195">
        <v>46314</v>
      </c>
      <c r="H156" s="47" t="s">
        <v>8195</v>
      </c>
      <c r="I156" s="47" t="s">
        <v>8191</v>
      </c>
      <c r="J156" s="47" t="s">
        <v>6125</v>
      </c>
    </row>
    <row r="157" spans="2:10" ht="14.5">
      <c r="B157" s="47" t="s">
        <v>5844</v>
      </c>
      <c r="C157" s="47" t="s">
        <v>8187</v>
      </c>
      <c r="D157" s="47" t="s">
        <v>8363</v>
      </c>
      <c r="E157" s="47" t="s">
        <v>5842</v>
      </c>
      <c r="F157" s="47" t="s">
        <v>8189</v>
      </c>
      <c r="G157" s="195">
        <v>46296</v>
      </c>
      <c r="H157" s="47" t="s">
        <v>8190</v>
      </c>
      <c r="I157" s="47" t="s">
        <v>8191</v>
      </c>
      <c r="J157" s="47" t="s">
        <v>5842</v>
      </c>
    </row>
    <row r="158" spans="2:10" ht="14.5">
      <c r="B158" s="47" t="s">
        <v>6064</v>
      </c>
      <c r="C158" s="47" t="s">
        <v>64</v>
      </c>
      <c r="D158" s="47" t="s">
        <v>8364</v>
      </c>
      <c r="E158" s="47" t="s">
        <v>6063</v>
      </c>
      <c r="F158" s="47" t="s">
        <v>8189</v>
      </c>
      <c r="G158" s="195">
        <v>46302</v>
      </c>
      <c r="H158" s="47" t="s">
        <v>8195</v>
      </c>
      <c r="I158" s="47" t="s">
        <v>8191</v>
      </c>
      <c r="J158" s="47" t="s">
        <v>6063</v>
      </c>
    </row>
    <row r="159" spans="2:10" ht="14.5">
      <c r="B159" s="47" t="s">
        <v>6160</v>
      </c>
      <c r="C159" s="47" t="s">
        <v>64</v>
      </c>
      <c r="D159" s="47" t="s">
        <v>8365</v>
      </c>
      <c r="E159" s="47" t="s">
        <v>6158</v>
      </c>
      <c r="F159" s="47" t="s">
        <v>8189</v>
      </c>
      <c r="G159" s="195">
        <v>46305</v>
      </c>
      <c r="H159" s="47" t="s">
        <v>8195</v>
      </c>
      <c r="I159" s="47" t="s">
        <v>8191</v>
      </c>
      <c r="J159" s="47" t="s">
        <v>6158</v>
      </c>
    </row>
    <row r="160" spans="2:10" ht="14.5">
      <c r="B160" s="47" t="s">
        <v>6059</v>
      </c>
      <c r="C160" s="47" t="s">
        <v>64</v>
      </c>
      <c r="D160" s="47" t="s">
        <v>8366</v>
      </c>
      <c r="E160" s="47" t="s">
        <v>6058</v>
      </c>
      <c r="F160" s="47" t="s">
        <v>8189</v>
      </c>
      <c r="G160" s="195">
        <v>46302</v>
      </c>
      <c r="H160" s="47" t="s">
        <v>8195</v>
      </c>
      <c r="I160" s="47" t="s">
        <v>8191</v>
      </c>
      <c r="J160" s="47" t="s">
        <v>6058</v>
      </c>
    </row>
    <row r="161" spans="2:10" ht="14.5">
      <c r="B161" s="47" t="s">
        <v>5924</v>
      </c>
      <c r="C161" s="47" t="s">
        <v>64</v>
      </c>
      <c r="D161" s="47" t="s">
        <v>8367</v>
      </c>
      <c r="E161" s="47" t="s">
        <v>5923</v>
      </c>
      <c r="F161" s="47" t="s">
        <v>8189</v>
      </c>
      <c r="G161" s="195">
        <v>46302</v>
      </c>
      <c r="H161" s="47" t="s">
        <v>8195</v>
      </c>
      <c r="I161" s="47" t="s">
        <v>8191</v>
      </c>
      <c r="J161" s="47" t="s">
        <v>5923</v>
      </c>
    </row>
    <row r="162" spans="2:10" ht="14.5">
      <c r="B162" s="47" t="s">
        <v>6103</v>
      </c>
      <c r="C162" s="47" t="s">
        <v>64</v>
      </c>
      <c r="D162" s="47" t="s">
        <v>8368</v>
      </c>
      <c r="E162" s="47" t="s">
        <v>6102</v>
      </c>
      <c r="F162" s="47" t="s">
        <v>8189</v>
      </c>
      <c r="G162" s="195">
        <v>46315</v>
      </c>
      <c r="H162" s="47" t="s">
        <v>8195</v>
      </c>
      <c r="I162" s="47" t="s">
        <v>8191</v>
      </c>
      <c r="J162" s="47" t="s">
        <v>6102</v>
      </c>
    </row>
    <row r="163" spans="2:10" ht="14.5">
      <c r="B163" s="47" t="s">
        <v>6025</v>
      </c>
      <c r="C163" s="47" t="s">
        <v>64</v>
      </c>
      <c r="D163" s="47" t="s">
        <v>8369</v>
      </c>
      <c r="E163" s="47" t="s">
        <v>6024</v>
      </c>
      <c r="F163" s="47" t="s">
        <v>8189</v>
      </c>
      <c r="G163" s="195">
        <v>46303</v>
      </c>
      <c r="H163" s="47" t="s">
        <v>8195</v>
      </c>
      <c r="I163" s="47" t="s">
        <v>8191</v>
      </c>
      <c r="J163" s="47" t="s">
        <v>6024</v>
      </c>
    </row>
    <row r="164" spans="2:10" ht="14.5">
      <c r="B164" s="47" t="s">
        <v>6098</v>
      </c>
      <c r="C164" s="47" t="s">
        <v>64</v>
      </c>
      <c r="D164" s="47" t="s">
        <v>8370</v>
      </c>
      <c r="E164" s="47" t="s">
        <v>6097</v>
      </c>
      <c r="F164" s="47" t="s">
        <v>8189</v>
      </c>
      <c r="G164" s="195">
        <v>46315</v>
      </c>
      <c r="H164" s="47" t="s">
        <v>8195</v>
      </c>
      <c r="I164" s="47" t="s">
        <v>8191</v>
      </c>
      <c r="J164" s="47" t="s">
        <v>6097</v>
      </c>
    </row>
    <row r="165" spans="2:10" ht="14.5">
      <c r="B165" s="47" t="s">
        <v>6017</v>
      </c>
      <c r="C165" s="47" t="s">
        <v>64</v>
      </c>
      <c r="D165" s="47" t="s">
        <v>8371</v>
      </c>
      <c r="E165" s="47" t="s">
        <v>6016</v>
      </c>
      <c r="F165" s="47" t="s">
        <v>8189</v>
      </c>
      <c r="G165" s="195">
        <v>46303</v>
      </c>
      <c r="H165" s="47" t="s">
        <v>8195</v>
      </c>
      <c r="I165" s="47" t="s">
        <v>8191</v>
      </c>
      <c r="J165" s="47" t="s">
        <v>6016</v>
      </c>
    </row>
    <row r="166" spans="2:10" ht="14.5">
      <c r="B166" s="47" t="s">
        <v>7819</v>
      </c>
      <c r="C166" s="47" t="s">
        <v>64</v>
      </c>
      <c r="D166" s="47" t="s">
        <v>8372</v>
      </c>
      <c r="E166" s="47" t="s">
        <v>8373</v>
      </c>
      <c r="F166" s="47" t="s">
        <v>8236</v>
      </c>
      <c r="G166" s="195">
        <v>46303</v>
      </c>
      <c r="H166" s="47" t="s">
        <v>8195</v>
      </c>
      <c r="I166" s="47" t="s">
        <v>8191</v>
      </c>
      <c r="J166" s="47" t="s">
        <v>8374</v>
      </c>
    </row>
    <row r="167" spans="2:10" ht="14.5">
      <c r="B167" s="47" t="s">
        <v>7809</v>
      </c>
      <c r="C167" s="47" t="s">
        <v>64</v>
      </c>
      <c r="D167" s="47" t="s">
        <v>8375</v>
      </c>
      <c r="E167" s="47" t="s">
        <v>8376</v>
      </c>
      <c r="F167" s="47" t="s">
        <v>8236</v>
      </c>
      <c r="G167" s="195">
        <v>46295</v>
      </c>
      <c r="H167" s="47" t="s">
        <v>8195</v>
      </c>
      <c r="I167" s="47" t="s">
        <v>8191</v>
      </c>
      <c r="J167" s="47" t="s">
        <v>8377</v>
      </c>
    </row>
    <row r="168" spans="2:10" ht="14.5">
      <c r="B168" s="47" t="s">
        <v>7829</v>
      </c>
      <c r="C168" s="47" t="s">
        <v>64</v>
      </c>
      <c r="D168" s="47" t="s">
        <v>8378</v>
      </c>
      <c r="E168" s="47" t="s">
        <v>8379</v>
      </c>
      <c r="F168" s="47" t="s">
        <v>8236</v>
      </c>
      <c r="G168" s="195">
        <v>46303</v>
      </c>
      <c r="H168" s="47" t="s">
        <v>8195</v>
      </c>
      <c r="I168" s="47" t="s">
        <v>8191</v>
      </c>
      <c r="J168" s="47" t="s">
        <v>8380</v>
      </c>
    </row>
    <row r="169" spans="2:10" ht="14.5">
      <c r="B169" s="47" t="s">
        <v>5776</v>
      </c>
      <c r="C169" s="47" t="s">
        <v>8187</v>
      </c>
      <c r="D169" s="47" t="s">
        <v>8381</v>
      </c>
      <c r="E169" s="47" t="s">
        <v>5773</v>
      </c>
      <c r="F169" s="47" t="s">
        <v>8189</v>
      </c>
      <c r="G169" s="195">
        <v>46279</v>
      </c>
      <c r="H169" s="47" t="s">
        <v>8190</v>
      </c>
      <c r="I169" s="47" t="s">
        <v>8191</v>
      </c>
      <c r="J169" s="47" t="s">
        <v>8382</v>
      </c>
    </row>
    <row r="170" spans="2:10" ht="14.5">
      <c r="B170" s="47" t="s">
        <v>5770</v>
      </c>
      <c r="C170" s="47" t="s">
        <v>64</v>
      </c>
      <c r="D170" s="47" t="s">
        <v>8383</v>
      </c>
      <c r="E170" s="47" t="s">
        <v>5769</v>
      </c>
      <c r="F170" s="47" t="s">
        <v>8189</v>
      </c>
      <c r="G170" s="195">
        <v>46296</v>
      </c>
      <c r="H170" s="47" t="s">
        <v>8195</v>
      </c>
      <c r="I170" s="47" t="s">
        <v>8191</v>
      </c>
      <c r="J170" s="47" t="s">
        <v>5769</v>
      </c>
    </row>
    <row r="171" spans="2:10" ht="14.5">
      <c r="B171" s="47" t="s">
        <v>5744</v>
      </c>
      <c r="C171" s="47" t="s">
        <v>64</v>
      </c>
      <c r="D171" s="47" t="s">
        <v>8384</v>
      </c>
      <c r="E171" s="47" t="s">
        <v>5743</v>
      </c>
      <c r="F171" s="47" t="s">
        <v>8189</v>
      </c>
      <c r="G171" s="195">
        <v>46303</v>
      </c>
      <c r="H171" s="47" t="s">
        <v>8195</v>
      </c>
      <c r="I171" s="47" t="s">
        <v>8191</v>
      </c>
      <c r="J171" s="47" t="s">
        <v>5743</v>
      </c>
    </row>
    <row r="172" spans="2:10" ht="14.5">
      <c r="B172" s="47" t="s">
        <v>5968</v>
      </c>
      <c r="C172" s="47" t="s">
        <v>64</v>
      </c>
      <c r="D172" s="47" t="s">
        <v>8385</v>
      </c>
      <c r="E172" s="47" t="s">
        <v>5967</v>
      </c>
      <c r="F172" s="47" t="s">
        <v>8189</v>
      </c>
      <c r="G172" s="195">
        <v>46303</v>
      </c>
      <c r="H172" s="47" t="s">
        <v>8195</v>
      </c>
      <c r="I172" s="47" t="s">
        <v>8191</v>
      </c>
      <c r="J172" s="47" t="s">
        <v>5967</v>
      </c>
    </row>
    <row r="173" spans="2:10" ht="14.5">
      <c r="B173" s="47" t="s">
        <v>5964</v>
      </c>
      <c r="C173" s="47" t="s">
        <v>64</v>
      </c>
      <c r="D173" s="47" t="s">
        <v>8386</v>
      </c>
      <c r="E173" s="47" t="s">
        <v>5963</v>
      </c>
      <c r="F173" s="47" t="s">
        <v>8189</v>
      </c>
      <c r="G173" s="195">
        <v>46303</v>
      </c>
      <c r="H173" s="47" t="s">
        <v>8195</v>
      </c>
      <c r="I173" s="47" t="s">
        <v>8191</v>
      </c>
      <c r="J173" s="47" t="s">
        <v>5963</v>
      </c>
    </row>
    <row r="174" spans="2:10" ht="14.5">
      <c r="B174" s="47" t="s">
        <v>8387</v>
      </c>
      <c r="C174" s="47" t="s">
        <v>64</v>
      </c>
      <c r="D174" s="47" t="s">
        <v>8188</v>
      </c>
      <c r="E174" s="47" t="s">
        <v>5901</v>
      </c>
      <c r="F174" s="47" t="s">
        <v>8189</v>
      </c>
      <c r="G174" s="195">
        <v>46295</v>
      </c>
      <c r="H174" s="47" t="s">
        <v>8195</v>
      </c>
      <c r="I174" s="47" t="s">
        <v>8191</v>
      </c>
      <c r="J174" s="47" t="s">
        <v>5901</v>
      </c>
    </row>
    <row r="175" spans="2:10" ht="14.5">
      <c r="B175" s="47" t="s">
        <v>8388</v>
      </c>
      <c r="C175" s="47" t="s">
        <v>64</v>
      </c>
      <c r="D175" s="47" t="s">
        <v>8193</v>
      </c>
      <c r="E175" s="47" t="s">
        <v>5890</v>
      </c>
      <c r="F175" s="47" t="s">
        <v>8189</v>
      </c>
      <c r="G175" s="195">
        <v>46295</v>
      </c>
      <c r="H175" s="47" t="s">
        <v>8195</v>
      </c>
      <c r="I175" s="47" t="s">
        <v>8191</v>
      </c>
      <c r="J175" s="47" t="s">
        <v>5890</v>
      </c>
    </row>
    <row r="176" spans="2:10" ht="14.5">
      <c r="B176" s="47" t="s">
        <v>5960</v>
      </c>
      <c r="C176" s="47" t="s">
        <v>64</v>
      </c>
      <c r="D176" s="47" t="s">
        <v>8389</v>
      </c>
      <c r="E176" s="47" t="s">
        <v>5959</v>
      </c>
      <c r="F176" s="47" t="s">
        <v>8189</v>
      </c>
      <c r="G176" s="195">
        <v>46331</v>
      </c>
      <c r="H176" s="47" t="s">
        <v>8195</v>
      </c>
      <c r="I176" s="47" t="s">
        <v>8191</v>
      </c>
      <c r="J176" s="47" t="s">
        <v>5959</v>
      </c>
    </row>
    <row r="177" spans="2:10" ht="14.5">
      <c r="B177" s="47" t="s">
        <v>5867</v>
      </c>
      <c r="C177" s="47" t="s">
        <v>64</v>
      </c>
      <c r="D177" s="47" t="s">
        <v>8390</v>
      </c>
      <c r="E177" s="47" t="s">
        <v>5866</v>
      </c>
      <c r="F177" s="47" t="s">
        <v>8189</v>
      </c>
      <c r="G177" s="195">
        <v>46300</v>
      </c>
      <c r="H177" s="47" t="s">
        <v>8195</v>
      </c>
      <c r="I177" s="47" t="s">
        <v>8191</v>
      </c>
      <c r="J177" s="47" t="s">
        <v>5866</v>
      </c>
    </row>
    <row r="178" spans="2:10" ht="14.5">
      <c r="B178" s="47" t="s">
        <v>5972</v>
      </c>
      <c r="C178" s="47" t="s">
        <v>64</v>
      </c>
      <c r="D178" s="47" t="s">
        <v>8391</v>
      </c>
      <c r="E178" s="47" t="s">
        <v>5971</v>
      </c>
      <c r="F178" s="47" t="s">
        <v>8189</v>
      </c>
      <c r="G178" s="195">
        <v>46303</v>
      </c>
      <c r="H178" s="47" t="s">
        <v>8195</v>
      </c>
      <c r="I178" s="47" t="s">
        <v>8191</v>
      </c>
      <c r="J178" s="47" t="s">
        <v>5971</v>
      </c>
    </row>
    <row r="179" spans="2:10" ht="14.5">
      <c r="B179" s="47" t="s">
        <v>5920</v>
      </c>
      <c r="C179" s="47" t="s">
        <v>64</v>
      </c>
      <c r="D179" s="47" t="s">
        <v>8392</v>
      </c>
      <c r="E179" s="47" t="s">
        <v>5919</v>
      </c>
      <c r="F179" s="47" t="s">
        <v>8189</v>
      </c>
      <c r="G179" s="195">
        <v>46309</v>
      </c>
      <c r="H179" s="47" t="s">
        <v>8195</v>
      </c>
      <c r="I179" s="47" t="s">
        <v>8191</v>
      </c>
      <c r="J179" s="47" t="s">
        <v>5919</v>
      </c>
    </row>
    <row r="180" spans="2:10" ht="14.5">
      <c r="B180" s="47" t="s">
        <v>5859</v>
      </c>
      <c r="C180" s="47" t="s">
        <v>64</v>
      </c>
      <c r="D180" s="47" t="s">
        <v>8393</v>
      </c>
      <c r="E180" s="47" t="s">
        <v>5858</v>
      </c>
      <c r="F180" s="47" t="s">
        <v>8189</v>
      </c>
      <c r="G180" s="195">
        <v>46300</v>
      </c>
      <c r="H180" s="47" t="s">
        <v>8195</v>
      </c>
      <c r="I180" s="47" t="s">
        <v>8191</v>
      </c>
      <c r="J180" s="47" t="s">
        <v>5858</v>
      </c>
    </row>
    <row r="181" spans="2:10" ht="14.5">
      <c r="B181" s="47" t="s">
        <v>5956</v>
      </c>
      <c r="C181" s="47" t="s">
        <v>64</v>
      </c>
      <c r="D181" s="47" t="s">
        <v>8394</v>
      </c>
      <c r="E181" s="47" t="s">
        <v>5955</v>
      </c>
      <c r="F181" s="47" t="s">
        <v>8189</v>
      </c>
      <c r="G181" s="195">
        <v>46321</v>
      </c>
      <c r="H181" s="47" t="s">
        <v>8195</v>
      </c>
      <c r="I181" s="47" t="s">
        <v>8191</v>
      </c>
      <c r="J181" s="47" t="s">
        <v>5955</v>
      </c>
    </row>
    <row r="182" spans="2:10" ht="14.5">
      <c r="B182" s="47" t="s">
        <v>5882</v>
      </c>
      <c r="C182" s="47" t="s">
        <v>64</v>
      </c>
      <c r="D182" s="47" t="s">
        <v>8395</v>
      </c>
      <c r="E182" s="47" t="s">
        <v>5881</v>
      </c>
      <c r="F182" s="47" t="s">
        <v>8189</v>
      </c>
      <c r="G182" s="195">
        <v>46300</v>
      </c>
      <c r="H182" s="47" t="s">
        <v>8195</v>
      </c>
      <c r="I182" s="47" t="s">
        <v>8191</v>
      </c>
      <c r="J182" s="47" t="s">
        <v>5881</v>
      </c>
    </row>
    <row r="183" spans="2:10" ht="14.5">
      <c r="B183" s="47" t="s">
        <v>5951</v>
      </c>
      <c r="C183" s="47" t="s">
        <v>64</v>
      </c>
      <c r="D183" s="47" t="s">
        <v>8396</v>
      </c>
      <c r="E183" s="47" t="s">
        <v>5950</v>
      </c>
      <c r="F183" s="47" t="s">
        <v>8189</v>
      </c>
      <c r="G183" s="195">
        <v>46342</v>
      </c>
      <c r="H183" s="47" t="s">
        <v>8195</v>
      </c>
      <c r="I183" s="47" t="s">
        <v>8191</v>
      </c>
      <c r="J183" s="47" t="s">
        <v>5950</v>
      </c>
    </row>
    <row r="184" spans="2:10" ht="14.5">
      <c r="B184" s="47" t="s">
        <v>5884</v>
      </c>
      <c r="C184" s="47" t="s">
        <v>64</v>
      </c>
      <c r="D184" s="47" t="s">
        <v>8397</v>
      </c>
      <c r="E184" s="47" t="s">
        <v>5883</v>
      </c>
      <c r="F184" s="47" t="s">
        <v>8189</v>
      </c>
      <c r="G184" s="195">
        <v>46288</v>
      </c>
      <c r="H184" s="47" t="s">
        <v>8195</v>
      </c>
      <c r="I184" s="47" t="s">
        <v>8191</v>
      </c>
      <c r="J184" s="47"/>
    </row>
    <row r="185" spans="2:10" ht="14.5">
      <c r="B185" s="47" t="s">
        <v>5875</v>
      </c>
      <c r="C185" s="47" t="s">
        <v>64</v>
      </c>
      <c r="D185" s="47" t="s">
        <v>8398</v>
      </c>
      <c r="E185" s="47" t="s">
        <v>5871</v>
      </c>
      <c r="F185" s="47" t="s">
        <v>8189</v>
      </c>
      <c r="G185" s="195">
        <v>46288</v>
      </c>
      <c r="H185" s="47" t="s">
        <v>8195</v>
      </c>
      <c r="I185" s="47" t="s">
        <v>8191</v>
      </c>
      <c r="J185" s="47"/>
    </row>
    <row r="186" spans="2:10" ht="14.5">
      <c r="B186" s="47" t="s">
        <v>5870</v>
      </c>
      <c r="C186" s="47" t="s">
        <v>64</v>
      </c>
      <c r="D186" s="47" t="s">
        <v>8399</v>
      </c>
      <c r="E186" s="47" t="s">
        <v>5868</v>
      </c>
      <c r="F186" s="47" t="s">
        <v>8189</v>
      </c>
      <c r="G186" s="195">
        <v>46300</v>
      </c>
      <c r="H186" s="47" t="s">
        <v>8195</v>
      </c>
      <c r="I186" s="47" t="s">
        <v>8191</v>
      </c>
      <c r="J186" s="47" t="s">
        <v>5868</v>
      </c>
    </row>
    <row r="187" spans="2:10" ht="14.5">
      <c r="B187" s="47" t="s">
        <v>5977</v>
      </c>
      <c r="C187" s="47" t="s">
        <v>64</v>
      </c>
      <c r="D187" s="47" t="s">
        <v>8400</v>
      </c>
      <c r="E187" s="47" t="s">
        <v>5975</v>
      </c>
      <c r="F187" s="47" t="s">
        <v>8189</v>
      </c>
      <c r="G187" s="195">
        <v>46300</v>
      </c>
      <c r="H187" s="47" t="s">
        <v>8195</v>
      </c>
      <c r="I187" s="47" t="s">
        <v>8191</v>
      </c>
      <c r="J187" s="47" t="s">
        <v>5975</v>
      </c>
    </row>
    <row r="188" spans="2:10" ht="14.5">
      <c r="B188" s="47" t="s">
        <v>5916</v>
      </c>
      <c r="C188" s="47" t="s">
        <v>64</v>
      </c>
      <c r="D188" s="47" t="s">
        <v>8401</v>
      </c>
      <c r="E188" s="47" t="s">
        <v>5914</v>
      </c>
      <c r="F188" s="47" t="s">
        <v>8189</v>
      </c>
      <c r="G188" s="195">
        <v>46309</v>
      </c>
      <c r="H188" s="47" t="s">
        <v>8195</v>
      </c>
      <c r="I188" s="47" t="s">
        <v>8191</v>
      </c>
      <c r="J188" s="47" t="s">
        <v>5914</v>
      </c>
    </row>
    <row r="189" spans="2:10" ht="14.5">
      <c r="B189" s="47" t="s">
        <v>5922</v>
      </c>
      <c r="C189" s="47" t="s">
        <v>64</v>
      </c>
      <c r="D189" s="47" t="s">
        <v>8402</v>
      </c>
      <c r="E189" s="47" t="s">
        <v>5921</v>
      </c>
      <c r="F189" s="47" t="s">
        <v>8189</v>
      </c>
      <c r="G189" s="195">
        <v>46309</v>
      </c>
      <c r="H189" s="47" t="s">
        <v>8195</v>
      </c>
      <c r="I189" s="47" t="s">
        <v>8191</v>
      </c>
      <c r="J189" s="47" t="s">
        <v>5921</v>
      </c>
    </row>
    <row r="190" spans="2:10" ht="14.5">
      <c r="B190" s="47" t="s">
        <v>5981</v>
      </c>
      <c r="C190" s="47" t="s">
        <v>64</v>
      </c>
      <c r="D190" s="47" t="s">
        <v>8403</v>
      </c>
      <c r="E190" s="47" t="s">
        <v>5980</v>
      </c>
      <c r="F190" s="47" t="s">
        <v>8189</v>
      </c>
      <c r="G190" s="195">
        <v>46296</v>
      </c>
      <c r="H190" s="47" t="s">
        <v>8195</v>
      </c>
      <c r="I190" s="47" t="s">
        <v>8191</v>
      </c>
      <c r="J190" s="47" t="s">
        <v>5980</v>
      </c>
    </row>
    <row r="191" spans="2:10" ht="14.5">
      <c r="B191" s="47" t="s">
        <v>5751</v>
      </c>
      <c r="C191" s="47" t="s">
        <v>64</v>
      </c>
      <c r="D191" s="47" t="s">
        <v>8404</v>
      </c>
      <c r="E191" s="47" t="s">
        <v>5748</v>
      </c>
      <c r="F191" s="47" t="s">
        <v>8189</v>
      </c>
      <c r="G191" s="195">
        <v>46290</v>
      </c>
      <c r="H191" s="47" t="s">
        <v>8195</v>
      </c>
      <c r="I191" s="47" t="s">
        <v>8191</v>
      </c>
      <c r="J191" s="47"/>
    </row>
    <row r="192" spans="2:10" ht="14.5">
      <c r="B192" s="47" t="s">
        <v>5934</v>
      </c>
      <c r="C192" s="47" t="s">
        <v>64</v>
      </c>
      <c r="D192" s="47" t="s">
        <v>8405</v>
      </c>
      <c r="E192" s="47" t="s">
        <v>5932</v>
      </c>
      <c r="F192" s="47" t="s">
        <v>8189</v>
      </c>
      <c r="G192" s="195">
        <v>46300</v>
      </c>
      <c r="H192" s="47" t="s">
        <v>8195</v>
      </c>
      <c r="I192" s="47" t="s">
        <v>8191</v>
      </c>
      <c r="J192" s="47" t="s">
        <v>5932</v>
      </c>
    </row>
    <row r="193" spans="2:10" ht="14.5">
      <c r="B193" s="47" t="s">
        <v>5889</v>
      </c>
      <c r="C193" s="47" t="s">
        <v>64</v>
      </c>
      <c r="D193" s="47" t="s">
        <v>8406</v>
      </c>
      <c r="E193" s="47" t="s">
        <v>8407</v>
      </c>
      <c r="F193" s="47" t="s">
        <v>8189</v>
      </c>
      <c r="G193" s="195">
        <v>46309</v>
      </c>
      <c r="H193" s="47" t="s">
        <v>8195</v>
      </c>
      <c r="I193" s="47" t="s">
        <v>8191</v>
      </c>
      <c r="J193" s="47" t="s">
        <v>8407</v>
      </c>
    </row>
    <row r="194" spans="2:10" ht="14.5">
      <c r="B194" s="47" t="s">
        <v>5877</v>
      </c>
      <c r="C194" s="47" t="s">
        <v>64</v>
      </c>
      <c r="D194" s="47" t="s">
        <v>8408</v>
      </c>
      <c r="E194" s="47" t="s">
        <v>5876</v>
      </c>
      <c r="F194" s="47" t="s">
        <v>8189</v>
      </c>
      <c r="G194" s="195">
        <v>46300</v>
      </c>
      <c r="H194" s="47" t="s">
        <v>8195</v>
      </c>
      <c r="I194" s="47" t="s">
        <v>8191</v>
      </c>
      <c r="J194" s="47" t="s">
        <v>5876</v>
      </c>
    </row>
    <row r="195" spans="2:10" ht="14.5">
      <c r="B195" s="47" t="s">
        <v>5863</v>
      </c>
      <c r="C195" s="47" t="s">
        <v>64</v>
      </c>
      <c r="D195" s="47" t="s">
        <v>8409</v>
      </c>
      <c r="E195" s="47" t="s">
        <v>5862</v>
      </c>
      <c r="F195" s="47" t="s">
        <v>8189</v>
      </c>
      <c r="G195" s="195">
        <v>46300</v>
      </c>
      <c r="H195" s="47" t="s">
        <v>8195</v>
      </c>
      <c r="I195" s="47" t="s">
        <v>8191</v>
      </c>
      <c r="J195" s="47" t="s">
        <v>5862</v>
      </c>
    </row>
    <row r="196" spans="2:10" ht="14.5">
      <c r="B196" s="47" t="s">
        <v>5757</v>
      </c>
      <c r="C196" s="47" t="s">
        <v>64</v>
      </c>
      <c r="D196" s="47" t="s">
        <v>8410</v>
      </c>
      <c r="E196" s="47" t="s">
        <v>5756</v>
      </c>
      <c r="F196" s="47" t="s">
        <v>8189</v>
      </c>
      <c r="G196" s="363">
        <v>46290</v>
      </c>
      <c r="H196" s="47" t="s">
        <v>8195</v>
      </c>
      <c r="I196" s="47" t="s">
        <v>8191</v>
      </c>
      <c r="J196" s="47" t="s">
        <v>5756</v>
      </c>
    </row>
    <row r="197" spans="2:10" ht="14.5">
      <c r="B197" s="47" t="s">
        <v>5651</v>
      </c>
      <c r="C197" s="47" t="s">
        <v>64</v>
      </c>
      <c r="D197" s="47" t="s">
        <v>8411</v>
      </c>
      <c r="E197" s="47" t="s">
        <v>5649</v>
      </c>
      <c r="F197" s="47" t="s">
        <v>8189</v>
      </c>
      <c r="G197" s="363">
        <v>46294</v>
      </c>
      <c r="H197" s="47" t="s">
        <v>8195</v>
      </c>
      <c r="I197" s="47" t="s">
        <v>8191</v>
      </c>
      <c r="J197" s="47" t="s">
        <v>5649</v>
      </c>
    </row>
    <row r="198" spans="2:10" ht="14.5">
      <c r="B198" s="47" t="s">
        <v>5833</v>
      </c>
      <c r="C198" s="47" t="s">
        <v>64</v>
      </c>
      <c r="D198" s="47" t="s">
        <v>8412</v>
      </c>
      <c r="E198" s="47" t="s">
        <v>5832</v>
      </c>
      <c r="F198" s="47" t="s">
        <v>8189</v>
      </c>
      <c r="G198" s="363">
        <v>46315</v>
      </c>
      <c r="H198" s="47" t="s">
        <v>8195</v>
      </c>
      <c r="I198" s="47" t="s">
        <v>8191</v>
      </c>
      <c r="J198" s="47" t="s">
        <v>5832</v>
      </c>
    </row>
    <row r="199" spans="2:10" ht="14.5">
      <c r="B199" s="47" t="s">
        <v>5829</v>
      </c>
      <c r="C199" s="47" t="s">
        <v>64</v>
      </c>
      <c r="D199" s="47" t="s">
        <v>8413</v>
      </c>
      <c r="E199" s="47" t="s">
        <v>5828</v>
      </c>
      <c r="F199" s="47" t="s">
        <v>8189</v>
      </c>
      <c r="G199" s="363">
        <v>46314</v>
      </c>
      <c r="H199" s="47" t="s">
        <v>8195</v>
      </c>
      <c r="I199" s="47" t="s">
        <v>8191</v>
      </c>
      <c r="J199" s="47" t="s">
        <v>5828</v>
      </c>
    </row>
    <row r="200" spans="2:10" ht="14.5">
      <c r="B200" s="47" t="s">
        <v>5819</v>
      </c>
      <c r="C200" s="47" t="s">
        <v>64</v>
      </c>
      <c r="D200" s="47" t="s">
        <v>8414</v>
      </c>
      <c r="E200" s="47" t="s">
        <v>5818</v>
      </c>
      <c r="F200" s="47" t="s">
        <v>8189</v>
      </c>
      <c r="G200" s="363">
        <v>46300</v>
      </c>
      <c r="H200" s="47" t="s">
        <v>8195</v>
      </c>
      <c r="I200" s="47" t="s">
        <v>8191</v>
      </c>
      <c r="J200" s="47" t="s">
        <v>5818</v>
      </c>
    </row>
    <row r="201" spans="2:10" ht="14.5">
      <c r="B201" s="47" t="s">
        <v>5739</v>
      </c>
      <c r="C201" s="47" t="s">
        <v>64</v>
      </c>
      <c r="D201" s="47" t="s">
        <v>8415</v>
      </c>
      <c r="E201" s="47" t="s">
        <v>5738</v>
      </c>
      <c r="F201" s="47" t="s">
        <v>8189</v>
      </c>
      <c r="G201" s="363">
        <v>46289</v>
      </c>
      <c r="H201" s="47" t="s">
        <v>8195</v>
      </c>
      <c r="I201" s="47" t="s">
        <v>8191</v>
      </c>
      <c r="J201" s="47"/>
    </row>
    <row r="202" spans="2:10" ht="14.5">
      <c r="B202" s="47" t="s">
        <v>5687</v>
      </c>
      <c r="C202" s="47" t="s">
        <v>64</v>
      </c>
      <c r="D202" s="47" t="s">
        <v>8416</v>
      </c>
      <c r="E202" s="47" t="s">
        <v>5686</v>
      </c>
      <c r="F202" s="47" t="s">
        <v>8189</v>
      </c>
      <c r="G202" s="363">
        <v>46283</v>
      </c>
      <c r="H202" s="47" t="s">
        <v>8195</v>
      </c>
      <c r="I202" s="47" t="s">
        <v>8191</v>
      </c>
      <c r="J202" s="47"/>
    </row>
    <row r="203" spans="2:10" ht="14.5">
      <c r="B203" s="47" t="s">
        <v>5545</v>
      </c>
      <c r="C203" s="47" t="s">
        <v>64</v>
      </c>
      <c r="D203" s="47" t="s">
        <v>8417</v>
      </c>
      <c r="E203" s="47" t="s">
        <v>5542</v>
      </c>
      <c r="F203" s="47" t="s">
        <v>8189</v>
      </c>
      <c r="G203" s="363">
        <v>46300</v>
      </c>
      <c r="H203" s="47" t="s">
        <v>8195</v>
      </c>
      <c r="I203" s="47" t="s">
        <v>8191</v>
      </c>
      <c r="J203" s="47" t="s">
        <v>5542</v>
      </c>
    </row>
    <row r="204" spans="2:10" ht="14.5">
      <c r="B204" s="47" t="s">
        <v>5825</v>
      </c>
      <c r="C204" s="47" t="s">
        <v>64</v>
      </c>
      <c r="D204" s="47" t="s">
        <v>8418</v>
      </c>
      <c r="E204" s="47" t="s">
        <v>5824</v>
      </c>
      <c r="F204" s="47" t="s">
        <v>8189</v>
      </c>
      <c r="G204" s="363">
        <v>46309</v>
      </c>
      <c r="H204" s="47" t="s">
        <v>8195</v>
      </c>
      <c r="I204" s="47" t="s">
        <v>8191</v>
      </c>
      <c r="J204" s="47" t="s">
        <v>5824</v>
      </c>
    </row>
    <row r="205" spans="2:10" ht="14.5">
      <c r="B205" s="47" t="s">
        <v>5712</v>
      </c>
      <c r="C205" s="47" t="s">
        <v>64</v>
      </c>
      <c r="D205" s="47" t="s">
        <v>8419</v>
      </c>
      <c r="E205" s="47" t="s">
        <v>5711</v>
      </c>
      <c r="F205" s="47" t="s">
        <v>8189</v>
      </c>
      <c r="G205" s="363">
        <v>46293</v>
      </c>
      <c r="H205" s="47" t="s">
        <v>8195</v>
      </c>
      <c r="I205" s="47" t="s">
        <v>8191</v>
      </c>
      <c r="J205" s="47" t="s">
        <v>5711</v>
      </c>
    </row>
    <row r="206" spans="2:10" ht="14.5">
      <c r="B206" s="47" t="s">
        <v>5689</v>
      </c>
      <c r="C206" s="47" t="s">
        <v>64</v>
      </c>
      <c r="D206" s="47" t="s">
        <v>8420</v>
      </c>
      <c r="E206" s="47" t="s">
        <v>5688</v>
      </c>
      <c r="F206" s="47" t="s">
        <v>8189</v>
      </c>
      <c r="G206" s="363">
        <v>46290</v>
      </c>
      <c r="H206" s="47" t="s">
        <v>8195</v>
      </c>
      <c r="I206" s="47" t="s">
        <v>8191</v>
      </c>
      <c r="J206" s="47" t="s">
        <v>5688</v>
      </c>
    </row>
    <row r="207" spans="2:10" ht="14.5">
      <c r="B207" s="47" t="s">
        <v>5717</v>
      </c>
      <c r="C207" s="47" t="s">
        <v>64</v>
      </c>
      <c r="D207" s="47" t="s">
        <v>8421</v>
      </c>
      <c r="E207" s="47" t="s">
        <v>5715</v>
      </c>
      <c r="F207" s="47" t="s">
        <v>8189</v>
      </c>
      <c r="G207" s="363">
        <v>46296</v>
      </c>
      <c r="H207" s="47" t="s">
        <v>8195</v>
      </c>
      <c r="I207" s="47" t="s">
        <v>8191</v>
      </c>
      <c r="J207" s="47" t="s">
        <v>5715</v>
      </c>
    </row>
    <row r="208" spans="2:10" ht="14.5">
      <c r="B208" s="47" t="s">
        <v>5603</v>
      </c>
      <c r="C208" s="47" t="s">
        <v>64</v>
      </c>
      <c r="D208" s="47" t="s">
        <v>8422</v>
      </c>
      <c r="E208" s="47" t="s">
        <v>5602</v>
      </c>
      <c r="F208" s="47" t="s">
        <v>8189</v>
      </c>
      <c r="G208" s="363">
        <v>46287</v>
      </c>
      <c r="H208" s="47" t="s">
        <v>8195</v>
      </c>
      <c r="I208" s="47" t="s">
        <v>8191</v>
      </c>
      <c r="J208" s="47" t="s">
        <v>5602</v>
      </c>
    </row>
    <row r="209" spans="2:10" ht="14.5">
      <c r="B209" s="47" t="s">
        <v>5685</v>
      </c>
      <c r="C209" s="47" t="s">
        <v>64</v>
      </c>
      <c r="D209" s="47" t="s">
        <v>8423</v>
      </c>
      <c r="E209" s="47" t="s">
        <v>5684</v>
      </c>
      <c r="F209" s="47" t="s">
        <v>8189</v>
      </c>
      <c r="G209" s="363">
        <v>46290</v>
      </c>
      <c r="H209" s="47" t="s">
        <v>8195</v>
      </c>
      <c r="I209" s="47" t="s">
        <v>8191</v>
      </c>
      <c r="J209" s="47" t="s">
        <v>5684</v>
      </c>
    </row>
    <row r="210" spans="2:10" ht="14.5">
      <c r="B210" s="47" t="s">
        <v>5821</v>
      </c>
      <c r="C210" s="47" t="s">
        <v>64</v>
      </c>
      <c r="D210" s="47" t="s">
        <v>8424</v>
      </c>
      <c r="E210" s="47" t="s">
        <v>5820</v>
      </c>
      <c r="F210" s="47" t="s">
        <v>8189</v>
      </c>
      <c r="G210" s="363">
        <v>46324</v>
      </c>
      <c r="H210" s="47" t="s">
        <v>8195</v>
      </c>
      <c r="I210" s="47" t="s">
        <v>8191</v>
      </c>
      <c r="J210" s="47" t="s">
        <v>5820</v>
      </c>
    </row>
    <row r="211" spans="2:10" ht="14.5">
      <c r="B211" s="47" t="s">
        <v>5640</v>
      </c>
      <c r="C211" s="47" t="s">
        <v>64</v>
      </c>
      <c r="D211" s="47" t="s">
        <v>8425</v>
      </c>
      <c r="E211" s="47" t="s">
        <v>5639</v>
      </c>
      <c r="F211" s="47" t="s">
        <v>8189</v>
      </c>
      <c r="G211" s="363">
        <v>46321</v>
      </c>
      <c r="H211" s="47" t="s">
        <v>8195</v>
      </c>
      <c r="I211" s="47" t="s">
        <v>8191</v>
      </c>
      <c r="J211" s="47" t="s">
        <v>5639</v>
      </c>
    </row>
    <row r="212" spans="2:10" ht="14.5">
      <c r="B212" s="47" t="s">
        <v>5636</v>
      </c>
      <c r="C212" s="47" t="s">
        <v>64</v>
      </c>
      <c r="D212" s="47" t="s">
        <v>8426</v>
      </c>
      <c r="E212" s="47" t="s">
        <v>5635</v>
      </c>
      <c r="F212" s="47" t="s">
        <v>8189</v>
      </c>
      <c r="G212" s="363">
        <v>46297</v>
      </c>
      <c r="H212" s="47" t="s">
        <v>8195</v>
      </c>
      <c r="I212" s="47" t="s">
        <v>8191</v>
      </c>
      <c r="J212" s="47" t="s">
        <v>5635</v>
      </c>
    </row>
    <row r="213" spans="2:10" ht="14.5">
      <c r="B213" s="47" t="s">
        <v>5598</v>
      </c>
      <c r="C213" s="47" t="s">
        <v>64</v>
      </c>
      <c r="D213" s="47" t="s">
        <v>8427</v>
      </c>
      <c r="E213" s="47" t="s">
        <v>5596</v>
      </c>
      <c r="F213" s="47" t="s">
        <v>8189</v>
      </c>
      <c r="G213" s="363">
        <v>46287</v>
      </c>
      <c r="H213" s="47" t="s">
        <v>8195</v>
      </c>
      <c r="I213" s="47" t="s">
        <v>8191</v>
      </c>
      <c r="J213" s="47" t="s">
        <v>5596</v>
      </c>
    </row>
    <row r="214" spans="2:10" ht="14.5">
      <c r="B214" s="47" t="s">
        <v>5759</v>
      </c>
      <c r="C214" s="47" t="s">
        <v>64</v>
      </c>
      <c r="D214" s="47" t="s">
        <v>8428</v>
      </c>
      <c r="E214" s="47" t="s">
        <v>5758</v>
      </c>
      <c r="F214" s="47" t="s">
        <v>8189</v>
      </c>
      <c r="G214" s="363">
        <v>46290</v>
      </c>
      <c r="H214" s="47" t="s">
        <v>8195</v>
      </c>
      <c r="I214" s="47" t="s">
        <v>8191</v>
      </c>
      <c r="J214" s="47" t="s">
        <v>5758</v>
      </c>
    </row>
    <row r="215" spans="2:10" ht="14.5">
      <c r="B215" s="47" t="s">
        <v>5765</v>
      </c>
      <c r="C215" s="47" t="s">
        <v>64</v>
      </c>
      <c r="D215" s="47" t="s">
        <v>8429</v>
      </c>
      <c r="E215" s="47" t="s">
        <v>5764</v>
      </c>
      <c r="F215" s="47" t="s">
        <v>8189</v>
      </c>
      <c r="G215" s="363">
        <v>46295</v>
      </c>
      <c r="H215" s="47" t="s">
        <v>8195</v>
      </c>
      <c r="I215" s="47" t="s">
        <v>8191</v>
      </c>
      <c r="J215" s="47" t="s">
        <v>5764</v>
      </c>
    </row>
    <row r="216" spans="2:10" ht="14.5">
      <c r="B216" s="47" t="s">
        <v>5668</v>
      </c>
      <c r="C216" s="47" t="s">
        <v>64</v>
      </c>
      <c r="D216" s="47" t="s">
        <v>8430</v>
      </c>
      <c r="E216" s="47" t="s">
        <v>5665</v>
      </c>
      <c r="F216" s="47" t="s">
        <v>8189</v>
      </c>
      <c r="G216" s="363">
        <v>46288</v>
      </c>
      <c r="H216" s="47" t="s">
        <v>8195</v>
      </c>
      <c r="I216" s="47" t="s">
        <v>8191</v>
      </c>
      <c r="J216" s="47" t="s">
        <v>5665</v>
      </c>
    </row>
    <row r="217" spans="2:10" ht="14.5">
      <c r="B217" s="47" t="s">
        <v>5704</v>
      </c>
      <c r="C217" s="47" t="s">
        <v>8187</v>
      </c>
      <c r="D217" s="47" t="s">
        <v>8431</v>
      </c>
      <c r="E217" s="47" t="s">
        <v>5703</v>
      </c>
      <c r="F217" s="47" t="s">
        <v>8189</v>
      </c>
      <c r="G217" s="363">
        <v>46280</v>
      </c>
      <c r="H217" s="47" t="s">
        <v>8190</v>
      </c>
      <c r="I217" s="47" t="s">
        <v>8191</v>
      </c>
      <c r="J217" s="47" t="s">
        <v>5703</v>
      </c>
    </row>
    <row r="218" spans="2:10" ht="14.5">
      <c r="B218" s="47" t="s">
        <v>5909</v>
      </c>
      <c r="C218" s="47" t="s">
        <v>8187</v>
      </c>
      <c r="D218" s="47" t="s">
        <v>8432</v>
      </c>
      <c r="E218" s="47" t="s">
        <v>5908</v>
      </c>
      <c r="F218" s="47" t="s">
        <v>8189</v>
      </c>
      <c r="G218" s="363">
        <v>46274</v>
      </c>
      <c r="H218" s="47" t="s">
        <v>8190</v>
      </c>
      <c r="I218" s="47" t="s">
        <v>8191</v>
      </c>
      <c r="J218" s="47" t="s">
        <v>5908</v>
      </c>
    </row>
    <row r="219" spans="2:10" ht="14.5">
      <c r="B219" s="47" t="s">
        <v>5899</v>
      </c>
      <c r="C219" s="47" t="s">
        <v>64</v>
      </c>
      <c r="D219" s="47" t="s">
        <v>8433</v>
      </c>
      <c r="E219" s="47" t="s">
        <v>5897</v>
      </c>
      <c r="F219" s="47" t="s">
        <v>8189</v>
      </c>
      <c r="G219" s="363">
        <v>46295</v>
      </c>
      <c r="H219" s="47" t="s">
        <v>8195</v>
      </c>
      <c r="I219" s="47" t="s">
        <v>8191</v>
      </c>
      <c r="J219" s="47" t="s">
        <v>5897</v>
      </c>
    </row>
    <row r="220" spans="2:10" ht="14.5">
      <c r="B220" s="47" t="s">
        <v>5913</v>
      </c>
      <c r="C220" s="47" t="s">
        <v>8187</v>
      </c>
      <c r="D220" s="47" t="s">
        <v>8434</v>
      </c>
      <c r="E220" s="47" t="s">
        <v>5912</v>
      </c>
      <c r="F220" s="47" t="s">
        <v>8189</v>
      </c>
      <c r="G220" s="363">
        <v>46274</v>
      </c>
      <c r="H220" s="47" t="s">
        <v>8190</v>
      </c>
      <c r="I220" s="47" t="s">
        <v>8191</v>
      </c>
      <c r="J220" s="47" t="s">
        <v>5912</v>
      </c>
    </row>
    <row r="221" spans="2:10" ht="14.5">
      <c r="B221" s="47" t="s">
        <v>5799</v>
      </c>
      <c r="C221" s="47" t="s">
        <v>64</v>
      </c>
      <c r="D221" s="47" t="s">
        <v>8435</v>
      </c>
      <c r="E221" s="47" t="s">
        <v>5798</v>
      </c>
      <c r="F221" s="47" t="s">
        <v>8189</v>
      </c>
      <c r="G221" s="363">
        <v>46308</v>
      </c>
      <c r="H221" s="47" t="s">
        <v>8195</v>
      </c>
      <c r="I221" s="47" t="s">
        <v>8191</v>
      </c>
      <c r="J221" s="47" t="s">
        <v>5798</v>
      </c>
    </row>
    <row r="222" spans="2:10" ht="14.5">
      <c r="B222" s="47" t="s">
        <v>5815</v>
      </c>
      <c r="C222" s="47" t="s">
        <v>64</v>
      </c>
      <c r="D222" s="47" t="s">
        <v>8436</v>
      </c>
      <c r="E222" s="47" t="s">
        <v>5814</v>
      </c>
      <c r="F222" s="47" t="s">
        <v>8189</v>
      </c>
      <c r="G222" s="363">
        <v>46300</v>
      </c>
      <c r="H222" s="47" t="s">
        <v>8195</v>
      </c>
      <c r="I222" s="47" t="s">
        <v>8191</v>
      </c>
      <c r="J222" s="47" t="s">
        <v>5814</v>
      </c>
    </row>
    <row r="223" spans="2:10" ht="14.5">
      <c r="B223" s="47" t="s">
        <v>5761</v>
      </c>
      <c r="C223" s="47" t="s">
        <v>64</v>
      </c>
      <c r="D223" s="47" t="s">
        <v>8437</v>
      </c>
      <c r="E223" s="47" t="s">
        <v>5760</v>
      </c>
      <c r="F223" s="47" t="s">
        <v>8189</v>
      </c>
      <c r="G223" s="363">
        <v>46293</v>
      </c>
      <c r="H223" s="47" t="s">
        <v>8195</v>
      </c>
      <c r="I223" s="47" t="s">
        <v>8191</v>
      </c>
      <c r="J223" s="47" t="s">
        <v>5760</v>
      </c>
    </row>
    <row r="224" spans="2:10" ht="14.5">
      <c r="B224" s="47" t="s">
        <v>5804</v>
      </c>
      <c r="C224" s="47" t="s">
        <v>64</v>
      </c>
      <c r="D224" s="47" t="s">
        <v>8438</v>
      </c>
      <c r="E224" s="47" t="s">
        <v>5803</v>
      </c>
      <c r="F224" s="47" t="s">
        <v>8189</v>
      </c>
      <c r="G224" s="363">
        <v>46308</v>
      </c>
      <c r="H224" s="47" t="s">
        <v>8195</v>
      </c>
      <c r="I224" s="47" t="s">
        <v>8191</v>
      </c>
      <c r="J224" s="47" t="s">
        <v>5803</v>
      </c>
    </row>
    <row r="225" spans="2:10" ht="14.5">
      <c r="B225" s="47" t="s">
        <v>5673</v>
      </c>
      <c r="C225" s="47" t="s">
        <v>64</v>
      </c>
      <c r="D225" s="47" t="s">
        <v>8439</v>
      </c>
      <c r="E225" s="47" t="s">
        <v>5672</v>
      </c>
      <c r="F225" s="47" t="s">
        <v>8189</v>
      </c>
      <c r="G225" s="363">
        <v>46288</v>
      </c>
      <c r="H225" s="47" t="s">
        <v>8195</v>
      </c>
      <c r="I225" s="47" t="s">
        <v>8191</v>
      </c>
      <c r="J225" s="47" t="s">
        <v>5672</v>
      </c>
    </row>
    <row r="226" spans="2:10" ht="14.5">
      <c r="B226" s="47" t="s">
        <v>5722</v>
      </c>
      <c r="C226" s="47" t="s">
        <v>64</v>
      </c>
      <c r="D226" s="47" t="s">
        <v>8440</v>
      </c>
      <c r="E226" s="47" t="s">
        <v>5721</v>
      </c>
      <c r="F226" s="47" t="s">
        <v>8189</v>
      </c>
      <c r="G226" s="363">
        <v>46296</v>
      </c>
      <c r="H226" s="47" t="s">
        <v>8195</v>
      </c>
      <c r="I226" s="47" t="s">
        <v>8191</v>
      </c>
      <c r="J226" s="47" t="s">
        <v>5721</v>
      </c>
    </row>
    <row r="227" spans="2:10" ht="14.5">
      <c r="B227" s="47" t="s">
        <v>5693</v>
      </c>
      <c r="C227" s="47" t="s">
        <v>64</v>
      </c>
      <c r="D227" s="47" t="s">
        <v>8441</v>
      </c>
      <c r="E227" s="47" t="s">
        <v>5692</v>
      </c>
      <c r="F227" s="47" t="s">
        <v>8189</v>
      </c>
      <c r="G227" s="363">
        <v>46290</v>
      </c>
      <c r="H227" s="47" t="s">
        <v>8195</v>
      </c>
      <c r="I227" s="47" t="s">
        <v>8191</v>
      </c>
      <c r="J227" s="47" t="s">
        <v>5692</v>
      </c>
    </row>
    <row r="228" spans="2:10" ht="14.5">
      <c r="B228" s="47" t="s">
        <v>5677</v>
      </c>
      <c r="C228" s="47" t="s">
        <v>64</v>
      </c>
      <c r="D228" s="47" t="s">
        <v>8442</v>
      </c>
      <c r="E228" s="47" t="s">
        <v>5676</v>
      </c>
      <c r="F228" s="47" t="s">
        <v>8189</v>
      </c>
      <c r="G228" s="363">
        <v>46288</v>
      </c>
      <c r="H228" s="47" t="s">
        <v>8195</v>
      </c>
      <c r="I228" s="47" t="s">
        <v>8191</v>
      </c>
      <c r="J228" s="47" t="s">
        <v>5676</v>
      </c>
    </row>
    <row r="229" spans="2:10" ht="14.5">
      <c r="B229" s="47" t="s">
        <v>5679</v>
      </c>
      <c r="C229" s="47" t="s">
        <v>64</v>
      </c>
      <c r="D229" s="47" t="s">
        <v>8443</v>
      </c>
      <c r="E229" s="47" t="s">
        <v>5678</v>
      </c>
      <c r="F229" s="47" t="s">
        <v>8189</v>
      </c>
      <c r="G229" s="363">
        <v>46290</v>
      </c>
      <c r="H229" s="47" t="s">
        <v>8195</v>
      </c>
      <c r="I229" s="47" t="s">
        <v>8191</v>
      </c>
      <c r="J229" s="47" t="s">
        <v>5678</v>
      </c>
    </row>
    <row r="230" spans="2:10" ht="14.5">
      <c r="B230" s="47" t="s">
        <v>5518</v>
      </c>
      <c r="C230" s="47" t="s">
        <v>64</v>
      </c>
      <c r="D230" s="47" t="s">
        <v>8444</v>
      </c>
      <c r="E230" s="47" t="s">
        <v>5517</v>
      </c>
      <c r="F230" s="47" t="s">
        <v>8189</v>
      </c>
      <c r="G230" s="363">
        <v>46293</v>
      </c>
      <c r="H230" s="47" t="s">
        <v>8195</v>
      </c>
      <c r="I230" s="47" t="s">
        <v>8191</v>
      </c>
      <c r="J230" s="47" t="s">
        <v>5517</v>
      </c>
    </row>
    <row r="231" spans="2:10" ht="14.5">
      <c r="B231" s="47" t="s">
        <v>5691</v>
      </c>
      <c r="C231" s="47" t="s">
        <v>64</v>
      </c>
      <c r="D231" s="47" t="s">
        <v>8445</v>
      </c>
      <c r="E231" s="47" t="s">
        <v>5690</v>
      </c>
      <c r="F231" s="47" t="s">
        <v>8189</v>
      </c>
      <c r="G231" s="363">
        <v>46283</v>
      </c>
      <c r="H231" s="47" t="s">
        <v>8195</v>
      </c>
      <c r="I231" s="47" t="s">
        <v>8191</v>
      </c>
      <c r="J231" s="47"/>
    </row>
    <row r="232" spans="2:10" ht="14.5">
      <c r="B232" s="47" t="s">
        <v>5786</v>
      </c>
      <c r="C232" s="47" t="s">
        <v>8187</v>
      </c>
      <c r="D232" s="47" t="s">
        <v>8446</v>
      </c>
      <c r="E232" s="47" t="s">
        <v>5782</v>
      </c>
      <c r="F232" s="47" t="s">
        <v>8189</v>
      </c>
      <c r="G232" s="363">
        <v>46307</v>
      </c>
      <c r="H232" s="47" t="s">
        <v>8190</v>
      </c>
      <c r="I232" s="47" t="s">
        <v>8191</v>
      </c>
      <c r="J232" s="47" t="s">
        <v>5782</v>
      </c>
    </row>
    <row r="233" spans="2:10" ht="14.5">
      <c r="B233" s="47" t="s">
        <v>5793</v>
      </c>
      <c r="C233" s="47" t="s">
        <v>8187</v>
      </c>
      <c r="D233" s="47" t="s">
        <v>8447</v>
      </c>
      <c r="E233" s="47" t="s">
        <v>5791</v>
      </c>
      <c r="F233" s="47" t="s">
        <v>8189</v>
      </c>
      <c r="G233" s="363">
        <v>46294</v>
      </c>
      <c r="H233" s="47" t="s">
        <v>8190</v>
      </c>
      <c r="I233" s="47" t="s">
        <v>8191</v>
      </c>
      <c r="J233" s="47" t="s">
        <v>5791</v>
      </c>
    </row>
    <row r="234" spans="2:10" ht="14.5">
      <c r="B234" s="47" t="s">
        <v>5708</v>
      </c>
      <c r="C234" s="47" t="s">
        <v>8187</v>
      </c>
      <c r="D234" s="47" t="s">
        <v>8448</v>
      </c>
      <c r="E234" s="47" t="s">
        <v>5707</v>
      </c>
      <c r="F234" s="47" t="s">
        <v>8189</v>
      </c>
      <c r="G234" s="363">
        <v>46274</v>
      </c>
      <c r="H234" s="47" t="s">
        <v>8190</v>
      </c>
      <c r="I234" s="47" t="s">
        <v>8191</v>
      </c>
      <c r="J234" s="47" t="s">
        <v>5707</v>
      </c>
    </row>
    <row r="235" spans="2:10" ht="14.5">
      <c r="B235" s="47" t="s">
        <v>5808</v>
      </c>
      <c r="C235" s="47" t="s">
        <v>64</v>
      </c>
      <c r="D235" s="47" t="s">
        <v>8449</v>
      </c>
      <c r="E235" s="47" t="s">
        <v>5807</v>
      </c>
      <c r="F235" s="47" t="s">
        <v>8189</v>
      </c>
      <c r="G235" s="363">
        <v>46293</v>
      </c>
      <c r="H235" s="47" t="s">
        <v>8195</v>
      </c>
      <c r="I235" s="47" t="s">
        <v>8191</v>
      </c>
      <c r="J235" s="47" t="s">
        <v>5807</v>
      </c>
    </row>
    <row r="236" spans="2:10" ht="14.5">
      <c r="B236" s="47" t="s">
        <v>5813</v>
      </c>
      <c r="C236" s="47" t="s">
        <v>64</v>
      </c>
      <c r="D236" s="47" t="s">
        <v>8450</v>
      </c>
      <c r="E236" s="47" t="s">
        <v>5812</v>
      </c>
      <c r="F236" s="47" t="s">
        <v>8189</v>
      </c>
      <c r="G236" s="363">
        <v>46293</v>
      </c>
      <c r="H236" s="47" t="s">
        <v>8195</v>
      </c>
      <c r="I236" s="47" t="s">
        <v>8191</v>
      </c>
      <c r="J236" s="47" t="s">
        <v>5812</v>
      </c>
    </row>
    <row r="237" spans="2:10" ht="14.5">
      <c r="B237" s="47" t="s">
        <v>5700</v>
      </c>
      <c r="C237" s="47" t="s">
        <v>8187</v>
      </c>
      <c r="D237" s="47" t="s">
        <v>8451</v>
      </c>
      <c r="E237" s="47" t="s">
        <v>5699</v>
      </c>
      <c r="F237" s="47" t="s">
        <v>8189</v>
      </c>
      <c r="G237" s="363">
        <v>46276</v>
      </c>
      <c r="H237" s="47" t="s">
        <v>8190</v>
      </c>
      <c r="I237" s="47" t="s">
        <v>8191</v>
      </c>
      <c r="J237" s="47" t="s">
        <v>5699</v>
      </c>
    </row>
    <row r="238" spans="2:10" ht="14.5">
      <c r="B238" s="47" t="s">
        <v>5695</v>
      </c>
      <c r="C238" s="47" t="s">
        <v>8187</v>
      </c>
      <c r="D238" s="47" t="s">
        <v>8452</v>
      </c>
      <c r="E238" s="47" t="s">
        <v>5694</v>
      </c>
      <c r="F238" s="47" t="s">
        <v>8189</v>
      </c>
      <c r="G238" s="363">
        <v>46277</v>
      </c>
      <c r="H238" s="47" t="s">
        <v>8190</v>
      </c>
      <c r="I238" s="47" t="s">
        <v>8191</v>
      </c>
      <c r="J238" s="47"/>
    </row>
    <row r="239" spans="2:10" ht="14.5">
      <c r="B239" s="47" t="s">
        <v>5702</v>
      </c>
      <c r="C239" s="47" t="s">
        <v>8187</v>
      </c>
      <c r="D239" s="47" t="s">
        <v>8453</v>
      </c>
      <c r="E239" s="47" t="s">
        <v>5701</v>
      </c>
      <c r="F239" s="47" t="s">
        <v>8189</v>
      </c>
      <c r="G239" s="363">
        <v>46277</v>
      </c>
      <c r="H239" s="47" t="s">
        <v>8190</v>
      </c>
      <c r="I239" s="47" t="s">
        <v>8191</v>
      </c>
      <c r="J239" s="47"/>
    </row>
    <row r="240" spans="2:10" ht="14.5">
      <c r="B240" s="47" t="s">
        <v>5631</v>
      </c>
      <c r="C240" s="47" t="s">
        <v>64</v>
      </c>
      <c r="D240" s="47" t="s">
        <v>8454</v>
      </c>
      <c r="E240" s="47" t="s">
        <v>5629</v>
      </c>
      <c r="F240" s="47" t="s">
        <v>8189</v>
      </c>
      <c r="G240" s="363">
        <v>46288</v>
      </c>
      <c r="H240" s="47" t="s">
        <v>8195</v>
      </c>
      <c r="I240" s="47" t="s">
        <v>8191</v>
      </c>
      <c r="J240" s="47" t="s">
        <v>5629</v>
      </c>
    </row>
    <row r="241" spans="2:10" ht="14.5">
      <c r="B241" s="47" t="s">
        <v>5605</v>
      </c>
      <c r="C241" s="47" t="s">
        <v>8187</v>
      </c>
      <c r="D241" s="47" t="s">
        <v>8455</v>
      </c>
      <c r="E241" s="47" t="s">
        <v>5604</v>
      </c>
      <c r="F241" s="47" t="s">
        <v>8189</v>
      </c>
      <c r="G241" s="363">
        <v>46276</v>
      </c>
      <c r="H241" s="47" t="s">
        <v>8190</v>
      </c>
      <c r="I241" s="47" t="s">
        <v>8191</v>
      </c>
      <c r="J241" s="47"/>
    </row>
    <row r="242" spans="2:10" ht="14.5">
      <c r="B242" s="47" t="s">
        <v>7794</v>
      </c>
      <c r="C242" s="47" t="s">
        <v>64</v>
      </c>
      <c r="D242" s="47" t="s">
        <v>8456</v>
      </c>
      <c r="E242" s="47" t="s">
        <v>8457</v>
      </c>
      <c r="F242" s="47" t="s">
        <v>8236</v>
      </c>
      <c r="G242" s="363">
        <v>46279</v>
      </c>
      <c r="H242" s="47" t="s">
        <v>8195</v>
      </c>
      <c r="I242" s="47" t="s">
        <v>8191</v>
      </c>
      <c r="J242" s="47" t="s">
        <v>8458</v>
      </c>
    </row>
    <row r="243" spans="2:10" ht="14.5">
      <c r="B243" s="47" t="s">
        <v>7786</v>
      </c>
      <c r="C243" s="47" t="s">
        <v>64</v>
      </c>
      <c r="D243" s="47" t="s">
        <v>8459</v>
      </c>
      <c r="E243" s="47" t="s">
        <v>8460</v>
      </c>
      <c r="F243" s="47" t="s">
        <v>8236</v>
      </c>
      <c r="G243" s="363">
        <v>46295</v>
      </c>
      <c r="H243" s="47" t="s">
        <v>8195</v>
      </c>
      <c r="I243" s="47" t="s">
        <v>8191</v>
      </c>
      <c r="J243" s="47" t="s">
        <v>8461</v>
      </c>
    </row>
    <row r="244" spans="2:10" ht="14.5">
      <c r="B244" s="47" t="s">
        <v>7781</v>
      </c>
      <c r="C244" s="47" t="s">
        <v>64</v>
      </c>
      <c r="D244" s="47" t="s">
        <v>8462</v>
      </c>
      <c r="E244" s="47" t="s">
        <v>8463</v>
      </c>
      <c r="F244" s="47" t="s">
        <v>8236</v>
      </c>
      <c r="G244" s="363">
        <v>46275</v>
      </c>
      <c r="H244" s="47" t="s">
        <v>8195</v>
      </c>
      <c r="I244" s="47" t="s">
        <v>8191</v>
      </c>
      <c r="J244" s="47" t="s">
        <v>7780</v>
      </c>
    </row>
    <row r="245" spans="2:10" ht="14.5">
      <c r="B245" s="47" t="s">
        <v>7777</v>
      </c>
      <c r="C245" s="47" t="s">
        <v>64</v>
      </c>
      <c r="D245" s="47" t="s">
        <v>8464</v>
      </c>
      <c r="E245" s="47" t="s">
        <v>8465</v>
      </c>
      <c r="F245" s="47" t="s">
        <v>8236</v>
      </c>
      <c r="G245" s="363">
        <v>46290</v>
      </c>
      <c r="H245" s="47" t="s">
        <v>8195</v>
      </c>
      <c r="I245" s="47" t="s">
        <v>8191</v>
      </c>
      <c r="J245" s="47" t="s">
        <v>7776</v>
      </c>
    </row>
    <row r="246" spans="2:10" ht="14.5">
      <c r="B246" s="47" t="s">
        <v>5564</v>
      </c>
      <c r="C246" s="47" t="s">
        <v>64</v>
      </c>
      <c r="D246" s="47" t="s">
        <v>8466</v>
      </c>
      <c r="E246" s="47" t="s">
        <v>5563</v>
      </c>
      <c r="F246" s="47" t="s">
        <v>8189</v>
      </c>
      <c r="G246" s="363">
        <v>46294</v>
      </c>
      <c r="H246" s="47" t="s">
        <v>8195</v>
      </c>
      <c r="I246" s="47" t="s">
        <v>8191</v>
      </c>
      <c r="J246" s="47" t="s">
        <v>5563</v>
      </c>
    </row>
    <row r="247" spans="2:10" ht="14.5">
      <c r="B247" s="47" t="s">
        <v>5560</v>
      </c>
      <c r="C247" s="47" t="s">
        <v>64</v>
      </c>
      <c r="D247" s="47" t="s">
        <v>8467</v>
      </c>
      <c r="E247" s="47" t="s">
        <v>5558</v>
      </c>
      <c r="F247" s="47" t="s">
        <v>8189</v>
      </c>
      <c r="G247" s="363">
        <v>46294</v>
      </c>
      <c r="H247" s="47" t="s">
        <v>8195</v>
      </c>
      <c r="I247" s="47" t="s">
        <v>8191</v>
      </c>
      <c r="J247" s="47" t="s">
        <v>5558</v>
      </c>
    </row>
    <row r="248" spans="2:10" ht="14.5">
      <c r="B248" s="47" t="s">
        <v>5660</v>
      </c>
      <c r="C248" s="47" t="s">
        <v>64</v>
      </c>
      <c r="D248" s="47" t="s">
        <v>8468</v>
      </c>
      <c r="E248" s="47" t="s">
        <v>5659</v>
      </c>
      <c r="F248" s="47" t="s">
        <v>8189</v>
      </c>
      <c r="G248" s="363">
        <v>46293</v>
      </c>
      <c r="H248" s="47" t="s">
        <v>8195</v>
      </c>
      <c r="I248" s="47" t="s">
        <v>8191</v>
      </c>
      <c r="J248" s="47" t="s">
        <v>5659</v>
      </c>
    </row>
    <row r="249" spans="2:10" ht="14.5">
      <c r="B249" s="47" t="s">
        <v>5609</v>
      </c>
      <c r="C249" s="47" t="s">
        <v>64</v>
      </c>
      <c r="D249" s="47" t="s">
        <v>8469</v>
      </c>
      <c r="E249" s="47" t="s">
        <v>5608</v>
      </c>
      <c r="F249" s="47" t="s">
        <v>8189</v>
      </c>
      <c r="G249" s="363">
        <v>46282</v>
      </c>
      <c r="H249" s="47" t="s">
        <v>8195</v>
      </c>
      <c r="I249" s="47" t="s">
        <v>8191</v>
      </c>
      <c r="J249" s="47" t="s">
        <v>5608</v>
      </c>
    </row>
    <row r="250" spans="2:10" ht="14.5">
      <c r="B250" s="47" t="s">
        <v>5538</v>
      </c>
      <c r="C250" s="47" t="s">
        <v>64</v>
      </c>
      <c r="D250" s="47" t="s">
        <v>8470</v>
      </c>
      <c r="E250" s="47" t="s">
        <v>5537</v>
      </c>
      <c r="F250" s="47" t="s">
        <v>8189</v>
      </c>
      <c r="G250" s="363">
        <v>46297</v>
      </c>
      <c r="H250" s="47" t="s">
        <v>8195</v>
      </c>
      <c r="I250" s="47" t="s">
        <v>8191</v>
      </c>
      <c r="J250" s="47" t="s">
        <v>5537</v>
      </c>
    </row>
    <row r="251" spans="2:10" ht="14.5">
      <c r="B251" s="47" t="s">
        <v>5534</v>
      </c>
      <c r="C251" s="47" t="s">
        <v>64</v>
      </c>
      <c r="D251" s="47" t="s">
        <v>8471</v>
      </c>
      <c r="E251" s="47" t="s">
        <v>5532</v>
      </c>
      <c r="F251" s="47" t="s">
        <v>8189</v>
      </c>
      <c r="G251" s="363">
        <v>46297</v>
      </c>
      <c r="H251" s="47" t="s">
        <v>8195</v>
      </c>
      <c r="I251" s="47" t="s">
        <v>8191</v>
      </c>
      <c r="J251" s="47" t="s">
        <v>5532</v>
      </c>
    </row>
    <row r="252" spans="2:10" ht="14.5">
      <c r="B252" s="47" t="s">
        <v>5387</v>
      </c>
      <c r="C252" s="47" t="s">
        <v>64</v>
      </c>
      <c r="D252" s="47" t="s">
        <v>8472</v>
      </c>
      <c r="E252" s="47" t="s">
        <v>5385</v>
      </c>
      <c r="F252" s="47" t="s">
        <v>8189</v>
      </c>
      <c r="G252" s="363">
        <v>46279</v>
      </c>
      <c r="H252" s="47" t="s">
        <v>8195</v>
      </c>
      <c r="I252" s="47" t="s">
        <v>8191</v>
      </c>
      <c r="J252" s="47" t="s">
        <v>5385</v>
      </c>
    </row>
    <row r="253" spans="2:10" ht="14.5">
      <c r="B253" s="47" t="s">
        <v>5529</v>
      </c>
      <c r="C253" s="47" t="s">
        <v>64</v>
      </c>
      <c r="D253" s="47" t="s">
        <v>8473</v>
      </c>
      <c r="E253" s="47" t="s">
        <v>5528</v>
      </c>
      <c r="F253" s="47" t="s">
        <v>8189</v>
      </c>
      <c r="G253" s="363">
        <v>46297</v>
      </c>
      <c r="H253" s="47" t="s">
        <v>8195</v>
      </c>
      <c r="I253" s="47" t="s">
        <v>8191</v>
      </c>
      <c r="J253" s="47" t="s">
        <v>5528</v>
      </c>
    </row>
    <row r="254" spans="2:10" ht="14.5">
      <c r="B254" s="47" t="s">
        <v>5645</v>
      </c>
      <c r="C254" s="47" t="s">
        <v>64</v>
      </c>
      <c r="D254" s="47" t="s">
        <v>8474</v>
      </c>
      <c r="E254" s="47" t="s">
        <v>5644</v>
      </c>
      <c r="F254" s="47" t="s">
        <v>8189</v>
      </c>
      <c r="G254" s="363">
        <v>46293</v>
      </c>
      <c r="H254" s="47" t="s">
        <v>8195</v>
      </c>
      <c r="I254" s="47" t="s">
        <v>8191</v>
      </c>
      <c r="J254" s="47" t="s">
        <v>5644</v>
      </c>
    </row>
    <row r="255" spans="2:10" ht="14.5">
      <c r="B255" s="47" t="s">
        <v>5664</v>
      </c>
      <c r="C255" s="47" t="s">
        <v>64</v>
      </c>
      <c r="D255" s="47" t="s">
        <v>8475</v>
      </c>
      <c r="E255" s="47" t="s">
        <v>5663</v>
      </c>
      <c r="F255" s="47" t="s">
        <v>8189</v>
      </c>
      <c r="G255" s="363">
        <v>46293</v>
      </c>
      <c r="H255" s="47" t="s">
        <v>8195</v>
      </c>
      <c r="I255" s="47" t="s">
        <v>8191</v>
      </c>
      <c r="J255" s="47" t="s">
        <v>5663</v>
      </c>
    </row>
    <row r="256" spans="2:10" ht="14.5">
      <c r="B256" s="47" t="s">
        <v>5619</v>
      </c>
      <c r="C256" s="47" t="s">
        <v>64</v>
      </c>
      <c r="D256" s="47" t="s">
        <v>8476</v>
      </c>
      <c r="E256" s="47" t="s">
        <v>5618</v>
      </c>
      <c r="F256" s="47" t="s">
        <v>8189</v>
      </c>
      <c r="G256" s="363">
        <v>46283</v>
      </c>
      <c r="H256" s="47" t="s">
        <v>8195</v>
      </c>
      <c r="I256" s="47" t="s">
        <v>8191</v>
      </c>
      <c r="J256" s="47" t="s">
        <v>5618</v>
      </c>
    </row>
    <row r="257" spans="2:10" ht="14.5">
      <c r="B257" s="47" t="s">
        <v>5628</v>
      </c>
      <c r="C257" s="47" t="s">
        <v>64</v>
      </c>
      <c r="D257" s="47" t="s">
        <v>8477</v>
      </c>
      <c r="E257" s="47" t="s">
        <v>5627</v>
      </c>
      <c r="F257" s="47" t="s">
        <v>8189</v>
      </c>
      <c r="G257" s="363">
        <v>46286</v>
      </c>
      <c r="H257" s="47" t="s">
        <v>8195</v>
      </c>
      <c r="I257" s="47" t="s">
        <v>8191</v>
      </c>
      <c r="J257" s="47" t="s">
        <v>5627</v>
      </c>
    </row>
    <row r="258" spans="2:10" ht="14.5">
      <c r="B258" s="47" t="s">
        <v>5506</v>
      </c>
      <c r="C258" s="47" t="s">
        <v>64</v>
      </c>
      <c r="D258" s="47" t="s">
        <v>8478</v>
      </c>
      <c r="E258" s="47" t="s">
        <v>5505</v>
      </c>
      <c r="F258" s="47" t="s">
        <v>8189</v>
      </c>
      <c r="G258" s="363">
        <v>46288</v>
      </c>
      <c r="H258" s="47" t="s">
        <v>8195</v>
      </c>
      <c r="I258" s="47" t="s">
        <v>8191</v>
      </c>
      <c r="J258" s="47" t="s">
        <v>5505</v>
      </c>
    </row>
    <row r="259" spans="2:10" ht="14.5">
      <c r="B259" s="47" t="s">
        <v>5531</v>
      </c>
      <c r="C259" s="47" t="s">
        <v>64</v>
      </c>
      <c r="D259" s="47" t="s">
        <v>8479</v>
      </c>
      <c r="E259" s="47" t="s">
        <v>5530</v>
      </c>
      <c r="F259" s="47" t="s">
        <v>8189</v>
      </c>
      <c r="G259" s="363">
        <v>46297</v>
      </c>
      <c r="H259" s="47" t="s">
        <v>8195</v>
      </c>
      <c r="I259" s="47" t="s">
        <v>8191</v>
      </c>
      <c r="J259" s="47" t="s">
        <v>5530</v>
      </c>
    </row>
    <row r="260" spans="2:10" ht="14.5">
      <c r="B260" s="47" t="s">
        <v>5588</v>
      </c>
      <c r="C260" s="47" t="s">
        <v>64</v>
      </c>
      <c r="D260" s="47" t="s">
        <v>8480</v>
      </c>
      <c r="E260" s="47" t="s">
        <v>5587</v>
      </c>
      <c r="F260" s="47" t="s">
        <v>8189</v>
      </c>
      <c r="G260" s="363">
        <v>46279</v>
      </c>
      <c r="H260" s="47" t="s">
        <v>8195</v>
      </c>
      <c r="I260" s="47" t="s">
        <v>8191</v>
      </c>
      <c r="J260" s="47" t="s">
        <v>5587</v>
      </c>
    </row>
    <row r="261" spans="2:10" ht="14.5">
      <c r="B261" s="47" t="s">
        <v>5593</v>
      </c>
      <c r="C261" s="47" t="s">
        <v>64</v>
      </c>
      <c r="D261" s="47" t="s">
        <v>8481</v>
      </c>
      <c r="E261" s="47" t="s">
        <v>5592</v>
      </c>
      <c r="F261" s="47" t="s">
        <v>8189</v>
      </c>
      <c r="G261" s="363">
        <v>46279</v>
      </c>
      <c r="H261" s="47" t="s">
        <v>8195</v>
      </c>
      <c r="I261" s="47" t="s">
        <v>8191</v>
      </c>
      <c r="J261" s="47" t="s">
        <v>5592</v>
      </c>
    </row>
    <row r="262" spans="2:10" ht="14.5">
      <c r="B262" s="47" t="s">
        <v>5595</v>
      </c>
      <c r="C262" s="47" t="s">
        <v>64</v>
      </c>
      <c r="D262" s="47" t="s">
        <v>8482</v>
      </c>
      <c r="E262" s="47" t="s">
        <v>5594</v>
      </c>
      <c r="F262" s="47" t="s">
        <v>8189</v>
      </c>
      <c r="G262" s="363">
        <v>46279</v>
      </c>
      <c r="H262" s="47" t="s">
        <v>8195</v>
      </c>
      <c r="I262" s="47" t="s">
        <v>8191</v>
      </c>
      <c r="J262" s="47" t="s">
        <v>5594</v>
      </c>
    </row>
    <row r="263" spans="2:10" ht="14.5">
      <c r="B263" s="47" t="s">
        <v>5615</v>
      </c>
      <c r="C263" s="47" t="s">
        <v>64</v>
      </c>
      <c r="D263" s="47" t="s">
        <v>8483</v>
      </c>
      <c r="E263" s="47" t="s">
        <v>5613</v>
      </c>
      <c r="F263" s="47" t="s">
        <v>8189</v>
      </c>
      <c r="G263" s="363">
        <v>46288</v>
      </c>
      <c r="H263" s="47" t="s">
        <v>8195</v>
      </c>
      <c r="I263" s="47" t="s">
        <v>8191</v>
      </c>
      <c r="J263" s="47" t="s">
        <v>5613</v>
      </c>
    </row>
    <row r="264" spans="2:10" ht="14.5">
      <c r="B264" s="47" t="s">
        <v>5623</v>
      </c>
      <c r="C264" s="47" t="s">
        <v>64</v>
      </c>
      <c r="D264" s="47" t="s">
        <v>8484</v>
      </c>
      <c r="E264" s="47" t="s">
        <v>5622</v>
      </c>
      <c r="F264" s="47" t="s">
        <v>8189</v>
      </c>
      <c r="G264" s="363">
        <v>46286</v>
      </c>
      <c r="H264" s="47" t="s">
        <v>8195</v>
      </c>
      <c r="I264" s="47" t="s">
        <v>8191</v>
      </c>
      <c r="J264" s="47" t="s">
        <v>5622</v>
      </c>
    </row>
    <row r="265" spans="2:10" ht="14.5">
      <c r="B265" s="47" t="s">
        <v>5524</v>
      </c>
      <c r="C265" s="47" t="s">
        <v>64</v>
      </c>
      <c r="D265" s="47" t="s">
        <v>8485</v>
      </c>
      <c r="E265" s="47" t="s">
        <v>5522</v>
      </c>
      <c r="F265" s="47" t="s">
        <v>8189</v>
      </c>
      <c r="G265" s="363">
        <v>46297</v>
      </c>
      <c r="H265" s="47" t="s">
        <v>8195</v>
      </c>
      <c r="I265" s="47" t="s">
        <v>8191</v>
      </c>
      <c r="J265" s="47" t="s">
        <v>5522</v>
      </c>
    </row>
    <row r="266" spans="2:10" ht="14.5">
      <c r="B266" s="47" t="s">
        <v>5541</v>
      </c>
      <c r="C266" s="47" t="s">
        <v>64</v>
      </c>
      <c r="D266" s="47" t="s">
        <v>8486</v>
      </c>
      <c r="E266" s="47" t="s">
        <v>5539</v>
      </c>
      <c r="F266" s="47" t="s">
        <v>8189</v>
      </c>
      <c r="G266" s="363">
        <v>46297</v>
      </c>
      <c r="H266" s="47" t="s">
        <v>8195</v>
      </c>
      <c r="I266" s="47" t="s">
        <v>8191</v>
      </c>
      <c r="J266" s="47" t="s">
        <v>5539</v>
      </c>
    </row>
    <row r="267" spans="2:10" ht="14.5">
      <c r="B267" s="47" t="s">
        <v>5656</v>
      </c>
      <c r="C267" s="47" t="s">
        <v>64</v>
      </c>
      <c r="D267" s="47" t="s">
        <v>8487</v>
      </c>
      <c r="E267" s="47" t="s">
        <v>5654</v>
      </c>
      <c r="F267" s="47" t="s">
        <v>8189</v>
      </c>
      <c r="G267" s="363">
        <v>46668</v>
      </c>
      <c r="H267" s="47" t="s">
        <v>8195</v>
      </c>
      <c r="I267" s="47" t="s">
        <v>8191</v>
      </c>
      <c r="J267" s="47" t="s">
        <v>5654</v>
      </c>
    </row>
    <row r="268" spans="2:10" ht="14.5">
      <c r="B268" s="47" t="s">
        <v>4845</v>
      </c>
      <c r="C268" s="47" t="s">
        <v>64</v>
      </c>
      <c r="D268" s="47" t="s">
        <v>8488</v>
      </c>
      <c r="E268" s="47"/>
      <c r="F268" s="47" t="s">
        <v>8189</v>
      </c>
      <c r="G268" s="363">
        <v>46238</v>
      </c>
      <c r="H268" s="47" t="s">
        <v>8190</v>
      </c>
      <c r="I268" s="47" t="s">
        <v>8191</v>
      </c>
      <c r="J268" s="47" t="s">
        <v>8489</v>
      </c>
    </row>
    <row r="269" spans="2:10" ht="14.5">
      <c r="B269" s="47" t="s">
        <v>4968</v>
      </c>
      <c r="C269" s="47" t="s">
        <v>8187</v>
      </c>
      <c r="D269" s="47" t="s">
        <v>8490</v>
      </c>
      <c r="E269" s="47"/>
      <c r="F269" s="47" t="s">
        <v>8189</v>
      </c>
      <c r="G269" s="363">
        <v>46246</v>
      </c>
      <c r="H269" s="47" t="s">
        <v>8190</v>
      </c>
      <c r="I269" s="47" t="s">
        <v>8191</v>
      </c>
      <c r="J269" s="47" t="s">
        <v>8491</v>
      </c>
    </row>
    <row r="270" spans="2:10" ht="14.5">
      <c r="B270" s="47" t="s">
        <v>4962</v>
      </c>
      <c r="C270" s="47" t="s">
        <v>64</v>
      </c>
      <c r="D270" s="47" t="s">
        <v>8490</v>
      </c>
      <c r="E270" s="47"/>
      <c r="F270" s="47" t="s">
        <v>8189</v>
      </c>
      <c r="G270" s="363">
        <v>46246</v>
      </c>
      <c r="H270" s="47" t="s">
        <v>8190</v>
      </c>
      <c r="I270" s="47" t="s">
        <v>8191</v>
      </c>
      <c r="J270" s="47" t="s">
        <v>8492</v>
      </c>
    </row>
    <row r="271" spans="2:10" ht="14.5">
      <c r="B271" s="47" t="s">
        <v>5403</v>
      </c>
      <c r="C271" s="47" t="s">
        <v>8187</v>
      </c>
      <c r="D271" s="47" t="s">
        <v>8493</v>
      </c>
      <c r="E271" s="47" t="s">
        <v>5398</v>
      </c>
      <c r="F271" s="47" t="s">
        <v>8189</v>
      </c>
      <c r="G271" s="363">
        <v>46262</v>
      </c>
      <c r="H271" s="47" t="s">
        <v>8190</v>
      </c>
      <c r="I271" s="47" t="s">
        <v>8191</v>
      </c>
      <c r="J271" s="47" t="s">
        <v>5398</v>
      </c>
    </row>
    <row r="272" spans="2:10" ht="14.5">
      <c r="B272" s="47" t="s">
        <v>5557</v>
      </c>
      <c r="C272" s="47" t="s">
        <v>8187</v>
      </c>
      <c r="D272" s="47" t="s">
        <v>8494</v>
      </c>
      <c r="E272" s="47" t="s">
        <v>5554</v>
      </c>
      <c r="F272" s="47" t="s">
        <v>8189</v>
      </c>
      <c r="G272" s="363">
        <v>46268</v>
      </c>
      <c r="H272" s="47" t="s">
        <v>8190</v>
      </c>
      <c r="I272" s="47" t="s">
        <v>8191</v>
      </c>
      <c r="J272" s="47" t="s">
        <v>5554</v>
      </c>
    </row>
    <row r="273" spans="2:10" ht="14.5">
      <c r="B273" s="47" t="s">
        <v>5550</v>
      </c>
      <c r="C273" s="47" t="s">
        <v>8187</v>
      </c>
      <c r="D273" s="47" t="s">
        <v>8495</v>
      </c>
      <c r="E273" s="47" t="s">
        <v>5548</v>
      </c>
      <c r="F273" s="47" t="s">
        <v>8189</v>
      </c>
      <c r="G273" s="363">
        <v>46268</v>
      </c>
      <c r="H273" s="47" t="s">
        <v>8190</v>
      </c>
      <c r="I273" s="47" t="s">
        <v>8191</v>
      </c>
      <c r="J273" s="47" t="s">
        <v>5548</v>
      </c>
    </row>
    <row r="274" spans="2:10" ht="14.5">
      <c r="B274" s="47" t="s">
        <v>5395</v>
      </c>
      <c r="C274" s="47" t="s">
        <v>8187</v>
      </c>
      <c r="D274" s="47" t="s">
        <v>8496</v>
      </c>
      <c r="E274" s="47" t="s">
        <v>5391</v>
      </c>
      <c r="F274" s="47" t="s">
        <v>8189</v>
      </c>
      <c r="G274" s="363">
        <v>46262</v>
      </c>
      <c r="H274" s="47" t="s">
        <v>8190</v>
      </c>
      <c r="I274" s="47" t="s">
        <v>8191</v>
      </c>
      <c r="J274" s="47" t="s">
        <v>5391</v>
      </c>
    </row>
    <row r="275" spans="2:10" ht="14.5">
      <c r="B275" s="47" t="s">
        <v>5023</v>
      </c>
      <c r="C275" s="47" t="s">
        <v>64</v>
      </c>
      <c r="D275" s="47" t="s">
        <v>8497</v>
      </c>
      <c r="E275" s="47"/>
      <c r="F275" s="47" t="s">
        <v>8189</v>
      </c>
      <c r="G275" s="363">
        <v>46283</v>
      </c>
      <c r="H275" s="47" t="s">
        <v>8195</v>
      </c>
      <c r="I275" s="47" t="s">
        <v>8191</v>
      </c>
      <c r="J275" s="47" t="s">
        <v>8498</v>
      </c>
    </row>
    <row r="276" spans="2:10" ht="14.5">
      <c r="B276" s="47" t="s">
        <v>5019</v>
      </c>
      <c r="C276" s="47" t="s">
        <v>64</v>
      </c>
      <c r="D276" s="47" t="s">
        <v>8499</v>
      </c>
      <c r="E276" s="47"/>
      <c r="F276" s="47" t="s">
        <v>8189</v>
      </c>
      <c r="G276" s="363">
        <v>46272</v>
      </c>
      <c r="H276" s="47" t="s">
        <v>8190</v>
      </c>
      <c r="I276" s="47" t="s">
        <v>8191</v>
      </c>
      <c r="J276" s="47" t="s">
        <v>8500</v>
      </c>
    </row>
    <row r="277" spans="2:10" ht="14.5">
      <c r="B277" s="47" t="s">
        <v>4830</v>
      </c>
      <c r="C277" s="47" t="s">
        <v>64</v>
      </c>
      <c r="D277" s="47" t="s">
        <v>8501</v>
      </c>
      <c r="E277" s="47"/>
      <c r="F277" s="47" t="s">
        <v>8189</v>
      </c>
      <c r="G277" s="363">
        <v>46265</v>
      </c>
      <c r="H277" s="47" t="s">
        <v>8190</v>
      </c>
      <c r="I277" s="47" t="s">
        <v>8191</v>
      </c>
      <c r="J277" s="47" t="s">
        <v>8502</v>
      </c>
    </row>
    <row r="278" spans="2:10" ht="14.5">
      <c r="B278" s="47" t="s">
        <v>7744</v>
      </c>
      <c r="C278" s="47" t="s">
        <v>64</v>
      </c>
      <c r="D278" s="47" t="s">
        <v>8503</v>
      </c>
      <c r="E278" s="47" t="s">
        <v>8504</v>
      </c>
      <c r="F278" s="47" t="s">
        <v>8236</v>
      </c>
      <c r="G278" s="363">
        <v>46268</v>
      </c>
      <c r="H278" s="47" t="s">
        <v>8190</v>
      </c>
      <c r="I278" s="47" t="s">
        <v>8191</v>
      </c>
      <c r="J278" s="47" t="s">
        <v>8505</v>
      </c>
    </row>
    <row r="279" spans="2:10" ht="14.5">
      <c r="B279" s="47" t="s">
        <v>7766</v>
      </c>
      <c r="C279" s="47" t="s">
        <v>64</v>
      </c>
      <c r="D279" s="47" t="s">
        <v>8506</v>
      </c>
      <c r="E279" s="47" t="s">
        <v>8507</v>
      </c>
      <c r="F279" s="47" t="s">
        <v>8236</v>
      </c>
      <c r="G279" s="363">
        <v>46288</v>
      </c>
      <c r="H279" s="47" t="s">
        <v>8195</v>
      </c>
      <c r="I279" s="47" t="s">
        <v>8191</v>
      </c>
      <c r="J279" s="47" t="s">
        <v>8508</v>
      </c>
    </row>
    <row r="280" spans="2:10" ht="14.5">
      <c r="B280" s="47" t="s">
        <v>7772</v>
      </c>
      <c r="C280" s="47" t="s">
        <v>64</v>
      </c>
      <c r="D280" s="47" t="s">
        <v>8509</v>
      </c>
      <c r="E280" s="47" t="s">
        <v>8510</v>
      </c>
      <c r="F280" s="47" t="s">
        <v>8236</v>
      </c>
      <c r="G280" s="363">
        <v>46283</v>
      </c>
      <c r="H280" s="47" t="s">
        <v>8195</v>
      </c>
      <c r="I280" s="47" t="s">
        <v>8191</v>
      </c>
      <c r="J280" s="47" t="s">
        <v>8511</v>
      </c>
    </row>
    <row r="281" spans="2:10" ht="14.5">
      <c r="B281" s="47" t="s">
        <v>7749</v>
      </c>
      <c r="C281" s="47" t="s">
        <v>64</v>
      </c>
      <c r="D281" s="47" t="s">
        <v>8512</v>
      </c>
      <c r="E281" s="47" t="s">
        <v>8513</v>
      </c>
      <c r="F281" s="47" t="s">
        <v>8236</v>
      </c>
      <c r="G281" s="363">
        <v>46279</v>
      </c>
      <c r="H281" s="47" t="s">
        <v>8195</v>
      </c>
      <c r="I281" s="47" t="s">
        <v>8191</v>
      </c>
      <c r="J281" s="47" t="s">
        <v>8514</v>
      </c>
    </row>
    <row r="282" spans="2:10" ht="14.5">
      <c r="B282" s="47" t="s">
        <v>5498</v>
      </c>
      <c r="C282" s="47" t="s">
        <v>64</v>
      </c>
      <c r="D282" s="47" t="s">
        <v>8515</v>
      </c>
      <c r="E282" s="47" t="s">
        <v>5495</v>
      </c>
      <c r="F282" s="47" t="s">
        <v>8189</v>
      </c>
      <c r="G282" s="363">
        <v>46290</v>
      </c>
      <c r="H282" s="47" t="s">
        <v>8195</v>
      </c>
      <c r="I282" s="47" t="s">
        <v>8191</v>
      </c>
      <c r="J282" s="47" t="s">
        <v>5495</v>
      </c>
    </row>
    <row r="283" spans="2:10" ht="14.5">
      <c r="B283" s="47" t="s">
        <v>5584</v>
      </c>
      <c r="C283" s="47" t="s">
        <v>64</v>
      </c>
      <c r="D283" s="47" t="s">
        <v>8516</v>
      </c>
      <c r="E283" s="47" t="s">
        <v>5582</v>
      </c>
      <c r="F283" s="47" t="s">
        <v>8189</v>
      </c>
      <c r="G283" s="363">
        <v>46304</v>
      </c>
      <c r="H283" s="47" t="s">
        <v>8195</v>
      </c>
      <c r="I283" s="47" t="s">
        <v>8191</v>
      </c>
      <c r="J283" s="47" t="s">
        <v>5582</v>
      </c>
    </row>
    <row r="284" spans="2:10" ht="14.5">
      <c r="B284" s="47" t="s">
        <v>5501</v>
      </c>
      <c r="C284" s="47" t="s">
        <v>64</v>
      </c>
      <c r="D284" s="47" t="s">
        <v>8517</v>
      </c>
      <c r="E284" s="47" t="s">
        <v>5500</v>
      </c>
      <c r="F284" s="47" t="s">
        <v>8189</v>
      </c>
      <c r="G284" s="363">
        <v>46288</v>
      </c>
      <c r="H284" s="47" t="s">
        <v>8195</v>
      </c>
      <c r="I284" s="47" t="s">
        <v>8191</v>
      </c>
      <c r="J284" s="47" t="s">
        <v>5500</v>
      </c>
    </row>
    <row r="285" spans="2:10" ht="14.5">
      <c r="B285" s="47" t="s">
        <v>5440</v>
      </c>
      <c r="C285" s="47" t="s">
        <v>64</v>
      </c>
      <c r="D285" s="47" t="s">
        <v>8518</v>
      </c>
      <c r="E285" s="47" t="s">
        <v>5438</v>
      </c>
      <c r="F285" s="47" t="s">
        <v>8189</v>
      </c>
      <c r="G285" s="363">
        <v>46290</v>
      </c>
      <c r="H285" s="47" t="s">
        <v>8195</v>
      </c>
      <c r="I285" s="47" t="s">
        <v>8191</v>
      </c>
      <c r="J285" s="47" t="s">
        <v>5438</v>
      </c>
    </row>
    <row r="286" spans="2:10" ht="14.5">
      <c r="B286" s="47" t="s">
        <v>5445</v>
      </c>
      <c r="C286" s="47" t="s">
        <v>64</v>
      </c>
      <c r="D286" s="47" t="s">
        <v>8519</v>
      </c>
      <c r="E286" s="47" t="s">
        <v>5444</v>
      </c>
      <c r="F286" s="47" t="s">
        <v>8189</v>
      </c>
      <c r="G286" s="363">
        <v>46290</v>
      </c>
      <c r="H286" s="47" t="s">
        <v>8195</v>
      </c>
      <c r="I286" s="47" t="s">
        <v>8191</v>
      </c>
      <c r="J286" s="47" t="s">
        <v>5444</v>
      </c>
    </row>
    <row r="287" spans="2:10" ht="14.5">
      <c r="B287" s="47" t="s">
        <v>5511</v>
      </c>
      <c r="C287" s="47" t="s">
        <v>64</v>
      </c>
      <c r="D287" s="47" t="s">
        <v>8520</v>
      </c>
      <c r="E287" s="47" t="s">
        <v>5509</v>
      </c>
      <c r="F287" s="47" t="s">
        <v>8189</v>
      </c>
      <c r="G287" s="363">
        <v>46282</v>
      </c>
      <c r="H287" s="47" t="s">
        <v>8195</v>
      </c>
      <c r="I287" s="47" t="s">
        <v>8191</v>
      </c>
      <c r="J287" s="47"/>
    </row>
    <row r="288" spans="2:10" ht="14.5">
      <c r="B288" s="47" t="s">
        <v>5516</v>
      </c>
      <c r="C288" s="47" t="s">
        <v>64</v>
      </c>
      <c r="D288" s="47" t="s">
        <v>8521</v>
      </c>
      <c r="E288" s="47" t="s">
        <v>5515</v>
      </c>
      <c r="F288" s="47" t="s">
        <v>8189</v>
      </c>
      <c r="G288" s="363">
        <v>46282</v>
      </c>
      <c r="H288" s="47" t="s">
        <v>8195</v>
      </c>
      <c r="I288" s="47" t="s">
        <v>8191</v>
      </c>
      <c r="J288" s="47" t="s">
        <v>5515</v>
      </c>
    </row>
    <row r="289" spans="2:10" ht="14.5">
      <c r="B289" s="47" t="s">
        <v>5577</v>
      </c>
      <c r="C289" s="47" t="s">
        <v>64</v>
      </c>
      <c r="D289" s="47" t="s">
        <v>8522</v>
      </c>
      <c r="E289" s="47" t="s">
        <v>5576</v>
      </c>
      <c r="F289" s="47" t="s">
        <v>8189</v>
      </c>
      <c r="G289" s="363">
        <v>46283</v>
      </c>
      <c r="H289" s="47" t="s">
        <v>8195</v>
      </c>
      <c r="I289" s="47" t="s">
        <v>8191</v>
      </c>
      <c r="J289" s="47" t="s">
        <v>5576</v>
      </c>
    </row>
    <row r="290" spans="2:10" ht="14.5">
      <c r="B290" s="47" t="s">
        <v>5581</v>
      </c>
      <c r="C290" s="47" t="s">
        <v>64</v>
      </c>
      <c r="D290" s="47" t="s">
        <v>8523</v>
      </c>
      <c r="E290" s="47" t="s">
        <v>5580</v>
      </c>
      <c r="F290" s="47" t="s">
        <v>8189</v>
      </c>
      <c r="G290" s="363">
        <v>46283</v>
      </c>
      <c r="H290" s="47" t="s">
        <v>8195</v>
      </c>
      <c r="I290" s="47" t="s">
        <v>8191</v>
      </c>
      <c r="J290" s="47" t="s">
        <v>5580</v>
      </c>
    </row>
    <row r="291" spans="2:10" ht="14.5">
      <c r="B291" s="47" t="s">
        <v>5425</v>
      </c>
      <c r="C291" s="47" t="s">
        <v>64</v>
      </c>
      <c r="D291" s="47" t="s">
        <v>8524</v>
      </c>
      <c r="E291" s="47" t="s">
        <v>5424</v>
      </c>
      <c r="F291" s="47" t="s">
        <v>8189</v>
      </c>
      <c r="G291" s="363">
        <v>46279</v>
      </c>
      <c r="H291" s="47" t="s">
        <v>8195</v>
      </c>
      <c r="I291" s="47" t="s">
        <v>8191</v>
      </c>
      <c r="J291" s="47" t="s">
        <v>5424</v>
      </c>
    </row>
    <row r="292" spans="2:10" ht="14.5">
      <c r="B292" s="47" t="s">
        <v>5431</v>
      </c>
      <c r="C292" s="47" t="s">
        <v>64</v>
      </c>
      <c r="D292" s="47" t="s">
        <v>8525</v>
      </c>
      <c r="E292" s="47" t="s">
        <v>5430</v>
      </c>
      <c r="F292" s="47" t="s">
        <v>8189</v>
      </c>
      <c r="G292" s="363">
        <v>46279</v>
      </c>
      <c r="H292" s="47" t="s">
        <v>8195</v>
      </c>
      <c r="I292" s="47" t="s">
        <v>8191</v>
      </c>
      <c r="J292" s="47" t="s">
        <v>5430</v>
      </c>
    </row>
    <row r="293" spans="2:10" ht="14.5">
      <c r="B293" s="47" t="s">
        <v>5437</v>
      </c>
      <c r="C293" s="47" t="s">
        <v>64</v>
      </c>
      <c r="D293" s="47" t="s">
        <v>8526</v>
      </c>
      <c r="E293" s="47" t="s">
        <v>5436</v>
      </c>
      <c r="F293" s="47" t="s">
        <v>8189</v>
      </c>
      <c r="G293" s="363">
        <v>46279</v>
      </c>
      <c r="H293" s="47" t="s">
        <v>8195</v>
      </c>
      <c r="I293" s="47" t="s">
        <v>8191</v>
      </c>
      <c r="J293" s="47" t="s">
        <v>5436</v>
      </c>
    </row>
    <row r="294" spans="2:10" ht="14.5">
      <c r="B294" s="47" t="s">
        <v>5451</v>
      </c>
      <c r="C294" s="47" t="s">
        <v>64</v>
      </c>
      <c r="D294" s="47" t="s">
        <v>8527</v>
      </c>
      <c r="E294" s="47" t="s">
        <v>5450</v>
      </c>
      <c r="F294" s="47" t="s">
        <v>8189</v>
      </c>
      <c r="G294" s="363">
        <v>46290</v>
      </c>
      <c r="H294" s="47" t="s">
        <v>8195</v>
      </c>
      <c r="I294" s="47" t="s">
        <v>8191</v>
      </c>
      <c r="J294" s="47" t="s">
        <v>5450</v>
      </c>
    </row>
    <row r="295" spans="2:10" ht="14.5">
      <c r="B295" s="47" t="s">
        <v>5456</v>
      </c>
      <c r="C295" s="47" t="s">
        <v>8187</v>
      </c>
      <c r="D295" s="47" t="s">
        <v>8528</v>
      </c>
      <c r="E295" s="47" t="s">
        <v>5454</v>
      </c>
      <c r="F295" s="47" t="s">
        <v>8189</v>
      </c>
      <c r="G295" s="363">
        <v>46272</v>
      </c>
      <c r="H295" s="47" t="s">
        <v>8190</v>
      </c>
      <c r="I295" s="47" t="s">
        <v>8191</v>
      </c>
      <c r="J295" s="47" t="s">
        <v>5454</v>
      </c>
    </row>
    <row r="296" spans="2:10" ht="14.5">
      <c r="B296" s="47" t="s">
        <v>5461</v>
      </c>
      <c r="C296" s="47" t="s">
        <v>8187</v>
      </c>
      <c r="D296" s="47" t="s">
        <v>8529</v>
      </c>
      <c r="E296" s="47" t="s">
        <v>5459</v>
      </c>
      <c r="F296" s="47" t="s">
        <v>8189</v>
      </c>
      <c r="G296" s="363">
        <v>46272</v>
      </c>
      <c r="H296" s="47" t="s">
        <v>8190</v>
      </c>
      <c r="I296" s="47" t="s">
        <v>8191</v>
      </c>
      <c r="J296" s="47" t="s">
        <v>5459</v>
      </c>
    </row>
    <row r="297" spans="2:10" ht="14.5">
      <c r="B297" s="47" t="s">
        <v>5447</v>
      </c>
      <c r="C297" s="47" t="s">
        <v>64</v>
      </c>
      <c r="D297" s="47" t="s">
        <v>8530</v>
      </c>
      <c r="E297" s="47" t="s">
        <v>5446</v>
      </c>
      <c r="F297" s="47" t="s">
        <v>8189</v>
      </c>
      <c r="G297" s="363">
        <v>46290</v>
      </c>
      <c r="H297" s="47" t="s">
        <v>8195</v>
      </c>
      <c r="I297" s="47" t="s">
        <v>8191</v>
      </c>
      <c r="J297" s="47" t="s">
        <v>5446</v>
      </c>
    </row>
    <row r="298" spans="2:10" ht="14.5">
      <c r="B298" s="47" t="s">
        <v>5453</v>
      </c>
      <c r="C298" s="47" t="s">
        <v>64</v>
      </c>
      <c r="D298" s="47" t="s">
        <v>8531</v>
      </c>
      <c r="E298" s="47" t="s">
        <v>5452</v>
      </c>
      <c r="F298" s="47" t="s">
        <v>8189</v>
      </c>
      <c r="G298" s="363">
        <v>46290</v>
      </c>
      <c r="H298" s="47" t="s">
        <v>8195</v>
      </c>
      <c r="I298" s="47" t="s">
        <v>8191</v>
      </c>
      <c r="J298" s="47" t="s">
        <v>5452</v>
      </c>
    </row>
    <row r="299" spans="2:10" ht="14.5">
      <c r="B299" s="47" t="s">
        <v>5566</v>
      </c>
      <c r="C299" s="47" t="s">
        <v>64</v>
      </c>
      <c r="D299" s="47" t="s">
        <v>8532</v>
      </c>
      <c r="E299" s="47" t="s">
        <v>5565</v>
      </c>
      <c r="F299" s="47" t="s">
        <v>8189</v>
      </c>
      <c r="G299" s="363">
        <v>46314</v>
      </c>
      <c r="H299" s="47" t="s">
        <v>8195</v>
      </c>
      <c r="I299" s="47" t="s">
        <v>8191</v>
      </c>
      <c r="J299" s="47" t="s">
        <v>5565</v>
      </c>
    </row>
    <row r="300" spans="2:10" ht="14.5">
      <c r="B300" s="47" t="s">
        <v>5571</v>
      </c>
      <c r="C300" s="47" t="s">
        <v>64</v>
      </c>
      <c r="D300" s="47" t="s">
        <v>8533</v>
      </c>
      <c r="E300" s="47" t="s">
        <v>5570</v>
      </c>
      <c r="F300" s="47" t="s">
        <v>8189</v>
      </c>
      <c r="G300" s="363">
        <v>46314</v>
      </c>
      <c r="H300" s="47" t="s">
        <v>8195</v>
      </c>
      <c r="I300" s="47" t="s">
        <v>8191</v>
      </c>
      <c r="J300" s="47" t="s">
        <v>5570</v>
      </c>
    </row>
    <row r="301" spans="2:10" ht="14.5">
      <c r="B301" s="47" t="s">
        <v>5575</v>
      </c>
      <c r="C301" s="47" t="s">
        <v>64</v>
      </c>
      <c r="D301" s="47" t="s">
        <v>8534</v>
      </c>
      <c r="E301" s="47" t="s">
        <v>5574</v>
      </c>
      <c r="F301" s="47" t="s">
        <v>8189</v>
      </c>
      <c r="G301" s="363">
        <v>46314</v>
      </c>
      <c r="H301" s="47" t="s">
        <v>8195</v>
      </c>
      <c r="I301" s="47" t="s">
        <v>8191</v>
      </c>
      <c r="J301" s="47" t="s">
        <v>5574</v>
      </c>
    </row>
    <row r="302" spans="2:10" ht="14.5">
      <c r="B302" s="47" t="s">
        <v>5413</v>
      </c>
      <c r="C302" s="47" t="s">
        <v>8187</v>
      </c>
      <c r="D302" s="47" t="s">
        <v>8535</v>
      </c>
      <c r="E302" s="47" t="s">
        <v>5412</v>
      </c>
      <c r="F302" s="47" t="s">
        <v>8189</v>
      </c>
      <c r="G302" s="363">
        <v>46253</v>
      </c>
      <c r="H302" s="47" t="s">
        <v>8190</v>
      </c>
      <c r="I302" s="47" t="s">
        <v>8191</v>
      </c>
      <c r="J302" s="47" t="s">
        <v>5412</v>
      </c>
    </row>
    <row r="303" spans="2:10" ht="14.5">
      <c r="B303" s="47" t="s">
        <v>5408</v>
      </c>
      <c r="C303" s="47" t="s">
        <v>8187</v>
      </c>
      <c r="D303" s="47" t="s">
        <v>8536</v>
      </c>
      <c r="E303" s="47" t="s">
        <v>5406</v>
      </c>
      <c r="F303" s="47" t="s">
        <v>8189</v>
      </c>
      <c r="G303" s="363">
        <v>46253</v>
      </c>
      <c r="H303" s="47" t="s">
        <v>8190</v>
      </c>
      <c r="I303" s="47" t="s">
        <v>8191</v>
      </c>
      <c r="J303" s="47" t="s">
        <v>5406</v>
      </c>
    </row>
    <row r="304" spans="2:10" ht="14.5">
      <c r="B304" s="47" t="s">
        <v>8537</v>
      </c>
      <c r="C304" s="47" t="s">
        <v>8187</v>
      </c>
      <c r="D304" s="47" t="s">
        <v>8327</v>
      </c>
      <c r="E304" s="47" t="s">
        <v>8538</v>
      </c>
      <c r="F304" s="47" t="s">
        <v>8189</v>
      </c>
      <c r="G304" s="363">
        <v>46254</v>
      </c>
      <c r="H304" s="47" t="s">
        <v>8190</v>
      </c>
      <c r="I304" s="47" t="s">
        <v>8191</v>
      </c>
      <c r="J304" s="47" t="s">
        <v>8538</v>
      </c>
    </row>
    <row r="305" spans="2:10" ht="14.5">
      <c r="B305" s="47" t="s">
        <v>5423</v>
      </c>
      <c r="C305" s="47" t="s">
        <v>64</v>
      </c>
      <c r="D305" s="47" t="s">
        <v>8539</v>
      </c>
      <c r="E305" s="47" t="s">
        <v>5421</v>
      </c>
      <c r="F305" s="47" t="s">
        <v>8189</v>
      </c>
      <c r="G305" s="363">
        <v>46286</v>
      </c>
      <c r="H305" s="47" t="s">
        <v>8195</v>
      </c>
      <c r="I305" s="47" t="s">
        <v>8191</v>
      </c>
      <c r="J305" s="47" t="s">
        <v>5421</v>
      </c>
    </row>
    <row r="306" spans="2:10" ht="14.5">
      <c r="B306" s="47" t="s">
        <v>5314</v>
      </c>
      <c r="C306" s="47" t="s">
        <v>64</v>
      </c>
      <c r="D306" s="47" t="s">
        <v>8540</v>
      </c>
      <c r="E306" s="47" t="s">
        <v>5313</v>
      </c>
      <c r="F306" s="47" t="s">
        <v>8189</v>
      </c>
      <c r="G306" s="363">
        <v>46290</v>
      </c>
      <c r="H306" s="47" t="s">
        <v>8195</v>
      </c>
      <c r="I306" s="47" t="s">
        <v>8191</v>
      </c>
      <c r="J306" s="47" t="s">
        <v>5313</v>
      </c>
    </row>
    <row r="307" spans="2:10" ht="14.5">
      <c r="B307" s="47" t="s">
        <v>5316</v>
      </c>
      <c r="C307" s="47" t="s">
        <v>64</v>
      </c>
      <c r="D307" s="47" t="s">
        <v>8541</v>
      </c>
      <c r="E307" s="47" t="s">
        <v>5315</v>
      </c>
      <c r="F307" s="47" t="s">
        <v>8189</v>
      </c>
      <c r="G307" s="363">
        <v>46290</v>
      </c>
      <c r="H307" s="47" t="s">
        <v>8195</v>
      </c>
      <c r="I307" s="47" t="s">
        <v>8191</v>
      </c>
      <c r="J307" s="47" t="s">
        <v>5315</v>
      </c>
    </row>
    <row r="308" spans="2:10" ht="14.5">
      <c r="B308" s="47" t="s">
        <v>5299</v>
      </c>
      <c r="C308" s="47" t="s">
        <v>64</v>
      </c>
      <c r="D308" s="47" t="s">
        <v>8542</v>
      </c>
      <c r="E308" s="47" t="s">
        <v>5297</v>
      </c>
      <c r="F308" s="47" t="s">
        <v>8189</v>
      </c>
      <c r="G308" s="363">
        <v>46288</v>
      </c>
      <c r="H308" s="47" t="s">
        <v>8195</v>
      </c>
      <c r="I308" s="47" t="s">
        <v>8191</v>
      </c>
      <c r="J308" s="47" t="s">
        <v>5297</v>
      </c>
    </row>
    <row r="309" spans="2:10" ht="14.5">
      <c r="B309" s="47" t="s">
        <v>5308</v>
      </c>
      <c r="C309" s="47" t="s">
        <v>64</v>
      </c>
      <c r="D309" s="47" t="s">
        <v>8543</v>
      </c>
      <c r="E309" s="47" t="s">
        <v>5306</v>
      </c>
      <c r="F309" s="47" t="s">
        <v>8189</v>
      </c>
      <c r="G309" s="363">
        <v>46290</v>
      </c>
      <c r="H309" s="47" t="s">
        <v>8195</v>
      </c>
      <c r="I309" s="47" t="s">
        <v>8191</v>
      </c>
      <c r="J309" s="47" t="s">
        <v>5306</v>
      </c>
    </row>
    <row r="310" spans="2:10" ht="14.5">
      <c r="B310" s="47" t="s">
        <v>5305</v>
      </c>
      <c r="C310" s="47" t="s">
        <v>64</v>
      </c>
      <c r="D310" s="47" t="s">
        <v>8544</v>
      </c>
      <c r="E310" s="47" t="s">
        <v>5303</v>
      </c>
      <c r="F310" s="47" t="s">
        <v>8189</v>
      </c>
      <c r="G310" s="363">
        <v>46288</v>
      </c>
      <c r="H310" s="47" t="s">
        <v>8195</v>
      </c>
      <c r="I310" s="47" t="s">
        <v>8191</v>
      </c>
      <c r="J310" s="47" t="s">
        <v>5303</v>
      </c>
    </row>
    <row r="311" spans="2:10" ht="14.5">
      <c r="B311" s="357" t="s">
        <v>5420</v>
      </c>
      <c r="C311" s="47" t="s">
        <v>64</v>
      </c>
      <c r="D311" s="47" t="s">
        <v>8545</v>
      </c>
      <c r="E311" s="47" t="s">
        <v>5419</v>
      </c>
      <c r="F311" s="47" t="s">
        <v>8189</v>
      </c>
      <c r="G311" s="363">
        <v>46286</v>
      </c>
      <c r="H311" s="47" t="s">
        <v>8195</v>
      </c>
      <c r="I311" s="47" t="s">
        <v>8191</v>
      </c>
      <c r="J311" s="47" t="s">
        <v>5419</v>
      </c>
    </row>
    <row r="312" spans="2:10" ht="14.5">
      <c r="B312" s="358" t="s">
        <v>5415</v>
      </c>
      <c r="C312" s="47" t="s">
        <v>64</v>
      </c>
      <c r="D312" s="47" t="s">
        <v>8546</v>
      </c>
      <c r="E312" s="47" t="s">
        <v>5414</v>
      </c>
      <c r="F312" s="47" t="s">
        <v>8189</v>
      </c>
      <c r="G312" s="363">
        <v>46286</v>
      </c>
      <c r="H312" s="47" t="s">
        <v>8195</v>
      </c>
      <c r="I312" s="47" t="s">
        <v>8191</v>
      </c>
      <c r="J312" s="47" t="s">
        <v>5414</v>
      </c>
    </row>
    <row r="313" spans="2:10" ht="14.5">
      <c r="B313" s="47" t="s">
        <v>5312</v>
      </c>
      <c r="C313" s="47" t="s">
        <v>64</v>
      </c>
      <c r="D313" s="47" t="s">
        <v>8547</v>
      </c>
      <c r="E313" s="47" t="s">
        <v>5311</v>
      </c>
      <c r="F313" s="47" t="s">
        <v>8189</v>
      </c>
      <c r="G313" s="363">
        <v>46290</v>
      </c>
      <c r="H313" s="47" t="s">
        <v>8195</v>
      </c>
      <c r="I313" s="47" t="s">
        <v>8191</v>
      </c>
      <c r="J313" s="47" t="s">
        <v>5311</v>
      </c>
    </row>
    <row r="314" spans="2:10" ht="14.5">
      <c r="B314" s="47" t="s">
        <v>5374</v>
      </c>
      <c r="C314" s="47" t="s">
        <v>8187</v>
      </c>
      <c r="D314" s="47" t="s">
        <v>8548</v>
      </c>
      <c r="E314" s="47" t="s">
        <v>5372</v>
      </c>
      <c r="F314" s="47" t="s">
        <v>8189</v>
      </c>
      <c r="G314" s="363">
        <v>46267</v>
      </c>
      <c r="H314" s="47" t="s">
        <v>8190</v>
      </c>
      <c r="I314" s="47" t="s">
        <v>8191</v>
      </c>
      <c r="J314" s="47" t="s">
        <v>5372</v>
      </c>
    </row>
    <row r="315" spans="2:10" ht="14.5">
      <c r="B315" s="47" t="s">
        <v>5492</v>
      </c>
      <c r="C315" s="47" t="s">
        <v>64</v>
      </c>
      <c r="D315" s="47" t="s">
        <v>8549</v>
      </c>
      <c r="E315" s="47" t="s">
        <v>5491</v>
      </c>
      <c r="F315" s="47" t="s">
        <v>8189</v>
      </c>
      <c r="G315" s="363">
        <v>46279</v>
      </c>
      <c r="H315" s="47" t="s">
        <v>8195</v>
      </c>
      <c r="I315" s="47" t="s">
        <v>8191</v>
      </c>
      <c r="J315" s="47" t="s">
        <v>5491</v>
      </c>
    </row>
    <row r="316" spans="2:10" ht="14.5">
      <c r="B316" s="47" t="s">
        <v>5322</v>
      </c>
      <c r="C316" s="47" t="s">
        <v>8187</v>
      </c>
      <c r="D316" s="47" t="s">
        <v>8550</v>
      </c>
      <c r="E316" s="47" t="s">
        <v>5317</v>
      </c>
      <c r="F316" s="47" t="s">
        <v>8189</v>
      </c>
      <c r="G316" s="363">
        <v>46265</v>
      </c>
      <c r="H316" s="47" t="s">
        <v>8190</v>
      </c>
      <c r="I316" s="47" t="s">
        <v>8191</v>
      </c>
      <c r="J316" s="47" t="s">
        <v>5317</v>
      </c>
    </row>
    <row r="317" spans="2:10" ht="14.5">
      <c r="B317" s="47" t="s">
        <v>5463</v>
      </c>
      <c r="C317" s="47" t="s">
        <v>8187</v>
      </c>
      <c r="D317" s="47" t="s">
        <v>8551</v>
      </c>
      <c r="E317" s="47" t="s">
        <v>5462</v>
      </c>
      <c r="F317" s="47" t="s">
        <v>8189</v>
      </c>
      <c r="G317" s="363">
        <v>46260</v>
      </c>
      <c r="H317" s="47" t="s">
        <v>8190</v>
      </c>
      <c r="I317" s="47" t="s">
        <v>8191</v>
      </c>
      <c r="J317" s="47" t="s">
        <v>5462</v>
      </c>
    </row>
    <row r="318" spans="2:10" ht="14.5">
      <c r="B318" s="47" t="s">
        <v>5469</v>
      </c>
      <c r="C318" s="47" t="s">
        <v>8187</v>
      </c>
      <c r="D318" s="47" t="s">
        <v>8552</v>
      </c>
      <c r="E318" s="47" t="s">
        <v>5467</v>
      </c>
      <c r="F318" s="47" t="s">
        <v>8189</v>
      </c>
      <c r="G318" s="363">
        <v>46260</v>
      </c>
      <c r="H318" s="47" t="s">
        <v>8190</v>
      </c>
      <c r="I318" s="47" t="s">
        <v>8191</v>
      </c>
      <c r="J318" s="47" t="s">
        <v>5467</v>
      </c>
    </row>
    <row r="319" spans="2:10" ht="14.5">
      <c r="B319" s="47" t="s">
        <v>5475</v>
      </c>
      <c r="C319" s="47" t="s">
        <v>8187</v>
      </c>
      <c r="D319" s="47" t="s">
        <v>8553</v>
      </c>
      <c r="E319" s="47" t="s">
        <v>5473</v>
      </c>
      <c r="F319" s="47" t="s">
        <v>8189</v>
      </c>
      <c r="G319" s="363">
        <v>46260</v>
      </c>
      <c r="H319" s="47" t="s">
        <v>8190</v>
      </c>
      <c r="I319" s="47" t="s">
        <v>8191</v>
      </c>
      <c r="J319" s="47" t="s">
        <v>5473</v>
      </c>
    </row>
    <row r="320" spans="2:10" ht="14.5">
      <c r="B320" s="47" t="s">
        <v>5478</v>
      </c>
      <c r="C320" s="47" t="s">
        <v>8187</v>
      </c>
      <c r="D320" s="47" t="s">
        <v>8554</v>
      </c>
      <c r="E320" s="47" t="s">
        <v>5476</v>
      </c>
      <c r="F320" s="47" t="s">
        <v>8189</v>
      </c>
      <c r="G320" s="363">
        <v>46260</v>
      </c>
      <c r="H320" s="47" t="s">
        <v>8190</v>
      </c>
      <c r="I320" s="47" t="s">
        <v>8191</v>
      </c>
      <c r="J320" s="47" t="s">
        <v>5476</v>
      </c>
    </row>
    <row r="321" spans="2:10" ht="14.5">
      <c r="B321" s="47" t="s">
        <v>5481</v>
      </c>
      <c r="C321" s="47" t="s">
        <v>8187</v>
      </c>
      <c r="D321" s="47" t="s">
        <v>8555</v>
      </c>
      <c r="E321" s="47" t="s">
        <v>5479</v>
      </c>
      <c r="F321" s="47" t="s">
        <v>8189</v>
      </c>
      <c r="G321" s="363">
        <v>46260</v>
      </c>
      <c r="H321" s="47" t="s">
        <v>8190</v>
      </c>
      <c r="I321" s="47" t="s">
        <v>8191</v>
      </c>
      <c r="J321" s="47" t="s">
        <v>5479</v>
      </c>
    </row>
    <row r="322" spans="2:10" ht="14.5">
      <c r="B322" s="47" t="s">
        <v>5483</v>
      </c>
      <c r="C322" s="47" t="s">
        <v>64</v>
      </c>
      <c r="D322" s="47" t="s">
        <v>8556</v>
      </c>
      <c r="E322" s="47" t="s">
        <v>5482</v>
      </c>
      <c r="F322" s="47" t="s">
        <v>8189</v>
      </c>
      <c r="G322" s="363">
        <v>46300</v>
      </c>
      <c r="H322" s="47" t="s">
        <v>8195</v>
      </c>
      <c r="I322" s="47" t="s">
        <v>8191</v>
      </c>
      <c r="J322" s="47" t="s">
        <v>5482</v>
      </c>
    </row>
    <row r="323" spans="2:10" ht="14.5">
      <c r="B323" s="47" t="s">
        <v>5488</v>
      </c>
      <c r="C323" s="47" t="s">
        <v>64</v>
      </c>
      <c r="D323" s="47" t="s">
        <v>8557</v>
      </c>
      <c r="E323" s="47" t="s">
        <v>5487</v>
      </c>
      <c r="F323" s="47" t="s">
        <v>8189</v>
      </c>
      <c r="G323" s="363">
        <v>46295</v>
      </c>
      <c r="H323" s="47" t="s">
        <v>8195</v>
      </c>
      <c r="I323" s="47" t="s">
        <v>8191</v>
      </c>
      <c r="J323" s="47" t="s">
        <v>5487</v>
      </c>
    </row>
    <row r="324" spans="2:10" ht="14.5">
      <c r="B324" s="47" t="s">
        <v>5382</v>
      </c>
      <c r="C324" s="47" t="s">
        <v>64</v>
      </c>
      <c r="D324" s="47" t="s">
        <v>8558</v>
      </c>
      <c r="E324" s="47" t="s">
        <v>5378</v>
      </c>
      <c r="F324" s="47" t="s">
        <v>8189</v>
      </c>
      <c r="G324" s="363">
        <v>46267</v>
      </c>
      <c r="H324" s="47" t="s">
        <v>8190</v>
      </c>
      <c r="I324" s="47" t="s">
        <v>8191</v>
      </c>
      <c r="J324" s="47" t="s">
        <v>5378</v>
      </c>
    </row>
    <row r="325" spans="2:10" ht="14.5">
      <c r="B325" s="47" t="s">
        <v>5348</v>
      </c>
      <c r="C325" s="47" t="s">
        <v>64</v>
      </c>
      <c r="D325" s="47" t="s">
        <v>8559</v>
      </c>
      <c r="E325" s="47" t="s">
        <v>5344</v>
      </c>
      <c r="F325" s="47" t="s">
        <v>8189</v>
      </c>
      <c r="G325" s="363">
        <v>46307</v>
      </c>
      <c r="H325" s="47" t="s">
        <v>8195</v>
      </c>
      <c r="I325" s="47" t="s">
        <v>8191</v>
      </c>
      <c r="J325" s="47" t="s">
        <v>5344</v>
      </c>
    </row>
    <row r="326" spans="2:10" ht="14.5">
      <c r="B326" s="47" t="s">
        <v>5354</v>
      </c>
      <c r="C326" s="47" t="s">
        <v>8187</v>
      </c>
      <c r="D326" s="47" t="s">
        <v>8560</v>
      </c>
      <c r="E326" s="47" t="s">
        <v>5352</v>
      </c>
      <c r="F326" s="47" t="s">
        <v>8189</v>
      </c>
      <c r="G326" s="363">
        <v>46279</v>
      </c>
      <c r="H326" s="47" t="s">
        <v>8190</v>
      </c>
      <c r="I326" s="47" t="s">
        <v>8191</v>
      </c>
      <c r="J326" s="47"/>
    </row>
    <row r="327" spans="2:10" ht="14.5">
      <c r="B327" s="47" t="s">
        <v>5327</v>
      </c>
      <c r="C327" s="47" t="s">
        <v>64</v>
      </c>
      <c r="D327" s="47" t="s">
        <v>8561</v>
      </c>
      <c r="E327" s="47" t="s">
        <v>5325</v>
      </c>
      <c r="F327" s="47" t="s">
        <v>8189</v>
      </c>
      <c r="G327" s="363">
        <v>46286</v>
      </c>
      <c r="H327" s="47" t="s">
        <v>8195</v>
      </c>
      <c r="I327" s="47" t="s">
        <v>8191</v>
      </c>
      <c r="J327" s="47" t="s">
        <v>5325</v>
      </c>
    </row>
    <row r="328" spans="2:10" ht="14.5">
      <c r="B328" s="47" t="s">
        <v>5332</v>
      </c>
      <c r="C328" s="47" t="s">
        <v>64</v>
      </c>
      <c r="D328" s="47" t="s">
        <v>8562</v>
      </c>
      <c r="E328" s="47" t="s">
        <v>5331</v>
      </c>
      <c r="F328" s="47" t="s">
        <v>8189</v>
      </c>
      <c r="G328" s="363">
        <v>46286</v>
      </c>
      <c r="H328" s="47" t="s">
        <v>8195</v>
      </c>
      <c r="I328" s="47" t="s">
        <v>8191</v>
      </c>
      <c r="J328" s="47" t="s">
        <v>5331</v>
      </c>
    </row>
    <row r="329" spans="2:10" ht="14.5">
      <c r="B329" s="47" t="s">
        <v>5359</v>
      </c>
      <c r="C329" s="47" t="s">
        <v>8187</v>
      </c>
      <c r="D329" s="47" t="s">
        <v>8563</v>
      </c>
      <c r="E329" s="47" t="s">
        <v>5357</v>
      </c>
      <c r="F329" s="47" t="s">
        <v>8189</v>
      </c>
      <c r="G329" s="363">
        <v>46279</v>
      </c>
      <c r="H329" s="47" t="s">
        <v>8190</v>
      </c>
      <c r="I329" s="47" t="s">
        <v>8191</v>
      </c>
      <c r="J329" s="47" t="s">
        <v>5357</v>
      </c>
    </row>
    <row r="330" spans="2:10" ht="14.5">
      <c r="B330" s="47" t="s">
        <v>5369</v>
      </c>
      <c r="C330" s="47" t="s">
        <v>8187</v>
      </c>
      <c r="D330" s="47" t="s">
        <v>8564</v>
      </c>
      <c r="E330" s="47" t="s">
        <v>5367</v>
      </c>
      <c r="F330" s="47" t="s">
        <v>8189</v>
      </c>
      <c r="G330" s="363">
        <v>46274</v>
      </c>
      <c r="H330" s="47" t="s">
        <v>8190</v>
      </c>
      <c r="I330" s="47" t="s">
        <v>8191</v>
      </c>
      <c r="J330" s="47" t="s">
        <v>5367</v>
      </c>
    </row>
    <row r="331" spans="2:10" ht="14.5">
      <c r="B331" s="47" t="s">
        <v>5364</v>
      </c>
      <c r="C331" s="47" t="s">
        <v>8187</v>
      </c>
      <c r="D331" s="47" t="s">
        <v>8565</v>
      </c>
      <c r="E331" s="47" t="s">
        <v>5362</v>
      </c>
      <c r="F331" s="47" t="s">
        <v>8189</v>
      </c>
      <c r="G331" s="363">
        <v>46274</v>
      </c>
      <c r="H331" s="47" t="s">
        <v>8190</v>
      </c>
      <c r="I331" s="47" t="s">
        <v>8191</v>
      </c>
      <c r="J331" s="47" t="s">
        <v>5362</v>
      </c>
    </row>
    <row r="332" spans="2:10" ht="14.5">
      <c r="B332" s="47" t="s">
        <v>7712</v>
      </c>
      <c r="C332" s="47" t="s">
        <v>64</v>
      </c>
      <c r="D332" s="47" t="s">
        <v>8566</v>
      </c>
      <c r="E332" s="47" t="s">
        <v>8567</v>
      </c>
      <c r="F332" s="47" t="s">
        <v>8236</v>
      </c>
      <c r="G332" s="363">
        <v>46248</v>
      </c>
      <c r="H332" s="47" t="s">
        <v>8190</v>
      </c>
      <c r="I332" s="47" t="s">
        <v>8191</v>
      </c>
      <c r="J332" s="47" t="s">
        <v>8568</v>
      </c>
    </row>
    <row r="333" spans="2:10" ht="14.5">
      <c r="B333" s="47" t="s">
        <v>7721</v>
      </c>
      <c r="C333" s="47" t="s">
        <v>64</v>
      </c>
      <c r="D333" s="47" t="s">
        <v>8569</v>
      </c>
      <c r="E333" s="47" t="s">
        <v>8570</v>
      </c>
      <c r="F333" s="47" t="s">
        <v>8236</v>
      </c>
      <c r="G333" s="363">
        <v>46255</v>
      </c>
      <c r="H333" s="47" t="s">
        <v>8190</v>
      </c>
      <c r="I333" s="47" t="s">
        <v>8191</v>
      </c>
      <c r="J333" s="47" t="s">
        <v>8571</v>
      </c>
    </row>
    <row r="334" spans="2:10" ht="14.5">
      <c r="B334" s="47" t="s">
        <v>4656</v>
      </c>
      <c r="C334" s="47" t="s">
        <v>64</v>
      </c>
      <c r="D334" s="47" t="s">
        <v>8572</v>
      </c>
      <c r="E334" s="47"/>
      <c r="F334" s="47" t="s">
        <v>8189</v>
      </c>
      <c r="G334" s="363">
        <v>46215</v>
      </c>
      <c r="H334" s="47" t="s">
        <v>8190</v>
      </c>
      <c r="I334" s="47" t="s">
        <v>8191</v>
      </c>
      <c r="J334" s="47" t="s">
        <v>8573</v>
      </c>
    </row>
    <row r="335" spans="2:10" ht="14.5">
      <c r="B335" s="47" t="s">
        <v>4654</v>
      </c>
      <c r="C335" s="47" t="s">
        <v>64</v>
      </c>
      <c r="D335" s="47" t="s">
        <v>8574</v>
      </c>
      <c r="E335" s="47"/>
      <c r="F335" s="47" t="s">
        <v>8189</v>
      </c>
      <c r="G335" s="363">
        <v>46218</v>
      </c>
      <c r="H335" s="47" t="s">
        <v>8190</v>
      </c>
      <c r="I335" s="47" t="s">
        <v>8191</v>
      </c>
      <c r="J335" s="47" t="s">
        <v>8575</v>
      </c>
    </row>
    <row r="336" spans="2:10" ht="14.5">
      <c r="B336" s="47" t="s">
        <v>4649</v>
      </c>
      <c r="C336" s="47" t="s">
        <v>64</v>
      </c>
      <c r="D336" s="47" t="s">
        <v>8576</v>
      </c>
      <c r="E336" s="47"/>
      <c r="F336" s="47" t="s">
        <v>8189</v>
      </c>
      <c r="G336" s="363">
        <v>46218</v>
      </c>
      <c r="H336" s="47" t="s">
        <v>8190</v>
      </c>
      <c r="I336" s="47" t="s">
        <v>8191</v>
      </c>
      <c r="J336" s="47" t="s">
        <v>8577</v>
      </c>
    </row>
    <row r="337" spans="2:10" ht="14.5">
      <c r="B337" s="47" t="s">
        <v>4559</v>
      </c>
      <c r="C337" s="47" t="s">
        <v>8187</v>
      </c>
      <c r="D337" s="47" t="s">
        <v>8578</v>
      </c>
      <c r="E337" s="47"/>
      <c r="F337" s="47" t="s">
        <v>8189</v>
      </c>
      <c r="G337" s="363">
        <v>46244</v>
      </c>
      <c r="H337" s="47" t="s">
        <v>8190</v>
      </c>
      <c r="I337" s="47" t="s">
        <v>8191</v>
      </c>
      <c r="J337" s="47" t="s">
        <v>8579</v>
      </c>
    </row>
    <row r="338" spans="2:10" ht="14.5">
      <c r="B338" s="47" t="s">
        <v>4553</v>
      </c>
      <c r="C338" s="47" t="s">
        <v>8187</v>
      </c>
      <c r="D338" s="47" t="s">
        <v>8580</v>
      </c>
      <c r="E338" s="47"/>
      <c r="F338" s="47" t="s">
        <v>8189</v>
      </c>
      <c r="G338" s="363">
        <v>46244</v>
      </c>
      <c r="H338" s="47" t="s">
        <v>8190</v>
      </c>
      <c r="I338" s="47" t="s">
        <v>8191</v>
      </c>
      <c r="J338" s="47" t="s">
        <v>8581</v>
      </c>
    </row>
    <row r="339" spans="2:10" ht="14.5">
      <c r="B339" s="47" t="s">
        <v>2385</v>
      </c>
      <c r="C339" s="47" t="s">
        <v>8187</v>
      </c>
      <c r="D339" s="47" t="s">
        <v>8582</v>
      </c>
      <c r="E339" s="47"/>
      <c r="F339" s="47" t="s">
        <v>8189</v>
      </c>
      <c r="G339" s="363">
        <v>46223</v>
      </c>
      <c r="H339" s="47" t="s">
        <v>8190</v>
      </c>
      <c r="I339" s="47" t="s">
        <v>8191</v>
      </c>
      <c r="J339" s="47" t="s">
        <v>8583</v>
      </c>
    </row>
    <row r="340" spans="2:10" ht="14.5">
      <c r="B340" s="47" t="s">
        <v>2378</v>
      </c>
      <c r="C340" s="47" t="s">
        <v>64</v>
      </c>
      <c r="D340" s="47" t="s">
        <v>8582</v>
      </c>
      <c r="E340" s="47"/>
      <c r="F340" s="47" t="s">
        <v>8189</v>
      </c>
      <c r="G340" s="363">
        <v>46223</v>
      </c>
      <c r="H340" s="47" t="s">
        <v>8190</v>
      </c>
      <c r="I340" s="47" t="s">
        <v>8191</v>
      </c>
      <c r="J340" s="47" t="s">
        <v>8583</v>
      </c>
    </row>
    <row r="341" spans="2:10" ht="14.5">
      <c r="B341" s="47" t="s">
        <v>8584</v>
      </c>
      <c r="C341" s="47" t="s">
        <v>8187</v>
      </c>
      <c r="D341" s="47" t="s">
        <v>8585</v>
      </c>
      <c r="E341" s="47" t="s">
        <v>5266</v>
      </c>
      <c r="F341" s="47" t="s">
        <v>8189</v>
      </c>
      <c r="G341" s="363">
        <v>46269</v>
      </c>
      <c r="H341" s="47" t="s">
        <v>8190</v>
      </c>
      <c r="I341" s="47" t="s">
        <v>8191</v>
      </c>
      <c r="J341" s="47"/>
    </row>
    <row r="342" spans="2:10" ht="14.5">
      <c r="B342" s="47" t="s">
        <v>5226</v>
      </c>
      <c r="C342" s="47" t="s">
        <v>64</v>
      </c>
      <c r="D342" s="47" t="s">
        <v>8586</v>
      </c>
      <c r="E342" s="47" t="s">
        <v>5225</v>
      </c>
      <c r="F342" s="47" t="s">
        <v>8189</v>
      </c>
      <c r="G342" s="363">
        <v>46283</v>
      </c>
      <c r="H342" s="47" t="s">
        <v>8195</v>
      </c>
      <c r="I342" s="47" t="s">
        <v>8191</v>
      </c>
      <c r="J342" s="47" t="s">
        <v>5225</v>
      </c>
    </row>
    <row r="343" spans="2:10" ht="14.5">
      <c r="B343" s="47" t="s">
        <v>5277</v>
      </c>
      <c r="C343" s="47" t="s">
        <v>8187</v>
      </c>
      <c r="D343" s="47" t="s">
        <v>8587</v>
      </c>
      <c r="E343" s="47" t="s">
        <v>5275</v>
      </c>
      <c r="F343" s="47" t="s">
        <v>8189</v>
      </c>
      <c r="G343" s="363">
        <v>46260</v>
      </c>
      <c r="H343" s="47" t="s">
        <v>8190</v>
      </c>
      <c r="I343" s="47" t="s">
        <v>8191</v>
      </c>
      <c r="J343" s="47"/>
    </row>
    <row r="344" spans="2:10" ht="14.5">
      <c r="B344" s="47" t="s">
        <v>5224</v>
      </c>
      <c r="C344" s="47" t="s">
        <v>64</v>
      </c>
      <c r="D344" s="47" t="s">
        <v>8588</v>
      </c>
      <c r="E344" s="47" t="s">
        <v>5222</v>
      </c>
      <c r="F344" s="47" t="s">
        <v>8189</v>
      </c>
      <c r="G344" s="363">
        <v>46283</v>
      </c>
      <c r="H344" s="47" t="s">
        <v>8195</v>
      </c>
      <c r="I344" s="47" t="s">
        <v>8191</v>
      </c>
      <c r="J344" s="47" t="s">
        <v>5222</v>
      </c>
    </row>
    <row r="345" spans="2:10" ht="14.5">
      <c r="B345" s="47" t="s">
        <v>5217</v>
      </c>
      <c r="C345" s="47" t="s">
        <v>64</v>
      </c>
      <c r="D345" s="47" t="s">
        <v>8589</v>
      </c>
      <c r="E345" s="47" t="s">
        <v>5216</v>
      </c>
      <c r="F345" s="47" t="s">
        <v>8189</v>
      </c>
      <c r="G345" s="363">
        <v>46283</v>
      </c>
      <c r="H345" s="47" t="s">
        <v>8195</v>
      </c>
      <c r="I345" s="47" t="s">
        <v>8191</v>
      </c>
      <c r="J345" s="47" t="s">
        <v>5216</v>
      </c>
    </row>
    <row r="346" spans="2:10" ht="14.5">
      <c r="B346" s="47" t="s">
        <v>5286</v>
      </c>
      <c r="C346" s="47" t="s">
        <v>8187</v>
      </c>
      <c r="D346" s="47" t="s">
        <v>8590</v>
      </c>
      <c r="E346" s="47" t="s">
        <v>5285</v>
      </c>
      <c r="F346" s="47" t="s">
        <v>8189</v>
      </c>
      <c r="G346" s="363">
        <v>46245</v>
      </c>
      <c r="H346" s="47" t="s">
        <v>8190</v>
      </c>
      <c r="I346" s="47" t="s">
        <v>8191</v>
      </c>
      <c r="J346" s="47"/>
    </row>
    <row r="347" spans="2:10" ht="14.5">
      <c r="B347" s="47" t="s">
        <v>5178</v>
      </c>
      <c r="C347" s="47" t="s">
        <v>8187</v>
      </c>
      <c r="D347" s="47" t="s">
        <v>8591</v>
      </c>
      <c r="E347" s="47" t="s">
        <v>5177</v>
      </c>
      <c r="F347" s="47" t="s">
        <v>8189</v>
      </c>
      <c r="G347" s="363">
        <v>46238</v>
      </c>
      <c r="H347" s="47" t="s">
        <v>8190</v>
      </c>
      <c r="I347" s="47" t="s">
        <v>8191</v>
      </c>
      <c r="J347" s="47"/>
    </row>
    <row r="348" spans="2:10" ht="14.5">
      <c r="B348" s="47" t="s">
        <v>5293</v>
      </c>
      <c r="C348" s="47" t="s">
        <v>8187</v>
      </c>
      <c r="D348" s="47" t="s">
        <v>8592</v>
      </c>
      <c r="E348" s="47" t="s">
        <v>5292</v>
      </c>
      <c r="F348" s="47" t="s">
        <v>8189</v>
      </c>
      <c r="G348" s="363">
        <v>46246</v>
      </c>
      <c r="H348" s="47" t="s">
        <v>8190</v>
      </c>
      <c r="I348" s="47" t="s">
        <v>8191</v>
      </c>
      <c r="J348" s="47"/>
    </row>
    <row r="349" spans="2:10" ht="14.5">
      <c r="B349" s="47" t="s">
        <v>5288</v>
      </c>
      <c r="C349" s="47" t="s">
        <v>8187</v>
      </c>
      <c r="D349" s="47" t="s">
        <v>8593</v>
      </c>
      <c r="E349" s="47" t="s">
        <v>5287</v>
      </c>
      <c r="F349" s="47" t="s">
        <v>8189</v>
      </c>
      <c r="G349" s="363">
        <v>46256</v>
      </c>
      <c r="H349" s="47" t="s">
        <v>8190</v>
      </c>
      <c r="I349" s="47" t="s">
        <v>8191</v>
      </c>
      <c r="J349" s="47"/>
    </row>
    <row r="350" spans="2:10" ht="14.5">
      <c r="B350" s="47" t="s">
        <v>5282</v>
      </c>
      <c r="C350" s="47" t="s">
        <v>8187</v>
      </c>
      <c r="D350" s="47" t="s">
        <v>8594</v>
      </c>
      <c r="E350" s="47" t="s">
        <v>5281</v>
      </c>
      <c r="F350" s="47" t="s">
        <v>8189</v>
      </c>
      <c r="G350" s="363">
        <v>46245</v>
      </c>
      <c r="H350" s="47" t="s">
        <v>8190</v>
      </c>
      <c r="I350" s="47" t="s">
        <v>8191</v>
      </c>
      <c r="J350" s="47"/>
    </row>
    <row r="351" spans="2:10" ht="14.5">
      <c r="B351" s="47" t="s">
        <v>5247</v>
      </c>
      <c r="C351" s="47" t="s">
        <v>64</v>
      </c>
      <c r="D351" s="47" t="s">
        <v>8595</v>
      </c>
      <c r="E351" s="47" t="s">
        <v>5246</v>
      </c>
      <c r="F351" s="47" t="s">
        <v>8189</v>
      </c>
      <c r="G351" s="363">
        <v>46286</v>
      </c>
      <c r="H351" s="47" t="s">
        <v>8195</v>
      </c>
      <c r="I351" s="47" t="s">
        <v>8191</v>
      </c>
      <c r="J351" s="47" t="s">
        <v>5246</v>
      </c>
    </row>
    <row r="352" spans="2:10" ht="14.5">
      <c r="B352" s="47" t="s">
        <v>8596</v>
      </c>
      <c r="C352" s="47" t="s">
        <v>8187</v>
      </c>
      <c r="D352" s="47" t="s">
        <v>8597</v>
      </c>
      <c r="E352" s="47" t="s">
        <v>5266</v>
      </c>
      <c r="F352" s="47" t="s">
        <v>8189</v>
      </c>
      <c r="G352" s="363">
        <v>46269</v>
      </c>
      <c r="H352" s="47" t="s">
        <v>8190</v>
      </c>
      <c r="I352" s="47" t="s">
        <v>8191</v>
      </c>
      <c r="J352" s="47" t="s">
        <v>5266</v>
      </c>
    </row>
    <row r="353" spans="2:10" ht="14.5">
      <c r="B353" s="47" t="s">
        <v>5243</v>
      </c>
      <c r="C353" s="47" t="s">
        <v>64</v>
      </c>
      <c r="D353" s="47" t="s">
        <v>8598</v>
      </c>
      <c r="E353" s="47" t="s">
        <v>5242</v>
      </c>
      <c r="F353" s="47" t="s">
        <v>8189</v>
      </c>
      <c r="G353" s="363">
        <v>46276</v>
      </c>
      <c r="H353" s="47" t="s">
        <v>8190</v>
      </c>
      <c r="I353" s="47" t="s">
        <v>8191</v>
      </c>
      <c r="J353" s="47" t="s">
        <v>5242</v>
      </c>
    </row>
    <row r="354" spans="2:10" ht="14.5">
      <c r="B354" s="47" t="s">
        <v>5219</v>
      </c>
      <c r="C354" s="47" t="s">
        <v>64</v>
      </c>
      <c r="D354" s="47" t="s">
        <v>8599</v>
      </c>
      <c r="E354" s="47" t="s">
        <v>5218</v>
      </c>
      <c r="F354" s="47" t="s">
        <v>8189</v>
      </c>
      <c r="G354" s="363">
        <v>46283</v>
      </c>
      <c r="H354" s="47" t="s">
        <v>8195</v>
      </c>
      <c r="I354" s="47" t="s">
        <v>8191</v>
      </c>
      <c r="J354" s="47" t="s">
        <v>5218</v>
      </c>
    </row>
    <row r="355" spans="2:10" ht="14.5">
      <c r="B355" s="47" t="s">
        <v>5205</v>
      </c>
      <c r="C355" s="47" t="s">
        <v>64</v>
      </c>
      <c r="D355" s="362" t="s">
        <v>8600</v>
      </c>
      <c r="E355" s="362" t="s">
        <v>5202</v>
      </c>
      <c r="F355" s="47" t="s">
        <v>8189</v>
      </c>
      <c r="G355" s="363">
        <v>46283</v>
      </c>
      <c r="H355" s="47" t="s">
        <v>8195</v>
      </c>
      <c r="I355" s="47" t="s">
        <v>8191</v>
      </c>
      <c r="J355" s="47" t="s">
        <v>5202</v>
      </c>
    </row>
    <row r="356" spans="2:10" ht="14.5">
      <c r="B356" s="47" t="s">
        <v>5210</v>
      </c>
      <c r="C356" s="47" t="s">
        <v>64</v>
      </c>
      <c r="D356" s="47" t="s">
        <v>8601</v>
      </c>
      <c r="E356" s="47" t="s">
        <v>5209</v>
      </c>
      <c r="F356" s="47" t="s">
        <v>8189</v>
      </c>
      <c r="G356" s="363">
        <v>46283</v>
      </c>
      <c r="H356" s="47" t="s">
        <v>8195</v>
      </c>
      <c r="I356" s="47" t="s">
        <v>8191</v>
      </c>
      <c r="J356" s="47" t="s">
        <v>5209</v>
      </c>
    </row>
    <row r="357" spans="2:10" ht="14.5">
      <c r="B357" s="47" t="s">
        <v>5213</v>
      </c>
      <c r="C357" s="47" t="s">
        <v>64</v>
      </c>
      <c r="D357" s="47" t="s">
        <v>8602</v>
      </c>
      <c r="E357" s="47" t="s">
        <v>5212</v>
      </c>
      <c r="F357" s="47" t="s">
        <v>8189</v>
      </c>
      <c r="G357" s="363">
        <v>46283</v>
      </c>
      <c r="H357" s="47" t="s">
        <v>8195</v>
      </c>
      <c r="I357" s="47" t="s">
        <v>8191</v>
      </c>
      <c r="J357" s="47" t="s">
        <v>5212</v>
      </c>
    </row>
    <row r="358" spans="2:10" ht="14.5">
      <c r="B358" s="47" t="s">
        <v>2294</v>
      </c>
      <c r="C358" s="47" t="s">
        <v>64</v>
      </c>
      <c r="D358" s="47" t="s">
        <v>8603</v>
      </c>
      <c r="E358" s="47"/>
      <c r="F358" s="47" t="s">
        <v>8189</v>
      </c>
      <c r="G358" s="363">
        <v>46213</v>
      </c>
      <c r="H358" s="47" t="s">
        <v>8190</v>
      </c>
      <c r="I358" s="47" t="s">
        <v>8191</v>
      </c>
      <c r="J358" s="47" t="s">
        <v>8604</v>
      </c>
    </row>
    <row r="359" spans="2:10" ht="14.5">
      <c r="B359" s="47" t="s">
        <v>2289</v>
      </c>
      <c r="C359" s="47" t="s">
        <v>8187</v>
      </c>
      <c r="D359" s="47" t="s">
        <v>8603</v>
      </c>
      <c r="E359" s="47"/>
      <c r="F359" s="47" t="s">
        <v>8189</v>
      </c>
      <c r="G359" s="363">
        <v>46213</v>
      </c>
      <c r="H359" s="47" t="s">
        <v>8190</v>
      </c>
      <c r="I359" s="47" t="s">
        <v>8191</v>
      </c>
      <c r="J359" s="47" t="s">
        <v>8605</v>
      </c>
    </row>
    <row r="360" spans="2:10" ht="14.5">
      <c r="B360" s="47" t="s">
        <v>5092</v>
      </c>
      <c r="C360" s="47" t="s">
        <v>64</v>
      </c>
      <c r="D360" s="47" t="s">
        <v>8606</v>
      </c>
      <c r="E360" s="47" t="s">
        <v>5089</v>
      </c>
      <c r="F360" s="47" t="s">
        <v>8189</v>
      </c>
      <c r="G360" s="363">
        <v>46272</v>
      </c>
      <c r="H360" s="47" t="s">
        <v>8190</v>
      </c>
      <c r="I360" s="47" t="s">
        <v>8191</v>
      </c>
      <c r="J360" s="47" t="s">
        <v>5089</v>
      </c>
    </row>
    <row r="361" spans="2:10" ht="14.5">
      <c r="B361" s="47" t="s">
        <v>5263</v>
      </c>
      <c r="C361" s="47" t="s">
        <v>64</v>
      </c>
      <c r="D361" s="47" t="s">
        <v>8607</v>
      </c>
      <c r="E361" s="47" t="s">
        <v>5262</v>
      </c>
      <c r="F361" s="47" t="s">
        <v>8189</v>
      </c>
      <c r="G361" s="363">
        <v>46288</v>
      </c>
      <c r="H361" s="47" t="s">
        <v>8195</v>
      </c>
      <c r="I361" s="47" t="s">
        <v>8191</v>
      </c>
      <c r="J361" s="47" t="s">
        <v>5262</v>
      </c>
    </row>
    <row r="362" spans="2:10" ht="14.5">
      <c r="B362" s="47" t="s">
        <v>5259</v>
      </c>
      <c r="C362" s="47" t="s">
        <v>64</v>
      </c>
      <c r="D362" s="47" t="s">
        <v>8608</v>
      </c>
      <c r="E362" s="47" t="s">
        <v>5257</v>
      </c>
      <c r="F362" s="47" t="s">
        <v>8189</v>
      </c>
      <c r="G362" s="363">
        <v>46297</v>
      </c>
      <c r="H362" s="47" t="s">
        <v>8195</v>
      </c>
      <c r="I362" s="47" t="s">
        <v>8191</v>
      </c>
      <c r="J362" s="47" t="s">
        <v>5257</v>
      </c>
    </row>
    <row r="363" spans="2:10" ht="14.5">
      <c r="B363" s="47" t="s">
        <v>5256</v>
      </c>
      <c r="C363" s="47" t="s">
        <v>64</v>
      </c>
      <c r="D363" s="47" t="s">
        <v>8609</v>
      </c>
      <c r="E363" s="47" t="s">
        <v>5255</v>
      </c>
      <c r="F363" s="47" t="s">
        <v>8189</v>
      </c>
      <c r="G363" s="363">
        <v>46272</v>
      </c>
      <c r="H363" s="47" t="s">
        <v>8190</v>
      </c>
      <c r="I363" s="47" t="s">
        <v>8191</v>
      </c>
      <c r="J363" s="47" t="s">
        <v>5255</v>
      </c>
    </row>
    <row r="364" spans="2:10" ht="14.5">
      <c r="B364" s="47" t="s">
        <v>5241</v>
      </c>
      <c r="C364" s="47" t="s">
        <v>64</v>
      </c>
      <c r="D364" s="47" t="s">
        <v>8610</v>
      </c>
      <c r="E364" s="47" t="s">
        <v>5240</v>
      </c>
      <c r="F364" s="47" t="s">
        <v>8189</v>
      </c>
      <c r="G364" s="363">
        <v>46300</v>
      </c>
      <c r="H364" s="47" t="s">
        <v>8195</v>
      </c>
      <c r="I364" s="47" t="s">
        <v>8191</v>
      </c>
      <c r="J364" s="47" t="s">
        <v>5240</v>
      </c>
    </row>
    <row r="365" spans="2:10" ht="14.5">
      <c r="B365" s="47" t="s">
        <v>8611</v>
      </c>
      <c r="C365" s="47" t="s">
        <v>64</v>
      </c>
      <c r="D365" s="47" t="s">
        <v>8612</v>
      </c>
      <c r="E365" s="47" t="s">
        <v>5250</v>
      </c>
      <c r="F365" s="47" t="s">
        <v>8189</v>
      </c>
      <c r="G365" s="363">
        <v>46272</v>
      </c>
      <c r="H365" s="47" t="s">
        <v>8190</v>
      </c>
      <c r="I365" s="47" t="s">
        <v>8191</v>
      </c>
      <c r="J365" s="47" t="s">
        <v>5250</v>
      </c>
    </row>
    <row r="366" spans="2:10" ht="14.5">
      <c r="B366" s="47" t="s">
        <v>5196</v>
      </c>
      <c r="C366" s="47" t="s">
        <v>64</v>
      </c>
      <c r="D366" s="47" t="s">
        <v>8613</v>
      </c>
      <c r="E366" s="47" t="s">
        <v>5194</v>
      </c>
      <c r="F366" s="47" t="s">
        <v>8189</v>
      </c>
      <c r="G366" s="363">
        <v>46267</v>
      </c>
      <c r="H366" s="47" t="s">
        <v>8190</v>
      </c>
      <c r="I366" s="47" t="s">
        <v>8191</v>
      </c>
      <c r="J366" s="47" t="s">
        <v>5194</v>
      </c>
    </row>
    <row r="367" spans="2:10" ht="14.5">
      <c r="B367" s="47" t="s">
        <v>5033</v>
      </c>
      <c r="C367" s="47" t="s">
        <v>64</v>
      </c>
      <c r="D367" s="47" t="s">
        <v>8614</v>
      </c>
      <c r="E367" s="47" t="s">
        <v>5031</v>
      </c>
      <c r="F367" s="47" t="s">
        <v>8189</v>
      </c>
      <c r="G367" s="363">
        <v>46260</v>
      </c>
      <c r="H367" s="47" t="s">
        <v>8190</v>
      </c>
      <c r="I367" s="47" t="s">
        <v>8191</v>
      </c>
      <c r="J367" s="47" t="s">
        <v>5031</v>
      </c>
    </row>
    <row r="368" spans="2:10" ht="14.5">
      <c r="B368" s="47" t="s">
        <v>5039</v>
      </c>
      <c r="C368" s="47" t="s">
        <v>64</v>
      </c>
      <c r="D368" s="47" t="s">
        <v>8615</v>
      </c>
      <c r="E368" s="47" t="s">
        <v>5037</v>
      </c>
      <c r="F368" s="47" t="s">
        <v>8189</v>
      </c>
      <c r="G368" s="363">
        <v>46260</v>
      </c>
      <c r="H368" s="47" t="s">
        <v>8190</v>
      </c>
      <c r="I368" s="47" t="s">
        <v>8191</v>
      </c>
      <c r="J368" s="47" t="s">
        <v>5037</v>
      </c>
    </row>
    <row r="369" spans="2:10" ht="14.5">
      <c r="B369" s="47" t="s">
        <v>8616</v>
      </c>
      <c r="C369" s="47" t="s">
        <v>64</v>
      </c>
      <c r="D369" s="47" t="s">
        <v>8617</v>
      </c>
      <c r="E369" s="47" t="s">
        <v>5095</v>
      </c>
      <c r="F369" s="47" t="s">
        <v>8189</v>
      </c>
      <c r="G369" s="363">
        <v>46272</v>
      </c>
      <c r="H369" s="47" t="s">
        <v>8190</v>
      </c>
      <c r="I369" s="47" t="s">
        <v>8191</v>
      </c>
      <c r="J369" s="47" t="s">
        <v>5095</v>
      </c>
    </row>
    <row r="370" spans="2:10" ht="14.5">
      <c r="B370" s="47" t="s">
        <v>8618</v>
      </c>
      <c r="C370" s="47" t="s">
        <v>64</v>
      </c>
      <c r="D370" s="47" t="s">
        <v>8619</v>
      </c>
      <c r="E370" s="47" t="s">
        <v>5099</v>
      </c>
      <c r="F370" s="47" t="s">
        <v>8189</v>
      </c>
      <c r="G370" s="363">
        <v>46272</v>
      </c>
      <c r="H370" s="47" t="s">
        <v>8190</v>
      </c>
      <c r="I370" s="47" t="s">
        <v>8191</v>
      </c>
      <c r="J370" s="47" t="s">
        <v>5099</v>
      </c>
    </row>
    <row r="371" spans="2:10" ht="14.5">
      <c r="B371" s="47" t="s">
        <v>5103</v>
      </c>
      <c r="C371" s="47" t="s">
        <v>64</v>
      </c>
      <c r="D371" s="47" t="s">
        <v>8620</v>
      </c>
      <c r="E371" s="47" t="s">
        <v>5101</v>
      </c>
      <c r="F371" s="47" t="s">
        <v>8189</v>
      </c>
      <c r="G371" s="363">
        <v>46272</v>
      </c>
      <c r="H371" s="47" t="s">
        <v>8190</v>
      </c>
      <c r="I371" s="47" t="s">
        <v>8191</v>
      </c>
      <c r="J371" s="47" t="s">
        <v>5101</v>
      </c>
    </row>
    <row r="372" spans="2:10" ht="14.5">
      <c r="B372" s="47" t="s">
        <v>8621</v>
      </c>
      <c r="C372" s="47" t="s">
        <v>64</v>
      </c>
      <c r="D372" s="47" t="s">
        <v>8622</v>
      </c>
      <c r="E372" s="47" t="s">
        <v>5111</v>
      </c>
      <c r="F372" s="47" t="s">
        <v>8189</v>
      </c>
      <c r="G372" s="363">
        <v>46279</v>
      </c>
      <c r="H372" s="47" t="s">
        <v>8195</v>
      </c>
      <c r="I372" s="47" t="s">
        <v>8191</v>
      </c>
      <c r="J372" s="47" t="s">
        <v>5111</v>
      </c>
    </row>
    <row r="373" spans="2:10" ht="14.5">
      <c r="B373" s="47" t="s">
        <v>8623</v>
      </c>
      <c r="C373" s="47" t="s">
        <v>64</v>
      </c>
      <c r="D373" s="47" t="s">
        <v>8624</v>
      </c>
      <c r="E373" s="47" t="s">
        <v>5116</v>
      </c>
      <c r="F373" s="47" t="s">
        <v>8189</v>
      </c>
      <c r="G373" s="363">
        <v>46279</v>
      </c>
      <c r="H373" s="47" t="s">
        <v>8195</v>
      </c>
      <c r="I373" s="47" t="s">
        <v>8191</v>
      </c>
      <c r="J373" s="47" t="s">
        <v>5116</v>
      </c>
    </row>
    <row r="374" spans="2:10" ht="14.5">
      <c r="B374" s="47" t="s">
        <v>5157</v>
      </c>
      <c r="C374" s="47" t="s">
        <v>8187</v>
      </c>
      <c r="D374" s="47" t="s">
        <v>8625</v>
      </c>
      <c r="E374" s="47" t="s">
        <v>5155</v>
      </c>
      <c r="F374" s="47" t="s">
        <v>8189</v>
      </c>
      <c r="G374" s="363">
        <v>46249</v>
      </c>
      <c r="H374" s="47" t="s">
        <v>8190</v>
      </c>
      <c r="I374" s="47" t="s">
        <v>8191</v>
      </c>
      <c r="J374" s="47"/>
    </row>
    <row r="375" spans="2:10" ht="14.5">
      <c r="B375" s="47" t="s">
        <v>5149</v>
      </c>
      <c r="C375" s="47" t="s">
        <v>8187</v>
      </c>
      <c r="D375" s="47" t="s">
        <v>8626</v>
      </c>
      <c r="E375" s="47" t="s">
        <v>5146</v>
      </c>
      <c r="F375" s="47" t="s">
        <v>8189</v>
      </c>
      <c r="G375" s="363">
        <v>46257</v>
      </c>
      <c r="H375" s="47" t="s">
        <v>8190</v>
      </c>
      <c r="I375" s="47" t="s">
        <v>8191</v>
      </c>
      <c r="J375" s="47"/>
    </row>
    <row r="376" spans="2:10" ht="14.5">
      <c r="B376" s="47" t="s">
        <v>5163</v>
      </c>
      <c r="C376" s="47" t="s">
        <v>64</v>
      </c>
      <c r="D376" s="47" t="s">
        <v>8627</v>
      </c>
      <c r="E376" s="47" t="s">
        <v>5162</v>
      </c>
      <c r="F376" s="47" t="s">
        <v>8189</v>
      </c>
      <c r="G376" s="363">
        <v>46269</v>
      </c>
      <c r="H376" s="47" t="s">
        <v>8190</v>
      </c>
      <c r="I376" s="47" t="s">
        <v>8191</v>
      </c>
      <c r="J376" s="47" t="s">
        <v>5162</v>
      </c>
    </row>
    <row r="377" spans="2:10" ht="14.5">
      <c r="B377" s="47" t="s">
        <v>5169</v>
      </c>
      <c r="C377" s="47" t="s">
        <v>64</v>
      </c>
      <c r="D377" s="47" t="s">
        <v>8628</v>
      </c>
      <c r="E377" s="47" t="s">
        <v>5167</v>
      </c>
      <c r="F377" s="47" t="s">
        <v>8189</v>
      </c>
      <c r="G377" s="363">
        <v>46269</v>
      </c>
      <c r="H377" s="47" t="s">
        <v>8190</v>
      </c>
      <c r="I377" s="47" t="s">
        <v>8191</v>
      </c>
      <c r="J377" s="47" t="s">
        <v>5167</v>
      </c>
    </row>
    <row r="378" spans="2:10" ht="14.5">
      <c r="B378" s="47" t="s">
        <v>5174</v>
      </c>
      <c r="C378" s="47" t="s">
        <v>8187</v>
      </c>
      <c r="D378" s="47" t="s">
        <v>8629</v>
      </c>
      <c r="E378" s="47" t="s">
        <v>5172</v>
      </c>
      <c r="F378" s="47" t="s">
        <v>8189</v>
      </c>
      <c r="G378" s="363">
        <v>46238</v>
      </c>
      <c r="H378" s="47" t="s">
        <v>8190</v>
      </c>
      <c r="I378" s="47" t="s">
        <v>8191</v>
      </c>
      <c r="J378" s="47"/>
    </row>
    <row r="379" spans="2:10" ht="14.5">
      <c r="B379" s="47" t="s">
        <v>5180</v>
      </c>
      <c r="C379" s="47" t="s">
        <v>8187</v>
      </c>
      <c r="D379" s="47" t="s">
        <v>8630</v>
      </c>
      <c r="E379" s="47" t="s">
        <v>5179</v>
      </c>
      <c r="F379" s="47" t="s">
        <v>8189</v>
      </c>
      <c r="G379" s="363">
        <v>46239</v>
      </c>
      <c r="H379" s="47" t="s">
        <v>8190</v>
      </c>
      <c r="I379" s="47" t="s">
        <v>8191</v>
      </c>
      <c r="J379" s="47"/>
    </row>
    <row r="380" spans="2:10" ht="14.5">
      <c r="B380" s="47" t="s">
        <v>5185</v>
      </c>
      <c r="C380" s="47" t="s">
        <v>8187</v>
      </c>
      <c r="D380" s="47" t="s">
        <v>8631</v>
      </c>
      <c r="E380" s="47" t="s">
        <v>5184</v>
      </c>
      <c r="F380" s="47" t="s">
        <v>8189</v>
      </c>
      <c r="G380" s="363">
        <v>46249</v>
      </c>
      <c r="H380" s="47" t="s">
        <v>8190</v>
      </c>
      <c r="I380" s="47" t="s">
        <v>8191</v>
      </c>
      <c r="J380" s="47"/>
    </row>
    <row r="381" spans="2:10" ht="14.5">
      <c r="B381" s="47" t="s">
        <v>5189</v>
      </c>
      <c r="C381" s="47" t="s">
        <v>8187</v>
      </c>
      <c r="D381" s="47" t="s">
        <v>8632</v>
      </c>
      <c r="E381" s="47" t="s">
        <v>5188</v>
      </c>
      <c r="F381" s="47" t="s">
        <v>8189</v>
      </c>
      <c r="G381" s="363">
        <v>46249</v>
      </c>
      <c r="H381" s="47" t="s">
        <v>8190</v>
      </c>
      <c r="I381" s="47" t="s">
        <v>8191</v>
      </c>
      <c r="J381" s="47"/>
    </row>
    <row r="382" spans="2:10" ht="14.5">
      <c r="B382" s="47" t="s">
        <v>5191</v>
      </c>
      <c r="C382" s="47" t="s">
        <v>8187</v>
      </c>
      <c r="D382" s="47" t="s">
        <v>8633</v>
      </c>
      <c r="E382" s="47" t="s">
        <v>5190</v>
      </c>
      <c r="F382" s="47" t="s">
        <v>8189</v>
      </c>
      <c r="G382" s="363">
        <v>46238</v>
      </c>
      <c r="H382" s="47" t="s">
        <v>8190</v>
      </c>
      <c r="I382" s="47" t="s">
        <v>8191</v>
      </c>
      <c r="J382" s="47"/>
    </row>
    <row r="383" spans="2:10" ht="14.5">
      <c r="B383" s="47" t="s">
        <v>5201</v>
      </c>
      <c r="C383" s="47" t="s">
        <v>64</v>
      </c>
      <c r="D383" s="47" t="s">
        <v>8634</v>
      </c>
      <c r="E383" s="47" t="s">
        <v>5200</v>
      </c>
      <c r="F383" s="47" t="s">
        <v>8189</v>
      </c>
      <c r="G383" s="363">
        <v>46267</v>
      </c>
      <c r="H383" s="47" t="s">
        <v>8190</v>
      </c>
      <c r="I383" s="47" t="s">
        <v>8191</v>
      </c>
      <c r="J383" s="47" t="s">
        <v>5200</v>
      </c>
    </row>
    <row r="384" spans="2:10" ht="14.5">
      <c r="B384" s="47" t="s">
        <v>5233</v>
      </c>
      <c r="C384" s="47" t="s">
        <v>64</v>
      </c>
      <c r="D384" s="47" t="s">
        <v>8635</v>
      </c>
      <c r="E384" s="47" t="s">
        <v>5232</v>
      </c>
      <c r="F384" s="47" t="s">
        <v>8189</v>
      </c>
      <c r="G384" s="363">
        <v>46272</v>
      </c>
      <c r="H384" s="47" t="s">
        <v>8190</v>
      </c>
      <c r="I384" s="47" t="s">
        <v>8191</v>
      </c>
      <c r="J384" s="47" t="s">
        <v>5232</v>
      </c>
    </row>
    <row r="385" spans="2:10" ht="14.5">
      <c r="B385" s="47" t="s">
        <v>5228</v>
      </c>
      <c r="C385" s="47" t="s">
        <v>64</v>
      </c>
      <c r="D385" s="47" t="s">
        <v>8636</v>
      </c>
      <c r="E385" s="47" t="s">
        <v>5227</v>
      </c>
      <c r="F385" s="47" t="s">
        <v>8189</v>
      </c>
      <c r="G385" s="363">
        <v>46272</v>
      </c>
      <c r="H385" s="47" t="s">
        <v>8190</v>
      </c>
      <c r="I385" s="47" t="s">
        <v>8191</v>
      </c>
      <c r="J385" s="47" t="s">
        <v>5227</v>
      </c>
    </row>
    <row r="386" spans="2:10" ht="14.5">
      <c r="B386" s="47" t="s">
        <v>5235</v>
      </c>
      <c r="C386" s="47" t="s">
        <v>64</v>
      </c>
      <c r="D386" s="47" t="s">
        <v>8637</v>
      </c>
      <c r="E386" s="47" t="s">
        <v>5234</v>
      </c>
      <c r="F386" s="47" t="s">
        <v>8189</v>
      </c>
      <c r="G386" s="363">
        <v>46272</v>
      </c>
      <c r="H386" s="47" t="s">
        <v>8190</v>
      </c>
      <c r="I386" s="47" t="s">
        <v>8191</v>
      </c>
      <c r="J386" s="47" t="s">
        <v>5234</v>
      </c>
    </row>
    <row r="387" spans="2:10" ht="14.5">
      <c r="B387" s="47" t="s">
        <v>5237</v>
      </c>
      <c r="C387" s="47" t="s">
        <v>64</v>
      </c>
      <c r="D387" s="47" t="s">
        <v>8638</v>
      </c>
      <c r="E387" s="47" t="s">
        <v>5236</v>
      </c>
      <c r="F387" s="47" t="s">
        <v>8189</v>
      </c>
      <c r="G387" s="363">
        <v>46300</v>
      </c>
      <c r="H387" s="47" t="s">
        <v>8195</v>
      </c>
      <c r="I387" s="47" t="s">
        <v>8191</v>
      </c>
      <c r="J387" s="47" t="s">
        <v>5236</v>
      </c>
    </row>
    <row r="388" spans="2:10" ht="14.5">
      <c r="B388" s="47" t="s">
        <v>8639</v>
      </c>
      <c r="C388" s="47" t="s">
        <v>64</v>
      </c>
      <c r="D388" s="47" t="s">
        <v>8488</v>
      </c>
      <c r="E388" s="47"/>
      <c r="F388" s="47" t="s">
        <v>8189</v>
      </c>
      <c r="G388" s="363">
        <v>46233</v>
      </c>
      <c r="H388" s="47" t="s">
        <v>8337</v>
      </c>
      <c r="I388" s="47" t="s">
        <v>8191</v>
      </c>
      <c r="J388" s="47" t="s">
        <v>8640</v>
      </c>
    </row>
    <row r="389" spans="2:10" ht="14.5">
      <c r="B389" s="47" t="s">
        <v>4863</v>
      </c>
      <c r="C389" s="47" t="s">
        <v>8187</v>
      </c>
      <c r="D389" s="47" t="s">
        <v>8641</v>
      </c>
      <c r="E389" s="47" t="s">
        <v>4860</v>
      </c>
      <c r="F389" s="47" t="s">
        <v>8189</v>
      </c>
      <c r="G389" s="363">
        <v>46251</v>
      </c>
      <c r="H389" s="47" t="s">
        <v>8190</v>
      </c>
      <c r="I389" s="47" t="s">
        <v>8191</v>
      </c>
      <c r="J389" s="47" t="s">
        <v>4860</v>
      </c>
    </row>
    <row r="390" spans="2:10" ht="14.5">
      <c r="B390" s="47" t="s">
        <v>4867</v>
      </c>
      <c r="C390" s="47" t="s">
        <v>64</v>
      </c>
      <c r="D390" s="47" t="s">
        <v>8642</v>
      </c>
      <c r="E390" s="47" t="s">
        <v>4866</v>
      </c>
      <c r="F390" s="47" t="s">
        <v>8189</v>
      </c>
      <c r="G390" s="363">
        <v>46262</v>
      </c>
      <c r="H390" s="47" t="s">
        <v>8190</v>
      </c>
      <c r="I390" s="47" t="s">
        <v>8191</v>
      </c>
      <c r="J390" s="47" t="s">
        <v>4866</v>
      </c>
    </row>
    <row r="391" spans="2:10" ht="14.5">
      <c r="B391" s="47" t="s">
        <v>4895</v>
      </c>
      <c r="C391" s="47" t="s">
        <v>64</v>
      </c>
      <c r="D391" s="47" t="s">
        <v>8643</v>
      </c>
      <c r="E391" s="47" t="s">
        <v>4893</v>
      </c>
      <c r="F391" s="47" t="s">
        <v>8189</v>
      </c>
      <c r="G391" s="363">
        <v>46258</v>
      </c>
      <c r="H391" s="47" t="s">
        <v>8190</v>
      </c>
      <c r="I391" s="47" t="s">
        <v>8191</v>
      </c>
      <c r="J391" s="47" t="s">
        <v>4893</v>
      </c>
    </row>
    <row r="392" spans="2:10" ht="14.5">
      <c r="B392" s="47" t="s">
        <v>4900</v>
      </c>
      <c r="C392" s="47" t="s">
        <v>64</v>
      </c>
      <c r="D392" s="47" t="s">
        <v>8644</v>
      </c>
      <c r="E392" s="47" t="s">
        <v>4899</v>
      </c>
      <c r="F392" s="47" t="s">
        <v>8189</v>
      </c>
      <c r="G392" s="363">
        <v>46258</v>
      </c>
      <c r="H392" s="47" t="s">
        <v>8190</v>
      </c>
      <c r="I392" s="47" t="s">
        <v>8191</v>
      </c>
      <c r="J392" s="47" t="s">
        <v>4899</v>
      </c>
    </row>
    <row r="393" spans="2:10" ht="14.5">
      <c r="B393" s="47" t="s">
        <v>5002</v>
      </c>
      <c r="C393" s="47" t="s">
        <v>8187</v>
      </c>
      <c r="D393" s="47" t="s">
        <v>8645</v>
      </c>
      <c r="E393" s="47" t="s">
        <v>5001</v>
      </c>
      <c r="F393" s="47" t="s">
        <v>8189</v>
      </c>
      <c r="G393" s="363">
        <v>46238</v>
      </c>
      <c r="H393" s="47" t="s">
        <v>8190</v>
      </c>
      <c r="I393" s="47" t="s">
        <v>8191</v>
      </c>
      <c r="J393" s="47" t="s">
        <v>5001</v>
      </c>
    </row>
    <row r="394" spans="2:10" ht="14.5">
      <c r="B394" s="47" t="s">
        <v>8646</v>
      </c>
      <c r="C394" s="47" t="s">
        <v>64</v>
      </c>
      <c r="D394" s="47" t="s">
        <v>8572</v>
      </c>
      <c r="E394" s="47"/>
      <c r="F394" s="47" t="s">
        <v>8189</v>
      </c>
      <c r="G394" s="363">
        <v>46204</v>
      </c>
      <c r="H394" s="47" t="s">
        <v>8337</v>
      </c>
      <c r="I394" s="47" t="s">
        <v>8191</v>
      </c>
      <c r="J394" s="47" t="s">
        <v>8647</v>
      </c>
    </row>
    <row r="395" spans="2:10" ht="14.5">
      <c r="B395" s="47" t="s">
        <v>8648</v>
      </c>
      <c r="C395" s="47" t="s">
        <v>64</v>
      </c>
      <c r="D395" s="47" t="s">
        <v>8574</v>
      </c>
      <c r="E395" s="47"/>
      <c r="F395" s="47" t="s">
        <v>8189</v>
      </c>
      <c r="G395" s="363">
        <v>46204</v>
      </c>
      <c r="H395" s="47" t="s">
        <v>8337</v>
      </c>
      <c r="I395" s="47" t="s">
        <v>8191</v>
      </c>
      <c r="J395" s="47" t="s">
        <v>8649</v>
      </c>
    </row>
    <row r="396" spans="2:10" ht="14.5">
      <c r="B396" s="47" t="s">
        <v>8650</v>
      </c>
      <c r="C396" s="47" t="s">
        <v>64</v>
      </c>
      <c r="D396" s="47" t="s">
        <v>8576</v>
      </c>
      <c r="E396" s="47"/>
      <c r="F396" s="47" t="s">
        <v>8189</v>
      </c>
      <c r="G396" s="363">
        <v>46204</v>
      </c>
      <c r="H396" s="47" t="s">
        <v>8337</v>
      </c>
      <c r="I396" s="47" t="s">
        <v>8191</v>
      </c>
      <c r="J396" s="47" t="s">
        <v>8651</v>
      </c>
    </row>
    <row r="397" spans="2:10" ht="14.5">
      <c r="B397" s="47" t="s">
        <v>5043</v>
      </c>
      <c r="C397" s="47" t="s">
        <v>8187</v>
      </c>
      <c r="D397" s="47" t="s">
        <v>8652</v>
      </c>
      <c r="E397" s="47" t="s">
        <v>5040</v>
      </c>
      <c r="F397" s="47" t="s">
        <v>8189</v>
      </c>
      <c r="G397" s="363">
        <v>46232</v>
      </c>
      <c r="H397" s="47" t="s">
        <v>8190</v>
      </c>
      <c r="I397" s="47" t="s">
        <v>8191</v>
      </c>
      <c r="J397" s="47" t="s">
        <v>5040</v>
      </c>
    </row>
    <row r="398" spans="2:10" ht="14.5">
      <c r="B398" s="47" t="s">
        <v>5143</v>
      </c>
      <c r="C398" s="47" t="s">
        <v>64</v>
      </c>
      <c r="D398" s="47" t="s">
        <v>8653</v>
      </c>
      <c r="E398" s="47" t="s">
        <v>5142</v>
      </c>
      <c r="F398" s="47" t="s">
        <v>8189</v>
      </c>
      <c r="G398" s="363">
        <v>46286</v>
      </c>
      <c r="H398" s="47" t="s">
        <v>8195</v>
      </c>
      <c r="I398" s="47" t="s">
        <v>8191</v>
      </c>
      <c r="J398" s="47" t="s">
        <v>5142</v>
      </c>
    </row>
    <row r="399" spans="2:10" ht="14.5">
      <c r="B399" s="47" t="s">
        <v>5139</v>
      </c>
      <c r="C399" s="47" t="s">
        <v>64</v>
      </c>
      <c r="D399" s="47" t="s">
        <v>8654</v>
      </c>
      <c r="E399" s="47" t="s">
        <v>5137</v>
      </c>
      <c r="F399" s="47" t="s">
        <v>8189</v>
      </c>
      <c r="G399" s="363">
        <v>46267</v>
      </c>
      <c r="H399" s="47" t="s">
        <v>8190</v>
      </c>
      <c r="I399" s="47" t="s">
        <v>8191</v>
      </c>
      <c r="J399" s="47" t="s">
        <v>5137</v>
      </c>
    </row>
    <row r="400" spans="2:10" ht="14.5">
      <c r="B400" s="47" t="s">
        <v>5134</v>
      </c>
      <c r="C400" s="47" t="s">
        <v>64</v>
      </c>
      <c r="D400" s="47" t="s">
        <v>8655</v>
      </c>
      <c r="E400" s="47" t="s">
        <v>5133</v>
      </c>
      <c r="F400" s="47" t="s">
        <v>8189</v>
      </c>
      <c r="G400" s="363">
        <v>46289</v>
      </c>
      <c r="H400" s="47" t="s">
        <v>8195</v>
      </c>
      <c r="I400" s="47" t="s">
        <v>8191</v>
      </c>
      <c r="J400" s="47" t="s">
        <v>5133</v>
      </c>
    </row>
    <row r="401" spans="2:10" ht="14.5">
      <c r="B401" s="47" t="s">
        <v>5130</v>
      </c>
      <c r="C401" s="47" t="s">
        <v>64</v>
      </c>
      <c r="D401" s="47" t="s">
        <v>8656</v>
      </c>
      <c r="E401" s="47" t="s">
        <v>5129</v>
      </c>
      <c r="F401" s="47" t="s">
        <v>8189</v>
      </c>
      <c r="G401" s="363">
        <v>46290</v>
      </c>
      <c r="H401" s="47" t="s">
        <v>8195</v>
      </c>
      <c r="I401" s="47" t="s">
        <v>8191</v>
      </c>
      <c r="J401" s="47" t="s">
        <v>5129</v>
      </c>
    </row>
    <row r="402" spans="2:10" ht="14.5">
      <c r="B402" s="47" t="s">
        <v>4922</v>
      </c>
      <c r="C402" s="47" t="s">
        <v>64</v>
      </c>
      <c r="D402" s="47" t="s">
        <v>8657</v>
      </c>
      <c r="E402" s="47" t="s">
        <v>4920</v>
      </c>
      <c r="F402" s="47" t="s">
        <v>8189</v>
      </c>
      <c r="G402" s="363">
        <v>46245</v>
      </c>
      <c r="H402" s="47" t="s">
        <v>8190</v>
      </c>
      <c r="I402" s="47" t="s">
        <v>8191</v>
      </c>
      <c r="J402" s="47" t="s">
        <v>4920</v>
      </c>
    </row>
    <row r="403" spans="2:10" ht="14.5">
      <c r="B403" s="47" t="s">
        <v>5126</v>
      </c>
      <c r="C403" s="47" t="s">
        <v>64</v>
      </c>
      <c r="D403" s="47" t="s">
        <v>8658</v>
      </c>
      <c r="E403" s="47" t="s">
        <v>5124</v>
      </c>
      <c r="F403" s="47" t="s">
        <v>8189</v>
      </c>
      <c r="G403" s="363">
        <v>46259</v>
      </c>
      <c r="H403" s="47" t="s">
        <v>8190</v>
      </c>
      <c r="I403" s="47" t="s">
        <v>8191</v>
      </c>
      <c r="J403" s="47" t="s">
        <v>5124</v>
      </c>
    </row>
    <row r="404" spans="2:10" ht="14.5">
      <c r="B404" s="47" t="s">
        <v>4972</v>
      </c>
      <c r="C404" s="47" t="s">
        <v>64</v>
      </c>
      <c r="D404" s="47" t="s">
        <v>8659</v>
      </c>
      <c r="E404" s="47" t="s">
        <v>4971</v>
      </c>
      <c r="F404" s="47" t="s">
        <v>8189</v>
      </c>
      <c r="G404" s="363">
        <v>46265</v>
      </c>
      <c r="H404" s="47" t="s">
        <v>8190</v>
      </c>
      <c r="I404" s="47" t="s">
        <v>8191</v>
      </c>
      <c r="J404" s="47" t="s">
        <v>4971</v>
      </c>
    </row>
    <row r="405" spans="2:10" ht="14.5">
      <c r="B405" s="47" t="s">
        <v>4993</v>
      </c>
      <c r="C405" s="47" t="s">
        <v>64</v>
      </c>
      <c r="D405" s="47" t="s">
        <v>8660</v>
      </c>
      <c r="E405" s="47" t="s">
        <v>4992</v>
      </c>
      <c r="F405" s="47" t="s">
        <v>8189</v>
      </c>
      <c r="G405" s="363">
        <v>46273</v>
      </c>
      <c r="H405" s="47" t="s">
        <v>8195</v>
      </c>
      <c r="I405" s="47" t="s">
        <v>8191</v>
      </c>
      <c r="J405" s="47" t="s">
        <v>4992</v>
      </c>
    </row>
    <row r="406" spans="2:10" ht="14.5">
      <c r="B406" s="47" t="s">
        <v>4978</v>
      </c>
      <c r="C406" s="47" t="s">
        <v>64</v>
      </c>
      <c r="D406" s="47" t="s">
        <v>8661</v>
      </c>
      <c r="E406" s="47" t="s">
        <v>4976</v>
      </c>
      <c r="F406" s="47" t="s">
        <v>8189</v>
      </c>
      <c r="G406" s="363">
        <v>46265</v>
      </c>
      <c r="H406" s="47" t="s">
        <v>8190</v>
      </c>
      <c r="I406" s="47" t="s">
        <v>8191</v>
      </c>
      <c r="J406" s="47" t="s">
        <v>4976</v>
      </c>
    </row>
    <row r="407" spans="2:10" ht="14.5">
      <c r="B407" s="47" t="s">
        <v>4998</v>
      </c>
      <c r="C407" s="47" t="s">
        <v>64</v>
      </c>
      <c r="D407" s="47" t="s">
        <v>8662</v>
      </c>
      <c r="E407" s="47" t="s">
        <v>4997</v>
      </c>
      <c r="F407" s="47" t="s">
        <v>8189</v>
      </c>
      <c r="G407" s="363">
        <v>46283</v>
      </c>
      <c r="H407" s="47" t="s">
        <v>8195</v>
      </c>
      <c r="I407" s="47" t="s">
        <v>8191</v>
      </c>
      <c r="J407" s="47" t="s">
        <v>4997</v>
      </c>
    </row>
    <row r="408" spans="2:10" ht="14.5">
      <c r="B408" s="47" t="s">
        <v>8663</v>
      </c>
      <c r="C408" s="47" t="s">
        <v>8187</v>
      </c>
      <c r="D408" s="47" t="s">
        <v>8499</v>
      </c>
      <c r="E408" s="47" t="s">
        <v>5017</v>
      </c>
      <c r="F408" s="47" t="s">
        <v>8189</v>
      </c>
      <c r="G408" s="363">
        <v>46248</v>
      </c>
      <c r="H408" s="47" t="s">
        <v>8190</v>
      </c>
      <c r="I408" s="47" t="s">
        <v>8191</v>
      </c>
      <c r="J408" s="47" t="s">
        <v>5017</v>
      </c>
    </row>
    <row r="409" spans="2:10" ht="14.5">
      <c r="B409" s="47" t="s">
        <v>5051</v>
      </c>
      <c r="C409" s="47" t="s">
        <v>8187</v>
      </c>
      <c r="D409" s="47" t="s">
        <v>8664</v>
      </c>
      <c r="E409" s="47" t="s">
        <v>5049</v>
      </c>
      <c r="F409" s="47" t="s">
        <v>8189</v>
      </c>
      <c r="G409" s="363">
        <v>46237</v>
      </c>
      <c r="H409" s="47" t="s">
        <v>8190</v>
      </c>
      <c r="I409" s="47" t="s">
        <v>8191</v>
      </c>
      <c r="J409" s="47" t="s">
        <v>5049</v>
      </c>
    </row>
    <row r="410" spans="2:10" ht="14.5">
      <c r="B410" s="47" t="s">
        <v>5048</v>
      </c>
      <c r="C410" s="47" t="s">
        <v>8187</v>
      </c>
      <c r="D410" s="47" t="s">
        <v>8665</v>
      </c>
      <c r="E410" s="47" t="s">
        <v>5046</v>
      </c>
      <c r="F410" s="47" t="s">
        <v>8189</v>
      </c>
      <c r="G410" s="363">
        <v>46232</v>
      </c>
      <c r="H410" s="47" t="s">
        <v>8190</v>
      </c>
      <c r="I410" s="47" t="s">
        <v>8191</v>
      </c>
      <c r="J410" s="47" t="s">
        <v>5046</v>
      </c>
    </row>
    <row r="411" spans="2:10" ht="14.5">
      <c r="B411" s="47" t="s">
        <v>5059</v>
      </c>
      <c r="C411" s="47" t="s">
        <v>8187</v>
      </c>
      <c r="D411" s="47" t="s">
        <v>8666</v>
      </c>
      <c r="E411" s="47" t="s">
        <v>5055</v>
      </c>
      <c r="F411" s="47" t="s">
        <v>8189</v>
      </c>
      <c r="G411" s="363">
        <v>46232</v>
      </c>
      <c r="H411" s="47" t="s">
        <v>8190</v>
      </c>
      <c r="I411" s="47" t="s">
        <v>8191</v>
      </c>
      <c r="J411" s="47" t="s">
        <v>5055</v>
      </c>
    </row>
    <row r="412" spans="2:10" ht="14.5">
      <c r="B412" s="47" t="s">
        <v>5064</v>
      </c>
      <c r="C412" s="47" t="s">
        <v>8187</v>
      </c>
      <c r="D412" s="47" t="s">
        <v>8667</v>
      </c>
      <c r="E412" s="47" t="s">
        <v>5063</v>
      </c>
      <c r="F412" s="47" t="s">
        <v>8189</v>
      </c>
      <c r="G412" s="363">
        <v>46232</v>
      </c>
      <c r="H412" s="47" t="s">
        <v>8190</v>
      </c>
      <c r="I412" s="47" t="s">
        <v>8191</v>
      </c>
      <c r="J412" s="47" t="s">
        <v>5063</v>
      </c>
    </row>
    <row r="413" spans="2:10" ht="14.5">
      <c r="B413" s="47" t="s">
        <v>5067</v>
      </c>
      <c r="C413" s="47" t="s">
        <v>8187</v>
      </c>
      <c r="D413" s="47" t="s">
        <v>8668</v>
      </c>
      <c r="E413" s="47" t="s">
        <v>5065</v>
      </c>
      <c r="F413" s="47" t="s">
        <v>8189</v>
      </c>
      <c r="G413" s="363">
        <v>46232</v>
      </c>
      <c r="H413" s="47" t="s">
        <v>8190</v>
      </c>
      <c r="I413" s="47" t="s">
        <v>8191</v>
      </c>
      <c r="J413" s="47" t="s">
        <v>5065</v>
      </c>
    </row>
    <row r="414" spans="2:10" ht="14.5">
      <c r="B414" s="47" t="s">
        <v>5072</v>
      </c>
      <c r="C414" s="47" t="s">
        <v>8187</v>
      </c>
      <c r="D414" s="47" t="s">
        <v>8669</v>
      </c>
      <c r="E414" s="47" t="s">
        <v>5071</v>
      </c>
      <c r="F414" s="47" t="s">
        <v>8189</v>
      </c>
      <c r="G414" s="363">
        <v>46244</v>
      </c>
      <c r="H414" s="47" t="s">
        <v>8190</v>
      </c>
      <c r="I414" s="47" t="s">
        <v>8191</v>
      </c>
      <c r="J414" s="47" t="s">
        <v>5071</v>
      </c>
    </row>
    <row r="415" spans="2:10" ht="14.5">
      <c r="B415" s="47" t="s">
        <v>5077</v>
      </c>
      <c r="C415" s="47" t="s">
        <v>64</v>
      </c>
      <c r="D415" s="47" t="s">
        <v>8670</v>
      </c>
      <c r="E415" s="47" t="s">
        <v>5076</v>
      </c>
      <c r="F415" s="47" t="s">
        <v>8189</v>
      </c>
      <c r="G415" s="363">
        <v>46254</v>
      </c>
      <c r="H415" s="47" t="s">
        <v>8190</v>
      </c>
      <c r="I415" s="47" t="s">
        <v>8191</v>
      </c>
      <c r="J415" s="47" t="s">
        <v>5076</v>
      </c>
    </row>
    <row r="416" spans="2:10" ht="14.5">
      <c r="B416" s="47" t="s">
        <v>5083</v>
      </c>
      <c r="C416" s="47" t="s">
        <v>64</v>
      </c>
      <c r="D416" s="47" t="s">
        <v>8671</v>
      </c>
      <c r="E416" s="47" t="s">
        <v>5081</v>
      </c>
      <c r="F416" s="47" t="s">
        <v>8189</v>
      </c>
      <c r="G416" s="363">
        <v>46254</v>
      </c>
      <c r="H416" s="47" t="s">
        <v>8190</v>
      </c>
      <c r="I416" s="47" t="s">
        <v>8191</v>
      </c>
      <c r="J416" s="47" t="s">
        <v>5081</v>
      </c>
    </row>
    <row r="417" spans="2:10" ht="14.5">
      <c r="B417" s="47" t="s">
        <v>5085</v>
      </c>
      <c r="C417" s="47" t="s">
        <v>64</v>
      </c>
      <c r="D417" s="47" t="s">
        <v>8672</v>
      </c>
      <c r="E417" s="47" t="s">
        <v>5084</v>
      </c>
      <c r="F417" s="47" t="s">
        <v>8189</v>
      </c>
      <c r="G417" s="363">
        <v>46272</v>
      </c>
      <c r="H417" s="47" t="s">
        <v>8190</v>
      </c>
      <c r="I417" s="47" t="s">
        <v>8191</v>
      </c>
      <c r="J417" s="47" t="s">
        <v>5084</v>
      </c>
    </row>
    <row r="418" spans="2:10" ht="14.5">
      <c r="B418" s="47" t="s">
        <v>5108</v>
      </c>
      <c r="C418" s="47" t="s">
        <v>64</v>
      </c>
      <c r="D418" s="47" t="s">
        <v>8673</v>
      </c>
      <c r="E418" s="47" t="s">
        <v>5106</v>
      </c>
      <c r="F418" s="47" t="s">
        <v>8189</v>
      </c>
      <c r="G418" s="363">
        <v>46272</v>
      </c>
      <c r="H418" s="47" t="s">
        <v>8190</v>
      </c>
      <c r="I418" s="47" t="s">
        <v>8191</v>
      </c>
      <c r="J418" s="47" t="s">
        <v>5106</v>
      </c>
    </row>
    <row r="419" spans="2:10" ht="14.5">
      <c r="B419" s="47" t="s">
        <v>5120</v>
      </c>
      <c r="C419" s="47" t="s">
        <v>64</v>
      </c>
      <c r="D419" s="47" t="s">
        <v>8674</v>
      </c>
      <c r="E419" s="47" t="s">
        <v>5119</v>
      </c>
      <c r="F419" s="47" t="s">
        <v>8189</v>
      </c>
      <c r="G419" s="363">
        <v>46276</v>
      </c>
      <c r="H419" s="47" t="s">
        <v>8190</v>
      </c>
      <c r="I419" s="47" t="s">
        <v>8191</v>
      </c>
      <c r="J419" s="47" t="s">
        <v>5119</v>
      </c>
    </row>
    <row r="420" spans="2:10" ht="14.5">
      <c r="B420" s="47" t="s">
        <v>7671</v>
      </c>
      <c r="C420" s="47" t="s">
        <v>64</v>
      </c>
      <c r="D420" s="47" t="s">
        <v>8675</v>
      </c>
      <c r="E420" s="47" t="s">
        <v>8676</v>
      </c>
      <c r="F420" s="47" t="s">
        <v>8236</v>
      </c>
      <c r="G420" s="363">
        <v>46230</v>
      </c>
      <c r="H420" s="47" t="s">
        <v>8190</v>
      </c>
      <c r="I420" s="47" t="s">
        <v>8191</v>
      </c>
      <c r="J420" s="47" t="s">
        <v>8677</v>
      </c>
    </row>
    <row r="421" spans="2:10" ht="14.5">
      <c r="B421" s="47" t="s">
        <v>7681</v>
      </c>
      <c r="C421" s="47" t="s">
        <v>64</v>
      </c>
      <c r="D421" s="47" t="s">
        <v>8678</v>
      </c>
      <c r="E421" s="47" t="s">
        <v>8679</v>
      </c>
      <c r="F421" s="47" t="s">
        <v>8236</v>
      </c>
      <c r="G421" s="363">
        <v>46237</v>
      </c>
      <c r="H421" s="47" t="s">
        <v>8190</v>
      </c>
      <c r="I421" s="47" t="s">
        <v>8191</v>
      </c>
      <c r="J421" s="47" t="s">
        <v>7679</v>
      </c>
    </row>
    <row r="422" spans="2:10" ht="14.5">
      <c r="B422" s="47" t="s">
        <v>7685</v>
      </c>
      <c r="C422" s="47" t="s">
        <v>64</v>
      </c>
      <c r="D422" s="47" t="s">
        <v>8680</v>
      </c>
      <c r="E422" s="47" t="s">
        <v>8681</v>
      </c>
      <c r="F422" s="47" t="s">
        <v>8236</v>
      </c>
      <c r="G422" s="363">
        <v>46247</v>
      </c>
      <c r="H422" s="47" t="s">
        <v>8190</v>
      </c>
      <c r="I422" s="47" t="s">
        <v>8191</v>
      </c>
      <c r="J422" s="47" t="s">
        <v>7684</v>
      </c>
    </row>
    <row r="423" spans="2:10" ht="14.5">
      <c r="B423" s="47" t="s">
        <v>7689</v>
      </c>
      <c r="C423" s="47" t="s">
        <v>64</v>
      </c>
      <c r="D423" s="47" t="s">
        <v>8682</v>
      </c>
      <c r="E423" s="47" t="s">
        <v>8683</v>
      </c>
      <c r="F423" s="47" t="s">
        <v>8236</v>
      </c>
      <c r="G423" s="363">
        <v>46244</v>
      </c>
      <c r="H423" s="47" t="s">
        <v>8190</v>
      </c>
      <c r="I423" s="47" t="s">
        <v>8191</v>
      </c>
      <c r="J423" s="47" t="s">
        <v>8684</v>
      </c>
    </row>
    <row r="424" spans="2:10" ht="14.5">
      <c r="B424" s="47" t="s">
        <v>7696</v>
      </c>
      <c r="C424" s="47" t="s">
        <v>64</v>
      </c>
      <c r="D424" s="47" t="s">
        <v>8685</v>
      </c>
      <c r="E424" s="47" t="s">
        <v>8686</v>
      </c>
      <c r="F424" s="47" t="s">
        <v>8236</v>
      </c>
      <c r="G424" s="363">
        <v>46244</v>
      </c>
      <c r="H424" s="47" t="s">
        <v>8190</v>
      </c>
      <c r="I424" s="47" t="s">
        <v>8191</v>
      </c>
      <c r="J424" s="47" t="s">
        <v>8687</v>
      </c>
    </row>
    <row r="425" spans="2:10" ht="14.5">
      <c r="B425" s="47" t="s">
        <v>4946</v>
      </c>
      <c r="C425" s="47" t="s">
        <v>8187</v>
      </c>
      <c r="D425" s="47" t="s">
        <v>8688</v>
      </c>
      <c r="E425" s="47" t="s">
        <v>4945</v>
      </c>
      <c r="F425" s="47" t="s">
        <v>8189</v>
      </c>
      <c r="G425" s="363">
        <v>46225</v>
      </c>
      <c r="H425" s="47" t="s">
        <v>8190</v>
      </c>
      <c r="I425" s="47" t="s">
        <v>8191</v>
      </c>
      <c r="J425" s="47" t="s">
        <v>4945</v>
      </c>
    </row>
    <row r="426" spans="2:10" ht="14.5">
      <c r="B426" s="47" t="s">
        <v>4950</v>
      </c>
      <c r="C426" s="47" t="s">
        <v>8187</v>
      </c>
      <c r="D426" s="47" t="s">
        <v>8689</v>
      </c>
      <c r="E426" s="47" t="s">
        <v>4949</v>
      </c>
      <c r="F426" s="47" t="s">
        <v>8189</v>
      </c>
      <c r="G426" s="363">
        <v>46225</v>
      </c>
      <c r="H426" s="47" t="s">
        <v>8190</v>
      </c>
      <c r="I426" s="47" t="s">
        <v>8191</v>
      </c>
      <c r="J426" s="47" t="s">
        <v>4949</v>
      </c>
    </row>
    <row r="427" spans="2:10" ht="14.5">
      <c r="B427" s="47" t="s">
        <v>4954</v>
      </c>
      <c r="C427" s="47" t="s">
        <v>8187</v>
      </c>
      <c r="D427" s="47" t="s">
        <v>8690</v>
      </c>
      <c r="E427" s="47" t="s">
        <v>4953</v>
      </c>
      <c r="F427" s="47" t="s">
        <v>8189</v>
      </c>
      <c r="G427" s="363">
        <v>46225</v>
      </c>
      <c r="H427" s="47" t="s">
        <v>8190</v>
      </c>
      <c r="I427" s="47" t="s">
        <v>8191</v>
      </c>
      <c r="J427" s="47" t="s">
        <v>4953</v>
      </c>
    </row>
    <row r="428" spans="2:10" ht="14.5">
      <c r="B428" s="47" t="s">
        <v>4991</v>
      </c>
      <c r="C428" s="47" t="s">
        <v>64</v>
      </c>
      <c r="D428" s="47" t="s">
        <v>8691</v>
      </c>
      <c r="E428" s="47" t="s">
        <v>4989</v>
      </c>
      <c r="F428" s="47" t="s">
        <v>8189</v>
      </c>
      <c r="G428" s="363">
        <v>46268</v>
      </c>
      <c r="H428" s="47" t="s">
        <v>8190</v>
      </c>
      <c r="I428" s="47" t="s">
        <v>8191</v>
      </c>
      <c r="J428" s="47" t="s">
        <v>4989</v>
      </c>
    </row>
    <row r="429" spans="2:10" ht="14.5">
      <c r="B429" s="47" t="s">
        <v>8692</v>
      </c>
      <c r="C429" s="47" t="s">
        <v>8187</v>
      </c>
      <c r="D429" s="47" t="s">
        <v>8497</v>
      </c>
      <c r="E429" s="47" t="s">
        <v>5022</v>
      </c>
      <c r="F429" s="47" t="s">
        <v>8189</v>
      </c>
      <c r="G429" s="363">
        <v>46255</v>
      </c>
      <c r="H429" s="47" t="s">
        <v>8190</v>
      </c>
      <c r="I429" s="47" t="s">
        <v>8191</v>
      </c>
      <c r="J429" s="47" t="s">
        <v>5022</v>
      </c>
    </row>
    <row r="430" spans="2:10" ht="14.5">
      <c r="B430" s="47" t="s">
        <v>5014</v>
      </c>
      <c r="C430" s="47" t="s">
        <v>64</v>
      </c>
      <c r="D430" s="47" t="s">
        <v>8693</v>
      </c>
      <c r="E430" s="47" t="s">
        <v>5013</v>
      </c>
      <c r="F430" s="47" t="s">
        <v>8189</v>
      </c>
      <c r="G430" s="363">
        <v>46253</v>
      </c>
      <c r="H430" s="47" t="s">
        <v>8190</v>
      </c>
      <c r="I430" s="47" t="s">
        <v>8191</v>
      </c>
      <c r="J430" s="47" t="s">
        <v>5013</v>
      </c>
    </row>
    <row r="431" spans="2:10" ht="14.5">
      <c r="B431" s="47" t="s">
        <v>5010</v>
      </c>
      <c r="C431" s="47" t="s">
        <v>8187</v>
      </c>
      <c r="D431" s="47" t="s">
        <v>8694</v>
      </c>
      <c r="E431" s="47" t="s">
        <v>5009</v>
      </c>
      <c r="F431" s="47" t="s">
        <v>8189</v>
      </c>
      <c r="G431" s="363">
        <v>46232</v>
      </c>
      <c r="H431" s="47" t="s">
        <v>8190</v>
      </c>
      <c r="I431" s="47" t="s">
        <v>8191</v>
      </c>
      <c r="J431" s="47" t="s">
        <v>5009</v>
      </c>
    </row>
    <row r="432" spans="2:10" ht="14.5">
      <c r="B432" s="47" t="s">
        <v>5006</v>
      </c>
      <c r="C432" s="47" t="s">
        <v>64</v>
      </c>
      <c r="D432" s="47" t="s">
        <v>8695</v>
      </c>
      <c r="E432" s="47" t="s">
        <v>5005</v>
      </c>
      <c r="F432" s="47" t="s">
        <v>8189</v>
      </c>
      <c r="G432" s="363">
        <v>46258</v>
      </c>
      <c r="H432" s="47" t="s">
        <v>8190</v>
      </c>
      <c r="I432" s="47" t="s">
        <v>8191</v>
      </c>
      <c r="J432" s="47" t="s">
        <v>5005</v>
      </c>
    </row>
    <row r="433" spans="2:10" ht="14.5">
      <c r="B433" s="47" t="s">
        <v>4746</v>
      </c>
      <c r="C433" s="47" t="s">
        <v>64</v>
      </c>
      <c r="D433" s="47" t="s">
        <v>8696</v>
      </c>
      <c r="E433" s="47" t="s">
        <v>4745</v>
      </c>
      <c r="F433" s="47" t="s">
        <v>8189</v>
      </c>
      <c r="G433" s="363">
        <v>46267</v>
      </c>
      <c r="H433" s="47" t="s">
        <v>8190</v>
      </c>
      <c r="I433" s="47" t="s">
        <v>8191</v>
      </c>
      <c r="J433" s="47" t="s">
        <v>4745</v>
      </c>
    </row>
    <row r="434" spans="2:10" ht="14.5">
      <c r="B434" s="47" t="s">
        <v>4927</v>
      </c>
      <c r="C434" s="47" t="s">
        <v>64</v>
      </c>
      <c r="D434" s="47" t="s">
        <v>8697</v>
      </c>
      <c r="E434" s="47" t="s">
        <v>4926</v>
      </c>
      <c r="F434" s="47" t="s">
        <v>8189</v>
      </c>
      <c r="G434" s="363">
        <v>46245</v>
      </c>
      <c r="H434" s="47" t="s">
        <v>8190</v>
      </c>
      <c r="I434" s="47" t="s">
        <v>8191</v>
      </c>
      <c r="J434" s="47" t="s">
        <v>4926</v>
      </c>
    </row>
    <row r="435" spans="2:10" ht="14.5">
      <c r="B435" s="47" t="s">
        <v>4936</v>
      </c>
      <c r="C435" s="47" t="s">
        <v>8187</v>
      </c>
      <c r="D435" s="47" t="s">
        <v>8698</v>
      </c>
      <c r="E435" s="47" t="s">
        <v>4935</v>
      </c>
      <c r="F435" s="47" t="s">
        <v>8189</v>
      </c>
      <c r="G435" s="363">
        <v>46237</v>
      </c>
      <c r="H435" s="47" t="s">
        <v>8190</v>
      </c>
      <c r="I435" s="47" t="s">
        <v>8191</v>
      </c>
      <c r="J435" s="47" t="s">
        <v>4935</v>
      </c>
    </row>
    <row r="436" spans="2:10" ht="14.5">
      <c r="B436" s="47" t="s">
        <v>4931</v>
      </c>
      <c r="C436" s="47" t="s">
        <v>8187</v>
      </c>
      <c r="D436" s="47" t="s">
        <v>8699</v>
      </c>
      <c r="E436" s="47" t="s">
        <v>4930</v>
      </c>
      <c r="F436" s="47" t="s">
        <v>8189</v>
      </c>
      <c r="G436" s="363">
        <v>46226</v>
      </c>
      <c r="H436" s="47" t="s">
        <v>8190</v>
      </c>
      <c r="I436" s="47" t="s">
        <v>8191</v>
      </c>
      <c r="J436" s="47" t="s">
        <v>4930</v>
      </c>
    </row>
    <row r="437" spans="2:10" ht="14.5">
      <c r="B437" s="47" t="s">
        <v>4941</v>
      </c>
      <c r="C437" s="47" t="s">
        <v>8187</v>
      </c>
      <c r="D437" s="47" t="s">
        <v>8700</v>
      </c>
      <c r="E437" s="47" t="s">
        <v>4940</v>
      </c>
      <c r="F437" s="47" t="s">
        <v>8189</v>
      </c>
      <c r="G437" s="363">
        <v>46225</v>
      </c>
      <c r="H437" s="47" t="s">
        <v>8190</v>
      </c>
      <c r="I437" s="47" t="s">
        <v>8191</v>
      </c>
      <c r="J437" s="47" t="s">
        <v>4940</v>
      </c>
    </row>
    <row r="438" spans="2:10" ht="14.5">
      <c r="B438" s="47" t="s">
        <v>4956</v>
      </c>
      <c r="C438" s="47" t="s">
        <v>64</v>
      </c>
      <c r="D438" s="47" t="s">
        <v>8701</v>
      </c>
      <c r="E438" s="47" t="s">
        <v>4955</v>
      </c>
      <c r="F438" s="47" t="s">
        <v>8189</v>
      </c>
      <c r="G438" s="363">
        <v>46246</v>
      </c>
      <c r="H438" s="47" t="s">
        <v>8190</v>
      </c>
      <c r="I438" s="47" t="s">
        <v>8191</v>
      </c>
      <c r="J438" s="47" t="s">
        <v>4955</v>
      </c>
    </row>
    <row r="439" spans="2:10" ht="14.5">
      <c r="B439" s="47" t="s">
        <v>8702</v>
      </c>
      <c r="C439" s="47" t="s">
        <v>64</v>
      </c>
      <c r="D439" s="47" t="s">
        <v>8490</v>
      </c>
      <c r="E439" s="47" t="s">
        <v>4960</v>
      </c>
      <c r="F439" s="47" t="s">
        <v>8189</v>
      </c>
      <c r="G439" s="363">
        <v>46246</v>
      </c>
      <c r="H439" s="47" t="s">
        <v>8337</v>
      </c>
      <c r="I439" s="47" t="s">
        <v>8191</v>
      </c>
      <c r="J439" s="47" t="s">
        <v>4960</v>
      </c>
    </row>
    <row r="440" spans="2:10" ht="14.5">
      <c r="B440" s="47" t="s">
        <v>8703</v>
      </c>
      <c r="C440" s="47" t="s">
        <v>64</v>
      </c>
      <c r="D440" s="47" t="s">
        <v>8704</v>
      </c>
      <c r="E440" s="47" t="s">
        <v>4985</v>
      </c>
      <c r="F440" s="47" t="s">
        <v>8189</v>
      </c>
      <c r="G440" s="363">
        <v>46268</v>
      </c>
      <c r="H440" s="47" t="s">
        <v>8190</v>
      </c>
      <c r="I440" s="47" t="s">
        <v>8191</v>
      </c>
      <c r="J440" s="47" t="s">
        <v>4985</v>
      </c>
    </row>
    <row r="441" spans="2:10" ht="14.5">
      <c r="B441" s="47" t="s">
        <v>4981</v>
      </c>
      <c r="C441" s="47" t="s">
        <v>64</v>
      </c>
      <c r="D441" s="47" t="s">
        <v>8705</v>
      </c>
      <c r="E441" s="47" t="s">
        <v>4979</v>
      </c>
      <c r="F441" s="47" t="s">
        <v>8189</v>
      </c>
      <c r="G441" s="363">
        <v>46268</v>
      </c>
      <c r="H441" s="47" t="s">
        <v>8190</v>
      </c>
      <c r="I441" s="47" t="s">
        <v>8191</v>
      </c>
      <c r="J441" s="47" t="s">
        <v>4979</v>
      </c>
    </row>
    <row r="442" spans="2:10" ht="14.5">
      <c r="B442" s="47" t="s">
        <v>4823</v>
      </c>
      <c r="C442" s="47" t="s">
        <v>64</v>
      </c>
      <c r="D442" s="47" t="s">
        <v>8706</v>
      </c>
      <c r="E442" s="47" t="s">
        <v>4822</v>
      </c>
      <c r="F442" s="47" t="s">
        <v>8189</v>
      </c>
      <c r="G442" s="363">
        <v>46268</v>
      </c>
      <c r="H442" s="47" t="s">
        <v>8190</v>
      </c>
      <c r="I442" s="47" t="s">
        <v>8191</v>
      </c>
      <c r="J442" s="47" t="s">
        <v>4822</v>
      </c>
    </row>
    <row r="443" spans="2:10" ht="14.5">
      <c r="B443" s="47" t="s">
        <v>4856</v>
      </c>
      <c r="C443" s="47" t="s">
        <v>8187</v>
      </c>
      <c r="D443" s="47" t="s">
        <v>8707</v>
      </c>
      <c r="E443" s="47" t="s">
        <v>4854</v>
      </c>
      <c r="F443" s="47" t="s">
        <v>8189</v>
      </c>
      <c r="G443" s="363">
        <v>46238</v>
      </c>
      <c r="H443" s="47" t="s">
        <v>8190</v>
      </c>
      <c r="I443" s="47" t="s">
        <v>8191</v>
      </c>
      <c r="J443" s="47"/>
    </row>
    <row r="444" spans="2:10" ht="14.5">
      <c r="B444" s="47" t="s">
        <v>4850</v>
      </c>
      <c r="C444" s="47" t="s">
        <v>8187</v>
      </c>
      <c r="D444" s="47" t="s">
        <v>8708</v>
      </c>
      <c r="E444" s="47" t="s">
        <v>4848</v>
      </c>
      <c r="F444" s="47" t="s">
        <v>8189</v>
      </c>
      <c r="G444" s="363">
        <v>46240</v>
      </c>
      <c r="H444" s="47" t="s">
        <v>8190</v>
      </c>
      <c r="I444" s="47" t="s">
        <v>8191</v>
      </c>
      <c r="J444" s="47" t="s">
        <v>4848</v>
      </c>
    </row>
    <row r="445" spans="2:10" ht="14.5">
      <c r="B445" s="47" t="s">
        <v>4917</v>
      </c>
      <c r="C445" s="47" t="s">
        <v>8187</v>
      </c>
      <c r="D445" s="47" t="s">
        <v>8709</v>
      </c>
      <c r="E445" s="47" t="s">
        <v>4916</v>
      </c>
      <c r="F445" s="47" t="s">
        <v>8189</v>
      </c>
      <c r="G445" s="363">
        <v>46240</v>
      </c>
      <c r="H445" s="47" t="s">
        <v>8190</v>
      </c>
      <c r="I445" s="47" t="s">
        <v>8191</v>
      </c>
      <c r="J445" s="47" t="s">
        <v>4916</v>
      </c>
    </row>
    <row r="446" spans="2:10" ht="14.5">
      <c r="B446" s="47" t="s">
        <v>4883</v>
      </c>
      <c r="C446" s="47" t="s">
        <v>8187</v>
      </c>
      <c r="D446" s="47" t="s">
        <v>8710</v>
      </c>
      <c r="E446" s="47" t="s">
        <v>4881</v>
      </c>
      <c r="F446" s="47" t="s">
        <v>8189</v>
      </c>
      <c r="G446" s="363">
        <v>46235</v>
      </c>
      <c r="H446" s="47" t="s">
        <v>8190</v>
      </c>
      <c r="I446" s="47" t="s">
        <v>8191</v>
      </c>
      <c r="J446" s="47" t="s">
        <v>4881</v>
      </c>
    </row>
    <row r="447" spans="2:10" ht="14.5">
      <c r="B447" s="47" t="s">
        <v>8711</v>
      </c>
      <c r="C447" s="47" t="s">
        <v>8187</v>
      </c>
      <c r="D447" s="47" t="s">
        <v>8488</v>
      </c>
      <c r="E447" s="47" t="s">
        <v>4844</v>
      </c>
      <c r="F447" s="47" t="s">
        <v>8189</v>
      </c>
      <c r="G447" s="363">
        <v>46218</v>
      </c>
      <c r="H447" s="47" t="s">
        <v>8337</v>
      </c>
      <c r="I447" s="47" t="s">
        <v>8191</v>
      </c>
      <c r="J447" s="47"/>
    </row>
    <row r="448" spans="2:10" ht="14.5">
      <c r="B448" s="47" t="s">
        <v>4843</v>
      </c>
      <c r="C448" s="47" t="s">
        <v>64</v>
      </c>
      <c r="D448" s="47" t="s">
        <v>8712</v>
      </c>
      <c r="E448" s="47" t="s">
        <v>4842</v>
      </c>
      <c r="F448" s="47" t="s">
        <v>8189</v>
      </c>
      <c r="G448" s="363">
        <v>46265</v>
      </c>
      <c r="H448" s="47" t="s">
        <v>8190</v>
      </c>
      <c r="I448" s="47" t="s">
        <v>8191</v>
      </c>
      <c r="J448" s="47" t="s">
        <v>4842</v>
      </c>
    </row>
    <row r="449" spans="2:10" ht="14.5">
      <c r="B449" s="47" t="s">
        <v>4839</v>
      </c>
      <c r="C449" s="47" t="s">
        <v>64</v>
      </c>
      <c r="D449" s="47" t="s">
        <v>8713</v>
      </c>
      <c r="E449" s="47" t="s">
        <v>4838</v>
      </c>
      <c r="F449" s="47" t="s">
        <v>8189</v>
      </c>
      <c r="G449" s="363">
        <v>46265</v>
      </c>
      <c r="H449" s="47" t="s">
        <v>8190</v>
      </c>
      <c r="I449" s="47" t="s">
        <v>8191</v>
      </c>
      <c r="J449" s="47" t="s">
        <v>4838</v>
      </c>
    </row>
    <row r="450" spans="2:10" ht="14.5">
      <c r="B450" s="47" t="s">
        <v>4705</v>
      </c>
      <c r="C450" s="47" t="s">
        <v>64</v>
      </c>
      <c r="D450" s="47" t="s">
        <v>8714</v>
      </c>
      <c r="E450" s="47" t="s">
        <v>4704</v>
      </c>
      <c r="F450" s="47" t="s">
        <v>8189</v>
      </c>
      <c r="G450" s="363">
        <v>46232</v>
      </c>
      <c r="H450" s="47" t="s">
        <v>8190</v>
      </c>
      <c r="I450" s="47" t="s">
        <v>8191</v>
      </c>
      <c r="J450" s="47" t="s">
        <v>4704</v>
      </c>
    </row>
    <row r="451" spans="2:10" ht="14.5">
      <c r="B451" s="47" t="s">
        <v>4707</v>
      </c>
      <c r="C451" s="47" t="s">
        <v>8187</v>
      </c>
      <c r="D451" s="47" t="s">
        <v>8715</v>
      </c>
      <c r="E451" s="47" t="s">
        <v>4706</v>
      </c>
      <c r="F451" s="47" t="s">
        <v>8189</v>
      </c>
      <c r="G451" s="363">
        <v>46214</v>
      </c>
      <c r="H451" s="47" t="s">
        <v>8190</v>
      </c>
      <c r="I451" s="47" t="s">
        <v>8191</v>
      </c>
      <c r="J451" s="47" t="s">
        <v>4706</v>
      </c>
    </row>
    <row r="452" spans="2:10" ht="14.5">
      <c r="B452" s="47" t="s">
        <v>4717</v>
      </c>
      <c r="C452" s="47" t="s">
        <v>64</v>
      </c>
      <c r="D452" s="47" t="s">
        <v>8716</v>
      </c>
      <c r="E452" s="47" t="s">
        <v>4716</v>
      </c>
      <c r="F452" s="47" t="s">
        <v>8189</v>
      </c>
      <c r="G452" s="363">
        <v>46241</v>
      </c>
      <c r="H452" s="47" t="s">
        <v>8190</v>
      </c>
      <c r="I452" s="47" t="s">
        <v>8191</v>
      </c>
      <c r="J452" s="47" t="s">
        <v>4716</v>
      </c>
    </row>
    <row r="453" spans="2:10" ht="14.5">
      <c r="B453" s="47" t="s">
        <v>4722</v>
      </c>
      <c r="C453" s="47" t="s">
        <v>64</v>
      </c>
      <c r="D453" s="47" t="s">
        <v>8717</v>
      </c>
      <c r="E453" s="47" t="s">
        <v>4721</v>
      </c>
      <c r="F453" s="47" t="s">
        <v>8189</v>
      </c>
      <c r="G453" s="363">
        <v>46241</v>
      </c>
      <c r="H453" s="47" t="s">
        <v>8190</v>
      </c>
      <c r="I453" s="47" t="s">
        <v>8191</v>
      </c>
      <c r="J453" s="47" t="s">
        <v>4721</v>
      </c>
    </row>
    <row r="454" spans="2:10" ht="14.5">
      <c r="B454" s="47" t="s">
        <v>4773</v>
      </c>
      <c r="C454" s="47" t="s">
        <v>8187</v>
      </c>
      <c r="D454" s="47" t="s">
        <v>8718</v>
      </c>
      <c r="E454" s="47" t="s">
        <v>4770</v>
      </c>
      <c r="F454" s="47" t="s">
        <v>8189</v>
      </c>
      <c r="G454" s="363">
        <v>46237</v>
      </c>
      <c r="H454" s="47" t="s">
        <v>8190</v>
      </c>
      <c r="I454" s="47" t="s">
        <v>8191</v>
      </c>
      <c r="J454" s="47" t="s">
        <v>4770</v>
      </c>
    </row>
    <row r="455" spans="2:10" ht="14.5">
      <c r="B455" s="47" t="s">
        <v>4724</v>
      </c>
      <c r="C455" s="47" t="s">
        <v>64</v>
      </c>
      <c r="D455" s="47" t="s">
        <v>8719</v>
      </c>
      <c r="E455" s="47" t="s">
        <v>4723</v>
      </c>
      <c r="F455" s="47" t="s">
        <v>8189</v>
      </c>
      <c r="G455" s="363">
        <v>46248</v>
      </c>
      <c r="H455" s="47" t="s">
        <v>8190</v>
      </c>
      <c r="I455" s="47" t="s">
        <v>8191</v>
      </c>
      <c r="J455" s="47" t="s">
        <v>4723</v>
      </c>
    </row>
    <row r="456" spans="2:10" ht="14.5">
      <c r="B456" s="47" t="s">
        <v>4735</v>
      </c>
      <c r="C456" s="47" t="s">
        <v>64</v>
      </c>
      <c r="D456" s="47" t="s">
        <v>8720</v>
      </c>
      <c r="E456" s="47" t="s">
        <v>4733</v>
      </c>
      <c r="F456" s="47" t="s">
        <v>8189</v>
      </c>
      <c r="G456" s="363">
        <v>46246</v>
      </c>
      <c r="H456" s="47" t="s">
        <v>8190</v>
      </c>
      <c r="I456" s="47" t="s">
        <v>8191</v>
      </c>
      <c r="J456" s="47" t="s">
        <v>4733</v>
      </c>
    </row>
    <row r="457" spans="2:10" ht="14.5">
      <c r="B457" s="47" t="s">
        <v>4787</v>
      </c>
      <c r="C457" s="47" t="s">
        <v>64</v>
      </c>
      <c r="D457" s="47" t="s">
        <v>8721</v>
      </c>
      <c r="E457" s="47" t="s">
        <v>4785</v>
      </c>
      <c r="F457" s="47" t="s">
        <v>8189</v>
      </c>
      <c r="G457" s="363">
        <v>46238</v>
      </c>
      <c r="H457" s="47" t="s">
        <v>8190</v>
      </c>
      <c r="I457" s="47" t="s">
        <v>8191</v>
      </c>
      <c r="J457" s="47" t="s">
        <v>4785</v>
      </c>
    </row>
    <row r="458" spans="2:10" ht="14.5">
      <c r="B458" s="47" t="s">
        <v>4800</v>
      </c>
      <c r="C458" s="47" t="s">
        <v>8187</v>
      </c>
      <c r="D458" s="47" t="s">
        <v>8722</v>
      </c>
      <c r="E458" s="47" t="s">
        <v>4799</v>
      </c>
      <c r="F458" s="47" t="s">
        <v>8189</v>
      </c>
      <c r="G458" s="363">
        <v>46233</v>
      </c>
      <c r="H458" s="47" t="s">
        <v>8190</v>
      </c>
      <c r="I458" s="47" t="s">
        <v>8191</v>
      </c>
      <c r="J458" s="47" t="s">
        <v>4799</v>
      </c>
    </row>
    <row r="459" spans="2:10" ht="14.5">
      <c r="B459" s="47" t="s">
        <v>4792</v>
      </c>
      <c r="C459" s="47" t="s">
        <v>8187</v>
      </c>
      <c r="D459" s="47" t="s">
        <v>8723</v>
      </c>
      <c r="E459" s="47" t="s">
        <v>4791</v>
      </c>
      <c r="F459" s="47" t="s">
        <v>8189</v>
      </c>
      <c r="G459" s="363">
        <v>46217</v>
      </c>
      <c r="H459" s="47" t="s">
        <v>8190</v>
      </c>
      <c r="I459" s="47" t="s">
        <v>8191</v>
      </c>
      <c r="J459" s="47" t="s">
        <v>4791</v>
      </c>
    </row>
    <row r="460" spans="2:10" ht="14.5">
      <c r="B460" s="47" t="s">
        <v>4796</v>
      </c>
      <c r="C460" s="47" t="s">
        <v>8187</v>
      </c>
      <c r="D460" s="47" t="s">
        <v>8724</v>
      </c>
      <c r="E460" s="47" t="s">
        <v>4795</v>
      </c>
      <c r="F460" s="47" t="s">
        <v>8189</v>
      </c>
      <c r="G460" s="363">
        <v>46217</v>
      </c>
      <c r="H460" s="47" t="s">
        <v>8190</v>
      </c>
      <c r="I460" s="47" t="s">
        <v>8191</v>
      </c>
      <c r="J460" s="47" t="s">
        <v>4795</v>
      </c>
    </row>
    <row r="461" spans="2:10" ht="14.5">
      <c r="B461" s="47" t="s">
        <v>4890</v>
      </c>
      <c r="C461" s="47" t="s">
        <v>8187</v>
      </c>
      <c r="D461" s="47" t="s">
        <v>8725</v>
      </c>
      <c r="E461" s="47" t="s">
        <v>4887</v>
      </c>
      <c r="F461" s="47" t="s">
        <v>8189</v>
      </c>
      <c r="G461" s="363">
        <v>46226</v>
      </c>
      <c r="H461" s="47" t="s">
        <v>8190</v>
      </c>
      <c r="I461" s="47" t="s">
        <v>8191</v>
      </c>
      <c r="J461" s="47" t="s">
        <v>4887</v>
      </c>
    </row>
    <row r="462" spans="2:10" ht="14.5">
      <c r="B462" s="47" t="s">
        <v>4912</v>
      </c>
      <c r="C462" s="47" t="s">
        <v>8187</v>
      </c>
      <c r="D462" s="47" t="s">
        <v>8726</v>
      </c>
      <c r="E462" s="47" t="s">
        <v>4910</v>
      </c>
      <c r="F462" s="47" t="s">
        <v>8189</v>
      </c>
      <c r="G462" s="363">
        <v>46239</v>
      </c>
      <c r="H462" s="47" t="s">
        <v>8190</v>
      </c>
      <c r="I462" s="47" t="s">
        <v>8191</v>
      </c>
      <c r="J462" s="47" t="s">
        <v>4910</v>
      </c>
    </row>
    <row r="463" spans="2:10" ht="14.5">
      <c r="B463" s="47" t="s">
        <v>4907</v>
      </c>
      <c r="C463" s="47" t="s">
        <v>64</v>
      </c>
      <c r="D463" s="47" t="s">
        <v>8727</v>
      </c>
      <c r="E463" s="47" t="s">
        <v>4906</v>
      </c>
      <c r="F463" s="47" t="s">
        <v>8189</v>
      </c>
      <c r="G463" s="363">
        <v>46267</v>
      </c>
      <c r="H463" s="47" t="s">
        <v>8190</v>
      </c>
      <c r="I463" s="47" t="s">
        <v>8191</v>
      </c>
      <c r="J463" s="47" t="s">
        <v>4906</v>
      </c>
    </row>
    <row r="464" spans="2:10" ht="14.5">
      <c r="B464" s="47" t="s">
        <v>4903</v>
      </c>
      <c r="C464" s="47" t="s">
        <v>64</v>
      </c>
      <c r="D464" s="47" t="s">
        <v>8728</v>
      </c>
      <c r="E464" s="47" t="s">
        <v>4901</v>
      </c>
      <c r="F464" s="47" t="s">
        <v>8189</v>
      </c>
      <c r="G464" s="363">
        <v>46272</v>
      </c>
      <c r="H464" s="47" t="s">
        <v>8190</v>
      </c>
      <c r="I464" s="47" t="s">
        <v>8191</v>
      </c>
      <c r="J464" s="47" t="s">
        <v>4901</v>
      </c>
    </row>
    <row r="465" spans="2:10" ht="14.5">
      <c r="B465" s="47" t="s">
        <v>8729</v>
      </c>
      <c r="C465" s="47" t="s">
        <v>8187</v>
      </c>
      <c r="D465" s="47" t="s">
        <v>8501</v>
      </c>
      <c r="E465" s="47" t="s">
        <v>4827</v>
      </c>
      <c r="F465" s="47" t="s">
        <v>8189</v>
      </c>
      <c r="G465" s="363">
        <v>46240</v>
      </c>
      <c r="H465" s="47" t="s">
        <v>8337</v>
      </c>
      <c r="I465" s="47" t="s">
        <v>8191</v>
      </c>
      <c r="J465" s="47"/>
    </row>
    <row r="466" spans="2:10" ht="14.5">
      <c r="B466" s="47" t="s">
        <v>4835</v>
      </c>
      <c r="C466" s="47" t="s">
        <v>64</v>
      </c>
      <c r="D466" s="47" t="s">
        <v>8730</v>
      </c>
      <c r="E466" s="47" t="s">
        <v>4833</v>
      </c>
      <c r="F466" s="47" t="s">
        <v>8189</v>
      </c>
      <c r="G466" s="363">
        <v>46265</v>
      </c>
      <c r="H466" s="47" t="s">
        <v>8190</v>
      </c>
      <c r="I466" s="47" t="s">
        <v>8191</v>
      </c>
      <c r="J466" s="47" t="s">
        <v>4833</v>
      </c>
    </row>
    <row r="467" spans="2:10" ht="14.5">
      <c r="B467" s="47" t="s">
        <v>4821</v>
      </c>
      <c r="C467" s="47" t="s">
        <v>64</v>
      </c>
      <c r="D467" s="47" t="s">
        <v>8731</v>
      </c>
      <c r="E467" s="47" t="s">
        <v>4819</v>
      </c>
      <c r="F467" s="47" t="s">
        <v>8189</v>
      </c>
      <c r="G467" s="363">
        <v>46253</v>
      </c>
      <c r="H467" s="47" t="s">
        <v>8190</v>
      </c>
      <c r="I467" s="47" t="s">
        <v>8191</v>
      </c>
      <c r="J467" s="47" t="s">
        <v>4819</v>
      </c>
    </row>
    <row r="468" spans="2:10" ht="14.5">
      <c r="B468" s="47" t="s">
        <v>4806</v>
      </c>
      <c r="C468" s="47" t="s">
        <v>64</v>
      </c>
      <c r="D468" s="47" t="s">
        <v>8732</v>
      </c>
      <c r="E468" s="47" t="s">
        <v>4804</v>
      </c>
      <c r="F468" s="47" t="s">
        <v>8189</v>
      </c>
      <c r="G468" s="363">
        <v>46259</v>
      </c>
      <c r="H468" s="47" t="s">
        <v>8190</v>
      </c>
      <c r="I468" s="47" t="s">
        <v>8191</v>
      </c>
      <c r="J468" s="47" t="s">
        <v>4804</v>
      </c>
    </row>
    <row r="469" spans="2:10" ht="14.5">
      <c r="B469" s="47" t="s">
        <v>4816</v>
      </c>
      <c r="C469" s="47" t="s">
        <v>64</v>
      </c>
      <c r="D469" s="47" t="s">
        <v>8733</v>
      </c>
      <c r="E469" s="47" t="s">
        <v>4815</v>
      </c>
      <c r="F469" s="47" t="s">
        <v>8189</v>
      </c>
      <c r="G469" s="363">
        <v>46253</v>
      </c>
      <c r="H469" s="47" t="s">
        <v>8190</v>
      </c>
      <c r="I469" s="47" t="s">
        <v>8191</v>
      </c>
      <c r="J469" s="47" t="s">
        <v>4815</v>
      </c>
    </row>
    <row r="470" spans="2:10" ht="14.5">
      <c r="B470" s="47" t="s">
        <v>4811</v>
      </c>
      <c r="C470" s="47" t="s">
        <v>64</v>
      </c>
      <c r="D470" s="47" t="s">
        <v>8734</v>
      </c>
      <c r="E470" s="47" t="s">
        <v>4810</v>
      </c>
      <c r="F470" s="47" t="s">
        <v>8189</v>
      </c>
      <c r="G470" s="363">
        <v>46246</v>
      </c>
      <c r="H470" s="47" t="s">
        <v>8190</v>
      </c>
      <c r="I470" s="47" t="s">
        <v>8191</v>
      </c>
      <c r="J470" s="47" t="s">
        <v>4810</v>
      </c>
    </row>
    <row r="471" spans="2:10" ht="14.5">
      <c r="B471" s="47" t="s">
        <v>4880</v>
      </c>
      <c r="C471" s="47" t="s">
        <v>8187</v>
      </c>
      <c r="D471" s="47" t="s">
        <v>8735</v>
      </c>
      <c r="E471" s="47" t="s">
        <v>4877</v>
      </c>
      <c r="F471" s="47" t="s">
        <v>8189</v>
      </c>
      <c r="G471" s="363">
        <v>46238</v>
      </c>
      <c r="H471" s="47" t="s">
        <v>8190</v>
      </c>
      <c r="I471" s="47" t="s">
        <v>8191</v>
      </c>
      <c r="J471" s="47" t="s">
        <v>4877</v>
      </c>
    </row>
    <row r="472" spans="2:10" ht="14.5">
      <c r="B472" s="47" t="s">
        <v>4874</v>
      </c>
      <c r="C472" s="47" t="s">
        <v>8187</v>
      </c>
      <c r="D472" s="47" t="s">
        <v>8736</v>
      </c>
      <c r="E472" s="47" t="s">
        <v>4871</v>
      </c>
      <c r="F472" s="47" t="s">
        <v>8189</v>
      </c>
      <c r="G472" s="363">
        <v>46238</v>
      </c>
      <c r="H472" s="47" t="s">
        <v>8190</v>
      </c>
      <c r="I472" s="47" t="s">
        <v>8191</v>
      </c>
      <c r="J472" s="47"/>
    </row>
    <row r="473" spans="2:10" ht="14.5">
      <c r="B473" s="47" t="s">
        <v>8737</v>
      </c>
      <c r="C473" s="47" t="s">
        <v>64</v>
      </c>
      <c r="D473" s="47" t="s">
        <v>8738</v>
      </c>
      <c r="E473" s="47"/>
      <c r="F473" s="47" t="s">
        <v>8189</v>
      </c>
      <c r="G473" s="363">
        <v>46353</v>
      </c>
      <c r="H473" s="47" t="s">
        <v>8739</v>
      </c>
      <c r="I473" s="47" t="s">
        <v>8191</v>
      </c>
      <c r="J473" s="47" t="s">
        <v>8740</v>
      </c>
    </row>
    <row r="474" spans="2:10" ht="14.5">
      <c r="B474" s="47" t="s">
        <v>8741</v>
      </c>
      <c r="C474" s="47" t="s">
        <v>64</v>
      </c>
      <c r="D474" s="47" t="s">
        <v>8742</v>
      </c>
      <c r="E474" s="47"/>
      <c r="F474" s="47" t="s">
        <v>8189</v>
      </c>
      <c r="G474" s="363">
        <v>46325</v>
      </c>
      <c r="H474" s="47" t="s">
        <v>8739</v>
      </c>
      <c r="I474" s="47" t="s">
        <v>8191</v>
      </c>
      <c r="J474" s="47" t="s">
        <v>8740</v>
      </c>
    </row>
    <row r="475" spans="2:10" ht="14.5">
      <c r="B475" s="47" t="s">
        <v>8743</v>
      </c>
      <c r="C475" s="47" t="s">
        <v>64</v>
      </c>
      <c r="D475" s="47" t="s">
        <v>8744</v>
      </c>
      <c r="E475" s="47"/>
      <c r="F475" s="47" t="s">
        <v>8189</v>
      </c>
      <c r="G475" s="363">
        <v>46290</v>
      </c>
      <c r="H475" s="47" t="s">
        <v>8739</v>
      </c>
      <c r="I475" s="47" t="s">
        <v>8191</v>
      </c>
      <c r="J475" s="47" t="s">
        <v>8740</v>
      </c>
    </row>
    <row r="476" spans="2:10" ht="14.5">
      <c r="B476" s="47" t="s">
        <v>8745</v>
      </c>
      <c r="C476" s="47" t="s">
        <v>64</v>
      </c>
      <c r="D476" s="47" t="s">
        <v>8746</v>
      </c>
      <c r="E476" s="47"/>
      <c r="F476" s="47" t="s">
        <v>8189</v>
      </c>
      <c r="G476" s="363">
        <v>46262</v>
      </c>
      <c r="H476" s="47" t="s">
        <v>8739</v>
      </c>
      <c r="I476" s="47" t="s">
        <v>8191</v>
      </c>
      <c r="J476" s="47" t="s">
        <v>8740</v>
      </c>
    </row>
    <row r="477" spans="2:10" ht="14.5">
      <c r="B477" s="47" t="s">
        <v>8747</v>
      </c>
      <c r="C477" s="47" t="s">
        <v>64</v>
      </c>
      <c r="D477" s="47" t="s">
        <v>8748</v>
      </c>
      <c r="E477" s="47"/>
      <c r="F477" s="47" t="s">
        <v>8189</v>
      </c>
      <c r="G477" s="363">
        <v>46248</v>
      </c>
      <c r="H477" s="47" t="s">
        <v>8739</v>
      </c>
      <c r="I477" s="47" t="s">
        <v>8191</v>
      </c>
      <c r="J477" s="47" t="s">
        <v>8740</v>
      </c>
    </row>
    <row r="478" spans="2:10" ht="14.5">
      <c r="B478" s="47" t="s">
        <v>8749</v>
      </c>
      <c r="C478" s="47" t="s">
        <v>64</v>
      </c>
      <c r="D478" s="47" t="s">
        <v>8750</v>
      </c>
      <c r="E478" s="47"/>
      <c r="F478" s="47" t="s">
        <v>8189</v>
      </c>
      <c r="G478" s="363">
        <v>46234</v>
      </c>
      <c r="H478" s="47" t="s">
        <v>8739</v>
      </c>
      <c r="I478" s="47" t="s">
        <v>8191</v>
      </c>
      <c r="J478" s="47" t="s">
        <v>8740</v>
      </c>
    </row>
    <row r="479" spans="2:10" ht="14.5">
      <c r="B479" s="47" t="s">
        <v>4701</v>
      </c>
      <c r="C479" s="47" t="s">
        <v>64</v>
      </c>
      <c r="D479" s="47" t="s">
        <v>8751</v>
      </c>
      <c r="E479" s="47" t="s">
        <v>4699</v>
      </c>
      <c r="F479" s="47" t="s">
        <v>8189</v>
      </c>
      <c r="G479" s="363">
        <v>46232</v>
      </c>
      <c r="H479" s="47" t="s">
        <v>8190</v>
      </c>
      <c r="I479" s="47" t="s">
        <v>8191</v>
      </c>
      <c r="J479" s="47" t="s">
        <v>4699</v>
      </c>
    </row>
    <row r="480" spans="2:10" ht="14.5">
      <c r="B480" s="47" t="s">
        <v>4737</v>
      </c>
      <c r="C480" s="47" t="s">
        <v>8187</v>
      </c>
      <c r="D480" s="47" t="s">
        <v>8752</v>
      </c>
      <c r="E480" s="47" t="s">
        <v>4736</v>
      </c>
      <c r="F480" s="47" t="s">
        <v>8189</v>
      </c>
      <c r="G480" s="363">
        <v>46219</v>
      </c>
      <c r="H480" s="47" t="s">
        <v>8190</v>
      </c>
      <c r="I480" s="47" t="s">
        <v>8191</v>
      </c>
      <c r="J480" s="47" t="s">
        <v>4736</v>
      </c>
    </row>
    <row r="481" spans="2:10" ht="14.5">
      <c r="B481" s="47" t="s">
        <v>4742</v>
      </c>
      <c r="C481" s="47" t="s">
        <v>64</v>
      </c>
      <c r="D481" s="47" t="s">
        <v>8753</v>
      </c>
      <c r="E481" s="47" t="s">
        <v>4741</v>
      </c>
      <c r="F481" s="47" t="s">
        <v>8189</v>
      </c>
      <c r="G481" s="363">
        <v>46233</v>
      </c>
      <c r="H481" s="47" t="s">
        <v>8190</v>
      </c>
      <c r="I481" s="47" t="s">
        <v>8191</v>
      </c>
      <c r="J481" s="47" t="s">
        <v>4741</v>
      </c>
    </row>
    <row r="482" spans="2:10" ht="14.5">
      <c r="B482" s="47" t="s">
        <v>4751</v>
      </c>
      <c r="C482" s="47" t="s">
        <v>64</v>
      </c>
      <c r="D482" s="47" t="s">
        <v>8754</v>
      </c>
      <c r="E482" s="47" t="s">
        <v>4750</v>
      </c>
      <c r="F482" s="47" t="s">
        <v>8189</v>
      </c>
      <c r="G482" s="363">
        <v>46237</v>
      </c>
      <c r="H482" s="47" t="s">
        <v>8190</v>
      </c>
      <c r="I482" s="47" t="s">
        <v>8191</v>
      </c>
      <c r="J482" s="47" t="s">
        <v>4750</v>
      </c>
    </row>
    <row r="483" spans="2:10" ht="14.5">
      <c r="B483" s="47" t="s">
        <v>4758</v>
      </c>
      <c r="C483" s="47" t="s">
        <v>64</v>
      </c>
      <c r="D483" s="47" t="s">
        <v>8755</v>
      </c>
      <c r="E483" s="47" t="s">
        <v>4757</v>
      </c>
      <c r="F483" s="47" t="s">
        <v>8189</v>
      </c>
      <c r="G483" s="363">
        <v>46247</v>
      </c>
      <c r="H483" s="47" t="s">
        <v>8190</v>
      </c>
      <c r="I483" s="47" t="s">
        <v>8191</v>
      </c>
      <c r="J483" s="47" t="s">
        <v>4757</v>
      </c>
    </row>
    <row r="484" spans="2:10" ht="14.5">
      <c r="B484" s="47" t="s">
        <v>4756</v>
      </c>
      <c r="C484" s="47" t="s">
        <v>64</v>
      </c>
      <c r="D484" s="47" t="s">
        <v>8756</v>
      </c>
      <c r="E484" s="47" t="s">
        <v>4755</v>
      </c>
      <c r="F484" s="47" t="s">
        <v>8189</v>
      </c>
      <c r="G484" s="363">
        <v>46237</v>
      </c>
      <c r="H484" s="47" t="s">
        <v>8190</v>
      </c>
      <c r="I484" s="47" t="s">
        <v>8191</v>
      </c>
      <c r="J484" s="47" t="s">
        <v>4755</v>
      </c>
    </row>
    <row r="485" spans="2:10" ht="14.5">
      <c r="B485" s="47" t="s">
        <v>4762</v>
      </c>
      <c r="C485" s="47" t="s">
        <v>64</v>
      </c>
      <c r="D485" s="47" t="s">
        <v>8757</v>
      </c>
      <c r="E485" s="47" t="s">
        <v>4761</v>
      </c>
      <c r="F485" s="47" t="s">
        <v>8189</v>
      </c>
      <c r="G485" s="363">
        <v>46274</v>
      </c>
      <c r="H485" s="47" t="s">
        <v>8190</v>
      </c>
      <c r="I485" s="47" t="s">
        <v>8191</v>
      </c>
      <c r="J485" s="47" t="s">
        <v>4761</v>
      </c>
    </row>
    <row r="486" spans="2:10" ht="14.5">
      <c r="B486" s="47" t="s">
        <v>4767</v>
      </c>
      <c r="C486" s="47" t="s">
        <v>8187</v>
      </c>
      <c r="D486" s="47" t="s">
        <v>8758</v>
      </c>
      <c r="E486" s="47" t="s">
        <v>4765</v>
      </c>
      <c r="F486" s="47" t="s">
        <v>8189</v>
      </c>
      <c r="G486" s="363">
        <v>46232</v>
      </c>
      <c r="H486" s="47" t="s">
        <v>8190</v>
      </c>
      <c r="I486" s="47" t="s">
        <v>8191</v>
      </c>
      <c r="J486" s="47" t="s">
        <v>4765</v>
      </c>
    </row>
    <row r="487" spans="2:10" ht="14.5">
      <c r="B487" s="47" t="s">
        <v>4712</v>
      </c>
      <c r="C487" s="47" t="s">
        <v>64</v>
      </c>
      <c r="D487" s="47" t="s">
        <v>8759</v>
      </c>
      <c r="E487" s="47" t="s">
        <v>4710</v>
      </c>
      <c r="F487" s="47" t="s">
        <v>8189</v>
      </c>
      <c r="G487" s="363">
        <v>46237</v>
      </c>
      <c r="H487" s="47" t="s">
        <v>8190</v>
      </c>
      <c r="I487" s="47" t="s">
        <v>8191</v>
      </c>
      <c r="J487" s="47" t="s">
        <v>4710</v>
      </c>
    </row>
    <row r="488" spans="2:10" ht="14.5">
      <c r="B488" s="47" t="s">
        <v>4730</v>
      </c>
      <c r="C488" s="47" t="s">
        <v>64</v>
      </c>
      <c r="D488" s="47" t="s">
        <v>8760</v>
      </c>
      <c r="E488" s="47" t="s">
        <v>4728</v>
      </c>
      <c r="F488" s="47" t="s">
        <v>8189</v>
      </c>
      <c r="G488" s="363">
        <v>46246</v>
      </c>
      <c r="H488" s="47" t="s">
        <v>8190</v>
      </c>
      <c r="I488" s="47" t="s">
        <v>8191</v>
      </c>
      <c r="J488" s="47" t="s">
        <v>4728</v>
      </c>
    </row>
    <row r="489" spans="2:10" ht="14.5">
      <c r="B489" s="47" t="s">
        <v>8761</v>
      </c>
      <c r="C489" s="47" t="s">
        <v>64</v>
      </c>
      <c r="D489" s="47" t="s">
        <v>8762</v>
      </c>
      <c r="E489" s="47"/>
      <c r="F489" s="47" t="s">
        <v>8189</v>
      </c>
      <c r="G489" s="363">
        <v>46318</v>
      </c>
      <c r="H489" s="47" t="s">
        <v>8739</v>
      </c>
      <c r="I489" s="47" t="s">
        <v>8191</v>
      </c>
      <c r="J489" s="47" t="s">
        <v>8763</v>
      </c>
    </row>
    <row r="490" spans="2:10" ht="14.5">
      <c r="B490" s="47" t="s">
        <v>8764</v>
      </c>
      <c r="C490" s="47" t="s">
        <v>64</v>
      </c>
      <c r="D490" s="47" t="s">
        <v>8765</v>
      </c>
      <c r="E490" s="47"/>
      <c r="F490" s="47" t="s">
        <v>8189</v>
      </c>
      <c r="G490" s="363">
        <v>46290</v>
      </c>
      <c r="H490" s="47" t="s">
        <v>8739</v>
      </c>
      <c r="I490" s="47" t="s">
        <v>8191</v>
      </c>
      <c r="J490" s="47" t="s">
        <v>8763</v>
      </c>
    </row>
    <row r="491" spans="2:10" ht="14.5">
      <c r="B491" s="47" t="s">
        <v>8766</v>
      </c>
      <c r="C491" s="47" t="s">
        <v>64</v>
      </c>
      <c r="D491" s="47" t="s">
        <v>8767</v>
      </c>
      <c r="E491" s="47"/>
      <c r="F491" s="47" t="s">
        <v>8189</v>
      </c>
      <c r="G491" s="363">
        <v>46262</v>
      </c>
      <c r="H491" s="47" t="s">
        <v>8739</v>
      </c>
      <c r="I491" s="47" t="s">
        <v>8191</v>
      </c>
      <c r="J491" s="47" t="s">
        <v>8763</v>
      </c>
    </row>
    <row r="492" spans="2:10" ht="14.5">
      <c r="B492" s="47" t="s">
        <v>8768</v>
      </c>
      <c r="C492" s="47" t="s">
        <v>64</v>
      </c>
      <c r="D492" s="47" t="s">
        <v>8769</v>
      </c>
      <c r="E492" s="47"/>
      <c r="F492" s="47" t="s">
        <v>8189</v>
      </c>
      <c r="G492" s="363">
        <v>46234</v>
      </c>
      <c r="H492" s="47" t="s">
        <v>8739</v>
      </c>
      <c r="I492" s="47" t="s">
        <v>8191</v>
      </c>
      <c r="J492" s="47" t="s">
        <v>8770</v>
      </c>
    </row>
    <row r="493" spans="2:10" ht="14.5">
      <c r="B493" s="47" t="s">
        <v>4608</v>
      </c>
      <c r="C493" s="47" t="s">
        <v>8187</v>
      </c>
      <c r="D493" s="47" t="s">
        <v>8771</v>
      </c>
      <c r="E493" s="47" t="s">
        <v>4607</v>
      </c>
      <c r="F493" s="47" t="s">
        <v>8189</v>
      </c>
      <c r="G493" s="363">
        <v>46223</v>
      </c>
      <c r="H493" s="47" t="s">
        <v>8190</v>
      </c>
      <c r="I493" s="47" t="s">
        <v>8191</v>
      </c>
      <c r="J493" s="47" t="s">
        <v>4607</v>
      </c>
    </row>
    <row r="494" spans="2:10" ht="14.5">
      <c r="B494" s="47" t="s">
        <v>4613</v>
      </c>
      <c r="C494" s="47" t="s">
        <v>8187</v>
      </c>
      <c r="D494" s="47" t="s">
        <v>8772</v>
      </c>
      <c r="E494" s="47" t="s">
        <v>4612</v>
      </c>
      <c r="F494" s="47" t="s">
        <v>8189</v>
      </c>
      <c r="G494" s="363">
        <v>46223</v>
      </c>
      <c r="H494" s="47" t="s">
        <v>8190</v>
      </c>
      <c r="I494" s="47" t="s">
        <v>8191</v>
      </c>
      <c r="J494" s="47" t="s">
        <v>4612</v>
      </c>
    </row>
    <row r="495" spans="2:10" ht="14.5">
      <c r="B495" s="47" t="s">
        <v>4617</v>
      </c>
      <c r="C495" s="47" t="s">
        <v>8187</v>
      </c>
      <c r="D495" s="47" t="s">
        <v>8773</v>
      </c>
      <c r="E495" s="47" t="s">
        <v>4616</v>
      </c>
      <c r="F495" s="47" t="s">
        <v>8189</v>
      </c>
      <c r="G495" s="363">
        <v>46223</v>
      </c>
      <c r="H495" s="47" t="s">
        <v>8190</v>
      </c>
      <c r="I495" s="47" t="s">
        <v>8191</v>
      </c>
      <c r="J495" s="47" t="s">
        <v>4616</v>
      </c>
    </row>
    <row r="496" spans="2:10" ht="14.5">
      <c r="B496" s="47" t="s">
        <v>4622</v>
      </c>
      <c r="C496" s="47" t="s">
        <v>8187</v>
      </c>
      <c r="D496" s="47" t="s">
        <v>8774</v>
      </c>
      <c r="E496" s="47" t="s">
        <v>4618</v>
      </c>
      <c r="F496" s="47" t="s">
        <v>8189</v>
      </c>
      <c r="G496" s="363">
        <v>46226</v>
      </c>
      <c r="H496" s="47" t="s">
        <v>8190</v>
      </c>
      <c r="I496" s="47" t="s">
        <v>8191</v>
      </c>
      <c r="J496" s="47" t="s">
        <v>4618</v>
      </c>
    </row>
    <row r="497" spans="2:10" ht="14.5">
      <c r="B497" s="47" t="s">
        <v>4627</v>
      </c>
      <c r="C497" s="47" t="s">
        <v>64</v>
      </c>
      <c r="D497" s="47" t="s">
        <v>8775</v>
      </c>
      <c r="E497" s="47" t="s">
        <v>4625</v>
      </c>
      <c r="F497" s="47" t="s">
        <v>8189</v>
      </c>
      <c r="G497" s="363">
        <v>46239</v>
      </c>
      <c r="H497" s="47" t="s">
        <v>8190</v>
      </c>
      <c r="I497" s="47" t="s">
        <v>8191</v>
      </c>
      <c r="J497" s="47" t="s">
        <v>4625</v>
      </c>
    </row>
    <row r="498" spans="2:10" ht="14.5">
      <c r="B498" s="47" t="s">
        <v>4632</v>
      </c>
      <c r="C498" s="47" t="s">
        <v>64</v>
      </c>
      <c r="D498" s="47" t="s">
        <v>8776</v>
      </c>
      <c r="E498" s="47" t="s">
        <v>4631</v>
      </c>
      <c r="F498" s="47" t="s">
        <v>8189</v>
      </c>
      <c r="G498" s="363">
        <v>46239</v>
      </c>
      <c r="H498" s="47" t="s">
        <v>8190</v>
      </c>
      <c r="I498" s="47" t="s">
        <v>8191</v>
      </c>
      <c r="J498" s="47" t="s">
        <v>4631</v>
      </c>
    </row>
    <row r="499" spans="2:10" ht="14.5">
      <c r="B499" s="47" t="s">
        <v>4634</v>
      </c>
      <c r="C499" s="47" t="s">
        <v>64</v>
      </c>
      <c r="D499" s="47" t="s">
        <v>8777</v>
      </c>
      <c r="E499" s="47" t="s">
        <v>4633</v>
      </c>
      <c r="F499" s="47" t="s">
        <v>8189</v>
      </c>
      <c r="G499" s="363">
        <v>46241</v>
      </c>
      <c r="H499" s="47" t="s">
        <v>8190</v>
      </c>
      <c r="I499" s="47" t="s">
        <v>8191</v>
      </c>
      <c r="J499" s="47" t="s">
        <v>4633</v>
      </c>
    </row>
    <row r="500" spans="2:10" ht="14.5">
      <c r="B500" s="47" t="s">
        <v>4638</v>
      </c>
      <c r="C500" s="47" t="s">
        <v>64</v>
      </c>
      <c r="D500" s="47" t="s">
        <v>8778</v>
      </c>
      <c r="E500" s="47" t="s">
        <v>4637</v>
      </c>
      <c r="F500" s="47" t="s">
        <v>8189</v>
      </c>
      <c r="G500" s="363">
        <v>46241</v>
      </c>
      <c r="H500" s="47" t="s">
        <v>8190</v>
      </c>
      <c r="I500" s="47" t="s">
        <v>8191</v>
      </c>
      <c r="J500" s="47" t="s">
        <v>4637</v>
      </c>
    </row>
    <row r="501" spans="2:10" ht="14.5">
      <c r="B501" s="47" t="s">
        <v>4640</v>
      </c>
      <c r="C501" s="47" t="s">
        <v>64</v>
      </c>
      <c r="D501" s="47" t="s">
        <v>8779</v>
      </c>
      <c r="E501" s="47" t="s">
        <v>4639</v>
      </c>
      <c r="F501" s="47" t="s">
        <v>8189</v>
      </c>
      <c r="G501" s="363">
        <v>46241</v>
      </c>
      <c r="H501" s="47" t="s">
        <v>8190</v>
      </c>
      <c r="I501" s="47" t="s">
        <v>8191</v>
      </c>
      <c r="J501" s="47" t="s">
        <v>4639</v>
      </c>
    </row>
    <row r="502" spans="2:10" ht="14.5">
      <c r="B502" s="47" t="s">
        <v>8780</v>
      </c>
      <c r="C502" s="47" t="s">
        <v>64</v>
      </c>
      <c r="D502" s="47" t="s">
        <v>8781</v>
      </c>
      <c r="E502" s="47"/>
      <c r="F502" s="47" t="s">
        <v>8236</v>
      </c>
      <c r="G502" s="363">
        <v>46174</v>
      </c>
      <c r="H502" s="47" t="s">
        <v>8190</v>
      </c>
      <c r="I502" s="47" t="s">
        <v>8191</v>
      </c>
      <c r="J502" s="47" t="s">
        <v>8782</v>
      </c>
    </row>
    <row r="503" spans="2:10" ht="14.5">
      <c r="B503" s="47" t="s">
        <v>8783</v>
      </c>
      <c r="C503" s="47" t="s">
        <v>64</v>
      </c>
      <c r="D503" s="47" t="s">
        <v>8784</v>
      </c>
      <c r="E503" s="47" t="s">
        <v>8785</v>
      </c>
      <c r="F503" s="47" t="s">
        <v>8189</v>
      </c>
      <c r="G503" s="363">
        <v>46174</v>
      </c>
      <c r="H503" s="47" t="s">
        <v>8190</v>
      </c>
      <c r="I503" s="47" t="s">
        <v>8191</v>
      </c>
      <c r="J503" s="47" t="s">
        <v>8786</v>
      </c>
    </row>
    <row r="504" spans="2:10" ht="14.5">
      <c r="B504" s="47" t="s">
        <v>4696</v>
      </c>
      <c r="C504" s="47" t="s">
        <v>8187</v>
      </c>
      <c r="D504" s="47" t="s">
        <v>8787</v>
      </c>
      <c r="E504" s="47" t="s">
        <v>4693</v>
      </c>
      <c r="F504" s="47" t="s">
        <v>8189</v>
      </c>
      <c r="G504" s="363">
        <v>46226</v>
      </c>
      <c r="H504" s="47" t="s">
        <v>8190</v>
      </c>
      <c r="I504" s="47" t="s">
        <v>8191</v>
      </c>
      <c r="J504" s="47" t="s">
        <v>4693</v>
      </c>
    </row>
    <row r="505" spans="2:10" ht="14.5">
      <c r="B505" s="47" t="s">
        <v>4690</v>
      </c>
      <c r="C505" s="47" t="s">
        <v>64</v>
      </c>
      <c r="D505" s="47" t="s">
        <v>8788</v>
      </c>
      <c r="E505" s="47" t="s">
        <v>4689</v>
      </c>
      <c r="F505" s="47" t="s">
        <v>8189</v>
      </c>
      <c r="G505" s="363">
        <v>46238</v>
      </c>
      <c r="H505" s="47" t="s">
        <v>8190</v>
      </c>
      <c r="I505" s="47" t="s">
        <v>8191</v>
      </c>
      <c r="J505" s="47" t="s">
        <v>4689</v>
      </c>
    </row>
    <row r="506" spans="2:10" ht="14.5">
      <c r="B506" s="47" t="s">
        <v>4686</v>
      </c>
      <c r="C506" s="47" t="s">
        <v>64</v>
      </c>
      <c r="D506" s="47" t="s">
        <v>8789</v>
      </c>
      <c r="E506" s="47" t="s">
        <v>4684</v>
      </c>
      <c r="F506" s="47" t="s">
        <v>8189</v>
      </c>
      <c r="G506" s="363">
        <v>46247</v>
      </c>
      <c r="H506" s="47" t="s">
        <v>8190</v>
      </c>
      <c r="I506" s="47" t="s">
        <v>8191</v>
      </c>
      <c r="J506" s="47" t="s">
        <v>4684</v>
      </c>
    </row>
    <row r="507" spans="2:10" ht="14.5">
      <c r="B507" s="47" t="s">
        <v>4681</v>
      </c>
      <c r="C507" s="47" t="s">
        <v>64</v>
      </c>
      <c r="D507" s="47" t="s">
        <v>8790</v>
      </c>
      <c r="E507" s="47" t="s">
        <v>4680</v>
      </c>
      <c r="F507" s="47" t="s">
        <v>8189</v>
      </c>
      <c r="G507" s="363">
        <v>46246</v>
      </c>
      <c r="H507" s="47" t="s">
        <v>8190</v>
      </c>
      <c r="I507" s="47" t="s">
        <v>8191</v>
      </c>
      <c r="J507" s="47" t="s">
        <v>4680</v>
      </c>
    </row>
    <row r="508" spans="2:10" ht="14.5">
      <c r="B508" s="47" t="s">
        <v>4675</v>
      </c>
      <c r="C508" s="47" t="s">
        <v>8187</v>
      </c>
      <c r="D508" s="47" t="s">
        <v>8791</v>
      </c>
      <c r="E508" s="47" t="s">
        <v>4673</v>
      </c>
      <c r="F508" s="47" t="s">
        <v>8189</v>
      </c>
      <c r="G508" s="363">
        <v>46206</v>
      </c>
      <c r="H508" s="47" t="s">
        <v>8190</v>
      </c>
      <c r="I508" s="47" t="s">
        <v>8191</v>
      </c>
      <c r="J508" s="47" t="s">
        <v>4673</v>
      </c>
    </row>
    <row r="509" spans="2:10" ht="14.5">
      <c r="B509" s="47" t="s">
        <v>4669</v>
      </c>
      <c r="C509" s="47" t="s">
        <v>64</v>
      </c>
      <c r="D509" s="47" t="s">
        <v>8792</v>
      </c>
      <c r="E509" s="47" t="s">
        <v>4667</v>
      </c>
      <c r="F509" s="47" t="s">
        <v>8189</v>
      </c>
      <c r="G509" s="363">
        <v>46230</v>
      </c>
      <c r="H509" s="47" t="s">
        <v>8190</v>
      </c>
      <c r="I509" s="47" t="s">
        <v>8191</v>
      </c>
      <c r="J509" s="47" t="s">
        <v>4667</v>
      </c>
    </row>
    <row r="510" spans="2:10" ht="14.5">
      <c r="B510" s="47" t="s">
        <v>4666</v>
      </c>
      <c r="C510" s="47" t="s">
        <v>64</v>
      </c>
      <c r="D510" s="47" t="s">
        <v>8793</v>
      </c>
      <c r="E510" s="47" t="s">
        <v>4665</v>
      </c>
      <c r="F510" s="47" t="s">
        <v>8189</v>
      </c>
      <c r="G510" s="363">
        <v>46230</v>
      </c>
      <c r="H510" s="47" t="s">
        <v>8190</v>
      </c>
      <c r="I510" s="47" t="s">
        <v>8191</v>
      </c>
      <c r="J510" s="47" t="s">
        <v>4665</v>
      </c>
    </row>
    <row r="511" spans="2:10" ht="14.5">
      <c r="B511" s="47" t="s">
        <v>4643</v>
      </c>
      <c r="C511" s="47" t="s">
        <v>8187</v>
      </c>
      <c r="D511" s="47" t="s">
        <v>8794</v>
      </c>
      <c r="E511" s="47" t="s">
        <v>4641</v>
      </c>
      <c r="F511" s="47" t="s">
        <v>8189</v>
      </c>
      <c r="G511" s="363">
        <v>46204</v>
      </c>
      <c r="H511" s="47" t="s">
        <v>8190</v>
      </c>
      <c r="I511" s="47" t="s">
        <v>8191</v>
      </c>
      <c r="J511" s="47" t="s">
        <v>4641</v>
      </c>
    </row>
    <row r="512" spans="2:10" ht="14.5">
      <c r="B512" s="47" t="s">
        <v>8795</v>
      </c>
      <c r="C512" s="47" t="s">
        <v>8187</v>
      </c>
      <c r="D512" s="47" t="s">
        <v>8576</v>
      </c>
      <c r="E512" s="47" t="s">
        <v>4647</v>
      </c>
      <c r="F512" s="47" t="s">
        <v>8189</v>
      </c>
      <c r="G512" s="363">
        <v>46204</v>
      </c>
      <c r="H512" s="47" t="s">
        <v>8337</v>
      </c>
      <c r="I512" s="47" t="s">
        <v>8191</v>
      </c>
      <c r="J512" s="47" t="s">
        <v>4647</v>
      </c>
    </row>
    <row r="513" spans="2:10" ht="14.5">
      <c r="B513" s="47" t="s">
        <v>4606</v>
      </c>
      <c r="C513" s="47" t="s">
        <v>8187</v>
      </c>
      <c r="D513" s="47" t="s">
        <v>8796</v>
      </c>
      <c r="E513" s="47" t="s">
        <v>4605</v>
      </c>
      <c r="F513" s="47" t="s">
        <v>8189</v>
      </c>
      <c r="G513" s="363">
        <v>46204</v>
      </c>
      <c r="H513" s="47" t="s">
        <v>8190</v>
      </c>
      <c r="I513" s="47" t="s">
        <v>8191</v>
      </c>
      <c r="J513" s="47" t="s">
        <v>4605</v>
      </c>
    </row>
    <row r="514" spans="2:10" ht="14.5">
      <c r="B514" s="47" t="s">
        <v>4601</v>
      </c>
      <c r="C514" s="47" t="s">
        <v>8187</v>
      </c>
      <c r="D514" s="47" t="s">
        <v>8797</v>
      </c>
      <c r="E514" s="47" t="s">
        <v>4600</v>
      </c>
      <c r="F514" s="47" t="s">
        <v>8189</v>
      </c>
      <c r="G514" s="363">
        <v>46204</v>
      </c>
      <c r="H514" s="47" t="s">
        <v>8190</v>
      </c>
      <c r="I514" s="47" t="s">
        <v>8191</v>
      </c>
      <c r="J514" s="47" t="s">
        <v>4600</v>
      </c>
    </row>
    <row r="515" spans="2:10" ht="14.5">
      <c r="B515" s="47" t="s">
        <v>4599</v>
      </c>
      <c r="C515" s="47" t="s">
        <v>8187</v>
      </c>
      <c r="D515" s="47" t="s">
        <v>8798</v>
      </c>
      <c r="E515" s="47" t="s">
        <v>4596</v>
      </c>
      <c r="F515" s="47" t="s">
        <v>8189</v>
      </c>
      <c r="G515" s="363">
        <v>46203</v>
      </c>
      <c r="H515" s="47" t="s">
        <v>8190</v>
      </c>
      <c r="I515" s="47" t="s">
        <v>8191</v>
      </c>
      <c r="J515" s="47"/>
    </row>
    <row r="516" spans="2:10" ht="14.5">
      <c r="B516" s="47" t="s">
        <v>4593</v>
      </c>
      <c r="C516" s="47" t="s">
        <v>8187</v>
      </c>
      <c r="D516" s="47" t="s">
        <v>8799</v>
      </c>
      <c r="E516" s="47" t="s">
        <v>4590</v>
      </c>
      <c r="F516" s="47" t="s">
        <v>8189</v>
      </c>
      <c r="G516" s="363">
        <v>46203</v>
      </c>
      <c r="H516" s="47" t="s">
        <v>8190</v>
      </c>
      <c r="I516" s="47" t="s">
        <v>8191</v>
      </c>
      <c r="J516" s="47"/>
    </row>
    <row r="517" spans="2:10" ht="14.5">
      <c r="B517" s="47" t="s">
        <v>4589</v>
      </c>
      <c r="C517" s="47" t="s">
        <v>64</v>
      </c>
      <c r="D517" s="47" t="s">
        <v>8800</v>
      </c>
      <c r="E517" s="47" t="s">
        <v>4588</v>
      </c>
      <c r="F517" s="47" t="s">
        <v>8189</v>
      </c>
      <c r="G517" s="363">
        <v>46225</v>
      </c>
      <c r="H517" s="47" t="s">
        <v>8190</v>
      </c>
      <c r="I517" s="47" t="s">
        <v>8191</v>
      </c>
      <c r="J517" s="47" t="s">
        <v>4588</v>
      </c>
    </row>
    <row r="518" spans="2:10" ht="14.5">
      <c r="B518" s="47" t="s">
        <v>4580</v>
      </c>
      <c r="C518" s="47" t="s">
        <v>64</v>
      </c>
      <c r="D518" s="47" t="s">
        <v>8801</v>
      </c>
      <c r="E518" s="47" t="s">
        <v>4577</v>
      </c>
      <c r="F518" s="47" t="s">
        <v>8189</v>
      </c>
      <c r="G518" s="363">
        <v>46223</v>
      </c>
      <c r="H518" s="47" t="s">
        <v>8190</v>
      </c>
      <c r="I518" s="47" t="s">
        <v>8191</v>
      </c>
      <c r="J518" s="47" t="s">
        <v>4577</v>
      </c>
    </row>
    <row r="519" spans="2:10" ht="14.5">
      <c r="B519" s="47" t="s">
        <v>4585</v>
      </c>
      <c r="C519" s="47" t="s">
        <v>64</v>
      </c>
      <c r="D519" s="47" t="s">
        <v>8802</v>
      </c>
      <c r="E519" s="47" t="s">
        <v>4584</v>
      </c>
      <c r="F519" s="47" t="s">
        <v>8189</v>
      </c>
      <c r="G519" s="363">
        <v>46225</v>
      </c>
      <c r="H519" s="47" t="s">
        <v>8190</v>
      </c>
      <c r="I519" s="47" t="s">
        <v>8191</v>
      </c>
      <c r="J519" s="47" t="s">
        <v>4584</v>
      </c>
    </row>
    <row r="520" spans="2:10" ht="14.5">
      <c r="B520" s="47" t="s">
        <v>4576</v>
      </c>
      <c r="C520" s="47" t="s">
        <v>64</v>
      </c>
      <c r="D520" s="47" t="s">
        <v>8803</v>
      </c>
      <c r="E520" s="47" t="s">
        <v>4575</v>
      </c>
      <c r="F520" s="47" t="s">
        <v>8189</v>
      </c>
      <c r="G520" s="363">
        <v>46248</v>
      </c>
      <c r="H520" s="47" t="s">
        <v>8190</v>
      </c>
      <c r="I520" s="47" t="s">
        <v>8191</v>
      </c>
      <c r="J520" s="47" t="s">
        <v>4575</v>
      </c>
    </row>
    <row r="521" spans="2:10" ht="14.5">
      <c r="B521" s="47" t="s">
        <v>4570</v>
      </c>
      <c r="C521" s="47" t="s">
        <v>64</v>
      </c>
      <c r="D521" s="47" t="s">
        <v>8804</v>
      </c>
      <c r="E521" s="47" t="s">
        <v>4569</v>
      </c>
      <c r="F521" s="47" t="s">
        <v>8189</v>
      </c>
      <c r="G521" s="363">
        <v>46248</v>
      </c>
      <c r="H521" s="47" t="s">
        <v>8190</v>
      </c>
      <c r="I521" s="47" t="s">
        <v>8191</v>
      </c>
      <c r="J521" s="47" t="s">
        <v>4569</v>
      </c>
    </row>
    <row r="522" spans="2:10" ht="14.5">
      <c r="B522" s="47" t="s">
        <v>8805</v>
      </c>
      <c r="C522" s="47" t="s">
        <v>8187</v>
      </c>
      <c r="D522" s="47" t="s">
        <v>8574</v>
      </c>
      <c r="E522" s="47" t="s">
        <v>4652</v>
      </c>
      <c r="F522" s="47" t="s">
        <v>8189</v>
      </c>
      <c r="G522" s="363">
        <v>46204</v>
      </c>
      <c r="H522" s="47" t="s">
        <v>8337</v>
      </c>
      <c r="I522" s="47" t="s">
        <v>8191</v>
      </c>
      <c r="J522" s="47" t="s">
        <v>4652</v>
      </c>
    </row>
    <row r="523" spans="2:10" ht="14.5">
      <c r="B523" s="47" t="s">
        <v>4662</v>
      </c>
      <c r="C523" s="47" t="s">
        <v>64</v>
      </c>
      <c r="D523" s="47" t="s">
        <v>8806</v>
      </c>
      <c r="E523" s="47" t="s">
        <v>4661</v>
      </c>
      <c r="F523" s="47" t="s">
        <v>8189</v>
      </c>
      <c r="G523" s="363">
        <v>46230</v>
      </c>
      <c r="H523" s="47" t="s">
        <v>8190</v>
      </c>
      <c r="I523" s="47" t="s">
        <v>8191</v>
      </c>
      <c r="J523" s="47" t="s">
        <v>4661</v>
      </c>
    </row>
    <row r="524" spans="2:10" ht="14.5">
      <c r="B524" s="47" t="s">
        <v>4514</v>
      </c>
      <c r="C524" s="47" t="s">
        <v>64</v>
      </c>
      <c r="D524" s="47" t="s">
        <v>8807</v>
      </c>
      <c r="E524" s="47" t="s">
        <v>4513</v>
      </c>
      <c r="F524" s="47" t="s">
        <v>8189</v>
      </c>
      <c r="G524" s="363">
        <v>46232</v>
      </c>
      <c r="H524" s="47" t="s">
        <v>8190</v>
      </c>
      <c r="I524" s="47" t="s">
        <v>8191</v>
      </c>
      <c r="J524" s="47" t="s">
        <v>4513</v>
      </c>
    </row>
    <row r="525" spans="2:10" ht="14.5">
      <c r="B525" s="47" t="s">
        <v>4658</v>
      </c>
      <c r="C525" s="47" t="s">
        <v>8187</v>
      </c>
      <c r="D525" s="47" t="s">
        <v>8808</v>
      </c>
      <c r="E525" s="47" t="s">
        <v>4657</v>
      </c>
      <c r="F525" s="47" t="s">
        <v>8189</v>
      </c>
      <c r="G525" s="363">
        <v>46225</v>
      </c>
      <c r="H525" s="47" t="s">
        <v>8190</v>
      </c>
      <c r="I525" s="47" t="s">
        <v>8191</v>
      </c>
      <c r="J525" s="47" t="s">
        <v>4657</v>
      </c>
    </row>
    <row r="526" spans="2:10" ht="14.5">
      <c r="B526" s="47" t="s">
        <v>8809</v>
      </c>
      <c r="C526" s="47" t="s">
        <v>8187</v>
      </c>
      <c r="D526" s="47" t="s">
        <v>8572</v>
      </c>
      <c r="E526" s="47" t="s">
        <v>4655</v>
      </c>
      <c r="F526" s="47" t="s">
        <v>8189</v>
      </c>
      <c r="G526" s="363">
        <v>46204</v>
      </c>
      <c r="H526" s="47" t="s">
        <v>8337</v>
      </c>
      <c r="I526" s="47" t="s">
        <v>8191</v>
      </c>
      <c r="J526" s="47" t="s">
        <v>4655</v>
      </c>
    </row>
    <row r="527" spans="2:10" ht="14.5">
      <c r="B527" s="47" t="s">
        <v>4499</v>
      </c>
      <c r="C527" s="47" t="s">
        <v>64</v>
      </c>
      <c r="D527" s="47" t="s">
        <v>8810</v>
      </c>
      <c r="E527" s="47" t="s">
        <v>4498</v>
      </c>
      <c r="F527" s="47" t="s">
        <v>8189</v>
      </c>
      <c r="G527" s="363">
        <v>46230</v>
      </c>
      <c r="H527" s="47" t="s">
        <v>8190</v>
      </c>
      <c r="I527" s="47" t="s">
        <v>8191</v>
      </c>
      <c r="J527" s="47" t="s">
        <v>4498</v>
      </c>
    </row>
    <row r="528" spans="2:10" ht="14.5">
      <c r="B528" s="47" t="s">
        <v>4494</v>
      </c>
      <c r="C528" s="47" t="s">
        <v>64</v>
      </c>
      <c r="D528" s="47" t="s">
        <v>8811</v>
      </c>
      <c r="E528" s="47" t="s">
        <v>4492</v>
      </c>
      <c r="F528" s="47" t="s">
        <v>8189</v>
      </c>
      <c r="G528" s="363">
        <v>46230</v>
      </c>
      <c r="H528" s="47" t="s">
        <v>8190</v>
      </c>
      <c r="I528" s="47" t="s">
        <v>8191</v>
      </c>
      <c r="J528" s="47" t="s">
        <v>4492</v>
      </c>
    </row>
    <row r="529" spans="2:10" ht="14.5">
      <c r="B529" s="47" t="s">
        <v>7637</v>
      </c>
      <c r="C529" s="47" t="s">
        <v>64</v>
      </c>
      <c r="D529" s="47" t="s">
        <v>8812</v>
      </c>
      <c r="E529" s="47" t="s">
        <v>8813</v>
      </c>
      <c r="F529" s="47" t="s">
        <v>8236</v>
      </c>
      <c r="G529" s="363">
        <v>46216</v>
      </c>
      <c r="H529" s="47" t="s">
        <v>8190</v>
      </c>
      <c r="I529" s="47" t="s">
        <v>8191</v>
      </c>
      <c r="J529" s="47" t="s">
        <v>8814</v>
      </c>
    </row>
    <row r="530" spans="2:10" ht="14.5">
      <c r="B530" s="47" t="s">
        <v>7651</v>
      </c>
      <c r="C530" s="47" t="s">
        <v>64</v>
      </c>
      <c r="D530" s="47" t="s">
        <v>8815</v>
      </c>
      <c r="E530" s="47" t="s">
        <v>8816</v>
      </c>
      <c r="F530" s="47" t="s">
        <v>8236</v>
      </c>
      <c r="G530" s="363">
        <v>46211</v>
      </c>
      <c r="H530" s="47" t="s">
        <v>8190</v>
      </c>
      <c r="I530" s="47" t="s">
        <v>8191</v>
      </c>
      <c r="J530" s="47" t="s">
        <v>8817</v>
      </c>
    </row>
    <row r="531" spans="2:10" ht="14.5">
      <c r="B531" s="47" t="s">
        <v>7660</v>
      </c>
      <c r="C531" s="47" t="s">
        <v>64</v>
      </c>
      <c r="D531" s="47" t="s">
        <v>8818</v>
      </c>
      <c r="E531" s="47" t="s">
        <v>8819</v>
      </c>
      <c r="F531" s="47" t="s">
        <v>8236</v>
      </c>
      <c r="G531" s="363">
        <v>46220</v>
      </c>
      <c r="H531" s="47" t="s">
        <v>8190</v>
      </c>
      <c r="I531" s="47" t="s">
        <v>8191</v>
      </c>
      <c r="J531" s="47" t="s">
        <v>8820</v>
      </c>
    </row>
    <row r="532" spans="2:10" ht="14.5">
      <c r="B532" s="47" t="s">
        <v>4508</v>
      </c>
      <c r="C532" s="47" t="s">
        <v>64</v>
      </c>
      <c r="D532" s="47" t="s">
        <v>8821</v>
      </c>
      <c r="E532" s="47" t="s">
        <v>4506</v>
      </c>
      <c r="F532" s="47" t="s">
        <v>8189</v>
      </c>
      <c r="G532" s="363">
        <v>46220</v>
      </c>
      <c r="H532" s="47" t="s">
        <v>8190</v>
      </c>
      <c r="I532" s="47" t="s">
        <v>8191</v>
      </c>
      <c r="J532" s="47" t="s">
        <v>4506</v>
      </c>
    </row>
    <row r="533" spans="2:10" ht="14.5">
      <c r="B533" s="47" t="s">
        <v>2429</v>
      </c>
      <c r="C533" s="47" t="s">
        <v>64</v>
      </c>
      <c r="D533" s="47" t="s">
        <v>8822</v>
      </c>
      <c r="E533" s="47" t="s">
        <v>2427</v>
      </c>
      <c r="F533" s="47" t="s">
        <v>8189</v>
      </c>
      <c r="G533" s="363">
        <v>46226</v>
      </c>
      <c r="H533" s="47" t="s">
        <v>8195</v>
      </c>
      <c r="I533" s="47" t="s">
        <v>8191</v>
      </c>
      <c r="J533" s="47" t="s">
        <v>2427</v>
      </c>
    </row>
    <row r="534" spans="2:10" ht="14.5">
      <c r="B534" s="47" t="s">
        <v>2436</v>
      </c>
      <c r="C534" s="47" t="s">
        <v>64</v>
      </c>
      <c r="D534" s="47" t="s">
        <v>8823</v>
      </c>
      <c r="E534" s="47" t="s">
        <v>2435</v>
      </c>
      <c r="F534" s="47" t="s">
        <v>8189</v>
      </c>
      <c r="G534" s="363">
        <v>46226</v>
      </c>
      <c r="H534" s="47" t="s">
        <v>8190</v>
      </c>
      <c r="I534" s="47" t="s">
        <v>8191</v>
      </c>
      <c r="J534" s="47" t="s">
        <v>2435</v>
      </c>
    </row>
    <row r="535" spans="2:10" ht="14.5">
      <c r="B535" s="47" t="s">
        <v>2417</v>
      </c>
      <c r="C535" s="47" t="s">
        <v>64</v>
      </c>
      <c r="D535" s="47" t="s">
        <v>8824</v>
      </c>
      <c r="E535" s="47" t="s">
        <v>2414</v>
      </c>
      <c r="F535" s="47" t="s">
        <v>8189</v>
      </c>
      <c r="G535" s="363">
        <v>46227</v>
      </c>
      <c r="H535" s="47" t="s">
        <v>8190</v>
      </c>
      <c r="I535" s="47" t="s">
        <v>8191</v>
      </c>
      <c r="J535" s="47" t="s">
        <v>2414</v>
      </c>
    </row>
    <row r="536" spans="2:10" ht="14.5">
      <c r="B536" s="47" t="s">
        <v>4566</v>
      </c>
      <c r="C536" s="47" t="s">
        <v>64</v>
      </c>
      <c r="D536" s="47" t="s">
        <v>8825</v>
      </c>
      <c r="E536" s="47" t="s">
        <v>4565</v>
      </c>
      <c r="F536" s="47" t="s">
        <v>8189</v>
      </c>
      <c r="G536" s="363">
        <v>46233</v>
      </c>
      <c r="H536" s="47" t="s">
        <v>8190</v>
      </c>
      <c r="I536" s="47" t="s">
        <v>8191</v>
      </c>
      <c r="J536" s="47" t="s">
        <v>4565</v>
      </c>
    </row>
    <row r="537" spans="2:10" ht="14.5">
      <c r="B537" s="47" t="s">
        <v>4562</v>
      </c>
      <c r="C537" s="47" t="s">
        <v>64</v>
      </c>
      <c r="D537" s="47" t="s">
        <v>8826</v>
      </c>
      <c r="E537" s="47" t="s">
        <v>4560</v>
      </c>
      <c r="F537" s="47" t="s">
        <v>8189</v>
      </c>
      <c r="G537" s="363">
        <v>46234</v>
      </c>
      <c r="H537" s="47" t="s">
        <v>8190</v>
      </c>
      <c r="I537" s="47" t="s">
        <v>8191</v>
      </c>
      <c r="J537" s="47" t="s">
        <v>4560</v>
      </c>
    </row>
    <row r="538" spans="2:10" ht="14.5">
      <c r="B538" s="47" t="s">
        <v>8827</v>
      </c>
      <c r="C538" s="47" t="s">
        <v>64</v>
      </c>
      <c r="D538" s="47" t="s">
        <v>8578</v>
      </c>
      <c r="E538" s="47" t="s">
        <v>4556</v>
      </c>
      <c r="F538" s="47" t="s">
        <v>8189</v>
      </c>
      <c r="G538" s="363">
        <v>46244</v>
      </c>
      <c r="H538" s="47" t="s">
        <v>8337</v>
      </c>
      <c r="I538" s="47" t="s">
        <v>8191</v>
      </c>
      <c r="J538" s="47" t="s">
        <v>4556</v>
      </c>
    </row>
    <row r="539" spans="2:10" ht="14.5">
      <c r="B539" s="47" t="s">
        <v>4543</v>
      </c>
      <c r="C539" s="47" t="s">
        <v>64</v>
      </c>
      <c r="D539" s="47" t="s">
        <v>8828</v>
      </c>
      <c r="E539" s="47" t="s">
        <v>4541</v>
      </c>
      <c r="F539" s="47" t="s">
        <v>8189</v>
      </c>
      <c r="G539" s="363">
        <v>46225</v>
      </c>
      <c r="H539" s="47" t="s">
        <v>8190</v>
      </c>
      <c r="I539" s="47" t="s">
        <v>8191</v>
      </c>
      <c r="J539" s="47" t="s">
        <v>4541</v>
      </c>
    </row>
    <row r="540" spans="2:10" ht="14.5">
      <c r="B540" s="47" t="s">
        <v>4547</v>
      </c>
      <c r="C540" s="47" t="s">
        <v>8187</v>
      </c>
      <c r="D540" s="47" t="s">
        <v>8829</v>
      </c>
      <c r="E540" s="47" t="s">
        <v>4544</v>
      </c>
      <c r="F540" s="47" t="s">
        <v>8189</v>
      </c>
      <c r="G540" s="363">
        <v>46225</v>
      </c>
      <c r="H540" s="47" t="s">
        <v>8190</v>
      </c>
      <c r="I540" s="47" t="s">
        <v>8191</v>
      </c>
      <c r="J540" s="47" t="s">
        <v>4544</v>
      </c>
    </row>
    <row r="541" spans="2:10" ht="14.5">
      <c r="B541" s="47" t="s">
        <v>4538</v>
      </c>
      <c r="C541" s="47" t="s">
        <v>64</v>
      </c>
      <c r="D541" s="47" t="s">
        <v>8830</v>
      </c>
      <c r="E541" s="47" t="s">
        <v>4537</v>
      </c>
      <c r="F541" s="47" t="s">
        <v>8189</v>
      </c>
      <c r="G541" s="363">
        <v>46225</v>
      </c>
      <c r="H541" s="47" t="s">
        <v>8190</v>
      </c>
      <c r="I541" s="47" t="s">
        <v>8191</v>
      </c>
      <c r="J541" s="47" t="s">
        <v>4537</v>
      </c>
    </row>
    <row r="542" spans="2:10" ht="14.5">
      <c r="B542" s="47" t="s">
        <v>4533</v>
      </c>
      <c r="C542" s="47" t="s">
        <v>64</v>
      </c>
      <c r="D542" s="47" t="s">
        <v>8831</v>
      </c>
      <c r="E542" s="47" t="s">
        <v>4530</v>
      </c>
      <c r="F542" s="47" t="s">
        <v>8189</v>
      </c>
      <c r="G542" s="363">
        <v>46230</v>
      </c>
      <c r="H542" s="47" t="s">
        <v>8190</v>
      </c>
      <c r="I542" s="47" t="s">
        <v>8191</v>
      </c>
      <c r="J542" s="47" t="s">
        <v>4530</v>
      </c>
    </row>
    <row r="543" spans="2:10" ht="14.5">
      <c r="B543" s="47" t="s">
        <v>4527</v>
      </c>
      <c r="C543" s="47" t="s">
        <v>64</v>
      </c>
      <c r="D543" s="47" t="s">
        <v>8832</v>
      </c>
      <c r="E543" s="47" t="s">
        <v>4526</v>
      </c>
      <c r="F543" s="47" t="s">
        <v>8189</v>
      </c>
      <c r="G543" s="363">
        <v>46219</v>
      </c>
      <c r="H543" s="47" t="s">
        <v>8190</v>
      </c>
      <c r="I543" s="47" t="s">
        <v>8191</v>
      </c>
      <c r="J543" s="47" t="s">
        <v>4526</v>
      </c>
    </row>
    <row r="544" spans="2:10" ht="14.5">
      <c r="B544" s="47" t="s">
        <v>4522</v>
      </c>
      <c r="C544" s="47" t="s">
        <v>8187</v>
      </c>
      <c r="D544" s="47" t="s">
        <v>8833</v>
      </c>
      <c r="E544" s="47" t="s">
        <v>4517</v>
      </c>
      <c r="F544" s="47" t="s">
        <v>8189</v>
      </c>
      <c r="G544" s="363">
        <v>46205</v>
      </c>
      <c r="H544" s="47" t="s">
        <v>8190</v>
      </c>
      <c r="I544" s="47" t="s">
        <v>8191</v>
      </c>
      <c r="J544" s="47" t="s">
        <v>4517</v>
      </c>
    </row>
    <row r="545" spans="2:10" ht="14.5">
      <c r="B545" s="47" t="s">
        <v>4510</v>
      </c>
      <c r="C545" s="47" t="s">
        <v>64</v>
      </c>
      <c r="D545" s="47" t="s">
        <v>8834</v>
      </c>
      <c r="E545" s="47" t="s">
        <v>4509</v>
      </c>
      <c r="F545" s="47" t="s">
        <v>8189</v>
      </c>
      <c r="G545" s="363">
        <v>46232</v>
      </c>
      <c r="H545" s="47" t="s">
        <v>8190</v>
      </c>
      <c r="I545" s="47" t="s">
        <v>8191</v>
      </c>
      <c r="J545" s="47" t="s">
        <v>4509</v>
      </c>
    </row>
    <row r="546" spans="2:10" ht="14.5">
      <c r="B546" s="47" t="s">
        <v>4502</v>
      </c>
      <c r="C546" s="47" t="s">
        <v>64</v>
      </c>
      <c r="D546" s="47" t="s">
        <v>8835</v>
      </c>
      <c r="E546" s="47" t="s">
        <v>4500</v>
      </c>
      <c r="F546" s="47" t="s">
        <v>8189</v>
      </c>
      <c r="G546" s="363">
        <v>46220</v>
      </c>
      <c r="H546" s="47" t="s">
        <v>8190</v>
      </c>
      <c r="I546" s="47" t="s">
        <v>8191</v>
      </c>
      <c r="J546" s="47" t="s">
        <v>4500</v>
      </c>
    </row>
    <row r="547" spans="2:10" ht="14.5">
      <c r="B547" s="47" t="s">
        <v>8836</v>
      </c>
      <c r="C547" s="47" t="s">
        <v>64</v>
      </c>
      <c r="D547" s="47" t="s">
        <v>8580</v>
      </c>
      <c r="E547" s="47" t="s">
        <v>4550</v>
      </c>
      <c r="F547" s="47" t="s">
        <v>8189</v>
      </c>
      <c r="G547" s="363">
        <v>46244</v>
      </c>
      <c r="H547" s="47" t="s">
        <v>8337</v>
      </c>
      <c r="I547" s="47" t="s">
        <v>8191</v>
      </c>
      <c r="J547" s="47" t="s">
        <v>4550</v>
      </c>
    </row>
    <row r="548" spans="2:10" ht="14.5">
      <c r="B548" s="47" t="s">
        <v>4489</v>
      </c>
      <c r="C548" s="47" t="s">
        <v>64</v>
      </c>
      <c r="D548" s="47" t="s">
        <v>8837</v>
      </c>
      <c r="E548" s="47" t="s">
        <v>4485</v>
      </c>
      <c r="F548" s="47" t="s">
        <v>8189</v>
      </c>
      <c r="G548" s="363">
        <v>46217</v>
      </c>
      <c r="H548" s="47" t="s">
        <v>8190</v>
      </c>
      <c r="I548" s="47" t="s">
        <v>8191</v>
      </c>
      <c r="J548" s="47" t="s">
        <v>4485</v>
      </c>
    </row>
    <row r="549" spans="2:10" ht="14.5">
      <c r="B549" s="47" t="s">
        <v>4481</v>
      </c>
      <c r="C549" s="47" t="s">
        <v>64</v>
      </c>
      <c r="D549" s="47" t="s">
        <v>8838</v>
      </c>
      <c r="E549" s="47" t="s">
        <v>4480</v>
      </c>
      <c r="F549" s="47" t="s">
        <v>8189</v>
      </c>
      <c r="G549" s="363">
        <v>46225</v>
      </c>
      <c r="H549" s="47" t="s">
        <v>8190</v>
      </c>
      <c r="I549" s="47" t="s">
        <v>8191</v>
      </c>
      <c r="J549" s="47" t="s">
        <v>4480</v>
      </c>
    </row>
    <row r="550" spans="2:10" ht="14.5">
      <c r="B550" s="47" t="s">
        <v>4479</v>
      </c>
      <c r="C550" s="47" t="s">
        <v>64</v>
      </c>
      <c r="D550" s="47" t="s">
        <v>8839</v>
      </c>
      <c r="E550" s="47" t="s">
        <v>4478</v>
      </c>
      <c r="F550" s="47" t="s">
        <v>8189</v>
      </c>
      <c r="G550" s="363">
        <v>46217</v>
      </c>
      <c r="H550" s="47" t="s">
        <v>8190</v>
      </c>
      <c r="I550" s="47" t="s">
        <v>8191</v>
      </c>
      <c r="J550" s="47" t="s">
        <v>4478</v>
      </c>
    </row>
    <row r="551" spans="2:10" ht="14.5">
      <c r="B551" s="47" t="s">
        <v>4475</v>
      </c>
      <c r="C551" s="47" t="s">
        <v>64</v>
      </c>
      <c r="D551" s="47" t="s">
        <v>8840</v>
      </c>
      <c r="E551" s="47" t="s">
        <v>4473</v>
      </c>
      <c r="F551" s="47" t="s">
        <v>8189</v>
      </c>
      <c r="G551" s="363">
        <v>46217</v>
      </c>
      <c r="H551" s="47" t="s">
        <v>8190</v>
      </c>
      <c r="I551" s="47" t="s">
        <v>8191</v>
      </c>
      <c r="J551" s="47" t="s">
        <v>4473</v>
      </c>
    </row>
    <row r="552" spans="2:10" ht="14.5">
      <c r="B552" s="47" t="s">
        <v>4469</v>
      </c>
      <c r="C552" s="47" t="s">
        <v>64</v>
      </c>
      <c r="D552" s="47" t="s">
        <v>8841</v>
      </c>
      <c r="E552" s="47" t="s">
        <v>4468</v>
      </c>
      <c r="F552" s="47" t="s">
        <v>8189</v>
      </c>
      <c r="G552" s="363">
        <v>46217</v>
      </c>
      <c r="H552" s="47" t="s">
        <v>8190</v>
      </c>
      <c r="I552" s="47" t="s">
        <v>8191</v>
      </c>
      <c r="J552" s="47" t="s">
        <v>4468</v>
      </c>
    </row>
    <row r="553" spans="2:10" ht="14.5">
      <c r="B553" s="47" t="s">
        <v>4464</v>
      </c>
      <c r="C553" s="47" t="s">
        <v>64</v>
      </c>
      <c r="D553" s="47" t="s">
        <v>8842</v>
      </c>
      <c r="E553" s="47" t="s">
        <v>4463</v>
      </c>
      <c r="F553" s="47" t="s">
        <v>8189</v>
      </c>
      <c r="G553" s="363">
        <v>46216</v>
      </c>
      <c r="H553" s="47" t="s">
        <v>8190</v>
      </c>
      <c r="I553" s="47" t="s">
        <v>8191</v>
      </c>
      <c r="J553" s="47" t="s">
        <v>4463</v>
      </c>
    </row>
    <row r="554" spans="2:10" ht="14.5">
      <c r="B554" s="47" t="s">
        <v>4459</v>
      </c>
      <c r="C554" s="47" t="s">
        <v>64</v>
      </c>
      <c r="D554" s="47" t="s">
        <v>8843</v>
      </c>
      <c r="E554" s="47" t="s">
        <v>4458</v>
      </c>
      <c r="F554" s="47" t="s">
        <v>8189</v>
      </c>
      <c r="G554" s="363">
        <v>46239</v>
      </c>
      <c r="H554" s="47" t="s">
        <v>8190</v>
      </c>
      <c r="I554" s="47" t="s">
        <v>8191</v>
      </c>
      <c r="J554" s="47" t="s">
        <v>4458</v>
      </c>
    </row>
    <row r="555" spans="2:10" ht="14.5">
      <c r="B555" s="47" t="s">
        <v>4457</v>
      </c>
      <c r="C555" s="47" t="s">
        <v>64</v>
      </c>
      <c r="D555" s="47" t="s">
        <v>8844</v>
      </c>
      <c r="E555" s="47" t="s">
        <v>4456</v>
      </c>
      <c r="F555" s="47" t="s">
        <v>8189</v>
      </c>
      <c r="G555" s="363">
        <v>46239</v>
      </c>
      <c r="H555" s="47" t="s">
        <v>8190</v>
      </c>
      <c r="I555" s="47" t="s">
        <v>8191</v>
      </c>
      <c r="J555" s="47" t="s">
        <v>4456</v>
      </c>
    </row>
    <row r="556" spans="2:10" ht="14.5">
      <c r="B556" s="47" t="s">
        <v>4451</v>
      </c>
      <c r="C556" s="47" t="s">
        <v>64</v>
      </c>
      <c r="D556" s="47" t="s">
        <v>8845</v>
      </c>
      <c r="E556" s="47" t="s">
        <v>4449</v>
      </c>
      <c r="F556" s="47" t="s">
        <v>8189</v>
      </c>
      <c r="G556" s="363">
        <v>46239</v>
      </c>
      <c r="H556" s="47" t="s">
        <v>8190</v>
      </c>
      <c r="I556" s="47" t="s">
        <v>8191</v>
      </c>
      <c r="J556" s="47" t="s">
        <v>4449</v>
      </c>
    </row>
    <row r="557" spans="2:10" ht="14.5">
      <c r="B557" s="47" t="s">
        <v>1388</v>
      </c>
      <c r="C557" s="47" t="s">
        <v>64</v>
      </c>
      <c r="D557" s="47" t="s">
        <v>8846</v>
      </c>
      <c r="E557" s="47"/>
      <c r="F557" s="47" t="s">
        <v>8189</v>
      </c>
      <c r="G557" s="363">
        <v>46154</v>
      </c>
      <c r="H557" s="47" t="s">
        <v>8190</v>
      </c>
      <c r="I557" s="47" t="s">
        <v>8191</v>
      </c>
      <c r="J557" s="47" t="s">
        <v>8847</v>
      </c>
    </row>
    <row r="558" spans="2:10" ht="14.5">
      <c r="B558" s="47" t="s">
        <v>2130</v>
      </c>
      <c r="C558" s="47" t="s">
        <v>8187</v>
      </c>
      <c r="D558" s="47" t="s">
        <v>8848</v>
      </c>
      <c r="E558" s="47"/>
      <c r="F558" s="47" t="s">
        <v>8189</v>
      </c>
      <c r="G558" s="363">
        <v>46178</v>
      </c>
      <c r="H558" s="47" t="s">
        <v>8190</v>
      </c>
      <c r="I558" s="47" t="s">
        <v>8191</v>
      </c>
      <c r="J558" s="47" t="s">
        <v>8849</v>
      </c>
    </row>
    <row r="559" spans="2:10" ht="14.5">
      <c r="B559" s="47" t="s">
        <v>2126</v>
      </c>
      <c r="C559" s="47" t="s">
        <v>8187</v>
      </c>
      <c r="D559" s="47" t="s">
        <v>8850</v>
      </c>
      <c r="E559" s="47"/>
      <c r="F559" s="47" t="s">
        <v>8189</v>
      </c>
      <c r="G559" s="363">
        <v>46178</v>
      </c>
      <c r="H559" s="47" t="s">
        <v>8190</v>
      </c>
      <c r="I559" s="47" t="s">
        <v>8191</v>
      </c>
      <c r="J559" s="47" t="s">
        <v>8851</v>
      </c>
    </row>
    <row r="560" spans="2:10" ht="14.5">
      <c r="B560" s="47" t="s">
        <v>2119</v>
      </c>
      <c r="C560" s="47" t="s">
        <v>64</v>
      </c>
      <c r="D560" s="47" t="s">
        <v>8850</v>
      </c>
      <c r="E560" s="47"/>
      <c r="F560" s="47" t="s">
        <v>8189</v>
      </c>
      <c r="G560" s="363">
        <v>46195</v>
      </c>
      <c r="H560" s="47" t="s">
        <v>8190</v>
      </c>
      <c r="I560" s="47" t="s">
        <v>8191</v>
      </c>
      <c r="J560" s="47" t="s">
        <v>8851</v>
      </c>
    </row>
    <row r="561" spans="2:10" ht="14.5">
      <c r="B561" s="47" t="s">
        <v>2446</v>
      </c>
      <c r="C561" s="47" t="s">
        <v>64</v>
      </c>
      <c r="D561" s="47" t="s">
        <v>8852</v>
      </c>
      <c r="E561" s="47" t="s">
        <v>2444</v>
      </c>
      <c r="F561" s="47" t="s">
        <v>8189</v>
      </c>
      <c r="G561" s="363">
        <v>46219</v>
      </c>
      <c r="H561" s="47" t="s">
        <v>8190</v>
      </c>
      <c r="I561" s="47" t="s">
        <v>8191</v>
      </c>
      <c r="J561" s="47" t="s">
        <v>2444</v>
      </c>
    </row>
    <row r="562" spans="2:10" ht="14.5">
      <c r="B562" s="47" t="s">
        <v>2440</v>
      </c>
      <c r="C562" s="47" t="s">
        <v>64</v>
      </c>
      <c r="D562" s="47" t="s">
        <v>8853</v>
      </c>
      <c r="E562" s="47" t="s">
        <v>2437</v>
      </c>
      <c r="F562" s="47" t="s">
        <v>8189</v>
      </c>
      <c r="G562" s="363">
        <v>46219</v>
      </c>
      <c r="H562" s="47" t="s">
        <v>8190</v>
      </c>
      <c r="I562" s="47" t="s">
        <v>8191</v>
      </c>
      <c r="J562" s="47" t="s">
        <v>2437</v>
      </c>
    </row>
    <row r="563" spans="2:10" ht="14.5">
      <c r="B563" s="47" t="s">
        <v>2448</v>
      </c>
      <c r="C563" s="47" t="s">
        <v>64</v>
      </c>
      <c r="D563" s="47" t="s">
        <v>8854</v>
      </c>
      <c r="E563" s="47" t="s">
        <v>2447</v>
      </c>
      <c r="F563" s="47" t="s">
        <v>8189</v>
      </c>
      <c r="G563" s="363">
        <v>46217</v>
      </c>
      <c r="H563" s="47" t="s">
        <v>8190</v>
      </c>
      <c r="I563" s="47" t="s">
        <v>8191</v>
      </c>
      <c r="J563" s="47" t="s">
        <v>2447</v>
      </c>
    </row>
    <row r="564" spans="2:10" ht="14.5">
      <c r="B564" s="47" t="s">
        <v>4438</v>
      </c>
      <c r="C564" s="47" t="s">
        <v>64</v>
      </c>
      <c r="D564" s="47" t="s">
        <v>8855</v>
      </c>
      <c r="E564" s="47" t="s">
        <v>4437</v>
      </c>
      <c r="F564" s="47" t="s">
        <v>8189</v>
      </c>
      <c r="G564" s="363">
        <v>46225</v>
      </c>
      <c r="H564" s="47" t="s">
        <v>8190</v>
      </c>
      <c r="I564" s="47" t="s">
        <v>8191</v>
      </c>
      <c r="J564" s="47" t="s">
        <v>4437</v>
      </c>
    </row>
    <row r="565" spans="2:10" ht="14.5">
      <c r="B565" s="47" t="s">
        <v>4430</v>
      </c>
      <c r="C565" s="47" t="s">
        <v>64</v>
      </c>
      <c r="D565" s="47" t="s">
        <v>8856</v>
      </c>
      <c r="E565" s="47" t="s">
        <v>4429</v>
      </c>
      <c r="F565" s="47" t="s">
        <v>8189</v>
      </c>
      <c r="G565" s="363">
        <v>46217</v>
      </c>
      <c r="H565" s="47" t="s">
        <v>8190</v>
      </c>
      <c r="I565" s="47" t="s">
        <v>8191</v>
      </c>
      <c r="J565" s="47" t="s">
        <v>4429</v>
      </c>
    </row>
    <row r="566" spans="2:10" ht="14.5">
      <c r="B566" s="47" t="s">
        <v>4434</v>
      </c>
      <c r="C566" s="47" t="s">
        <v>64</v>
      </c>
      <c r="D566" s="47" t="s">
        <v>8857</v>
      </c>
      <c r="E566" s="47" t="s">
        <v>4433</v>
      </c>
      <c r="F566" s="47" t="s">
        <v>8189</v>
      </c>
      <c r="G566" s="363">
        <v>46230</v>
      </c>
      <c r="H566" s="47" t="s">
        <v>8190</v>
      </c>
      <c r="I566" s="47" t="s">
        <v>8191</v>
      </c>
      <c r="J566" s="47" t="s">
        <v>4433</v>
      </c>
    </row>
    <row r="567" spans="2:10" ht="14.5">
      <c r="B567" s="47" t="s">
        <v>4442</v>
      </c>
      <c r="C567" s="47" t="s">
        <v>64</v>
      </c>
      <c r="D567" s="47" t="s">
        <v>8858</v>
      </c>
      <c r="E567" s="47" t="s">
        <v>4441</v>
      </c>
      <c r="F567" s="47" t="s">
        <v>8189</v>
      </c>
      <c r="G567" s="363">
        <v>46218</v>
      </c>
      <c r="H567" s="47" t="s">
        <v>8190</v>
      </c>
      <c r="I567" s="47" t="s">
        <v>8191</v>
      </c>
      <c r="J567" s="47" t="s">
        <v>4441</v>
      </c>
    </row>
    <row r="568" spans="2:10" ht="14.5">
      <c r="B568" s="47" t="s">
        <v>2409</v>
      </c>
      <c r="C568" s="47" t="s">
        <v>8187</v>
      </c>
      <c r="D568" s="47" t="s">
        <v>8859</v>
      </c>
      <c r="E568" s="47" t="s">
        <v>2407</v>
      </c>
      <c r="F568" s="47" t="s">
        <v>8189</v>
      </c>
      <c r="G568" s="363">
        <v>46191</v>
      </c>
      <c r="H568" s="47" t="s">
        <v>8190</v>
      </c>
      <c r="I568" s="47" t="s">
        <v>8191</v>
      </c>
      <c r="J568" s="47" t="s">
        <v>2407</v>
      </c>
    </row>
    <row r="569" spans="2:10" ht="14.5">
      <c r="B569" s="47" t="s">
        <v>2424</v>
      </c>
      <c r="C569" s="47" t="s">
        <v>64</v>
      </c>
      <c r="D569" s="47" t="s">
        <v>8860</v>
      </c>
      <c r="E569" s="47" t="s">
        <v>2421</v>
      </c>
      <c r="F569" s="47" t="s">
        <v>8189</v>
      </c>
      <c r="G569" s="363">
        <v>46211</v>
      </c>
      <c r="H569" s="47" t="s">
        <v>8190</v>
      </c>
      <c r="I569" s="47" t="s">
        <v>8191</v>
      </c>
      <c r="J569" s="47" t="s">
        <v>2421</v>
      </c>
    </row>
    <row r="570" spans="2:10" ht="14.5">
      <c r="B570" s="47" t="s">
        <v>4425</v>
      </c>
      <c r="C570" s="47" t="s">
        <v>64</v>
      </c>
      <c r="D570" s="47" t="s">
        <v>8861</v>
      </c>
      <c r="E570" s="47" t="s">
        <v>4424</v>
      </c>
      <c r="F570" s="47" t="s">
        <v>8189</v>
      </c>
      <c r="G570" s="363">
        <v>46223</v>
      </c>
      <c r="H570" s="47" t="s">
        <v>8190</v>
      </c>
      <c r="I570" s="47" t="s">
        <v>8191</v>
      </c>
      <c r="J570" s="47" t="s">
        <v>4424</v>
      </c>
    </row>
    <row r="571" spans="2:10" ht="14.5">
      <c r="B571" s="47" t="s">
        <v>4446</v>
      </c>
      <c r="C571" s="47" t="s">
        <v>64</v>
      </c>
      <c r="D571" s="47" t="s">
        <v>8862</v>
      </c>
      <c r="E571" s="47" t="s">
        <v>4445</v>
      </c>
      <c r="F571" s="47" t="s">
        <v>8189</v>
      </c>
      <c r="G571" s="363">
        <v>46218</v>
      </c>
      <c r="H571" s="47" t="s">
        <v>8190</v>
      </c>
      <c r="I571" s="47" t="s">
        <v>8191</v>
      </c>
      <c r="J571" s="47" t="s">
        <v>4445</v>
      </c>
    </row>
    <row r="572" spans="2:10" ht="14.5">
      <c r="B572" s="47" t="s">
        <v>7604</v>
      </c>
      <c r="C572" s="47" t="s">
        <v>64</v>
      </c>
      <c r="D572" s="47" t="s">
        <v>8863</v>
      </c>
      <c r="E572" s="47" t="s">
        <v>8864</v>
      </c>
      <c r="F572" s="47" t="s">
        <v>8236</v>
      </c>
      <c r="G572" s="363">
        <v>46196</v>
      </c>
      <c r="H572" s="47" t="s">
        <v>8190</v>
      </c>
      <c r="I572" s="47" t="s">
        <v>8191</v>
      </c>
      <c r="J572" s="47" t="s">
        <v>7602</v>
      </c>
    </row>
    <row r="573" spans="2:10" ht="14.5">
      <c r="B573" s="47" t="s">
        <v>8865</v>
      </c>
      <c r="C573" s="47" t="s">
        <v>64</v>
      </c>
      <c r="D573" s="47" t="s">
        <v>8866</v>
      </c>
      <c r="E573" s="47" t="s">
        <v>8867</v>
      </c>
      <c r="F573" s="47" t="s">
        <v>8236</v>
      </c>
      <c r="G573" s="363">
        <v>46191</v>
      </c>
      <c r="H573" s="47" t="s">
        <v>8190</v>
      </c>
      <c r="I573" s="47" t="s">
        <v>8191</v>
      </c>
      <c r="J573" s="47" t="s">
        <v>7608</v>
      </c>
    </row>
    <row r="574" spans="2:10" ht="14.5">
      <c r="B574" s="47" t="s">
        <v>2311</v>
      </c>
      <c r="C574" s="47" t="s">
        <v>64</v>
      </c>
      <c r="D574" s="47" t="s">
        <v>8868</v>
      </c>
      <c r="E574" s="47" t="s">
        <v>2310</v>
      </c>
      <c r="F574" s="47" t="s">
        <v>8189</v>
      </c>
      <c r="G574" s="363">
        <v>46231</v>
      </c>
      <c r="H574" s="47" t="s">
        <v>8190</v>
      </c>
      <c r="I574" s="47" t="s">
        <v>8191</v>
      </c>
      <c r="J574" s="47" t="s">
        <v>2310</v>
      </c>
    </row>
    <row r="575" spans="2:10" ht="14.5">
      <c r="B575" s="47" t="s">
        <v>2317</v>
      </c>
      <c r="C575" s="47" t="s">
        <v>64</v>
      </c>
      <c r="D575" s="47" t="s">
        <v>8869</v>
      </c>
      <c r="E575" s="47" t="s">
        <v>2316</v>
      </c>
      <c r="F575" s="47" t="s">
        <v>8189</v>
      </c>
      <c r="G575" s="363">
        <v>46231</v>
      </c>
      <c r="H575" s="47" t="s">
        <v>8190</v>
      </c>
      <c r="I575" s="47" t="s">
        <v>8191</v>
      </c>
      <c r="J575" s="47" t="s">
        <v>2316</v>
      </c>
    </row>
    <row r="576" spans="2:10" ht="14.5">
      <c r="B576" s="47" t="s">
        <v>2320</v>
      </c>
      <c r="C576" s="47" t="s">
        <v>64</v>
      </c>
      <c r="D576" s="47" t="s">
        <v>8870</v>
      </c>
      <c r="E576" s="47" t="s">
        <v>2318</v>
      </c>
      <c r="F576" s="47" t="s">
        <v>8189</v>
      </c>
      <c r="G576" s="363">
        <v>46198</v>
      </c>
      <c r="H576" s="47" t="s">
        <v>8190</v>
      </c>
      <c r="I576" s="47" t="s">
        <v>8191</v>
      </c>
      <c r="J576" s="47" t="s">
        <v>2318</v>
      </c>
    </row>
    <row r="577" spans="2:10" ht="14.5">
      <c r="B577" s="47" t="s">
        <v>2324</v>
      </c>
      <c r="C577" s="47" t="s">
        <v>64</v>
      </c>
      <c r="D577" s="47" t="s">
        <v>8871</v>
      </c>
      <c r="E577" s="47" t="s">
        <v>1016</v>
      </c>
      <c r="F577" s="47" t="s">
        <v>8189</v>
      </c>
      <c r="G577" s="363">
        <v>46213</v>
      </c>
      <c r="H577" s="47" t="s">
        <v>8190</v>
      </c>
      <c r="I577" s="47" t="s">
        <v>8191</v>
      </c>
      <c r="J577" s="47" t="s">
        <v>1016</v>
      </c>
    </row>
    <row r="578" spans="2:10" ht="14.5">
      <c r="B578" s="47" t="s">
        <v>2329</v>
      </c>
      <c r="C578" s="47" t="s">
        <v>64</v>
      </c>
      <c r="D578" s="47" t="s">
        <v>8872</v>
      </c>
      <c r="E578" s="47" t="s">
        <v>2327</v>
      </c>
      <c r="F578" s="47" t="s">
        <v>8189</v>
      </c>
      <c r="G578" s="363">
        <v>46213</v>
      </c>
      <c r="H578" s="47" t="s">
        <v>8190</v>
      </c>
      <c r="I578" s="47" t="s">
        <v>8191</v>
      </c>
      <c r="J578" s="47" t="s">
        <v>2327</v>
      </c>
    </row>
    <row r="579" spans="2:10" ht="14.5">
      <c r="B579" s="47" t="s">
        <v>2344</v>
      </c>
      <c r="C579" s="47" t="s">
        <v>64</v>
      </c>
      <c r="D579" s="47" t="s">
        <v>8873</v>
      </c>
      <c r="E579" s="47" t="s">
        <v>2342</v>
      </c>
      <c r="F579" s="47" t="s">
        <v>8189</v>
      </c>
      <c r="G579" s="363">
        <v>46209</v>
      </c>
      <c r="H579" s="47" t="s">
        <v>8190</v>
      </c>
      <c r="I579" s="47" t="s">
        <v>8191</v>
      </c>
      <c r="J579" s="47" t="s">
        <v>2342</v>
      </c>
    </row>
    <row r="580" spans="2:10" ht="14.5">
      <c r="B580" s="47" t="s">
        <v>2333</v>
      </c>
      <c r="C580" s="47" t="s">
        <v>64</v>
      </c>
      <c r="D580" s="47" t="s">
        <v>8874</v>
      </c>
      <c r="E580" s="47" t="s">
        <v>2332</v>
      </c>
      <c r="F580" s="47" t="s">
        <v>8189</v>
      </c>
      <c r="G580" s="363">
        <v>46213</v>
      </c>
      <c r="H580" s="47" t="s">
        <v>8190</v>
      </c>
      <c r="I580" s="47" t="s">
        <v>8191</v>
      </c>
      <c r="J580" s="47" t="s">
        <v>2332</v>
      </c>
    </row>
    <row r="581" spans="2:10" ht="14.5">
      <c r="B581" s="47" t="s">
        <v>2358</v>
      </c>
      <c r="C581" s="47" t="s">
        <v>64</v>
      </c>
      <c r="D581" s="47" t="s">
        <v>8875</v>
      </c>
      <c r="E581" s="47" t="s">
        <v>2356</v>
      </c>
      <c r="F581" s="47" t="s">
        <v>8189</v>
      </c>
      <c r="G581" s="363">
        <v>46219</v>
      </c>
      <c r="H581" s="47" t="s">
        <v>8190</v>
      </c>
      <c r="I581" s="47" t="s">
        <v>8191</v>
      </c>
      <c r="J581" s="47" t="s">
        <v>2356</v>
      </c>
    </row>
    <row r="582" spans="2:10" ht="14.5">
      <c r="B582" s="47" t="s">
        <v>2363</v>
      </c>
      <c r="C582" s="47" t="s">
        <v>64</v>
      </c>
      <c r="D582" s="47" t="s">
        <v>8876</v>
      </c>
      <c r="E582" s="47" t="s">
        <v>2362</v>
      </c>
      <c r="F582" s="47" t="s">
        <v>8189</v>
      </c>
      <c r="G582" s="363">
        <v>46206</v>
      </c>
      <c r="H582" s="47" t="s">
        <v>8190</v>
      </c>
      <c r="I582" s="47" t="s">
        <v>8191</v>
      </c>
      <c r="J582" s="47" t="s">
        <v>2362</v>
      </c>
    </row>
    <row r="583" spans="2:10" ht="14.5">
      <c r="B583" s="47" t="s">
        <v>2390</v>
      </c>
      <c r="C583" s="47" t="s">
        <v>8187</v>
      </c>
      <c r="D583" s="47" t="s">
        <v>8877</v>
      </c>
      <c r="E583" s="47" t="s">
        <v>2387</v>
      </c>
      <c r="F583" s="47" t="s">
        <v>8189</v>
      </c>
      <c r="G583" s="363">
        <v>46204</v>
      </c>
      <c r="H583" s="47" t="s">
        <v>8190</v>
      </c>
      <c r="I583" s="47" t="s">
        <v>8191</v>
      </c>
      <c r="J583" s="47" t="s">
        <v>2387</v>
      </c>
    </row>
    <row r="584" spans="2:10" ht="14.5">
      <c r="B584" s="47" t="s">
        <v>2367</v>
      </c>
      <c r="C584" s="47" t="s">
        <v>64</v>
      </c>
      <c r="D584" s="47" t="s">
        <v>8878</v>
      </c>
      <c r="E584" s="47" t="s">
        <v>2366</v>
      </c>
      <c r="F584" s="47" t="s">
        <v>8189</v>
      </c>
      <c r="G584" s="363">
        <v>46216</v>
      </c>
      <c r="H584" s="47" t="s">
        <v>8190</v>
      </c>
      <c r="I584" s="47" t="s">
        <v>8191</v>
      </c>
      <c r="J584" s="47" t="s">
        <v>8879</v>
      </c>
    </row>
    <row r="585" spans="2:10" ht="14.5">
      <c r="B585" s="47" t="s">
        <v>8880</v>
      </c>
      <c r="C585" s="47" t="s">
        <v>64</v>
      </c>
      <c r="D585" s="47" t="s">
        <v>8582</v>
      </c>
      <c r="E585" s="47" t="s">
        <v>8881</v>
      </c>
      <c r="F585" s="47" t="s">
        <v>8189</v>
      </c>
      <c r="G585" s="363">
        <v>46223</v>
      </c>
      <c r="H585" s="47" t="s">
        <v>8337</v>
      </c>
      <c r="I585" s="47" t="s">
        <v>8191</v>
      </c>
      <c r="J585" s="47" t="s">
        <v>8881</v>
      </c>
    </row>
    <row r="586" spans="2:10" ht="14.5">
      <c r="B586" s="47" t="s">
        <v>2374</v>
      </c>
      <c r="C586" s="47" t="s">
        <v>64</v>
      </c>
      <c r="D586" s="47" t="s">
        <v>8882</v>
      </c>
      <c r="E586" s="47" t="s">
        <v>2371</v>
      </c>
      <c r="F586" s="47" t="s">
        <v>8189</v>
      </c>
      <c r="G586" s="363">
        <v>46211</v>
      </c>
      <c r="H586" s="47" t="s">
        <v>8190</v>
      </c>
      <c r="I586" s="47" t="s">
        <v>8191</v>
      </c>
      <c r="J586" s="47" t="s">
        <v>2371</v>
      </c>
    </row>
    <row r="587" spans="2:10" ht="14.5">
      <c r="B587" s="47" t="s">
        <v>2300</v>
      </c>
      <c r="C587" s="47" t="s">
        <v>64</v>
      </c>
      <c r="D587" s="47" t="s">
        <v>8883</v>
      </c>
      <c r="E587" s="47" t="s">
        <v>2296</v>
      </c>
      <c r="F587" s="47" t="s">
        <v>8189</v>
      </c>
      <c r="G587" s="363">
        <v>46231</v>
      </c>
      <c r="H587" s="47" t="s">
        <v>8190</v>
      </c>
      <c r="I587" s="47" t="s">
        <v>8191</v>
      </c>
      <c r="J587" s="47" t="s">
        <v>2296</v>
      </c>
    </row>
    <row r="588" spans="2:10" ht="14.5">
      <c r="B588" s="47" t="s">
        <v>2309</v>
      </c>
      <c r="C588" s="47" t="s">
        <v>64</v>
      </c>
      <c r="D588" s="47" t="s">
        <v>8884</v>
      </c>
      <c r="E588" s="47" t="s">
        <v>2306</v>
      </c>
      <c r="F588" s="47" t="s">
        <v>8189</v>
      </c>
      <c r="G588" s="363">
        <v>46231</v>
      </c>
      <c r="H588" s="47" t="s">
        <v>8190</v>
      </c>
      <c r="I588" s="47" t="s">
        <v>8191</v>
      </c>
      <c r="J588" s="47" t="s">
        <v>2306</v>
      </c>
    </row>
    <row r="589" spans="2:10" ht="14.5">
      <c r="B589" s="47" t="s">
        <v>2335</v>
      </c>
      <c r="C589" s="47" t="s">
        <v>64</v>
      </c>
      <c r="D589" s="47" t="s">
        <v>8885</v>
      </c>
      <c r="E589" s="47" t="s">
        <v>2334</v>
      </c>
      <c r="F589" s="47" t="s">
        <v>8189</v>
      </c>
      <c r="G589" s="363">
        <v>46213</v>
      </c>
      <c r="H589" s="47" t="s">
        <v>8190</v>
      </c>
      <c r="I589" s="47" t="s">
        <v>8191</v>
      </c>
      <c r="J589" s="47" t="s">
        <v>2334</v>
      </c>
    </row>
    <row r="590" spans="2:10" ht="14.5">
      <c r="B590" s="47" t="s">
        <v>2341</v>
      </c>
      <c r="C590" s="47" t="s">
        <v>64</v>
      </c>
      <c r="D590" s="47" t="s">
        <v>8886</v>
      </c>
      <c r="E590" s="47" t="s">
        <v>2340</v>
      </c>
      <c r="F590" s="47" t="s">
        <v>8189</v>
      </c>
      <c r="G590" s="363">
        <v>46213</v>
      </c>
      <c r="H590" s="47" t="s">
        <v>8190</v>
      </c>
      <c r="I590" s="47" t="s">
        <v>8191</v>
      </c>
      <c r="J590" s="47" t="s">
        <v>2340</v>
      </c>
    </row>
    <row r="591" spans="2:10" ht="14.5">
      <c r="B591" s="47" t="s">
        <v>2339</v>
      </c>
      <c r="C591" s="47" t="s">
        <v>64</v>
      </c>
      <c r="D591" s="47" t="s">
        <v>8887</v>
      </c>
      <c r="E591" s="47" t="s">
        <v>2338</v>
      </c>
      <c r="F591" s="47" t="s">
        <v>8189</v>
      </c>
      <c r="G591" s="363">
        <v>46213</v>
      </c>
      <c r="H591" s="47" t="s">
        <v>8190</v>
      </c>
      <c r="I591" s="47" t="s">
        <v>8191</v>
      </c>
      <c r="J591" s="47" t="s">
        <v>2338</v>
      </c>
    </row>
    <row r="592" spans="2:10" ht="14.5">
      <c r="B592" s="47" t="s">
        <v>2350</v>
      </c>
      <c r="C592" s="47" t="s">
        <v>64</v>
      </c>
      <c r="D592" s="47" t="s">
        <v>8888</v>
      </c>
      <c r="E592" s="47" t="s">
        <v>2348</v>
      </c>
      <c r="F592" s="47" t="s">
        <v>8189</v>
      </c>
      <c r="G592" s="363">
        <v>46212</v>
      </c>
      <c r="H592" s="47" t="s">
        <v>8190</v>
      </c>
      <c r="I592" s="47" t="s">
        <v>8191</v>
      </c>
      <c r="J592" s="47" t="s">
        <v>2348</v>
      </c>
    </row>
    <row r="593" spans="2:10" ht="14.5">
      <c r="B593" s="47" t="s">
        <v>2355</v>
      </c>
      <c r="C593" s="47" t="s">
        <v>64</v>
      </c>
      <c r="D593" s="47" t="s">
        <v>8889</v>
      </c>
      <c r="E593" s="47" t="s">
        <v>2354</v>
      </c>
      <c r="F593" s="47" t="s">
        <v>8189</v>
      </c>
      <c r="G593" s="363">
        <v>46212</v>
      </c>
      <c r="H593" s="47" t="s">
        <v>8190</v>
      </c>
      <c r="I593" s="47" t="s">
        <v>8191</v>
      </c>
      <c r="J593" s="47" t="s">
        <v>2354</v>
      </c>
    </row>
    <row r="594" spans="2:10" ht="14.5">
      <c r="B594" s="47" t="s">
        <v>2397</v>
      </c>
      <c r="C594" s="47" t="s">
        <v>8187</v>
      </c>
      <c r="D594" s="47" t="s">
        <v>8890</v>
      </c>
      <c r="E594" s="47" t="s">
        <v>2393</v>
      </c>
      <c r="F594" s="47" t="s">
        <v>8189</v>
      </c>
      <c r="G594" s="363">
        <v>46203</v>
      </c>
      <c r="H594" s="47" t="s">
        <v>8190</v>
      </c>
      <c r="I594" s="47" t="s">
        <v>8191</v>
      </c>
      <c r="J594" s="47" t="s">
        <v>2393</v>
      </c>
    </row>
    <row r="595" spans="2:10" ht="14.5">
      <c r="B595" s="47" t="s">
        <v>2403</v>
      </c>
      <c r="C595" s="47" t="s">
        <v>8187</v>
      </c>
      <c r="D595" s="47" t="s">
        <v>8891</v>
      </c>
      <c r="E595" s="47" t="s">
        <v>2402</v>
      </c>
      <c r="F595" s="47" t="s">
        <v>8189</v>
      </c>
      <c r="G595" s="363">
        <v>46203</v>
      </c>
      <c r="H595" s="47" t="s">
        <v>8190</v>
      </c>
      <c r="I595" s="47" t="s">
        <v>8191</v>
      </c>
      <c r="J595" s="47" t="s">
        <v>2402</v>
      </c>
    </row>
    <row r="596" spans="2:10" ht="14.5">
      <c r="B596" s="47" t="s">
        <v>8892</v>
      </c>
      <c r="C596" s="47" t="s">
        <v>64</v>
      </c>
      <c r="D596" s="47" t="s">
        <v>8893</v>
      </c>
      <c r="E596" s="47" t="s">
        <v>8894</v>
      </c>
      <c r="F596" s="47" t="s">
        <v>8236</v>
      </c>
      <c r="G596" s="363">
        <v>46173</v>
      </c>
      <c r="H596" s="47" t="s">
        <v>8190</v>
      </c>
      <c r="I596" s="47" t="s">
        <v>8191</v>
      </c>
      <c r="J596" s="47" t="s">
        <v>8894</v>
      </c>
    </row>
    <row r="597" spans="2:10" ht="14.5">
      <c r="B597" s="47" t="s">
        <v>2060</v>
      </c>
      <c r="C597" s="47" t="s">
        <v>8187</v>
      </c>
      <c r="D597" s="47" t="s">
        <v>8895</v>
      </c>
      <c r="E597" s="47"/>
      <c r="F597" s="47" t="s">
        <v>8189</v>
      </c>
      <c r="G597" s="363">
        <v>46184</v>
      </c>
      <c r="H597" s="47" t="s">
        <v>8190</v>
      </c>
      <c r="I597" s="47" t="s">
        <v>8191</v>
      </c>
      <c r="J597" s="47" t="s">
        <v>8896</v>
      </c>
    </row>
    <row r="598" spans="2:10" ht="14.5">
      <c r="B598" s="47" t="s">
        <v>2055</v>
      </c>
      <c r="C598" s="47" t="s">
        <v>8187</v>
      </c>
      <c r="D598" s="47" t="s">
        <v>8897</v>
      </c>
      <c r="E598" s="47"/>
      <c r="F598" s="47" t="s">
        <v>8189</v>
      </c>
      <c r="G598" s="363">
        <v>46168</v>
      </c>
      <c r="H598" s="47" t="s">
        <v>8190</v>
      </c>
      <c r="I598" s="47" t="s">
        <v>8191</v>
      </c>
      <c r="J598" s="47" t="s">
        <v>8898</v>
      </c>
    </row>
    <row r="599" spans="2:10" ht="14.5">
      <c r="B599" s="47" t="s">
        <v>1874</v>
      </c>
      <c r="C599" s="47" t="s">
        <v>64</v>
      </c>
      <c r="D599" s="47" t="s">
        <v>8899</v>
      </c>
      <c r="E599" s="47"/>
      <c r="F599" s="47" t="s">
        <v>8189</v>
      </c>
      <c r="G599" s="363">
        <v>46173</v>
      </c>
      <c r="H599" s="47" t="s">
        <v>8190</v>
      </c>
      <c r="I599" s="47" t="s">
        <v>8191</v>
      </c>
      <c r="J599" s="47" t="s">
        <v>8900</v>
      </c>
    </row>
    <row r="600" spans="2:10" ht="14.5">
      <c r="B600" s="47" t="s">
        <v>1872</v>
      </c>
      <c r="C600" s="47" t="s">
        <v>8187</v>
      </c>
      <c r="D600" s="47" t="s">
        <v>8899</v>
      </c>
      <c r="E600" s="47"/>
      <c r="F600" s="47" t="s">
        <v>8189</v>
      </c>
      <c r="G600" s="363">
        <v>46167</v>
      </c>
      <c r="H600" s="47" t="s">
        <v>8190</v>
      </c>
      <c r="I600" s="47" t="s">
        <v>8191</v>
      </c>
      <c r="J600" s="47" t="s">
        <v>8901</v>
      </c>
    </row>
    <row r="601" spans="2:10" ht="14.5">
      <c r="B601" s="47" t="s">
        <v>1869</v>
      </c>
      <c r="C601" s="47" t="s">
        <v>8187</v>
      </c>
      <c r="D601" s="47" t="s">
        <v>8902</v>
      </c>
      <c r="E601" s="47"/>
      <c r="F601" s="47" t="s">
        <v>8189</v>
      </c>
      <c r="G601" s="363">
        <v>46139</v>
      </c>
      <c r="H601" s="47" t="s">
        <v>8190</v>
      </c>
      <c r="I601" s="47" t="s">
        <v>8191</v>
      </c>
      <c r="J601" s="47" t="s">
        <v>8903</v>
      </c>
    </row>
    <row r="602" spans="2:10" ht="14.5">
      <c r="B602" s="47" t="s">
        <v>1277</v>
      </c>
      <c r="C602" s="47" t="s">
        <v>8187</v>
      </c>
      <c r="D602" s="47" t="s">
        <v>8846</v>
      </c>
      <c r="E602" s="47"/>
      <c r="F602" s="47" t="s">
        <v>8189</v>
      </c>
      <c r="G602" s="363">
        <v>46146</v>
      </c>
      <c r="H602" s="47" t="s">
        <v>8190</v>
      </c>
      <c r="I602" s="47" t="s">
        <v>8191</v>
      </c>
      <c r="J602" s="47" t="s">
        <v>8904</v>
      </c>
    </row>
    <row r="603" spans="2:10" ht="14.5">
      <c r="B603" s="47" t="s">
        <v>1265</v>
      </c>
      <c r="C603" s="47" t="s">
        <v>8187</v>
      </c>
      <c r="D603" s="47" t="s">
        <v>8905</v>
      </c>
      <c r="E603" s="47"/>
      <c r="F603" s="47" t="s">
        <v>8189</v>
      </c>
      <c r="G603" s="363">
        <v>46146</v>
      </c>
      <c r="H603" s="47" t="s">
        <v>8190</v>
      </c>
      <c r="I603" s="47" t="s">
        <v>8191</v>
      </c>
      <c r="J603" s="47" t="s">
        <v>8906</v>
      </c>
    </row>
    <row r="604" spans="2:10" ht="14.5">
      <c r="B604" s="47" t="s">
        <v>1457</v>
      </c>
      <c r="C604" s="47" t="s">
        <v>8187</v>
      </c>
      <c r="D604" s="47" t="s">
        <v>8907</v>
      </c>
      <c r="E604" s="47"/>
      <c r="F604" s="47" t="s">
        <v>8189</v>
      </c>
      <c r="G604" s="363">
        <v>46164</v>
      </c>
      <c r="H604" s="47" t="s">
        <v>8190</v>
      </c>
      <c r="I604" s="47" t="s">
        <v>8191</v>
      </c>
      <c r="J604" s="47" t="s">
        <v>8908</v>
      </c>
    </row>
    <row r="605" spans="2:10" ht="14.5">
      <c r="B605" s="47" t="s">
        <v>1452</v>
      </c>
      <c r="C605" s="47" t="s">
        <v>8187</v>
      </c>
      <c r="D605" s="47" t="s">
        <v>8909</v>
      </c>
      <c r="E605" s="47"/>
      <c r="F605" s="47" t="s">
        <v>8189</v>
      </c>
      <c r="G605" s="363">
        <v>46139</v>
      </c>
      <c r="H605" s="47" t="s">
        <v>8190</v>
      </c>
      <c r="I605" s="47" t="s">
        <v>8191</v>
      </c>
      <c r="J605" s="47" t="s">
        <v>8910</v>
      </c>
    </row>
    <row r="606" spans="2:10" ht="14.5">
      <c r="B606" s="47" t="s">
        <v>2213</v>
      </c>
      <c r="C606" s="47" t="s">
        <v>64</v>
      </c>
      <c r="D606" s="47" t="s">
        <v>8911</v>
      </c>
      <c r="E606" s="47" t="s">
        <v>2211</v>
      </c>
      <c r="F606" s="47" t="s">
        <v>8189</v>
      </c>
      <c r="G606" s="363">
        <v>46199</v>
      </c>
      <c r="H606" s="47" t="s">
        <v>8190</v>
      </c>
      <c r="I606" s="47" t="s">
        <v>8191</v>
      </c>
      <c r="J606" s="47" t="s">
        <v>2211</v>
      </c>
    </row>
    <row r="607" spans="2:10" ht="14.5">
      <c r="B607" s="47" t="s">
        <v>2217</v>
      </c>
      <c r="C607" s="47" t="s">
        <v>64</v>
      </c>
      <c r="D607" s="47" t="s">
        <v>8912</v>
      </c>
      <c r="E607" s="47" t="s">
        <v>2216</v>
      </c>
      <c r="F607" s="47" t="s">
        <v>8189</v>
      </c>
      <c r="G607" s="363">
        <v>46212</v>
      </c>
      <c r="H607" s="47" t="s">
        <v>8190</v>
      </c>
      <c r="I607" s="47" t="s">
        <v>8191</v>
      </c>
      <c r="J607" s="47" t="s">
        <v>2216</v>
      </c>
    </row>
    <row r="608" spans="2:10" ht="14.5">
      <c r="B608" s="47" t="s">
        <v>2222</v>
      </c>
      <c r="C608" s="47" t="s">
        <v>64</v>
      </c>
      <c r="D608" s="47" t="s">
        <v>8913</v>
      </c>
      <c r="E608" s="47" t="s">
        <v>2221</v>
      </c>
      <c r="F608" s="47" t="s">
        <v>8189</v>
      </c>
      <c r="G608" s="363">
        <v>46191</v>
      </c>
      <c r="H608" s="47" t="s">
        <v>8190</v>
      </c>
      <c r="I608" s="47" t="s">
        <v>8191</v>
      </c>
      <c r="J608" s="47" t="s">
        <v>2221</v>
      </c>
    </row>
    <row r="609" spans="2:10" ht="14.5">
      <c r="B609" s="47" t="s">
        <v>1848</v>
      </c>
      <c r="C609" s="47" t="s">
        <v>64</v>
      </c>
      <c r="D609" s="47" t="s">
        <v>8914</v>
      </c>
      <c r="E609" s="47"/>
      <c r="F609" s="47" t="s">
        <v>8189</v>
      </c>
      <c r="G609" s="363">
        <v>46196</v>
      </c>
      <c r="H609" s="47" t="s">
        <v>8190</v>
      </c>
      <c r="I609" s="47" t="s">
        <v>8191</v>
      </c>
      <c r="J609" s="47" t="s">
        <v>8915</v>
      </c>
    </row>
    <row r="610" spans="2:10" ht="14.5">
      <c r="B610" s="47" t="s">
        <v>2184</v>
      </c>
      <c r="C610" s="47" t="s">
        <v>64</v>
      </c>
      <c r="D610" s="47" t="s">
        <v>8916</v>
      </c>
      <c r="E610" s="47" t="s">
        <v>2182</v>
      </c>
      <c r="F610" s="47" t="s">
        <v>8189</v>
      </c>
      <c r="G610" s="363">
        <v>46192</v>
      </c>
      <c r="H610" s="47" t="s">
        <v>8190</v>
      </c>
      <c r="I610" s="47" t="s">
        <v>8191</v>
      </c>
      <c r="J610" s="47" t="s">
        <v>2182</v>
      </c>
    </row>
    <row r="611" spans="2:10" ht="14.5">
      <c r="B611" s="47" t="s">
        <v>2188</v>
      </c>
      <c r="C611" s="47" t="s">
        <v>64</v>
      </c>
      <c r="D611" s="47" t="s">
        <v>8917</v>
      </c>
      <c r="E611" s="47" t="s">
        <v>2187</v>
      </c>
      <c r="F611" s="47" t="s">
        <v>8189</v>
      </c>
      <c r="G611" s="363">
        <v>46192</v>
      </c>
      <c r="H611" s="47" t="s">
        <v>8190</v>
      </c>
      <c r="I611" s="47" t="s">
        <v>8191</v>
      </c>
      <c r="J611" s="47" t="s">
        <v>2187</v>
      </c>
    </row>
    <row r="612" spans="2:10" ht="14.5">
      <c r="B612" s="47" t="s">
        <v>2231</v>
      </c>
      <c r="C612" s="47" t="s">
        <v>64</v>
      </c>
      <c r="D612" s="47" t="s">
        <v>8918</v>
      </c>
      <c r="E612" s="47" t="s">
        <v>2230</v>
      </c>
      <c r="F612" s="47" t="s">
        <v>8189</v>
      </c>
      <c r="G612" s="363">
        <v>46209</v>
      </c>
      <c r="H612" s="47" t="s">
        <v>8190</v>
      </c>
      <c r="I612" s="47" t="s">
        <v>8191</v>
      </c>
      <c r="J612" s="47" t="s">
        <v>2239</v>
      </c>
    </row>
    <row r="613" spans="2:10" ht="14.5">
      <c r="B613" s="47" t="s">
        <v>2236</v>
      </c>
      <c r="C613" s="47" t="s">
        <v>64</v>
      </c>
      <c r="D613" s="47" t="s">
        <v>8919</v>
      </c>
      <c r="E613" s="47" t="s">
        <v>2235</v>
      </c>
      <c r="F613" s="47" t="s">
        <v>8189</v>
      </c>
      <c r="G613" s="363">
        <v>46210</v>
      </c>
      <c r="H613" s="47" t="s">
        <v>8190</v>
      </c>
      <c r="I613" s="47" t="s">
        <v>8191</v>
      </c>
      <c r="J613" s="47" t="s">
        <v>2235</v>
      </c>
    </row>
    <row r="614" spans="2:10" ht="14.5">
      <c r="B614" s="47" t="s">
        <v>2240</v>
      </c>
      <c r="C614" s="47" t="s">
        <v>64</v>
      </c>
      <c r="D614" s="47" t="s">
        <v>8920</v>
      </c>
      <c r="E614" s="47" t="s">
        <v>2239</v>
      </c>
      <c r="F614" s="47" t="s">
        <v>8189</v>
      </c>
      <c r="G614" s="363">
        <v>46210</v>
      </c>
      <c r="H614" s="47" t="s">
        <v>8190</v>
      </c>
      <c r="I614" s="47" t="s">
        <v>8191</v>
      </c>
      <c r="J614" s="47" t="s">
        <v>2239</v>
      </c>
    </row>
    <row r="615" spans="2:10" ht="14.5">
      <c r="B615" s="47" t="s">
        <v>2238</v>
      </c>
      <c r="C615" s="47" t="s">
        <v>64</v>
      </c>
      <c r="D615" s="47" t="s">
        <v>8921</v>
      </c>
      <c r="E615" s="47" t="s">
        <v>2237</v>
      </c>
      <c r="F615" s="47" t="s">
        <v>8189</v>
      </c>
      <c r="G615" s="363">
        <v>46210</v>
      </c>
      <c r="H615" s="47" t="s">
        <v>8190</v>
      </c>
      <c r="I615" s="47" t="s">
        <v>8191</v>
      </c>
      <c r="J615" s="47" t="s">
        <v>2237</v>
      </c>
    </row>
    <row r="616" spans="2:10" ht="14.5">
      <c r="B616" s="47" t="s">
        <v>2242</v>
      </c>
      <c r="C616" s="47" t="s">
        <v>64</v>
      </c>
      <c r="D616" s="47" t="s">
        <v>8922</v>
      </c>
      <c r="E616" s="47" t="s">
        <v>2241</v>
      </c>
      <c r="F616" s="47" t="s">
        <v>8189</v>
      </c>
      <c r="G616" s="363">
        <v>46210</v>
      </c>
      <c r="H616" s="47" t="s">
        <v>8190</v>
      </c>
      <c r="I616" s="47" t="s">
        <v>8191</v>
      </c>
      <c r="J616" s="47" t="s">
        <v>2241</v>
      </c>
    </row>
    <row r="617" spans="2:10" ht="14.5">
      <c r="B617" s="47" t="s">
        <v>2244</v>
      </c>
      <c r="C617" s="47" t="s">
        <v>64</v>
      </c>
      <c r="D617" s="47" t="s">
        <v>8923</v>
      </c>
      <c r="E617" s="47" t="s">
        <v>2243</v>
      </c>
      <c r="F617" s="47" t="s">
        <v>8189</v>
      </c>
      <c r="G617" s="363">
        <v>46210</v>
      </c>
      <c r="H617" s="47" t="s">
        <v>8190</v>
      </c>
      <c r="I617" s="47" t="s">
        <v>8191</v>
      </c>
      <c r="J617" s="47" t="s">
        <v>2243</v>
      </c>
    </row>
    <row r="618" spans="2:10" ht="14.5">
      <c r="B618" s="47" t="s">
        <v>8924</v>
      </c>
      <c r="C618" s="47" t="s">
        <v>64</v>
      </c>
      <c r="D618" s="47" t="s">
        <v>8603</v>
      </c>
      <c r="E618" s="47" t="s">
        <v>2286</v>
      </c>
      <c r="F618" s="47" t="s">
        <v>8189</v>
      </c>
      <c r="G618" s="363">
        <v>46212</v>
      </c>
      <c r="H618" s="47" t="s">
        <v>8337</v>
      </c>
      <c r="I618" s="47" t="s">
        <v>8191</v>
      </c>
      <c r="J618" s="47" t="s">
        <v>8925</v>
      </c>
    </row>
    <row r="619" spans="2:10" ht="14.5">
      <c r="B619" s="47" t="s">
        <v>2280</v>
      </c>
      <c r="C619" s="47" t="s">
        <v>64</v>
      </c>
      <c r="D619" s="47" t="s">
        <v>8926</v>
      </c>
      <c r="E619" s="47" t="s">
        <v>2279</v>
      </c>
      <c r="F619" s="47" t="s">
        <v>8189</v>
      </c>
      <c r="G619" s="363">
        <v>46213</v>
      </c>
      <c r="H619" s="47" t="s">
        <v>8190</v>
      </c>
      <c r="I619" s="47" t="s">
        <v>8191</v>
      </c>
      <c r="J619" s="47" t="s">
        <v>2279</v>
      </c>
    </row>
    <row r="620" spans="2:10" ht="14.5">
      <c r="B620" s="47" t="s">
        <v>2270</v>
      </c>
      <c r="C620" s="47" t="s">
        <v>64</v>
      </c>
      <c r="D620" s="47" t="s">
        <v>8927</v>
      </c>
      <c r="E620" s="47" t="s">
        <v>2267</v>
      </c>
      <c r="F620" s="47" t="s">
        <v>8189</v>
      </c>
      <c r="G620" s="363">
        <v>46202</v>
      </c>
      <c r="H620" s="47" t="s">
        <v>8190</v>
      </c>
      <c r="I620" s="47" t="s">
        <v>8191</v>
      </c>
      <c r="J620" s="47" t="s">
        <v>2267</v>
      </c>
    </row>
    <row r="621" spans="2:10" ht="14.5">
      <c r="B621" s="47" t="s">
        <v>2276</v>
      </c>
      <c r="C621" s="47" t="s">
        <v>64</v>
      </c>
      <c r="D621" s="47" t="s">
        <v>8928</v>
      </c>
      <c r="E621" s="47" t="s">
        <v>2274</v>
      </c>
      <c r="F621" s="47" t="s">
        <v>8189</v>
      </c>
      <c r="G621" s="363">
        <v>46203</v>
      </c>
      <c r="H621" s="47" t="s">
        <v>8190</v>
      </c>
      <c r="I621" s="47" t="s">
        <v>8191</v>
      </c>
      <c r="J621" s="47" t="s">
        <v>2274</v>
      </c>
    </row>
    <row r="622" spans="2:10" ht="14.5">
      <c r="B622" s="47" t="s">
        <v>2246</v>
      </c>
      <c r="C622" s="47" t="s">
        <v>64</v>
      </c>
      <c r="D622" s="47" t="s">
        <v>8929</v>
      </c>
      <c r="E622" s="47" t="s">
        <v>2245</v>
      </c>
      <c r="F622" s="47" t="s">
        <v>8189</v>
      </c>
      <c r="G622" s="363">
        <v>46204</v>
      </c>
      <c r="H622" s="47" t="s">
        <v>8190</v>
      </c>
      <c r="I622" s="47" t="s">
        <v>8191</v>
      </c>
      <c r="J622" s="47" t="s">
        <v>2245</v>
      </c>
    </row>
    <row r="623" spans="2:10" ht="14.5">
      <c r="B623" s="47" t="s">
        <v>2254</v>
      </c>
      <c r="C623" s="47" t="s">
        <v>8187</v>
      </c>
      <c r="D623" s="47" t="s">
        <v>8930</v>
      </c>
      <c r="E623" s="47" t="s">
        <v>2251</v>
      </c>
      <c r="F623" s="47" t="s">
        <v>8189</v>
      </c>
      <c r="G623" s="363">
        <v>46178</v>
      </c>
      <c r="H623" s="47" t="s">
        <v>8190</v>
      </c>
      <c r="I623" s="47" t="s">
        <v>8191</v>
      </c>
      <c r="J623" s="47" t="s">
        <v>2251</v>
      </c>
    </row>
    <row r="624" spans="2:10" ht="14.5">
      <c r="B624" s="47" t="s">
        <v>2262</v>
      </c>
      <c r="C624" s="47" t="s">
        <v>64</v>
      </c>
      <c r="D624" s="47" t="s">
        <v>8931</v>
      </c>
      <c r="E624" s="47" t="s">
        <v>2259</v>
      </c>
      <c r="F624" s="47" t="s">
        <v>8189</v>
      </c>
      <c r="G624" s="363">
        <v>46206</v>
      </c>
      <c r="H624" s="47" t="s">
        <v>8190</v>
      </c>
      <c r="I624" s="47" t="s">
        <v>8191</v>
      </c>
      <c r="J624" s="47" t="s">
        <v>2259</v>
      </c>
    </row>
    <row r="625" spans="2:10" ht="14.5">
      <c r="B625" s="47" t="s">
        <v>2226</v>
      </c>
      <c r="C625" s="47" t="s">
        <v>64</v>
      </c>
      <c r="D625" s="47" t="s">
        <v>8932</v>
      </c>
      <c r="E625" s="47" t="s">
        <v>2225</v>
      </c>
      <c r="F625" s="47" t="s">
        <v>8189</v>
      </c>
      <c r="G625" s="363">
        <v>46220</v>
      </c>
      <c r="H625" s="47" t="s">
        <v>8190</v>
      </c>
      <c r="I625" s="47" t="s">
        <v>8191</v>
      </c>
      <c r="J625" s="47" t="s">
        <v>2225</v>
      </c>
    </row>
    <row r="626" spans="2:10" ht="14.5">
      <c r="B626" s="47" t="s">
        <v>2192</v>
      </c>
      <c r="C626" s="47" t="s">
        <v>64</v>
      </c>
      <c r="D626" s="47" t="s">
        <v>8933</v>
      </c>
      <c r="E626" s="47" t="s">
        <v>2189</v>
      </c>
      <c r="F626" s="47" t="s">
        <v>8189</v>
      </c>
      <c r="G626" s="363">
        <v>46203</v>
      </c>
      <c r="H626" s="47" t="s">
        <v>8190</v>
      </c>
      <c r="I626" s="47" t="s">
        <v>8191</v>
      </c>
      <c r="J626" s="47" t="s">
        <v>2189</v>
      </c>
    </row>
    <row r="627" spans="2:10" ht="14.5">
      <c r="B627" s="47" t="s">
        <v>2196</v>
      </c>
      <c r="C627" s="47" t="s">
        <v>64</v>
      </c>
      <c r="D627" s="47" t="s">
        <v>8934</v>
      </c>
      <c r="E627" s="47" t="s">
        <v>2195</v>
      </c>
      <c r="F627" s="47" t="s">
        <v>8189</v>
      </c>
      <c r="G627" s="363">
        <v>46205</v>
      </c>
      <c r="H627" s="47" t="s">
        <v>8190</v>
      </c>
      <c r="I627" s="47" t="s">
        <v>8191</v>
      </c>
      <c r="J627" s="47" t="s">
        <v>2195</v>
      </c>
    </row>
    <row r="628" spans="2:10" ht="14.5">
      <c r="B628" s="47" t="s">
        <v>2202</v>
      </c>
      <c r="C628" s="47" t="s">
        <v>64</v>
      </c>
      <c r="D628" s="47" t="s">
        <v>8935</v>
      </c>
      <c r="E628" s="47" t="s">
        <v>2200</v>
      </c>
      <c r="F628" s="47" t="s">
        <v>8189</v>
      </c>
      <c r="G628" s="363">
        <v>46204</v>
      </c>
      <c r="H628" s="47" t="s">
        <v>8190</v>
      </c>
      <c r="I628" s="47" t="s">
        <v>8191</v>
      </c>
      <c r="J628" s="47" t="s">
        <v>2200</v>
      </c>
    </row>
    <row r="629" spans="2:10" ht="14.5">
      <c r="B629" s="47" t="s">
        <v>2210</v>
      </c>
      <c r="C629" s="47" t="s">
        <v>64</v>
      </c>
      <c r="D629" s="47" t="s">
        <v>8936</v>
      </c>
      <c r="E629" s="47" t="s">
        <v>2208</v>
      </c>
      <c r="F629" s="47" t="s">
        <v>8189</v>
      </c>
      <c r="G629" s="363">
        <v>46204</v>
      </c>
      <c r="H629" s="47" t="s">
        <v>8190</v>
      </c>
      <c r="I629" s="47" t="s">
        <v>8191</v>
      </c>
      <c r="J629" s="47" t="s">
        <v>2208</v>
      </c>
    </row>
    <row r="630" spans="2:10" ht="14.5">
      <c r="B630" s="47" t="s">
        <v>2207</v>
      </c>
      <c r="C630" s="47" t="s">
        <v>64</v>
      </c>
      <c r="D630" s="47" t="s">
        <v>8937</v>
      </c>
      <c r="E630" s="47" t="s">
        <v>2206</v>
      </c>
      <c r="F630" s="47" t="s">
        <v>8189</v>
      </c>
      <c r="G630" s="363">
        <v>46204</v>
      </c>
      <c r="H630" s="47" t="s">
        <v>8190</v>
      </c>
      <c r="I630" s="47" t="s">
        <v>8191</v>
      </c>
      <c r="J630" s="47" t="s">
        <v>2206</v>
      </c>
    </row>
    <row r="631" spans="2:10" ht="14.5">
      <c r="B631" s="47" t="s">
        <v>8938</v>
      </c>
      <c r="C631" s="47" t="s">
        <v>64</v>
      </c>
      <c r="D631" s="47" t="s">
        <v>8939</v>
      </c>
      <c r="E631" s="47" t="s">
        <v>8940</v>
      </c>
      <c r="F631" s="47" t="s">
        <v>8236</v>
      </c>
      <c r="G631" s="363">
        <v>46202</v>
      </c>
      <c r="H631" s="47" t="s">
        <v>8190</v>
      </c>
      <c r="I631" s="47" t="s">
        <v>8191</v>
      </c>
      <c r="J631" s="47" t="s">
        <v>8940</v>
      </c>
    </row>
    <row r="632" spans="2:10" ht="14.5">
      <c r="B632" s="47" t="s">
        <v>8941</v>
      </c>
      <c r="C632" s="47" t="s">
        <v>64</v>
      </c>
      <c r="D632" s="47" t="s">
        <v>8942</v>
      </c>
      <c r="E632" s="47" t="s">
        <v>8943</v>
      </c>
      <c r="F632" s="47" t="s">
        <v>8189</v>
      </c>
      <c r="G632" s="363">
        <v>46188</v>
      </c>
      <c r="H632" s="47" t="s">
        <v>8190</v>
      </c>
      <c r="I632" s="47" t="s">
        <v>8191</v>
      </c>
      <c r="J632" s="47" t="s">
        <v>8943</v>
      </c>
    </row>
    <row r="633" spans="2:10" ht="14.5">
      <c r="B633" s="47" t="s">
        <v>2153</v>
      </c>
      <c r="C633" s="47" t="s">
        <v>64</v>
      </c>
      <c r="D633" s="47" t="s">
        <v>8944</v>
      </c>
      <c r="E633" s="47" t="s">
        <v>2149</v>
      </c>
      <c r="F633" s="47" t="s">
        <v>8189</v>
      </c>
      <c r="G633" s="363">
        <v>46205</v>
      </c>
      <c r="H633" s="47" t="s">
        <v>8190</v>
      </c>
      <c r="I633" s="47" t="s">
        <v>8191</v>
      </c>
      <c r="J633" s="47" t="s">
        <v>2149</v>
      </c>
    </row>
    <row r="634" spans="2:10" ht="14.5">
      <c r="B634" s="47" t="s">
        <v>2158</v>
      </c>
      <c r="C634" s="47" t="s">
        <v>64</v>
      </c>
      <c r="D634" s="47" t="s">
        <v>8945</v>
      </c>
      <c r="E634" s="47" t="s">
        <v>2157</v>
      </c>
      <c r="F634" s="47" t="s">
        <v>8189</v>
      </c>
      <c r="G634" s="363">
        <v>46205</v>
      </c>
      <c r="H634" s="47" t="s">
        <v>8190</v>
      </c>
      <c r="I634" s="47" t="s">
        <v>8191</v>
      </c>
      <c r="J634" s="47" t="s">
        <v>2157</v>
      </c>
    </row>
    <row r="635" spans="2:10" ht="14.5">
      <c r="B635" s="47" t="s">
        <v>7598</v>
      </c>
      <c r="C635" s="47" t="s">
        <v>64</v>
      </c>
      <c r="D635" s="47" t="s">
        <v>8946</v>
      </c>
      <c r="E635" s="47" t="s">
        <v>8947</v>
      </c>
      <c r="F635" s="47" t="s">
        <v>8236</v>
      </c>
      <c r="G635" s="363">
        <v>46150</v>
      </c>
      <c r="H635" s="47" t="s">
        <v>8190</v>
      </c>
      <c r="I635" s="47" t="s">
        <v>8191</v>
      </c>
      <c r="J635" s="47" t="s">
        <v>7593</v>
      </c>
    </row>
    <row r="636" spans="2:10" ht="14.5">
      <c r="B636" s="47" t="s">
        <v>1159</v>
      </c>
      <c r="C636" s="47" t="s">
        <v>8187</v>
      </c>
      <c r="D636" s="47" t="s">
        <v>8948</v>
      </c>
      <c r="E636" s="47"/>
      <c r="F636" s="47" t="s">
        <v>8189</v>
      </c>
      <c r="G636" s="363">
        <v>46153</v>
      </c>
      <c r="H636" s="47" t="s">
        <v>8190</v>
      </c>
      <c r="I636" s="47" t="s">
        <v>8191</v>
      </c>
      <c r="J636" s="47" t="s">
        <v>8949</v>
      </c>
    </row>
    <row r="637" spans="2:10" ht="14.5">
      <c r="B637" s="47" t="s">
        <v>2173</v>
      </c>
      <c r="C637" s="47" t="s">
        <v>64</v>
      </c>
      <c r="D637" s="47" t="s">
        <v>8950</v>
      </c>
      <c r="E637" s="47" t="s">
        <v>2171</v>
      </c>
      <c r="F637" s="47" t="s">
        <v>8189</v>
      </c>
      <c r="G637" s="363">
        <v>46216</v>
      </c>
      <c r="H637" s="47" t="s">
        <v>8190</v>
      </c>
      <c r="I637" s="47" t="s">
        <v>8191</v>
      </c>
      <c r="J637" s="47" t="s">
        <v>2171</v>
      </c>
    </row>
    <row r="638" spans="2:10" ht="14.5">
      <c r="B638" s="47" t="s">
        <v>2103</v>
      </c>
      <c r="C638" s="47" t="s">
        <v>64</v>
      </c>
      <c r="D638" s="47" t="s">
        <v>8951</v>
      </c>
      <c r="E638" s="47" t="s">
        <v>2102</v>
      </c>
      <c r="F638" s="47" t="s">
        <v>8189</v>
      </c>
      <c r="G638" s="363">
        <v>46209</v>
      </c>
      <c r="H638" s="47" t="s">
        <v>8190</v>
      </c>
      <c r="I638" s="47" t="s">
        <v>8191</v>
      </c>
      <c r="J638" s="47" t="s">
        <v>2102</v>
      </c>
    </row>
    <row r="639" spans="2:10" ht="14.5">
      <c r="B639" s="47" t="s">
        <v>2098</v>
      </c>
      <c r="C639" s="47" t="s">
        <v>64</v>
      </c>
      <c r="D639" s="47" t="s">
        <v>8952</v>
      </c>
      <c r="E639" s="47" t="s">
        <v>2097</v>
      </c>
      <c r="F639" s="47" t="s">
        <v>8189</v>
      </c>
      <c r="G639" s="363">
        <v>46210</v>
      </c>
      <c r="H639" s="47" t="s">
        <v>8190</v>
      </c>
      <c r="I639" s="47" t="s">
        <v>8191</v>
      </c>
      <c r="J639" s="47" t="s">
        <v>2097</v>
      </c>
    </row>
    <row r="640" spans="2:10" ht="14.5">
      <c r="B640" s="47" t="s">
        <v>255</v>
      </c>
      <c r="C640" s="47" t="s">
        <v>8187</v>
      </c>
      <c r="D640" s="47" t="s">
        <v>8953</v>
      </c>
      <c r="E640" s="47"/>
      <c r="F640" s="47" t="s">
        <v>8189</v>
      </c>
      <c r="G640" s="363">
        <v>46146</v>
      </c>
      <c r="H640" s="47" t="s">
        <v>8190</v>
      </c>
      <c r="I640" s="47" t="s">
        <v>8191</v>
      </c>
      <c r="J640" s="47" t="s">
        <v>8954</v>
      </c>
    </row>
    <row r="641" spans="2:10" ht="14.5">
      <c r="B641" s="47" t="s">
        <v>1272</v>
      </c>
      <c r="C641" s="47" t="s">
        <v>8187</v>
      </c>
      <c r="D641" s="47" t="s">
        <v>8953</v>
      </c>
      <c r="E641" s="47"/>
      <c r="F641" s="47" t="s">
        <v>8189</v>
      </c>
      <c r="G641" s="363">
        <v>46146</v>
      </c>
      <c r="H641" s="47" t="s">
        <v>8190</v>
      </c>
      <c r="I641" s="47" t="s">
        <v>8191</v>
      </c>
      <c r="J641" s="47" t="s">
        <v>8954</v>
      </c>
    </row>
    <row r="642" spans="2:10" ht="14.5">
      <c r="B642" s="47" t="s">
        <v>1383</v>
      </c>
      <c r="C642" s="47" t="s">
        <v>8187</v>
      </c>
      <c r="D642" s="47" t="s">
        <v>8905</v>
      </c>
      <c r="E642" s="47"/>
      <c r="F642" s="47" t="s">
        <v>8189</v>
      </c>
      <c r="G642" s="363">
        <v>46146</v>
      </c>
      <c r="H642" s="47" t="s">
        <v>8190</v>
      </c>
      <c r="I642" s="47" t="s">
        <v>8191</v>
      </c>
      <c r="J642" s="47" t="s">
        <v>8955</v>
      </c>
    </row>
    <row r="643" spans="2:10" ht="14.5">
      <c r="B643" s="47" t="s">
        <v>1282</v>
      </c>
      <c r="C643" s="47" t="s">
        <v>8187</v>
      </c>
      <c r="D643" s="47" t="s">
        <v>8846</v>
      </c>
      <c r="E643" s="47"/>
      <c r="F643" s="47" t="s">
        <v>8189</v>
      </c>
      <c r="G643" s="363">
        <v>46146</v>
      </c>
      <c r="H643" s="47" t="s">
        <v>8190</v>
      </c>
      <c r="I643" s="47" t="s">
        <v>8191</v>
      </c>
      <c r="J643" s="47" t="s">
        <v>8956</v>
      </c>
    </row>
    <row r="644" spans="2:10" ht="14.5">
      <c r="B644" s="47" t="s">
        <v>8957</v>
      </c>
      <c r="C644" s="47" t="s">
        <v>8187</v>
      </c>
      <c r="D644" s="47" t="s">
        <v>8846</v>
      </c>
      <c r="E644" s="47"/>
      <c r="F644" s="47" t="s">
        <v>8189</v>
      </c>
      <c r="G644" s="363">
        <v>46146</v>
      </c>
      <c r="H644" s="47" t="s">
        <v>8337</v>
      </c>
      <c r="I644" s="47" t="s">
        <v>8191</v>
      </c>
      <c r="J644" s="47" t="s">
        <v>8956</v>
      </c>
    </row>
    <row r="645" spans="2:10" ht="14.5">
      <c r="B645" s="47" t="s">
        <v>1152</v>
      </c>
      <c r="C645" s="47" t="s">
        <v>64</v>
      </c>
      <c r="D645" s="47"/>
      <c r="E645" s="47"/>
      <c r="F645" s="47" t="s">
        <v>8189</v>
      </c>
      <c r="G645" s="363">
        <v>46153</v>
      </c>
      <c r="H645" s="47" t="s">
        <v>8190</v>
      </c>
      <c r="I645" s="47" t="s">
        <v>8191</v>
      </c>
      <c r="J645" s="47" t="s">
        <v>8949</v>
      </c>
    </row>
    <row r="646" spans="2:10" ht="14.5">
      <c r="B646" s="47" t="s">
        <v>2105</v>
      </c>
      <c r="C646" s="47" t="s">
        <v>64</v>
      </c>
      <c r="D646" s="47" t="s">
        <v>8958</v>
      </c>
      <c r="E646" s="47" t="s">
        <v>2104</v>
      </c>
      <c r="F646" s="47" t="s">
        <v>8189</v>
      </c>
      <c r="G646" s="363">
        <v>46203</v>
      </c>
      <c r="H646" s="47" t="s">
        <v>8190</v>
      </c>
      <c r="I646" s="47" t="s">
        <v>8191</v>
      </c>
      <c r="J646" s="47" t="s">
        <v>2104</v>
      </c>
    </row>
    <row r="647" spans="2:10" ht="14.5">
      <c r="B647" s="47" t="s">
        <v>2110</v>
      </c>
      <c r="C647" s="47" t="s">
        <v>64</v>
      </c>
      <c r="D647" s="47" t="s">
        <v>8959</v>
      </c>
      <c r="E647" s="47" t="s">
        <v>2109</v>
      </c>
      <c r="F647" s="47" t="s">
        <v>8189</v>
      </c>
      <c r="G647" s="363">
        <v>46203</v>
      </c>
      <c r="H647" s="47" t="s">
        <v>8190</v>
      </c>
      <c r="I647" s="47" t="s">
        <v>8191</v>
      </c>
      <c r="J647" s="47" t="s">
        <v>2109</v>
      </c>
    </row>
    <row r="648" spans="2:10" ht="14.5">
      <c r="B648" s="47" t="s">
        <v>2112</v>
      </c>
      <c r="C648" s="47" t="s">
        <v>8187</v>
      </c>
      <c r="D648" s="47" t="s">
        <v>8960</v>
      </c>
      <c r="E648" s="47" t="s">
        <v>2111</v>
      </c>
      <c r="F648" s="47" t="s">
        <v>8189</v>
      </c>
      <c r="G648" s="363">
        <v>46192</v>
      </c>
      <c r="H648" s="47" t="s">
        <v>8190</v>
      </c>
      <c r="I648" s="47" t="s">
        <v>8191</v>
      </c>
      <c r="J648" s="47" t="s">
        <v>2111</v>
      </c>
    </row>
    <row r="649" spans="2:10" ht="14.5">
      <c r="B649" s="47" t="s">
        <v>2117</v>
      </c>
      <c r="C649" s="47" t="s">
        <v>8187</v>
      </c>
      <c r="D649" s="47" t="s">
        <v>8961</v>
      </c>
      <c r="E649" s="47" t="s">
        <v>2116</v>
      </c>
      <c r="F649" s="47" t="s">
        <v>8189</v>
      </c>
      <c r="G649" s="363">
        <v>46192</v>
      </c>
      <c r="H649" s="47" t="s">
        <v>8190</v>
      </c>
      <c r="I649" s="47" t="s">
        <v>8191</v>
      </c>
      <c r="J649" s="47" t="s">
        <v>2116</v>
      </c>
    </row>
    <row r="650" spans="2:10" ht="14.5">
      <c r="B650" s="47" t="s">
        <v>8962</v>
      </c>
      <c r="C650" s="47" t="s">
        <v>64</v>
      </c>
      <c r="D650" s="47" t="s">
        <v>8848</v>
      </c>
      <c r="E650" s="47" t="s">
        <v>2129</v>
      </c>
      <c r="F650" s="47" t="s">
        <v>8189</v>
      </c>
      <c r="G650" s="363">
        <v>46179</v>
      </c>
      <c r="H650" s="47" t="s">
        <v>8739</v>
      </c>
      <c r="I650" s="47" t="s">
        <v>8191</v>
      </c>
      <c r="J650" s="47" t="s">
        <v>2129</v>
      </c>
    </row>
    <row r="651" spans="2:10" ht="14.5">
      <c r="B651" s="47" t="s">
        <v>8963</v>
      </c>
      <c r="C651" s="47" t="s">
        <v>64</v>
      </c>
      <c r="D651" s="47" t="s">
        <v>8850</v>
      </c>
      <c r="E651" s="47" t="s">
        <v>8964</v>
      </c>
      <c r="F651" s="47" t="s">
        <v>8189</v>
      </c>
      <c r="G651" s="363">
        <v>46179</v>
      </c>
      <c r="H651" s="47" t="s">
        <v>8739</v>
      </c>
      <c r="I651" s="47" t="s">
        <v>8191</v>
      </c>
      <c r="J651" s="47" t="s">
        <v>8964</v>
      </c>
    </row>
    <row r="652" spans="2:10" ht="14.5">
      <c r="B652" s="47" t="s">
        <v>2137</v>
      </c>
      <c r="C652" s="47" t="s">
        <v>64</v>
      </c>
      <c r="D652" s="47" t="s">
        <v>8965</v>
      </c>
      <c r="E652" s="47" t="s">
        <v>2131</v>
      </c>
      <c r="F652" s="47" t="s">
        <v>8189</v>
      </c>
      <c r="G652" s="363">
        <v>46189</v>
      </c>
      <c r="H652" s="47" t="s">
        <v>8190</v>
      </c>
      <c r="I652" s="47" t="s">
        <v>8191</v>
      </c>
      <c r="J652" s="47" t="s">
        <v>2131</v>
      </c>
    </row>
    <row r="653" spans="2:10" ht="14.5">
      <c r="B653" s="47" t="s">
        <v>2142</v>
      </c>
      <c r="C653" s="47" t="s">
        <v>64</v>
      </c>
      <c r="D653" s="47" t="s">
        <v>8966</v>
      </c>
      <c r="E653" s="47" t="s">
        <v>2141</v>
      </c>
      <c r="F653" s="47" t="s">
        <v>8189</v>
      </c>
      <c r="G653" s="363">
        <v>46196</v>
      </c>
      <c r="H653" s="47" t="s">
        <v>8190</v>
      </c>
      <c r="I653" s="47" t="s">
        <v>8191</v>
      </c>
      <c r="J653" s="47" t="s">
        <v>2141</v>
      </c>
    </row>
    <row r="654" spans="2:10" ht="14.5">
      <c r="B654" s="47" t="s">
        <v>2148</v>
      </c>
      <c r="C654" s="47" t="s">
        <v>64</v>
      </c>
      <c r="D654" s="47" t="s">
        <v>8967</v>
      </c>
      <c r="E654" s="47" t="s">
        <v>2146</v>
      </c>
      <c r="F654" s="47" t="s">
        <v>8189</v>
      </c>
      <c r="G654" s="363">
        <v>46196</v>
      </c>
      <c r="H654" s="47" t="s">
        <v>8190</v>
      </c>
      <c r="I654" s="47" t="s">
        <v>8191</v>
      </c>
      <c r="J654" s="47" t="s">
        <v>2146</v>
      </c>
    </row>
    <row r="655" spans="2:10" ht="14.5">
      <c r="B655" s="47" t="s">
        <v>2161</v>
      </c>
      <c r="C655" s="47" t="s">
        <v>64</v>
      </c>
      <c r="D655" s="47" t="s">
        <v>8968</v>
      </c>
      <c r="E655" s="47" t="s">
        <v>2160</v>
      </c>
      <c r="F655" s="47" t="s">
        <v>8189</v>
      </c>
      <c r="G655" s="363">
        <v>46204</v>
      </c>
      <c r="H655" s="47" t="s">
        <v>8190</v>
      </c>
      <c r="I655" s="47" t="s">
        <v>8191</v>
      </c>
      <c r="J655" s="47" t="s">
        <v>2160</v>
      </c>
    </row>
    <row r="656" spans="2:10" ht="14.5">
      <c r="B656" s="47" t="s">
        <v>2165</v>
      </c>
      <c r="C656" s="47" t="s">
        <v>64</v>
      </c>
      <c r="D656" s="47" t="s">
        <v>8969</v>
      </c>
      <c r="E656" s="47" t="s">
        <v>2164</v>
      </c>
      <c r="F656" s="47" t="s">
        <v>8189</v>
      </c>
      <c r="G656" s="363">
        <v>46204</v>
      </c>
      <c r="H656" s="47" t="s">
        <v>8190</v>
      </c>
      <c r="I656" s="47" t="s">
        <v>8191</v>
      </c>
      <c r="J656" s="47" t="s">
        <v>2164</v>
      </c>
    </row>
    <row r="657" spans="2:10" ht="14.5">
      <c r="B657" s="47" t="s">
        <v>2178</v>
      </c>
      <c r="C657" s="47" t="s">
        <v>64</v>
      </c>
      <c r="D657" s="47" t="s">
        <v>8970</v>
      </c>
      <c r="E657" s="47" t="s">
        <v>2177</v>
      </c>
      <c r="F657" s="47" t="s">
        <v>8189</v>
      </c>
      <c r="G657" s="363">
        <v>46197</v>
      </c>
      <c r="H657" s="47" t="s">
        <v>8190</v>
      </c>
      <c r="I657" s="47" t="s">
        <v>8191</v>
      </c>
      <c r="J657" s="47" t="s">
        <v>2177</v>
      </c>
    </row>
    <row r="658" spans="2:10" ht="14.5">
      <c r="B658" s="47" t="s">
        <v>2167</v>
      </c>
      <c r="C658" s="47" t="s">
        <v>64</v>
      </c>
      <c r="D658" s="47" t="s">
        <v>8971</v>
      </c>
      <c r="E658" s="47" t="s">
        <v>2166</v>
      </c>
      <c r="F658" s="47" t="s">
        <v>8189</v>
      </c>
      <c r="G658" s="363">
        <v>46198</v>
      </c>
      <c r="H658" s="47" t="s">
        <v>8190</v>
      </c>
      <c r="I658" s="47" t="s">
        <v>8191</v>
      </c>
      <c r="J658" s="47" t="s">
        <v>2166</v>
      </c>
    </row>
    <row r="659" spans="2:10" ht="14.5">
      <c r="B659" s="47" t="s">
        <v>1992</v>
      </c>
      <c r="C659" s="47" t="s">
        <v>64</v>
      </c>
      <c r="D659" s="47" t="s">
        <v>8972</v>
      </c>
      <c r="E659" s="47"/>
      <c r="F659" s="47" t="s">
        <v>8189</v>
      </c>
      <c r="G659" s="363">
        <v>46178</v>
      </c>
      <c r="H659" s="47" t="s">
        <v>8190</v>
      </c>
      <c r="I659" s="47" t="s">
        <v>8191</v>
      </c>
      <c r="J659" s="47" t="s">
        <v>8973</v>
      </c>
    </row>
    <row r="660" spans="2:10" ht="14.5">
      <c r="B660" s="47" t="s">
        <v>2083</v>
      </c>
      <c r="C660" s="47" t="s">
        <v>64</v>
      </c>
      <c r="D660" s="47" t="s">
        <v>8974</v>
      </c>
      <c r="E660" s="47" t="s">
        <v>2081</v>
      </c>
      <c r="F660" s="47" t="s">
        <v>8189</v>
      </c>
      <c r="G660" s="363">
        <v>46189</v>
      </c>
      <c r="H660" s="47" t="s">
        <v>8190</v>
      </c>
      <c r="I660" s="47" t="s">
        <v>8191</v>
      </c>
      <c r="J660" s="47" t="s">
        <v>2081</v>
      </c>
    </row>
    <row r="661" spans="2:10" ht="14.5">
      <c r="B661" s="47" t="s">
        <v>2089</v>
      </c>
      <c r="C661" s="47" t="s">
        <v>64</v>
      </c>
      <c r="D661" s="47" t="s">
        <v>8975</v>
      </c>
      <c r="E661" s="47" t="s">
        <v>2086</v>
      </c>
      <c r="F661" s="47" t="s">
        <v>8189</v>
      </c>
      <c r="G661" s="363">
        <v>46206</v>
      </c>
      <c r="H661" s="47" t="s">
        <v>8190</v>
      </c>
      <c r="I661" s="47" t="s">
        <v>8191</v>
      </c>
      <c r="J661" s="47" t="s">
        <v>2086</v>
      </c>
    </row>
    <row r="662" spans="2:10" ht="14.5">
      <c r="B662" s="47" t="s">
        <v>2094</v>
      </c>
      <c r="C662" s="47" t="s">
        <v>64</v>
      </c>
      <c r="D662" s="47" t="s">
        <v>8976</v>
      </c>
      <c r="E662" s="47" t="s">
        <v>2093</v>
      </c>
      <c r="F662" s="47" t="s">
        <v>8189</v>
      </c>
      <c r="G662" s="363">
        <v>46189</v>
      </c>
      <c r="H662" s="47" t="s">
        <v>8190</v>
      </c>
      <c r="I662" s="47" t="s">
        <v>8191</v>
      </c>
      <c r="J662" s="47" t="s">
        <v>2093</v>
      </c>
    </row>
    <row r="663" spans="2:10" ht="14.5">
      <c r="B663" s="47" t="s">
        <v>2044</v>
      </c>
      <c r="C663" s="47" t="s">
        <v>64</v>
      </c>
      <c r="D663" s="47" t="s">
        <v>8977</v>
      </c>
      <c r="E663" s="47" t="s">
        <v>2043</v>
      </c>
      <c r="F663" s="47" t="s">
        <v>8189</v>
      </c>
      <c r="G663" s="363">
        <v>46181</v>
      </c>
      <c r="H663" s="47" t="s">
        <v>8190</v>
      </c>
      <c r="I663" s="47" t="s">
        <v>8191</v>
      </c>
      <c r="J663" s="47" t="s">
        <v>2043</v>
      </c>
    </row>
    <row r="664" spans="2:10" ht="14.5">
      <c r="B664" s="47" t="s">
        <v>2078</v>
      </c>
      <c r="C664" s="47" t="s">
        <v>64</v>
      </c>
      <c r="D664" s="47" t="s">
        <v>8978</v>
      </c>
      <c r="E664" s="47" t="s">
        <v>2076</v>
      </c>
      <c r="F664" s="47" t="s">
        <v>8189</v>
      </c>
      <c r="G664" s="363">
        <v>46190</v>
      </c>
      <c r="H664" s="47" t="s">
        <v>8190</v>
      </c>
      <c r="I664" s="47" t="s">
        <v>8191</v>
      </c>
      <c r="J664" s="47" t="s">
        <v>2076</v>
      </c>
    </row>
    <row r="665" spans="2:10" ht="14.5">
      <c r="B665" s="47" t="s">
        <v>2039</v>
      </c>
      <c r="C665" s="47" t="s">
        <v>64</v>
      </c>
      <c r="D665" s="47" t="s">
        <v>8979</v>
      </c>
      <c r="E665" s="47" t="s">
        <v>2037</v>
      </c>
      <c r="F665" s="47" t="s">
        <v>8189</v>
      </c>
      <c r="G665" s="363">
        <v>46192</v>
      </c>
      <c r="H665" s="47" t="s">
        <v>8190</v>
      </c>
      <c r="I665" s="47" t="s">
        <v>8191</v>
      </c>
      <c r="J665" s="47" t="s">
        <v>2037</v>
      </c>
    </row>
    <row r="666" spans="2:10" ht="14.5">
      <c r="B666" s="47" t="s">
        <v>2032</v>
      </c>
      <c r="C666" s="47" t="s">
        <v>64</v>
      </c>
      <c r="D666" s="47" t="s">
        <v>8980</v>
      </c>
      <c r="E666" s="47" t="s">
        <v>2031</v>
      </c>
      <c r="F666" s="47" t="s">
        <v>8189</v>
      </c>
      <c r="G666" s="363">
        <v>46192</v>
      </c>
      <c r="H666" s="47" t="s">
        <v>8190</v>
      </c>
      <c r="I666" s="47" t="s">
        <v>8191</v>
      </c>
      <c r="J666" s="47" t="s">
        <v>2031</v>
      </c>
    </row>
    <row r="667" spans="2:10" ht="14.5">
      <c r="B667" s="47" t="s">
        <v>2049</v>
      </c>
      <c r="C667" s="47" t="s">
        <v>8187</v>
      </c>
      <c r="D667" s="47" t="s">
        <v>8981</v>
      </c>
      <c r="E667" s="47" t="s">
        <v>2048</v>
      </c>
      <c r="F667" s="47" t="s">
        <v>8189</v>
      </c>
      <c r="G667" s="363">
        <v>46177</v>
      </c>
      <c r="H667" s="47" t="s">
        <v>8190</v>
      </c>
      <c r="I667" s="47" t="s">
        <v>8191</v>
      </c>
      <c r="J667" s="47" t="s">
        <v>2048</v>
      </c>
    </row>
    <row r="668" spans="2:10" ht="14.5">
      <c r="B668" s="47" t="s">
        <v>8982</v>
      </c>
      <c r="C668" s="47" t="s">
        <v>64</v>
      </c>
      <c r="D668" s="47" t="s">
        <v>8897</v>
      </c>
      <c r="E668" s="47" t="s">
        <v>2052</v>
      </c>
      <c r="F668" s="47" t="s">
        <v>8189</v>
      </c>
      <c r="G668" s="363">
        <v>46168</v>
      </c>
      <c r="H668" s="47" t="s">
        <v>8337</v>
      </c>
      <c r="I668" s="47" t="s">
        <v>8191</v>
      </c>
      <c r="J668" s="47" t="s">
        <v>2052</v>
      </c>
    </row>
    <row r="669" spans="2:10" ht="14.5">
      <c r="B669" s="47" t="s">
        <v>8983</v>
      </c>
      <c r="C669" s="47" t="s">
        <v>64</v>
      </c>
      <c r="D669" s="47" t="s">
        <v>8895</v>
      </c>
      <c r="E669" s="47" t="s">
        <v>2059</v>
      </c>
      <c r="F669" s="47" t="s">
        <v>8189</v>
      </c>
      <c r="G669" s="363">
        <v>46184</v>
      </c>
      <c r="H669" s="47" t="s">
        <v>8337</v>
      </c>
      <c r="I669" s="47" t="s">
        <v>8191</v>
      </c>
      <c r="J669" s="47" t="s">
        <v>2059</v>
      </c>
    </row>
    <row r="670" spans="2:10" ht="14.5">
      <c r="B670" s="47" t="s">
        <v>1998</v>
      </c>
      <c r="C670" s="47" t="s">
        <v>64</v>
      </c>
      <c r="D670" s="47" t="s">
        <v>8984</v>
      </c>
      <c r="E670" s="47" t="s">
        <v>1996</v>
      </c>
      <c r="F670" s="47" t="s">
        <v>8189</v>
      </c>
      <c r="G670" s="363">
        <v>46202</v>
      </c>
      <c r="H670" s="47" t="s">
        <v>8190</v>
      </c>
      <c r="I670" s="47" t="s">
        <v>8191</v>
      </c>
      <c r="J670" s="47" t="s">
        <v>1996</v>
      </c>
    </row>
    <row r="671" spans="2:10" ht="14.5">
      <c r="B671" s="47" t="s">
        <v>2064</v>
      </c>
      <c r="C671" s="47" t="s">
        <v>64</v>
      </c>
      <c r="D671" s="47" t="s">
        <v>8985</v>
      </c>
      <c r="E671" s="47" t="s">
        <v>2063</v>
      </c>
      <c r="F671" s="47" t="s">
        <v>8189</v>
      </c>
      <c r="G671" s="363">
        <v>46181</v>
      </c>
      <c r="H671" s="47" t="s">
        <v>8190</v>
      </c>
      <c r="I671" s="47" t="s">
        <v>8191</v>
      </c>
      <c r="J671" s="47" t="s">
        <v>2063</v>
      </c>
    </row>
    <row r="672" spans="2:10" ht="14.5">
      <c r="B672" s="47" t="s">
        <v>2069</v>
      </c>
      <c r="C672" s="47" t="s">
        <v>64</v>
      </c>
      <c r="D672" s="47" t="s">
        <v>8986</v>
      </c>
      <c r="E672" s="47" t="s">
        <v>2068</v>
      </c>
      <c r="F672" s="47" t="s">
        <v>8189</v>
      </c>
      <c r="G672" s="363">
        <v>46181</v>
      </c>
      <c r="H672" s="47" t="s">
        <v>8190</v>
      </c>
      <c r="I672" s="47" t="s">
        <v>8191</v>
      </c>
      <c r="J672" s="47" t="s">
        <v>2068</v>
      </c>
    </row>
    <row r="673" spans="2:10" ht="14.5">
      <c r="B673" s="47" t="s">
        <v>2025</v>
      </c>
      <c r="C673" s="47" t="s">
        <v>8187</v>
      </c>
      <c r="D673" s="47" t="s">
        <v>8987</v>
      </c>
      <c r="E673" s="47" t="s">
        <v>2023</v>
      </c>
      <c r="F673" s="47" t="s">
        <v>8189</v>
      </c>
      <c r="G673" s="363">
        <v>46195</v>
      </c>
      <c r="H673" s="47" t="s">
        <v>8190</v>
      </c>
      <c r="I673" s="47" t="s">
        <v>8191</v>
      </c>
      <c r="J673" s="47" t="s">
        <v>2023</v>
      </c>
    </row>
    <row r="674" spans="2:10" ht="14.5">
      <c r="B674" s="47" t="s">
        <v>2030</v>
      </c>
      <c r="C674" s="47" t="s">
        <v>8187</v>
      </c>
      <c r="D674" s="47" t="s">
        <v>8988</v>
      </c>
      <c r="E674" s="47" t="s">
        <v>2027</v>
      </c>
      <c r="F674" s="47" t="s">
        <v>8189</v>
      </c>
      <c r="G674" s="363">
        <v>46195</v>
      </c>
      <c r="H674" s="47" t="s">
        <v>8190</v>
      </c>
      <c r="I674" s="47" t="s">
        <v>8191</v>
      </c>
      <c r="J674" s="47" t="s">
        <v>2027</v>
      </c>
    </row>
    <row r="675" spans="2:10" ht="14.5">
      <c r="B675" s="47" t="s">
        <v>2018</v>
      </c>
      <c r="C675" s="47" t="s">
        <v>8187</v>
      </c>
      <c r="D675" s="47" t="s">
        <v>8989</v>
      </c>
      <c r="E675" s="47" t="s">
        <v>2017</v>
      </c>
      <c r="F675" s="47" t="s">
        <v>8189</v>
      </c>
      <c r="G675" s="363">
        <v>46195</v>
      </c>
      <c r="H675" s="47" t="s">
        <v>8190</v>
      </c>
      <c r="I675" s="47" t="s">
        <v>8191</v>
      </c>
      <c r="J675" s="47" t="s">
        <v>2017</v>
      </c>
    </row>
    <row r="676" spans="2:10" ht="14.5">
      <c r="B676" s="47" t="s">
        <v>2072</v>
      </c>
      <c r="C676" s="47" t="s">
        <v>8187</v>
      </c>
      <c r="D676" s="47" t="s">
        <v>8990</v>
      </c>
      <c r="E676" s="47" t="s">
        <v>1893</v>
      </c>
      <c r="F676" s="47" t="s">
        <v>8189</v>
      </c>
      <c r="G676" s="363">
        <v>46191</v>
      </c>
      <c r="H676" s="47" t="s">
        <v>8190</v>
      </c>
      <c r="I676" s="47" t="s">
        <v>8191</v>
      </c>
      <c r="J676" s="47" t="s">
        <v>1893</v>
      </c>
    </row>
    <row r="677" spans="2:10" ht="14.5">
      <c r="B677" s="47" t="s">
        <v>1971</v>
      </c>
      <c r="C677" s="47" t="s">
        <v>8187</v>
      </c>
      <c r="D677" s="47" t="s">
        <v>8991</v>
      </c>
      <c r="E677" s="47" t="s">
        <v>1970</v>
      </c>
      <c r="F677" s="47" t="s">
        <v>8189</v>
      </c>
      <c r="G677" s="363">
        <v>46157</v>
      </c>
      <c r="H677" s="47" t="s">
        <v>8190</v>
      </c>
      <c r="I677" s="47" t="s">
        <v>8191</v>
      </c>
      <c r="J677" s="47" t="s">
        <v>1970</v>
      </c>
    </row>
    <row r="678" spans="2:10" ht="14.5">
      <c r="B678" s="47" t="s">
        <v>1969</v>
      </c>
      <c r="C678" s="47" t="s">
        <v>8187</v>
      </c>
      <c r="D678" s="47" t="s">
        <v>8992</v>
      </c>
      <c r="E678" s="47" t="s">
        <v>1968</v>
      </c>
      <c r="F678" s="47" t="s">
        <v>8189</v>
      </c>
      <c r="G678" s="363">
        <v>46168</v>
      </c>
      <c r="H678" s="47" t="s">
        <v>8190</v>
      </c>
      <c r="I678" s="47" t="s">
        <v>8191</v>
      </c>
      <c r="J678" s="47" t="s">
        <v>1968</v>
      </c>
    </row>
    <row r="679" spans="2:10" ht="14.5">
      <c r="B679" s="47" t="s">
        <v>1943</v>
      </c>
      <c r="C679" s="47" t="s">
        <v>8187</v>
      </c>
      <c r="D679" s="47" t="s">
        <v>8993</v>
      </c>
      <c r="E679" s="47" t="s">
        <v>1942</v>
      </c>
      <c r="F679" s="47" t="s">
        <v>8189</v>
      </c>
      <c r="G679" s="363">
        <v>46183</v>
      </c>
      <c r="H679" s="47" t="s">
        <v>8190</v>
      </c>
      <c r="I679" s="47" t="s">
        <v>8191</v>
      </c>
      <c r="J679" s="47" t="s">
        <v>1942</v>
      </c>
    </row>
    <row r="680" spans="2:10" ht="14.5">
      <c r="B680" s="47" t="s">
        <v>1965</v>
      </c>
      <c r="C680" s="47" t="s">
        <v>8187</v>
      </c>
      <c r="D680" s="47" t="s">
        <v>8994</v>
      </c>
      <c r="E680" s="47" t="s">
        <v>1963</v>
      </c>
      <c r="F680" s="47" t="s">
        <v>8189</v>
      </c>
      <c r="G680" s="363">
        <v>46154</v>
      </c>
      <c r="H680" s="47" t="s">
        <v>8190</v>
      </c>
      <c r="I680" s="47" t="s">
        <v>8191</v>
      </c>
      <c r="J680" s="47" t="s">
        <v>1963</v>
      </c>
    </row>
    <row r="681" spans="2:10" ht="14.5">
      <c r="B681" s="47" t="s">
        <v>1959</v>
      </c>
      <c r="C681" s="47" t="s">
        <v>8187</v>
      </c>
      <c r="D681" s="47" t="s">
        <v>8995</v>
      </c>
      <c r="E681" s="47" t="s">
        <v>1956</v>
      </c>
      <c r="F681" s="47" t="s">
        <v>8189</v>
      </c>
      <c r="G681" s="363">
        <v>46154</v>
      </c>
      <c r="H681" s="47" t="s">
        <v>8190</v>
      </c>
      <c r="I681" s="47" t="s">
        <v>8191</v>
      </c>
      <c r="J681" s="47" t="s">
        <v>1956</v>
      </c>
    </row>
    <row r="682" spans="2:10" ht="14.5">
      <c r="B682" s="47" t="s">
        <v>1948</v>
      </c>
      <c r="C682" s="47" t="s">
        <v>64</v>
      </c>
      <c r="D682" s="47" t="s">
        <v>8996</v>
      </c>
      <c r="E682" s="47" t="s">
        <v>1947</v>
      </c>
      <c r="F682" s="47" t="s">
        <v>8189</v>
      </c>
      <c r="G682" s="363">
        <v>46181</v>
      </c>
      <c r="H682" s="47" t="s">
        <v>8190</v>
      </c>
      <c r="I682" s="47" t="s">
        <v>8191</v>
      </c>
      <c r="J682" s="47" t="s">
        <v>1947</v>
      </c>
    </row>
    <row r="683" spans="2:10" ht="14.5">
      <c r="B683" s="47" t="s">
        <v>2005</v>
      </c>
      <c r="C683" s="47" t="s">
        <v>64</v>
      </c>
      <c r="D683" s="47" t="s">
        <v>8997</v>
      </c>
      <c r="E683" s="47" t="s">
        <v>2003</v>
      </c>
      <c r="F683" s="47" t="s">
        <v>8189</v>
      </c>
      <c r="G683" s="363">
        <v>46188</v>
      </c>
      <c r="H683" s="47" t="s">
        <v>8190</v>
      </c>
      <c r="I683" s="47" t="s">
        <v>8191</v>
      </c>
      <c r="J683" s="47" t="s">
        <v>2003</v>
      </c>
    </row>
    <row r="684" spans="2:10" ht="14.5">
      <c r="B684" s="47" t="s">
        <v>2010</v>
      </c>
      <c r="C684" s="47" t="s">
        <v>64</v>
      </c>
      <c r="D684" s="47" t="s">
        <v>8998</v>
      </c>
      <c r="E684" s="47" t="s">
        <v>2009</v>
      </c>
      <c r="F684" s="47" t="s">
        <v>8189</v>
      </c>
      <c r="G684" s="363">
        <v>46192</v>
      </c>
      <c r="H684" s="47" t="s">
        <v>8190</v>
      </c>
      <c r="I684" s="47" t="s">
        <v>8191</v>
      </c>
      <c r="J684" s="47" t="s">
        <v>2009</v>
      </c>
    </row>
    <row r="685" spans="2:10" ht="14.5">
      <c r="B685" s="47" t="s">
        <v>2014</v>
      </c>
      <c r="C685" s="47" t="s">
        <v>64</v>
      </c>
      <c r="D685" s="47" t="s">
        <v>8999</v>
      </c>
      <c r="E685" s="47" t="s">
        <v>2013</v>
      </c>
      <c r="F685" s="47" t="s">
        <v>8189</v>
      </c>
      <c r="G685" s="363">
        <v>46184</v>
      </c>
      <c r="H685" s="47" t="s">
        <v>8190</v>
      </c>
      <c r="I685" s="47" t="s">
        <v>8191</v>
      </c>
      <c r="J685" s="47" t="s">
        <v>2013</v>
      </c>
    </row>
    <row r="686" spans="2:10" ht="14.5">
      <c r="B686" s="47" t="s">
        <v>1953</v>
      </c>
      <c r="C686" s="47" t="s">
        <v>8187</v>
      </c>
      <c r="D686" s="47" t="s">
        <v>9000</v>
      </c>
      <c r="E686" s="47" t="s">
        <v>1952</v>
      </c>
      <c r="F686" s="47" t="s">
        <v>8189</v>
      </c>
      <c r="G686" s="363">
        <v>46155</v>
      </c>
      <c r="H686" s="47" t="s">
        <v>8190</v>
      </c>
      <c r="I686" s="47" t="s">
        <v>8191</v>
      </c>
      <c r="J686" s="47" t="s">
        <v>1952</v>
      </c>
    </row>
    <row r="687" spans="2:10" ht="14.5">
      <c r="B687" s="47" t="s">
        <v>1979</v>
      </c>
      <c r="C687" s="47" t="s">
        <v>64</v>
      </c>
      <c r="D687" s="47" t="s">
        <v>9001</v>
      </c>
      <c r="E687" s="47" t="s">
        <v>1975</v>
      </c>
      <c r="F687" s="47" t="s">
        <v>8189</v>
      </c>
      <c r="G687" s="363">
        <v>46183</v>
      </c>
      <c r="H687" s="47" t="s">
        <v>8190</v>
      </c>
      <c r="I687" s="47" t="s">
        <v>8191</v>
      </c>
      <c r="J687" s="47" t="s">
        <v>1975</v>
      </c>
    </row>
    <row r="688" spans="2:10" ht="14.5">
      <c r="B688" s="47" t="s">
        <v>1987</v>
      </c>
      <c r="C688" s="47" t="s">
        <v>64</v>
      </c>
      <c r="D688" s="47" t="s">
        <v>9002</v>
      </c>
      <c r="E688" s="47" t="s">
        <v>1985</v>
      </c>
      <c r="F688" s="47" t="s">
        <v>8189</v>
      </c>
      <c r="G688" s="363">
        <v>46183</v>
      </c>
      <c r="H688" s="47" t="s">
        <v>8190</v>
      </c>
      <c r="I688" s="47" t="s">
        <v>8191</v>
      </c>
      <c r="J688" s="47" t="s">
        <v>1985</v>
      </c>
    </row>
    <row r="689" spans="2:10" ht="14.5">
      <c r="B689" s="47" t="s">
        <v>1984</v>
      </c>
      <c r="C689" s="47" t="s">
        <v>64</v>
      </c>
      <c r="D689" s="47" t="s">
        <v>9003</v>
      </c>
      <c r="E689" s="47" t="s">
        <v>1983</v>
      </c>
      <c r="F689" s="47" t="s">
        <v>8189</v>
      </c>
      <c r="G689" s="363">
        <v>46183</v>
      </c>
      <c r="H689" s="47" t="s">
        <v>8190</v>
      </c>
      <c r="I689" s="47" t="s">
        <v>8191</v>
      </c>
      <c r="J689" s="47" t="s">
        <v>1983</v>
      </c>
    </row>
    <row r="690" spans="2:10" ht="14.5">
      <c r="B690" s="47" t="s">
        <v>1724</v>
      </c>
      <c r="C690" s="47" t="s">
        <v>64</v>
      </c>
      <c r="D690" s="47" t="s">
        <v>9004</v>
      </c>
      <c r="E690" s="47" t="s">
        <v>1723</v>
      </c>
      <c r="F690" s="47" t="s">
        <v>8189</v>
      </c>
      <c r="G690" s="363">
        <v>46176</v>
      </c>
      <c r="H690" s="47" t="s">
        <v>8190</v>
      </c>
      <c r="I690" s="47" t="s">
        <v>8191</v>
      </c>
      <c r="J690" s="47" t="s">
        <v>1723</v>
      </c>
    </row>
    <row r="691" spans="2:10" ht="14.5">
      <c r="B691" s="47" t="s">
        <v>1776</v>
      </c>
      <c r="C691" s="47" t="s">
        <v>64</v>
      </c>
      <c r="D691" s="47" t="s">
        <v>9005</v>
      </c>
      <c r="E691" s="47" t="s">
        <v>1775</v>
      </c>
      <c r="F691" s="47" t="s">
        <v>8189</v>
      </c>
      <c r="G691" s="363">
        <v>46176</v>
      </c>
      <c r="H691" s="47" t="s">
        <v>8190</v>
      </c>
      <c r="I691" s="47" t="s">
        <v>8191</v>
      </c>
      <c r="J691" s="47" t="s">
        <v>1775</v>
      </c>
    </row>
    <row r="692" spans="2:10" ht="14.5">
      <c r="B692" s="47" t="s">
        <v>1732</v>
      </c>
      <c r="C692" s="47" t="s">
        <v>64</v>
      </c>
      <c r="D692" s="47" t="s">
        <v>9006</v>
      </c>
      <c r="E692" s="47" t="s">
        <v>1728</v>
      </c>
      <c r="F692" s="47" t="s">
        <v>8189</v>
      </c>
      <c r="G692" s="363">
        <v>46176</v>
      </c>
      <c r="H692" s="47" t="s">
        <v>8190</v>
      </c>
      <c r="I692" s="47" t="s">
        <v>8191</v>
      </c>
      <c r="J692" s="47" t="s">
        <v>1728</v>
      </c>
    </row>
    <row r="693" spans="2:10" ht="14.5">
      <c r="B693" s="47" t="s">
        <v>871</v>
      </c>
      <c r="C693" s="47" t="s">
        <v>8187</v>
      </c>
      <c r="D693" s="47" t="s">
        <v>9007</v>
      </c>
      <c r="E693" s="47"/>
      <c r="F693" s="47" t="s">
        <v>8189</v>
      </c>
      <c r="G693" s="363">
        <v>46174</v>
      </c>
      <c r="H693" s="47" t="s">
        <v>8190</v>
      </c>
      <c r="I693" s="47" t="s">
        <v>8191</v>
      </c>
      <c r="J693" s="47" t="s">
        <v>9008</v>
      </c>
    </row>
    <row r="694" spans="2:10" ht="14.5">
      <c r="B694" s="47" t="s">
        <v>877</v>
      </c>
      <c r="C694" s="47" t="s">
        <v>64</v>
      </c>
      <c r="D694" s="47" t="s">
        <v>9007</v>
      </c>
      <c r="E694" s="47"/>
      <c r="F694" s="47" t="s">
        <v>8189</v>
      </c>
      <c r="G694" s="363">
        <v>46177</v>
      </c>
      <c r="H694" s="47" t="s">
        <v>8190</v>
      </c>
      <c r="I694" s="47" t="s">
        <v>8191</v>
      </c>
      <c r="J694" s="47" t="s">
        <v>9009</v>
      </c>
    </row>
    <row r="695" spans="2:10" ht="14.5">
      <c r="B695" s="47" t="s">
        <v>1600</v>
      </c>
      <c r="C695" s="47" t="s">
        <v>8187</v>
      </c>
      <c r="D695" s="47" t="s">
        <v>9010</v>
      </c>
      <c r="E695" s="47"/>
      <c r="F695" s="47" t="s">
        <v>8189</v>
      </c>
      <c r="G695" s="363">
        <v>46161</v>
      </c>
      <c r="H695" s="47" t="s">
        <v>8190</v>
      </c>
      <c r="I695" s="47" t="s">
        <v>8191</v>
      </c>
      <c r="J695" s="47" t="s">
        <v>9011</v>
      </c>
    </row>
    <row r="696" spans="2:10" ht="14.5">
      <c r="B696" s="47" t="s">
        <v>1605</v>
      </c>
      <c r="C696" s="47" t="s">
        <v>64</v>
      </c>
      <c r="D696" s="47" t="s">
        <v>9010</v>
      </c>
      <c r="E696" s="47"/>
      <c r="F696" s="47" t="s">
        <v>8189</v>
      </c>
      <c r="G696" s="363">
        <v>46160</v>
      </c>
      <c r="H696" s="47" t="s">
        <v>8190</v>
      </c>
      <c r="I696" s="47" t="s">
        <v>8191</v>
      </c>
      <c r="J696" s="47" t="s">
        <v>9012</v>
      </c>
    </row>
    <row r="697" spans="2:10" ht="14.5">
      <c r="B697" s="47" t="s">
        <v>586</v>
      </c>
      <c r="C697" s="47" t="s">
        <v>64</v>
      </c>
      <c r="D697" s="47" t="s">
        <v>9013</v>
      </c>
      <c r="E697" s="47"/>
      <c r="F697" s="47" t="s">
        <v>8189</v>
      </c>
      <c r="G697" s="363">
        <v>46132</v>
      </c>
      <c r="H697" s="47" t="s">
        <v>8190</v>
      </c>
      <c r="I697" s="47" t="s">
        <v>8191</v>
      </c>
      <c r="J697" s="47" t="s">
        <v>9014</v>
      </c>
    </row>
    <row r="698" spans="2:10" ht="14.5">
      <c r="B698" s="47" t="s">
        <v>591</v>
      </c>
      <c r="C698" s="47" t="s">
        <v>64</v>
      </c>
      <c r="D698" s="47" t="s">
        <v>9015</v>
      </c>
      <c r="E698" s="47"/>
      <c r="F698" s="47" t="s">
        <v>8189</v>
      </c>
      <c r="G698" s="363">
        <v>46133</v>
      </c>
      <c r="H698" s="47" t="s">
        <v>8190</v>
      </c>
      <c r="I698" s="47" t="s">
        <v>8191</v>
      </c>
      <c r="J698" s="47" t="s">
        <v>9016</v>
      </c>
    </row>
    <row r="699" spans="2:10" ht="14.5">
      <c r="B699" s="47" t="s">
        <v>1884</v>
      </c>
      <c r="C699" s="47" t="s">
        <v>8187</v>
      </c>
      <c r="D699" s="47" t="s">
        <v>9017</v>
      </c>
      <c r="E699" s="47" t="s">
        <v>1881</v>
      </c>
      <c r="F699" s="47" t="s">
        <v>8189</v>
      </c>
      <c r="G699" s="363">
        <v>46185</v>
      </c>
      <c r="H699" s="47" t="s">
        <v>8190</v>
      </c>
      <c r="I699" s="47" t="s">
        <v>8191</v>
      </c>
      <c r="J699" s="47" t="s">
        <v>1881</v>
      </c>
    </row>
    <row r="700" spans="2:10" ht="14.5">
      <c r="B700" s="47" t="s">
        <v>1890</v>
      </c>
      <c r="C700" s="47" t="s">
        <v>8187</v>
      </c>
      <c r="D700" s="47" t="s">
        <v>9018</v>
      </c>
      <c r="E700" s="47" t="s">
        <v>1887</v>
      </c>
      <c r="F700" s="47" t="s">
        <v>8189</v>
      </c>
      <c r="G700" s="363">
        <v>46185</v>
      </c>
      <c r="H700" s="47" t="s">
        <v>8190</v>
      </c>
      <c r="I700" s="47" t="s">
        <v>8191</v>
      </c>
      <c r="J700" s="47" t="s">
        <v>1887</v>
      </c>
    </row>
    <row r="701" spans="2:10" ht="14.5">
      <c r="B701" s="47" t="s">
        <v>1919</v>
      </c>
      <c r="C701" s="47" t="s">
        <v>8187</v>
      </c>
      <c r="D701" s="47" t="s">
        <v>9019</v>
      </c>
      <c r="E701" s="47" t="s">
        <v>1918</v>
      </c>
      <c r="F701" s="47" t="s">
        <v>8189</v>
      </c>
      <c r="G701" s="363">
        <v>46170</v>
      </c>
      <c r="H701" s="47" t="s">
        <v>8190</v>
      </c>
      <c r="I701" s="47" t="s">
        <v>8191</v>
      </c>
      <c r="J701" s="47" t="s">
        <v>1918</v>
      </c>
    </row>
    <row r="702" spans="2:10" ht="14.5">
      <c r="B702" s="47" t="s">
        <v>1897</v>
      </c>
      <c r="C702" s="47" t="s">
        <v>8187</v>
      </c>
      <c r="D702" s="47" t="s">
        <v>9020</v>
      </c>
      <c r="E702" s="47" t="s">
        <v>1892</v>
      </c>
      <c r="F702" s="47" t="s">
        <v>8189</v>
      </c>
      <c r="G702" s="363">
        <v>46170</v>
      </c>
      <c r="H702" s="47" t="s">
        <v>8190</v>
      </c>
      <c r="I702" s="47" t="s">
        <v>8191</v>
      </c>
      <c r="J702" s="47" t="s">
        <v>1892</v>
      </c>
    </row>
    <row r="703" spans="2:10" ht="14.5">
      <c r="B703" s="47" t="s">
        <v>1915</v>
      </c>
      <c r="C703" s="47" t="s">
        <v>8187</v>
      </c>
      <c r="D703" s="47" t="s">
        <v>9021</v>
      </c>
      <c r="E703" s="47" t="s">
        <v>1911</v>
      </c>
      <c r="F703" s="47" t="s">
        <v>8189</v>
      </c>
      <c r="G703" s="363">
        <v>46177</v>
      </c>
      <c r="H703" s="47" t="s">
        <v>8190</v>
      </c>
      <c r="I703" s="47" t="s">
        <v>8191</v>
      </c>
      <c r="J703" s="47" t="s">
        <v>1911</v>
      </c>
    </row>
    <row r="704" spans="2:10" ht="14.5">
      <c r="B704" s="47" t="s">
        <v>1908</v>
      </c>
      <c r="C704" s="47" t="s">
        <v>8187</v>
      </c>
      <c r="D704" s="47" t="s">
        <v>9022</v>
      </c>
      <c r="E704" s="47" t="s">
        <v>1901</v>
      </c>
      <c r="F704" s="47" t="s">
        <v>8189</v>
      </c>
      <c r="G704" s="363">
        <v>46177</v>
      </c>
      <c r="H704" s="47" t="s">
        <v>8190</v>
      </c>
      <c r="I704" s="47" t="s">
        <v>8191</v>
      </c>
      <c r="J704" s="47" t="s">
        <v>1901</v>
      </c>
    </row>
    <row r="705" spans="2:10" ht="14.5">
      <c r="B705" s="47" t="s">
        <v>1855</v>
      </c>
      <c r="C705" s="47" t="s">
        <v>8187</v>
      </c>
      <c r="D705" s="47" t="s">
        <v>9023</v>
      </c>
      <c r="E705" s="47" t="s">
        <v>1853</v>
      </c>
      <c r="F705" s="47" t="s">
        <v>8189</v>
      </c>
      <c r="G705" s="363">
        <v>46164</v>
      </c>
      <c r="H705" s="47" t="s">
        <v>8190</v>
      </c>
      <c r="I705" s="47" t="s">
        <v>8191</v>
      </c>
      <c r="J705" s="47" t="s">
        <v>1853</v>
      </c>
    </row>
    <row r="706" spans="2:10" ht="14.5">
      <c r="B706" s="47" t="s">
        <v>1761</v>
      </c>
      <c r="C706" s="47" t="s">
        <v>8187</v>
      </c>
      <c r="D706" s="47" t="s">
        <v>9024</v>
      </c>
      <c r="E706" s="47" t="s">
        <v>1756</v>
      </c>
      <c r="F706" s="47" t="s">
        <v>8189</v>
      </c>
      <c r="G706" s="363">
        <v>46176</v>
      </c>
      <c r="H706" s="47" t="s">
        <v>8190</v>
      </c>
      <c r="I706" s="47" t="s">
        <v>8191</v>
      </c>
      <c r="J706" s="47" t="s">
        <v>1756</v>
      </c>
    </row>
    <row r="707" spans="2:10" ht="14.5">
      <c r="B707" s="47" t="s">
        <v>1859</v>
      </c>
      <c r="C707" s="47" t="s">
        <v>8187</v>
      </c>
      <c r="D707" s="47" t="s">
        <v>9025</v>
      </c>
      <c r="E707" s="47" t="s">
        <v>1858</v>
      </c>
      <c r="F707" s="47" t="s">
        <v>8189</v>
      </c>
      <c r="G707" s="363">
        <v>46161</v>
      </c>
      <c r="H707" s="47" t="s">
        <v>8190</v>
      </c>
      <c r="I707" s="47" t="s">
        <v>8191</v>
      </c>
      <c r="J707" s="47" t="s">
        <v>1858</v>
      </c>
    </row>
    <row r="708" spans="2:10" ht="14.5">
      <c r="B708" s="47" t="s">
        <v>1927</v>
      </c>
      <c r="C708" s="47" t="s">
        <v>8187</v>
      </c>
      <c r="D708" s="47" t="s">
        <v>9026</v>
      </c>
      <c r="E708" s="47" t="s">
        <v>1923</v>
      </c>
      <c r="F708" s="47" t="s">
        <v>8189</v>
      </c>
      <c r="G708" s="363">
        <v>46185</v>
      </c>
      <c r="H708" s="47" t="s">
        <v>8190</v>
      </c>
      <c r="I708" s="47" t="s">
        <v>8191</v>
      </c>
      <c r="J708" s="47" t="s">
        <v>1923</v>
      </c>
    </row>
    <row r="709" spans="2:10" ht="14.5">
      <c r="B709" s="47" t="s">
        <v>1932</v>
      </c>
      <c r="C709" s="47" t="s">
        <v>8187</v>
      </c>
      <c r="D709" s="47" t="s">
        <v>9027</v>
      </c>
      <c r="E709" s="47" t="s">
        <v>1931</v>
      </c>
      <c r="F709" s="47" t="s">
        <v>8189</v>
      </c>
      <c r="G709" s="363">
        <v>46185</v>
      </c>
      <c r="H709" s="47" t="s">
        <v>8190</v>
      </c>
      <c r="I709" s="47" t="s">
        <v>8191</v>
      </c>
      <c r="J709" s="47" t="s">
        <v>1931</v>
      </c>
    </row>
    <row r="710" spans="2:10" ht="14.5">
      <c r="B710" s="47" t="s">
        <v>1934</v>
      </c>
      <c r="C710" s="47" t="s">
        <v>64</v>
      </c>
      <c r="D710" s="47" t="s">
        <v>9028</v>
      </c>
      <c r="E710" s="47" t="s">
        <v>1933</v>
      </c>
      <c r="F710" s="47" t="s">
        <v>8189</v>
      </c>
      <c r="G710" s="363">
        <v>46205</v>
      </c>
      <c r="H710" s="47" t="s">
        <v>8190</v>
      </c>
      <c r="I710" s="47" t="s">
        <v>8191</v>
      </c>
      <c r="J710" s="47" t="s">
        <v>1933</v>
      </c>
    </row>
    <row r="711" spans="2:10" ht="14.5">
      <c r="B711" s="47" t="s">
        <v>1941</v>
      </c>
      <c r="C711" s="47" t="s">
        <v>64</v>
      </c>
      <c r="D711" s="47" t="s">
        <v>9029</v>
      </c>
      <c r="E711" s="47" t="s">
        <v>1939</v>
      </c>
      <c r="F711" s="47" t="s">
        <v>8189</v>
      </c>
      <c r="G711" s="363">
        <v>46205</v>
      </c>
      <c r="H711" s="47" t="s">
        <v>8190</v>
      </c>
      <c r="I711" s="47" t="s">
        <v>8191</v>
      </c>
      <c r="J711" s="47" t="s">
        <v>1939</v>
      </c>
    </row>
    <row r="712" spans="2:10" ht="14.5">
      <c r="B712" s="47" t="s">
        <v>1877</v>
      </c>
      <c r="C712" s="47" t="s">
        <v>64</v>
      </c>
      <c r="D712" s="47" t="s">
        <v>9030</v>
      </c>
      <c r="E712" s="47" t="s">
        <v>1875</v>
      </c>
      <c r="F712" s="47" t="s">
        <v>8189</v>
      </c>
      <c r="G712" s="363">
        <v>46170</v>
      </c>
      <c r="H712" s="47" t="s">
        <v>8190</v>
      </c>
      <c r="I712" s="47" t="s">
        <v>8191</v>
      </c>
      <c r="J712" s="47" t="s">
        <v>1875</v>
      </c>
    </row>
    <row r="713" spans="2:10" ht="14.5">
      <c r="B713" s="47" t="s">
        <v>9031</v>
      </c>
      <c r="C713" s="47" t="s">
        <v>64</v>
      </c>
      <c r="D713" s="47" t="s">
        <v>8899</v>
      </c>
      <c r="E713" s="47" t="s">
        <v>9032</v>
      </c>
      <c r="F713" s="47" t="s">
        <v>8189</v>
      </c>
      <c r="G713" s="363">
        <v>46167</v>
      </c>
      <c r="H713" s="47" t="s">
        <v>8337</v>
      </c>
      <c r="I713" s="47" t="s">
        <v>8191</v>
      </c>
      <c r="J713" s="47" t="s">
        <v>9032</v>
      </c>
    </row>
    <row r="714" spans="2:10" ht="14.5">
      <c r="B714" s="47" t="s">
        <v>1863</v>
      </c>
      <c r="C714" s="47" t="s">
        <v>64</v>
      </c>
      <c r="D714" s="47" t="s">
        <v>9033</v>
      </c>
      <c r="E714" s="47" t="s">
        <v>1862</v>
      </c>
      <c r="F714" s="47" t="s">
        <v>8189</v>
      </c>
      <c r="G714" s="363">
        <v>46167</v>
      </c>
      <c r="H714" s="47" t="s">
        <v>8190</v>
      </c>
      <c r="I714" s="47" t="s">
        <v>8191</v>
      </c>
      <c r="J714" s="47" t="s">
        <v>1862</v>
      </c>
    </row>
    <row r="715" spans="2:10" ht="14.5">
      <c r="B715" s="47" t="s">
        <v>9034</v>
      </c>
      <c r="C715" s="47" t="s">
        <v>64</v>
      </c>
      <c r="D715" s="47" t="s">
        <v>8902</v>
      </c>
      <c r="E715" s="47" t="s">
        <v>1867</v>
      </c>
      <c r="F715" s="47" t="s">
        <v>8189</v>
      </c>
      <c r="G715" s="363">
        <v>46167</v>
      </c>
      <c r="H715" s="47" t="s">
        <v>8337</v>
      </c>
      <c r="I715" s="47" t="s">
        <v>8191</v>
      </c>
      <c r="J715" s="47" t="s">
        <v>1867</v>
      </c>
    </row>
    <row r="716" spans="2:10" ht="14.5">
      <c r="B716" s="47" t="s">
        <v>1827</v>
      </c>
      <c r="C716" s="47" t="s">
        <v>8187</v>
      </c>
      <c r="D716" s="47" t="s">
        <v>9035</v>
      </c>
      <c r="E716" s="47" t="s">
        <v>1825</v>
      </c>
      <c r="F716" s="47" t="s">
        <v>8189</v>
      </c>
      <c r="G716" s="363">
        <v>46164</v>
      </c>
      <c r="H716" s="47" t="s">
        <v>8190</v>
      </c>
      <c r="I716" s="47" t="s">
        <v>8191</v>
      </c>
      <c r="J716" s="47" t="s">
        <v>1825</v>
      </c>
    </row>
    <row r="717" spans="2:10" ht="14.5">
      <c r="B717" s="47" t="s">
        <v>1818</v>
      </c>
      <c r="C717" s="47" t="s">
        <v>8187</v>
      </c>
      <c r="D717" s="47" t="s">
        <v>9036</v>
      </c>
      <c r="E717" s="47" t="s">
        <v>1816</v>
      </c>
      <c r="F717" s="47" t="s">
        <v>8189</v>
      </c>
      <c r="G717" s="363">
        <v>46161</v>
      </c>
      <c r="H717" s="47" t="s">
        <v>8190</v>
      </c>
      <c r="I717" s="47" t="s">
        <v>8191</v>
      </c>
      <c r="J717" s="47" t="s">
        <v>1816</v>
      </c>
    </row>
    <row r="718" spans="2:10" ht="14.5">
      <c r="B718" s="47" t="s">
        <v>1824</v>
      </c>
      <c r="C718" s="47" t="s">
        <v>8187</v>
      </c>
      <c r="D718" s="47" t="s">
        <v>9037</v>
      </c>
      <c r="E718" s="47" t="s">
        <v>1822</v>
      </c>
      <c r="F718" s="47" t="s">
        <v>8189</v>
      </c>
      <c r="G718" s="363">
        <v>46161</v>
      </c>
      <c r="H718" s="47" t="s">
        <v>8190</v>
      </c>
      <c r="I718" s="47" t="s">
        <v>8191</v>
      </c>
      <c r="J718" s="47" t="s">
        <v>1822</v>
      </c>
    </row>
    <row r="719" spans="2:10" ht="14.5">
      <c r="B719" s="47" t="s">
        <v>1743</v>
      </c>
      <c r="C719" s="47" t="s">
        <v>64</v>
      </c>
      <c r="D719" s="47" t="s">
        <v>9038</v>
      </c>
      <c r="E719" s="47" t="s">
        <v>1742</v>
      </c>
      <c r="F719" s="47" t="s">
        <v>8189</v>
      </c>
      <c r="G719" s="363">
        <v>46161</v>
      </c>
      <c r="H719" s="47" t="s">
        <v>8190</v>
      </c>
      <c r="I719" s="47" t="s">
        <v>8191</v>
      </c>
      <c r="J719" s="47" t="s">
        <v>1742</v>
      </c>
    </row>
    <row r="720" spans="2:10" ht="14.5">
      <c r="B720" s="47" t="s">
        <v>1741</v>
      </c>
      <c r="C720" s="47" t="s">
        <v>64</v>
      </c>
      <c r="D720" s="47" t="s">
        <v>9039</v>
      </c>
      <c r="E720" s="47" t="s">
        <v>1740</v>
      </c>
      <c r="F720" s="47" t="s">
        <v>8189</v>
      </c>
      <c r="G720" s="363">
        <v>46161</v>
      </c>
      <c r="H720" s="47" t="s">
        <v>8190</v>
      </c>
      <c r="I720" s="47" t="s">
        <v>8191</v>
      </c>
      <c r="J720" s="47" t="s">
        <v>1740</v>
      </c>
    </row>
    <row r="721" spans="2:10" ht="14.5">
      <c r="B721" s="47" t="s">
        <v>1746</v>
      </c>
      <c r="C721" s="47" t="s">
        <v>64</v>
      </c>
      <c r="D721" s="47" t="s">
        <v>9040</v>
      </c>
      <c r="E721" s="47" t="s">
        <v>1744</v>
      </c>
      <c r="F721" s="47" t="s">
        <v>8189</v>
      </c>
      <c r="G721" s="363">
        <v>46161</v>
      </c>
      <c r="H721" s="47" t="s">
        <v>8190</v>
      </c>
      <c r="I721" s="47" t="s">
        <v>8191</v>
      </c>
      <c r="J721" s="47" t="s">
        <v>1744</v>
      </c>
    </row>
    <row r="722" spans="2:10" ht="14.5">
      <c r="B722" s="47" t="s">
        <v>1748</v>
      </c>
      <c r="C722" s="47" t="s">
        <v>64</v>
      </c>
      <c r="D722" s="47" t="s">
        <v>9041</v>
      </c>
      <c r="E722" s="47" t="s">
        <v>1445</v>
      </c>
      <c r="F722" s="47" t="s">
        <v>8189</v>
      </c>
      <c r="G722" s="363">
        <v>46161</v>
      </c>
      <c r="H722" s="47" t="s">
        <v>8190</v>
      </c>
      <c r="I722" s="47" t="s">
        <v>8191</v>
      </c>
      <c r="J722" s="47" t="s">
        <v>1445</v>
      </c>
    </row>
    <row r="723" spans="2:10" ht="14.5">
      <c r="B723" s="47" t="s">
        <v>929</v>
      </c>
      <c r="C723" s="47" t="s">
        <v>64</v>
      </c>
      <c r="D723" s="47" t="s">
        <v>9042</v>
      </c>
      <c r="E723" s="47" t="s">
        <v>584</v>
      </c>
      <c r="F723" s="47" t="s">
        <v>8189</v>
      </c>
      <c r="G723" s="363">
        <v>46173</v>
      </c>
      <c r="H723" s="47" t="s">
        <v>8190</v>
      </c>
      <c r="I723" s="47" t="s">
        <v>8191</v>
      </c>
      <c r="J723" s="47" t="s">
        <v>584</v>
      </c>
    </row>
    <row r="724" spans="2:10" ht="14.5">
      <c r="B724" s="47" t="s">
        <v>934</v>
      </c>
      <c r="C724" s="47" t="s">
        <v>64</v>
      </c>
      <c r="D724" s="47" t="s">
        <v>9043</v>
      </c>
      <c r="E724" s="47" t="s">
        <v>401</v>
      </c>
      <c r="F724" s="47" t="s">
        <v>8189</v>
      </c>
      <c r="G724" s="363">
        <v>46173</v>
      </c>
      <c r="H724" s="47" t="s">
        <v>8190</v>
      </c>
      <c r="I724" s="47" t="s">
        <v>8191</v>
      </c>
      <c r="J724" s="47" t="s">
        <v>401</v>
      </c>
    </row>
    <row r="725" spans="2:10" ht="14.5">
      <c r="B725" s="47" t="s">
        <v>1751</v>
      </c>
      <c r="C725" s="47" t="s">
        <v>8187</v>
      </c>
      <c r="D725" s="47" t="s">
        <v>9044</v>
      </c>
      <c r="E725" s="47" t="s">
        <v>1749</v>
      </c>
      <c r="F725" s="47" t="s">
        <v>8189</v>
      </c>
      <c r="G725" s="363">
        <v>46163</v>
      </c>
      <c r="H725" s="47" t="s">
        <v>8190</v>
      </c>
      <c r="I725" s="47" t="s">
        <v>8191</v>
      </c>
      <c r="J725" s="47" t="s">
        <v>1749</v>
      </c>
    </row>
    <row r="726" spans="2:10" ht="14.5">
      <c r="B726" s="47" t="s">
        <v>1736</v>
      </c>
      <c r="C726" s="47" t="s">
        <v>64</v>
      </c>
      <c r="D726" s="47" t="s">
        <v>9045</v>
      </c>
      <c r="E726" s="47" t="s">
        <v>1733</v>
      </c>
      <c r="F726" s="47" t="s">
        <v>8189</v>
      </c>
      <c r="G726" s="363">
        <v>46161</v>
      </c>
      <c r="H726" s="47" t="s">
        <v>8190</v>
      </c>
      <c r="I726" s="47" t="s">
        <v>8191</v>
      </c>
      <c r="J726" s="47" t="s">
        <v>1733</v>
      </c>
    </row>
    <row r="727" spans="2:10" ht="14.5">
      <c r="B727" s="47" t="s">
        <v>1738</v>
      </c>
      <c r="C727" s="47" t="s">
        <v>64</v>
      </c>
      <c r="D727" s="47" t="s">
        <v>9046</v>
      </c>
      <c r="E727" s="47" t="s">
        <v>1737</v>
      </c>
      <c r="F727" s="47" t="s">
        <v>8189</v>
      </c>
      <c r="G727" s="363">
        <v>46161</v>
      </c>
      <c r="H727" s="47" t="s">
        <v>8190</v>
      </c>
      <c r="I727" s="47" t="s">
        <v>8191</v>
      </c>
      <c r="J727" s="47" t="s">
        <v>1737</v>
      </c>
    </row>
    <row r="728" spans="2:10" ht="14.5">
      <c r="B728" s="47" t="s">
        <v>1844</v>
      </c>
      <c r="C728" s="47" t="s">
        <v>64</v>
      </c>
      <c r="D728" s="47" t="s">
        <v>8914</v>
      </c>
      <c r="E728" s="47"/>
      <c r="F728" s="47" t="s">
        <v>8189</v>
      </c>
      <c r="G728" s="363">
        <v>46195</v>
      </c>
      <c r="H728" s="47" t="s">
        <v>8190</v>
      </c>
      <c r="I728" s="47" t="s">
        <v>8191</v>
      </c>
      <c r="J728" s="47" t="s">
        <v>9047</v>
      </c>
    </row>
    <row r="729" spans="2:10" ht="14.5">
      <c r="B729" s="47" t="s">
        <v>9048</v>
      </c>
      <c r="C729" s="47" t="s">
        <v>8187</v>
      </c>
      <c r="D729" s="47" t="s">
        <v>8914</v>
      </c>
      <c r="E729" s="47"/>
      <c r="F729" s="47" t="s">
        <v>8189</v>
      </c>
      <c r="G729" s="363">
        <v>46175</v>
      </c>
      <c r="H729" s="47" t="s">
        <v>8337</v>
      </c>
      <c r="I729" s="47" t="s">
        <v>8191</v>
      </c>
      <c r="J729" s="47" t="s">
        <v>2009</v>
      </c>
    </row>
    <row r="730" spans="2:10" ht="14.5">
      <c r="B730" s="47" t="s">
        <v>1850</v>
      </c>
      <c r="C730" s="47" t="s">
        <v>64</v>
      </c>
      <c r="D730" s="47" t="s">
        <v>9049</v>
      </c>
      <c r="E730" s="47" t="s">
        <v>1849</v>
      </c>
      <c r="F730" s="47" t="s">
        <v>8189</v>
      </c>
      <c r="G730" s="363">
        <v>46178</v>
      </c>
      <c r="H730" s="47" t="s">
        <v>8190</v>
      </c>
      <c r="I730" s="47" t="s">
        <v>8191</v>
      </c>
      <c r="J730" s="47" t="s">
        <v>1849</v>
      </c>
    </row>
    <row r="731" spans="2:10" ht="14.5">
      <c r="B731" s="47" t="s">
        <v>936</v>
      </c>
      <c r="C731" s="47" t="s">
        <v>64</v>
      </c>
      <c r="D731" s="47" t="s">
        <v>9050</v>
      </c>
      <c r="E731" s="47" t="s">
        <v>935</v>
      </c>
      <c r="F731" s="47" t="s">
        <v>8189</v>
      </c>
      <c r="G731" s="363">
        <v>46171</v>
      </c>
      <c r="H731" s="47" t="s">
        <v>8190</v>
      </c>
      <c r="I731" s="47" t="s">
        <v>8191</v>
      </c>
      <c r="J731" s="47" t="s">
        <v>935</v>
      </c>
    </row>
    <row r="732" spans="2:10" ht="14.5">
      <c r="B732" s="47" t="s">
        <v>1642</v>
      </c>
      <c r="C732" s="47" t="s">
        <v>64</v>
      </c>
      <c r="D732" s="47" t="s">
        <v>9051</v>
      </c>
      <c r="E732" s="47" t="s">
        <v>1641</v>
      </c>
      <c r="F732" s="47" t="s">
        <v>8189</v>
      </c>
      <c r="G732" s="363">
        <v>46171</v>
      </c>
      <c r="H732" s="47" t="s">
        <v>8190</v>
      </c>
      <c r="I732" s="47" t="s">
        <v>8191</v>
      </c>
      <c r="J732" s="47" t="s">
        <v>1641</v>
      </c>
    </row>
    <row r="733" spans="2:10" ht="14.5">
      <c r="B733" s="47" t="s">
        <v>1840</v>
      </c>
      <c r="C733" s="47" t="s">
        <v>64</v>
      </c>
      <c r="D733" s="47" t="s">
        <v>9052</v>
      </c>
      <c r="E733" s="47" t="s">
        <v>1837</v>
      </c>
      <c r="F733" s="47" t="s">
        <v>8189</v>
      </c>
      <c r="G733" s="363">
        <v>46176</v>
      </c>
      <c r="H733" s="47" t="s">
        <v>8190</v>
      </c>
      <c r="I733" s="47" t="s">
        <v>8191</v>
      </c>
      <c r="J733" s="47" t="s">
        <v>1837</v>
      </c>
    </row>
    <row r="734" spans="2:10" ht="14.5">
      <c r="B734" s="47" t="s">
        <v>1648</v>
      </c>
      <c r="C734" s="47" t="s">
        <v>64</v>
      </c>
      <c r="D734" s="47" t="s">
        <v>9053</v>
      </c>
      <c r="E734" s="47" t="s">
        <v>1647</v>
      </c>
      <c r="F734" s="47" t="s">
        <v>8189</v>
      </c>
      <c r="G734" s="363">
        <v>46160</v>
      </c>
      <c r="H734" s="47" t="s">
        <v>8190</v>
      </c>
      <c r="I734" s="47" t="s">
        <v>8191</v>
      </c>
      <c r="J734" s="47" t="s">
        <v>1647</v>
      </c>
    </row>
    <row r="735" spans="2:10" ht="14.5">
      <c r="B735" s="47" t="s">
        <v>1652</v>
      </c>
      <c r="C735" s="47" t="s">
        <v>64</v>
      </c>
      <c r="D735" s="47" t="s">
        <v>9054</v>
      </c>
      <c r="E735" s="47" t="s">
        <v>1651</v>
      </c>
      <c r="F735" s="47" t="s">
        <v>8189</v>
      </c>
      <c r="G735" s="363">
        <v>46160</v>
      </c>
      <c r="H735" s="47" t="s">
        <v>8190</v>
      </c>
      <c r="I735" s="47" t="s">
        <v>8191</v>
      </c>
      <c r="J735" s="47" t="s">
        <v>1651</v>
      </c>
    </row>
    <row r="736" spans="2:10" ht="14.5">
      <c r="B736" s="47" t="s">
        <v>1833</v>
      </c>
      <c r="C736" s="47" t="s">
        <v>64</v>
      </c>
      <c r="D736" s="47" t="s">
        <v>9055</v>
      </c>
      <c r="E736" s="47" t="s">
        <v>1831</v>
      </c>
      <c r="F736" s="47" t="s">
        <v>8189</v>
      </c>
      <c r="G736" s="363">
        <v>46167</v>
      </c>
      <c r="H736" s="47" t="s">
        <v>8190</v>
      </c>
      <c r="I736" s="47" t="s">
        <v>8191</v>
      </c>
      <c r="J736" s="47" t="s">
        <v>1831</v>
      </c>
    </row>
    <row r="737" spans="2:10" ht="14.5">
      <c r="B737" s="47" t="s">
        <v>1655</v>
      </c>
      <c r="C737" s="47" t="s">
        <v>64</v>
      </c>
      <c r="D737" s="47" t="s">
        <v>9056</v>
      </c>
      <c r="E737" s="47" t="s">
        <v>1653</v>
      </c>
      <c r="F737" s="47" t="s">
        <v>8189</v>
      </c>
      <c r="G737" s="363">
        <v>46160</v>
      </c>
      <c r="H737" s="47" t="s">
        <v>8190</v>
      </c>
      <c r="I737" s="47" t="s">
        <v>8191</v>
      </c>
      <c r="J737" s="47" t="s">
        <v>1653</v>
      </c>
    </row>
    <row r="738" spans="2:10" ht="14.5">
      <c r="B738" s="47" t="s">
        <v>1815</v>
      </c>
      <c r="C738" s="47" t="s">
        <v>8187</v>
      </c>
      <c r="D738" s="47" t="s">
        <v>9057</v>
      </c>
      <c r="E738" s="47" t="s">
        <v>1813</v>
      </c>
      <c r="F738" s="47" t="s">
        <v>8189</v>
      </c>
      <c r="G738" s="363">
        <v>46153</v>
      </c>
      <c r="H738" s="47" t="s">
        <v>8190</v>
      </c>
      <c r="I738" s="47" t="s">
        <v>8191</v>
      </c>
      <c r="J738" s="47" t="s">
        <v>1813</v>
      </c>
    </row>
    <row r="739" spans="2:10" ht="14.5">
      <c r="B739" s="47" t="s">
        <v>1657</v>
      </c>
      <c r="C739" s="47" t="s">
        <v>64</v>
      </c>
      <c r="D739" s="47" t="s">
        <v>9058</v>
      </c>
      <c r="E739" s="47" t="s">
        <v>1656</v>
      </c>
      <c r="F739" s="47" t="s">
        <v>8189</v>
      </c>
      <c r="G739" s="363">
        <v>46164</v>
      </c>
      <c r="H739" s="47" t="s">
        <v>8190</v>
      </c>
      <c r="I739" s="47" t="s">
        <v>8191</v>
      </c>
      <c r="J739" s="47" t="s">
        <v>1656</v>
      </c>
    </row>
    <row r="740" spans="2:10" ht="14.5">
      <c r="B740" s="47" t="s">
        <v>1661</v>
      </c>
      <c r="C740" s="47" t="s">
        <v>64</v>
      </c>
      <c r="D740" s="47" t="s">
        <v>9059</v>
      </c>
      <c r="E740" s="47" t="s">
        <v>1660</v>
      </c>
      <c r="F740" s="47" t="s">
        <v>8189</v>
      </c>
      <c r="G740" s="363">
        <v>46169</v>
      </c>
      <c r="H740" s="47" t="s">
        <v>8190</v>
      </c>
      <c r="I740" s="47" t="s">
        <v>8191</v>
      </c>
      <c r="J740" s="47" t="s">
        <v>1660</v>
      </c>
    </row>
    <row r="741" spans="2:10" ht="14.5">
      <c r="B741" s="47" t="s">
        <v>1671</v>
      </c>
      <c r="C741" s="47" t="s">
        <v>64</v>
      </c>
      <c r="D741" s="47" t="s">
        <v>9060</v>
      </c>
      <c r="E741" s="47" t="s">
        <v>1670</v>
      </c>
      <c r="F741" s="47" t="s">
        <v>8189</v>
      </c>
      <c r="G741" s="363">
        <v>46154</v>
      </c>
      <c r="H741" s="47" t="s">
        <v>8190</v>
      </c>
      <c r="I741" s="47" t="s">
        <v>8191</v>
      </c>
      <c r="J741" s="47" t="s">
        <v>1670</v>
      </c>
    </row>
    <row r="742" spans="2:10" ht="14.5">
      <c r="B742" s="47" t="s">
        <v>1665</v>
      </c>
      <c r="C742" s="47" t="s">
        <v>64</v>
      </c>
      <c r="D742" s="47" t="s">
        <v>9061</v>
      </c>
      <c r="E742" s="47" t="s">
        <v>1664</v>
      </c>
      <c r="F742" s="47" t="s">
        <v>8189</v>
      </c>
      <c r="G742" s="363">
        <v>46154</v>
      </c>
      <c r="H742" s="47" t="s">
        <v>8190</v>
      </c>
      <c r="I742" s="47" t="s">
        <v>8191</v>
      </c>
      <c r="J742" s="47" t="s">
        <v>1664</v>
      </c>
    </row>
    <row r="743" spans="2:10" ht="14.5">
      <c r="B743" s="47" t="s">
        <v>1673</v>
      </c>
      <c r="C743" s="47" t="s">
        <v>64</v>
      </c>
      <c r="D743" s="47" t="s">
        <v>9062</v>
      </c>
      <c r="E743" s="47" t="s">
        <v>1672</v>
      </c>
      <c r="F743" s="47" t="s">
        <v>8189</v>
      </c>
      <c r="G743" s="363">
        <v>46154</v>
      </c>
      <c r="H743" s="47" t="s">
        <v>8190</v>
      </c>
      <c r="I743" s="47" t="s">
        <v>8191</v>
      </c>
      <c r="J743" s="47" t="s">
        <v>1672</v>
      </c>
    </row>
    <row r="744" spans="2:10" ht="14.5">
      <c r="B744" s="47" t="s">
        <v>1691</v>
      </c>
      <c r="C744" s="47" t="s">
        <v>64</v>
      </c>
      <c r="D744" s="47" t="s">
        <v>9063</v>
      </c>
      <c r="E744" s="47" t="s">
        <v>1690</v>
      </c>
      <c r="F744" s="47" t="s">
        <v>8189</v>
      </c>
      <c r="G744" s="363">
        <v>46171</v>
      </c>
      <c r="H744" s="47" t="s">
        <v>8190</v>
      </c>
      <c r="I744" s="47" t="s">
        <v>8191</v>
      </c>
      <c r="J744" s="47" t="s">
        <v>1690</v>
      </c>
    </row>
    <row r="745" spans="2:10" ht="14.5">
      <c r="B745" s="47" t="s">
        <v>1810</v>
      </c>
      <c r="C745" s="47" t="s">
        <v>8187</v>
      </c>
      <c r="D745" s="47" t="s">
        <v>9064</v>
      </c>
      <c r="E745" s="47" t="s">
        <v>1801</v>
      </c>
      <c r="F745" s="47" t="s">
        <v>8189</v>
      </c>
      <c r="G745" s="363">
        <v>46153</v>
      </c>
      <c r="H745" s="47" t="s">
        <v>8190</v>
      </c>
      <c r="I745" s="47" t="s">
        <v>8191</v>
      </c>
      <c r="J745" s="47" t="s">
        <v>1801</v>
      </c>
    </row>
    <row r="746" spans="2:10" ht="14.5">
      <c r="B746" s="47" t="s">
        <v>1694</v>
      </c>
      <c r="C746" s="47" t="s">
        <v>64</v>
      </c>
      <c r="D746" s="47" t="s">
        <v>9065</v>
      </c>
      <c r="E746" s="47" t="s">
        <v>1679</v>
      </c>
      <c r="F746" s="47" t="s">
        <v>8189</v>
      </c>
      <c r="G746" s="363">
        <v>46171</v>
      </c>
      <c r="H746" s="47" t="s">
        <v>8190</v>
      </c>
      <c r="I746" s="47" t="s">
        <v>8191</v>
      </c>
      <c r="J746" s="47" t="s">
        <v>1679</v>
      </c>
    </row>
    <row r="747" spans="2:10" ht="14.5">
      <c r="B747" s="47" t="s">
        <v>1698</v>
      </c>
      <c r="C747" s="47" t="s">
        <v>64</v>
      </c>
      <c r="D747" s="47" t="s">
        <v>9066</v>
      </c>
      <c r="E747" s="47" t="s">
        <v>1697</v>
      </c>
      <c r="F747" s="47" t="s">
        <v>8189</v>
      </c>
      <c r="G747" s="363">
        <v>46171</v>
      </c>
      <c r="H747" s="47" t="s">
        <v>8190</v>
      </c>
      <c r="I747" s="47" t="s">
        <v>8191</v>
      </c>
      <c r="J747" s="47" t="s">
        <v>1697</v>
      </c>
    </row>
    <row r="748" spans="2:10" ht="14.5">
      <c r="B748" s="47" t="s">
        <v>1703</v>
      </c>
      <c r="C748" s="47" t="s">
        <v>64</v>
      </c>
      <c r="D748" s="47" t="s">
        <v>9067</v>
      </c>
      <c r="E748" s="47" t="s">
        <v>1701</v>
      </c>
      <c r="F748" s="47" t="s">
        <v>8189</v>
      </c>
      <c r="G748" s="363">
        <v>46171</v>
      </c>
      <c r="H748" s="47" t="s">
        <v>8190</v>
      </c>
      <c r="I748" s="47" t="s">
        <v>8191</v>
      </c>
      <c r="J748" s="47" t="s">
        <v>1701</v>
      </c>
    </row>
    <row r="749" spans="2:10" ht="14.5">
      <c r="B749" s="47" t="s">
        <v>1705</v>
      </c>
      <c r="C749" s="47" t="s">
        <v>64</v>
      </c>
      <c r="D749" s="47" t="s">
        <v>9068</v>
      </c>
      <c r="E749" s="47" t="s">
        <v>1704</v>
      </c>
      <c r="F749" s="47" t="s">
        <v>8189</v>
      </c>
      <c r="G749" s="363">
        <v>46171</v>
      </c>
      <c r="H749" s="47" t="s">
        <v>8190</v>
      </c>
      <c r="I749" s="47" t="s">
        <v>8191</v>
      </c>
      <c r="J749" s="47" t="s">
        <v>1704</v>
      </c>
    </row>
    <row r="750" spans="2:10" ht="14.5">
      <c r="B750" s="47" t="s">
        <v>1708</v>
      </c>
      <c r="C750" s="47" t="s">
        <v>64</v>
      </c>
      <c r="D750" s="47" t="s">
        <v>9069</v>
      </c>
      <c r="E750" s="47" t="s">
        <v>1706</v>
      </c>
      <c r="F750" s="47" t="s">
        <v>8189</v>
      </c>
      <c r="G750" s="363">
        <v>46169</v>
      </c>
      <c r="H750" s="47" t="s">
        <v>8190</v>
      </c>
      <c r="I750" s="47" t="s">
        <v>8191</v>
      </c>
      <c r="J750" s="47" t="s">
        <v>1706</v>
      </c>
    </row>
    <row r="751" spans="2:10" ht="14.5">
      <c r="B751" s="47" t="s">
        <v>1800</v>
      </c>
      <c r="C751" s="47" t="s">
        <v>64</v>
      </c>
      <c r="D751" s="47" t="s">
        <v>9070</v>
      </c>
      <c r="E751" s="47" t="s">
        <v>1799</v>
      </c>
      <c r="F751" s="47" t="s">
        <v>8189</v>
      </c>
      <c r="G751" s="363">
        <v>46156</v>
      </c>
      <c r="H751" s="47" t="s">
        <v>8190</v>
      </c>
      <c r="I751" s="47" t="s">
        <v>8191</v>
      </c>
      <c r="J751" s="47" t="s">
        <v>1799</v>
      </c>
    </row>
    <row r="752" spans="2:10" ht="14.5">
      <c r="B752" s="47" t="s">
        <v>1710</v>
      </c>
      <c r="C752" s="47" t="s">
        <v>64</v>
      </c>
      <c r="D752" s="47" t="s">
        <v>9071</v>
      </c>
      <c r="E752" s="47" t="s">
        <v>1709</v>
      </c>
      <c r="F752" s="47" t="s">
        <v>8189</v>
      </c>
      <c r="G752" s="363">
        <v>46171</v>
      </c>
      <c r="H752" s="47" t="s">
        <v>8190</v>
      </c>
      <c r="I752" s="47" t="s">
        <v>8191</v>
      </c>
      <c r="J752" s="47" t="s">
        <v>1709</v>
      </c>
    </row>
    <row r="753" spans="2:10" ht="14.5">
      <c r="B753" s="47" t="s">
        <v>1795</v>
      </c>
      <c r="C753" s="47" t="s">
        <v>64</v>
      </c>
      <c r="D753" s="47" t="s">
        <v>9072</v>
      </c>
      <c r="E753" s="47" t="s">
        <v>1793</v>
      </c>
      <c r="F753" s="47" t="s">
        <v>8189</v>
      </c>
      <c r="G753" s="363">
        <v>46164</v>
      </c>
      <c r="H753" s="47" t="s">
        <v>8190</v>
      </c>
      <c r="I753" s="47" t="s">
        <v>8191</v>
      </c>
      <c r="J753" s="47" t="s">
        <v>1793</v>
      </c>
    </row>
    <row r="754" spans="2:10" ht="14.5">
      <c r="B754" s="47" t="s">
        <v>1714</v>
      </c>
      <c r="C754" s="47" t="s">
        <v>64</v>
      </c>
      <c r="D754" s="47" t="s">
        <v>9073</v>
      </c>
      <c r="E754" s="47" t="s">
        <v>1713</v>
      </c>
      <c r="F754" s="47" t="s">
        <v>8189</v>
      </c>
      <c r="G754" s="363">
        <v>46171</v>
      </c>
      <c r="H754" s="47" t="s">
        <v>8190</v>
      </c>
      <c r="I754" s="47" t="s">
        <v>8191</v>
      </c>
      <c r="J754" s="47" t="s">
        <v>1713</v>
      </c>
    </row>
    <row r="755" spans="2:10" ht="14.5">
      <c r="B755" s="47" t="s">
        <v>1716</v>
      </c>
      <c r="C755" s="47" t="s">
        <v>64</v>
      </c>
      <c r="D755" s="47" t="s">
        <v>9074</v>
      </c>
      <c r="E755" s="47" t="s">
        <v>1715</v>
      </c>
      <c r="F755" s="47" t="s">
        <v>8189</v>
      </c>
      <c r="G755" s="363">
        <v>46171</v>
      </c>
      <c r="H755" s="47" t="s">
        <v>8190</v>
      </c>
      <c r="I755" s="47" t="s">
        <v>8191</v>
      </c>
      <c r="J755" s="47" t="s">
        <v>1715</v>
      </c>
    </row>
    <row r="756" spans="2:10" ht="14.5">
      <c r="B756" s="47" t="s">
        <v>1789</v>
      </c>
      <c r="C756" s="47" t="s">
        <v>64</v>
      </c>
      <c r="D756" s="47" t="s">
        <v>9075</v>
      </c>
      <c r="E756" s="47" t="s">
        <v>1787</v>
      </c>
      <c r="F756" s="47" t="s">
        <v>8189</v>
      </c>
      <c r="G756" s="363">
        <v>46156</v>
      </c>
      <c r="H756" s="47" t="s">
        <v>8190</v>
      </c>
      <c r="I756" s="47" t="s">
        <v>8191</v>
      </c>
      <c r="J756" s="47" t="s">
        <v>1787</v>
      </c>
    </row>
    <row r="757" spans="2:10" ht="14.5">
      <c r="B757" s="47" t="s">
        <v>1718</v>
      </c>
      <c r="C757" s="47" t="s">
        <v>64</v>
      </c>
      <c r="D757" s="47" t="s">
        <v>9076</v>
      </c>
      <c r="E757" s="47" t="s">
        <v>1717</v>
      </c>
      <c r="F757" s="47" t="s">
        <v>8189</v>
      </c>
      <c r="G757" s="363">
        <v>46171</v>
      </c>
      <c r="H757" s="47" t="s">
        <v>8190</v>
      </c>
      <c r="I757" s="47" t="s">
        <v>8191</v>
      </c>
      <c r="J757" s="47" t="s">
        <v>1717</v>
      </c>
    </row>
    <row r="758" spans="2:10" ht="14.5">
      <c r="B758" s="47" t="s">
        <v>1769</v>
      </c>
      <c r="C758" s="47" t="s">
        <v>64</v>
      </c>
      <c r="D758" s="47" t="s">
        <v>9077</v>
      </c>
      <c r="E758" s="47" t="s">
        <v>1766</v>
      </c>
      <c r="F758" s="47" t="s">
        <v>8189</v>
      </c>
      <c r="G758" s="363">
        <v>46160</v>
      </c>
      <c r="H758" s="47" t="s">
        <v>8190</v>
      </c>
      <c r="I758" s="47" t="s">
        <v>8191</v>
      </c>
      <c r="J758" s="47" t="s">
        <v>1766</v>
      </c>
    </row>
    <row r="759" spans="2:10" ht="14.5">
      <c r="B759" s="47" t="s">
        <v>1786</v>
      </c>
      <c r="C759" s="47" t="s">
        <v>64</v>
      </c>
      <c r="D759" s="47" t="s">
        <v>9078</v>
      </c>
      <c r="E759" s="47" t="s">
        <v>1785</v>
      </c>
      <c r="F759" s="47" t="s">
        <v>8189</v>
      </c>
      <c r="G759" s="363">
        <v>46164</v>
      </c>
      <c r="H759" s="47" t="s">
        <v>8190</v>
      </c>
      <c r="I759" s="47" t="s">
        <v>8191</v>
      </c>
      <c r="J759" s="47" t="s">
        <v>1785</v>
      </c>
    </row>
    <row r="760" spans="2:10" ht="14.5">
      <c r="B760" s="47" t="s">
        <v>1774</v>
      </c>
      <c r="C760" s="47" t="s">
        <v>64</v>
      </c>
      <c r="D760" s="47" t="s">
        <v>9079</v>
      </c>
      <c r="E760" s="47" t="s">
        <v>1772</v>
      </c>
      <c r="F760" s="47" t="s">
        <v>8189</v>
      </c>
      <c r="G760" s="363">
        <v>46160</v>
      </c>
      <c r="H760" s="47" t="s">
        <v>8190</v>
      </c>
      <c r="I760" s="47" t="s">
        <v>8191</v>
      </c>
      <c r="J760" s="47" t="s">
        <v>1772</v>
      </c>
    </row>
    <row r="761" spans="2:10" ht="14.5">
      <c r="B761" s="47" t="s">
        <v>1781</v>
      </c>
      <c r="C761" s="47" t="s">
        <v>64</v>
      </c>
      <c r="D761" s="47" t="s">
        <v>9080</v>
      </c>
      <c r="E761" s="47" t="s">
        <v>1779</v>
      </c>
      <c r="F761" s="47" t="s">
        <v>8189</v>
      </c>
      <c r="G761" s="363">
        <v>46164</v>
      </c>
      <c r="H761" s="47" t="s">
        <v>8190</v>
      </c>
      <c r="I761" s="47" t="s">
        <v>8191</v>
      </c>
      <c r="J761" s="47" t="s">
        <v>1779</v>
      </c>
    </row>
    <row r="762" spans="2:10" ht="14.5">
      <c r="B762" s="47" t="s">
        <v>1689</v>
      </c>
      <c r="C762" s="47" t="s">
        <v>64</v>
      </c>
      <c r="D762" s="47" t="s">
        <v>9081</v>
      </c>
      <c r="E762" s="47" t="s">
        <v>1688</v>
      </c>
      <c r="F762" s="47" t="s">
        <v>8189</v>
      </c>
      <c r="G762" s="363">
        <v>46156</v>
      </c>
      <c r="H762" s="47" t="s">
        <v>8190</v>
      </c>
      <c r="I762" s="47" t="s">
        <v>8191</v>
      </c>
      <c r="J762" s="47" t="s">
        <v>1688</v>
      </c>
    </row>
    <row r="763" spans="2:10" ht="14.5">
      <c r="B763" s="47" t="s">
        <v>1683</v>
      </c>
      <c r="C763" s="47" t="s">
        <v>64</v>
      </c>
      <c r="D763" s="47" t="s">
        <v>9082</v>
      </c>
      <c r="E763" s="47" t="s">
        <v>1678</v>
      </c>
      <c r="F763" s="47" t="s">
        <v>8189</v>
      </c>
      <c r="G763" s="363">
        <v>46156</v>
      </c>
      <c r="H763" s="47" t="s">
        <v>8190</v>
      </c>
      <c r="I763" s="47" t="s">
        <v>8191</v>
      </c>
      <c r="J763" s="47" t="s">
        <v>1678</v>
      </c>
    </row>
    <row r="764" spans="2:10" ht="14.5">
      <c r="B764" s="47" t="s">
        <v>1589</v>
      </c>
      <c r="C764" s="47" t="s">
        <v>64</v>
      </c>
      <c r="D764" s="47" t="s">
        <v>9083</v>
      </c>
      <c r="E764" s="47" t="s">
        <v>1587</v>
      </c>
      <c r="F764" s="47" t="s">
        <v>8189</v>
      </c>
      <c r="G764" s="363">
        <v>46163</v>
      </c>
      <c r="H764" s="47" t="s">
        <v>8190</v>
      </c>
      <c r="I764" s="47" t="s">
        <v>8191</v>
      </c>
      <c r="J764" s="47" t="s">
        <v>1587</v>
      </c>
    </row>
    <row r="765" spans="2:10" ht="14.5">
      <c r="B765" s="47" t="s">
        <v>1416</v>
      </c>
      <c r="C765" s="47" t="s">
        <v>8187</v>
      </c>
      <c r="D765" s="47" t="s">
        <v>9084</v>
      </c>
      <c r="E765" s="47" t="s">
        <v>1415</v>
      </c>
      <c r="F765" s="47" t="s">
        <v>8189</v>
      </c>
      <c r="G765" s="363">
        <v>46168</v>
      </c>
      <c r="H765" s="47" t="s">
        <v>8190</v>
      </c>
      <c r="I765" s="47" t="s">
        <v>8191</v>
      </c>
      <c r="J765" s="47" t="s">
        <v>1415</v>
      </c>
    </row>
    <row r="766" spans="2:10" ht="14.5">
      <c r="B766" s="47" t="s">
        <v>1422</v>
      </c>
      <c r="C766" s="47" t="s">
        <v>8187</v>
      </c>
      <c r="D766" s="47" t="s">
        <v>9085</v>
      </c>
      <c r="E766" s="47" t="s">
        <v>1421</v>
      </c>
      <c r="F766" s="47" t="s">
        <v>8189</v>
      </c>
      <c r="G766" s="363">
        <v>46168</v>
      </c>
      <c r="H766" s="47" t="s">
        <v>8190</v>
      </c>
      <c r="I766" s="47" t="s">
        <v>8191</v>
      </c>
      <c r="J766" s="47" t="s">
        <v>1421</v>
      </c>
    </row>
    <row r="767" spans="2:10" ht="14.5">
      <c r="B767" s="47" t="s">
        <v>1485</v>
      </c>
      <c r="C767" s="47" t="s">
        <v>64</v>
      </c>
      <c r="D767" s="47" t="s">
        <v>9086</v>
      </c>
      <c r="E767" s="47" t="s">
        <v>1481</v>
      </c>
      <c r="F767" s="47" t="s">
        <v>8189</v>
      </c>
      <c r="G767" s="363">
        <v>46169</v>
      </c>
      <c r="H767" s="47" t="s">
        <v>8190</v>
      </c>
      <c r="I767" s="47" t="s">
        <v>8191</v>
      </c>
      <c r="J767" s="47" t="s">
        <v>1481</v>
      </c>
    </row>
    <row r="768" spans="2:10" ht="14.5">
      <c r="B768" s="47" t="s">
        <v>1578</v>
      </c>
      <c r="C768" s="47" t="s">
        <v>64</v>
      </c>
      <c r="D768" s="47" t="s">
        <v>9087</v>
      </c>
      <c r="E768" s="47" t="s">
        <v>1576</v>
      </c>
      <c r="F768" s="47" t="s">
        <v>8189</v>
      </c>
      <c r="G768" s="363">
        <v>46176</v>
      </c>
      <c r="H768" s="47" t="s">
        <v>8190</v>
      </c>
      <c r="I768" s="47" t="s">
        <v>8191</v>
      </c>
      <c r="J768" s="47" t="s">
        <v>1576</v>
      </c>
    </row>
    <row r="769" spans="2:10" ht="14.5">
      <c r="B769" s="47" t="s">
        <v>1586</v>
      </c>
      <c r="C769" s="47" t="s">
        <v>64</v>
      </c>
      <c r="D769" s="47" t="s">
        <v>9088</v>
      </c>
      <c r="E769" s="47" t="s">
        <v>1582</v>
      </c>
      <c r="F769" s="47" t="s">
        <v>8189</v>
      </c>
      <c r="G769" s="363">
        <v>46176</v>
      </c>
      <c r="H769" s="47" t="s">
        <v>8190</v>
      </c>
      <c r="I769" s="47" t="s">
        <v>8191</v>
      </c>
      <c r="J769" s="47" t="s">
        <v>1582</v>
      </c>
    </row>
    <row r="770" spans="2:10" ht="14.5">
      <c r="B770" s="47" t="s">
        <v>1640</v>
      </c>
      <c r="C770" s="47" t="s">
        <v>64</v>
      </c>
      <c r="D770" s="47" t="s">
        <v>9089</v>
      </c>
      <c r="E770" s="47" t="s">
        <v>1639</v>
      </c>
      <c r="F770" s="47" t="s">
        <v>8189</v>
      </c>
      <c r="G770" s="363">
        <v>46171</v>
      </c>
      <c r="H770" s="47" t="s">
        <v>8190</v>
      </c>
      <c r="I770" s="47" t="s">
        <v>8191</v>
      </c>
      <c r="J770" s="47" t="s">
        <v>1639</v>
      </c>
    </row>
    <row r="771" spans="2:10" ht="14.5">
      <c r="B771" s="47" t="s">
        <v>924</v>
      </c>
      <c r="C771" s="47" t="s">
        <v>64</v>
      </c>
      <c r="D771" s="47" t="s">
        <v>9090</v>
      </c>
      <c r="E771" s="47" t="s">
        <v>921</v>
      </c>
      <c r="F771" s="47" t="s">
        <v>8189</v>
      </c>
      <c r="G771" s="363">
        <v>46171</v>
      </c>
      <c r="H771" s="47" t="s">
        <v>8190</v>
      </c>
      <c r="I771" s="47" t="s">
        <v>8191</v>
      </c>
      <c r="J771" s="47" t="s">
        <v>921</v>
      </c>
    </row>
    <row r="772" spans="2:10" ht="14.5">
      <c r="B772" s="47" t="s">
        <v>1524</v>
      </c>
      <c r="C772" s="47" t="s">
        <v>64</v>
      </c>
      <c r="D772" s="47" t="s">
        <v>9091</v>
      </c>
      <c r="E772" s="47" t="s">
        <v>1518</v>
      </c>
      <c r="F772" s="47" t="s">
        <v>8189</v>
      </c>
      <c r="G772" s="363">
        <v>46176</v>
      </c>
      <c r="H772" s="47" t="s">
        <v>8190</v>
      </c>
      <c r="I772" s="47" t="s">
        <v>8191</v>
      </c>
      <c r="J772" s="47" t="s">
        <v>1518</v>
      </c>
    </row>
    <row r="773" spans="2:10" ht="14.5">
      <c r="B773" s="47" t="s">
        <v>1535</v>
      </c>
      <c r="C773" s="47" t="s">
        <v>64</v>
      </c>
      <c r="D773" s="47" t="s">
        <v>9092</v>
      </c>
      <c r="E773" s="47" t="s">
        <v>1530</v>
      </c>
      <c r="F773" s="47" t="s">
        <v>8189</v>
      </c>
      <c r="G773" s="363">
        <v>46175</v>
      </c>
      <c r="H773" s="47" t="s">
        <v>8190</v>
      </c>
      <c r="I773" s="47" t="s">
        <v>8191</v>
      </c>
      <c r="J773" s="47" t="s">
        <v>1530</v>
      </c>
    </row>
    <row r="774" spans="2:10" ht="14.5">
      <c r="B774" s="47" t="s">
        <v>1636</v>
      </c>
      <c r="C774" s="47" t="s">
        <v>64</v>
      </c>
      <c r="D774" s="47" t="s">
        <v>9093</v>
      </c>
      <c r="E774" s="47" t="s">
        <v>1634</v>
      </c>
      <c r="F774" s="47" t="s">
        <v>8189</v>
      </c>
      <c r="G774" s="363">
        <v>46154</v>
      </c>
      <c r="H774" s="47" t="s">
        <v>8190</v>
      </c>
      <c r="I774" s="47" t="s">
        <v>8191</v>
      </c>
      <c r="J774" s="47" t="s">
        <v>1634</v>
      </c>
    </row>
    <row r="775" spans="2:10" ht="14.5">
      <c r="B775" s="47" t="s">
        <v>1638</v>
      </c>
      <c r="C775" s="47" t="s">
        <v>64</v>
      </c>
      <c r="D775" s="47" t="s">
        <v>9094</v>
      </c>
      <c r="E775" s="47" t="s">
        <v>1637</v>
      </c>
      <c r="F775" s="47" t="s">
        <v>8189</v>
      </c>
      <c r="G775" s="363">
        <v>46154</v>
      </c>
      <c r="H775" s="47" t="s">
        <v>8190</v>
      </c>
      <c r="I775" s="47" t="s">
        <v>8191</v>
      </c>
      <c r="J775" s="47" t="s">
        <v>1637</v>
      </c>
    </row>
    <row r="776" spans="2:10" ht="14.5">
      <c r="B776" s="47" t="s">
        <v>1630</v>
      </c>
      <c r="C776" s="47" t="s">
        <v>64</v>
      </c>
      <c r="D776" s="47" t="s">
        <v>9095</v>
      </c>
      <c r="E776" s="47" t="s">
        <v>1626</v>
      </c>
      <c r="F776" s="47" t="s">
        <v>8189</v>
      </c>
      <c r="G776" s="363">
        <v>46154</v>
      </c>
      <c r="H776" s="47" t="s">
        <v>8190</v>
      </c>
      <c r="I776" s="47" t="s">
        <v>8191</v>
      </c>
      <c r="J776" s="47" t="s">
        <v>1626</v>
      </c>
    </row>
    <row r="777" spans="2:10" ht="14.5">
      <c r="B777" s="47" t="s">
        <v>1555</v>
      </c>
      <c r="C777" s="47" t="s">
        <v>64</v>
      </c>
      <c r="D777" s="47" t="s">
        <v>9096</v>
      </c>
      <c r="E777" s="47" t="s">
        <v>1554</v>
      </c>
      <c r="F777" s="47" t="s">
        <v>8189</v>
      </c>
      <c r="G777" s="363">
        <v>46169</v>
      </c>
      <c r="H777" s="47" t="s">
        <v>8190</v>
      </c>
      <c r="I777" s="47" t="s">
        <v>8191</v>
      </c>
      <c r="J777" s="47" t="s">
        <v>1554</v>
      </c>
    </row>
    <row r="778" spans="2:10" ht="14.5">
      <c r="B778" s="47" t="s">
        <v>1623</v>
      </c>
      <c r="C778" s="47" t="s">
        <v>64</v>
      </c>
      <c r="D778" s="47" t="s">
        <v>9097</v>
      </c>
      <c r="E778" s="47" t="s">
        <v>1621</v>
      </c>
      <c r="F778" s="47" t="s">
        <v>8189</v>
      </c>
      <c r="G778" s="363">
        <v>46164</v>
      </c>
      <c r="H778" s="47" t="s">
        <v>8190</v>
      </c>
      <c r="I778" s="47" t="s">
        <v>8191</v>
      </c>
      <c r="J778" s="47" t="s">
        <v>1621</v>
      </c>
    </row>
    <row r="779" spans="2:10" ht="14.5">
      <c r="B779" s="47" t="s">
        <v>1572</v>
      </c>
      <c r="C779" s="47" t="s">
        <v>64</v>
      </c>
      <c r="D779" s="47" t="s">
        <v>9098</v>
      </c>
      <c r="E779" s="47" t="s">
        <v>1565</v>
      </c>
      <c r="F779" s="47" t="s">
        <v>8189</v>
      </c>
      <c r="G779" s="363">
        <v>46176</v>
      </c>
      <c r="H779" s="47" t="s">
        <v>8190</v>
      </c>
      <c r="I779" s="47" t="s">
        <v>8191</v>
      </c>
      <c r="J779" s="47" t="s">
        <v>1565</v>
      </c>
    </row>
    <row r="780" spans="2:10" ht="14.5">
      <c r="B780" s="47" t="s">
        <v>1560</v>
      </c>
      <c r="C780" s="47" t="s">
        <v>64</v>
      </c>
      <c r="D780" s="47" t="s">
        <v>9099</v>
      </c>
      <c r="E780" s="47" t="s">
        <v>1558</v>
      </c>
      <c r="F780" s="47" t="s">
        <v>8189</v>
      </c>
      <c r="G780" s="363">
        <v>46171</v>
      </c>
      <c r="H780" s="47" t="s">
        <v>8190</v>
      </c>
      <c r="I780" s="47" t="s">
        <v>8191</v>
      </c>
      <c r="J780" s="47" t="s">
        <v>1558</v>
      </c>
    </row>
    <row r="781" spans="2:10" ht="14.5">
      <c r="B781" s="47" t="s">
        <v>1595</v>
      </c>
      <c r="C781" s="47" t="s">
        <v>64</v>
      </c>
      <c r="D781" s="47" t="s">
        <v>9100</v>
      </c>
      <c r="E781" s="47" t="s">
        <v>1592</v>
      </c>
      <c r="F781" s="47" t="s">
        <v>8189</v>
      </c>
      <c r="G781" s="363">
        <v>46158</v>
      </c>
      <c r="H781" s="47" t="s">
        <v>8190</v>
      </c>
      <c r="I781" s="47" t="s">
        <v>8191</v>
      </c>
      <c r="J781" s="47" t="s">
        <v>1592</v>
      </c>
    </row>
    <row r="782" spans="2:10" ht="14.5">
      <c r="B782" s="47" t="s">
        <v>9101</v>
      </c>
      <c r="C782" s="47" t="s">
        <v>64</v>
      </c>
      <c r="D782" s="47" t="s">
        <v>9010</v>
      </c>
      <c r="E782" s="47" t="s">
        <v>9102</v>
      </c>
      <c r="F782" s="47" t="s">
        <v>8189</v>
      </c>
      <c r="G782" s="363">
        <v>46161</v>
      </c>
      <c r="H782" s="47" t="s">
        <v>8337</v>
      </c>
      <c r="I782" s="47" t="s">
        <v>8191</v>
      </c>
      <c r="J782" s="47" t="s">
        <v>9102</v>
      </c>
    </row>
    <row r="783" spans="2:10" ht="14.5">
      <c r="B783" s="47" t="s">
        <v>1611</v>
      </c>
      <c r="C783" s="47" t="s">
        <v>64</v>
      </c>
      <c r="D783" s="47" t="s">
        <v>9103</v>
      </c>
      <c r="E783" s="47" t="s">
        <v>1610</v>
      </c>
      <c r="F783" s="47" t="s">
        <v>8189</v>
      </c>
      <c r="G783" s="363">
        <v>46164</v>
      </c>
      <c r="H783" s="47" t="s">
        <v>8190</v>
      </c>
      <c r="I783" s="47" t="s">
        <v>8191</v>
      </c>
      <c r="J783" s="47" t="s">
        <v>1610</v>
      </c>
    </row>
    <row r="784" spans="2:10" ht="14.5">
      <c r="B784" s="47" t="s">
        <v>1609</v>
      </c>
      <c r="C784" s="47" t="s">
        <v>64</v>
      </c>
      <c r="D784" s="47" t="s">
        <v>9104</v>
      </c>
      <c r="E784" s="47" t="s">
        <v>1607</v>
      </c>
      <c r="F784" s="47" t="s">
        <v>8189</v>
      </c>
      <c r="G784" s="363">
        <v>46158</v>
      </c>
      <c r="H784" s="47" t="s">
        <v>8190</v>
      </c>
      <c r="I784" s="47" t="s">
        <v>8191</v>
      </c>
      <c r="J784" s="47" t="s">
        <v>1607</v>
      </c>
    </row>
    <row r="785" spans="2:10" ht="14.5">
      <c r="B785" s="47" t="s">
        <v>1403</v>
      </c>
      <c r="C785" s="47" t="s">
        <v>8187</v>
      </c>
      <c r="D785" s="47" t="s">
        <v>9105</v>
      </c>
      <c r="E785" s="47" t="s">
        <v>1399</v>
      </c>
      <c r="F785" s="47" t="s">
        <v>8189</v>
      </c>
      <c r="G785" s="363">
        <v>46160</v>
      </c>
      <c r="H785" s="47" t="s">
        <v>8190</v>
      </c>
      <c r="I785" s="47" t="s">
        <v>8191</v>
      </c>
      <c r="J785" s="47" t="s">
        <v>1399</v>
      </c>
    </row>
    <row r="786" spans="2:10" ht="14.5">
      <c r="B786" s="47" t="s">
        <v>1539</v>
      </c>
      <c r="C786" s="47" t="s">
        <v>8187</v>
      </c>
      <c r="D786" s="47" t="s">
        <v>9106</v>
      </c>
      <c r="E786" s="47" t="s">
        <v>1536</v>
      </c>
      <c r="F786" s="47" t="s">
        <v>8189</v>
      </c>
      <c r="G786" s="363">
        <v>46178</v>
      </c>
      <c r="H786" s="47" t="s">
        <v>8190</v>
      </c>
      <c r="I786" s="47" t="s">
        <v>8191</v>
      </c>
      <c r="J786" s="47" t="s">
        <v>1536</v>
      </c>
    </row>
    <row r="787" spans="2:10" ht="14.5">
      <c r="B787" s="47" t="s">
        <v>1411</v>
      </c>
      <c r="C787" s="47" t="s">
        <v>8187</v>
      </c>
      <c r="D787" s="47" t="s">
        <v>9107</v>
      </c>
      <c r="E787" s="47" t="s">
        <v>1409</v>
      </c>
      <c r="F787" s="47" t="s">
        <v>8189</v>
      </c>
      <c r="G787" s="363">
        <v>46160</v>
      </c>
      <c r="H787" s="47" t="s">
        <v>8190</v>
      </c>
      <c r="I787" s="47" t="s">
        <v>8191</v>
      </c>
      <c r="J787" s="47" t="s">
        <v>1409</v>
      </c>
    </row>
    <row r="788" spans="2:10" ht="14.5">
      <c r="B788" s="47" t="s">
        <v>1545</v>
      </c>
      <c r="C788" s="47" t="s">
        <v>8187</v>
      </c>
      <c r="D788" s="47" t="s">
        <v>9108</v>
      </c>
      <c r="E788" s="47" t="s">
        <v>1543</v>
      </c>
      <c r="F788" s="47" t="s">
        <v>8189</v>
      </c>
      <c r="G788" s="363">
        <v>46178</v>
      </c>
      <c r="H788" s="47" t="s">
        <v>8190</v>
      </c>
      <c r="I788" s="47" t="s">
        <v>8191</v>
      </c>
      <c r="J788" s="47" t="s">
        <v>1543</v>
      </c>
    </row>
    <row r="789" spans="2:10" ht="14.5">
      <c r="B789" s="47" t="s">
        <v>1549</v>
      </c>
      <c r="C789" s="47" t="s">
        <v>8187</v>
      </c>
      <c r="D789" s="47" t="s">
        <v>9109</v>
      </c>
      <c r="E789" s="47" t="s">
        <v>1547</v>
      </c>
      <c r="F789" s="47" t="s">
        <v>8189</v>
      </c>
      <c r="G789" s="363">
        <v>46178</v>
      </c>
      <c r="H789" s="47" t="s">
        <v>8190</v>
      </c>
      <c r="I789" s="47" t="s">
        <v>8191</v>
      </c>
      <c r="J789" s="47" t="s">
        <v>1547</v>
      </c>
    </row>
    <row r="790" spans="2:10" ht="14.5">
      <c r="B790" s="47" t="s">
        <v>1616</v>
      </c>
      <c r="C790" s="47" t="s">
        <v>8187</v>
      </c>
      <c r="D790" s="47" t="s">
        <v>9110</v>
      </c>
      <c r="E790" s="47" t="s">
        <v>1614</v>
      </c>
      <c r="F790" s="47" t="s">
        <v>8189</v>
      </c>
      <c r="G790" s="363">
        <v>46182</v>
      </c>
      <c r="H790" s="47" t="s">
        <v>8190</v>
      </c>
      <c r="I790" s="47" t="s">
        <v>8191</v>
      </c>
      <c r="J790" s="47" t="s">
        <v>1614</v>
      </c>
    </row>
    <row r="791" spans="2:10" ht="14.5">
      <c r="B791" s="47" t="s">
        <v>1431</v>
      </c>
      <c r="C791" s="47" t="s">
        <v>64</v>
      </c>
      <c r="D791" s="47" t="s">
        <v>9111</v>
      </c>
      <c r="E791" s="47" t="s">
        <v>1426</v>
      </c>
      <c r="F791" s="47" t="s">
        <v>8189</v>
      </c>
      <c r="G791" s="363">
        <v>46153</v>
      </c>
      <c r="H791" s="47" t="s">
        <v>8190</v>
      </c>
      <c r="I791" s="47" t="s">
        <v>8191</v>
      </c>
      <c r="J791" s="47" t="s">
        <v>1426</v>
      </c>
    </row>
    <row r="792" spans="2:10" ht="14.5">
      <c r="B792" s="47" t="s">
        <v>1436</v>
      </c>
      <c r="C792" s="47" t="s">
        <v>64</v>
      </c>
      <c r="D792" s="47" t="s">
        <v>9112</v>
      </c>
      <c r="E792" s="47" t="s">
        <v>1435</v>
      </c>
      <c r="F792" s="47" t="s">
        <v>8189</v>
      </c>
      <c r="G792" s="363">
        <v>46153</v>
      </c>
      <c r="H792" s="47" t="s">
        <v>8190</v>
      </c>
      <c r="I792" s="47" t="s">
        <v>8191</v>
      </c>
      <c r="J792" s="47" t="s">
        <v>1435</v>
      </c>
    </row>
    <row r="793" spans="2:10" ht="14.5">
      <c r="B793" s="47" t="s">
        <v>1438</v>
      </c>
      <c r="C793" s="47" t="s">
        <v>64</v>
      </c>
      <c r="D793" s="47" t="s">
        <v>9113</v>
      </c>
      <c r="E793" s="47" t="s">
        <v>1437</v>
      </c>
      <c r="F793" s="47" t="s">
        <v>8189</v>
      </c>
      <c r="G793" s="363">
        <v>46153</v>
      </c>
      <c r="H793" s="47" t="s">
        <v>8190</v>
      </c>
      <c r="I793" s="47" t="s">
        <v>8191</v>
      </c>
      <c r="J793" s="47" t="s">
        <v>1437</v>
      </c>
    </row>
    <row r="794" spans="2:10" ht="14.5">
      <c r="B794" s="47" t="s">
        <v>1441</v>
      </c>
      <c r="C794" s="47" t="s">
        <v>64</v>
      </c>
      <c r="D794" s="47" t="s">
        <v>9114</v>
      </c>
      <c r="E794" s="47" t="s">
        <v>1439</v>
      </c>
      <c r="F794" s="47" t="s">
        <v>8189</v>
      </c>
      <c r="G794" s="363">
        <v>46164</v>
      </c>
      <c r="H794" s="47" t="s">
        <v>8190</v>
      </c>
      <c r="I794" s="47" t="s">
        <v>8191</v>
      </c>
      <c r="J794" s="47" t="s">
        <v>1439</v>
      </c>
    </row>
    <row r="795" spans="2:10" ht="14.5">
      <c r="B795" s="47" t="s">
        <v>1447</v>
      </c>
      <c r="C795" s="47" t="s">
        <v>64</v>
      </c>
      <c r="D795" s="47" t="s">
        <v>9115</v>
      </c>
      <c r="E795" s="47" t="s">
        <v>1444</v>
      </c>
      <c r="F795" s="47" t="s">
        <v>8189</v>
      </c>
      <c r="G795" s="363">
        <v>46164</v>
      </c>
      <c r="H795" s="47" t="s">
        <v>8190</v>
      </c>
      <c r="I795" s="47" t="s">
        <v>8191</v>
      </c>
      <c r="J795" s="47" t="s">
        <v>1444</v>
      </c>
    </row>
    <row r="796" spans="2:10" ht="14.5">
      <c r="B796" s="47" t="s">
        <v>9116</v>
      </c>
      <c r="C796" s="47" t="s">
        <v>64</v>
      </c>
      <c r="D796" s="47" t="s">
        <v>8909</v>
      </c>
      <c r="E796" s="47" t="s">
        <v>1448</v>
      </c>
      <c r="F796" s="47" t="s">
        <v>8189</v>
      </c>
      <c r="G796" s="363">
        <v>46164</v>
      </c>
      <c r="H796" s="47" t="s">
        <v>8337</v>
      </c>
      <c r="I796" s="47" t="s">
        <v>8191</v>
      </c>
      <c r="J796" s="47" t="s">
        <v>1448</v>
      </c>
    </row>
    <row r="797" spans="2:10" ht="14.5">
      <c r="B797" s="47" t="s">
        <v>913</v>
      </c>
      <c r="C797" s="47" t="s">
        <v>64</v>
      </c>
      <c r="D797" s="47" t="s">
        <v>9117</v>
      </c>
      <c r="E797" s="47" t="s">
        <v>911</v>
      </c>
      <c r="F797" s="47" t="s">
        <v>8189</v>
      </c>
      <c r="G797" s="363">
        <v>46163</v>
      </c>
      <c r="H797" s="47" t="s">
        <v>8190</v>
      </c>
      <c r="I797" s="47" t="s">
        <v>8191</v>
      </c>
      <c r="J797" s="47" t="s">
        <v>911</v>
      </c>
    </row>
    <row r="798" spans="2:10" ht="14.5">
      <c r="B798" s="47" t="s">
        <v>9118</v>
      </c>
      <c r="C798" s="47" t="s">
        <v>64</v>
      </c>
      <c r="D798" s="47" t="s">
        <v>8907</v>
      </c>
      <c r="E798" s="47" t="s">
        <v>1455</v>
      </c>
      <c r="F798" s="47" t="s">
        <v>8189</v>
      </c>
      <c r="G798" s="363">
        <v>46164</v>
      </c>
      <c r="H798" s="47" t="s">
        <v>8337</v>
      </c>
      <c r="I798" s="47" t="s">
        <v>8191</v>
      </c>
      <c r="J798" s="47" t="s">
        <v>1455</v>
      </c>
    </row>
    <row r="799" spans="2:10" ht="14.5">
      <c r="B799" s="47" t="s">
        <v>1462</v>
      </c>
      <c r="C799" s="47" t="s">
        <v>64</v>
      </c>
      <c r="D799" s="47" t="s">
        <v>9119</v>
      </c>
      <c r="E799" s="47" t="s">
        <v>1458</v>
      </c>
      <c r="F799" s="47" t="s">
        <v>8189</v>
      </c>
      <c r="G799" s="363">
        <v>46164</v>
      </c>
      <c r="H799" s="47" t="s">
        <v>8190</v>
      </c>
      <c r="I799" s="47" t="s">
        <v>8191</v>
      </c>
      <c r="J799" s="47" t="s">
        <v>1458</v>
      </c>
    </row>
    <row r="800" spans="2:10" ht="14.5">
      <c r="B800" s="47" t="s">
        <v>918</v>
      </c>
      <c r="C800" s="47" t="s">
        <v>64</v>
      </c>
      <c r="D800" s="47" t="s">
        <v>9120</v>
      </c>
      <c r="E800" s="47" t="s">
        <v>916</v>
      </c>
      <c r="F800" s="47" t="s">
        <v>8189</v>
      </c>
      <c r="G800" s="363">
        <v>46164</v>
      </c>
      <c r="H800" s="47" t="s">
        <v>8190</v>
      </c>
      <c r="I800" s="47" t="s">
        <v>8191</v>
      </c>
      <c r="J800" s="47" t="s">
        <v>916</v>
      </c>
    </row>
    <row r="801" spans="2:10" ht="14.5">
      <c r="B801" s="47" t="s">
        <v>1466</v>
      </c>
      <c r="C801" s="47" t="s">
        <v>64</v>
      </c>
      <c r="D801" s="47" t="s">
        <v>9121</v>
      </c>
      <c r="E801" s="47" t="s">
        <v>1465</v>
      </c>
      <c r="F801" s="47" t="s">
        <v>8189</v>
      </c>
      <c r="G801" s="363">
        <v>46164</v>
      </c>
      <c r="H801" s="47" t="s">
        <v>8190</v>
      </c>
      <c r="I801" s="47" t="s">
        <v>8191</v>
      </c>
      <c r="J801" s="47" t="s">
        <v>1465</v>
      </c>
    </row>
    <row r="802" spans="2:10" ht="14.5">
      <c r="B802" s="47" t="s">
        <v>1470</v>
      </c>
      <c r="C802" s="47" t="s">
        <v>64</v>
      </c>
      <c r="D802" s="47" t="s">
        <v>9122</v>
      </c>
      <c r="E802" s="47" t="s">
        <v>1469</v>
      </c>
      <c r="F802" s="47" t="s">
        <v>8189</v>
      </c>
      <c r="G802" s="363">
        <v>46164</v>
      </c>
      <c r="H802" s="47" t="s">
        <v>8190</v>
      </c>
      <c r="I802" s="47" t="s">
        <v>8191</v>
      </c>
      <c r="J802" s="47" t="s">
        <v>1469</v>
      </c>
    </row>
    <row r="803" spans="2:10" ht="14.5">
      <c r="B803" s="47" t="s">
        <v>1468</v>
      </c>
      <c r="C803" s="47" t="s">
        <v>64</v>
      </c>
      <c r="D803" s="47" t="s">
        <v>9123</v>
      </c>
      <c r="E803" s="47" t="s">
        <v>1467</v>
      </c>
      <c r="F803" s="47" t="s">
        <v>8189</v>
      </c>
      <c r="G803" s="363">
        <v>46164</v>
      </c>
      <c r="H803" s="47" t="s">
        <v>8190</v>
      </c>
      <c r="I803" s="47" t="s">
        <v>8191</v>
      </c>
      <c r="J803" s="47" t="s">
        <v>1467</v>
      </c>
    </row>
    <row r="804" spans="2:10" ht="14.5">
      <c r="B804" s="47" t="s">
        <v>1478</v>
      </c>
      <c r="C804" s="47" t="s">
        <v>64</v>
      </c>
      <c r="D804" s="47" t="s">
        <v>9124</v>
      </c>
      <c r="E804" s="47" t="s">
        <v>1476</v>
      </c>
      <c r="F804" s="47" t="s">
        <v>8189</v>
      </c>
      <c r="G804" s="363">
        <v>46164</v>
      </c>
      <c r="H804" s="47" t="s">
        <v>8190</v>
      </c>
      <c r="I804" s="47" t="s">
        <v>8191</v>
      </c>
      <c r="J804" s="47" t="s">
        <v>1476</v>
      </c>
    </row>
    <row r="805" spans="2:10" ht="14.5">
      <c r="B805" s="47" t="s">
        <v>1473</v>
      </c>
      <c r="C805" s="47" t="s">
        <v>64</v>
      </c>
      <c r="D805" s="47" t="s">
        <v>9125</v>
      </c>
      <c r="E805" s="47" t="s">
        <v>1471</v>
      </c>
      <c r="F805" s="47" t="s">
        <v>8189</v>
      </c>
      <c r="G805" s="363">
        <v>46164</v>
      </c>
      <c r="H805" s="47" t="s">
        <v>8190</v>
      </c>
      <c r="I805" s="47" t="s">
        <v>8191</v>
      </c>
      <c r="J805" s="47" t="s">
        <v>1471</v>
      </c>
    </row>
    <row r="806" spans="2:10" ht="14.5">
      <c r="B806" s="47" t="s">
        <v>1496</v>
      </c>
      <c r="C806" s="47" t="s">
        <v>64</v>
      </c>
      <c r="D806" s="47" t="s">
        <v>9126</v>
      </c>
      <c r="E806" s="47" t="s">
        <v>1495</v>
      </c>
      <c r="F806" s="47" t="s">
        <v>8189</v>
      </c>
      <c r="G806" s="363">
        <v>46160</v>
      </c>
      <c r="H806" s="47" t="s">
        <v>8190</v>
      </c>
      <c r="I806" s="47" t="s">
        <v>8191</v>
      </c>
      <c r="J806" s="47" t="s">
        <v>1495</v>
      </c>
    </row>
    <row r="807" spans="2:10" ht="14.5">
      <c r="B807" s="47" t="s">
        <v>1501</v>
      </c>
      <c r="C807" s="47" t="s">
        <v>64</v>
      </c>
      <c r="D807" s="47" t="s">
        <v>9127</v>
      </c>
      <c r="E807" s="47" t="s">
        <v>1499</v>
      </c>
      <c r="F807" s="47" t="s">
        <v>8189</v>
      </c>
      <c r="G807" s="363">
        <v>46160</v>
      </c>
      <c r="H807" s="47" t="s">
        <v>8190</v>
      </c>
      <c r="I807" s="47" t="s">
        <v>8191</v>
      </c>
      <c r="J807" s="47" t="s">
        <v>1499</v>
      </c>
    </row>
    <row r="808" spans="2:10" ht="14.5">
      <c r="B808" s="47" t="s">
        <v>1502</v>
      </c>
      <c r="C808" s="47" t="s">
        <v>64</v>
      </c>
      <c r="D808" s="47" t="s">
        <v>9128</v>
      </c>
      <c r="E808" s="47" t="s">
        <v>1482</v>
      </c>
      <c r="F808" s="47" t="s">
        <v>8189</v>
      </c>
      <c r="G808" s="363">
        <v>46160</v>
      </c>
      <c r="H808" s="47" t="s">
        <v>8190</v>
      </c>
      <c r="I808" s="47" t="s">
        <v>8191</v>
      </c>
      <c r="J808" s="47" t="s">
        <v>1482</v>
      </c>
    </row>
    <row r="809" spans="2:10" ht="14.5">
      <c r="B809" s="47" t="s">
        <v>1505</v>
      </c>
      <c r="C809" s="47" t="s">
        <v>64</v>
      </c>
      <c r="D809" s="47" t="s">
        <v>9129</v>
      </c>
      <c r="E809" s="47" t="s">
        <v>1503</v>
      </c>
      <c r="F809" s="47" t="s">
        <v>8189</v>
      </c>
      <c r="G809" s="363">
        <v>46160</v>
      </c>
      <c r="H809" s="47" t="s">
        <v>8190</v>
      </c>
      <c r="I809" s="47" t="s">
        <v>8191</v>
      </c>
      <c r="J809" s="47" t="s">
        <v>1503</v>
      </c>
    </row>
    <row r="810" spans="2:10" ht="14.5">
      <c r="B810" s="47" t="s">
        <v>1507</v>
      </c>
      <c r="C810" s="47" t="s">
        <v>64</v>
      </c>
      <c r="D810" s="47" t="s">
        <v>9130</v>
      </c>
      <c r="E810" s="47" t="s">
        <v>1506</v>
      </c>
      <c r="F810" s="47" t="s">
        <v>8189</v>
      </c>
      <c r="G810" s="363">
        <v>46171</v>
      </c>
      <c r="H810" s="47" t="s">
        <v>8190</v>
      </c>
      <c r="I810" s="47" t="s">
        <v>8191</v>
      </c>
      <c r="J810" s="47" t="s">
        <v>1506</v>
      </c>
    </row>
    <row r="811" spans="2:10" ht="14.5">
      <c r="B811" s="47" t="s">
        <v>1512</v>
      </c>
      <c r="C811" s="47" t="s">
        <v>64</v>
      </c>
      <c r="D811" s="47" t="s">
        <v>9131</v>
      </c>
      <c r="E811" s="47" t="s">
        <v>1511</v>
      </c>
      <c r="F811" s="47" t="s">
        <v>8189</v>
      </c>
      <c r="G811" s="363">
        <v>46171</v>
      </c>
      <c r="H811" s="47" t="s">
        <v>8190</v>
      </c>
      <c r="I811" s="47" t="s">
        <v>8191</v>
      </c>
      <c r="J811" s="47" t="s">
        <v>1511</v>
      </c>
    </row>
    <row r="812" spans="2:10" ht="14.5">
      <c r="B812" s="47" t="s">
        <v>1515</v>
      </c>
      <c r="C812" s="47" t="s">
        <v>64</v>
      </c>
      <c r="D812" s="47" t="s">
        <v>9132</v>
      </c>
      <c r="E812" s="47" t="s">
        <v>1513</v>
      </c>
      <c r="F812" s="47" t="s">
        <v>8189</v>
      </c>
      <c r="G812" s="363">
        <v>46176</v>
      </c>
      <c r="H812" s="47" t="s">
        <v>8190</v>
      </c>
      <c r="I812" s="47" t="s">
        <v>8191</v>
      </c>
      <c r="J812" s="47" t="s">
        <v>1513</v>
      </c>
    </row>
    <row r="813" spans="2:10" ht="14.5">
      <c r="B813" s="47" t="s">
        <v>1492</v>
      </c>
      <c r="C813" s="47" t="s">
        <v>64</v>
      </c>
      <c r="D813" s="47" t="s">
        <v>9133</v>
      </c>
      <c r="E813" s="47" t="s">
        <v>1489</v>
      </c>
      <c r="F813" s="47" t="s">
        <v>8189</v>
      </c>
      <c r="G813" s="363">
        <v>46156</v>
      </c>
      <c r="H813" s="47" t="s">
        <v>8190</v>
      </c>
      <c r="I813" s="47" t="s">
        <v>8191</v>
      </c>
      <c r="J813" s="47" t="s">
        <v>1489</v>
      </c>
    </row>
    <row r="814" spans="2:10" ht="14.5">
      <c r="B814" s="47" t="s">
        <v>7589</v>
      </c>
      <c r="C814" s="47" t="s">
        <v>64</v>
      </c>
      <c r="D814" s="47" t="s">
        <v>9134</v>
      </c>
      <c r="E814" s="47" t="s">
        <v>9135</v>
      </c>
      <c r="F814" s="47" t="s">
        <v>8236</v>
      </c>
      <c r="G814" s="363">
        <v>46132</v>
      </c>
      <c r="H814" s="47" t="s">
        <v>8190</v>
      </c>
      <c r="I814" s="47" t="s">
        <v>8191</v>
      </c>
      <c r="J814" s="47" t="s">
        <v>7583</v>
      </c>
    </row>
    <row r="815" spans="2:10" ht="14.5">
      <c r="B815" s="47" t="s">
        <v>1336</v>
      </c>
      <c r="C815" s="47" t="s">
        <v>64</v>
      </c>
      <c r="D815" s="47" t="s">
        <v>9136</v>
      </c>
      <c r="E815" s="47" t="s">
        <v>1332</v>
      </c>
      <c r="F815" s="47" t="s">
        <v>8189</v>
      </c>
      <c r="G815" s="363">
        <v>46160</v>
      </c>
      <c r="H815" s="47" t="s">
        <v>8190</v>
      </c>
      <c r="I815" s="47" t="s">
        <v>8191</v>
      </c>
      <c r="J815" s="47" t="s">
        <v>1332</v>
      </c>
    </row>
    <row r="816" spans="2:10" ht="14.5">
      <c r="B816" s="47" t="s">
        <v>1223</v>
      </c>
      <c r="C816" s="47" t="s">
        <v>64</v>
      </c>
      <c r="D816" s="47" t="s">
        <v>9137</v>
      </c>
      <c r="E816" s="47" t="s">
        <v>1219</v>
      </c>
      <c r="F816" s="47" t="s">
        <v>8189</v>
      </c>
      <c r="G816" s="363">
        <v>46160</v>
      </c>
      <c r="H816" s="47" t="s">
        <v>8190</v>
      </c>
      <c r="I816" s="47" t="s">
        <v>8191</v>
      </c>
      <c r="J816" s="47" t="s">
        <v>1219</v>
      </c>
    </row>
    <row r="817" spans="2:10" ht="14.5">
      <c r="B817" s="47" t="s">
        <v>1230</v>
      </c>
      <c r="C817" s="47" t="s">
        <v>64</v>
      </c>
      <c r="D817" s="47" t="s">
        <v>9138</v>
      </c>
      <c r="E817" s="47" t="s">
        <v>1227</v>
      </c>
      <c r="F817" s="47" t="s">
        <v>8189</v>
      </c>
      <c r="G817" s="363">
        <v>46160</v>
      </c>
      <c r="H817" s="47" t="s">
        <v>8190</v>
      </c>
      <c r="I817" s="47" t="s">
        <v>8191</v>
      </c>
      <c r="J817" s="47" t="s">
        <v>1227</v>
      </c>
    </row>
    <row r="818" spans="2:10" ht="14.5">
      <c r="B818" s="47" t="s">
        <v>1301</v>
      </c>
      <c r="C818" s="47" t="s">
        <v>8187</v>
      </c>
      <c r="D818" s="47" t="s">
        <v>9139</v>
      </c>
      <c r="E818" s="47" t="s">
        <v>1297</v>
      </c>
      <c r="F818" s="47" t="s">
        <v>8189</v>
      </c>
      <c r="G818" s="363">
        <v>46155</v>
      </c>
      <c r="H818" s="47" t="s">
        <v>8190</v>
      </c>
      <c r="I818" s="47" t="s">
        <v>8191</v>
      </c>
      <c r="J818" s="47" t="s">
        <v>1297</v>
      </c>
    </row>
    <row r="819" spans="2:10" ht="14.5">
      <c r="B819" s="47" t="s">
        <v>1306</v>
      </c>
      <c r="C819" s="47" t="s">
        <v>64</v>
      </c>
      <c r="D819" s="47" t="s">
        <v>9140</v>
      </c>
      <c r="E819" s="47" t="s">
        <v>1305</v>
      </c>
      <c r="F819" s="47" t="s">
        <v>8189</v>
      </c>
      <c r="G819" s="363">
        <v>46163</v>
      </c>
      <c r="H819" s="47" t="s">
        <v>8190</v>
      </c>
      <c r="I819" s="47" t="s">
        <v>8191</v>
      </c>
      <c r="J819" s="47" t="s">
        <v>1305</v>
      </c>
    </row>
    <row r="820" spans="2:10" ht="14.5">
      <c r="B820" s="47" t="s">
        <v>1328</v>
      </c>
      <c r="C820" s="47" t="s">
        <v>64</v>
      </c>
      <c r="D820" s="47" t="s">
        <v>9141</v>
      </c>
      <c r="E820" s="47" t="s">
        <v>1325</v>
      </c>
      <c r="F820" s="47" t="s">
        <v>8189</v>
      </c>
      <c r="G820" s="363">
        <v>46160</v>
      </c>
      <c r="H820" s="47" t="s">
        <v>8190</v>
      </c>
      <c r="I820" s="47" t="s">
        <v>8191</v>
      </c>
      <c r="J820" s="47" t="s">
        <v>1325</v>
      </c>
    </row>
    <row r="821" spans="2:10" ht="14.5">
      <c r="B821" s="47" t="s">
        <v>1338</v>
      </c>
      <c r="C821" s="47" t="s">
        <v>64</v>
      </c>
      <c r="D821" s="47" t="s">
        <v>9142</v>
      </c>
      <c r="E821" s="47" t="s">
        <v>1337</v>
      </c>
      <c r="F821" s="47" t="s">
        <v>8189</v>
      </c>
      <c r="G821" s="363">
        <v>46160</v>
      </c>
      <c r="H821" s="47" t="s">
        <v>8190</v>
      </c>
      <c r="I821" s="47" t="s">
        <v>8191</v>
      </c>
      <c r="J821" s="47" t="s">
        <v>1337</v>
      </c>
    </row>
    <row r="822" spans="2:10" ht="14.5">
      <c r="B822" s="47" t="s">
        <v>1343</v>
      </c>
      <c r="C822" s="47" t="s">
        <v>64</v>
      </c>
      <c r="D822" s="47" t="s">
        <v>9143</v>
      </c>
      <c r="E822" s="47" t="s">
        <v>1341</v>
      </c>
      <c r="F822" s="47" t="s">
        <v>8189</v>
      </c>
      <c r="G822" s="363">
        <v>46162</v>
      </c>
      <c r="H822" s="47" t="s">
        <v>8190</v>
      </c>
      <c r="I822" s="47" t="s">
        <v>8191</v>
      </c>
      <c r="J822" s="47" t="s">
        <v>1341</v>
      </c>
    </row>
    <row r="823" spans="2:10" ht="14.5">
      <c r="B823" s="47" t="s">
        <v>1349</v>
      </c>
      <c r="C823" s="47" t="s">
        <v>8187</v>
      </c>
      <c r="D823" s="47" t="s">
        <v>9144</v>
      </c>
      <c r="E823" s="47" t="s">
        <v>1346</v>
      </c>
      <c r="F823" s="47" t="s">
        <v>8189</v>
      </c>
      <c r="G823" s="363">
        <v>46168</v>
      </c>
      <c r="H823" s="47" t="s">
        <v>8190</v>
      </c>
      <c r="I823" s="47" t="s">
        <v>8191</v>
      </c>
      <c r="J823" s="47" t="s">
        <v>1346</v>
      </c>
    </row>
    <row r="824" spans="2:10" ht="14.5">
      <c r="B824" s="47" t="s">
        <v>1357</v>
      </c>
      <c r="C824" s="47" t="s">
        <v>8187</v>
      </c>
      <c r="D824" s="47" t="s">
        <v>9145</v>
      </c>
      <c r="E824" s="47" t="s">
        <v>1354</v>
      </c>
      <c r="F824" s="47" t="s">
        <v>8189</v>
      </c>
      <c r="G824" s="363">
        <v>46168</v>
      </c>
      <c r="H824" s="47" t="s">
        <v>8190</v>
      </c>
      <c r="I824" s="47" t="s">
        <v>8191</v>
      </c>
      <c r="J824" s="47" t="s">
        <v>1354</v>
      </c>
    </row>
    <row r="825" spans="2:10" ht="14.5">
      <c r="B825" s="47" t="s">
        <v>1391</v>
      </c>
      <c r="C825" s="47" t="s">
        <v>64</v>
      </c>
      <c r="D825" s="47" t="s">
        <v>9146</v>
      </c>
      <c r="E825" s="47" t="s">
        <v>1390</v>
      </c>
      <c r="F825" s="47" t="s">
        <v>8189</v>
      </c>
      <c r="G825" s="363">
        <v>46153</v>
      </c>
      <c r="H825" s="47" t="s">
        <v>8190</v>
      </c>
      <c r="I825" s="47" t="s">
        <v>8191</v>
      </c>
      <c r="J825" s="47" t="s">
        <v>1390</v>
      </c>
    </row>
    <row r="826" spans="2:10" ht="14.5">
      <c r="B826" s="47" t="s">
        <v>1211</v>
      </c>
      <c r="C826" s="47" t="s">
        <v>64</v>
      </c>
      <c r="D826" s="47" t="s">
        <v>9147</v>
      </c>
      <c r="E826" s="47" t="s">
        <v>1210</v>
      </c>
      <c r="F826" s="47" t="s">
        <v>8189</v>
      </c>
      <c r="G826" s="363">
        <v>46150</v>
      </c>
      <c r="H826" s="47" t="s">
        <v>8190</v>
      </c>
      <c r="I826" s="47" t="s">
        <v>8191</v>
      </c>
      <c r="J826" s="47" t="s">
        <v>1210</v>
      </c>
    </row>
    <row r="827" spans="2:10" ht="14.5">
      <c r="B827" s="47" t="s">
        <v>1216</v>
      </c>
      <c r="C827" s="47" t="s">
        <v>64</v>
      </c>
      <c r="D827" s="47" t="s">
        <v>9148</v>
      </c>
      <c r="E827" s="47" t="s">
        <v>1215</v>
      </c>
      <c r="F827" s="47" t="s">
        <v>8189</v>
      </c>
      <c r="G827" s="363">
        <v>46163</v>
      </c>
      <c r="H827" s="47" t="s">
        <v>8190</v>
      </c>
      <c r="I827" s="47" t="s">
        <v>8191</v>
      </c>
      <c r="J827" s="47" t="s">
        <v>1215</v>
      </c>
    </row>
    <row r="828" spans="2:10" ht="14.5">
      <c r="B828" s="47" t="s">
        <v>9149</v>
      </c>
      <c r="C828" s="47" t="s">
        <v>64</v>
      </c>
      <c r="D828" s="47" t="s">
        <v>8953</v>
      </c>
      <c r="E828" s="47" t="s">
        <v>9150</v>
      </c>
      <c r="F828" s="47" t="s">
        <v>8189</v>
      </c>
      <c r="G828" s="363">
        <v>46146</v>
      </c>
      <c r="H828" s="47" t="s">
        <v>8337</v>
      </c>
      <c r="I828" s="47" t="s">
        <v>8191</v>
      </c>
      <c r="J828" s="47" t="s">
        <v>9150</v>
      </c>
    </row>
    <row r="829" spans="2:10" ht="14.5">
      <c r="B829" s="47" t="s">
        <v>1218</v>
      </c>
      <c r="C829" s="47" t="s">
        <v>64</v>
      </c>
      <c r="D829" s="47" t="s">
        <v>9151</v>
      </c>
      <c r="E829" s="47" t="s">
        <v>1217</v>
      </c>
      <c r="F829" s="47" t="s">
        <v>8189</v>
      </c>
      <c r="G829" s="363">
        <v>46163</v>
      </c>
      <c r="H829" s="47" t="s">
        <v>8190</v>
      </c>
      <c r="I829" s="47" t="s">
        <v>8191</v>
      </c>
      <c r="J829" s="47" t="s">
        <v>1217</v>
      </c>
    </row>
    <row r="830" spans="2:10" ht="14.5">
      <c r="B830" s="47" t="s">
        <v>1293</v>
      </c>
      <c r="C830" s="47" t="s">
        <v>64</v>
      </c>
      <c r="D830" s="47" t="s">
        <v>9152</v>
      </c>
      <c r="E830" s="47" t="s">
        <v>1291</v>
      </c>
      <c r="F830" s="47" t="s">
        <v>8189</v>
      </c>
      <c r="G830" s="363">
        <v>46174</v>
      </c>
      <c r="H830" s="47" t="s">
        <v>8190</v>
      </c>
      <c r="I830" s="47" t="s">
        <v>8191</v>
      </c>
      <c r="J830" s="47" t="s">
        <v>1291</v>
      </c>
    </row>
    <row r="831" spans="2:10" ht="14.5">
      <c r="B831" s="47" t="s">
        <v>1288</v>
      </c>
      <c r="C831" s="47" t="s">
        <v>64</v>
      </c>
      <c r="D831" s="47" t="s">
        <v>9153</v>
      </c>
      <c r="E831" s="47" t="s">
        <v>1285</v>
      </c>
      <c r="F831" s="47" t="s">
        <v>8189</v>
      </c>
      <c r="G831" s="363">
        <v>46174</v>
      </c>
      <c r="H831" s="47" t="s">
        <v>8190</v>
      </c>
      <c r="I831" s="47" t="s">
        <v>8191</v>
      </c>
      <c r="J831" s="47" t="s">
        <v>1285</v>
      </c>
    </row>
    <row r="832" spans="2:10" ht="14.5">
      <c r="B832" s="47" t="s">
        <v>1295</v>
      </c>
      <c r="C832" s="47" t="s">
        <v>64</v>
      </c>
      <c r="D832" s="47" t="s">
        <v>9154</v>
      </c>
      <c r="E832" s="47" t="s">
        <v>1294</v>
      </c>
      <c r="F832" s="47" t="s">
        <v>8189</v>
      </c>
      <c r="G832" s="363">
        <v>46174</v>
      </c>
      <c r="H832" s="47" t="s">
        <v>8190</v>
      </c>
      <c r="I832" s="47" t="s">
        <v>8191</v>
      </c>
      <c r="J832" s="47" t="s">
        <v>1294</v>
      </c>
    </row>
    <row r="833" spans="2:10" ht="14.5">
      <c r="B833" s="47" t="s">
        <v>1312</v>
      </c>
      <c r="C833" s="47" t="s">
        <v>64</v>
      </c>
      <c r="D833" s="47" t="s">
        <v>9155</v>
      </c>
      <c r="E833" s="47" t="s">
        <v>1309</v>
      </c>
      <c r="F833" s="47" t="s">
        <v>8189</v>
      </c>
      <c r="G833" s="363">
        <v>46150</v>
      </c>
      <c r="H833" s="47" t="s">
        <v>8190</v>
      </c>
      <c r="I833" s="47" t="s">
        <v>8191</v>
      </c>
      <c r="J833" s="47" t="s">
        <v>1309</v>
      </c>
    </row>
    <row r="834" spans="2:10" ht="14.5">
      <c r="B834" s="47" t="s">
        <v>1316</v>
      </c>
      <c r="C834" s="47" t="s">
        <v>64</v>
      </c>
      <c r="D834" s="47" t="s">
        <v>9156</v>
      </c>
      <c r="E834" s="47" t="s">
        <v>1315</v>
      </c>
      <c r="F834" s="47" t="s">
        <v>8189</v>
      </c>
      <c r="G834" s="363">
        <v>46150</v>
      </c>
      <c r="H834" s="47" t="s">
        <v>8190</v>
      </c>
      <c r="I834" s="47" t="s">
        <v>8191</v>
      </c>
      <c r="J834" s="47" t="s">
        <v>1315</v>
      </c>
    </row>
    <row r="835" spans="2:10" ht="14.5">
      <c r="B835" s="47" t="s">
        <v>1320</v>
      </c>
      <c r="C835" s="47" t="s">
        <v>64</v>
      </c>
      <c r="D835" s="47" t="s">
        <v>9157</v>
      </c>
      <c r="E835" s="47" t="s">
        <v>1317</v>
      </c>
      <c r="F835" s="47" t="s">
        <v>8189</v>
      </c>
      <c r="G835" s="363">
        <v>46150</v>
      </c>
      <c r="H835" s="47" t="s">
        <v>8190</v>
      </c>
      <c r="I835" s="47" t="s">
        <v>8191</v>
      </c>
      <c r="J835" s="47" t="s">
        <v>1317</v>
      </c>
    </row>
    <row r="836" spans="2:10" ht="14.5">
      <c r="B836" s="47" t="s">
        <v>1322</v>
      </c>
      <c r="C836" s="47" t="s">
        <v>64</v>
      </c>
      <c r="D836" s="47" t="s">
        <v>9158</v>
      </c>
      <c r="E836" s="47" t="s">
        <v>1321</v>
      </c>
      <c r="F836" s="47" t="s">
        <v>8189</v>
      </c>
      <c r="G836" s="363">
        <v>46150</v>
      </c>
      <c r="H836" s="47" t="s">
        <v>8190</v>
      </c>
      <c r="I836" s="47" t="s">
        <v>8191</v>
      </c>
      <c r="J836" s="47" t="s">
        <v>1321</v>
      </c>
    </row>
    <row r="837" spans="2:10" ht="14.5">
      <c r="B837" s="47" t="s">
        <v>1359</v>
      </c>
      <c r="C837" s="47" t="s">
        <v>64</v>
      </c>
      <c r="D837" s="47" t="s">
        <v>9159</v>
      </c>
      <c r="E837" s="47" t="s">
        <v>1358</v>
      </c>
      <c r="F837" s="47" t="s">
        <v>8189</v>
      </c>
      <c r="G837" s="363">
        <v>46163</v>
      </c>
      <c r="H837" s="47" t="s">
        <v>8190</v>
      </c>
      <c r="I837" s="47" t="s">
        <v>8191</v>
      </c>
      <c r="J837" s="47" t="s">
        <v>1358</v>
      </c>
    </row>
    <row r="838" spans="2:10" ht="14.5">
      <c r="B838" s="47" t="s">
        <v>1364</v>
      </c>
      <c r="C838" s="47" t="s">
        <v>64</v>
      </c>
      <c r="D838" s="47" t="s">
        <v>9160</v>
      </c>
      <c r="E838" s="47" t="s">
        <v>1362</v>
      </c>
      <c r="F838" s="47" t="s">
        <v>8189</v>
      </c>
      <c r="G838" s="363">
        <v>46163</v>
      </c>
      <c r="H838" s="47" t="s">
        <v>8190</v>
      </c>
      <c r="I838" s="47" t="s">
        <v>8191</v>
      </c>
      <c r="J838" s="47" t="s">
        <v>1362</v>
      </c>
    </row>
    <row r="839" spans="2:10" ht="14.5">
      <c r="B839" s="47" t="s">
        <v>1369</v>
      </c>
      <c r="C839" s="47" t="s">
        <v>64</v>
      </c>
      <c r="D839" s="47" t="s">
        <v>9161</v>
      </c>
      <c r="E839" s="47" t="s">
        <v>1367</v>
      </c>
      <c r="F839" s="47" t="s">
        <v>8189</v>
      </c>
      <c r="G839" s="363">
        <v>46163</v>
      </c>
      <c r="H839" s="47" t="s">
        <v>8190</v>
      </c>
      <c r="I839" s="47" t="s">
        <v>8191</v>
      </c>
      <c r="J839" s="47" t="s">
        <v>1367</v>
      </c>
    </row>
    <row r="840" spans="2:10" ht="14.5">
      <c r="B840" s="47" t="s">
        <v>1372</v>
      </c>
      <c r="C840" s="47" t="s">
        <v>64</v>
      </c>
      <c r="D840" s="47" t="s">
        <v>9162</v>
      </c>
      <c r="E840" s="47" t="s">
        <v>1370</v>
      </c>
      <c r="F840" s="47" t="s">
        <v>8189</v>
      </c>
      <c r="G840" s="363">
        <v>46163</v>
      </c>
      <c r="H840" s="47" t="s">
        <v>8190</v>
      </c>
      <c r="I840" s="47" t="s">
        <v>8191</v>
      </c>
      <c r="J840" s="47" t="s">
        <v>1370</v>
      </c>
    </row>
    <row r="841" spans="2:10" ht="14.5">
      <c r="B841" s="47" t="s">
        <v>1374</v>
      </c>
      <c r="C841" s="47" t="s">
        <v>64</v>
      </c>
      <c r="D841" s="47" t="s">
        <v>9163</v>
      </c>
      <c r="E841" s="47" t="s">
        <v>1373</v>
      </c>
      <c r="F841" s="47" t="s">
        <v>8189</v>
      </c>
      <c r="G841" s="363">
        <v>46163</v>
      </c>
      <c r="H841" s="47" t="s">
        <v>8190</v>
      </c>
      <c r="I841" s="47" t="s">
        <v>8191</v>
      </c>
      <c r="J841" s="47" t="s">
        <v>1373</v>
      </c>
    </row>
    <row r="842" spans="2:10" ht="14.5">
      <c r="B842" s="47" t="s">
        <v>1377</v>
      </c>
      <c r="C842" s="47" t="s">
        <v>64</v>
      </c>
      <c r="D842" s="47" t="s">
        <v>9164</v>
      </c>
      <c r="E842" s="47" t="s">
        <v>1375</v>
      </c>
      <c r="F842" s="47" t="s">
        <v>8189</v>
      </c>
      <c r="G842" s="363">
        <v>46163</v>
      </c>
      <c r="H842" s="47" t="s">
        <v>8190</v>
      </c>
      <c r="I842" s="47" t="s">
        <v>8191</v>
      </c>
      <c r="J842" s="47" t="s">
        <v>1375</v>
      </c>
    </row>
    <row r="843" spans="2:10" ht="14.5">
      <c r="B843" s="47" t="s">
        <v>9165</v>
      </c>
      <c r="C843" s="47" t="s">
        <v>64</v>
      </c>
      <c r="D843" s="47" t="s">
        <v>8846</v>
      </c>
      <c r="E843" s="47" t="s">
        <v>9166</v>
      </c>
      <c r="F843" s="47" t="s">
        <v>8189</v>
      </c>
      <c r="G843" s="363">
        <v>46146</v>
      </c>
      <c r="H843" s="47" t="s">
        <v>8337</v>
      </c>
      <c r="I843" s="47" t="s">
        <v>8191</v>
      </c>
      <c r="J843" s="47" t="s">
        <v>9166</v>
      </c>
    </row>
    <row r="844" spans="2:10" ht="14.5">
      <c r="B844" s="47" t="s">
        <v>1396</v>
      </c>
      <c r="C844" s="47" t="s">
        <v>64</v>
      </c>
      <c r="D844" s="47" t="s">
        <v>9167</v>
      </c>
      <c r="E844" s="47" t="s">
        <v>1394</v>
      </c>
      <c r="F844" s="47" t="s">
        <v>8189</v>
      </c>
      <c r="G844" s="363">
        <v>46199</v>
      </c>
      <c r="H844" s="47" t="s">
        <v>8190</v>
      </c>
      <c r="I844" s="47" t="s">
        <v>8191</v>
      </c>
      <c r="J844" s="47" t="s">
        <v>1394</v>
      </c>
    </row>
    <row r="845" spans="2:10" ht="14.5">
      <c r="B845" s="47" t="s">
        <v>887</v>
      </c>
      <c r="C845" s="47" t="s">
        <v>8187</v>
      </c>
      <c r="D845" s="47" t="s">
        <v>9168</v>
      </c>
      <c r="E845" s="47" t="s">
        <v>880</v>
      </c>
      <c r="F845" s="47" t="s">
        <v>8189</v>
      </c>
      <c r="G845" s="363">
        <v>46162</v>
      </c>
      <c r="H845" s="47" t="s">
        <v>8190</v>
      </c>
      <c r="I845" s="47" t="s">
        <v>8191</v>
      </c>
      <c r="J845" s="47" t="s">
        <v>880</v>
      </c>
    </row>
    <row r="846" spans="2:10" ht="14.5">
      <c r="B846" s="47" t="s">
        <v>904</v>
      </c>
      <c r="C846" s="47" t="s">
        <v>64</v>
      </c>
      <c r="D846" s="47" t="s">
        <v>9169</v>
      </c>
      <c r="E846" s="47" t="s">
        <v>902</v>
      </c>
      <c r="F846" s="47" t="s">
        <v>8189</v>
      </c>
      <c r="G846" s="363">
        <v>46163</v>
      </c>
      <c r="H846" s="47" t="s">
        <v>8190</v>
      </c>
      <c r="I846" s="47" t="s">
        <v>8191</v>
      </c>
      <c r="J846" s="47" t="s">
        <v>902</v>
      </c>
    </row>
    <row r="847" spans="2:10" ht="14.5">
      <c r="B847" s="47" t="s">
        <v>908</v>
      </c>
      <c r="C847" s="47" t="s">
        <v>64</v>
      </c>
      <c r="D847" s="47" t="s">
        <v>9170</v>
      </c>
      <c r="E847" s="47" t="s">
        <v>907</v>
      </c>
      <c r="F847" s="47" t="s">
        <v>8189</v>
      </c>
      <c r="G847" s="363">
        <v>46163</v>
      </c>
      <c r="H847" s="47" t="s">
        <v>8190</v>
      </c>
      <c r="I847" s="47" t="s">
        <v>8191</v>
      </c>
      <c r="J847" s="47" t="s">
        <v>907</v>
      </c>
    </row>
    <row r="848" spans="2:10" ht="14.5">
      <c r="B848" s="47" t="s">
        <v>1188</v>
      </c>
      <c r="C848" s="47" t="s">
        <v>64</v>
      </c>
      <c r="D848" s="47" t="s">
        <v>9171</v>
      </c>
      <c r="E848" s="47" t="s">
        <v>1182</v>
      </c>
      <c r="F848" s="47" t="s">
        <v>8189</v>
      </c>
      <c r="G848" s="363">
        <v>46149</v>
      </c>
      <c r="H848" s="47" t="s">
        <v>8190</v>
      </c>
      <c r="I848" s="47" t="s">
        <v>8191</v>
      </c>
      <c r="J848" s="47" t="s">
        <v>1182</v>
      </c>
    </row>
    <row r="849" spans="2:10" ht="14.5">
      <c r="B849" s="47" t="s">
        <v>1193</v>
      </c>
      <c r="C849" s="47" t="s">
        <v>64</v>
      </c>
      <c r="D849" s="47" t="s">
        <v>9172</v>
      </c>
      <c r="E849" s="47" t="s">
        <v>1192</v>
      </c>
      <c r="F849" s="47" t="s">
        <v>8189</v>
      </c>
      <c r="G849" s="363">
        <v>46150</v>
      </c>
      <c r="H849" s="47" t="s">
        <v>8190</v>
      </c>
      <c r="I849" s="47" t="s">
        <v>8191</v>
      </c>
      <c r="J849" s="47" t="s">
        <v>1192</v>
      </c>
    </row>
    <row r="850" spans="2:10" ht="14.5">
      <c r="B850" s="47" t="s">
        <v>1198</v>
      </c>
      <c r="C850" s="47" t="s">
        <v>64</v>
      </c>
      <c r="D850" s="47" t="s">
        <v>9173</v>
      </c>
      <c r="E850" s="47" t="s">
        <v>1196</v>
      </c>
      <c r="F850" s="47" t="s">
        <v>8189</v>
      </c>
      <c r="G850" s="363">
        <v>46150</v>
      </c>
      <c r="H850" s="47" t="s">
        <v>8190</v>
      </c>
      <c r="I850" s="47" t="s">
        <v>8191</v>
      </c>
      <c r="J850" s="47" t="s">
        <v>1196</v>
      </c>
    </row>
    <row r="851" spans="2:10" ht="14.5">
      <c r="B851" s="47" t="s">
        <v>1201</v>
      </c>
      <c r="C851" s="47" t="s">
        <v>64</v>
      </c>
      <c r="D851" s="47" t="s">
        <v>9174</v>
      </c>
      <c r="E851" s="47" t="s">
        <v>1200</v>
      </c>
      <c r="F851" s="47" t="s">
        <v>8189</v>
      </c>
      <c r="G851" s="363">
        <v>46150</v>
      </c>
      <c r="H851" s="47" t="s">
        <v>8190</v>
      </c>
      <c r="I851" s="47" t="s">
        <v>8191</v>
      </c>
      <c r="J851" s="47" t="s">
        <v>1200</v>
      </c>
    </row>
    <row r="852" spans="2:10" ht="14.5">
      <c r="B852" s="47" t="s">
        <v>1204</v>
      </c>
      <c r="C852" s="47" t="s">
        <v>64</v>
      </c>
      <c r="D852" s="47" t="s">
        <v>9175</v>
      </c>
      <c r="E852" s="47" t="s">
        <v>1202</v>
      </c>
      <c r="F852" s="47" t="s">
        <v>8189</v>
      </c>
      <c r="G852" s="363">
        <v>46146</v>
      </c>
      <c r="H852" s="47" t="s">
        <v>8190</v>
      </c>
      <c r="I852" s="47" t="s">
        <v>8191</v>
      </c>
      <c r="J852" s="47" t="s">
        <v>1202</v>
      </c>
    </row>
    <row r="853" spans="2:10" ht="14.5">
      <c r="B853" s="47" t="s">
        <v>893</v>
      </c>
      <c r="C853" s="47" t="s">
        <v>64</v>
      </c>
      <c r="D853" s="47" t="s">
        <v>9176</v>
      </c>
      <c r="E853" s="47" t="s">
        <v>892</v>
      </c>
      <c r="F853" s="47" t="s">
        <v>8189</v>
      </c>
      <c r="G853" s="363">
        <v>46139</v>
      </c>
      <c r="H853" s="47" t="s">
        <v>8190</v>
      </c>
      <c r="I853" s="47" t="s">
        <v>8191</v>
      </c>
      <c r="J853" s="47" t="s">
        <v>892</v>
      </c>
    </row>
    <row r="854" spans="2:10" ht="14.5">
      <c r="B854" s="47" t="s">
        <v>898</v>
      </c>
      <c r="C854" s="47" t="s">
        <v>64</v>
      </c>
      <c r="D854" s="47" t="s">
        <v>9177</v>
      </c>
      <c r="E854" s="47" t="s">
        <v>897</v>
      </c>
      <c r="F854" s="47" t="s">
        <v>8189</v>
      </c>
      <c r="G854" s="363">
        <v>46133</v>
      </c>
      <c r="H854" s="47" t="s">
        <v>8190</v>
      </c>
      <c r="I854" s="47" t="s">
        <v>8191</v>
      </c>
      <c r="J854" s="47" t="s">
        <v>897</v>
      </c>
    </row>
    <row r="855" spans="2:10" ht="14.5">
      <c r="B855" s="47" t="s">
        <v>1209</v>
      </c>
      <c r="C855" s="47" t="s">
        <v>64</v>
      </c>
      <c r="D855" s="47" t="s">
        <v>9178</v>
      </c>
      <c r="E855" s="47" t="s">
        <v>1208</v>
      </c>
      <c r="F855" s="47" t="s">
        <v>8189</v>
      </c>
      <c r="G855" s="363">
        <v>46133</v>
      </c>
      <c r="H855" s="47" t="s">
        <v>8190</v>
      </c>
      <c r="I855" s="47" t="s">
        <v>8191</v>
      </c>
      <c r="J855" s="47" t="s">
        <v>1208</v>
      </c>
    </row>
    <row r="856" spans="2:10" ht="14.5">
      <c r="B856" s="47" t="s">
        <v>1241</v>
      </c>
      <c r="C856" s="47" t="s">
        <v>8187</v>
      </c>
      <c r="D856" s="47" t="s">
        <v>9179</v>
      </c>
      <c r="E856" s="47" t="s">
        <v>1240</v>
      </c>
      <c r="F856" s="47" t="s">
        <v>8189</v>
      </c>
      <c r="G856" s="363">
        <v>46168</v>
      </c>
      <c r="H856" s="47" t="s">
        <v>8190</v>
      </c>
      <c r="I856" s="47" t="s">
        <v>8191</v>
      </c>
      <c r="J856" s="47" t="s">
        <v>1240</v>
      </c>
    </row>
    <row r="857" spans="2:10" ht="14.5">
      <c r="B857" s="47" t="s">
        <v>1236</v>
      </c>
      <c r="C857" s="47" t="s">
        <v>8187</v>
      </c>
      <c r="D857" s="47" t="s">
        <v>9180</v>
      </c>
      <c r="E857" s="47" t="s">
        <v>1231</v>
      </c>
      <c r="F857" s="47" t="s">
        <v>8189</v>
      </c>
      <c r="G857" s="363">
        <v>46168</v>
      </c>
      <c r="H857" s="47" t="s">
        <v>8190</v>
      </c>
      <c r="I857" s="47" t="s">
        <v>8191</v>
      </c>
      <c r="J857" s="47" t="s">
        <v>1231</v>
      </c>
    </row>
    <row r="858" spans="2:10" ht="14.5">
      <c r="B858" s="47" t="s">
        <v>1245</v>
      </c>
      <c r="C858" s="47" t="s">
        <v>8187</v>
      </c>
      <c r="D858" s="47" t="s">
        <v>9181</v>
      </c>
      <c r="E858" s="47" t="s">
        <v>1244</v>
      </c>
      <c r="F858" s="47" t="s">
        <v>8189</v>
      </c>
      <c r="G858" s="363">
        <v>46168</v>
      </c>
      <c r="H858" s="47" t="s">
        <v>8190</v>
      </c>
      <c r="I858" s="47" t="s">
        <v>8191</v>
      </c>
      <c r="J858" s="47" t="s">
        <v>1244</v>
      </c>
    </row>
    <row r="859" spans="2:10" ht="14.5">
      <c r="B859" s="47" t="s">
        <v>1243</v>
      </c>
      <c r="C859" s="47" t="s">
        <v>8187</v>
      </c>
      <c r="D859" s="47" t="s">
        <v>9182</v>
      </c>
      <c r="E859" s="47" t="s">
        <v>1242</v>
      </c>
      <c r="F859" s="47" t="s">
        <v>8189</v>
      </c>
      <c r="G859" s="363">
        <v>46168</v>
      </c>
      <c r="H859" s="47" t="s">
        <v>8190</v>
      </c>
      <c r="I859" s="47" t="s">
        <v>8191</v>
      </c>
      <c r="J859" s="47" t="s">
        <v>1242</v>
      </c>
    </row>
    <row r="860" spans="2:10" ht="14.5">
      <c r="B860" s="47" t="s">
        <v>1248</v>
      </c>
      <c r="C860" s="47" t="s">
        <v>8187</v>
      </c>
      <c r="D860" s="47" t="s">
        <v>9183</v>
      </c>
      <c r="E860" s="47" t="s">
        <v>1246</v>
      </c>
      <c r="F860" s="47" t="s">
        <v>8189</v>
      </c>
      <c r="G860" s="363">
        <v>46168</v>
      </c>
      <c r="H860" s="47" t="s">
        <v>8190</v>
      </c>
      <c r="I860" s="47" t="s">
        <v>8191</v>
      </c>
      <c r="J860" s="47" t="s">
        <v>1246</v>
      </c>
    </row>
    <row r="861" spans="2:10" ht="14.5">
      <c r="B861" s="47" t="s">
        <v>1256</v>
      </c>
      <c r="C861" s="47" t="s">
        <v>8187</v>
      </c>
      <c r="D861" s="47" t="s">
        <v>9184</v>
      </c>
      <c r="E861" s="47" t="s">
        <v>1253</v>
      </c>
      <c r="F861" s="47" t="s">
        <v>8189</v>
      </c>
      <c r="G861" s="363">
        <v>46168</v>
      </c>
      <c r="H861" s="47" t="s">
        <v>8190</v>
      </c>
      <c r="I861" s="47" t="s">
        <v>8191</v>
      </c>
      <c r="J861" s="47" t="s">
        <v>1253</v>
      </c>
    </row>
    <row r="862" spans="2:10" ht="14.5">
      <c r="B862" s="47" t="s">
        <v>1252</v>
      </c>
      <c r="C862" s="47" t="s">
        <v>8187</v>
      </c>
      <c r="D862" s="47" t="s">
        <v>9185</v>
      </c>
      <c r="E862" s="47" t="s">
        <v>1249</v>
      </c>
      <c r="F862" s="47" t="s">
        <v>8189</v>
      </c>
      <c r="G862" s="363">
        <v>46168</v>
      </c>
      <c r="H862" s="47" t="s">
        <v>8190</v>
      </c>
      <c r="I862" s="47" t="s">
        <v>8191</v>
      </c>
      <c r="J862" s="47" t="s">
        <v>1249</v>
      </c>
    </row>
    <row r="863" spans="2:10" ht="14.5">
      <c r="B863" s="47" t="s">
        <v>1260</v>
      </c>
      <c r="C863" s="47" t="s">
        <v>8187</v>
      </c>
      <c r="D863" s="47" t="s">
        <v>9186</v>
      </c>
      <c r="E863" s="47" t="s">
        <v>1257</v>
      </c>
      <c r="F863" s="47" t="s">
        <v>8189</v>
      </c>
      <c r="G863" s="363">
        <v>46168</v>
      </c>
      <c r="H863" s="47" t="s">
        <v>8190</v>
      </c>
      <c r="I863" s="47" t="s">
        <v>8191</v>
      </c>
      <c r="J863" s="47" t="s">
        <v>1257</v>
      </c>
    </row>
    <row r="864" spans="2:10" ht="14.5">
      <c r="B864" s="47" t="s">
        <v>7501</v>
      </c>
      <c r="C864" s="47" t="s">
        <v>64</v>
      </c>
      <c r="D864" s="47"/>
      <c r="E864" s="47"/>
      <c r="F864" s="47" t="s">
        <v>8236</v>
      </c>
      <c r="G864" s="363">
        <v>46128</v>
      </c>
      <c r="H864" s="47" t="s">
        <v>8190</v>
      </c>
      <c r="I864" s="47" t="s">
        <v>8191</v>
      </c>
      <c r="J864" s="47" t="s">
        <v>9187</v>
      </c>
    </row>
    <row r="865" spans="2:10" ht="14.5">
      <c r="B865" s="47" t="s">
        <v>1133</v>
      </c>
      <c r="C865" s="47" t="s">
        <v>64</v>
      </c>
      <c r="D865" s="47" t="s">
        <v>9188</v>
      </c>
      <c r="E865" s="47" t="s">
        <v>1131</v>
      </c>
      <c r="F865" s="47" t="s">
        <v>8189</v>
      </c>
      <c r="G865" s="363">
        <v>46163</v>
      </c>
      <c r="H865" s="47" t="s">
        <v>8190</v>
      </c>
      <c r="I865" s="47" t="s">
        <v>8191</v>
      </c>
      <c r="J865" s="47" t="s">
        <v>1131</v>
      </c>
    </row>
    <row r="866" spans="2:10" ht="14.5">
      <c r="B866" s="47" t="s">
        <v>1140</v>
      </c>
      <c r="C866" s="47" t="s">
        <v>8187</v>
      </c>
      <c r="D866" s="47" t="s">
        <v>9189</v>
      </c>
      <c r="E866" s="47" t="s">
        <v>1136</v>
      </c>
      <c r="F866" s="47" t="s">
        <v>8189</v>
      </c>
      <c r="G866" s="363">
        <v>46140</v>
      </c>
      <c r="H866" s="47" t="s">
        <v>8190</v>
      </c>
      <c r="I866" s="47" t="s">
        <v>8191</v>
      </c>
      <c r="J866" s="47" t="s">
        <v>1136</v>
      </c>
    </row>
    <row r="867" spans="2:10" ht="14.5">
      <c r="B867" s="47" t="s">
        <v>9190</v>
      </c>
      <c r="C867" s="47" t="s">
        <v>64</v>
      </c>
      <c r="D867" s="47" t="s">
        <v>8948</v>
      </c>
      <c r="E867" s="47" t="s">
        <v>9191</v>
      </c>
      <c r="F867" s="47" t="s">
        <v>8189</v>
      </c>
      <c r="G867" s="363">
        <v>46153</v>
      </c>
      <c r="H867" s="47" t="s">
        <v>8337</v>
      </c>
      <c r="I867" s="47" t="s">
        <v>8191</v>
      </c>
      <c r="J867" s="47" t="s">
        <v>9191</v>
      </c>
    </row>
    <row r="868" spans="2:10" ht="14.5">
      <c r="B868" s="47" t="s">
        <v>1145</v>
      </c>
      <c r="C868" s="47" t="s">
        <v>64</v>
      </c>
      <c r="D868" s="47" t="s">
        <v>9192</v>
      </c>
      <c r="E868" s="47" t="s">
        <v>1143</v>
      </c>
      <c r="F868" s="47" t="s">
        <v>8189</v>
      </c>
      <c r="G868" s="363">
        <v>46163</v>
      </c>
      <c r="H868" s="47" t="s">
        <v>8190</v>
      </c>
      <c r="I868" s="47" t="s">
        <v>8191</v>
      </c>
      <c r="J868" s="47" t="s">
        <v>1143</v>
      </c>
    </row>
    <row r="869" spans="2:10" ht="14.5">
      <c r="B869" s="47" t="s">
        <v>1167</v>
      </c>
      <c r="C869" s="47" t="s">
        <v>64</v>
      </c>
      <c r="D869" s="47" t="s">
        <v>9193</v>
      </c>
      <c r="E869" s="47" t="s">
        <v>1161</v>
      </c>
      <c r="F869" s="47" t="s">
        <v>8189</v>
      </c>
      <c r="G869" s="363">
        <v>46153</v>
      </c>
      <c r="H869" s="47" t="s">
        <v>8190</v>
      </c>
      <c r="I869" s="47" t="s">
        <v>8191</v>
      </c>
      <c r="J869" s="47" t="s">
        <v>1161</v>
      </c>
    </row>
    <row r="870" spans="2:10" ht="14.5">
      <c r="B870" s="47" t="s">
        <v>1174</v>
      </c>
      <c r="C870" s="47" t="s">
        <v>64</v>
      </c>
      <c r="D870" s="47" t="s">
        <v>9194</v>
      </c>
      <c r="E870" s="47" t="s">
        <v>1171</v>
      </c>
      <c r="F870" s="47" t="s">
        <v>8189</v>
      </c>
      <c r="G870" s="363">
        <v>46153</v>
      </c>
      <c r="H870" s="47" t="s">
        <v>8190</v>
      </c>
      <c r="I870" s="47" t="s">
        <v>8191</v>
      </c>
      <c r="J870" s="47" t="s">
        <v>1171</v>
      </c>
    </row>
    <row r="871" spans="2:10" ht="14.5">
      <c r="B871" s="47" t="s">
        <v>1178</v>
      </c>
      <c r="C871" s="47" t="s">
        <v>64</v>
      </c>
      <c r="D871" s="47" t="s">
        <v>9195</v>
      </c>
      <c r="E871" s="47" t="s">
        <v>1175</v>
      </c>
      <c r="F871" s="47" t="s">
        <v>8189</v>
      </c>
      <c r="G871" s="363">
        <v>46153</v>
      </c>
      <c r="H871" s="47" t="s">
        <v>8190</v>
      </c>
      <c r="I871" s="47" t="s">
        <v>8191</v>
      </c>
      <c r="J871" s="47" t="s">
        <v>1175</v>
      </c>
    </row>
    <row r="872" spans="2:10" ht="14.5">
      <c r="B872" s="47" t="s">
        <v>1179</v>
      </c>
      <c r="C872" s="47" t="s">
        <v>64</v>
      </c>
      <c r="D872" s="47" t="s">
        <v>9196</v>
      </c>
      <c r="E872" s="47" t="s">
        <v>1176</v>
      </c>
      <c r="F872" s="47" t="s">
        <v>8189</v>
      </c>
      <c r="G872" s="363">
        <v>46153</v>
      </c>
      <c r="H872" s="47" t="s">
        <v>8190</v>
      </c>
      <c r="I872" s="47" t="s">
        <v>8191</v>
      </c>
      <c r="J872" s="47" t="s">
        <v>1176</v>
      </c>
    </row>
    <row r="873" spans="2:10" ht="14.5">
      <c r="B873" s="47" t="s">
        <v>879</v>
      </c>
      <c r="C873" s="47" t="s">
        <v>64</v>
      </c>
      <c r="D873" s="47" t="s">
        <v>9197</v>
      </c>
      <c r="E873" s="47" t="s">
        <v>62</v>
      </c>
      <c r="F873" s="47" t="s">
        <v>8189</v>
      </c>
      <c r="G873" s="363">
        <v>46181</v>
      </c>
      <c r="H873" s="47" t="s">
        <v>8190</v>
      </c>
      <c r="I873" s="47" t="s">
        <v>8191</v>
      </c>
      <c r="J873" s="47" t="s">
        <v>62</v>
      </c>
    </row>
    <row r="874" spans="2:10" ht="14.5">
      <c r="B874" s="47" t="s">
        <v>9198</v>
      </c>
      <c r="C874" s="47" t="s">
        <v>64</v>
      </c>
      <c r="D874" s="47" t="s">
        <v>9007</v>
      </c>
      <c r="E874" s="47" t="s">
        <v>577</v>
      </c>
      <c r="F874" s="47" t="s">
        <v>8189</v>
      </c>
      <c r="G874" s="363">
        <v>46181</v>
      </c>
      <c r="H874" s="47" t="s">
        <v>8337</v>
      </c>
      <c r="I874" s="47" t="s">
        <v>8191</v>
      </c>
      <c r="J874" s="47" t="s">
        <v>577</v>
      </c>
    </row>
    <row r="875" spans="2:10" ht="14.5">
      <c r="B875" s="47" t="s">
        <v>1125</v>
      </c>
      <c r="C875" s="47" t="s">
        <v>8187</v>
      </c>
      <c r="D875" s="47" t="s">
        <v>9199</v>
      </c>
      <c r="E875" s="47" t="s">
        <v>1123</v>
      </c>
      <c r="F875" s="47" t="s">
        <v>8189</v>
      </c>
      <c r="G875" s="363">
        <v>46142</v>
      </c>
      <c r="H875" s="47" t="s">
        <v>8190</v>
      </c>
      <c r="I875" s="47" t="s">
        <v>8191</v>
      </c>
      <c r="J875" s="47" t="s">
        <v>1123</v>
      </c>
    </row>
    <row r="876" spans="2:10" ht="14.5">
      <c r="B876" s="47" t="s">
        <v>1130</v>
      </c>
      <c r="C876" s="47" t="s">
        <v>8187</v>
      </c>
      <c r="D876" s="47" t="s">
        <v>9200</v>
      </c>
      <c r="E876" s="47" t="s">
        <v>1129</v>
      </c>
      <c r="F876" s="47" t="s">
        <v>8189</v>
      </c>
      <c r="G876" s="363">
        <v>46142</v>
      </c>
      <c r="H876" s="47" t="s">
        <v>8190</v>
      </c>
      <c r="I876" s="47" t="s">
        <v>8191</v>
      </c>
      <c r="J876" s="47" t="s">
        <v>1129</v>
      </c>
    </row>
    <row r="877" spans="2:10" ht="14.5">
      <c r="B877" s="47" t="s">
        <v>1092</v>
      </c>
      <c r="C877" s="47" t="s">
        <v>64</v>
      </c>
      <c r="D877" s="47" t="s">
        <v>9201</v>
      </c>
      <c r="E877" s="47" t="s">
        <v>1090</v>
      </c>
      <c r="F877" s="47" t="s">
        <v>8189</v>
      </c>
      <c r="G877" s="363">
        <v>46132</v>
      </c>
      <c r="H877" s="47" t="s">
        <v>8190</v>
      </c>
      <c r="I877" s="47" t="s">
        <v>8191</v>
      </c>
      <c r="J877" s="47" t="s">
        <v>1090</v>
      </c>
    </row>
    <row r="878" spans="2:10" ht="14.5">
      <c r="B878" s="47" t="s">
        <v>1097</v>
      </c>
      <c r="C878" s="47" t="s">
        <v>64</v>
      </c>
      <c r="D878" s="47" t="s">
        <v>9202</v>
      </c>
      <c r="E878" s="47" t="s">
        <v>1095</v>
      </c>
      <c r="F878" s="47" t="s">
        <v>8189</v>
      </c>
      <c r="G878" s="363">
        <v>46132</v>
      </c>
      <c r="H878" s="47" t="s">
        <v>8190</v>
      </c>
      <c r="I878" s="47" t="s">
        <v>8191</v>
      </c>
      <c r="J878" s="47" t="s">
        <v>1095</v>
      </c>
    </row>
    <row r="879" spans="2:10" ht="14.5">
      <c r="B879" s="47" t="s">
        <v>1106</v>
      </c>
      <c r="C879" s="47" t="s">
        <v>64</v>
      </c>
      <c r="D879" s="47" t="s">
        <v>9203</v>
      </c>
      <c r="E879" s="47" t="s">
        <v>1102</v>
      </c>
      <c r="F879" s="47" t="s">
        <v>8189</v>
      </c>
      <c r="G879" s="363">
        <v>46132</v>
      </c>
      <c r="H879" s="47" t="s">
        <v>8190</v>
      </c>
      <c r="I879" s="47" t="s">
        <v>8191</v>
      </c>
      <c r="J879" s="47" t="s">
        <v>1102</v>
      </c>
    </row>
    <row r="880" spans="2:10" ht="14.5">
      <c r="B880" s="47" t="s">
        <v>1099</v>
      </c>
      <c r="C880" s="47" t="s">
        <v>64</v>
      </c>
      <c r="D880" s="47" t="s">
        <v>9204</v>
      </c>
      <c r="E880" s="47" t="s">
        <v>1098</v>
      </c>
      <c r="F880" s="47" t="s">
        <v>8189</v>
      </c>
      <c r="G880" s="363">
        <v>46132</v>
      </c>
      <c r="H880" s="47" t="s">
        <v>8190</v>
      </c>
      <c r="I880" s="47" t="s">
        <v>8191</v>
      </c>
      <c r="J880" s="47" t="s">
        <v>1098</v>
      </c>
    </row>
    <row r="881" spans="2:10" ht="14.5">
      <c r="B881" s="47" t="s">
        <v>1110</v>
      </c>
      <c r="C881" s="47" t="s">
        <v>64</v>
      </c>
      <c r="D881" s="47" t="s">
        <v>9205</v>
      </c>
      <c r="E881" s="47" t="s">
        <v>1107</v>
      </c>
      <c r="F881" s="47" t="s">
        <v>8189</v>
      </c>
      <c r="G881" s="363">
        <v>46132</v>
      </c>
      <c r="H881" s="47" t="s">
        <v>8190</v>
      </c>
      <c r="I881" s="47" t="s">
        <v>8191</v>
      </c>
      <c r="J881" s="47" t="s">
        <v>1107</v>
      </c>
    </row>
    <row r="882" spans="2:10" ht="14.5">
      <c r="B882" s="47" t="s">
        <v>1114</v>
      </c>
      <c r="C882" s="47" t="s">
        <v>64</v>
      </c>
      <c r="D882" s="47" t="s">
        <v>9206</v>
      </c>
      <c r="E882" s="47" t="s">
        <v>1111</v>
      </c>
      <c r="F882" s="47" t="s">
        <v>8189</v>
      </c>
      <c r="G882" s="363">
        <v>46132</v>
      </c>
      <c r="H882" s="47" t="s">
        <v>8190</v>
      </c>
      <c r="I882" s="47" t="s">
        <v>8191</v>
      </c>
      <c r="J882" s="47" t="s">
        <v>1111</v>
      </c>
    </row>
    <row r="883" spans="2:10" ht="14.5">
      <c r="B883" s="47" t="s">
        <v>1118</v>
      </c>
      <c r="C883" s="47" t="s">
        <v>64</v>
      </c>
      <c r="D883" s="47" t="s">
        <v>9207</v>
      </c>
      <c r="E883" s="47" t="s">
        <v>1117</v>
      </c>
      <c r="F883" s="47" t="s">
        <v>8189</v>
      </c>
      <c r="G883" s="363">
        <v>46139</v>
      </c>
      <c r="H883" s="47" t="s">
        <v>8190</v>
      </c>
      <c r="I883" s="47" t="s">
        <v>8191</v>
      </c>
      <c r="J883" s="47" t="s">
        <v>1117</v>
      </c>
    </row>
    <row r="884" spans="2:10" ht="14.5">
      <c r="B884" s="47" t="s">
        <v>509</v>
      </c>
      <c r="C884" s="47" t="s">
        <v>64</v>
      </c>
      <c r="D884" s="47" t="s">
        <v>9208</v>
      </c>
      <c r="E884" s="47" t="s">
        <v>508</v>
      </c>
      <c r="F884" s="47" t="s">
        <v>8189</v>
      </c>
      <c r="G884" s="363">
        <v>46120</v>
      </c>
      <c r="H884" s="47" t="s">
        <v>8190</v>
      </c>
      <c r="I884" s="47" t="s">
        <v>8191</v>
      </c>
      <c r="J884" s="47" t="s">
        <v>508</v>
      </c>
    </row>
    <row r="885" spans="2:10" ht="14.5">
      <c r="B885" s="47" t="s">
        <v>1120</v>
      </c>
      <c r="C885" s="47" t="s">
        <v>64</v>
      </c>
      <c r="D885" s="47" t="s">
        <v>9209</v>
      </c>
      <c r="E885" s="47" t="s">
        <v>1119</v>
      </c>
      <c r="F885" s="47" t="s">
        <v>8189</v>
      </c>
      <c r="G885" s="363">
        <v>46150</v>
      </c>
      <c r="H885" s="47" t="s">
        <v>8190</v>
      </c>
      <c r="I885" s="47" t="s">
        <v>8191</v>
      </c>
      <c r="J885" s="47" t="s">
        <v>1119</v>
      </c>
    </row>
    <row r="886" spans="2:10" ht="14.5">
      <c r="B886" s="47" t="s">
        <v>513</v>
      </c>
      <c r="C886" s="47" t="s">
        <v>64</v>
      </c>
      <c r="D886" s="47" t="s">
        <v>9210</v>
      </c>
      <c r="E886" s="47" t="s">
        <v>512</v>
      </c>
      <c r="F886" s="47" t="s">
        <v>8189</v>
      </c>
      <c r="G886" s="363">
        <v>46120</v>
      </c>
      <c r="H886" s="47" t="s">
        <v>8190</v>
      </c>
      <c r="I886" s="47" t="s">
        <v>8191</v>
      </c>
      <c r="J886" s="47" t="s">
        <v>512</v>
      </c>
    </row>
    <row r="887" spans="2:10" ht="14.5">
      <c r="B887" s="47" t="s">
        <v>656</v>
      </c>
      <c r="C887" s="47" t="s">
        <v>64</v>
      </c>
      <c r="D887" s="47" t="s">
        <v>9211</v>
      </c>
      <c r="E887" s="47" t="s">
        <v>461</v>
      </c>
      <c r="F887" s="47" t="s">
        <v>8189</v>
      </c>
      <c r="G887" s="363">
        <v>46132</v>
      </c>
      <c r="H887" s="47" t="s">
        <v>8190</v>
      </c>
      <c r="I887" s="47" t="s">
        <v>8191</v>
      </c>
      <c r="J887" s="47" t="s">
        <v>461</v>
      </c>
    </row>
    <row r="888" spans="2:10" ht="14.5">
      <c r="B888" s="47" t="s">
        <v>9212</v>
      </c>
      <c r="C888" s="47" t="s">
        <v>64</v>
      </c>
      <c r="D888" s="47" t="s">
        <v>9013</v>
      </c>
      <c r="E888" s="47" t="s">
        <v>583</v>
      </c>
      <c r="F888" s="47" t="s">
        <v>8189</v>
      </c>
      <c r="G888" s="363">
        <v>46129</v>
      </c>
      <c r="H888" s="47" t="s">
        <v>8337</v>
      </c>
      <c r="I888" s="47" t="s">
        <v>8191</v>
      </c>
      <c r="J888" s="47" t="s">
        <v>583</v>
      </c>
    </row>
    <row r="889" spans="2:10" ht="14.5">
      <c r="B889" s="47" t="s">
        <v>9213</v>
      </c>
      <c r="C889" s="47" t="s">
        <v>64</v>
      </c>
      <c r="D889" s="47" t="s">
        <v>9015</v>
      </c>
      <c r="E889" s="47" t="s">
        <v>590</v>
      </c>
      <c r="F889" s="47" t="s">
        <v>8189</v>
      </c>
      <c r="G889" s="363">
        <v>46129</v>
      </c>
      <c r="H889" s="47" t="s">
        <v>8337</v>
      </c>
      <c r="I889" s="47" t="s">
        <v>8191</v>
      </c>
      <c r="J889" s="47" t="s">
        <v>590</v>
      </c>
    </row>
    <row r="890" spans="2:10" ht="14.5">
      <c r="B890" s="47" t="s">
        <v>862</v>
      </c>
      <c r="C890" s="47" t="s">
        <v>64</v>
      </c>
      <c r="D890" s="47" t="s">
        <v>9214</v>
      </c>
      <c r="E890" s="47" t="s">
        <v>858</v>
      </c>
      <c r="F890" s="47" t="s">
        <v>8189</v>
      </c>
      <c r="G890" s="363">
        <v>46171</v>
      </c>
      <c r="H890" s="47" t="s">
        <v>8190</v>
      </c>
      <c r="I890" s="47" t="s">
        <v>8191</v>
      </c>
      <c r="J890" s="47" t="s">
        <v>858</v>
      </c>
    </row>
    <row r="891" spans="2:10" ht="14.5">
      <c r="B891" s="47" t="s">
        <v>866</v>
      </c>
      <c r="C891" s="47" t="s">
        <v>64</v>
      </c>
      <c r="D891" s="47" t="s">
        <v>9215</v>
      </c>
      <c r="E891" s="47" t="s">
        <v>780</v>
      </c>
      <c r="F891" s="47" t="s">
        <v>8189</v>
      </c>
      <c r="G891" s="363">
        <v>46171</v>
      </c>
      <c r="H891" s="47" t="s">
        <v>8190</v>
      </c>
      <c r="I891" s="47" t="s">
        <v>8191</v>
      </c>
      <c r="J891" s="47" t="s">
        <v>780</v>
      </c>
    </row>
    <row r="892" spans="2:10" ht="14.5">
      <c r="B892" s="47" t="s">
        <v>1083</v>
      </c>
      <c r="C892" s="47" t="s">
        <v>8187</v>
      </c>
      <c r="D892" s="47" t="s">
        <v>9216</v>
      </c>
      <c r="E892" s="47" t="s">
        <v>1079</v>
      </c>
      <c r="F892" s="47" t="s">
        <v>8189</v>
      </c>
      <c r="G892" s="363">
        <v>46153</v>
      </c>
      <c r="H892" s="47" t="s">
        <v>8190</v>
      </c>
      <c r="I892" s="47" t="s">
        <v>8191</v>
      </c>
      <c r="J892" s="47" t="s">
        <v>1079</v>
      </c>
    </row>
    <row r="893" spans="2:10" ht="14.5">
      <c r="B893" s="47" t="s">
        <v>1089</v>
      </c>
      <c r="C893" s="47" t="s">
        <v>8187</v>
      </c>
      <c r="D893" s="47" t="s">
        <v>9217</v>
      </c>
      <c r="E893" s="47" t="s">
        <v>1088</v>
      </c>
      <c r="F893" s="47" t="s">
        <v>8189</v>
      </c>
      <c r="G893" s="363">
        <v>46153</v>
      </c>
      <c r="H893" s="47" t="s">
        <v>8190</v>
      </c>
      <c r="I893" s="47" t="s">
        <v>8191</v>
      </c>
      <c r="J893" s="47" t="s">
        <v>1088</v>
      </c>
    </row>
    <row r="894" spans="2:10" ht="14.5">
      <c r="B894" s="47" t="s">
        <v>1059</v>
      </c>
      <c r="C894" s="47" t="s">
        <v>64</v>
      </c>
      <c r="D894" s="47" t="s">
        <v>9218</v>
      </c>
      <c r="E894" s="47" t="s">
        <v>1058</v>
      </c>
      <c r="F894" s="47" t="s">
        <v>8189</v>
      </c>
      <c r="G894" s="363">
        <v>46147</v>
      </c>
      <c r="H894" s="47" t="s">
        <v>8190</v>
      </c>
      <c r="I894" s="47" t="s">
        <v>8191</v>
      </c>
      <c r="J894" s="47" t="s">
        <v>1058</v>
      </c>
    </row>
    <row r="895" spans="2:10" ht="14.5">
      <c r="B895" s="47" t="s">
        <v>1064</v>
      </c>
      <c r="C895" s="47" t="s">
        <v>64</v>
      </c>
      <c r="D895" s="47" t="s">
        <v>9219</v>
      </c>
      <c r="E895" s="47" t="s">
        <v>1060</v>
      </c>
      <c r="F895" s="47" t="s">
        <v>8189</v>
      </c>
      <c r="G895" s="363">
        <v>46126</v>
      </c>
      <c r="H895" s="47" t="s">
        <v>8190</v>
      </c>
      <c r="I895" s="47" t="s">
        <v>8191</v>
      </c>
      <c r="J895" s="47" t="s">
        <v>1060</v>
      </c>
    </row>
    <row r="896" spans="2:10" ht="14.5">
      <c r="B896" s="47" t="s">
        <v>1069</v>
      </c>
      <c r="C896" s="47" t="s">
        <v>64</v>
      </c>
      <c r="D896" s="47" t="s">
        <v>9220</v>
      </c>
      <c r="E896" s="47" t="s">
        <v>1068</v>
      </c>
      <c r="F896" s="47" t="s">
        <v>8189</v>
      </c>
      <c r="G896" s="363">
        <v>46132</v>
      </c>
      <c r="H896" s="47" t="s">
        <v>8190</v>
      </c>
      <c r="I896" s="47" t="s">
        <v>8191</v>
      </c>
      <c r="J896" s="47" t="s">
        <v>1068</v>
      </c>
    </row>
    <row r="897" spans="2:10" ht="14.5">
      <c r="B897" s="47" t="s">
        <v>833</v>
      </c>
      <c r="C897" s="47" t="s">
        <v>64</v>
      </c>
      <c r="D897" s="47" t="s">
        <v>9221</v>
      </c>
      <c r="E897" s="47" t="s">
        <v>832</v>
      </c>
      <c r="F897" s="47" t="s">
        <v>8189</v>
      </c>
      <c r="G897" s="363">
        <v>46133</v>
      </c>
      <c r="H897" s="47" t="s">
        <v>8190</v>
      </c>
      <c r="I897" s="47" t="s">
        <v>8191</v>
      </c>
      <c r="J897" s="47" t="s">
        <v>832</v>
      </c>
    </row>
    <row r="898" spans="2:10" ht="14.5">
      <c r="B898" s="47" t="s">
        <v>1078</v>
      </c>
      <c r="C898" s="47" t="s">
        <v>8187</v>
      </c>
      <c r="D898" s="47" t="s">
        <v>9222</v>
      </c>
      <c r="E898" s="47" t="s">
        <v>1076</v>
      </c>
      <c r="F898" s="47" t="s">
        <v>8189</v>
      </c>
      <c r="G898" s="363">
        <v>46155</v>
      </c>
      <c r="H898" s="47" t="s">
        <v>8190</v>
      </c>
      <c r="I898" s="47" t="s">
        <v>8191</v>
      </c>
      <c r="J898" s="47" t="s">
        <v>1076</v>
      </c>
    </row>
    <row r="899" spans="2:10" ht="14.5">
      <c r="B899" s="47" t="s">
        <v>843</v>
      </c>
      <c r="C899" s="47" t="s">
        <v>8187</v>
      </c>
      <c r="D899" s="47" t="s">
        <v>9223</v>
      </c>
      <c r="E899" s="47" t="s">
        <v>837</v>
      </c>
      <c r="F899" s="47" t="s">
        <v>8189</v>
      </c>
      <c r="G899" s="363">
        <v>46135</v>
      </c>
      <c r="H899" s="47" t="s">
        <v>8190</v>
      </c>
      <c r="I899" s="47" t="s">
        <v>8191</v>
      </c>
      <c r="J899" s="47" t="s">
        <v>837</v>
      </c>
    </row>
    <row r="900" spans="2:10" ht="14.5">
      <c r="B900" s="47" t="s">
        <v>1073</v>
      </c>
      <c r="C900" s="47" t="s">
        <v>8187</v>
      </c>
      <c r="D900" s="47" t="s">
        <v>9224</v>
      </c>
      <c r="E900" s="47" t="s">
        <v>1072</v>
      </c>
      <c r="F900" s="47" t="s">
        <v>8189</v>
      </c>
      <c r="G900" s="363">
        <v>46155</v>
      </c>
      <c r="H900" s="47" t="s">
        <v>8190</v>
      </c>
      <c r="I900" s="47" t="s">
        <v>8191</v>
      </c>
      <c r="J900" s="47" t="s">
        <v>1072</v>
      </c>
    </row>
    <row r="901" spans="2:10" ht="14.5">
      <c r="B901" s="47" t="s">
        <v>849</v>
      </c>
      <c r="C901" s="47" t="s">
        <v>64</v>
      </c>
      <c r="D901" s="47" t="s">
        <v>9225</v>
      </c>
      <c r="E901" s="47" t="s">
        <v>847</v>
      </c>
      <c r="F901" s="47" t="s">
        <v>8189</v>
      </c>
      <c r="G901" s="363">
        <v>46150</v>
      </c>
      <c r="H901" s="47" t="s">
        <v>8190</v>
      </c>
      <c r="I901" s="47" t="s">
        <v>8191</v>
      </c>
      <c r="J901" s="47" t="s">
        <v>847</v>
      </c>
    </row>
    <row r="902" spans="2:10" ht="14.5">
      <c r="B902" s="47" t="s">
        <v>854</v>
      </c>
      <c r="C902" s="47" t="s">
        <v>64</v>
      </c>
      <c r="D902" s="47" t="s">
        <v>9226</v>
      </c>
      <c r="E902" s="47" t="s">
        <v>688</v>
      </c>
      <c r="F902" s="47" t="s">
        <v>8189</v>
      </c>
      <c r="G902" s="363">
        <v>46150</v>
      </c>
      <c r="H902" s="47" t="s">
        <v>8190</v>
      </c>
      <c r="I902" s="47" t="s">
        <v>8191</v>
      </c>
      <c r="J902" s="47" t="s">
        <v>688</v>
      </c>
    </row>
    <row r="903" spans="2:10" ht="14.5">
      <c r="B903" s="47" t="s">
        <v>857</v>
      </c>
      <c r="C903" s="47" t="s">
        <v>64</v>
      </c>
      <c r="D903" s="47" t="s">
        <v>9227</v>
      </c>
      <c r="E903" s="47" t="s">
        <v>855</v>
      </c>
      <c r="F903" s="47" t="s">
        <v>8189</v>
      </c>
      <c r="G903" s="363">
        <v>46150</v>
      </c>
      <c r="H903" s="47" t="s">
        <v>8190</v>
      </c>
      <c r="I903" s="47" t="s">
        <v>8191</v>
      </c>
      <c r="J903" s="47" t="s">
        <v>855</v>
      </c>
    </row>
    <row r="904" spans="2:10" ht="14.5">
      <c r="B904" s="47" t="s">
        <v>382</v>
      </c>
      <c r="C904" s="47" t="s">
        <v>64</v>
      </c>
      <c r="D904" s="47" t="s">
        <v>9228</v>
      </c>
      <c r="E904" s="47" t="s">
        <v>381</v>
      </c>
      <c r="F904" s="47" t="s">
        <v>8189</v>
      </c>
      <c r="G904" s="363">
        <v>46115</v>
      </c>
      <c r="H904" s="47" t="s">
        <v>8190</v>
      </c>
      <c r="I904" s="47" t="s">
        <v>8191</v>
      </c>
      <c r="J904" s="47" t="s">
        <v>381</v>
      </c>
    </row>
    <row r="905" spans="2:10" ht="14.5">
      <c r="B905" s="47" t="s">
        <v>388</v>
      </c>
      <c r="C905" s="47" t="s">
        <v>64</v>
      </c>
      <c r="D905" s="47" t="s">
        <v>9229</v>
      </c>
      <c r="E905" s="47" t="s">
        <v>386</v>
      </c>
      <c r="F905" s="47" t="s">
        <v>8189</v>
      </c>
      <c r="G905" s="363">
        <v>46115</v>
      </c>
      <c r="H905" s="47" t="s">
        <v>8190</v>
      </c>
      <c r="I905" s="47" t="s">
        <v>8191</v>
      </c>
      <c r="J905" s="47" t="s">
        <v>386</v>
      </c>
    </row>
    <row r="906" spans="2:10" ht="14.5">
      <c r="B906" s="47" t="s">
        <v>390</v>
      </c>
      <c r="C906" s="47" t="s">
        <v>64</v>
      </c>
      <c r="D906" s="47" t="s">
        <v>9230</v>
      </c>
      <c r="E906" s="47" t="s">
        <v>389</v>
      </c>
      <c r="F906" s="47" t="s">
        <v>8189</v>
      </c>
      <c r="G906" s="363">
        <v>46115</v>
      </c>
      <c r="H906" s="47" t="s">
        <v>8190</v>
      </c>
      <c r="I906" s="47" t="s">
        <v>8191</v>
      </c>
      <c r="J906" s="47" t="s">
        <v>389</v>
      </c>
    </row>
    <row r="907" spans="2:10" ht="14.5">
      <c r="B907" s="47" t="s">
        <v>828</v>
      </c>
      <c r="C907" s="47" t="s">
        <v>64</v>
      </c>
      <c r="D907" s="47" t="s">
        <v>9231</v>
      </c>
      <c r="E907" s="47" t="s">
        <v>827</v>
      </c>
      <c r="F907" s="47" t="s">
        <v>8189</v>
      </c>
      <c r="G907" s="363">
        <v>46147</v>
      </c>
      <c r="H907" s="47" t="s">
        <v>8190</v>
      </c>
      <c r="I907" s="47" t="s">
        <v>8191</v>
      </c>
      <c r="J907" s="47" t="s">
        <v>827</v>
      </c>
    </row>
    <row r="908" spans="2:10" ht="14.5">
      <c r="B908" s="47" t="s">
        <v>501</v>
      </c>
      <c r="C908" s="47" t="s">
        <v>64</v>
      </c>
      <c r="D908" s="47" t="s">
        <v>9232</v>
      </c>
      <c r="E908" s="47" t="s">
        <v>500</v>
      </c>
      <c r="F908" s="47" t="s">
        <v>8189</v>
      </c>
      <c r="G908" s="363">
        <v>46120</v>
      </c>
      <c r="H908" s="47" t="s">
        <v>8190</v>
      </c>
      <c r="I908" s="47" t="s">
        <v>8191</v>
      </c>
      <c r="J908" s="47" t="s">
        <v>500</v>
      </c>
    </row>
    <row r="909" spans="2:10" ht="14.5">
      <c r="B909" s="47" t="s">
        <v>507</v>
      </c>
      <c r="C909" s="47" t="s">
        <v>64</v>
      </c>
      <c r="D909" s="47" t="s">
        <v>9233</v>
      </c>
      <c r="E909" s="47" t="s">
        <v>506</v>
      </c>
      <c r="F909" s="47" t="s">
        <v>8189</v>
      </c>
      <c r="G909" s="363">
        <v>46120</v>
      </c>
      <c r="H909" s="47" t="s">
        <v>8190</v>
      </c>
      <c r="I909" s="47" t="s">
        <v>8191</v>
      </c>
      <c r="J909" s="47" t="s">
        <v>506</v>
      </c>
    </row>
    <row r="910" spans="2:10" ht="14.5">
      <c r="B910" s="47" t="s">
        <v>1057</v>
      </c>
      <c r="C910" s="47" t="s">
        <v>64</v>
      </c>
      <c r="D910" s="47" t="s">
        <v>9234</v>
      </c>
      <c r="E910" s="47" t="s">
        <v>1056</v>
      </c>
      <c r="F910" s="47" t="s">
        <v>8189</v>
      </c>
      <c r="G910" s="363">
        <v>46147</v>
      </c>
      <c r="H910" s="47" t="s">
        <v>8190</v>
      </c>
      <c r="I910" s="47" t="s">
        <v>8191</v>
      </c>
      <c r="J910" s="47" t="s">
        <v>1056</v>
      </c>
    </row>
    <row r="911" spans="2:10" ht="14.5">
      <c r="B911" s="47" t="s">
        <v>823</v>
      </c>
      <c r="C911" s="47" t="s">
        <v>64</v>
      </c>
      <c r="D911" s="47" t="s">
        <v>9235</v>
      </c>
      <c r="E911" s="47" t="s">
        <v>821</v>
      </c>
      <c r="F911" s="47" t="s">
        <v>8189</v>
      </c>
      <c r="G911" s="363">
        <v>46127</v>
      </c>
      <c r="H911" s="47" t="s">
        <v>8190</v>
      </c>
      <c r="I911" s="47" t="s">
        <v>8191</v>
      </c>
      <c r="J911" s="47" t="s">
        <v>821</v>
      </c>
    </row>
    <row r="912" spans="2:10" ht="14.5">
      <c r="B912" s="47" t="s">
        <v>505</v>
      </c>
      <c r="C912" s="47" t="s">
        <v>64</v>
      </c>
      <c r="D912" s="47" t="s">
        <v>9236</v>
      </c>
      <c r="E912" s="47" t="s">
        <v>504</v>
      </c>
      <c r="F912" s="47" t="s">
        <v>8189</v>
      </c>
      <c r="G912" s="363">
        <v>46120</v>
      </c>
      <c r="H912" s="47" t="s">
        <v>8190</v>
      </c>
      <c r="I912" s="47" t="s">
        <v>8191</v>
      </c>
      <c r="J912" s="47" t="s">
        <v>504</v>
      </c>
    </row>
    <row r="913" spans="2:10" ht="14.5">
      <c r="B913" s="47" t="s">
        <v>1034</v>
      </c>
      <c r="C913" s="47" t="s">
        <v>8187</v>
      </c>
      <c r="D913" s="47" t="s">
        <v>9237</v>
      </c>
      <c r="E913" s="47" t="s">
        <v>1028</v>
      </c>
      <c r="F913" s="47" t="s">
        <v>8189</v>
      </c>
      <c r="G913" s="363">
        <v>46134</v>
      </c>
      <c r="H913" s="47" t="s">
        <v>8190</v>
      </c>
      <c r="I913" s="47" t="s">
        <v>8191</v>
      </c>
      <c r="J913" s="47" t="s">
        <v>1028</v>
      </c>
    </row>
    <row r="914" spans="2:10" ht="14.5">
      <c r="B914" s="47" t="s">
        <v>1048</v>
      </c>
      <c r="C914" s="47" t="s">
        <v>64</v>
      </c>
      <c r="D914" s="47" t="s">
        <v>9238</v>
      </c>
      <c r="E914" s="47" t="s">
        <v>1045</v>
      </c>
      <c r="F914" s="47" t="s">
        <v>8189</v>
      </c>
      <c r="G914" s="363">
        <v>46134</v>
      </c>
      <c r="H914" s="47" t="s">
        <v>8190</v>
      </c>
      <c r="I914" s="47" t="s">
        <v>8191</v>
      </c>
      <c r="J914" s="47" t="s">
        <v>1045</v>
      </c>
    </row>
    <row r="915" spans="2:10" ht="14.5">
      <c r="B915" s="47" t="s">
        <v>1053</v>
      </c>
      <c r="C915" s="47" t="s">
        <v>64</v>
      </c>
      <c r="D915" s="47" t="s">
        <v>9239</v>
      </c>
      <c r="E915" s="47" t="s">
        <v>1052</v>
      </c>
      <c r="F915" s="47" t="s">
        <v>8189</v>
      </c>
      <c r="G915" s="363">
        <v>46147</v>
      </c>
      <c r="H915" s="47" t="s">
        <v>8190</v>
      </c>
      <c r="I915" s="47" t="s">
        <v>8191</v>
      </c>
      <c r="J915" s="47" t="s">
        <v>1052</v>
      </c>
    </row>
    <row r="916" spans="2:10" ht="14.5">
      <c r="B916" s="47" t="s">
        <v>1039</v>
      </c>
      <c r="C916" s="47" t="s">
        <v>8187</v>
      </c>
      <c r="D916" s="47" t="s">
        <v>9240</v>
      </c>
      <c r="E916" s="47" t="s">
        <v>1038</v>
      </c>
      <c r="F916" s="47" t="s">
        <v>8189</v>
      </c>
      <c r="G916" s="363">
        <v>46134</v>
      </c>
      <c r="H916" s="47" t="s">
        <v>8190</v>
      </c>
      <c r="I916" s="47" t="s">
        <v>8191</v>
      </c>
      <c r="J916" s="47" t="s">
        <v>1038</v>
      </c>
    </row>
    <row r="917" spans="2:10" ht="14.5">
      <c r="B917" s="47" t="s">
        <v>1044</v>
      </c>
      <c r="C917" s="47" t="s">
        <v>8187</v>
      </c>
      <c r="D917" s="47" t="s">
        <v>9241</v>
      </c>
      <c r="E917" s="47" t="s">
        <v>1042</v>
      </c>
      <c r="F917" s="47" t="s">
        <v>8189</v>
      </c>
      <c r="G917" s="363">
        <v>46134</v>
      </c>
      <c r="H917" s="47" t="s">
        <v>8190</v>
      </c>
      <c r="I917" s="47" t="s">
        <v>8191</v>
      </c>
      <c r="J917" s="47" t="s">
        <v>1042</v>
      </c>
    </row>
    <row r="918" spans="2:10" ht="14.5">
      <c r="B918" s="47" t="s">
        <v>1041</v>
      </c>
      <c r="C918" s="47" t="s">
        <v>8187</v>
      </c>
      <c r="D918" s="47" t="s">
        <v>9242</v>
      </c>
      <c r="E918" s="47" t="s">
        <v>1040</v>
      </c>
      <c r="F918" s="47" t="s">
        <v>8189</v>
      </c>
      <c r="G918" s="363">
        <v>46134</v>
      </c>
      <c r="H918" s="47" t="s">
        <v>8190</v>
      </c>
      <c r="I918" s="47" t="s">
        <v>8191</v>
      </c>
      <c r="J918" s="47" t="s">
        <v>1040</v>
      </c>
    </row>
    <row r="919" spans="2:10" ht="14.5">
      <c r="B919" s="47" t="s">
        <v>4189</v>
      </c>
      <c r="C919" s="47" t="s">
        <v>64</v>
      </c>
      <c r="D919" s="47"/>
      <c r="E919" s="47"/>
      <c r="F919" s="47" t="s">
        <v>8189</v>
      </c>
      <c r="G919" s="363">
        <v>46090</v>
      </c>
      <c r="H919" s="47" t="s">
        <v>8190</v>
      </c>
      <c r="I919" s="47" t="s">
        <v>8191</v>
      </c>
      <c r="J919" s="47" t="s">
        <v>9243</v>
      </c>
    </row>
    <row r="920" spans="2:10" ht="14.5">
      <c r="B920" s="47" t="s">
        <v>4187</v>
      </c>
      <c r="C920" s="47" t="s">
        <v>64</v>
      </c>
      <c r="D920" s="47"/>
      <c r="E920" s="47"/>
      <c r="F920" s="47" t="s">
        <v>8189</v>
      </c>
      <c r="G920" s="363">
        <v>46090</v>
      </c>
      <c r="H920" s="47" t="s">
        <v>8190</v>
      </c>
      <c r="I920" s="47" t="s">
        <v>8191</v>
      </c>
      <c r="J920" s="47" t="s">
        <v>9244</v>
      </c>
    </row>
    <row r="921" spans="2:10" ht="14.5">
      <c r="B921" s="47" t="s">
        <v>4185</v>
      </c>
      <c r="C921" s="47" t="s">
        <v>64</v>
      </c>
      <c r="D921" s="47"/>
      <c r="E921" s="47"/>
      <c r="F921" s="47" t="s">
        <v>8189</v>
      </c>
      <c r="G921" s="363">
        <v>46090</v>
      </c>
      <c r="H921" s="47" t="s">
        <v>8190</v>
      </c>
      <c r="I921" s="47" t="s">
        <v>8191</v>
      </c>
      <c r="J921" s="47" t="s">
        <v>9245</v>
      </c>
    </row>
    <row r="922" spans="2:10" ht="14.5">
      <c r="B922" s="47" t="s">
        <v>4180</v>
      </c>
      <c r="C922" s="47" t="s">
        <v>64</v>
      </c>
      <c r="D922" s="47"/>
      <c r="E922" s="47"/>
      <c r="F922" s="47" t="s">
        <v>8189</v>
      </c>
      <c r="G922" s="363">
        <v>46090</v>
      </c>
      <c r="H922" s="47" t="s">
        <v>8190</v>
      </c>
      <c r="I922" s="47" t="s">
        <v>8191</v>
      </c>
      <c r="J922" s="47" t="s">
        <v>9246</v>
      </c>
    </row>
    <row r="923" spans="2:10" ht="14.5">
      <c r="B923" s="47" t="s">
        <v>135</v>
      </c>
      <c r="C923" s="47" t="s">
        <v>64</v>
      </c>
      <c r="D923" s="47"/>
      <c r="E923" s="47"/>
      <c r="F923" s="47" t="s">
        <v>8189</v>
      </c>
      <c r="G923" s="363">
        <v>46112</v>
      </c>
      <c r="H923" s="47" t="s">
        <v>8190</v>
      </c>
      <c r="I923" s="47" t="s">
        <v>8191</v>
      </c>
      <c r="J923" s="47" t="s">
        <v>9247</v>
      </c>
    </row>
    <row r="924" spans="2:10" ht="14.5">
      <c r="B924" s="47" t="s">
        <v>191</v>
      </c>
      <c r="C924" s="47" t="s">
        <v>64</v>
      </c>
      <c r="D924" s="47"/>
      <c r="E924" s="47"/>
      <c r="F924" s="47" t="s">
        <v>8189</v>
      </c>
      <c r="G924" s="363">
        <v>46112</v>
      </c>
      <c r="H924" s="47" t="s">
        <v>8190</v>
      </c>
      <c r="I924" s="47" t="s">
        <v>8191</v>
      </c>
      <c r="J924" s="47" t="s">
        <v>9248</v>
      </c>
    </row>
    <row r="925" spans="2:10" ht="14.5">
      <c r="B925" s="47" t="s">
        <v>182</v>
      </c>
      <c r="C925" s="47" t="s">
        <v>64</v>
      </c>
      <c r="D925" s="47"/>
      <c r="E925" s="47"/>
      <c r="F925" s="47" t="s">
        <v>8189</v>
      </c>
      <c r="G925" s="363">
        <v>46112</v>
      </c>
      <c r="H925" s="47" t="s">
        <v>8190</v>
      </c>
      <c r="I925" s="47" t="s">
        <v>8191</v>
      </c>
      <c r="J925" s="47" t="s">
        <v>9249</v>
      </c>
    </row>
    <row r="926" spans="2:10" ht="14.5">
      <c r="B926" s="47" t="s">
        <v>251</v>
      </c>
      <c r="C926" s="47" t="s">
        <v>64</v>
      </c>
      <c r="D926" s="47"/>
      <c r="E926" s="47"/>
      <c r="F926" s="47" t="s">
        <v>8189</v>
      </c>
      <c r="G926" s="363">
        <v>46097</v>
      </c>
      <c r="H926" s="47" t="s">
        <v>8190</v>
      </c>
      <c r="I926" s="47" t="s">
        <v>8191</v>
      </c>
      <c r="J926" s="47" t="s">
        <v>9250</v>
      </c>
    </row>
    <row r="927" spans="2:10" ht="14.5">
      <c r="B927" s="47" t="s">
        <v>164</v>
      </c>
      <c r="C927" s="47" t="s">
        <v>64</v>
      </c>
      <c r="D927" s="47"/>
      <c r="E927" s="47"/>
      <c r="F927" s="47" t="s">
        <v>8189</v>
      </c>
      <c r="G927" s="363">
        <v>46125</v>
      </c>
      <c r="H927" s="47" t="s">
        <v>8190</v>
      </c>
      <c r="I927" s="47" t="s">
        <v>8191</v>
      </c>
      <c r="J927" s="47" t="s">
        <v>9251</v>
      </c>
    </row>
    <row r="928" spans="2:10" ht="14.5">
      <c r="B928" s="47" t="s">
        <v>104</v>
      </c>
      <c r="C928" s="47" t="s">
        <v>64</v>
      </c>
      <c r="D928" s="47"/>
      <c r="E928" s="47"/>
      <c r="F928" s="47" t="s">
        <v>8189</v>
      </c>
      <c r="G928" s="363">
        <v>46125</v>
      </c>
      <c r="H928" s="47" t="s">
        <v>8190</v>
      </c>
      <c r="I928" s="47" t="s">
        <v>8191</v>
      </c>
      <c r="J928" s="47" t="s">
        <v>9252</v>
      </c>
    </row>
    <row r="929" spans="2:10" ht="14.5">
      <c r="B929" s="47" t="s">
        <v>9253</v>
      </c>
      <c r="C929" s="47" t="s">
        <v>64</v>
      </c>
      <c r="D929" s="47" t="s">
        <v>9254</v>
      </c>
      <c r="E929" s="47"/>
      <c r="F929" s="47" t="s">
        <v>8236</v>
      </c>
      <c r="G929" s="363">
        <v>46128</v>
      </c>
      <c r="H929" s="47" t="s">
        <v>8337</v>
      </c>
      <c r="I929" s="47" t="s">
        <v>8191</v>
      </c>
      <c r="J929" s="47" t="s">
        <v>9255</v>
      </c>
    </row>
    <row r="930" spans="2:10" ht="14.5">
      <c r="B930" s="47" t="s">
        <v>139</v>
      </c>
      <c r="C930" s="47" t="s">
        <v>64</v>
      </c>
      <c r="D930" s="47" t="s">
        <v>9256</v>
      </c>
      <c r="E930" s="47"/>
      <c r="F930" s="47" t="s">
        <v>8189</v>
      </c>
      <c r="G930" s="363">
        <v>46104</v>
      </c>
      <c r="H930" s="47" t="s">
        <v>8190</v>
      </c>
      <c r="I930" s="47" t="s">
        <v>8191</v>
      </c>
      <c r="J930" s="47" t="s">
        <v>9257</v>
      </c>
    </row>
    <row r="931" spans="2:10" ht="14.5">
      <c r="B931" s="47" t="s">
        <v>9258</v>
      </c>
      <c r="C931" s="47" t="s">
        <v>64</v>
      </c>
      <c r="D931" s="47" t="s">
        <v>9259</v>
      </c>
      <c r="E931" s="47"/>
      <c r="F931" s="47" t="s">
        <v>8189</v>
      </c>
      <c r="G931" s="363">
        <v>46125</v>
      </c>
      <c r="H931" s="47" t="s">
        <v>8190</v>
      </c>
      <c r="I931" s="47" t="s">
        <v>8191</v>
      </c>
      <c r="J931" s="47" t="s">
        <v>9260</v>
      </c>
    </row>
    <row r="932" spans="2:10" ht="14.5">
      <c r="B932" s="47" t="s">
        <v>259</v>
      </c>
      <c r="C932" s="47" t="s">
        <v>64</v>
      </c>
      <c r="D932" s="47" t="s">
        <v>9261</v>
      </c>
      <c r="E932" s="47"/>
      <c r="F932" s="47" t="s">
        <v>8189</v>
      </c>
      <c r="G932" s="363">
        <v>46125</v>
      </c>
      <c r="H932" s="47" t="s">
        <v>8190</v>
      </c>
      <c r="I932" s="47" t="s">
        <v>8191</v>
      </c>
      <c r="J932" s="47" t="s">
        <v>9262</v>
      </c>
    </row>
    <row r="933" spans="2:10" ht="14.5">
      <c r="B933" s="47" t="s">
        <v>173</v>
      </c>
      <c r="C933" s="47" t="s">
        <v>64</v>
      </c>
      <c r="D933" s="47" t="s">
        <v>9263</v>
      </c>
      <c r="E933" s="47"/>
      <c r="F933" s="47" t="s">
        <v>8189</v>
      </c>
      <c r="G933" s="363">
        <v>46125</v>
      </c>
      <c r="H933" s="47" t="s">
        <v>8190</v>
      </c>
      <c r="I933" s="47" t="s">
        <v>8191</v>
      </c>
      <c r="J933" s="47" t="s">
        <v>9264</v>
      </c>
    </row>
    <row r="934" spans="2:10" ht="14.5">
      <c r="B934" s="47" t="s">
        <v>324</v>
      </c>
      <c r="C934" s="47" t="s">
        <v>64</v>
      </c>
      <c r="D934" s="47" t="s">
        <v>9265</v>
      </c>
      <c r="E934" s="47" t="s">
        <v>323</v>
      </c>
      <c r="F934" s="47" t="s">
        <v>8189</v>
      </c>
      <c r="G934" s="363">
        <v>46125</v>
      </c>
      <c r="H934" s="47" t="s">
        <v>8190</v>
      </c>
      <c r="I934" s="47" t="s">
        <v>8191</v>
      </c>
      <c r="J934" s="47" t="s">
        <v>323</v>
      </c>
    </row>
    <row r="935" spans="2:10" ht="14.5">
      <c r="B935" s="47" t="s">
        <v>392</v>
      </c>
      <c r="C935" s="47" t="s">
        <v>64</v>
      </c>
      <c r="D935" s="47" t="s">
        <v>9266</v>
      </c>
      <c r="E935" s="47" t="s">
        <v>391</v>
      </c>
      <c r="F935" s="47" t="s">
        <v>8189</v>
      </c>
      <c r="G935" s="363">
        <v>46129</v>
      </c>
      <c r="H935" s="47" t="s">
        <v>8190</v>
      </c>
      <c r="I935" s="47" t="s">
        <v>8191</v>
      </c>
      <c r="J935" s="47" t="s">
        <v>391</v>
      </c>
    </row>
    <row r="936" spans="2:10" ht="14.5">
      <c r="B936" s="47" t="s">
        <v>484</v>
      </c>
      <c r="C936" s="47" t="s">
        <v>64</v>
      </c>
      <c r="D936" s="47" t="s">
        <v>9267</v>
      </c>
      <c r="E936" s="47" t="s">
        <v>482</v>
      </c>
      <c r="F936" s="47" t="s">
        <v>8189</v>
      </c>
      <c r="G936" s="363">
        <v>46132</v>
      </c>
      <c r="H936" s="47" t="s">
        <v>8190</v>
      </c>
      <c r="I936" s="47" t="s">
        <v>8191</v>
      </c>
      <c r="J936" s="47" t="s">
        <v>482</v>
      </c>
    </row>
    <row r="937" spans="2:10" ht="14.5">
      <c r="B937" s="47" t="s">
        <v>491</v>
      </c>
      <c r="C937" s="47" t="s">
        <v>64</v>
      </c>
      <c r="D937" s="47" t="s">
        <v>9268</v>
      </c>
      <c r="E937" s="47" t="s">
        <v>490</v>
      </c>
      <c r="F937" s="47" t="s">
        <v>8189</v>
      </c>
      <c r="G937" s="363">
        <v>46125</v>
      </c>
      <c r="H937" s="47" t="s">
        <v>8190</v>
      </c>
      <c r="I937" s="47" t="s">
        <v>8191</v>
      </c>
      <c r="J937" s="47" t="s">
        <v>490</v>
      </c>
    </row>
    <row r="938" spans="2:10" ht="14.5">
      <c r="B938" s="47" t="s">
        <v>495</v>
      </c>
      <c r="C938" s="47" t="s">
        <v>64</v>
      </c>
      <c r="D938" s="47" t="s">
        <v>9269</v>
      </c>
      <c r="E938" s="47" t="s">
        <v>494</v>
      </c>
      <c r="F938" s="47" t="s">
        <v>8189</v>
      </c>
      <c r="G938" s="363">
        <v>46125</v>
      </c>
      <c r="H938" s="47" t="s">
        <v>8190</v>
      </c>
      <c r="I938" s="47" t="s">
        <v>8191</v>
      </c>
      <c r="J938" s="47" t="s">
        <v>494</v>
      </c>
    </row>
    <row r="939" spans="2:10" ht="14.5">
      <c r="B939" s="47" t="s">
        <v>489</v>
      </c>
      <c r="C939" s="47" t="s">
        <v>64</v>
      </c>
      <c r="D939" s="47" t="s">
        <v>9270</v>
      </c>
      <c r="E939" s="47" t="s">
        <v>488</v>
      </c>
      <c r="F939" s="47" t="s">
        <v>8189</v>
      </c>
      <c r="G939" s="363">
        <v>46132</v>
      </c>
      <c r="H939" s="47" t="s">
        <v>8190</v>
      </c>
      <c r="I939" s="47" t="s">
        <v>8191</v>
      </c>
      <c r="J939" s="47" t="s">
        <v>488</v>
      </c>
    </row>
    <row r="940" spans="2:10" ht="14.5">
      <c r="B940" s="47" t="s">
        <v>497</v>
      </c>
      <c r="C940" s="47" t="s">
        <v>64</v>
      </c>
      <c r="D940" s="47" t="s">
        <v>9271</v>
      </c>
      <c r="E940" s="47" t="s">
        <v>496</v>
      </c>
      <c r="F940" s="47" t="s">
        <v>8189</v>
      </c>
      <c r="G940" s="363">
        <v>46125</v>
      </c>
      <c r="H940" s="47" t="s">
        <v>8190</v>
      </c>
      <c r="I940" s="47" t="s">
        <v>8191</v>
      </c>
      <c r="J940" s="47" t="s">
        <v>496</v>
      </c>
    </row>
    <row r="941" spans="2:10" ht="14.5">
      <c r="B941" s="47" t="s">
        <v>499</v>
      </c>
      <c r="C941" s="47" t="s">
        <v>64</v>
      </c>
      <c r="D941" s="47" t="s">
        <v>9272</v>
      </c>
      <c r="E941" s="47" t="s">
        <v>498</v>
      </c>
      <c r="F941" s="47" t="s">
        <v>8189</v>
      </c>
      <c r="G941" s="363">
        <v>46125</v>
      </c>
      <c r="H941" s="47" t="s">
        <v>8190</v>
      </c>
      <c r="I941" s="47" t="s">
        <v>8191</v>
      </c>
      <c r="J941" s="47" t="s">
        <v>498</v>
      </c>
    </row>
    <row r="942" spans="2:10" ht="14.5">
      <c r="B942" s="47" t="s">
        <v>661</v>
      </c>
      <c r="C942" s="47" t="s">
        <v>64</v>
      </c>
      <c r="D942" s="47" t="s">
        <v>9273</v>
      </c>
      <c r="E942" s="47" t="s">
        <v>660</v>
      </c>
      <c r="F942" s="47" t="s">
        <v>8189</v>
      </c>
      <c r="G942" s="363">
        <v>46133</v>
      </c>
      <c r="H942" s="47" t="s">
        <v>8190</v>
      </c>
      <c r="I942" s="47" t="s">
        <v>8191</v>
      </c>
      <c r="J942" s="47" t="s">
        <v>660</v>
      </c>
    </row>
    <row r="943" spans="2:10" ht="14.5">
      <c r="B943" s="47" t="s">
        <v>665</v>
      </c>
      <c r="C943" s="47" t="s">
        <v>64</v>
      </c>
      <c r="D943" s="47" t="s">
        <v>9274</v>
      </c>
      <c r="E943" s="47" t="s">
        <v>664</v>
      </c>
      <c r="F943" s="47" t="s">
        <v>8189</v>
      </c>
      <c r="G943" s="363">
        <v>46133</v>
      </c>
      <c r="H943" s="47" t="s">
        <v>8190</v>
      </c>
      <c r="I943" s="47" t="s">
        <v>8191</v>
      </c>
      <c r="J943" s="47" t="s">
        <v>664</v>
      </c>
    </row>
    <row r="944" spans="2:10" ht="14.5">
      <c r="B944" s="47" t="s">
        <v>320</v>
      </c>
      <c r="C944" s="47" t="s">
        <v>64</v>
      </c>
      <c r="D944" s="47" t="s">
        <v>9275</v>
      </c>
      <c r="E944" s="47" t="s">
        <v>319</v>
      </c>
      <c r="F944" s="47" t="s">
        <v>8189</v>
      </c>
      <c r="G944" s="363">
        <v>46125</v>
      </c>
      <c r="H944" s="47" t="s">
        <v>8190</v>
      </c>
      <c r="I944" s="47" t="s">
        <v>8191</v>
      </c>
      <c r="J944" s="47" t="s">
        <v>319</v>
      </c>
    </row>
    <row r="945" spans="2:10" ht="14.5">
      <c r="B945" s="47" t="s">
        <v>7483</v>
      </c>
      <c r="C945" s="47" t="s">
        <v>64</v>
      </c>
      <c r="D945" s="47" t="s">
        <v>9276</v>
      </c>
      <c r="E945" s="47" t="s">
        <v>4238</v>
      </c>
      <c r="F945" s="47" t="s">
        <v>8236</v>
      </c>
      <c r="G945" s="363">
        <v>46142</v>
      </c>
      <c r="H945" s="47" t="s">
        <v>8190</v>
      </c>
      <c r="I945" s="47" t="s">
        <v>8191</v>
      </c>
      <c r="J945" s="47" t="s">
        <v>4238</v>
      </c>
    </row>
    <row r="946" spans="2:10" ht="14.5">
      <c r="B946" s="47" t="s">
        <v>7465</v>
      </c>
      <c r="C946" s="47" t="s">
        <v>64</v>
      </c>
      <c r="D946" s="47" t="s">
        <v>9277</v>
      </c>
      <c r="E946" s="47" t="s">
        <v>297</v>
      </c>
      <c r="F946" s="47" t="s">
        <v>8236</v>
      </c>
      <c r="G946" s="363">
        <v>46121</v>
      </c>
      <c r="H946" s="47" t="s">
        <v>8190</v>
      </c>
      <c r="I946" s="47" t="s">
        <v>8191</v>
      </c>
      <c r="J946" s="47" t="s">
        <v>9278</v>
      </c>
    </row>
    <row r="947" spans="2:10" ht="14.5">
      <c r="B947" s="47" t="s">
        <v>7487</v>
      </c>
      <c r="C947" s="47" t="s">
        <v>64</v>
      </c>
      <c r="D947" s="47" t="s">
        <v>9279</v>
      </c>
      <c r="E947" s="47" t="s">
        <v>9280</v>
      </c>
      <c r="F947" s="47" t="s">
        <v>8236</v>
      </c>
      <c r="G947" s="363">
        <v>46142</v>
      </c>
      <c r="H947" s="47" t="s">
        <v>8190</v>
      </c>
      <c r="I947" s="47" t="s">
        <v>8191</v>
      </c>
      <c r="J947" s="47" t="s">
        <v>9280</v>
      </c>
    </row>
    <row r="948" spans="2:10" ht="14.5">
      <c r="B948" s="47" t="s">
        <v>7474</v>
      </c>
      <c r="C948" s="47" t="s">
        <v>64</v>
      </c>
      <c r="D948" s="47" t="s">
        <v>9281</v>
      </c>
      <c r="E948" s="47"/>
      <c r="F948" s="47" t="s">
        <v>8236</v>
      </c>
      <c r="G948" s="363">
        <v>46142</v>
      </c>
      <c r="H948" s="47" t="s">
        <v>8190</v>
      </c>
      <c r="I948" s="47" t="s">
        <v>8191</v>
      </c>
      <c r="J948" s="47" t="s">
        <v>9282</v>
      </c>
    </row>
    <row r="949" spans="2:10" ht="14.5">
      <c r="B949" s="47" t="s">
        <v>724</v>
      </c>
      <c r="C949" s="47" t="s">
        <v>64</v>
      </c>
      <c r="D949" s="47" t="s">
        <v>9283</v>
      </c>
      <c r="E949" s="47" t="s">
        <v>723</v>
      </c>
      <c r="F949" s="47" t="s">
        <v>8189</v>
      </c>
      <c r="G949" s="363">
        <v>46125</v>
      </c>
      <c r="H949" s="47" t="s">
        <v>8190</v>
      </c>
      <c r="I949" s="47" t="s">
        <v>8191</v>
      </c>
      <c r="J949" s="47" t="s">
        <v>723</v>
      </c>
    </row>
    <row r="950" spans="2:10" ht="14.5">
      <c r="B950" s="47" t="s">
        <v>728</v>
      </c>
      <c r="C950" s="47" t="s">
        <v>64</v>
      </c>
      <c r="D950" s="47" t="s">
        <v>9284</v>
      </c>
      <c r="E950" s="47" t="s">
        <v>727</v>
      </c>
      <c r="F950" s="47" t="s">
        <v>8189</v>
      </c>
      <c r="G950" s="363">
        <v>46125</v>
      </c>
      <c r="H950" s="47" t="s">
        <v>8190</v>
      </c>
      <c r="I950" s="47" t="s">
        <v>8191</v>
      </c>
      <c r="J950" s="47" t="s">
        <v>727</v>
      </c>
    </row>
    <row r="951" spans="2:10" ht="14.5">
      <c r="B951" s="47" t="s">
        <v>730</v>
      </c>
      <c r="C951" s="47" t="s">
        <v>64</v>
      </c>
      <c r="D951" s="47" t="s">
        <v>9285</v>
      </c>
      <c r="E951" s="47" t="s">
        <v>638</v>
      </c>
      <c r="F951" s="47" t="s">
        <v>8189</v>
      </c>
      <c r="G951" s="363">
        <v>46134</v>
      </c>
      <c r="H951" s="47" t="s">
        <v>8190</v>
      </c>
      <c r="I951" s="47" t="s">
        <v>8191</v>
      </c>
      <c r="J951" s="47" t="s">
        <v>638</v>
      </c>
    </row>
    <row r="952" spans="2:10" ht="14.5">
      <c r="B952" s="47" t="s">
        <v>729</v>
      </c>
      <c r="C952" s="47" t="s">
        <v>64</v>
      </c>
      <c r="D952" s="47" t="s">
        <v>9286</v>
      </c>
      <c r="E952" s="47" t="s">
        <v>525</v>
      </c>
      <c r="F952" s="47" t="s">
        <v>8189</v>
      </c>
      <c r="G952" s="363">
        <v>46125</v>
      </c>
      <c r="H952" s="47" t="s">
        <v>8190</v>
      </c>
      <c r="I952" s="47" t="s">
        <v>8191</v>
      </c>
      <c r="J952" s="47" t="s">
        <v>525</v>
      </c>
    </row>
    <row r="953" spans="2:10" ht="14.5">
      <c r="B953" s="47" t="s">
        <v>735</v>
      </c>
      <c r="C953" s="47" t="s">
        <v>64</v>
      </c>
      <c r="D953" s="47" t="s">
        <v>9287</v>
      </c>
      <c r="E953" s="47" t="s">
        <v>734</v>
      </c>
      <c r="F953" s="47" t="s">
        <v>8189</v>
      </c>
      <c r="G953" s="363">
        <v>46134</v>
      </c>
      <c r="H953" s="47" t="s">
        <v>8190</v>
      </c>
      <c r="I953" s="47" t="s">
        <v>8191</v>
      </c>
      <c r="J953" s="47" t="s">
        <v>734</v>
      </c>
    </row>
    <row r="954" spans="2:10" ht="14.5">
      <c r="B954" s="47" t="s">
        <v>993</v>
      </c>
      <c r="C954" s="47" t="s">
        <v>64</v>
      </c>
      <c r="D954" s="47" t="s">
        <v>9288</v>
      </c>
      <c r="E954" s="47" t="s">
        <v>990</v>
      </c>
      <c r="F954" s="47" t="s">
        <v>8189</v>
      </c>
      <c r="G954" s="363">
        <v>46134</v>
      </c>
      <c r="H954" s="47" t="s">
        <v>8190</v>
      </c>
      <c r="I954" s="47" t="s">
        <v>8191</v>
      </c>
      <c r="J954" s="47" t="s">
        <v>990</v>
      </c>
    </row>
    <row r="955" spans="2:10" ht="14.5">
      <c r="B955" s="47" t="s">
        <v>996</v>
      </c>
      <c r="C955" s="47" t="s">
        <v>64</v>
      </c>
      <c r="D955" s="47" t="s">
        <v>9289</v>
      </c>
      <c r="E955" s="47" t="s">
        <v>994</v>
      </c>
      <c r="F955" s="47" t="s">
        <v>8189</v>
      </c>
      <c r="G955" s="363">
        <v>46134</v>
      </c>
      <c r="H955" s="47" t="s">
        <v>8190</v>
      </c>
      <c r="I955" s="47" t="s">
        <v>8191</v>
      </c>
      <c r="J955" s="47" t="s">
        <v>994</v>
      </c>
    </row>
    <row r="956" spans="2:10" ht="14.5">
      <c r="B956" s="47" t="s">
        <v>1003</v>
      </c>
      <c r="C956" s="47" t="s">
        <v>64</v>
      </c>
      <c r="D956" s="47" t="s">
        <v>9290</v>
      </c>
      <c r="E956" s="47" t="s">
        <v>1000</v>
      </c>
      <c r="F956" s="47" t="s">
        <v>8189</v>
      </c>
      <c r="G956" s="363">
        <v>46125</v>
      </c>
      <c r="H956" s="47" t="s">
        <v>8190</v>
      </c>
      <c r="I956" s="47" t="s">
        <v>8191</v>
      </c>
      <c r="J956" s="47" t="s">
        <v>1000</v>
      </c>
    </row>
    <row r="957" spans="2:10" ht="14.5">
      <c r="B957" s="47" t="s">
        <v>738</v>
      </c>
      <c r="C957" s="47" t="s">
        <v>64</v>
      </c>
      <c r="D957" s="47" t="s">
        <v>9291</v>
      </c>
      <c r="E957" s="47" t="s">
        <v>736</v>
      </c>
      <c r="F957" s="47" t="s">
        <v>8189</v>
      </c>
      <c r="G957" s="363">
        <v>46150</v>
      </c>
      <c r="H957" s="47" t="s">
        <v>8190</v>
      </c>
      <c r="I957" s="47" t="s">
        <v>8191</v>
      </c>
      <c r="J957" s="47" t="s">
        <v>736</v>
      </c>
    </row>
    <row r="958" spans="2:10" ht="14.5">
      <c r="B958" s="47" t="s">
        <v>743</v>
      </c>
      <c r="C958" s="47" t="s">
        <v>64</v>
      </c>
      <c r="D958" s="47" t="s">
        <v>9292</v>
      </c>
      <c r="E958" s="47" t="s">
        <v>742</v>
      </c>
      <c r="F958" s="47" t="s">
        <v>8189</v>
      </c>
      <c r="G958" s="363">
        <v>46150</v>
      </c>
      <c r="H958" s="47" t="s">
        <v>8190</v>
      </c>
      <c r="I958" s="47" t="s">
        <v>8191</v>
      </c>
      <c r="J958" s="47" t="s">
        <v>742</v>
      </c>
    </row>
    <row r="959" spans="2:10" ht="14.5">
      <c r="B959" s="47" t="s">
        <v>1009</v>
      </c>
      <c r="C959" s="47" t="s">
        <v>64</v>
      </c>
      <c r="D959" s="47" t="s">
        <v>9293</v>
      </c>
      <c r="E959" s="47" t="s">
        <v>1006</v>
      </c>
      <c r="F959" s="47" t="s">
        <v>8189</v>
      </c>
      <c r="G959" s="363">
        <v>46150</v>
      </c>
      <c r="H959" s="47" t="s">
        <v>8190</v>
      </c>
      <c r="I959" s="47" t="s">
        <v>8191</v>
      </c>
      <c r="J959" s="47" t="s">
        <v>1006</v>
      </c>
    </row>
    <row r="960" spans="2:10" ht="14.5">
      <c r="B960" s="47" t="s">
        <v>745</v>
      </c>
      <c r="C960" s="47" t="s">
        <v>64</v>
      </c>
      <c r="D960" s="47" t="s">
        <v>9294</v>
      </c>
      <c r="E960" s="47" t="s">
        <v>744</v>
      </c>
      <c r="F960" s="47" t="s">
        <v>8189</v>
      </c>
      <c r="G960" s="363">
        <v>46150</v>
      </c>
      <c r="H960" s="47" t="s">
        <v>8190</v>
      </c>
      <c r="I960" s="47" t="s">
        <v>8191</v>
      </c>
      <c r="J960" s="47" t="s">
        <v>744</v>
      </c>
    </row>
    <row r="961" spans="2:10" ht="14.5">
      <c r="B961" s="47" t="s">
        <v>747</v>
      </c>
      <c r="C961" s="47" t="s">
        <v>64</v>
      </c>
      <c r="D961" s="47" t="s">
        <v>9295</v>
      </c>
      <c r="E961" s="47" t="s">
        <v>746</v>
      </c>
      <c r="F961" s="47" t="s">
        <v>8189</v>
      </c>
      <c r="G961" s="363">
        <v>46121</v>
      </c>
      <c r="H961" s="47" t="s">
        <v>8190</v>
      </c>
      <c r="I961" s="47" t="s">
        <v>8191</v>
      </c>
      <c r="J961" s="47" t="s">
        <v>746</v>
      </c>
    </row>
    <row r="962" spans="2:10" ht="14.5">
      <c r="B962" s="47" t="s">
        <v>752</v>
      </c>
      <c r="C962" s="47" t="s">
        <v>64</v>
      </c>
      <c r="D962" s="47" t="s">
        <v>9296</v>
      </c>
      <c r="E962" s="47" t="s">
        <v>751</v>
      </c>
      <c r="F962" s="47" t="s">
        <v>8189</v>
      </c>
      <c r="G962" s="363">
        <v>46135</v>
      </c>
      <c r="H962" s="47" t="s">
        <v>8190</v>
      </c>
      <c r="I962" s="47" t="s">
        <v>8191</v>
      </c>
      <c r="J962" s="47" t="s">
        <v>751</v>
      </c>
    </row>
    <row r="963" spans="2:10" ht="14.5">
      <c r="B963" s="47" t="s">
        <v>756</v>
      </c>
      <c r="C963" s="47" t="s">
        <v>64</v>
      </c>
      <c r="D963" s="47" t="s">
        <v>9297</v>
      </c>
      <c r="E963" s="47" t="s">
        <v>755</v>
      </c>
      <c r="F963" s="47" t="s">
        <v>8189</v>
      </c>
      <c r="G963" s="363">
        <v>46135</v>
      </c>
      <c r="H963" s="47" t="s">
        <v>8190</v>
      </c>
      <c r="I963" s="47" t="s">
        <v>8191</v>
      </c>
      <c r="J963" s="47" t="s">
        <v>755</v>
      </c>
    </row>
    <row r="964" spans="2:10" ht="14.5">
      <c r="B964" s="47" t="s">
        <v>758</v>
      </c>
      <c r="C964" s="47" t="s">
        <v>64</v>
      </c>
      <c r="D964" s="47" t="s">
        <v>9298</v>
      </c>
      <c r="E964" s="47" t="s">
        <v>757</v>
      </c>
      <c r="F964" s="47" t="s">
        <v>8189</v>
      </c>
      <c r="G964" s="363">
        <v>46135</v>
      </c>
      <c r="H964" s="47" t="s">
        <v>8190</v>
      </c>
      <c r="I964" s="47" t="s">
        <v>8191</v>
      </c>
      <c r="J964" s="47" t="s">
        <v>757</v>
      </c>
    </row>
    <row r="965" spans="2:10" ht="14.5">
      <c r="B965" s="47" t="s">
        <v>761</v>
      </c>
      <c r="C965" s="47" t="s">
        <v>64</v>
      </c>
      <c r="D965" s="47" t="s">
        <v>9299</v>
      </c>
      <c r="E965" s="47" t="s">
        <v>112</v>
      </c>
      <c r="F965" s="47" t="s">
        <v>8189</v>
      </c>
      <c r="G965" s="363">
        <v>46135</v>
      </c>
      <c r="H965" s="47" t="s">
        <v>8190</v>
      </c>
      <c r="I965" s="47" t="s">
        <v>8191</v>
      </c>
      <c r="J965" s="47" t="s">
        <v>112</v>
      </c>
    </row>
    <row r="966" spans="2:10" ht="14.5">
      <c r="B966" s="47" t="s">
        <v>765</v>
      </c>
      <c r="C966" s="47" t="s">
        <v>64</v>
      </c>
      <c r="D966" s="47" t="s">
        <v>9300</v>
      </c>
      <c r="E966" s="47" t="s">
        <v>762</v>
      </c>
      <c r="F966" s="47" t="s">
        <v>8189</v>
      </c>
      <c r="G966" s="363">
        <v>46129</v>
      </c>
      <c r="H966" s="47" t="s">
        <v>8190</v>
      </c>
      <c r="I966" s="47" t="s">
        <v>8191</v>
      </c>
      <c r="J966" s="47" t="s">
        <v>762</v>
      </c>
    </row>
    <row r="967" spans="2:10" ht="14.5">
      <c r="B967" s="47" t="s">
        <v>1010</v>
      </c>
      <c r="C967" s="47" t="s">
        <v>64</v>
      </c>
      <c r="D967" s="47" t="s">
        <v>9301</v>
      </c>
      <c r="E967" s="47" t="s">
        <v>985</v>
      </c>
      <c r="F967" s="47" t="s">
        <v>8189</v>
      </c>
      <c r="G967" s="363">
        <v>46150</v>
      </c>
      <c r="H967" s="47" t="s">
        <v>8190</v>
      </c>
      <c r="I967" s="47" t="s">
        <v>8191</v>
      </c>
      <c r="J967" s="47" t="s">
        <v>985</v>
      </c>
    </row>
    <row r="968" spans="2:10" ht="14.5">
      <c r="B968" s="47" t="s">
        <v>770</v>
      </c>
      <c r="C968" s="47" t="s">
        <v>64</v>
      </c>
      <c r="D968" s="47" t="s">
        <v>9302</v>
      </c>
      <c r="E968" s="47" t="s">
        <v>768</v>
      </c>
      <c r="F968" s="47" t="s">
        <v>8189</v>
      </c>
      <c r="G968" s="363">
        <v>46150</v>
      </c>
      <c r="H968" s="47" t="s">
        <v>8190</v>
      </c>
      <c r="I968" s="47" t="s">
        <v>8191</v>
      </c>
      <c r="J968" s="47" t="s">
        <v>768</v>
      </c>
    </row>
    <row r="969" spans="2:10" ht="14.5">
      <c r="B969" s="47" t="s">
        <v>1012</v>
      </c>
      <c r="C969" s="47" t="s">
        <v>64</v>
      </c>
      <c r="D969" s="47" t="s">
        <v>9303</v>
      </c>
      <c r="E969" s="47" t="s">
        <v>1011</v>
      </c>
      <c r="F969" s="47" t="s">
        <v>8189</v>
      </c>
      <c r="G969" s="363">
        <v>46148</v>
      </c>
      <c r="H969" s="47" t="s">
        <v>8190</v>
      </c>
      <c r="I969" s="47" t="s">
        <v>8191</v>
      </c>
      <c r="J969" s="47" t="s">
        <v>1011</v>
      </c>
    </row>
    <row r="970" spans="2:10" ht="14.5">
      <c r="B970" s="47" t="s">
        <v>776</v>
      </c>
      <c r="C970" s="47" t="s">
        <v>64</v>
      </c>
      <c r="D970" s="47" t="s">
        <v>9304</v>
      </c>
      <c r="E970" s="47" t="s">
        <v>775</v>
      </c>
      <c r="F970" s="47" t="s">
        <v>8189</v>
      </c>
      <c r="G970" s="363">
        <v>46160</v>
      </c>
      <c r="H970" s="47" t="s">
        <v>8190</v>
      </c>
      <c r="I970" s="47" t="s">
        <v>8191</v>
      </c>
      <c r="J970" s="47" t="s">
        <v>775</v>
      </c>
    </row>
    <row r="971" spans="2:10" ht="14.5">
      <c r="B971" s="47" t="s">
        <v>781</v>
      </c>
      <c r="C971" s="47" t="s">
        <v>64</v>
      </c>
      <c r="D971" s="47" t="s">
        <v>9305</v>
      </c>
      <c r="E971" s="47" t="s">
        <v>779</v>
      </c>
      <c r="F971" s="47" t="s">
        <v>8189</v>
      </c>
      <c r="G971" s="363">
        <v>46160</v>
      </c>
      <c r="H971" s="47" t="s">
        <v>8190</v>
      </c>
      <c r="I971" s="47" t="s">
        <v>8191</v>
      </c>
      <c r="J971" s="47" t="s">
        <v>779</v>
      </c>
    </row>
    <row r="972" spans="2:10" ht="14.5">
      <c r="B972" s="47" t="s">
        <v>783</v>
      </c>
      <c r="C972" s="47" t="s">
        <v>64</v>
      </c>
      <c r="D972" s="47" t="s">
        <v>9306</v>
      </c>
      <c r="E972" s="47" t="s">
        <v>782</v>
      </c>
      <c r="F972" s="47" t="s">
        <v>8189</v>
      </c>
      <c r="G972" s="363">
        <v>46160</v>
      </c>
      <c r="H972" s="47" t="s">
        <v>8190</v>
      </c>
      <c r="I972" s="47" t="s">
        <v>8191</v>
      </c>
      <c r="J972" s="47" t="s">
        <v>782</v>
      </c>
    </row>
    <row r="973" spans="2:10" ht="14.5">
      <c r="B973" s="47" t="s">
        <v>785</v>
      </c>
      <c r="C973" s="47" t="s">
        <v>64</v>
      </c>
      <c r="D973" s="47" t="s">
        <v>9307</v>
      </c>
      <c r="E973" s="47" t="s">
        <v>784</v>
      </c>
      <c r="F973" s="47" t="s">
        <v>8189</v>
      </c>
      <c r="G973" s="363">
        <v>46160</v>
      </c>
      <c r="H973" s="47" t="s">
        <v>8190</v>
      </c>
      <c r="I973" s="47" t="s">
        <v>8191</v>
      </c>
      <c r="J973" s="47" t="s">
        <v>784</v>
      </c>
    </row>
    <row r="974" spans="2:10" ht="14.5">
      <c r="B974" s="47" t="s">
        <v>787</v>
      </c>
      <c r="C974" s="47" t="s">
        <v>64</v>
      </c>
      <c r="D974" s="47" t="s">
        <v>9308</v>
      </c>
      <c r="E974" s="47" t="s">
        <v>786</v>
      </c>
      <c r="F974" s="47" t="s">
        <v>8189</v>
      </c>
      <c r="G974" s="363">
        <v>46160</v>
      </c>
      <c r="H974" s="47" t="s">
        <v>8190</v>
      </c>
      <c r="I974" s="47" t="s">
        <v>8191</v>
      </c>
      <c r="J974" s="47" t="s">
        <v>786</v>
      </c>
    </row>
    <row r="975" spans="2:10" ht="14.5">
      <c r="B975" s="47" t="s">
        <v>792</v>
      </c>
      <c r="C975" s="47" t="s">
        <v>64</v>
      </c>
      <c r="D975" s="47" t="s">
        <v>9309</v>
      </c>
      <c r="E975" s="47" t="s">
        <v>790</v>
      </c>
      <c r="F975" s="47" t="s">
        <v>8189</v>
      </c>
      <c r="G975" s="363">
        <v>46150</v>
      </c>
      <c r="H975" s="47" t="s">
        <v>8190</v>
      </c>
      <c r="I975" s="47" t="s">
        <v>8191</v>
      </c>
      <c r="J975" s="47" t="s">
        <v>790</v>
      </c>
    </row>
    <row r="976" spans="2:10" ht="14.5">
      <c r="B976" s="47" t="s">
        <v>797</v>
      </c>
      <c r="C976" s="47" t="s">
        <v>64</v>
      </c>
      <c r="D976" s="47" t="s">
        <v>9310</v>
      </c>
      <c r="E976" s="47" t="s">
        <v>795</v>
      </c>
      <c r="F976" s="47" t="s">
        <v>8189</v>
      </c>
      <c r="G976" s="363">
        <v>46150</v>
      </c>
      <c r="H976" s="47" t="s">
        <v>8190</v>
      </c>
      <c r="I976" s="47" t="s">
        <v>8191</v>
      </c>
      <c r="J976" s="47" t="s">
        <v>795</v>
      </c>
    </row>
    <row r="977" spans="2:10" ht="14.5">
      <c r="B977" s="47" t="s">
        <v>818</v>
      </c>
      <c r="C977" s="47" t="s">
        <v>64</v>
      </c>
      <c r="D977" s="47" t="s">
        <v>9311</v>
      </c>
      <c r="E977" s="47" t="s">
        <v>817</v>
      </c>
      <c r="F977" s="47" t="s">
        <v>8189</v>
      </c>
      <c r="G977" s="363">
        <v>46147</v>
      </c>
      <c r="H977" s="47" t="s">
        <v>8190</v>
      </c>
      <c r="I977" s="47" t="s">
        <v>8191</v>
      </c>
      <c r="J977" s="47" t="s">
        <v>817</v>
      </c>
    </row>
    <row r="978" spans="2:10" ht="14.5">
      <c r="B978" s="47" t="s">
        <v>798</v>
      </c>
      <c r="C978" s="47" t="s">
        <v>64</v>
      </c>
      <c r="D978" s="47" t="s">
        <v>9312</v>
      </c>
      <c r="E978" s="47" t="s">
        <v>193</v>
      </c>
      <c r="F978" s="47" t="s">
        <v>8189</v>
      </c>
      <c r="G978" s="363">
        <v>46150</v>
      </c>
      <c r="H978" s="47" t="s">
        <v>8190</v>
      </c>
      <c r="I978" s="47" t="s">
        <v>8191</v>
      </c>
      <c r="J978" s="47" t="s">
        <v>193</v>
      </c>
    </row>
    <row r="979" spans="2:10" ht="14.5">
      <c r="B979" s="47" t="s">
        <v>1014</v>
      </c>
      <c r="C979" s="47" t="s">
        <v>64</v>
      </c>
      <c r="D979" s="47" t="s">
        <v>9313</v>
      </c>
      <c r="E979" s="47" t="s">
        <v>1013</v>
      </c>
      <c r="F979" s="47" t="s">
        <v>8189</v>
      </c>
      <c r="G979" s="363">
        <v>46150</v>
      </c>
      <c r="H979" s="47" t="s">
        <v>8190</v>
      </c>
      <c r="I979" s="47" t="s">
        <v>8191</v>
      </c>
      <c r="J979" s="47" t="s">
        <v>1013</v>
      </c>
    </row>
    <row r="980" spans="2:10" ht="14.5">
      <c r="B980" s="47" t="s">
        <v>802</v>
      </c>
      <c r="C980" s="47" t="s">
        <v>64</v>
      </c>
      <c r="D980" s="47" t="s">
        <v>9314</v>
      </c>
      <c r="E980" s="47" t="s">
        <v>799</v>
      </c>
      <c r="F980" s="47" t="s">
        <v>8189</v>
      </c>
      <c r="G980" s="363">
        <v>46150</v>
      </c>
      <c r="H980" s="47" t="s">
        <v>8190</v>
      </c>
      <c r="I980" s="47" t="s">
        <v>8191</v>
      </c>
      <c r="J980" s="47" t="s">
        <v>799</v>
      </c>
    </row>
    <row r="981" spans="2:10" ht="14.5">
      <c r="B981" s="47" t="s">
        <v>1017</v>
      </c>
      <c r="C981" s="47" t="s">
        <v>64</v>
      </c>
      <c r="D981" s="47" t="s">
        <v>9315</v>
      </c>
      <c r="E981" s="47" t="s">
        <v>1015</v>
      </c>
      <c r="F981" s="47" t="s">
        <v>8189</v>
      </c>
      <c r="G981" s="363">
        <v>46150</v>
      </c>
      <c r="H981" s="47" t="s">
        <v>8190</v>
      </c>
      <c r="I981" s="47" t="s">
        <v>8191</v>
      </c>
      <c r="J981" s="47" t="s">
        <v>1015</v>
      </c>
    </row>
    <row r="982" spans="2:10" ht="14.5">
      <c r="B982" s="47" t="s">
        <v>806</v>
      </c>
      <c r="C982" s="47" t="s">
        <v>64</v>
      </c>
      <c r="D982" s="47" t="s">
        <v>9316</v>
      </c>
      <c r="E982" s="47" t="s">
        <v>805</v>
      </c>
      <c r="F982" s="47" t="s">
        <v>8189</v>
      </c>
      <c r="G982" s="363">
        <v>46150</v>
      </c>
      <c r="H982" s="47" t="s">
        <v>8190</v>
      </c>
      <c r="I982" s="47" t="s">
        <v>8191</v>
      </c>
      <c r="J982" s="47" t="s">
        <v>805</v>
      </c>
    </row>
    <row r="983" spans="2:10" ht="14.5">
      <c r="B983" s="47" t="s">
        <v>1022</v>
      </c>
      <c r="C983" s="47" t="s">
        <v>64</v>
      </c>
      <c r="D983" s="47" t="s">
        <v>9317</v>
      </c>
      <c r="E983" s="47" t="s">
        <v>1020</v>
      </c>
      <c r="F983" s="47" t="s">
        <v>8189</v>
      </c>
      <c r="G983" s="363">
        <v>46150</v>
      </c>
      <c r="H983" s="47" t="s">
        <v>8190</v>
      </c>
      <c r="I983" s="47" t="s">
        <v>8191</v>
      </c>
      <c r="J983" s="47" t="s">
        <v>1020</v>
      </c>
    </row>
    <row r="984" spans="2:10" ht="14.5">
      <c r="B984" s="47" t="s">
        <v>1025</v>
      </c>
      <c r="C984" s="47" t="s">
        <v>64</v>
      </c>
      <c r="D984" s="47" t="s">
        <v>9318</v>
      </c>
      <c r="E984" s="47" t="s">
        <v>1023</v>
      </c>
      <c r="F984" s="47" t="s">
        <v>8189</v>
      </c>
      <c r="G984" s="363">
        <v>46150</v>
      </c>
      <c r="H984" s="47" t="s">
        <v>8190</v>
      </c>
      <c r="I984" s="47" t="s">
        <v>8191</v>
      </c>
      <c r="J984" s="47" t="s">
        <v>1023</v>
      </c>
    </row>
    <row r="985" spans="2:10" ht="14.5">
      <c r="B985" s="47" t="s">
        <v>1027</v>
      </c>
      <c r="C985" s="47" t="s">
        <v>64</v>
      </c>
      <c r="D985" s="47" t="s">
        <v>9319</v>
      </c>
      <c r="E985" s="47" t="s">
        <v>1026</v>
      </c>
      <c r="F985" s="47" t="s">
        <v>8189</v>
      </c>
      <c r="G985" s="363">
        <v>46150</v>
      </c>
      <c r="H985" s="47" t="s">
        <v>8190</v>
      </c>
      <c r="I985" s="47" t="s">
        <v>8191</v>
      </c>
      <c r="J985" s="47" t="s">
        <v>1026</v>
      </c>
    </row>
    <row r="986" spans="2:10" ht="14.5">
      <c r="B986" s="47" t="s">
        <v>808</v>
      </c>
      <c r="C986" s="47" t="s">
        <v>64</v>
      </c>
      <c r="D986" s="47" t="s">
        <v>9320</v>
      </c>
      <c r="E986" s="47" t="s">
        <v>801</v>
      </c>
      <c r="F986" s="47" t="s">
        <v>8189</v>
      </c>
      <c r="G986" s="363">
        <v>46150</v>
      </c>
      <c r="H986" s="47" t="s">
        <v>8190</v>
      </c>
      <c r="I986" s="47" t="s">
        <v>8191</v>
      </c>
      <c r="J986" s="47" t="s">
        <v>801</v>
      </c>
    </row>
    <row r="987" spans="2:10" ht="14.5">
      <c r="B987" s="47" t="s">
        <v>813</v>
      </c>
      <c r="C987" s="47" t="s">
        <v>64</v>
      </c>
      <c r="D987" s="47" t="s">
        <v>9321</v>
      </c>
      <c r="E987" s="47" t="s">
        <v>811</v>
      </c>
      <c r="F987" s="47" t="s">
        <v>8189</v>
      </c>
      <c r="G987" s="363">
        <v>46153</v>
      </c>
      <c r="H987" s="47" t="s">
        <v>8190</v>
      </c>
      <c r="I987" s="47" t="s">
        <v>8191</v>
      </c>
      <c r="J987" s="47" t="s">
        <v>811</v>
      </c>
    </row>
    <row r="988" spans="2:10" ht="14.5">
      <c r="B988" s="47" t="s">
        <v>246</v>
      </c>
      <c r="C988" s="47" t="s">
        <v>64</v>
      </c>
      <c r="D988" s="47" t="s">
        <v>9322</v>
      </c>
      <c r="E988" s="47" t="s">
        <v>245</v>
      </c>
      <c r="F988" s="47" t="s">
        <v>8189</v>
      </c>
      <c r="G988" s="363">
        <v>46100</v>
      </c>
      <c r="H988" s="47" t="s">
        <v>8190</v>
      </c>
      <c r="I988" s="47" t="s">
        <v>8191</v>
      </c>
      <c r="J988" s="47" t="s">
        <v>245</v>
      </c>
    </row>
    <row r="989" spans="2:10" ht="14.5">
      <c r="B989" s="47" t="s">
        <v>267</v>
      </c>
      <c r="C989" s="47" t="s">
        <v>64</v>
      </c>
      <c r="D989" s="47" t="s">
        <v>9323</v>
      </c>
      <c r="E989" s="47" t="s">
        <v>265</v>
      </c>
      <c r="F989" s="47" t="s">
        <v>8189</v>
      </c>
      <c r="G989" s="363">
        <v>46095</v>
      </c>
      <c r="H989" s="47" t="s">
        <v>8190</v>
      </c>
      <c r="I989" s="47" t="s">
        <v>8191</v>
      </c>
      <c r="J989" s="47" t="s">
        <v>265</v>
      </c>
    </row>
    <row r="990" spans="2:10" ht="14.5">
      <c r="B990" s="47" t="s">
        <v>521</v>
      </c>
      <c r="C990" s="47" t="s">
        <v>64</v>
      </c>
      <c r="D990" s="47" t="s">
        <v>9324</v>
      </c>
      <c r="E990" s="47" t="s">
        <v>520</v>
      </c>
      <c r="F990" s="47" t="s">
        <v>8189</v>
      </c>
      <c r="G990" s="363">
        <v>46107</v>
      </c>
      <c r="H990" s="47" t="s">
        <v>8190</v>
      </c>
      <c r="I990" s="47" t="s">
        <v>8191</v>
      </c>
      <c r="J990" s="47" t="s">
        <v>520</v>
      </c>
    </row>
    <row r="991" spans="2:10" ht="14.5">
      <c r="B991" s="47" t="s">
        <v>517</v>
      </c>
      <c r="C991" s="47" t="s">
        <v>64</v>
      </c>
      <c r="D991" s="47" t="s">
        <v>9325</v>
      </c>
      <c r="E991" s="47" t="s">
        <v>514</v>
      </c>
      <c r="F991" s="47" t="s">
        <v>8189</v>
      </c>
      <c r="G991" s="363">
        <v>46120</v>
      </c>
      <c r="H991" s="47" t="s">
        <v>8190</v>
      </c>
      <c r="I991" s="47" t="s">
        <v>8191</v>
      </c>
      <c r="J991" s="47" t="s">
        <v>514</v>
      </c>
    </row>
    <row r="992" spans="2:10" ht="14.5">
      <c r="B992" s="47" t="s">
        <v>717</v>
      </c>
      <c r="C992" s="47" t="s">
        <v>64</v>
      </c>
      <c r="D992" s="47" t="s">
        <v>9326</v>
      </c>
      <c r="E992" s="47" t="s">
        <v>711</v>
      </c>
      <c r="F992" s="47" t="s">
        <v>8189</v>
      </c>
      <c r="G992" s="363">
        <v>46150</v>
      </c>
      <c r="H992" s="47" t="s">
        <v>8190</v>
      </c>
      <c r="I992" s="47" t="s">
        <v>8191</v>
      </c>
      <c r="J992" s="47" t="s">
        <v>711</v>
      </c>
    </row>
    <row r="993" spans="2:10" ht="14.5">
      <c r="B993" s="47" t="s">
        <v>708</v>
      </c>
      <c r="C993" s="47" t="s">
        <v>64</v>
      </c>
      <c r="D993" s="47" t="s">
        <v>9327</v>
      </c>
      <c r="E993" s="47" t="s">
        <v>704</v>
      </c>
      <c r="F993" s="47" t="s">
        <v>8189</v>
      </c>
      <c r="G993" s="363">
        <v>46139</v>
      </c>
      <c r="H993" s="47" t="s">
        <v>8190</v>
      </c>
      <c r="I993" s="47" t="s">
        <v>8191</v>
      </c>
      <c r="J993" s="47" t="s">
        <v>704</v>
      </c>
    </row>
    <row r="994" spans="2:10" ht="14.5">
      <c r="B994" s="47" t="s">
        <v>721</v>
      </c>
      <c r="C994" s="47" t="s">
        <v>64</v>
      </c>
      <c r="D994" s="47" t="s">
        <v>9328</v>
      </c>
      <c r="E994" s="47" t="s">
        <v>720</v>
      </c>
      <c r="F994" s="47" t="s">
        <v>8189</v>
      </c>
      <c r="G994" s="363">
        <v>46150</v>
      </c>
      <c r="H994" s="47" t="s">
        <v>8190</v>
      </c>
      <c r="I994" s="47" t="s">
        <v>8191</v>
      </c>
      <c r="J994" s="47" t="s">
        <v>720</v>
      </c>
    </row>
    <row r="995" spans="2:10" ht="14.5">
      <c r="B995" s="47" t="s">
        <v>722</v>
      </c>
      <c r="C995" s="47" t="s">
        <v>64</v>
      </c>
      <c r="D995" s="47" t="s">
        <v>9329</v>
      </c>
      <c r="E995" s="47" t="s">
        <v>88</v>
      </c>
      <c r="F995" s="47" t="s">
        <v>8189</v>
      </c>
      <c r="G995" s="363">
        <v>46150</v>
      </c>
      <c r="H995" s="47" t="s">
        <v>8190</v>
      </c>
      <c r="I995" s="47" t="s">
        <v>8191</v>
      </c>
      <c r="J995" s="47" t="s">
        <v>88</v>
      </c>
    </row>
    <row r="996" spans="2:10" ht="14.5">
      <c r="B996" s="47" t="s">
        <v>981</v>
      </c>
      <c r="C996" s="47" t="s">
        <v>64</v>
      </c>
      <c r="D996" s="47" t="s">
        <v>9330</v>
      </c>
      <c r="E996" s="47" t="s">
        <v>978</v>
      </c>
      <c r="F996" s="47" t="s">
        <v>8189</v>
      </c>
      <c r="G996" s="363">
        <v>46129</v>
      </c>
      <c r="H996" s="47" t="s">
        <v>8190</v>
      </c>
      <c r="I996" s="47" t="s">
        <v>8191</v>
      </c>
      <c r="J996" s="47" t="s">
        <v>978</v>
      </c>
    </row>
    <row r="997" spans="2:10" ht="14.5">
      <c r="B997" s="47" t="s">
        <v>975</v>
      </c>
      <c r="C997" s="47" t="s">
        <v>64</v>
      </c>
      <c r="D997" s="47" t="s">
        <v>9331</v>
      </c>
      <c r="E997" s="47" t="s">
        <v>974</v>
      </c>
      <c r="F997" s="47" t="s">
        <v>8189</v>
      </c>
      <c r="G997" s="363">
        <v>46125</v>
      </c>
      <c r="H997" s="47" t="s">
        <v>8190</v>
      </c>
      <c r="I997" s="47" t="s">
        <v>8191</v>
      </c>
      <c r="J997" s="47" t="s">
        <v>974</v>
      </c>
    </row>
    <row r="998" spans="2:10" ht="14.5">
      <c r="B998" s="47" t="s">
        <v>636</v>
      </c>
      <c r="C998" s="47" t="s">
        <v>64</v>
      </c>
      <c r="D998" s="47" t="s">
        <v>9332</v>
      </c>
      <c r="E998" s="47" t="s">
        <v>635</v>
      </c>
      <c r="F998" s="47" t="s">
        <v>8189</v>
      </c>
      <c r="G998" s="363">
        <v>46121</v>
      </c>
      <c r="H998" s="47" t="s">
        <v>8190</v>
      </c>
      <c r="I998" s="47" t="s">
        <v>8191</v>
      </c>
      <c r="J998" s="47" t="s">
        <v>635</v>
      </c>
    </row>
    <row r="999" spans="2:10" ht="14.5">
      <c r="B999" s="47" t="s">
        <v>631</v>
      </c>
      <c r="C999" s="47" t="s">
        <v>64</v>
      </c>
      <c r="D999" s="47" t="s">
        <v>9333</v>
      </c>
      <c r="E999" s="47" t="s">
        <v>630</v>
      </c>
      <c r="F999" s="47" t="s">
        <v>8189</v>
      </c>
      <c r="G999" s="363">
        <v>46121</v>
      </c>
      <c r="H999" s="47" t="s">
        <v>8190</v>
      </c>
      <c r="I999" s="47" t="s">
        <v>8191</v>
      </c>
      <c r="J999" s="47" t="s">
        <v>630</v>
      </c>
    </row>
    <row r="1000" spans="2:10" ht="14.5">
      <c r="B1000" s="47" t="s">
        <v>987</v>
      </c>
      <c r="C1000" s="47" t="s">
        <v>64</v>
      </c>
      <c r="D1000" s="47" t="s">
        <v>9334</v>
      </c>
      <c r="E1000" s="47" t="s">
        <v>984</v>
      </c>
      <c r="F1000" s="47" t="s">
        <v>8189</v>
      </c>
      <c r="G1000" s="363">
        <v>46129</v>
      </c>
      <c r="H1000" s="47" t="s">
        <v>8190</v>
      </c>
      <c r="I1000" s="47" t="s">
        <v>8191</v>
      </c>
      <c r="J1000" s="47" t="s">
        <v>984</v>
      </c>
    </row>
    <row r="1001" spans="2:10" ht="14.5">
      <c r="B1001" s="47" t="s">
        <v>639</v>
      </c>
      <c r="C1001" s="47" t="s">
        <v>64</v>
      </c>
      <c r="D1001" s="47" t="s">
        <v>9335</v>
      </c>
      <c r="E1001" s="47" t="s">
        <v>637</v>
      </c>
      <c r="F1001" s="47" t="s">
        <v>8189</v>
      </c>
      <c r="G1001" s="363">
        <v>46121</v>
      </c>
      <c r="H1001" s="47" t="s">
        <v>8190</v>
      </c>
      <c r="I1001" s="47" t="s">
        <v>8191</v>
      </c>
      <c r="J1001" s="47" t="s">
        <v>637</v>
      </c>
    </row>
    <row r="1002" spans="2:10" ht="14.5">
      <c r="B1002" s="47" t="s">
        <v>579</v>
      </c>
      <c r="C1002" s="47" t="s">
        <v>64</v>
      </c>
      <c r="D1002" s="47" t="s">
        <v>9336</v>
      </c>
      <c r="E1002" s="47" t="s">
        <v>576</v>
      </c>
      <c r="F1002" s="47" t="s">
        <v>8189</v>
      </c>
      <c r="G1002" s="363">
        <v>46129</v>
      </c>
      <c r="H1002" s="47" t="s">
        <v>8190</v>
      </c>
      <c r="I1002" s="47" t="s">
        <v>8191</v>
      </c>
      <c r="J1002" s="47" t="s">
        <v>576</v>
      </c>
    </row>
    <row r="1003" spans="2:10" ht="14.5">
      <c r="B1003" s="47" t="s">
        <v>627</v>
      </c>
      <c r="C1003" s="47" t="s">
        <v>64</v>
      </c>
      <c r="D1003" s="47" t="s">
        <v>9337</v>
      </c>
      <c r="E1003" s="47" t="s">
        <v>626</v>
      </c>
      <c r="F1003" s="47" t="s">
        <v>8189</v>
      </c>
      <c r="G1003" s="363">
        <v>46120</v>
      </c>
      <c r="H1003" s="47" t="s">
        <v>8190</v>
      </c>
      <c r="I1003" s="47" t="s">
        <v>8191</v>
      </c>
      <c r="J1003" s="47" t="s">
        <v>626</v>
      </c>
    </row>
    <row r="1004" spans="2:10" ht="14.5">
      <c r="B1004" s="47" t="s">
        <v>641</v>
      </c>
      <c r="C1004" s="47" t="s">
        <v>64</v>
      </c>
      <c r="D1004" s="47" t="s">
        <v>9338</v>
      </c>
      <c r="E1004" s="47" t="s">
        <v>640</v>
      </c>
      <c r="F1004" s="47" t="s">
        <v>8189</v>
      </c>
      <c r="G1004" s="363">
        <v>46115</v>
      </c>
      <c r="H1004" s="47" t="s">
        <v>8190</v>
      </c>
      <c r="I1004" s="47" t="s">
        <v>8191</v>
      </c>
      <c r="J1004" s="47" t="s">
        <v>640</v>
      </c>
    </row>
    <row r="1005" spans="2:10" ht="14.5">
      <c r="B1005" s="47" t="s">
        <v>647</v>
      </c>
      <c r="C1005" s="47" t="s">
        <v>64</v>
      </c>
      <c r="D1005" s="47" t="s">
        <v>9339</v>
      </c>
      <c r="E1005" s="47" t="s">
        <v>645</v>
      </c>
      <c r="F1005" s="47" t="s">
        <v>8189</v>
      </c>
      <c r="G1005" s="363">
        <v>46111</v>
      </c>
      <c r="H1005" s="47" t="s">
        <v>8190</v>
      </c>
      <c r="I1005" s="47" t="s">
        <v>8191</v>
      </c>
      <c r="J1005" s="47" t="s">
        <v>645</v>
      </c>
    </row>
    <row r="1006" spans="2:10" ht="14.5">
      <c r="B1006" s="47" t="s">
        <v>700</v>
      </c>
      <c r="C1006" s="47" t="s">
        <v>64</v>
      </c>
      <c r="D1006" s="47" t="s">
        <v>9340</v>
      </c>
      <c r="E1006" s="47" t="s">
        <v>699</v>
      </c>
      <c r="F1006" s="47" t="s">
        <v>8189</v>
      </c>
      <c r="G1006" s="363">
        <v>46129</v>
      </c>
      <c r="H1006" s="47" t="s">
        <v>8190</v>
      </c>
      <c r="I1006" s="47" t="s">
        <v>8191</v>
      </c>
      <c r="J1006" s="47" t="s">
        <v>699</v>
      </c>
    </row>
    <row r="1007" spans="2:10" ht="14.5">
      <c r="B1007" s="47" t="s">
        <v>478</v>
      </c>
      <c r="C1007" s="47" t="s">
        <v>64</v>
      </c>
      <c r="D1007" s="47" t="s">
        <v>9341</v>
      </c>
      <c r="E1007" s="47" t="s">
        <v>477</v>
      </c>
      <c r="F1007" s="47" t="s">
        <v>8189</v>
      </c>
      <c r="G1007" s="363">
        <v>46120</v>
      </c>
      <c r="H1007" s="47" t="s">
        <v>8190</v>
      </c>
      <c r="I1007" s="47" t="s">
        <v>8191</v>
      </c>
      <c r="J1007" s="47" t="s">
        <v>477</v>
      </c>
    </row>
    <row r="1008" spans="2:10" ht="14.5">
      <c r="B1008" s="47" t="s">
        <v>465</v>
      </c>
      <c r="C1008" s="47" t="s">
        <v>64</v>
      </c>
      <c r="D1008" s="47" t="s">
        <v>9342</v>
      </c>
      <c r="E1008" s="47" t="s">
        <v>460</v>
      </c>
      <c r="F1008" s="47" t="s">
        <v>8189</v>
      </c>
      <c r="G1008" s="363">
        <v>46115</v>
      </c>
      <c r="H1008" s="47" t="s">
        <v>8190</v>
      </c>
      <c r="I1008" s="47" t="s">
        <v>8191</v>
      </c>
      <c r="J1008" s="47" t="s">
        <v>460</v>
      </c>
    </row>
    <row r="1009" spans="2:10" ht="14.5">
      <c r="B1009" s="47" t="s">
        <v>470</v>
      </c>
      <c r="C1009" s="47" t="s">
        <v>64</v>
      </c>
      <c r="D1009" s="47" t="s">
        <v>9343</v>
      </c>
      <c r="E1009" s="47" t="s">
        <v>469</v>
      </c>
      <c r="F1009" s="47" t="s">
        <v>8189</v>
      </c>
      <c r="G1009" s="363">
        <v>46115</v>
      </c>
      <c r="H1009" s="47" t="s">
        <v>8190</v>
      </c>
      <c r="I1009" s="47" t="s">
        <v>8191</v>
      </c>
      <c r="J1009" s="47" t="s">
        <v>469</v>
      </c>
    </row>
    <row r="1010" spans="2:10" ht="14.5">
      <c r="B1010" s="47" t="s">
        <v>622</v>
      </c>
      <c r="C1010" s="47" t="s">
        <v>64</v>
      </c>
      <c r="D1010" s="47" t="s">
        <v>9344</v>
      </c>
      <c r="E1010" s="47" t="s">
        <v>621</v>
      </c>
      <c r="F1010" s="47" t="s">
        <v>8189</v>
      </c>
      <c r="G1010" s="363">
        <v>46120</v>
      </c>
      <c r="H1010" s="47" t="s">
        <v>8190</v>
      </c>
      <c r="I1010" s="47" t="s">
        <v>8191</v>
      </c>
      <c r="J1010" s="47" t="s">
        <v>621</v>
      </c>
    </row>
    <row r="1011" spans="2:10" ht="14.5">
      <c r="B1011" s="47" t="s">
        <v>476</v>
      </c>
      <c r="C1011" s="47" t="s">
        <v>64</v>
      </c>
      <c r="D1011" s="47" t="s">
        <v>9345</v>
      </c>
      <c r="E1011" s="47" t="s">
        <v>471</v>
      </c>
      <c r="F1011" s="47" t="s">
        <v>8189</v>
      </c>
      <c r="G1011" s="363">
        <v>46115</v>
      </c>
      <c r="H1011" s="47" t="s">
        <v>8190</v>
      </c>
      <c r="I1011" s="47" t="s">
        <v>8191</v>
      </c>
      <c r="J1011" s="47" t="s">
        <v>471</v>
      </c>
    </row>
    <row r="1012" spans="2:10" ht="14.5">
      <c r="B1012" s="47" t="s">
        <v>652</v>
      </c>
      <c r="C1012" s="47" t="s">
        <v>64</v>
      </c>
      <c r="D1012" s="47" t="s">
        <v>9346</v>
      </c>
      <c r="E1012" s="47" t="s">
        <v>651</v>
      </c>
      <c r="F1012" s="47" t="s">
        <v>8189</v>
      </c>
      <c r="G1012" s="363">
        <v>46115</v>
      </c>
      <c r="H1012" s="47" t="s">
        <v>8190</v>
      </c>
      <c r="I1012" s="47" t="s">
        <v>8191</v>
      </c>
      <c r="J1012" s="47" t="s">
        <v>651</v>
      </c>
    </row>
    <row r="1013" spans="2:10" ht="14.5">
      <c r="B1013" s="47" t="s">
        <v>693</v>
      </c>
      <c r="C1013" s="47" t="s">
        <v>64</v>
      </c>
      <c r="D1013" s="47" t="s">
        <v>9347</v>
      </c>
      <c r="E1013" s="47" t="s">
        <v>687</v>
      </c>
      <c r="F1013" s="47" t="s">
        <v>8189</v>
      </c>
      <c r="G1013" s="363">
        <v>46146</v>
      </c>
      <c r="H1013" s="47" t="s">
        <v>8190</v>
      </c>
      <c r="I1013" s="47" t="s">
        <v>8191</v>
      </c>
      <c r="J1013" s="47" t="s">
        <v>687</v>
      </c>
    </row>
    <row r="1014" spans="2:10" ht="14.5">
      <c r="B1014" s="47" t="s">
        <v>698</v>
      </c>
      <c r="C1014" s="47" t="s">
        <v>64</v>
      </c>
      <c r="D1014" s="47" t="s">
        <v>9348</v>
      </c>
      <c r="E1014" s="47" t="s">
        <v>697</v>
      </c>
      <c r="F1014" s="47" t="s">
        <v>8189</v>
      </c>
      <c r="G1014" s="363">
        <v>46146</v>
      </c>
      <c r="H1014" s="47" t="s">
        <v>8190</v>
      </c>
      <c r="I1014" s="47" t="s">
        <v>8191</v>
      </c>
      <c r="J1014" s="47" t="s">
        <v>697</v>
      </c>
    </row>
    <row r="1015" spans="2:10" ht="14.5">
      <c r="B1015" s="47" t="s">
        <v>610</v>
      </c>
      <c r="C1015" s="47" t="s">
        <v>64</v>
      </c>
      <c r="D1015" s="47" t="s">
        <v>9349</v>
      </c>
      <c r="E1015" s="47" t="s">
        <v>609</v>
      </c>
      <c r="F1015" s="47" t="s">
        <v>8189</v>
      </c>
      <c r="G1015" s="363">
        <v>46104</v>
      </c>
      <c r="H1015" s="47" t="s">
        <v>8190</v>
      </c>
      <c r="I1015" s="47" t="s">
        <v>8191</v>
      </c>
      <c r="J1015" s="47" t="s">
        <v>609</v>
      </c>
    </row>
    <row r="1016" spans="2:10" ht="14.5">
      <c r="B1016" s="47" t="s">
        <v>604</v>
      </c>
      <c r="C1016" s="47" t="s">
        <v>64</v>
      </c>
      <c r="D1016" s="47" t="s">
        <v>9350</v>
      </c>
      <c r="E1016" s="47" t="s">
        <v>600</v>
      </c>
      <c r="F1016" s="47" t="s">
        <v>8189</v>
      </c>
      <c r="G1016" s="363">
        <v>46114</v>
      </c>
      <c r="H1016" s="47" t="s">
        <v>8190</v>
      </c>
      <c r="I1016" s="47" t="s">
        <v>8191</v>
      </c>
      <c r="J1016" s="47" t="s">
        <v>600</v>
      </c>
    </row>
    <row r="1017" spans="2:10" ht="14.5">
      <c r="B1017" s="47" t="s">
        <v>666</v>
      </c>
      <c r="C1017" s="47" t="s">
        <v>64</v>
      </c>
      <c r="D1017" s="47" t="s">
        <v>9351</v>
      </c>
      <c r="E1017" s="47" t="s">
        <v>282</v>
      </c>
      <c r="F1017" s="47" t="s">
        <v>8189</v>
      </c>
      <c r="G1017" s="363">
        <v>46111</v>
      </c>
      <c r="H1017" s="47" t="s">
        <v>8190</v>
      </c>
      <c r="I1017" s="47" t="s">
        <v>8191</v>
      </c>
      <c r="J1017" s="47" t="s">
        <v>282</v>
      </c>
    </row>
    <row r="1018" spans="2:10" ht="14.5">
      <c r="B1018" s="47" t="s">
        <v>455</v>
      </c>
      <c r="C1018" s="47" t="s">
        <v>64</v>
      </c>
      <c r="D1018" s="47" t="s">
        <v>9352</v>
      </c>
      <c r="E1018" s="47" t="s">
        <v>448</v>
      </c>
      <c r="F1018" s="47" t="s">
        <v>8189</v>
      </c>
      <c r="G1018" s="363">
        <v>46120</v>
      </c>
      <c r="H1018" s="47" t="s">
        <v>8190</v>
      </c>
      <c r="I1018" s="47" t="s">
        <v>8191</v>
      </c>
      <c r="J1018" s="47" t="s">
        <v>448</v>
      </c>
    </row>
    <row r="1019" spans="2:10" ht="14.5">
      <c r="B1019" s="47" t="s">
        <v>412</v>
      </c>
      <c r="C1019" s="47" t="s">
        <v>64</v>
      </c>
      <c r="D1019" s="47" t="s">
        <v>9353</v>
      </c>
      <c r="E1019" s="47" t="s">
        <v>411</v>
      </c>
      <c r="F1019" s="47" t="s">
        <v>8189</v>
      </c>
      <c r="G1019" s="363">
        <v>46104</v>
      </c>
      <c r="H1019" s="47" t="s">
        <v>8190</v>
      </c>
      <c r="I1019" s="47" t="s">
        <v>8191</v>
      </c>
      <c r="J1019" s="47" t="s">
        <v>411</v>
      </c>
    </row>
    <row r="1020" spans="2:10" ht="14.5">
      <c r="B1020" s="47" t="s">
        <v>616</v>
      </c>
      <c r="C1020" s="47" t="s">
        <v>64</v>
      </c>
      <c r="D1020" s="47" t="s">
        <v>9354</v>
      </c>
      <c r="E1020" s="47" t="s">
        <v>615</v>
      </c>
      <c r="F1020" s="47" t="s">
        <v>8189</v>
      </c>
      <c r="G1020" s="363">
        <v>46105</v>
      </c>
      <c r="H1020" s="47" t="s">
        <v>8190</v>
      </c>
      <c r="I1020" s="47" t="s">
        <v>8191</v>
      </c>
      <c r="J1020" s="47" t="s">
        <v>615</v>
      </c>
    </row>
    <row r="1021" spans="2:10" ht="14.5">
      <c r="B1021" s="47" t="s">
        <v>416</v>
      </c>
      <c r="C1021" s="47" t="s">
        <v>64</v>
      </c>
      <c r="D1021" s="47" t="s">
        <v>9355</v>
      </c>
      <c r="E1021" s="47" t="s">
        <v>415</v>
      </c>
      <c r="F1021" s="47" t="s">
        <v>8189</v>
      </c>
      <c r="G1021" s="363">
        <v>46104</v>
      </c>
      <c r="H1021" s="47" t="s">
        <v>8190</v>
      </c>
      <c r="I1021" s="47" t="s">
        <v>8191</v>
      </c>
      <c r="J1021" s="47" t="s">
        <v>415</v>
      </c>
    </row>
    <row r="1022" spans="2:10" ht="14.5">
      <c r="B1022" s="47" t="s">
        <v>206</v>
      </c>
      <c r="C1022" s="47" t="s">
        <v>64</v>
      </c>
      <c r="D1022" s="47"/>
      <c r="E1022" s="47"/>
      <c r="F1022" s="47" t="s">
        <v>8189</v>
      </c>
      <c r="G1022" s="363">
        <v>46115</v>
      </c>
      <c r="H1022" s="47" t="s">
        <v>8190</v>
      </c>
      <c r="I1022" s="47" t="s">
        <v>8191</v>
      </c>
      <c r="J1022" s="47" t="s">
        <v>9356</v>
      </c>
    </row>
    <row r="1023" spans="2:10" ht="14.5">
      <c r="B1023" s="47" t="s">
        <v>444</v>
      </c>
      <c r="C1023" s="47" t="s">
        <v>64</v>
      </c>
      <c r="D1023" s="47" t="s">
        <v>9357</v>
      </c>
      <c r="E1023" s="47" t="s">
        <v>443</v>
      </c>
      <c r="F1023" s="47" t="s">
        <v>8189</v>
      </c>
      <c r="G1023" s="363">
        <v>46105</v>
      </c>
      <c r="H1023" s="47" t="s">
        <v>8190</v>
      </c>
      <c r="I1023" s="47" t="s">
        <v>8191</v>
      </c>
      <c r="J1023" s="47" t="s">
        <v>443</v>
      </c>
    </row>
    <row r="1024" spans="2:10" ht="14.5">
      <c r="B1024" s="47" t="s">
        <v>441</v>
      </c>
      <c r="C1024" s="47" t="s">
        <v>64</v>
      </c>
      <c r="D1024" s="47" t="s">
        <v>9358</v>
      </c>
      <c r="E1024" s="47" t="s">
        <v>440</v>
      </c>
      <c r="F1024" s="47" t="s">
        <v>8189</v>
      </c>
      <c r="G1024" s="363">
        <v>46105</v>
      </c>
      <c r="H1024" s="47" t="s">
        <v>8190</v>
      </c>
      <c r="I1024" s="47" t="s">
        <v>8191</v>
      </c>
      <c r="J1024" s="47" t="s">
        <v>440</v>
      </c>
    </row>
    <row r="1025" spans="2:10" ht="14.5">
      <c r="B1025" s="47" t="s">
        <v>436</v>
      </c>
      <c r="C1025" s="47" t="s">
        <v>64</v>
      </c>
      <c r="D1025" s="47" t="s">
        <v>9359</v>
      </c>
      <c r="E1025" s="47" t="s">
        <v>435</v>
      </c>
      <c r="F1025" s="47" t="s">
        <v>8189</v>
      </c>
      <c r="G1025" s="363">
        <v>46105</v>
      </c>
      <c r="H1025" s="47" t="s">
        <v>8190</v>
      </c>
      <c r="I1025" s="47" t="s">
        <v>8191</v>
      </c>
      <c r="J1025" s="47" t="s">
        <v>435</v>
      </c>
    </row>
    <row r="1026" spans="2:10" ht="14.5">
      <c r="B1026" s="47" t="s">
        <v>439</v>
      </c>
      <c r="C1026" s="47" t="s">
        <v>64</v>
      </c>
      <c r="D1026" s="47" t="s">
        <v>9360</v>
      </c>
      <c r="E1026" s="47" t="s">
        <v>437</v>
      </c>
      <c r="F1026" s="47" t="s">
        <v>8189</v>
      </c>
      <c r="G1026" s="363">
        <v>46105</v>
      </c>
      <c r="H1026" s="47" t="s">
        <v>8190</v>
      </c>
      <c r="I1026" s="47" t="s">
        <v>8191</v>
      </c>
      <c r="J1026" s="47" t="s">
        <v>437</v>
      </c>
    </row>
    <row r="1027" spans="2:10" ht="14.5">
      <c r="B1027" s="47" t="s">
        <v>431</v>
      </c>
      <c r="C1027" s="47" t="s">
        <v>64</v>
      </c>
      <c r="D1027" s="47" t="s">
        <v>9361</v>
      </c>
      <c r="E1027" s="47" t="s">
        <v>430</v>
      </c>
      <c r="F1027" s="47" t="s">
        <v>8189</v>
      </c>
      <c r="G1027" s="363">
        <v>46105</v>
      </c>
      <c r="H1027" s="47" t="s">
        <v>8190</v>
      </c>
      <c r="I1027" s="47" t="s">
        <v>8191</v>
      </c>
      <c r="J1027" s="47" t="s">
        <v>430</v>
      </c>
    </row>
    <row r="1028" spans="2:10" ht="14.5">
      <c r="B1028" s="47" t="s">
        <v>426</v>
      </c>
      <c r="C1028" s="47" t="s">
        <v>64</v>
      </c>
      <c r="D1028" s="47" t="s">
        <v>9362</v>
      </c>
      <c r="E1028" s="47" t="s">
        <v>425</v>
      </c>
      <c r="F1028" s="47" t="s">
        <v>8189</v>
      </c>
      <c r="G1028" s="363">
        <v>46118</v>
      </c>
      <c r="H1028" s="47" t="s">
        <v>8190</v>
      </c>
      <c r="I1028" s="47" t="s">
        <v>8191</v>
      </c>
      <c r="J1028" s="47" t="s">
        <v>425</v>
      </c>
    </row>
    <row r="1029" spans="2:10" ht="14.5">
      <c r="B1029" s="47" t="s">
        <v>445</v>
      </c>
      <c r="C1029" s="47" t="s">
        <v>64</v>
      </c>
      <c r="D1029" s="47" t="s">
        <v>9363</v>
      </c>
      <c r="E1029" s="47" t="s">
        <v>352</v>
      </c>
      <c r="F1029" s="47" t="s">
        <v>8189</v>
      </c>
      <c r="G1029" s="363">
        <v>46099</v>
      </c>
      <c r="H1029" s="47" t="s">
        <v>8190</v>
      </c>
      <c r="I1029" s="47" t="s">
        <v>8191</v>
      </c>
      <c r="J1029" s="47" t="s">
        <v>352</v>
      </c>
    </row>
    <row r="1030" spans="2:10" ht="14.5">
      <c r="B1030" s="47" t="s">
        <v>531</v>
      </c>
      <c r="C1030" s="47" t="s">
        <v>8187</v>
      </c>
      <c r="D1030" s="47" t="s">
        <v>9364</v>
      </c>
      <c r="E1030" s="47" t="s">
        <v>524</v>
      </c>
      <c r="F1030" s="47" t="s">
        <v>8189</v>
      </c>
      <c r="G1030" s="363">
        <v>46120</v>
      </c>
      <c r="H1030" s="47" t="s">
        <v>8190</v>
      </c>
      <c r="I1030" s="47" t="s">
        <v>8191</v>
      </c>
      <c r="J1030" s="47" t="s">
        <v>524</v>
      </c>
    </row>
    <row r="1031" spans="2:10" ht="14.5">
      <c r="B1031" s="47" t="s">
        <v>968</v>
      </c>
      <c r="C1031" s="47" t="s">
        <v>8187</v>
      </c>
      <c r="D1031" s="47" t="s">
        <v>9365</v>
      </c>
      <c r="E1031" s="47" t="s">
        <v>962</v>
      </c>
      <c r="F1031" s="47" t="s">
        <v>8189</v>
      </c>
      <c r="G1031" s="363">
        <v>46134</v>
      </c>
      <c r="H1031" s="47" t="s">
        <v>8190</v>
      </c>
      <c r="I1031" s="47" t="s">
        <v>8191</v>
      </c>
      <c r="J1031" s="47" t="s">
        <v>962</v>
      </c>
    </row>
    <row r="1032" spans="2:10" ht="14.5">
      <c r="B1032" s="47" t="s">
        <v>678</v>
      </c>
      <c r="C1032" s="47" t="s">
        <v>8187</v>
      </c>
      <c r="D1032" s="47" t="s">
        <v>9366</v>
      </c>
      <c r="E1032" s="47" t="s">
        <v>676</v>
      </c>
      <c r="F1032" s="47" t="s">
        <v>8189</v>
      </c>
      <c r="G1032" s="363">
        <v>46104</v>
      </c>
      <c r="H1032" s="47" t="s">
        <v>8190</v>
      </c>
      <c r="I1032" s="47" t="s">
        <v>8191</v>
      </c>
      <c r="J1032" s="47" t="s">
        <v>676</v>
      </c>
    </row>
    <row r="1033" spans="2:10" ht="14.5">
      <c r="B1033" s="47" t="s">
        <v>682</v>
      </c>
      <c r="C1033" s="47" t="s">
        <v>8187</v>
      </c>
      <c r="D1033" s="47" t="s">
        <v>9367</v>
      </c>
      <c r="E1033" s="47" t="s">
        <v>681</v>
      </c>
      <c r="F1033" s="47" t="s">
        <v>8189</v>
      </c>
      <c r="G1033" s="363">
        <v>46101</v>
      </c>
      <c r="H1033" s="47" t="s">
        <v>8190</v>
      </c>
      <c r="I1033" s="47" t="s">
        <v>8191</v>
      </c>
      <c r="J1033" s="47" t="s">
        <v>681</v>
      </c>
    </row>
    <row r="1034" spans="2:10" ht="14.5">
      <c r="B1034" s="47" t="s">
        <v>318</v>
      </c>
      <c r="C1034" s="47" t="s">
        <v>64</v>
      </c>
      <c r="D1034" s="47" t="s">
        <v>9368</v>
      </c>
      <c r="E1034" s="47" t="s">
        <v>317</v>
      </c>
      <c r="F1034" s="47" t="s">
        <v>8189</v>
      </c>
      <c r="G1034" s="363">
        <v>46092</v>
      </c>
      <c r="H1034" s="47" t="s">
        <v>8190</v>
      </c>
      <c r="I1034" s="47" t="s">
        <v>8191</v>
      </c>
      <c r="J1034" s="47" t="s">
        <v>317</v>
      </c>
    </row>
    <row r="1035" spans="2:10" ht="14.5">
      <c r="B1035" s="47" t="s">
        <v>422</v>
      </c>
      <c r="C1035" s="47" t="s">
        <v>64</v>
      </c>
      <c r="D1035" s="47" t="s">
        <v>9369</v>
      </c>
      <c r="E1035" s="47" t="s">
        <v>417</v>
      </c>
      <c r="F1035" s="47" t="s">
        <v>8189</v>
      </c>
      <c r="G1035" s="363">
        <v>46104</v>
      </c>
      <c r="H1035" s="47" t="s">
        <v>8190</v>
      </c>
      <c r="I1035" s="47" t="s">
        <v>8191</v>
      </c>
      <c r="J1035" s="47" t="s">
        <v>417</v>
      </c>
    </row>
    <row r="1036" spans="2:10" ht="14.5">
      <c r="B1036" s="47" t="s">
        <v>380</v>
      </c>
      <c r="C1036" s="47" t="s">
        <v>64</v>
      </c>
      <c r="D1036" s="47" t="s">
        <v>9370</v>
      </c>
      <c r="E1036" s="47" t="s">
        <v>375</v>
      </c>
      <c r="F1036" s="47" t="s">
        <v>8189</v>
      </c>
      <c r="G1036" s="363">
        <v>46091</v>
      </c>
      <c r="H1036" s="47" t="s">
        <v>8190</v>
      </c>
      <c r="I1036" s="47" t="s">
        <v>8191</v>
      </c>
      <c r="J1036" s="47" t="s">
        <v>375</v>
      </c>
    </row>
    <row r="1037" spans="2:10" ht="14.5">
      <c r="B1037" s="47" t="s">
        <v>374</v>
      </c>
      <c r="C1037" s="47" t="s">
        <v>64</v>
      </c>
      <c r="D1037" s="47" t="s">
        <v>9371</v>
      </c>
      <c r="E1037" s="47" t="s">
        <v>373</v>
      </c>
      <c r="F1037" s="47" t="s">
        <v>8189</v>
      </c>
      <c r="G1037" s="363">
        <v>46091</v>
      </c>
      <c r="H1037" s="47" t="s">
        <v>8190</v>
      </c>
      <c r="I1037" s="47" t="s">
        <v>8191</v>
      </c>
      <c r="J1037" s="47" t="s">
        <v>373</v>
      </c>
    </row>
    <row r="1038" spans="2:10" ht="14.5">
      <c r="B1038" s="47" t="s">
        <v>369</v>
      </c>
      <c r="C1038" s="47" t="s">
        <v>64</v>
      </c>
      <c r="D1038" s="47" t="s">
        <v>9372</v>
      </c>
      <c r="E1038" s="47" t="s">
        <v>368</v>
      </c>
      <c r="F1038" s="47" t="s">
        <v>8189</v>
      </c>
      <c r="G1038" s="363">
        <v>46091</v>
      </c>
      <c r="H1038" s="47" t="s">
        <v>8190</v>
      </c>
      <c r="I1038" s="47" t="s">
        <v>8191</v>
      </c>
      <c r="J1038" s="47" t="s">
        <v>368</v>
      </c>
    </row>
    <row r="1039" spans="2:10" ht="14.5">
      <c r="B1039" s="47" t="s">
        <v>365</v>
      </c>
      <c r="C1039" s="47" t="s">
        <v>64</v>
      </c>
      <c r="D1039" s="47" t="s">
        <v>9373</v>
      </c>
      <c r="E1039" s="47" t="s">
        <v>362</v>
      </c>
      <c r="F1039" s="47" t="s">
        <v>8189</v>
      </c>
      <c r="G1039" s="363">
        <v>46091</v>
      </c>
      <c r="H1039" s="47" t="s">
        <v>8190</v>
      </c>
      <c r="I1039" s="47" t="s">
        <v>8191</v>
      </c>
      <c r="J1039" s="47" t="s">
        <v>362</v>
      </c>
    </row>
    <row r="1040" spans="2:10" ht="14.5">
      <c r="B1040" s="47" t="s">
        <v>367</v>
      </c>
      <c r="C1040" s="47" t="s">
        <v>64</v>
      </c>
      <c r="D1040" s="47" t="s">
        <v>9374</v>
      </c>
      <c r="E1040" s="47" t="s">
        <v>366</v>
      </c>
      <c r="F1040" s="47" t="s">
        <v>8189</v>
      </c>
      <c r="G1040" s="363">
        <v>46091</v>
      </c>
      <c r="H1040" s="47" t="s">
        <v>8190</v>
      </c>
      <c r="I1040" s="47" t="s">
        <v>8191</v>
      </c>
      <c r="J1040" s="47" t="s">
        <v>366</v>
      </c>
    </row>
    <row r="1041" spans="2:10" ht="14.5">
      <c r="B1041" s="47" t="s">
        <v>361</v>
      </c>
      <c r="C1041" s="47" t="s">
        <v>64</v>
      </c>
      <c r="D1041" s="47" t="s">
        <v>9375</v>
      </c>
      <c r="E1041" s="47" t="s">
        <v>360</v>
      </c>
      <c r="F1041" s="47" t="s">
        <v>8189</v>
      </c>
      <c r="G1041" s="363">
        <v>46091</v>
      </c>
      <c r="H1041" s="47" t="s">
        <v>8190</v>
      </c>
      <c r="I1041" s="47" t="s">
        <v>8191</v>
      </c>
      <c r="J1041" s="47" t="s">
        <v>360</v>
      </c>
    </row>
    <row r="1042" spans="2:10" ht="14.5">
      <c r="B1042" s="47" t="s">
        <v>355</v>
      </c>
      <c r="C1042" s="47" t="s">
        <v>64</v>
      </c>
      <c r="D1042" s="47" t="s">
        <v>9376</v>
      </c>
      <c r="E1042" s="47" t="s">
        <v>351</v>
      </c>
      <c r="F1042" s="47" t="s">
        <v>8189</v>
      </c>
      <c r="G1042" s="363">
        <v>46091</v>
      </c>
      <c r="H1042" s="47" t="s">
        <v>8190</v>
      </c>
      <c r="I1042" s="47" t="s">
        <v>8191</v>
      </c>
      <c r="J1042" s="47" t="s">
        <v>351</v>
      </c>
    </row>
    <row r="1043" spans="2:10" ht="14.5">
      <c r="B1043" s="47" t="s">
        <v>279</v>
      </c>
      <c r="C1043" s="47" t="s">
        <v>64</v>
      </c>
      <c r="D1043" s="47" t="s">
        <v>9377</v>
      </c>
      <c r="E1043" s="47" t="s">
        <v>278</v>
      </c>
      <c r="F1043" s="47" t="s">
        <v>8189</v>
      </c>
      <c r="G1043" s="363">
        <v>46093</v>
      </c>
      <c r="H1043" s="47" t="s">
        <v>8190</v>
      </c>
      <c r="I1043" s="47" t="s">
        <v>8191</v>
      </c>
      <c r="J1043" s="47" t="s">
        <v>278</v>
      </c>
    </row>
    <row r="1044" spans="2:10" ht="14.5">
      <c r="B1044" s="47" t="s">
        <v>9259</v>
      </c>
      <c r="C1044" s="47" t="s">
        <v>64</v>
      </c>
      <c r="D1044" s="47" t="s">
        <v>9378</v>
      </c>
      <c r="E1044" s="47" t="s">
        <v>254</v>
      </c>
      <c r="F1044" s="47" t="s">
        <v>8189</v>
      </c>
      <c r="G1044" s="363">
        <v>46094</v>
      </c>
      <c r="H1044" s="47" t="s">
        <v>8337</v>
      </c>
      <c r="I1044" s="47" t="s">
        <v>8191</v>
      </c>
      <c r="J1044" s="47" t="s">
        <v>254</v>
      </c>
    </row>
    <row r="1045" spans="2:10" ht="14.5">
      <c r="B1045" s="47" t="s">
        <v>9261</v>
      </c>
      <c r="C1045" s="47" t="s">
        <v>64</v>
      </c>
      <c r="D1045" s="47" t="s">
        <v>9379</v>
      </c>
      <c r="E1045" s="47" t="s">
        <v>258</v>
      </c>
      <c r="F1045" s="47" t="s">
        <v>8189</v>
      </c>
      <c r="G1045" s="363">
        <v>46094</v>
      </c>
      <c r="H1045" s="47" t="s">
        <v>8337</v>
      </c>
      <c r="I1045" s="47" t="s">
        <v>8191</v>
      </c>
      <c r="J1045" s="47" t="s">
        <v>258</v>
      </c>
    </row>
    <row r="1046" spans="2:10" ht="14.5">
      <c r="B1046" s="47" t="s">
        <v>313</v>
      </c>
      <c r="C1046" s="47" t="s">
        <v>64</v>
      </c>
      <c r="D1046" s="47" t="s">
        <v>9380</v>
      </c>
      <c r="E1046" s="47" t="s">
        <v>309</v>
      </c>
      <c r="F1046" s="47" t="s">
        <v>8189</v>
      </c>
      <c r="G1046" s="363">
        <v>46092</v>
      </c>
      <c r="H1046" s="47" t="s">
        <v>8190</v>
      </c>
      <c r="I1046" s="47" t="s">
        <v>8191</v>
      </c>
      <c r="J1046" s="47" t="s">
        <v>309</v>
      </c>
    </row>
    <row r="1047" spans="2:10" ht="14.5">
      <c r="B1047" s="47" t="s">
        <v>397</v>
      </c>
      <c r="C1047" s="47" t="s">
        <v>64</v>
      </c>
      <c r="D1047" s="47" t="s">
        <v>9381</v>
      </c>
      <c r="E1047" s="47" t="s">
        <v>396</v>
      </c>
      <c r="F1047" s="47" t="s">
        <v>8189</v>
      </c>
      <c r="G1047" s="363">
        <v>46097</v>
      </c>
      <c r="H1047" s="47" t="s">
        <v>8190</v>
      </c>
      <c r="I1047" s="47" t="s">
        <v>8191</v>
      </c>
      <c r="J1047" s="47" t="s">
        <v>396</v>
      </c>
    </row>
    <row r="1048" spans="2:10" ht="14.5">
      <c r="B1048" s="47" t="s">
        <v>347</v>
      </c>
      <c r="C1048" s="47" t="s">
        <v>8187</v>
      </c>
      <c r="D1048" s="47" t="s">
        <v>9382</v>
      </c>
      <c r="E1048" s="47" t="s">
        <v>345</v>
      </c>
      <c r="F1048" s="47" t="s">
        <v>8189</v>
      </c>
      <c r="G1048" s="363">
        <v>46105</v>
      </c>
      <c r="H1048" s="47" t="s">
        <v>8190</v>
      </c>
      <c r="I1048" s="47" t="s">
        <v>8191</v>
      </c>
      <c r="J1048" s="47" t="s">
        <v>345</v>
      </c>
    </row>
    <row r="1049" spans="2:10" ht="14.5">
      <c r="B1049" s="47" t="s">
        <v>272</v>
      </c>
      <c r="C1049" s="47" t="s">
        <v>64</v>
      </c>
      <c r="D1049" s="47" t="s">
        <v>9383</v>
      </c>
      <c r="E1049" s="47" t="s">
        <v>271</v>
      </c>
      <c r="F1049" s="47" t="s">
        <v>8189</v>
      </c>
      <c r="G1049" s="363">
        <v>46093</v>
      </c>
      <c r="H1049" s="47" t="s">
        <v>8190</v>
      </c>
      <c r="I1049" s="47" t="s">
        <v>8191</v>
      </c>
      <c r="J1049" s="47" t="s">
        <v>271</v>
      </c>
    </row>
    <row r="1050" spans="2:10" ht="14.5">
      <c r="B1050" s="47" t="s">
        <v>277</v>
      </c>
      <c r="C1050" s="47" t="s">
        <v>64</v>
      </c>
      <c r="D1050" s="47" t="s">
        <v>9384</v>
      </c>
      <c r="E1050" s="47" t="s">
        <v>276</v>
      </c>
      <c r="F1050" s="47" t="s">
        <v>8189</v>
      </c>
      <c r="G1050" s="363">
        <v>46093</v>
      </c>
      <c r="H1050" s="47" t="s">
        <v>8190</v>
      </c>
      <c r="I1050" s="47" t="s">
        <v>8191</v>
      </c>
      <c r="J1050" s="47" t="s">
        <v>276</v>
      </c>
    </row>
    <row r="1051" spans="2:10" ht="14.5">
      <c r="B1051" s="47" t="s">
        <v>9385</v>
      </c>
      <c r="C1051" s="47" t="s">
        <v>64</v>
      </c>
      <c r="D1051" s="47" t="s">
        <v>9386</v>
      </c>
      <c r="E1051" s="47" t="s">
        <v>250</v>
      </c>
      <c r="F1051" s="47" t="s">
        <v>8189</v>
      </c>
      <c r="G1051" s="363">
        <v>46092</v>
      </c>
      <c r="H1051" s="47" t="s">
        <v>8337</v>
      </c>
      <c r="I1051" s="47" t="s">
        <v>8191</v>
      </c>
      <c r="J1051" s="47" t="s">
        <v>250</v>
      </c>
    </row>
    <row r="1052" spans="2:10" ht="14.5">
      <c r="B1052" s="47" t="s">
        <v>673</v>
      </c>
      <c r="C1052" s="47" t="s">
        <v>8187</v>
      </c>
      <c r="D1052" s="47" t="s">
        <v>9387</v>
      </c>
      <c r="E1052" s="47" t="s">
        <v>669</v>
      </c>
      <c r="F1052" s="47" t="s">
        <v>8189</v>
      </c>
      <c r="G1052" s="363">
        <v>46085</v>
      </c>
      <c r="H1052" s="47" t="s">
        <v>8190</v>
      </c>
      <c r="I1052" s="47" t="s">
        <v>8191</v>
      </c>
      <c r="J1052" s="47" t="s">
        <v>669</v>
      </c>
    </row>
    <row r="1053" spans="2:10" ht="14.5">
      <c r="B1053" s="47" t="s">
        <v>9388</v>
      </c>
      <c r="C1053" s="47" t="s">
        <v>64</v>
      </c>
      <c r="D1053" s="47">
        <v>371009147</v>
      </c>
      <c r="E1053" s="47"/>
      <c r="F1053" s="47" t="s">
        <v>8236</v>
      </c>
      <c r="G1053" s="363">
        <v>46049</v>
      </c>
      <c r="H1053" s="47" t="s">
        <v>8190</v>
      </c>
      <c r="I1053" s="47" t="s">
        <v>8191</v>
      </c>
      <c r="J1053" s="47" t="s">
        <v>9389</v>
      </c>
    </row>
    <row r="1054" spans="2:10" ht="14.5">
      <c r="B1054" s="47" t="s">
        <v>233</v>
      </c>
      <c r="C1054" s="47" t="s">
        <v>64</v>
      </c>
      <c r="D1054" s="47" t="s">
        <v>9390</v>
      </c>
      <c r="E1054" s="47" t="s">
        <v>231</v>
      </c>
      <c r="F1054" s="47" t="s">
        <v>8189</v>
      </c>
      <c r="G1054" s="363">
        <v>46097</v>
      </c>
      <c r="H1054" s="47" t="s">
        <v>8190</v>
      </c>
      <c r="I1054" s="47" t="s">
        <v>8191</v>
      </c>
      <c r="J1054" s="47" t="s">
        <v>231</v>
      </c>
    </row>
    <row r="1055" spans="2:10" ht="14.5">
      <c r="B1055" s="47" t="s">
        <v>9391</v>
      </c>
      <c r="C1055" s="47" t="s">
        <v>64</v>
      </c>
      <c r="D1055" s="47" t="s">
        <v>9392</v>
      </c>
      <c r="E1055" s="47" t="s">
        <v>9393</v>
      </c>
      <c r="F1055" s="47" t="s">
        <v>8189</v>
      </c>
      <c r="G1055" s="363">
        <v>46059</v>
      </c>
      <c r="H1055" s="47" t="s">
        <v>8190</v>
      </c>
      <c r="I1055" s="47" t="s">
        <v>8191</v>
      </c>
      <c r="J1055" s="47" t="s">
        <v>9394</v>
      </c>
    </row>
    <row r="1056" spans="2:10" ht="14.5">
      <c r="B1056" s="47" t="s">
        <v>7428</v>
      </c>
      <c r="C1056" s="47" t="s">
        <v>64</v>
      </c>
      <c r="D1056" s="47" t="s">
        <v>9395</v>
      </c>
      <c r="E1056" s="47">
        <v>371009150</v>
      </c>
      <c r="F1056" s="47" t="s">
        <v>8236</v>
      </c>
      <c r="G1056" s="363">
        <v>46076</v>
      </c>
      <c r="H1056" s="47" t="s">
        <v>8190</v>
      </c>
      <c r="I1056" s="47" t="s">
        <v>8191</v>
      </c>
      <c r="J1056" s="47" t="s">
        <v>9396</v>
      </c>
    </row>
    <row r="1057" spans="2:10" ht="14.5">
      <c r="B1057" s="47" t="s">
        <v>7452</v>
      </c>
      <c r="C1057" s="47" t="s">
        <v>64</v>
      </c>
      <c r="D1057" s="47" t="s">
        <v>9397</v>
      </c>
      <c r="E1057" s="47">
        <v>371009149</v>
      </c>
      <c r="F1057" s="47" t="s">
        <v>8236</v>
      </c>
      <c r="G1057" s="363">
        <v>46076</v>
      </c>
      <c r="H1057" s="47" t="s">
        <v>8190</v>
      </c>
      <c r="I1057" s="47" t="s">
        <v>8191</v>
      </c>
      <c r="J1057" s="47" t="s">
        <v>9398</v>
      </c>
    </row>
    <row r="1058" spans="2:10" ht="14.5">
      <c r="B1058" s="47" t="s">
        <v>7440</v>
      </c>
      <c r="C1058" s="47" t="s">
        <v>64</v>
      </c>
      <c r="D1058" s="47" t="s">
        <v>9399</v>
      </c>
      <c r="E1058" s="47">
        <v>371009148</v>
      </c>
      <c r="F1058" s="47" t="s">
        <v>8236</v>
      </c>
      <c r="G1058" s="363">
        <v>46076</v>
      </c>
      <c r="H1058" s="47" t="s">
        <v>8190</v>
      </c>
      <c r="I1058" s="47" t="s">
        <v>8191</v>
      </c>
      <c r="J1058" s="47" t="s">
        <v>9400</v>
      </c>
    </row>
    <row r="1059" spans="2:10" ht="14.5">
      <c r="B1059" s="47" t="s">
        <v>332</v>
      </c>
      <c r="C1059" s="47" t="s">
        <v>64</v>
      </c>
      <c r="D1059" s="47" t="s">
        <v>9401</v>
      </c>
      <c r="E1059" s="47" t="s">
        <v>325</v>
      </c>
      <c r="F1059" s="47" t="s">
        <v>8189</v>
      </c>
      <c r="G1059" s="363">
        <v>46104</v>
      </c>
      <c r="H1059" s="47" t="s">
        <v>8190</v>
      </c>
      <c r="I1059" s="47" t="s">
        <v>8191</v>
      </c>
      <c r="J1059" s="47" t="s">
        <v>325</v>
      </c>
    </row>
    <row r="1060" spans="2:10" ht="14.5">
      <c r="B1060" s="47" t="s">
        <v>227</v>
      </c>
      <c r="C1060" s="47" t="s">
        <v>64</v>
      </c>
      <c r="D1060" s="47" t="s">
        <v>9402</v>
      </c>
      <c r="E1060" s="47" t="s">
        <v>226</v>
      </c>
      <c r="F1060" s="47" t="s">
        <v>8189</v>
      </c>
      <c r="G1060" s="363">
        <v>46097</v>
      </c>
      <c r="H1060" s="47" t="s">
        <v>8190</v>
      </c>
      <c r="I1060" s="47" t="s">
        <v>8191</v>
      </c>
      <c r="J1060" s="47" t="s">
        <v>226</v>
      </c>
    </row>
    <row r="1061" spans="2:10" ht="14.5">
      <c r="B1061" s="47" t="s">
        <v>240</v>
      </c>
      <c r="C1061" s="47" t="s">
        <v>64</v>
      </c>
      <c r="D1061" s="47" t="s">
        <v>9403</v>
      </c>
      <c r="E1061" s="47" t="s">
        <v>244</v>
      </c>
      <c r="F1061" s="47" t="s">
        <v>8189</v>
      </c>
      <c r="G1061" s="363">
        <v>46092</v>
      </c>
      <c r="H1061" s="47" t="s">
        <v>8190</v>
      </c>
      <c r="I1061" s="47" t="s">
        <v>8191</v>
      </c>
      <c r="J1061" s="47" t="s">
        <v>9404</v>
      </c>
    </row>
    <row r="1062" spans="2:10" ht="14.5">
      <c r="B1062" s="47" t="s">
        <v>261</v>
      </c>
      <c r="C1062" s="47" t="s">
        <v>64</v>
      </c>
      <c r="D1062" s="47" t="s">
        <v>9405</v>
      </c>
      <c r="E1062" s="47" t="s">
        <v>260</v>
      </c>
      <c r="F1062" s="47" t="s">
        <v>8189</v>
      </c>
      <c r="G1062" s="363">
        <v>46097</v>
      </c>
      <c r="H1062" s="47" t="s">
        <v>8190</v>
      </c>
      <c r="I1062" s="47" t="s">
        <v>8191</v>
      </c>
      <c r="J1062" s="47" t="s">
        <v>260</v>
      </c>
    </row>
    <row r="1063" spans="2:10" ht="14.5">
      <c r="B1063" s="47" t="s">
        <v>236</v>
      </c>
      <c r="C1063" s="47" t="s">
        <v>64</v>
      </c>
      <c r="D1063" s="47" t="s">
        <v>9406</v>
      </c>
      <c r="E1063" s="47" t="s">
        <v>235</v>
      </c>
      <c r="F1063" s="47" t="s">
        <v>8189</v>
      </c>
      <c r="G1063" s="363">
        <v>46086</v>
      </c>
      <c r="H1063" s="47" t="s">
        <v>8190</v>
      </c>
      <c r="I1063" s="47" t="s">
        <v>8191</v>
      </c>
      <c r="J1063" s="47" t="s">
        <v>235</v>
      </c>
    </row>
    <row r="1064" spans="2:10" ht="14.5">
      <c r="B1064" s="47" t="s">
        <v>225</v>
      </c>
      <c r="C1064" s="47" t="s">
        <v>64</v>
      </c>
      <c r="D1064" s="47" t="s">
        <v>9407</v>
      </c>
      <c r="E1064" s="47" t="s">
        <v>224</v>
      </c>
      <c r="F1064" s="47" t="s">
        <v>8189</v>
      </c>
      <c r="G1064" s="363">
        <v>46090</v>
      </c>
      <c r="H1064" s="47" t="s">
        <v>8190</v>
      </c>
      <c r="I1064" s="47" t="s">
        <v>8191</v>
      </c>
      <c r="J1064" s="47" t="s">
        <v>224</v>
      </c>
    </row>
    <row r="1065" spans="2:10" ht="14.5">
      <c r="B1065" s="47" t="s">
        <v>220</v>
      </c>
      <c r="C1065" s="47" t="s">
        <v>64</v>
      </c>
      <c r="D1065" s="47" t="s">
        <v>9408</v>
      </c>
      <c r="E1065" s="47" t="s">
        <v>214</v>
      </c>
      <c r="F1065" s="47" t="s">
        <v>8189</v>
      </c>
      <c r="G1065" s="363">
        <v>46090</v>
      </c>
      <c r="H1065" s="47" t="s">
        <v>8190</v>
      </c>
      <c r="I1065" s="47" t="s">
        <v>8191</v>
      </c>
      <c r="J1065" s="47" t="s">
        <v>214</v>
      </c>
    </row>
    <row r="1066" spans="2:10" ht="14.5">
      <c r="B1066" s="47" t="s">
        <v>308</v>
      </c>
      <c r="C1066" s="47" t="s">
        <v>64</v>
      </c>
      <c r="D1066" s="47" t="s">
        <v>9409</v>
      </c>
      <c r="E1066" s="47" t="s">
        <v>304</v>
      </c>
      <c r="F1066" s="47" t="s">
        <v>8189</v>
      </c>
      <c r="G1066" s="363">
        <v>46101</v>
      </c>
      <c r="H1066" s="47" t="s">
        <v>8190</v>
      </c>
      <c r="I1066" s="47" t="s">
        <v>8191</v>
      </c>
      <c r="J1066" s="47" t="s">
        <v>304</v>
      </c>
    </row>
    <row r="1067" spans="2:10" ht="14.5">
      <c r="B1067" s="47" t="s">
        <v>210</v>
      </c>
      <c r="C1067" s="47" t="s">
        <v>64</v>
      </c>
      <c r="D1067" s="47" t="s">
        <v>9410</v>
      </c>
      <c r="E1067" s="47" t="s">
        <v>209</v>
      </c>
      <c r="F1067" s="47" t="s">
        <v>8189</v>
      </c>
      <c r="G1067" s="363">
        <v>46101</v>
      </c>
      <c r="H1067" s="47" t="s">
        <v>8190</v>
      </c>
      <c r="I1067" s="47" t="s">
        <v>8191</v>
      </c>
      <c r="J1067" s="47" t="s">
        <v>209</v>
      </c>
    </row>
    <row r="1068" spans="2:10" ht="14.5">
      <c r="B1068" s="47" t="s">
        <v>287</v>
      </c>
      <c r="C1068" s="47" t="s">
        <v>64</v>
      </c>
      <c r="D1068" s="47" t="s">
        <v>9411</v>
      </c>
      <c r="E1068" s="47" t="s">
        <v>280</v>
      </c>
      <c r="F1068" s="47" t="s">
        <v>8189</v>
      </c>
      <c r="G1068" s="363">
        <v>46094</v>
      </c>
      <c r="H1068" s="47" t="s">
        <v>8190</v>
      </c>
      <c r="I1068" s="47" t="s">
        <v>8191</v>
      </c>
      <c r="J1068" s="47" t="s">
        <v>280</v>
      </c>
    </row>
    <row r="1069" spans="2:10" ht="14.5">
      <c r="B1069" s="47" t="s">
        <v>301</v>
      </c>
      <c r="C1069" s="47" t="s">
        <v>64</v>
      </c>
      <c r="D1069" s="47" t="s">
        <v>9412</v>
      </c>
      <c r="E1069" s="47" t="s">
        <v>295</v>
      </c>
      <c r="F1069" s="47" t="s">
        <v>8189</v>
      </c>
      <c r="G1069" s="363">
        <v>46101</v>
      </c>
      <c r="H1069" s="47" t="s">
        <v>8190</v>
      </c>
      <c r="I1069" s="47" t="s">
        <v>8191</v>
      </c>
      <c r="J1069" s="47" t="s">
        <v>295</v>
      </c>
    </row>
    <row r="1070" spans="2:10" ht="14.5">
      <c r="B1070" s="47" t="s">
        <v>294</v>
      </c>
      <c r="C1070" s="47" t="s">
        <v>64</v>
      </c>
      <c r="D1070" s="47" t="s">
        <v>9413</v>
      </c>
      <c r="E1070" s="47" t="s">
        <v>292</v>
      </c>
      <c r="F1070" s="47" t="s">
        <v>8189</v>
      </c>
      <c r="G1070" s="363">
        <v>46094</v>
      </c>
      <c r="H1070" s="47" t="s">
        <v>8190</v>
      </c>
      <c r="I1070" s="47" t="s">
        <v>8191</v>
      </c>
      <c r="J1070" s="47" t="s">
        <v>292</v>
      </c>
    </row>
    <row r="1071" spans="2:10" ht="14.5">
      <c r="B1071" s="47" t="s">
        <v>337</v>
      </c>
      <c r="C1071" s="47" t="s">
        <v>64</v>
      </c>
      <c r="D1071" s="47" t="s">
        <v>9414</v>
      </c>
      <c r="E1071" s="47" t="s">
        <v>336</v>
      </c>
      <c r="F1071" s="47" t="s">
        <v>8189</v>
      </c>
      <c r="G1071" s="363">
        <v>46107</v>
      </c>
      <c r="H1071" s="47" t="s">
        <v>8190</v>
      </c>
      <c r="I1071" s="47" t="s">
        <v>8191</v>
      </c>
      <c r="J1071" s="47" t="s">
        <v>336</v>
      </c>
    </row>
    <row r="1072" spans="2:10" ht="14.5">
      <c r="B1072" s="47" t="s">
        <v>342</v>
      </c>
      <c r="C1072" s="47" t="s">
        <v>64</v>
      </c>
      <c r="D1072" s="47" t="s">
        <v>9415</v>
      </c>
      <c r="E1072" s="47" t="s">
        <v>341</v>
      </c>
      <c r="F1072" s="47" t="s">
        <v>8189</v>
      </c>
      <c r="G1072" s="363">
        <v>46107</v>
      </c>
      <c r="H1072" s="47" t="s">
        <v>8190</v>
      </c>
      <c r="I1072" s="47" t="s">
        <v>8191</v>
      </c>
      <c r="J1072" s="47" t="s">
        <v>341</v>
      </c>
    </row>
    <row r="1073" spans="2:10" ht="14.5">
      <c r="B1073" s="47" t="s">
        <v>596</v>
      </c>
      <c r="C1073" s="47" t="s">
        <v>8187</v>
      </c>
      <c r="D1073" s="47" t="s">
        <v>9416</v>
      </c>
      <c r="E1073" s="47" t="s">
        <v>592</v>
      </c>
      <c r="F1073" s="47" t="s">
        <v>8189</v>
      </c>
      <c r="G1073" s="363">
        <v>46114</v>
      </c>
      <c r="H1073" s="47" t="s">
        <v>8190</v>
      </c>
      <c r="I1073" s="47" t="s">
        <v>8191</v>
      </c>
      <c r="J1073" s="47" t="s">
        <v>592</v>
      </c>
    </row>
    <row r="1074" spans="2:10" ht="14.5">
      <c r="B1074" s="47" t="s">
        <v>572</v>
      </c>
      <c r="C1074" s="47" t="s">
        <v>8187</v>
      </c>
      <c r="D1074" s="47" t="s">
        <v>9417</v>
      </c>
      <c r="E1074" s="47"/>
      <c r="F1074" s="47" t="s">
        <v>8189</v>
      </c>
      <c r="G1074" s="363">
        <v>46118</v>
      </c>
      <c r="H1074" s="47" t="s">
        <v>8190</v>
      </c>
      <c r="I1074" s="47" t="s">
        <v>8191</v>
      </c>
      <c r="J1074" s="47" t="s">
        <v>568</v>
      </c>
    </row>
    <row r="1075" spans="2:10" ht="14.5">
      <c r="B1075" s="47" t="s">
        <v>567</v>
      </c>
      <c r="C1075" s="47" t="s">
        <v>8187</v>
      </c>
      <c r="D1075" s="47" t="s">
        <v>9418</v>
      </c>
      <c r="E1075" s="47"/>
      <c r="F1075" s="47" t="s">
        <v>8189</v>
      </c>
      <c r="G1075" s="363">
        <v>46118</v>
      </c>
      <c r="H1075" s="47" t="s">
        <v>8190</v>
      </c>
      <c r="I1075" s="47" t="s">
        <v>8191</v>
      </c>
      <c r="J1075" s="47" t="s">
        <v>565</v>
      </c>
    </row>
    <row r="1076" spans="2:10" ht="14.5">
      <c r="B1076" s="47" t="s">
        <v>561</v>
      </c>
      <c r="C1076" s="47" t="s">
        <v>8187</v>
      </c>
      <c r="D1076" s="47" t="s">
        <v>9419</v>
      </c>
      <c r="E1076" s="47"/>
      <c r="F1076" s="47" t="s">
        <v>8189</v>
      </c>
      <c r="G1076" s="363">
        <v>46118</v>
      </c>
      <c r="H1076" s="47" t="s">
        <v>8190</v>
      </c>
      <c r="I1076" s="47" t="s">
        <v>8191</v>
      </c>
      <c r="J1076" s="47" t="s">
        <v>557</v>
      </c>
    </row>
    <row r="1077" spans="2:10" ht="14.5">
      <c r="B1077" s="47" t="s">
        <v>575</v>
      </c>
      <c r="C1077" s="47" t="s">
        <v>8187</v>
      </c>
      <c r="D1077" s="47" t="s">
        <v>9420</v>
      </c>
      <c r="E1077" s="47"/>
      <c r="F1077" s="47" t="s">
        <v>8189</v>
      </c>
      <c r="G1077" s="363">
        <v>46118</v>
      </c>
      <c r="H1077" s="47" t="s">
        <v>8190</v>
      </c>
      <c r="I1077" s="47" t="s">
        <v>8191</v>
      </c>
      <c r="J1077" s="47" t="s">
        <v>573</v>
      </c>
    </row>
    <row r="1078" spans="2:10" ht="14.5">
      <c r="B1078" s="47" t="s">
        <v>546</v>
      </c>
      <c r="C1078" s="47" t="s">
        <v>8187</v>
      </c>
      <c r="D1078" s="47" t="s">
        <v>9421</v>
      </c>
      <c r="E1078" s="47"/>
      <c r="F1078" s="47" t="s">
        <v>8189</v>
      </c>
      <c r="G1078" s="363">
        <v>46104</v>
      </c>
      <c r="H1078" s="47" t="s">
        <v>8190</v>
      </c>
      <c r="I1078" s="47" t="s">
        <v>8191</v>
      </c>
      <c r="J1078" s="47" t="s">
        <v>545</v>
      </c>
    </row>
    <row r="1079" spans="2:10" ht="14.5">
      <c r="B1079" s="47" t="s">
        <v>556</v>
      </c>
      <c r="C1079" s="47" t="s">
        <v>8187</v>
      </c>
      <c r="D1079" s="47" t="s">
        <v>9422</v>
      </c>
      <c r="E1079" s="47"/>
      <c r="F1079" s="47" t="s">
        <v>8189</v>
      </c>
      <c r="G1079" s="363">
        <v>46104</v>
      </c>
      <c r="H1079" s="47" t="s">
        <v>8190</v>
      </c>
      <c r="I1079" s="47" t="s">
        <v>8191</v>
      </c>
      <c r="J1079" s="47" t="s">
        <v>555</v>
      </c>
    </row>
    <row r="1080" spans="2:10" ht="14.5">
      <c r="B1080" s="47" t="s">
        <v>540</v>
      </c>
      <c r="C1080" s="47" t="s">
        <v>8187</v>
      </c>
      <c r="D1080" s="47" t="s">
        <v>9423</v>
      </c>
      <c r="E1080" s="47"/>
      <c r="F1080" s="47" t="s">
        <v>8189</v>
      </c>
      <c r="G1080" s="363">
        <v>46104</v>
      </c>
      <c r="H1080" s="47" t="s">
        <v>8190</v>
      </c>
      <c r="I1080" s="47" t="s">
        <v>8191</v>
      </c>
      <c r="J1080" s="47" t="s">
        <v>537</v>
      </c>
    </row>
    <row r="1081" spans="2:10" ht="14.5">
      <c r="B1081" s="47" t="s">
        <v>407</v>
      </c>
      <c r="C1081" s="47" t="s">
        <v>8187</v>
      </c>
      <c r="D1081" s="47" t="s">
        <v>9424</v>
      </c>
      <c r="E1081" s="47"/>
      <c r="F1081" s="47" t="s">
        <v>8189</v>
      </c>
      <c r="G1081" s="363">
        <v>46086</v>
      </c>
      <c r="H1081" s="47" t="s">
        <v>8190</v>
      </c>
      <c r="I1081" s="47" t="s">
        <v>8191</v>
      </c>
      <c r="J1081" s="47" t="s">
        <v>400</v>
      </c>
    </row>
    <row r="1082" spans="2:10" ht="14.5">
      <c r="B1082" s="47" t="s">
        <v>554</v>
      </c>
      <c r="C1082" s="47" t="s">
        <v>8187</v>
      </c>
      <c r="D1082" s="47" t="s">
        <v>9425</v>
      </c>
      <c r="E1082" s="47"/>
      <c r="F1082" s="47" t="s">
        <v>8189</v>
      </c>
      <c r="G1082" s="363">
        <v>46104</v>
      </c>
      <c r="H1082" s="47" t="s">
        <v>8190</v>
      </c>
      <c r="I1082" s="47" t="s">
        <v>8191</v>
      </c>
      <c r="J1082" s="47" t="s">
        <v>547</v>
      </c>
    </row>
    <row r="1083" spans="2:10" ht="14.5">
      <c r="B1083" s="47" t="s">
        <v>3642</v>
      </c>
      <c r="C1083" s="47" t="s">
        <v>64</v>
      </c>
      <c r="D1083" s="47">
        <v>371009042</v>
      </c>
      <c r="E1083" s="47"/>
      <c r="F1083" s="47" t="s">
        <v>8189</v>
      </c>
      <c r="G1083" s="363">
        <v>46050</v>
      </c>
      <c r="H1083" s="47" t="s">
        <v>8190</v>
      </c>
      <c r="I1083" s="47" t="s">
        <v>8191</v>
      </c>
      <c r="J1083" s="47" t="s">
        <v>9426</v>
      </c>
    </row>
    <row r="1084" spans="2:10" ht="14.5">
      <c r="B1084" s="47" t="s">
        <v>4015</v>
      </c>
      <c r="C1084" s="47" t="s">
        <v>64</v>
      </c>
      <c r="D1084" s="47" t="s">
        <v>9427</v>
      </c>
      <c r="E1084" s="47"/>
      <c r="F1084" s="47" t="s">
        <v>8189</v>
      </c>
      <c r="G1084" s="363">
        <v>46078</v>
      </c>
      <c r="H1084" s="47" t="s">
        <v>8190</v>
      </c>
      <c r="I1084" s="47" t="s">
        <v>8191</v>
      </c>
      <c r="J1084" s="47" t="s">
        <v>4014</v>
      </c>
    </row>
    <row r="1085" spans="2:10" ht="14.5">
      <c r="B1085" s="47" t="s">
        <v>9428</v>
      </c>
      <c r="C1085" s="47" t="s">
        <v>64</v>
      </c>
      <c r="D1085" s="47" t="s">
        <v>9429</v>
      </c>
      <c r="E1085" s="47"/>
      <c r="F1085" s="47" t="s">
        <v>8189</v>
      </c>
      <c r="G1085" s="363">
        <v>46094</v>
      </c>
      <c r="H1085" s="47" t="s">
        <v>8337</v>
      </c>
      <c r="I1085" s="47" t="s">
        <v>8191</v>
      </c>
      <c r="J1085" s="47" t="s">
        <v>98</v>
      </c>
    </row>
    <row r="1086" spans="2:10" ht="14.5">
      <c r="B1086" s="47" t="s">
        <v>9430</v>
      </c>
      <c r="C1086" s="47" t="s">
        <v>64</v>
      </c>
      <c r="D1086" s="47" t="s">
        <v>9431</v>
      </c>
      <c r="E1086" s="47"/>
      <c r="F1086" s="47" t="s">
        <v>8189</v>
      </c>
      <c r="G1086" s="363">
        <v>46092</v>
      </c>
      <c r="H1086" s="47" t="s">
        <v>8337</v>
      </c>
      <c r="I1086" s="47" t="s">
        <v>8191</v>
      </c>
      <c r="J1086" s="47" t="s">
        <v>163</v>
      </c>
    </row>
    <row r="1087" spans="2:10" ht="14.5">
      <c r="B1087" s="47" t="s">
        <v>3853</v>
      </c>
      <c r="C1087" s="47" t="s">
        <v>64</v>
      </c>
      <c r="D1087" s="47">
        <v>371009123</v>
      </c>
      <c r="E1087" s="47"/>
      <c r="F1087" s="47" t="s">
        <v>8189</v>
      </c>
      <c r="G1087" s="363">
        <v>46037</v>
      </c>
      <c r="H1087" s="47" t="s">
        <v>8190</v>
      </c>
      <c r="I1087" s="47" t="s">
        <v>8191</v>
      </c>
      <c r="J1087" s="47" t="s">
        <v>9432</v>
      </c>
    </row>
    <row r="1088" spans="2:10" ht="14.5">
      <c r="B1088" s="47" t="s">
        <v>9433</v>
      </c>
      <c r="C1088" s="47" t="s">
        <v>64</v>
      </c>
      <c r="D1088" s="47"/>
      <c r="E1088" s="47"/>
      <c r="F1088" s="47" t="s">
        <v>8189</v>
      </c>
      <c r="G1088" s="363">
        <v>46037</v>
      </c>
      <c r="H1088" s="47" t="s">
        <v>8337</v>
      </c>
      <c r="I1088" s="47" t="s">
        <v>8191</v>
      </c>
      <c r="J1088" s="47" t="s">
        <v>9434</v>
      </c>
    </row>
    <row r="1089" spans="2:10" ht="14.5">
      <c r="B1089" s="47" t="s">
        <v>4299</v>
      </c>
      <c r="C1089" s="47" t="s">
        <v>64</v>
      </c>
      <c r="D1089" s="47" t="s">
        <v>9435</v>
      </c>
      <c r="E1089" s="47"/>
      <c r="F1089" s="47" t="s">
        <v>8189</v>
      </c>
      <c r="G1089" s="363">
        <v>46078</v>
      </c>
      <c r="H1089" s="47" t="s">
        <v>8190</v>
      </c>
      <c r="I1089" s="47" t="s">
        <v>8191</v>
      </c>
      <c r="J1089" s="47" t="s">
        <v>4298</v>
      </c>
    </row>
    <row r="1090" spans="2:10" ht="14.5">
      <c r="B1090" s="47" t="s">
        <v>4326</v>
      </c>
      <c r="C1090" s="47" t="s">
        <v>64</v>
      </c>
      <c r="D1090" s="47" t="s">
        <v>9436</v>
      </c>
      <c r="E1090" s="47"/>
      <c r="F1090" s="47" t="s">
        <v>8189</v>
      </c>
      <c r="G1090" s="363">
        <v>46091</v>
      </c>
      <c r="H1090" s="47" t="s">
        <v>8190</v>
      </c>
      <c r="I1090" s="47" t="s">
        <v>8191</v>
      </c>
      <c r="J1090" s="47" t="s">
        <v>4325</v>
      </c>
    </row>
    <row r="1091" spans="2:10" ht="14.5">
      <c r="B1091" s="47" t="s">
        <v>4321</v>
      </c>
      <c r="C1091" s="47" t="s">
        <v>64</v>
      </c>
      <c r="D1091" s="47" t="s">
        <v>9437</v>
      </c>
      <c r="E1091" s="47"/>
      <c r="F1091" s="47" t="s">
        <v>8189</v>
      </c>
      <c r="G1091" s="363">
        <v>46091</v>
      </c>
      <c r="H1091" s="47" t="s">
        <v>8190</v>
      </c>
      <c r="I1091" s="47" t="s">
        <v>8191</v>
      </c>
      <c r="J1091" s="47" t="s">
        <v>4320</v>
      </c>
    </row>
    <row r="1092" spans="2:10" ht="14.5">
      <c r="B1092" s="47" t="s">
        <v>4349</v>
      </c>
      <c r="C1092" s="47" t="s">
        <v>64</v>
      </c>
      <c r="D1092" s="47" t="s">
        <v>9438</v>
      </c>
      <c r="E1092" s="47"/>
      <c r="F1092" s="47" t="s">
        <v>8189</v>
      </c>
      <c r="G1092" s="363">
        <v>46071</v>
      </c>
      <c r="H1092" s="47" t="s">
        <v>8190</v>
      </c>
      <c r="I1092" s="47" t="s">
        <v>8191</v>
      </c>
      <c r="J1092" s="47" t="s">
        <v>4348</v>
      </c>
    </row>
    <row r="1093" spans="2:10" ht="14.5">
      <c r="B1093" s="47" t="s">
        <v>4328</v>
      </c>
      <c r="C1093" s="47" t="s">
        <v>64</v>
      </c>
      <c r="D1093" s="47" t="s">
        <v>9439</v>
      </c>
      <c r="E1093" s="47"/>
      <c r="F1093" s="47" t="s">
        <v>8189</v>
      </c>
      <c r="G1093" s="363">
        <v>46071</v>
      </c>
      <c r="H1093" s="47" t="s">
        <v>8190</v>
      </c>
      <c r="I1093" s="47" t="s">
        <v>8191</v>
      </c>
      <c r="J1093" s="47" t="s">
        <v>4327</v>
      </c>
    </row>
    <row r="1094" spans="2:10" ht="14.5">
      <c r="B1094" s="47" t="s">
        <v>4375</v>
      </c>
      <c r="C1094" s="47" t="s">
        <v>64</v>
      </c>
      <c r="D1094" s="47" t="s">
        <v>9440</v>
      </c>
      <c r="E1094" s="47"/>
      <c r="F1094" s="47" t="s">
        <v>8189</v>
      </c>
      <c r="G1094" s="363">
        <v>46078</v>
      </c>
      <c r="H1094" s="47" t="s">
        <v>8190</v>
      </c>
      <c r="I1094" s="47" t="s">
        <v>8191</v>
      </c>
      <c r="J1094" s="47" t="s">
        <v>4374</v>
      </c>
    </row>
    <row r="1095" spans="2:10" ht="14.5">
      <c r="B1095" s="47" t="s">
        <v>4305</v>
      </c>
      <c r="C1095" s="47" t="s">
        <v>64</v>
      </c>
      <c r="D1095" s="47" t="s">
        <v>9441</v>
      </c>
      <c r="E1095" s="47"/>
      <c r="F1095" s="47" t="s">
        <v>8189</v>
      </c>
      <c r="G1095" s="363">
        <v>46080</v>
      </c>
      <c r="H1095" s="47" t="s">
        <v>8190</v>
      </c>
      <c r="I1095" s="47" t="s">
        <v>8191</v>
      </c>
      <c r="J1095" s="47" t="s">
        <v>4304</v>
      </c>
    </row>
    <row r="1096" spans="2:10" ht="14.5">
      <c r="B1096" s="47" t="s">
        <v>4314</v>
      </c>
      <c r="C1096" s="47" t="s">
        <v>64</v>
      </c>
      <c r="D1096" s="47" t="s">
        <v>9442</v>
      </c>
      <c r="E1096" s="47"/>
      <c r="F1096" s="47" t="s">
        <v>8189</v>
      </c>
      <c r="G1096" s="363">
        <v>46076</v>
      </c>
      <c r="H1096" s="47" t="s">
        <v>8190</v>
      </c>
      <c r="I1096" s="47" t="s">
        <v>8191</v>
      </c>
      <c r="J1096" s="47" t="s">
        <v>4313</v>
      </c>
    </row>
    <row r="1097" spans="2:10" ht="14.5">
      <c r="B1097" s="47" t="s">
        <v>4310</v>
      </c>
      <c r="C1097" s="47" t="s">
        <v>64</v>
      </c>
      <c r="D1097" s="47" t="s">
        <v>9443</v>
      </c>
      <c r="E1097" s="47"/>
      <c r="F1097" s="47" t="s">
        <v>8189</v>
      </c>
      <c r="G1097" s="363">
        <v>46076</v>
      </c>
      <c r="H1097" s="47" t="s">
        <v>8190</v>
      </c>
      <c r="I1097" s="47" t="s">
        <v>8191</v>
      </c>
      <c r="J1097" s="47" t="s">
        <v>4309</v>
      </c>
    </row>
    <row r="1098" spans="2:10" ht="14.5">
      <c r="B1098" s="47" t="s">
        <v>4366</v>
      </c>
      <c r="C1098" s="47" t="s">
        <v>64</v>
      </c>
      <c r="D1098" s="47" t="s">
        <v>9444</v>
      </c>
      <c r="E1098" s="47"/>
      <c r="F1098" s="47" t="s">
        <v>8189</v>
      </c>
      <c r="G1098" s="363">
        <v>46078</v>
      </c>
      <c r="H1098" s="47" t="s">
        <v>8190</v>
      </c>
      <c r="I1098" s="47" t="s">
        <v>8191</v>
      </c>
      <c r="J1098" s="47" t="s">
        <v>4365</v>
      </c>
    </row>
    <row r="1099" spans="2:10" ht="14.5">
      <c r="B1099" s="47" t="s">
        <v>4371</v>
      </c>
      <c r="C1099" s="47" t="s">
        <v>64</v>
      </c>
      <c r="D1099" s="47" t="s">
        <v>9445</v>
      </c>
      <c r="E1099" s="47"/>
      <c r="F1099" s="47" t="s">
        <v>8189</v>
      </c>
      <c r="G1099" s="363">
        <v>46078</v>
      </c>
      <c r="H1099" s="47" t="s">
        <v>8190</v>
      </c>
      <c r="I1099" s="47" t="s">
        <v>8191</v>
      </c>
      <c r="J1099" s="47" t="s">
        <v>4370</v>
      </c>
    </row>
    <row r="1100" spans="2:10" ht="14.5">
      <c r="B1100" s="47" t="s">
        <v>4316</v>
      </c>
      <c r="C1100" s="47" t="s">
        <v>64</v>
      </c>
      <c r="D1100" s="47" t="s">
        <v>9446</v>
      </c>
      <c r="E1100" s="47"/>
      <c r="F1100" s="47" t="s">
        <v>8189</v>
      </c>
      <c r="G1100" s="363">
        <v>46073</v>
      </c>
      <c r="H1100" s="47" t="s">
        <v>8190</v>
      </c>
      <c r="I1100" s="47" t="s">
        <v>8191</v>
      </c>
      <c r="J1100" s="47" t="s">
        <v>4315</v>
      </c>
    </row>
    <row r="1101" spans="2:10" ht="14.5">
      <c r="B1101" s="47" t="s">
        <v>4364</v>
      </c>
      <c r="C1101" s="47" t="s">
        <v>64</v>
      </c>
      <c r="D1101" s="47" t="s">
        <v>9447</v>
      </c>
      <c r="E1101" s="47"/>
      <c r="F1101" s="47" t="s">
        <v>8189</v>
      </c>
      <c r="G1101" s="363">
        <v>46090</v>
      </c>
      <c r="H1101" s="47" t="s">
        <v>8190</v>
      </c>
      <c r="I1101" s="47" t="s">
        <v>8191</v>
      </c>
      <c r="J1101" s="47" t="s">
        <v>4363</v>
      </c>
    </row>
    <row r="1102" spans="2:10" ht="14.5">
      <c r="B1102" s="47" t="s">
        <v>4362</v>
      </c>
      <c r="C1102" s="47" t="s">
        <v>64</v>
      </c>
      <c r="D1102" s="47" t="s">
        <v>9448</v>
      </c>
      <c r="E1102" s="47"/>
      <c r="F1102" s="47" t="s">
        <v>8189</v>
      </c>
      <c r="G1102" s="363">
        <v>46090</v>
      </c>
      <c r="H1102" s="47" t="s">
        <v>8190</v>
      </c>
      <c r="I1102" s="47" t="s">
        <v>8191</v>
      </c>
      <c r="J1102" s="47" t="s">
        <v>4361</v>
      </c>
    </row>
    <row r="1103" spans="2:10" ht="14.5">
      <c r="B1103" s="47" t="s">
        <v>178</v>
      </c>
      <c r="C1103" s="47" t="s">
        <v>64</v>
      </c>
      <c r="D1103" s="47" t="s">
        <v>9449</v>
      </c>
      <c r="E1103" s="47"/>
      <c r="F1103" s="47" t="s">
        <v>8189</v>
      </c>
      <c r="G1103" s="363">
        <v>46100</v>
      </c>
      <c r="H1103" s="47" t="s">
        <v>8190</v>
      </c>
      <c r="I1103" s="47" t="s">
        <v>8191</v>
      </c>
      <c r="J1103" s="47" t="s">
        <v>177</v>
      </c>
    </row>
    <row r="1104" spans="2:10" ht="14.5">
      <c r="B1104" s="47" t="s">
        <v>4401</v>
      </c>
      <c r="C1104" s="47" t="s">
        <v>64</v>
      </c>
      <c r="D1104" s="47" t="s">
        <v>9450</v>
      </c>
      <c r="E1104" s="47"/>
      <c r="F1104" s="47" t="s">
        <v>8189</v>
      </c>
      <c r="G1104" s="363">
        <v>46090</v>
      </c>
      <c r="H1104" s="47" t="s">
        <v>8190</v>
      </c>
      <c r="I1104" s="47" t="s">
        <v>8191</v>
      </c>
      <c r="J1104" s="47" t="s">
        <v>4400</v>
      </c>
    </row>
    <row r="1105" spans="2:10" ht="14.5">
      <c r="B1105" s="47" t="s">
        <v>4379</v>
      </c>
      <c r="C1105" s="47" t="s">
        <v>64</v>
      </c>
      <c r="D1105" s="47" t="s">
        <v>9451</v>
      </c>
      <c r="E1105" s="47"/>
      <c r="F1105" s="47" t="s">
        <v>8189</v>
      </c>
      <c r="G1105" s="363">
        <v>46085</v>
      </c>
      <c r="H1105" s="47" t="s">
        <v>8190</v>
      </c>
      <c r="I1105" s="47" t="s">
        <v>8191</v>
      </c>
      <c r="J1105" s="47" t="s">
        <v>4378</v>
      </c>
    </row>
    <row r="1106" spans="2:10" ht="14.5">
      <c r="B1106" s="47" t="s">
        <v>4396</v>
      </c>
      <c r="C1106" s="47" t="s">
        <v>64</v>
      </c>
      <c r="D1106" s="47" t="s">
        <v>9452</v>
      </c>
      <c r="E1106" s="47"/>
      <c r="F1106" s="47" t="s">
        <v>8189</v>
      </c>
      <c r="G1106" s="363">
        <v>46090</v>
      </c>
      <c r="H1106" s="47" t="s">
        <v>8190</v>
      </c>
      <c r="I1106" s="47" t="s">
        <v>8191</v>
      </c>
      <c r="J1106" s="47" t="s">
        <v>4395</v>
      </c>
    </row>
    <row r="1107" spans="2:10" ht="14.5">
      <c r="B1107" s="47" t="s">
        <v>9453</v>
      </c>
      <c r="C1107" s="47" t="s">
        <v>64</v>
      </c>
      <c r="D1107" s="47" t="s">
        <v>9454</v>
      </c>
      <c r="E1107" s="47"/>
      <c r="F1107" s="47" t="s">
        <v>8189</v>
      </c>
      <c r="G1107" s="363">
        <v>46090</v>
      </c>
      <c r="H1107" s="47" t="s">
        <v>8337</v>
      </c>
      <c r="I1107" s="47" t="s">
        <v>8191</v>
      </c>
      <c r="J1107" s="47" t="s">
        <v>129</v>
      </c>
    </row>
    <row r="1108" spans="2:10" ht="14.5">
      <c r="B1108" s="47" t="s">
        <v>121</v>
      </c>
      <c r="C1108" s="47" t="s">
        <v>64</v>
      </c>
      <c r="D1108" s="47" t="s">
        <v>9455</v>
      </c>
      <c r="E1108" s="47"/>
      <c r="F1108" s="47" t="s">
        <v>8189</v>
      </c>
      <c r="G1108" s="363">
        <v>46104</v>
      </c>
      <c r="H1108" s="47" t="s">
        <v>8190</v>
      </c>
      <c r="I1108" s="47" t="s">
        <v>8191</v>
      </c>
      <c r="J1108" s="47" t="s">
        <v>110</v>
      </c>
    </row>
    <row r="1109" spans="2:10" ht="14.5">
      <c r="B1109" s="47" t="s">
        <v>4357</v>
      </c>
      <c r="C1109" s="47" t="s">
        <v>64</v>
      </c>
      <c r="D1109" s="47" t="s">
        <v>9456</v>
      </c>
      <c r="E1109" s="47"/>
      <c r="F1109" s="47" t="s">
        <v>8189</v>
      </c>
      <c r="G1109" s="363">
        <v>46090</v>
      </c>
      <c r="H1109" s="47" t="s">
        <v>8190</v>
      </c>
      <c r="I1109" s="47" t="s">
        <v>8191</v>
      </c>
      <c r="J1109" s="47" t="s">
        <v>4356</v>
      </c>
    </row>
    <row r="1110" spans="2:10" ht="14.5">
      <c r="B1110" s="47" t="s">
        <v>9457</v>
      </c>
      <c r="C1110" s="47" t="s">
        <v>64</v>
      </c>
      <c r="D1110" s="47" t="s">
        <v>9458</v>
      </c>
      <c r="E1110" s="47"/>
      <c r="F1110" s="47" t="s">
        <v>8189</v>
      </c>
      <c r="G1110" s="363">
        <v>46090</v>
      </c>
      <c r="H1110" s="47" t="s">
        <v>8337</v>
      </c>
      <c r="I1110" s="47" t="s">
        <v>8191</v>
      </c>
      <c r="J1110" s="47" t="s">
        <v>181</v>
      </c>
    </row>
    <row r="1111" spans="2:10" ht="14.5">
      <c r="B1111" s="47" t="s">
        <v>9256</v>
      </c>
      <c r="C1111" s="47" t="s">
        <v>64</v>
      </c>
      <c r="D1111" s="47" t="s">
        <v>9459</v>
      </c>
      <c r="E1111" s="47"/>
      <c r="F1111" s="47" t="s">
        <v>8189</v>
      </c>
      <c r="G1111" s="363">
        <v>46092</v>
      </c>
      <c r="H1111" s="47" t="s">
        <v>8337</v>
      </c>
      <c r="I1111" s="47" t="s">
        <v>8191</v>
      </c>
      <c r="J1111" s="47" t="s">
        <v>138</v>
      </c>
    </row>
    <row r="1112" spans="2:10" ht="14.5">
      <c r="B1112" s="47" t="s">
        <v>9460</v>
      </c>
      <c r="C1112" s="47" t="s">
        <v>64</v>
      </c>
      <c r="D1112" s="47" t="s">
        <v>9461</v>
      </c>
      <c r="E1112" s="47"/>
      <c r="F1112" s="47" t="s">
        <v>8189</v>
      </c>
      <c r="G1112" s="363">
        <v>46090</v>
      </c>
      <c r="H1112" s="47" t="s">
        <v>8337</v>
      </c>
      <c r="I1112" s="47" t="s">
        <v>8191</v>
      </c>
      <c r="J1112" s="47" t="s">
        <v>186</v>
      </c>
    </row>
    <row r="1113" spans="2:10" ht="14.5">
      <c r="B1113" s="47" t="s">
        <v>9263</v>
      </c>
      <c r="C1113" s="47" t="s">
        <v>64</v>
      </c>
      <c r="D1113" s="47" t="s">
        <v>9462</v>
      </c>
      <c r="E1113" s="47"/>
      <c r="F1113" s="47" t="s">
        <v>8189</v>
      </c>
      <c r="G1113" s="363">
        <v>46104</v>
      </c>
      <c r="H1113" s="47" t="s">
        <v>8337</v>
      </c>
      <c r="I1113" s="47" t="s">
        <v>8191</v>
      </c>
      <c r="J1113" s="47" t="s">
        <v>167</v>
      </c>
    </row>
    <row r="1114" spans="2:10" ht="14.5">
      <c r="B1114" s="47" t="s">
        <v>198</v>
      </c>
      <c r="C1114" s="47" t="s">
        <v>64</v>
      </c>
      <c r="D1114" s="47" t="s">
        <v>9463</v>
      </c>
      <c r="E1114" s="47"/>
      <c r="F1114" s="47" t="s">
        <v>8189</v>
      </c>
      <c r="G1114" s="363">
        <v>46097</v>
      </c>
      <c r="H1114" s="47" t="s">
        <v>8190</v>
      </c>
      <c r="I1114" s="47" t="s">
        <v>8191</v>
      </c>
      <c r="J1114" s="47" t="s">
        <v>192</v>
      </c>
    </row>
    <row r="1115" spans="2:10" ht="14.5">
      <c r="B1115" s="47" t="s">
        <v>4338</v>
      </c>
      <c r="C1115" s="47" t="s">
        <v>64</v>
      </c>
      <c r="D1115" s="47" t="s">
        <v>9464</v>
      </c>
      <c r="E1115" s="47"/>
      <c r="F1115" s="47" t="s">
        <v>8189</v>
      </c>
      <c r="G1115" s="363">
        <v>46097</v>
      </c>
      <c r="H1115" s="47" t="s">
        <v>8190</v>
      </c>
      <c r="I1115" s="47" t="s">
        <v>8191</v>
      </c>
      <c r="J1115" s="47" t="s">
        <v>4337</v>
      </c>
    </row>
    <row r="1116" spans="2:10" ht="14.5">
      <c r="B1116" s="47" t="s">
        <v>4403</v>
      </c>
      <c r="C1116" s="47" t="s">
        <v>64</v>
      </c>
      <c r="D1116" s="47" t="s">
        <v>9465</v>
      </c>
      <c r="E1116" s="47"/>
      <c r="F1116" s="47" t="s">
        <v>8189</v>
      </c>
      <c r="G1116" s="363">
        <v>46083</v>
      </c>
      <c r="H1116" s="47" t="s">
        <v>8190</v>
      </c>
      <c r="I1116" s="47" t="s">
        <v>8191</v>
      </c>
      <c r="J1116" s="47" t="s">
        <v>4402</v>
      </c>
    </row>
    <row r="1117" spans="2:10" ht="14.5">
      <c r="B1117" s="47" t="s">
        <v>4345</v>
      </c>
      <c r="C1117" s="47" t="s">
        <v>64</v>
      </c>
      <c r="D1117" s="47" t="s">
        <v>9466</v>
      </c>
      <c r="E1117" s="47"/>
      <c r="F1117" s="47" t="s">
        <v>8189</v>
      </c>
      <c r="G1117" s="363">
        <v>46100</v>
      </c>
      <c r="H1117" s="47" t="s">
        <v>8190</v>
      </c>
      <c r="I1117" s="47" t="s">
        <v>8191</v>
      </c>
      <c r="J1117" s="47" t="s">
        <v>4344</v>
      </c>
    </row>
    <row r="1118" spans="2:10" ht="14.5">
      <c r="B1118" s="47" t="s">
        <v>4343</v>
      </c>
      <c r="C1118" s="47" t="s">
        <v>64</v>
      </c>
      <c r="D1118" s="47" t="s">
        <v>9467</v>
      </c>
      <c r="E1118" s="47"/>
      <c r="F1118" s="47" t="s">
        <v>8189</v>
      </c>
      <c r="G1118" s="363">
        <v>46100</v>
      </c>
      <c r="H1118" s="47" t="s">
        <v>8190</v>
      </c>
      <c r="I1118" s="47" t="s">
        <v>8191</v>
      </c>
      <c r="J1118" s="47" t="s">
        <v>4342</v>
      </c>
    </row>
    <row r="1119" spans="2:10" ht="14.5">
      <c r="B1119" s="47" t="s">
        <v>4347</v>
      </c>
      <c r="C1119" s="47" t="s">
        <v>64</v>
      </c>
      <c r="D1119" s="47" t="s">
        <v>9468</v>
      </c>
      <c r="E1119" s="47"/>
      <c r="F1119" s="47" t="s">
        <v>8189</v>
      </c>
      <c r="G1119" s="363">
        <v>46100</v>
      </c>
      <c r="H1119" s="47" t="s">
        <v>8190</v>
      </c>
      <c r="I1119" s="47" t="s">
        <v>8191</v>
      </c>
      <c r="J1119" s="47" t="s">
        <v>4346</v>
      </c>
    </row>
    <row r="1120" spans="2:10" ht="14.5">
      <c r="B1120" s="47" t="s">
        <v>9469</v>
      </c>
      <c r="C1120" s="47" t="s">
        <v>64</v>
      </c>
      <c r="D1120" s="47" t="s">
        <v>9470</v>
      </c>
      <c r="E1120" s="47"/>
      <c r="F1120" s="47" t="s">
        <v>8189</v>
      </c>
      <c r="G1120" s="363">
        <v>46090</v>
      </c>
      <c r="H1120" s="47" t="s">
        <v>8337</v>
      </c>
      <c r="I1120" s="47" t="s">
        <v>8191</v>
      </c>
      <c r="J1120" s="47" t="s">
        <v>202</v>
      </c>
    </row>
    <row r="1121" spans="2:10" ht="14.5">
      <c r="B1121" s="47" t="s">
        <v>4303</v>
      </c>
      <c r="C1121" s="47" t="s">
        <v>64</v>
      </c>
      <c r="D1121" s="47" t="s">
        <v>9471</v>
      </c>
      <c r="E1121" s="47"/>
      <c r="F1121" s="47" t="s">
        <v>8189</v>
      </c>
      <c r="G1121" s="363">
        <v>46078</v>
      </c>
      <c r="H1121" s="47" t="s">
        <v>8190</v>
      </c>
      <c r="I1121" s="47" t="s">
        <v>8191</v>
      </c>
      <c r="J1121" s="47" t="s">
        <v>4302</v>
      </c>
    </row>
    <row r="1122" spans="2:10" ht="14.5">
      <c r="B1122" s="47" t="s">
        <v>3896</v>
      </c>
      <c r="C1122" s="47" t="s">
        <v>64</v>
      </c>
      <c r="D1122" s="47" t="s">
        <v>9472</v>
      </c>
      <c r="E1122" s="47"/>
      <c r="F1122" s="47" t="s">
        <v>8189</v>
      </c>
      <c r="G1122" s="363">
        <v>46049</v>
      </c>
      <c r="H1122" s="47" t="s">
        <v>8190</v>
      </c>
      <c r="I1122" s="47" t="s">
        <v>8191</v>
      </c>
      <c r="J1122" s="47" t="s">
        <v>3895</v>
      </c>
    </row>
    <row r="1123" spans="2:10" ht="14.5">
      <c r="B1123" s="47" t="s">
        <v>3959</v>
      </c>
      <c r="C1123" s="47" t="s">
        <v>64</v>
      </c>
      <c r="D1123" s="47" t="s">
        <v>9473</v>
      </c>
      <c r="E1123" s="47"/>
      <c r="F1123" s="47" t="s">
        <v>8189</v>
      </c>
      <c r="G1123" s="363">
        <v>46076</v>
      </c>
      <c r="H1123" s="47" t="s">
        <v>8190</v>
      </c>
      <c r="I1123" s="47" t="s">
        <v>8191</v>
      </c>
      <c r="J1123" s="47" t="s">
        <v>9474</v>
      </c>
    </row>
    <row r="1124" spans="2:10" ht="14.5">
      <c r="B1124" s="47" t="s">
        <v>4120</v>
      </c>
      <c r="C1124" s="47" t="s">
        <v>64</v>
      </c>
      <c r="D1124" s="47" t="s">
        <v>9475</v>
      </c>
      <c r="E1124" s="47"/>
      <c r="F1124" s="47" t="s">
        <v>8189</v>
      </c>
      <c r="G1124" s="363">
        <v>46078</v>
      </c>
      <c r="H1124" s="47" t="s">
        <v>8190</v>
      </c>
      <c r="I1124" s="47" t="s">
        <v>8191</v>
      </c>
      <c r="J1124" s="47" t="s">
        <v>9476</v>
      </c>
    </row>
    <row r="1125" spans="2:10" ht="14.5">
      <c r="B1125" s="47" t="s">
        <v>3933</v>
      </c>
      <c r="C1125" s="47" t="s">
        <v>64</v>
      </c>
      <c r="D1125" s="47" t="s">
        <v>9477</v>
      </c>
      <c r="E1125" s="47"/>
      <c r="F1125" s="47" t="s">
        <v>8189</v>
      </c>
      <c r="G1125" s="363">
        <v>46050</v>
      </c>
      <c r="H1125" s="47" t="s">
        <v>8190</v>
      </c>
      <c r="I1125" s="47" t="s">
        <v>8191</v>
      </c>
      <c r="J1125" s="47" t="s">
        <v>9478</v>
      </c>
    </row>
    <row r="1126" spans="2:10" ht="14.5">
      <c r="B1126" s="47" t="s">
        <v>3805</v>
      </c>
      <c r="C1126" s="47" t="s">
        <v>64</v>
      </c>
      <c r="D1126" s="47" t="s">
        <v>9479</v>
      </c>
      <c r="E1126" s="47"/>
      <c r="F1126" s="47" t="s">
        <v>8189</v>
      </c>
      <c r="G1126" s="363">
        <v>46050</v>
      </c>
      <c r="H1126" s="47" t="s">
        <v>8190</v>
      </c>
      <c r="I1126" s="47" t="s">
        <v>8191</v>
      </c>
      <c r="J1126" s="47" t="s">
        <v>9480</v>
      </c>
    </row>
    <row r="1127" spans="2:10" ht="14.5">
      <c r="B1127" s="47" t="s">
        <v>3811</v>
      </c>
      <c r="C1127" s="47" t="s">
        <v>64</v>
      </c>
      <c r="D1127" s="47" t="s">
        <v>9481</v>
      </c>
      <c r="E1127" s="47"/>
      <c r="F1127" s="47" t="s">
        <v>8189</v>
      </c>
      <c r="G1127" s="363">
        <v>46064</v>
      </c>
      <c r="H1127" s="47" t="s">
        <v>8190</v>
      </c>
      <c r="I1127" s="47" t="s">
        <v>8191</v>
      </c>
      <c r="J1127" s="47" t="s">
        <v>9482</v>
      </c>
    </row>
    <row r="1128" spans="2:10" ht="14.5">
      <c r="B1128" s="47" t="s">
        <v>3843</v>
      </c>
      <c r="C1128" s="47" t="s">
        <v>64</v>
      </c>
      <c r="D1128" s="47" t="s">
        <v>9483</v>
      </c>
      <c r="E1128" s="47"/>
      <c r="F1128" s="47" t="s">
        <v>8189</v>
      </c>
      <c r="G1128" s="363">
        <v>46066</v>
      </c>
      <c r="H1128" s="47" t="s">
        <v>8190</v>
      </c>
      <c r="I1128" s="47" t="s">
        <v>8191</v>
      </c>
      <c r="J1128" s="47" t="s">
        <v>9484</v>
      </c>
    </row>
    <row r="1129" spans="2:10" ht="14.5">
      <c r="B1129" s="47" t="s">
        <v>3789</v>
      </c>
      <c r="C1129" s="47" t="s">
        <v>64</v>
      </c>
      <c r="D1129" s="47" t="s">
        <v>9485</v>
      </c>
      <c r="E1129" s="47"/>
      <c r="F1129" s="47" t="s">
        <v>8189</v>
      </c>
      <c r="G1129" s="363">
        <v>46052</v>
      </c>
      <c r="H1129" s="47" t="s">
        <v>8190</v>
      </c>
      <c r="I1129" s="47" t="s">
        <v>8191</v>
      </c>
      <c r="J1129" s="47" t="s">
        <v>9486</v>
      </c>
    </row>
    <row r="1130" spans="2:10" ht="14.5">
      <c r="B1130" s="47" t="s">
        <v>3795</v>
      </c>
      <c r="C1130" s="47" t="s">
        <v>64</v>
      </c>
      <c r="D1130" s="47" t="s">
        <v>9487</v>
      </c>
      <c r="E1130" s="47"/>
      <c r="F1130" s="47" t="s">
        <v>8189</v>
      </c>
      <c r="G1130" s="363">
        <v>46052</v>
      </c>
      <c r="H1130" s="47" t="s">
        <v>8190</v>
      </c>
      <c r="I1130" s="47" t="s">
        <v>8191</v>
      </c>
      <c r="J1130" s="47" t="s">
        <v>9488</v>
      </c>
    </row>
    <row r="1131" spans="2:10" ht="14.5">
      <c r="B1131" s="47" t="s">
        <v>3799</v>
      </c>
      <c r="C1131" s="47" t="s">
        <v>64</v>
      </c>
      <c r="D1131" s="47" t="s">
        <v>9489</v>
      </c>
      <c r="E1131" s="47"/>
      <c r="F1131" s="47" t="s">
        <v>8189</v>
      </c>
      <c r="G1131" s="363">
        <v>46062</v>
      </c>
      <c r="H1131" s="47" t="s">
        <v>8190</v>
      </c>
      <c r="I1131" s="47" t="s">
        <v>8191</v>
      </c>
      <c r="J1131" s="47" t="s">
        <v>9490</v>
      </c>
    </row>
    <row r="1132" spans="2:10" ht="14.5">
      <c r="B1132" s="47" t="s">
        <v>3851</v>
      </c>
      <c r="C1132" s="47" t="s">
        <v>64</v>
      </c>
      <c r="D1132" s="47" t="s">
        <v>9491</v>
      </c>
      <c r="E1132" s="47"/>
      <c r="F1132" s="47" t="s">
        <v>8189</v>
      </c>
      <c r="G1132" s="363">
        <v>46066</v>
      </c>
      <c r="H1132" s="47" t="s">
        <v>8190</v>
      </c>
      <c r="I1132" s="47" t="s">
        <v>8191</v>
      </c>
      <c r="J1132" s="47" t="s">
        <v>9492</v>
      </c>
    </row>
    <row r="1133" spans="2:10" ht="14.5">
      <c r="B1133" s="47" t="s">
        <v>3884</v>
      </c>
      <c r="C1133" s="47" t="s">
        <v>64</v>
      </c>
      <c r="D1133" s="47" t="s">
        <v>9493</v>
      </c>
      <c r="E1133" s="47"/>
      <c r="F1133" s="47" t="s">
        <v>8189</v>
      </c>
      <c r="G1133" s="363">
        <v>46049</v>
      </c>
      <c r="H1133" s="47" t="s">
        <v>8190</v>
      </c>
      <c r="I1133" s="47" t="s">
        <v>8191</v>
      </c>
      <c r="J1133" s="47">
        <v>371009167</v>
      </c>
    </row>
    <row r="1134" spans="2:10" ht="14.5">
      <c r="B1134" s="47" t="s">
        <v>3880</v>
      </c>
      <c r="C1134" s="47" t="s">
        <v>64</v>
      </c>
      <c r="D1134" s="47" t="s">
        <v>9494</v>
      </c>
      <c r="E1134" s="47"/>
      <c r="F1134" s="47" t="s">
        <v>8189</v>
      </c>
      <c r="G1134" s="363">
        <v>46049</v>
      </c>
      <c r="H1134" s="47" t="s">
        <v>8190</v>
      </c>
      <c r="I1134" s="47" t="s">
        <v>8191</v>
      </c>
      <c r="J1134" s="47" t="s">
        <v>3878</v>
      </c>
    </row>
    <row r="1135" spans="2:10" ht="14.5">
      <c r="B1135" s="47" t="s">
        <v>3909</v>
      </c>
      <c r="C1135" s="47" t="s">
        <v>64</v>
      </c>
      <c r="D1135" s="47" t="s">
        <v>9495</v>
      </c>
      <c r="E1135" s="47"/>
      <c r="F1135" s="47" t="s">
        <v>8189</v>
      </c>
      <c r="G1135" s="363">
        <v>46055</v>
      </c>
      <c r="H1135" s="47" t="s">
        <v>8190</v>
      </c>
      <c r="I1135" s="47" t="s">
        <v>8191</v>
      </c>
      <c r="J1135" s="47" t="s">
        <v>3908</v>
      </c>
    </row>
    <row r="1136" spans="2:10" ht="14.5">
      <c r="B1136" s="47" t="s">
        <v>3773</v>
      </c>
      <c r="C1136" s="47" t="s">
        <v>64</v>
      </c>
      <c r="D1136" s="47" t="s">
        <v>9496</v>
      </c>
      <c r="E1136" s="47"/>
      <c r="F1136" s="47" t="s">
        <v>8189</v>
      </c>
      <c r="G1136" s="363">
        <v>46044</v>
      </c>
      <c r="H1136" s="47" t="s">
        <v>8190</v>
      </c>
      <c r="I1136" s="47" t="s">
        <v>8191</v>
      </c>
      <c r="J1136" s="47" t="s">
        <v>3772</v>
      </c>
    </row>
    <row r="1137" spans="2:10" ht="14.5">
      <c r="B1137" s="47" t="s">
        <v>3905</v>
      </c>
      <c r="C1137" s="47" t="s">
        <v>64</v>
      </c>
      <c r="D1137" s="47" t="s">
        <v>9497</v>
      </c>
      <c r="E1137" s="47"/>
      <c r="F1137" s="47" t="s">
        <v>8189</v>
      </c>
      <c r="G1137" s="363">
        <v>46063</v>
      </c>
      <c r="H1137" s="47" t="s">
        <v>8190</v>
      </c>
      <c r="I1137" s="47" t="s">
        <v>8191</v>
      </c>
      <c r="J1137" s="47" t="s">
        <v>3904</v>
      </c>
    </row>
    <row r="1138" spans="2:10" ht="14.5">
      <c r="B1138" s="47" t="s">
        <v>3901</v>
      </c>
      <c r="C1138" s="47" t="s">
        <v>64</v>
      </c>
      <c r="D1138" s="47" t="s">
        <v>9498</v>
      </c>
      <c r="E1138" s="47"/>
      <c r="F1138" s="47" t="s">
        <v>8189</v>
      </c>
      <c r="G1138" s="363">
        <v>46063</v>
      </c>
      <c r="H1138" s="47" t="s">
        <v>8190</v>
      </c>
      <c r="I1138" s="47" t="s">
        <v>8191</v>
      </c>
      <c r="J1138" s="47" t="s">
        <v>3899</v>
      </c>
    </row>
    <row r="1139" spans="2:10" ht="14.5">
      <c r="B1139" s="47" t="s">
        <v>3957</v>
      </c>
      <c r="C1139" s="47" t="s">
        <v>64</v>
      </c>
      <c r="D1139" s="47" t="s">
        <v>9499</v>
      </c>
      <c r="E1139" s="47"/>
      <c r="F1139" s="47" t="s">
        <v>8189</v>
      </c>
      <c r="G1139" s="363">
        <v>46057</v>
      </c>
      <c r="H1139" s="47" t="s">
        <v>8190</v>
      </c>
      <c r="I1139" s="47" t="s">
        <v>8191</v>
      </c>
      <c r="J1139" s="47" t="s">
        <v>3956</v>
      </c>
    </row>
    <row r="1140" spans="2:10" ht="14.5">
      <c r="B1140" s="47" t="s">
        <v>4153</v>
      </c>
      <c r="C1140" s="47" t="s">
        <v>64</v>
      </c>
      <c r="D1140" s="47" t="s">
        <v>9500</v>
      </c>
      <c r="E1140" s="47"/>
      <c r="F1140" s="47" t="s">
        <v>8189</v>
      </c>
      <c r="G1140" s="363">
        <v>46063</v>
      </c>
      <c r="H1140" s="47" t="s">
        <v>8190</v>
      </c>
      <c r="I1140" s="47" t="s">
        <v>8191</v>
      </c>
      <c r="J1140" s="47" t="s">
        <v>4152</v>
      </c>
    </row>
    <row r="1141" spans="2:10" ht="14.5">
      <c r="B1141" s="47" t="s">
        <v>3955</v>
      </c>
      <c r="C1141" s="47" t="s">
        <v>64</v>
      </c>
      <c r="D1141" s="47" t="s">
        <v>9501</v>
      </c>
      <c r="E1141" s="47"/>
      <c r="F1141" s="47" t="s">
        <v>8189</v>
      </c>
      <c r="G1141" s="363">
        <v>46057</v>
      </c>
      <c r="H1141" s="47" t="s">
        <v>8190</v>
      </c>
      <c r="I1141" s="47" t="s">
        <v>8191</v>
      </c>
      <c r="J1141" s="47" t="s">
        <v>3954</v>
      </c>
    </row>
    <row r="1142" spans="2:10" ht="14.5">
      <c r="B1142" s="47" t="s">
        <v>4151</v>
      </c>
      <c r="C1142" s="47" t="s">
        <v>64</v>
      </c>
      <c r="D1142" s="47" t="s">
        <v>9502</v>
      </c>
      <c r="E1142" s="47"/>
      <c r="F1142" s="47" t="s">
        <v>8189</v>
      </c>
      <c r="G1142" s="363">
        <v>46057</v>
      </c>
      <c r="H1142" s="47" t="s">
        <v>8190</v>
      </c>
      <c r="I1142" s="47" t="s">
        <v>8191</v>
      </c>
      <c r="J1142" s="47" t="s">
        <v>4150</v>
      </c>
    </row>
    <row r="1143" spans="2:10" ht="14.5">
      <c r="B1143" s="47" t="s">
        <v>4145</v>
      </c>
      <c r="C1143" s="47" t="s">
        <v>64</v>
      </c>
      <c r="D1143" s="47" t="s">
        <v>9503</v>
      </c>
      <c r="E1143" s="47"/>
      <c r="F1143" s="47" t="s">
        <v>8189</v>
      </c>
      <c r="G1143" s="363">
        <v>46057</v>
      </c>
      <c r="H1143" s="47" t="s">
        <v>8190</v>
      </c>
      <c r="I1143" s="47" t="s">
        <v>8191</v>
      </c>
      <c r="J1143" s="47" t="s">
        <v>4144</v>
      </c>
    </row>
    <row r="1144" spans="2:10" ht="14.5">
      <c r="B1144" s="47" t="s">
        <v>3983</v>
      </c>
      <c r="C1144" s="47" t="s">
        <v>64</v>
      </c>
      <c r="D1144" s="47" t="s">
        <v>9504</v>
      </c>
      <c r="E1144" s="47"/>
      <c r="F1144" s="47" t="s">
        <v>8189</v>
      </c>
      <c r="G1144" s="363">
        <v>46071</v>
      </c>
      <c r="H1144" s="47" t="s">
        <v>8190</v>
      </c>
      <c r="I1144" s="47" t="s">
        <v>8191</v>
      </c>
      <c r="J1144" s="47" t="s">
        <v>3982</v>
      </c>
    </row>
    <row r="1145" spans="2:10" ht="14.5">
      <c r="B1145" s="47" t="s">
        <v>3987</v>
      </c>
      <c r="C1145" s="47" t="s">
        <v>64</v>
      </c>
      <c r="D1145" s="47" t="s">
        <v>9505</v>
      </c>
      <c r="E1145" s="47"/>
      <c r="F1145" s="47" t="s">
        <v>8189</v>
      </c>
      <c r="G1145" s="363">
        <v>46071</v>
      </c>
      <c r="H1145" s="47" t="s">
        <v>8190</v>
      </c>
      <c r="I1145" s="47" t="s">
        <v>8191</v>
      </c>
      <c r="J1145" s="47" t="s">
        <v>3986</v>
      </c>
    </row>
    <row r="1146" spans="2:10" ht="14.5">
      <c r="B1146" s="47" t="s">
        <v>3914</v>
      </c>
      <c r="C1146" s="47" t="s">
        <v>64</v>
      </c>
      <c r="D1146" s="47" t="s">
        <v>9506</v>
      </c>
      <c r="E1146" s="47"/>
      <c r="F1146" s="47" t="s">
        <v>8189</v>
      </c>
      <c r="G1146" s="363">
        <v>46071</v>
      </c>
      <c r="H1146" s="47" t="s">
        <v>8190</v>
      </c>
      <c r="I1146" s="47" t="s">
        <v>8191</v>
      </c>
      <c r="J1146" s="47" t="s">
        <v>3913</v>
      </c>
    </row>
    <row r="1147" spans="2:10" ht="14.5">
      <c r="B1147" s="47" t="s">
        <v>4003</v>
      </c>
      <c r="C1147" s="47" t="s">
        <v>64</v>
      </c>
      <c r="D1147" s="47" t="s">
        <v>9507</v>
      </c>
      <c r="E1147" s="47"/>
      <c r="F1147" s="47" t="s">
        <v>8189</v>
      </c>
      <c r="G1147" s="363">
        <v>46076</v>
      </c>
      <c r="H1147" s="47" t="s">
        <v>8190</v>
      </c>
      <c r="I1147" s="47" t="s">
        <v>8191</v>
      </c>
      <c r="J1147" s="47" t="s">
        <v>4002</v>
      </c>
    </row>
    <row r="1148" spans="2:10" ht="14.5">
      <c r="B1148" s="47" t="s">
        <v>4221</v>
      </c>
      <c r="C1148" s="47" t="s">
        <v>64</v>
      </c>
      <c r="D1148" s="47" t="s">
        <v>9508</v>
      </c>
      <c r="E1148" s="47"/>
      <c r="F1148" s="47" t="s">
        <v>8189</v>
      </c>
      <c r="G1148" s="363">
        <v>46071</v>
      </c>
      <c r="H1148" s="47" t="s">
        <v>8190</v>
      </c>
      <c r="I1148" s="47" t="s">
        <v>8191</v>
      </c>
      <c r="J1148" s="47"/>
    </row>
    <row r="1149" spans="2:10" ht="14.5">
      <c r="B1149" s="47" t="s">
        <v>4162</v>
      </c>
      <c r="C1149" s="47" t="s">
        <v>64</v>
      </c>
      <c r="D1149" s="47" t="s">
        <v>9509</v>
      </c>
      <c r="E1149" s="47"/>
      <c r="F1149" s="47" t="s">
        <v>8189</v>
      </c>
      <c r="G1149" s="363">
        <v>46070</v>
      </c>
      <c r="H1149" s="47" t="s">
        <v>8190</v>
      </c>
      <c r="I1149" s="47" t="s">
        <v>8191</v>
      </c>
      <c r="J1149" s="47" t="s">
        <v>4161</v>
      </c>
    </row>
    <row r="1150" spans="2:10" ht="14.5">
      <c r="B1150" s="47" t="s">
        <v>3950</v>
      </c>
      <c r="C1150" s="47" t="s">
        <v>64</v>
      </c>
      <c r="D1150" s="47" t="s">
        <v>9510</v>
      </c>
      <c r="E1150" s="47"/>
      <c r="F1150" s="47" t="s">
        <v>8189</v>
      </c>
      <c r="G1150" s="363">
        <v>46057</v>
      </c>
      <c r="H1150" s="47" t="s">
        <v>8190</v>
      </c>
      <c r="I1150" s="47" t="s">
        <v>8191</v>
      </c>
      <c r="J1150" s="47" t="s">
        <v>3949</v>
      </c>
    </row>
    <row r="1151" spans="2:10" ht="14.5">
      <c r="B1151" s="47" t="s">
        <v>4167</v>
      </c>
      <c r="C1151" s="47" t="s">
        <v>64</v>
      </c>
      <c r="D1151" s="47" t="s">
        <v>9511</v>
      </c>
      <c r="E1151" s="47"/>
      <c r="F1151" s="47" t="s">
        <v>8189</v>
      </c>
      <c r="G1151" s="363">
        <v>46063</v>
      </c>
      <c r="H1151" s="47" t="s">
        <v>8190</v>
      </c>
      <c r="I1151" s="47" t="s">
        <v>8191</v>
      </c>
      <c r="J1151" s="47" t="s">
        <v>4166</v>
      </c>
    </row>
    <row r="1152" spans="2:10" ht="14.5">
      <c r="B1152" s="47" t="s">
        <v>9512</v>
      </c>
      <c r="C1152" s="47" t="s">
        <v>64</v>
      </c>
      <c r="D1152" s="47" t="s">
        <v>9513</v>
      </c>
      <c r="E1152" s="47"/>
      <c r="F1152" s="47" t="s">
        <v>8189</v>
      </c>
      <c r="G1152" s="363">
        <v>46085</v>
      </c>
      <c r="H1152" s="47" t="s">
        <v>8337</v>
      </c>
      <c r="I1152" s="47" t="s">
        <v>8191</v>
      </c>
      <c r="J1152" s="47" t="s">
        <v>4178</v>
      </c>
    </row>
    <row r="1153" spans="2:10" ht="14.5">
      <c r="B1153" s="47" t="s">
        <v>9514</v>
      </c>
      <c r="C1153" s="47" t="s">
        <v>64</v>
      </c>
      <c r="D1153" s="47" t="s">
        <v>9515</v>
      </c>
      <c r="E1153" s="47"/>
      <c r="F1153" s="47" t="s">
        <v>8189</v>
      </c>
      <c r="G1153" s="363">
        <v>46085</v>
      </c>
      <c r="H1153" s="47" t="s">
        <v>8337</v>
      </c>
      <c r="I1153" s="47" t="s">
        <v>8191</v>
      </c>
      <c r="J1153" s="47" t="s">
        <v>4186</v>
      </c>
    </row>
    <row r="1154" spans="2:10" ht="14.5">
      <c r="B1154" s="47" t="s">
        <v>4005</v>
      </c>
      <c r="C1154" s="47" t="s">
        <v>64</v>
      </c>
      <c r="D1154" s="47" t="s">
        <v>9516</v>
      </c>
      <c r="E1154" s="47"/>
      <c r="F1154" s="47" t="s">
        <v>8189</v>
      </c>
      <c r="G1154" s="363">
        <v>46076</v>
      </c>
      <c r="H1154" s="47" t="s">
        <v>8190</v>
      </c>
      <c r="I1154" s="47" t="s">
        <v>8191</v>
      </c>
      <c r="J1154" s="47"/>
    </row>
    <row r="1155" spans="2:10" ht="14.5">
      <c r="B1155" s="47" t="s">
        <v>4149</v>
      </c>
      <c r="C1155" s="47" t="s">
        <v>64</v>
      </c>
      <c r="D1155" s="47" t="s">
        <v>9517</v>
      </c>
      <c r="E1155" s="47"/>
      <c r="F1155" s="47" t="s">
        <v>8189</v>
      </c>
      <c r="G1155" s="363">
        <v>46062</v>
      </c>
      <c r="H1155" s="47" t="s">
        <v>8190</v>
      </c>
      <c r="I1155" s="47" t="s">
        <v>8191</v>
      </c>
      <c r="J1155" s="47"/>
    </row>
    <row r="1156" spans="2:10" ht="14.5">
      <c r="B1156" s="47" t="s">
        <v>4249</v>
      </c>
      <c r="C1156" s="47" t="s">
        <v>64</v>
      </c>
      <c r="D1156" s="47" t="s">
        <v>9518</v>
      </c>
      <c r="E1156" s="47"/>
      <c r="F1156" s="47" t="s">
        <v>8189</v>
      </c>
      <c r="G1156" s="363">
        <v>46078</v>
      </c>
      <c r="H1156" s="47" t="s">
        <v>8190</v>
      </c>
      <c r="I1156" s="47" t="s">
        <v>8191</v>
      </c>
      <c r="J1156" s="47" t="s">
        <v>4248</v>
      </c>
    </row>
    <row r="1157" spans="2:10" ht="14.5">
      <c r="B1157" s="47" t="s">
        <v>9519</v>
      </c>
      <c r="C1157" s="47" t="s">
        <v>64</v>
      </c>
      <c r="D1157" s="47" t="s">
        <v>9520</v>
      </c>
      <c r="E1157" s="47"/>
      <c r="F1157" s="47" t="s">
        <v>8189</v>
      </c>
      <c r="G1157" s="363">
        <v>46085</v>
      </c>
      <c r="H1157" s="47" t="s">
        <v>8337</v>
      </c>
      <c r="I1157" s="47" t="s">
        <v>8191</v>
      </c>
      <c r="J1157" s="47" t="s">
        <v>4188</v>
      </c>
    </row>
    <row r="1158" spans="2:10" ht="14.5">
      <c r="B1158" s="47" t="s">
        <v>4239</v>
      </c>
      <c r="C1158" s="47" t="s">
        <v>64</v>
      </c>
      <c r="D1158" s="47" t="s">
        <v>9521</v>
      </c>
      <c r="E1158" s="47"/>
      <c r="F1158" s="47" t="s">
        <v>8189</v>
      </c>
      <c r="G1158" s="363">
        <v>46083</v>
      </c>
      <c r="H1158" s="47" t="s">
        <v>8190</v>
      </c>
      <c r="I1158" s="47" t="s">
        <v>8191</v>
      </c>
      <c r="J1158" s="47"/>
    </row>
    <row r="1159" spans="2:10" ht="14.5">
      <c r="B1159" s="47" t="s">
        <v>4253</v>
      </c>
      <c r="C1159" s="47" t="s">
        <v>64</v>
      </c>
      <c r="D1159" s="47" t="s">
        <v>9522</v>
      </c>
      <c r="E1159" s="47"/>
      <c r="F1159" s="47" t="s">
        <v>8189</v>
      </c>
      <c r="G1159" s="363">
        <v>46078</v>
      </c>
      <c r="H1159" s="47" t="s">
        <v>8190</v>
      </c>
      <c r="I1159" s="47" t="s">
        <v>8191</v>
      </c>
      <c r="J1159" s="47"/>
    </row>
    <row r="1160" spans="2:10" ht="14.5">
      <c r="B1160" s="47" t="s">
        <v>4245</v>
      </c>
      <c r="C1160" s="47" t="s">
        <v>64</v>
      </c>
      <c r="D1160" s="47" t="s">
        <v>9523</v>
      </c>
      <c r="E1160" s="47"/>
      <c r="F1160" s="47" t="s">
        <v>8189</v>
      </c>
      <c r="G1160" s="363">
        <v>46066</v>
      </c>
      <c r="H1160" s="47" t="s">
        <v>8190</v>
      </c>
      <c r="I1160" s="47" t="s">
        <v>8191</v>
      </c>
      <c r="J1160" s="47"/>
    </row>
    <row r="1161" spans="2:10" ht="14.5">
      <c r="B1161" s="47" t="s">
        <v>4169</v>
      </c>
      <c r="C1161" s="47" t="s">
        <v>64</v>
      </c>
      <c r="D1161" s="47" t="s">
        <v>9524</v>
      </c>
      <c r="E1161" s="47"/>
      <c r="F1161" s="47" t="s">
        <v>8189</v>
      </c>
      <c r="G1161" s="363">
        <v>46086</v>
      </c>
      <c r="H1161" s="47" t="s">
        <v>8190</v>
      </c>
      <c r="I1161" s="47" t="s">
        <v>8191</v>
      </c>
      <c r="J1161" s="47"/>
    </row>
    <row r="1162" spans="2:10" ht="14.5">
      <c r="B1162" s="47" t="s">
        <v>4175</v>
      </c>
      <c r="C1162" s="47" t="s">
        <v>64</v>
      </c>
      <c r="D1162" s="47" t="s">
        <v>9525</v>
      </c>
      <c r="E1162" s="47"/>
      <c r="F1162" s="47" t="s">
        <v>8189</v>
      </c>
      <c r="G1162" s="363">
        <v>46086</v>
      </c>
      <c r="H1162" s="47" t="s">
        <v>8190</v>
      </c>
      <c r="I1162" s="47" t="s">
        <v>8191</v>
      </c>
      <c r="J1162" s="47"/>
    </row>
    <row r="1163" spans="2:10" ht="14.5">
      <c r="B1163" s="47" t="s">
        <v>4279</v>
      </c>
      <c r="C1163" s="47" t="s">
        <v>64</v>
      </c>
      <c r="D1163" s="47" t="s">
        <v>9526</v>
      </c>
      <c r="E1163" s="47"/>
      <c r="F1163" s="47" t="s">
        <v>8189</v>
      </c>
      <c r="G1163" s="363">
        <v>46070</v>
      </c>
      <c r="H1163" s="47" t="s">
        <v>8190</v>
      </c>
      <c r="I1163" s="47" t="s">
        <v>8191</v>
      </c>
      <c r="J1163" s="47"/>
    </row>
    <row r="1164" spans="2:10" ht="14.5">
      <c r="B1164" s="47" t="s">
        <v>4274</v>
      </c>
      <c r="C1164" s="47" t="s">
        <v>64</v>
      </c>
      <c r="D1164" s="47" t="s">
        <v>9527</v>
      </c>
      <c r="E1164" s="47"/>
      <c r="F1164" s="47" t="s">
        <v>8189</v>
      </c>
      <c r="G1164" s="363">
        <v>46070</v>
      </c>
      <c r="H1164" s="47" t="s">
        <v>8190</v>
      </c>
      <c r="I1164" s="47" t="s">
        <v>8191</v>
      </c>
      <c r="J1164" s="47"/>
    </row>
    <row r="1165" spans="2:10" ht="14.5">
      <c r="B1165" s="47" t="s">
        <v>9528</v>
      </c>
      <c r="C1165" s="47" t="s">
        <v>64</v>
      </c>
      <c r="D1165" s="47" t="s">
        <v>9529</v>
      </c>
      <c r="E1165" s="47"/>
      <c r="F1165" s="47" t="s">
        <v>8189</v>
      </c>
      <c r="G1165" s="363">
        <v>46085</v>
      </c>
      <c r="H1165" s="47" t="s">
        <v>8337</v>
      </c>
      <c r="I1165" s="47" t="s">
        <v>8191</v>
      </c>
      <c r="J1165" s="47" t="s">
        <v>4184</v>
      </c>
    </row>
    <row r="1166" spans="2:10" ht="14.5">
      <c r="B1166" s="47" t="s">
        <v>4264</v>
      </c>
      <c r="C1166" s="47" t="s">
        <v>64</v>
      </c>
      <c r="D1166" s="47" t="s">
        <v>9530</v>
      </c>
      <c r="E1166" s="47"/>
      <c r="F1166" s="47" t="s">
        <v>8189</v>
      </c>
      <c r="G1166" s="363">
        <v>46077</v>
      </c>
      <c r="H1166" s="47" t="s">
        <v>8190</v>
      </c>
      <c r="I1166" s="47" t="s">
        <v>8191</v>
      </c>
      <c r="J1166" s="47" t="s">
        <v>4263</v>
      </c>
    </row>
    <row r="1167" spans="2:10" ht="14.5">
      <c r="B1167" s="47" t="s">
        <v>4191</v>
      </c>
      <c r="C1167" s="47" t="s">
        <v>64</v>
      </c>
      <c r="D1167" s="47" t="s">
        <v>9531</v>
      </c>
      <c r="E1167" s="47"/>
      <c r="F1167" s="47" t="s">
        <v>8189</v>
      </c>
      <c r="G1167" s="363">
        <v>46083</v>
      </c>
      <c r="H1167" s="47" t="s">
        <v>8190</v>
      </c>
      <c r="I1167" s="47" t="s">
        <v>8191</v>
      </c>
      <c r="J1167" s="47" t="s">
        <v>4190</v>
      </c>
    </row>
    <row r="1168" spans="2:10" ht="14.5">
      <c r="B1168" s="47" t="s">
        <v>4197</v>
      </c>
      <c r="C1168" s="47" t="s">
        <v>64</v>
      </c>
      <c r="D1168" s="47" t="s">
        <v>9532</v>
      </c>
      <c r="E1168" s="47"/>
      <c r="F1168" s="47" t="s">
        <v>8189</v>
      </c>
      <c r="G1168" s="363">
        <v>46083</v>
      </c>
      <c r="H1168" s="47" t="s">
        <v>8190</v>
      </c>
      <c r="I1168" s="47" t="s">
        <v>8191</v>
      </c>
      <c r="J1168" s="47"/>
    </row>
    <row r="1169" spans="2:10" ht="14.5">
      <c r="B1169" s="47" t="s">
        <v>4230</v>
      </c>
      <c r="C1169" s="47" t="s">
        <v>64</v>
      </c>
      <c r="D1169" s="47" t="s">
        <v>9533</v>
      </c>
      <c r="E1169" s="47"/>
      <c r="F1169" s="47" t="s">
        <v>8189</v>
      </c>
      <c r="G1169" s="363">
        <v>46065</v>
      </c>
      <c r="H1169" s="47" t="s">
        <v>8190</v>
      </c>
      <c r="I1169" s="47" t="s">
        <v>8191</v>
      </c>
      <c r="J1169" s="47" t="s">
        <v>4229</v>
      </c>
    </row>
    <row r="1170" spans="2:10" ht="14.5">
      <c r="B1170" s="47" t="s">
        <v>4237</v>
      </c>
      <c r="C1170" s="47" t="s">
        <v>64</v>
      </c>
      <c r="D1170" s="47" t="s">
        <v>9534</v>
      </c>
      <c r="E1170" s="47"/>
      <c r="F1170" s="47" t="s">
        <v>8189</v>
      </c>
      <c r="G1170" s="363">
        <v>46065</v>
      </c>
      <c r="H1170" s="47" t="s">
        <v>8190</v>
      </c>
      <c r="I1170" s="47" t="s">
        <v>8191</v>
      </c>
      <c r="J1170" s="47" t="s">
        <v>4236</v>
      </c>
    </row>
    <row r="1171" spans="2:10" ht="14.5">
      <c r="B1171" s="47" t="s">
        <v>4235</v>
      </c>
      <c r="C1171" s="47" t="s">
        <v>64</v>
      </c>
      <c r="D1171" s="47" t="s">
        <v>9535</v>
      </c>
      <c r="E1171" s="47"/>
      <c r="F1171" s="47" t="s">
        <v>8189</v>
      </c>
      <c r="G1171" s="363">
        <v>46061</v>
      </c>
      <c r="H1171" s="47" t="s">
        <v>8190</v>
      </c>
      <c r="I1171" s="47" t="s">
        <v>8191</v>
      </c>
      <c r="J1171" s="47"/>
    </row>
    <row r="1172" spans="2:10" ht="14.5">
      <c r="B1172" s="47" t="s">
        <v>4199</v>
      </c>
      <c r="C1172" s="47" t="s">
        <v>64</v>
      </c>
      <c r="D1172" s="47" t="s">
        <v>9536</v>
      </c>
      <c r="E1172" s="47"/>
      <c r="F1172" s="47" t="s">
        <v>8189</v>
      </c>
      <c r="G1172" s="363">
        <v>46083</v>
      </c>
      <c r="H1172" s="47" t="s">
        <v>8190</v>
      </c>
      <c r="I1172" s="47" t="s">
        <v>8191</v>
      </c>
      <c r="J1172" s="47"/>
    </row>
    <row r="1173" spans="2:10" ht="14.5">
      <c r="B1173" s="47" t="s">
        <v>4243</v>
      </c>
      <c r="C1173" s="47" t="s">
        <v>64</v>
      </c>
      <c r="D1173" s="47" t="s">
        <v>9537</v>
      </c>
      <c r="E1173" s="47"/>
      <c r="F1173" s="47" t="s">
        <v>8189</v>
      </c>
      <c r="G1173" s="363">
        <v>46083</v>
      </c>
      <c r="H1173" s="47" t="s">
        <v>8190</v>
      </c>
      <c r="I1173" s="47" t="s">
        <v>8191</v>
      </c>
      <c r="J1173" s="47"/>
    </row>
    <row r="1174" spans="2:10" ht="14.5">
      <c r="B1174" s="47" t="s">
        <v>4225</v>
      </c>
      <c r="C1174" s="47" t="s">
        <v>64</v>
      </c>
      <c r="D1174" s="47" t="s">
        <v>9538</v>
      </c>
      <c r="E1174" s="47"/>
      <c r="F1174" s="47" t="s">
        <v>8189</v>
      </c>
      <c r="G1174" s="363">
        <v>46083</v>
      </c>
      <c r="H1174" s="47" t="s">
        <v>8190</v>
      </c>
      <c r="I1174" s="47" t="s">
        <v>8191</v>
      </c>
      <c r="J1174" s="47"/>
    </row>
    <row r="1175" spans="2:10" ht="14.5">
      <c r="B1175" s="47" t="s">
        <v>4210</v>
      </c>
      <c r="C1175" s="47" t="s">
        <v>64</v>
      </c>
      <c r="D1175" s="47" t="s">
        <v>9539</v>
      </c>
      <c r="E1175" s="47"/>
      <c r="F1175" s="47" t="s">
        <v>8189</v>
      </c>
      <c r="G1175" s="363">
        <v>46083</v>
      </c>
      <c r="H1175" s="47" t="s">
        <v>8190</v>
      </c>
      <c r="I1175" s="47" t="s">
        <v>8191</v>
      </c>
      <c r="J1175" s="47" t="s">
        <v>4209</v>
      </c>
    </row>
    <row r="1176" spans="2:10" ht="14.5">
      <c r="B1176" s="47" t="s">
        <v>4177</v>
      </c>
      <c r="C1176" s="47" t="s">
        <v>64</v>
      </c>
      <c r="D1176" s="47" t="s">
        <v>9540</v>
      </c>
      <c r="E1176" s="47"/>
      <c r="F1176" s="47" t="s">
        <v>8189</v>
      </c>
      <c r="G1176" s="363">
        <v>46086</v>
      </c>
      <c r="H1176" s="47" t="s">
        <v>8190</v>
      </c>
      <c r="I1176" s="47" t="s">
        <v>8191</v>
      </c>
      <c r="J1176" s="47"/>
    </row>
    <row r="1177" spans="2:10" ht="14.5">
      <c r="B1177" s="47" t="s">
        <v>4205</v>
      </c>
      <c r="C1177" s="47" t="s">
        <v>64</v>
      </c>
      <c r="D1177" s="47" t="s">
        <v>9541</v>
      </c>
      <c r="E1177" s="47"/>
      <c r="F1177" s="47" t="s">
        <v>8189</v>
      </c>
      <c r="G1177" s="363">
        <v>46083</v>
      </c>
      <c r="H1177" s="47" t="s">
        <v>8190</v>
      </c>
      <c r="I1177" s="47" t="s">
        <v>8191</v>
      </c>
      <c r="J1177" s="47" t="s">
        <v>4204</v>
      </c>
    </row>
    <row r="1178" spans="2:10" ht="14.5">
      <c r="B1178" s="47" t="s">
        <v>76</v>
      </c>
      <c r="C1178" s="47" t="s">
        <v>64</v>
      </c>
      <c r="D1178" s="47" t="s">
        <v>9542</v>
      </c>
      <c r="E1178" s="47"/>
      <c r="F1178" s="47" t="s">
        <v>8189</v>
      </c>
      <c r="G1178" s="363">
        <v>46112</v>
      </c>
      <c r="H1178" s="47" t="s">
        <v>8190</v>
      </c>
      <c r="I1178" s="47" t="s">
        <v>8191</v>
      </c>
      <c r="J1178" s="47" t="s">
        <v>60</v>
      </c>
    </row>
    <row r="1179" spans="2:10" ht="14.5">
      <c r="B1179" s="47" t="s">
        <v>97</v>
      </c>
      <c r="C1179" s="47" t="s">
        <v>64</v>
      </c>
      <c r="D1179" s="47" t="s">
        <v>9543</v>
      </c>
      <c r="E1179" s="47"/>
      <c r="F1179" s="47" t="s">
        <v>8189</v>
      </c>
      <c r="G1179" s="363">
        <v>46112</v>
      </c>
      <c r="H1179" s="47" t="s">
        <v>8190</v>
      </c>
      <c r="I1179" s="47" t="s">
        <v>8191</v>
      </c>
      <c r="J1179" s="47" t="s">
        <v>95</v>
      </c>
    </row>
    <row r="1180" spans="2:10" ht="14.5">
      <c r="B1180" s="47" t="s">
        <v>93</v>
      </c>
      <c r="C1180" s="47" t="s">
        <v>64</v>
      </c>
      <c r="D1180" s="47" t="s">
        <v>9544</v>
      </c>
      <c r="E1180" s="47"/>
      <c r="F1180" s="47" t="s">
        <v>8189</v>
      </c>
      <c r="G1180" s="363">
        <v>46112</v>
      </c>
      <c r="H1180" s="47" t="s">
        <v>8190</v>
      </c>
      <c r="I1180" s="47" t="s">
        <v>8191</v>
      </c>
      <c r="J1180" s="47" t="s">
        <v>87</v>
      </c>
    </row>
    <row r="1181" spans="2:10" ht="14.5">
      <c r="B1181" s="47" t="s">
        <v>3964</v>
      </c>
      <c r="C1181" s="47" t="s">
        <v>64</v>
      </c>
      <c r="D1181" s="47" t="s">
        <v>9545</v>
      </c>
      <c r="E1181" s="47"/>
      <c r="F1181" s="47" t="s">
        <v>8189</v>
      </c>
      <c r="G1181" s="363">
        <v>46076</v>
      </c>
      <c r="H1181" s="47" t="s">
        <v>8190</v>
      </c>
      <c r="I1181" s="47" t="s">
        <v>8191</v>
      </c>
      <c r="J1181" s="47"/>
    </row>
    <row r="1182" spans="2:10" ht="14.5">
      <c r="B1182" s="47" t="s">
        <v>4260</v>
      </c>
      <c r="C1182" s="47" t="s">
        <v>64</v>
      </c>
      <c r="D1182" s="47" t="s">
        <v>9546</v>
      </c>
      <c r="E1182" s="47"/>
      <c r="F1182" s="47" t="s">
        <v>8189</v>
      </c>
      <c r="G1182" s="363">
        <v>46077</v>
      </c>
      <c r="H1182" s="47" t="s">
        <v>8190</v>
      </c>
      <c r="I1182" s="47" t="s">
        <v>8191</v>
      </c>
      <c r="J1182" s="47" t="s">
        <v>4258</v>
      </c>
    </row>
    <row r="1183" spans="2:10" ht="14.5">
      <c r="B1183" s="47" t="s">
        <v>3762</v>
      </c>
      <c r="C1183" s="47" t="s">
        <v>64</v>
      </c>
      <c r="D1183" s="47">
        <v>371009111</v>
      </c>
      <c r="E1183" s="47"/>
      <c r="F1183" s="47" t="s">
        <v>8189</v>
      </c>
      <c r="G1183" s="363">
        <v>46035</v>
      </c>
      <c r="H1183" s="47" t="s">
        <v>8190</v>
      </c>
      <c r="I1183" s="47" t="s">
        <v>8191</v>
      </c>
      <c r="J1183" s="47"/>
    </row>
    <row r="1184" spans="2:10" ht="14.5">
      <c r="B1184" s="47" t="s">
        <v>4387</v>
      </c>
      <c r="C1184" s="47" t="s">
        <v>8187</v>
      </c>
      <c r="D1184" s="47" t="s">
        <v>9547</v>
      </c>
      <c r="E1184" s="47"/>
      <c r="F1184" s="47" t="s">
        <v>8189</v>
      </c>
      <c r="G1184" s="363">
        <v>46079</v>
      </c>
      <c r="H1184" s="47" t="s">
        <v>8190</v>
      </c>
      <c r="I1184" s="47" t="s">
        <v>8191</v>
      </c>
      <c r="J1184" s="47"/>
    </row>
    <row r="1185" spans="2:10" ht="14.5">
      <c r="B1185" s="47" t="s">
        <v>4391</v>
      </c>
      <c r="C1185" s="47" t="s">
        <v>8187</v>
      </c>
      <c r="D1185" s="47" t="s">
        <v>9548</v>
      </c>
      <c r="E1185" s="47"/>
      <c r="F1185" s="47" t="s">
        <v>8189</v>
      </c>
      <c r="G1185" s="363">
        <v>46086</v>
      </c>
      <c r="H1185" s="47" t="s">
        <v>8190</v>
      </c>
      <c r="I1185" s="47" t="s">
        <v>8191</v>
      </c>
      <c r="J1185" s="47"/>
    </row>
    <row r="1186" spans="2:10" ht="14.5">
      <c r="B1186" s="47" t="s">
        <v>4394</v>
      </c>
      <c r="C1186" s="47" t="s">
        <v>8187</v>
      </c>
      <c r="D1186" s="47" t="s">
        <v>9549</v>
      </c>
      <c r="E1186" s="47"/>
      <c r="F1186" s="47" t="s">
        <v>8189</v>
      </c>
      <c r="G1186" s="363">
        <v>46086</v>
      </c>
      <c r="H1186" s="47" t="s">
        <v>8190</v>
      </c>
      <c r="I1186" s="47" t="s">
        <v>8191</v>
      </c>
      <c r="J1186" s="47"/>
    </row>
    <row r="1187" spans="2:10" ht="14.5">
      <c r="B1187" s="47" t="s">
        <v>3886</v>
      </c>
      <c r="C1187" s="47" t="s">
        <v>64</v>
      </c>
      <c r="D1187" s="47" t="s">
        <v>9550</v>
      </c>
      <c r="E1187" s="47"/>
      <c r="F1187" s="47" t="s">
        <v>8189</v>
      </c>
      <c r="G1187" s="363">
        <v>46069</v>
      </c>
      <c r="H1187" s="47" t="s">
        <v>8190</v>
      </c>
      <c r="I1187" s="47" t="s">
        <v>8191</v>
      </c>
      <c r="J1187" s="47" t="s">
        <v>3885</v>
      </c>
    </row>
    <row r="1188" spans="2:10" ht="14.5">
      <c r="B1188" s="47" t="s">
        <v>3907</v>
      </c>
      <c r="C1188" s="47" t="s">
        <v>64</v>
      </c>
      <c r="D1188" s="47" t="s">
        <v>9551</v>
      </c>
      <c r="E1188" s="47"/>
      <c r="F1188" s="47" t="s">
        <v>8189</v>
      </c>
      <c r="G1188" s="363">
        <v>46063</v>
      </c>
      <c r="H1188" s="47" t="s">
        <v>8190</v>
      </c>
      <c r="I1188" s="47" t="s">
        <v>8191</v>
      </c>
      <c r="J1188" s="47" t="s">
        <v>3906</v>
      </c>
    </row>
    <row r="1189" spans="2:10" ht="14.5">
      <c r="B1189" s="47" t="s">
        <v>3813</v>
      </c>
      <c r="C1189" s="47" t="s">
        <v>64</v>
      </c>
      <c r="D1189" s="47" t="s">
        <v>9552</v>
      </c>
      <c r="E1189" s="47"/>
      <c r="F1189" s="47" t="s">
        <v>8189</v>
      </c>
      <c r="G1189" s="363">
        <v>46052</v>
      </c>
      <c r="H1189" s="47" t="s">
        <v>8190</v>
      </c>
      <c r="I1189" s="47" t="s">
        <v>8191</v>
      </c>
      <c r="J1189" s="47" t="s">
        <v>3812</v>
      </c>
    </row>
    <row r="1190" spans="2:10" ht="14.5">
      <c r="B1190" s="47" t="s">
        <v>4287</v>
      </c>
      <c r="C1190" s="47" t="s">
        <v>64</v>
      </c>
      <c r="D1190" s="47" t="s">
        <v>9553</v>
      </c>
      <c r="E1190" s="47"/>
      <c r="F1190" s="47" t="s">
        <v>8189</v>
      </c>
      <c r="G1190" s="363">
        <v>46059</v>
      </c>
      <c r="H1190" s="47" t="s">
        <v>8190</v>
      </c>
      <c r="I1190" s="47" t="s">
        <v>8191</v>
      </c>
      <c r="J1190" s="47"/>
    </row>
    <row r="1191" spans="2:10" ht="14.5">
      <c r="B1191" s="47" t="s">
        <v>4281</v>
      </c>
      <c r="C1191" s="47" t="s">
        <v>64</v>
      </c>
      <c r="D1191" s="47" t="s">
        <v>9554</v>
      </c>
      <c r="E1191" s="47"/>
      <c r="F1191" s="47" t="s">
        <v>8189</v>
      </c>
      <c r="G1191" s="363">
        <v>46063</v>
      </c>
      <c r="H1191" s="47" t="s">
        <v>8190</v>
      </c>
      <c r="I1191" s="47" t="s">
        <v>8191</v>
      </c>
      <c r="J1191" s="47" t="s">
        <v>4280</v>
      </c>
    </row>
    <row r="1192" spans="2:10" ht="14.5">
      <c r="B1192" s="47" t="s">
        <v>3979</v>
      </c>
      <c r="C1192" s="47" t="s">
        <v>64</v>
      </c>
      <c r="D1192" s="47" t="s">
        <v>9555</v>
      </c>
      <c r="E1192" s="47"/>
      <c r="F1192" s="47" t="s">
        <v>8189</v>
      </c>
      <c r="G1192" s="363">
        <v>46076</v>
      </c>
      <c r="H1192" s="47" t="s">
        <v>8190</v>
      </c>
      <c r="I1192" s="47" t="s">
        <v>8191</v>
      </c>
      <c r="J1192" s="47" t="s">
        <v>3976</v>
      </c>
    </row>
    <row r="1193" spans="2:10" ht="14.5">
      <c r="B1193" s="47" t="s">
        <v>3992</v>
      </c>
      <c r="C1193" s="47" t="s">
        <v>64</v>
      </c>
      <c r="D1193" s="47" t="s">
        <v>9556</v>
      </c>
      <c r="E1193" s="47"/>
      <c r="F1193" s="47" t="s">
        <v>8189</v>
      </c>
      <c r="G1193" s="363">
        <v>46076</v>
      </c>
      <c r="H1193" s="47" t="s">
        <v>8190</v>
      </c>
      <c r="I1193" s="47" t="s">
        <v>8191</v>
      </c>
      <c r="J1193" s="47" t="s">
        <v>3991</v>
      </c>
    </row>
    <row r="1194" spans="2:10" ht="14.5">
      <c r="B1194" s="47" t="s">
        <v>3998</v>
      </c>
      <c r="C1194" s="47" t="s">
        <v>64</v>
      </c>
      <c r="D1194" s="47" t="s">
        <v>9557</v>
      </c>
      <c r="E1194" s="47"/>
      <c r="F1194" s="47" t="s">
        <v>8189</v>
      </c>
      <c r="G1194" s="363">
        <v>46076</v>
      </c>
      <c r="H1194" s="47" t="s">
        <v>8190</v>
      </c>
      <c r="I1194" s="47" t="s">
        <v>8191</v>
      </c>
      <c r="J1194" s="47" t="s">
        <v>3995</v>
      </c>
    </row>
    <row r="1195" spans="2:10" ht="14.5">
      <c r="B1195" s="47" t="s">
        <v>4001</v>
      </c>
      <c r="C1195" s="47" t="s">
        <v>64</v>
      </c>
      <c r="D1195" s="47" t="s">
        <v>9558</v>
      </c>
      <c r="E1195" s="47"/>
      <c r="F1195" s="47" t="s">
        <v>8189</v>
      </c>
      <c r="G1195" s="363">
        <v>46076</v>
      </c>
      <c r="H1195" s="47" t="s">
        <v>8190</v>
      </c>
      <c r="I1195" s="47" t="s">
        <v>8191</v>
      </c>
      <c r="J1195" s="47" t="s">
        <v>3999</v>
      </c>
    </row>
    <row r="1196" spans="2:10" ht="14.5">
      <c r="B1196" s="47" t="s">
        <v>3946</v>
      </c>
      <c r="C1196" s="47" t="s">
        <v>64</v>
      </c>
      <c r="D1196" s="47" t="s">
        <v>9559</v>
      </c>
      <c r="E1196" s="47"/>
      <c r="F1196" s="47" t="s">
        <v>8189</v>
      </c>
      <c r="G1196" s="363">
        <v>46069</v>
      </c>
      <c r="H1196" s="47" t="s">
        <v>8190</v>
      </c>
      <c r="I1196" s="47" t="s">
        <v>8191</v>
      </c>
      <c r="J1196" s="47" t="s">
        <v>3945</v>
      </c>
    </row>
    <row r="1197" spans="2:10" ht="14.5">
      <c r="B1197" s="47" t="s">
        <v>3944</v>
      </c>
      <c r="C1197" s="47" t="s">
        <v>64</v>
      </c>
      <c r="D1197" s="47" t="s">
        <v>9560</v>
      </c>
      <c r="E1197" s="47"/>
      <c r="F1197" s="47" t="s">
        <v>8189</v>
      </c>
      <c r="G1197" s="363">
        <v>46071</v>
      </c>
      <c r="H1197" s="47" t="s">
        <v>8190</v>
      </c>
      <c r="I1197" s="47" t="s">
        <v>8191</v>
      </c>
      <c r="J1197" s="47" t="s">
        <v>3943</v>
      </c>
    </row>
    <row r="1198" spans="2:10" ht="14.5">
      <c r="B1198" s="47" t="s">
        <v>3938</v>
      </c>
      <c r="C1198" s="47" t="s">
        <v>64</v>
      </c>
      <c r="D1198" s="47" t="s">
        <v>9561</v>
      </c>
      <c r="E1198" s="47"/>
      <c r="F1198" s="47" t="s">
        <v>8189</v>
      </c>
      <c r="G1198" s="363">
        <v>46049</v>
      </c>
      <c r="H1198" s="47" t="s">
        <v>8190</v>
      </c>
      <c r="I1198" s="47" t="s">
        <v>8191</v>
      </c>
      <c r="J1198" s="47" t="s">
        <v>3936</v>
      </c>
    </row>
    <row r="1199" spans="2:10" ht="14.5">
      <c r="B1199" s="47" t="s">
        <v>3940</v>
      </c>
      <c r="C1199" s="47" t="s">
        <v>64</v>
      </c>
      <c r="D1199" s="47" t="s">
        <v>9562</v>
      </c>
      <c r="E1199" s="47"/>
      <c r="F1199" s="47" t="s">
        <v>8189</v>
      </c>
      <c r="G1199" s="363">
        <v>46071</v>
      </c>
      <c r="H1199" s="47" t="s">
        <v>8190</v>
      </c>
      <c r="I1199" s="47" t="s">
        <v>8191</v>
      </c>
      <c r="J1199" s="47" t="s">
        <v>3939</v>
      </c>
    </row>
    <row r="1200" spans="2:10" ht="14.5">
      <c r="B1200" s="47" t="s">
        <v>9478</v>
      </c>
      <c r="C1200" s="47" t="s">
        <v>64</v>
      </c>
      <c r="D1200" s="47" t="s">
        <v>9477</v>
      </c>
      <c r="E1200" s="47"/>
      <c r="F1200" s="47" t="s">
        <v>8189</v>
      </c>
      <c r="G1200" s="363">
        <v>46041</v>
      </c>
      <c r="H1200" s="47" t="s">
        <v>8337</v>
      </c>
      <c r="I1200" s="47" t="s">
        <v>8191</v>
      </c>
      <c r="J1200" s="47"/>
    </row>
    <row r="1201" spans="2:10" ht="14.5">
      <c r="B1201" s="47" t="s">
        <v>3866</v>
      </c>
      <c r="C1201" s="47" t="s">
        <v>64</v>
      </c>
      <c r="D1201" s="47" t="s">
        <v>9563</v>
      </c>
      <c r="E1201" s="47"/>
      <c r="F1201" s="47" t="s">
        <v>8189</v>
      </c>
      <c r="G1201" s="363">
        <v>46069</v>
      </c>
      <c r="H1201" s="47" t="s">
        <v>8190</v>
      </c>
      <c r="I1201" s="47" t="s">
        <v>8191</v>
      </c>
      <c r="J1201" s="47" t="s">
        <v>3865</v>
      </c>
    </row>
    <row r="1202" spans="2:10" ht="14.5">
      <c r="B1202" s="47" t="s">
        <v>9492</v>
      </c>
      <c r="C1202" s="47" t="s">
        <v>64</v>
      </c>
      <c r="D1202" s="47" t="s">
        <v>9491</v>
      </c>
      <c r="E1202" s="47"/>
      <c r="F1202" s="47" t="s">
        <v>8189</v>
      </c>
      <c r="G1202" s="363">
        <v>46059</v>
      </c>
      <c r="H1202" s="47" t="s">
        <v>8337</v>
      </c>
      <c r="I1202" s="47" t="s">
        <v>8191</v>
      </c>
      <c r="J1202" s="47"/>
    </row>
    <row r="1203" spans="2:10" ht="14.5">
      <c r="B1203" s="47" t="s">
        <v>3972</v>
      </c>
      <c r="C1203" s="47" t="s">
        <v>64</v>
      </c>
      <c r="D1203" s="47" t="s">
        <v>9564</v>
      </c>
      <c r="E1203" s="47"/>
      <c r="F1203" s="47" t="s">
        <v>8189</v>
      </c>
      <c r="G1203" s="363">
        <v>46063</v>
      </c>
      <c r="H1203" s="47" t="s">
        <v>8190</v>
      </c>
      <c r="I1203" s="47" t="s">
        <v>8191</v>
      </c>
      <c r="J1203" s="47"/>
    </row>
    <row r="1204" spans="2:10" ht="14.5">
      <c r="B1204" s="47" t="s">
        <v>4132</v>
      </c>
      <c r="C1204" s="47" t="s">
        <v>64</v>
      </c>
      <c r="D1204" s="47" t="s">
        <v>9565</v>
      </c>
      <c r="E1204" s="47"/>
      <c r="F1204" s="47" t="s">
        <v>8189</v>
      </c>
      <c r="G1204" s="363">
        <v>46076</v>
      </c>
      <c r="H1204" s="47" t="s">
        <v>8190</v>
      </c>
      <c r="I1204" s="47" t="s">
        <v>8191</v>
      </c>
      <c r="J1204" s="47" t="s">
        <v>4131</v>
      </c>
    </row>
    <row r="1205" spans="2:10" ht="14.5">
      <c r="B1205" s="47" t="s">
        <v>9490</v>
      </c>
      <c r="C1205" s="47" t="s">
        <v>64</v>
      </c>
      <c r="D1205" s="47" t="s">
        <v>9489</v>
      </c>
      <c r="E1205" s="47"/>
      <c r="F1205" s="47" t="s">
        <v>8189</v>
      </c>
      <c r="G1205" s="363">
        <v>46049</v>
      </c>
      <c r="H1205" s="47" t="s">
        <v>8337</v>
      </c>
      <c r="I1205" s="47" t="s">
        <v>8191</v>
      </c>
      <c r="J1205" s="47"/>
    </row>
    <row r="1206" spans="2:10" ht="14.5">
      <c r="B1206" s="47" t="s">
        <v>9482</v>
      </c>
      <c r="C1206" s="47" t="s">
        <v>64</v>
      </c>
      <c r="D1206" s="47" t="s">
        <v>9481</v>
      </c>
      <c r="E1206" s="47"/>
      <c r="F1206" s="47" t="s">
        <v>8189</v>
      </c>
      <c r="G1206" s="363">
        <v>46049</v>
      </c>
      <c r="H1206" s="47" t="s">
        <v>8337</v>
      </c>
      <c r="I1206" s="47" t="s">
        <v>8191</v>
      </c>
      <c r="J1206" s="47"/>
    </row>
    <row r="1207" spans="2:10" ht="14.5">
      <c r="B1207" s="47" t="s">
        <v>9484</v>
      </c>
      <c r="C1207" s="47" t="s">
        <v>64</v>
      </c>
      <c r="D1207" s="47" t="s">
        <v>9483</v>
      </c>
      <c r="E1207" s="47"/>
      <c r="F1207" s="47" t="s">
        <v>8189</v>
      </c>
      <c r="G1207" s="363">
        <v>46059</v>
      </c>
      <c r="H1207" s="47" t="s">
        <v>8337</v>
      </c>
      <c r="I1207" s="47" t="s">
        <v>8191</v>
      </c>
      <c r="J1207" s="47"/>
    </row>
    <row r="1208" spans="2:10" ht="14.5">
      <c r="B1208" s="47" t="s">
        <v>4157</v>
      </c>
      <c r="C1208" s="47" t="s">
        <v>64</v>
      </c>
      <c r="D1208" s="47" t="s">
        <v>9566</v>
      </c>
      <c r="E1208" s="47"/>
      <c r="F1208" s="47" t="s">
        <v>8189</v>
      </c>
      <c r="G1208" s="363">
        <v>46056</v>
      </c>
      <c r="H1208" s="47" t="s">
        <v>8190</v>
      </c>
      <c r="I1208" s="47" t="s">
        <v>8191</v>
      </c>
      <c r="J1208" s="47" t="s">
        <v>4156</v>
      </c>
    </row>
    <row r="1209" spans="2:10" ht="14.5">
      <c r="B1209" s="47" t="s">
        <v>4124</v>
      </c>
      <c r="C1209" s="47" t="s">
        <v>64</v>
      </c>
      <c r="D1209" s="47" t="s">
        <v>9567</v>
      </c>
      <c r="E1209" s="47"/>
      <c r="F1209" s="47" t="s">
        <v>8189</v>
      </c>
      <c r="G1209" s="363">
        <v>46078</v>
      </c>
      <c r="H1209" s="47" t="s">
        <v>8190</v>
      </c>
      <c r="I1209" s="47" t="s">
        <v>8191</v>
      </c>
      <c r="J1209" s="47"/>
    </row>
    <row r="1210" spans="2:10" ht="14.5">
      <c r="B1210" s="47" t="s">
        <v>9474</v>
      </c>
      <c r="C1210" s="47" t="s">
        <v>64</v>
      </c>
      <c r="D1210" s="47" t="s">
        <v>9473</v>
      </c>
      <c r="E1210" s="47"/>
      <c r="F1210" s="47" t="s">
        <v>8189</v>
      </c>
      <c r="G1210" s="363">
        <v>46062</v>
      </c>
      <c r="H1210" s="47" t="s">
        <v>8337</v>
      </c>
      <c r="I1210" s="47" t="s">
        <v>8191</v>
      </c>
      <c r="J1210" s="47"/>
    </row>
    <row r="1211" spans="2:10" ht="14.5">
      <c r="B1211" s="47" t="s">
        <v>9476</v>
      </c>
      <c r="C1211" s="47" t="s">
        <v>64</v>
      </c>
      <c r="D1211" s="47" t="s">
        <v>9475</v>
      </c>
      <c r="E1211" s="47"/>
      <c r="F1211" s="47" t="s">
        <v>8189</v>
      </c>
      <c r="G1211" s="363">
        <v>46055</v>
      </c>
      <c r="H1211" s="47" t="s">
        <v>8337</v>
      </c>
      <c r="I1211" s="47" t="s">
        <v>8191</v>
      </c>
      <c r="J1211" s="47"/>
    </row>
    <row r="1212" spans="2:10" ht="14.5">
      <c r="B1212" s="47" t="s">
        <v>4215</v>
      </c>
      <c r="C1212" s="47" t="s">
        <v>64</v>
      </c>
      <c r="D1212" s="47" t="s">
        <v>9568</v>
      </c>
      <c r="E1212" s="47"/>
      <c r="F1212" s="47" t="s">
        <v>8189</v>
      </c>
      <c r="G1212" s="363">
        <v>46056</v>
      </c>
      <c r="H1212" s="47" t="s">
        <v>8190</v>
      </c>
      <c r="I1212" s="47" t="s">
        <v>8191</v>
      </c>
      <c r="J1212" s="47" t="s">
        <v>4214</v>
      </c>
    </row>
    <row r="1213" spans="2:10" ht="14.5">
      <c r="B1213" s="47" t="s">
        <v>3990</v>
      </c>
      <c r="C1213" s="47" t="s">
        <v>64</v>
      </c>
      <c r="D1213" s="47" t="s">
        <v>9569</v>
      </c>
      <c r="E1213" s="47"/>
      <c r="F1213" s="47" t="s">
        <v>8189</v>
      </c>
      <c r="G1213" s="363">
        <v>46071</v>
      </c>
      <c r="H1213" s="47" t="s">
        <v>8190</v>
      </c>
      <c r="I1213" s="47" t="s">
        <v>8191</v>
      </c>
      <c r="J1213" s="47"/>
    </row>
    <row r="1214" spans="2:10" ht="14.5">
      <c r="B1214" s="47" t="s">
        <v>9570</v>
      </c>
      <c r="C1214" s="47" t="s">
        <v>64</v>
      </c>
      <c r="D1214" s="47" t="s">
        <v>9551</v>
      </c>
      <c r="E1214" s="47"/>
      <c r="F1214" s="47" t="s">
        <v>8189</v>
      </c>
      <c r="G1214" s="363">
        <v>46048</v>
      </c>
      <c r="H1214" s="47" t="s">
        <v>8337</v>
      </c>
      <c r="I1214" s="47" t="s">
        <v>8191</v>
      </c>
      <c r="J1214" s="47"/>
    </row>
    <row r="1215" spans="2:10" ht="14.5">
      <c r="B1215" s="47" t="s">
        <v>9571</v>
      </c>
      <c r="C1215" s="47" t="s">
        <v>64</v>
      </c>
      <c r="D1215" s="47" t="s">
        <v>9550</v>
      </c>
      <c r="E1215" s="47"/>
      <c r="F1215" s="47" t="s">
        <v>8189</v>
      </c>
      <c r="G1215" s="363">
        <v>46059</v>
      </c>
      <c r="H1215" s="47" t="s">
        <v>8337</v>
      </c>
      <c r="I1215" s="47" t="s">
        <v>8191</v>
      </c>
      <c r="J1215" s="47"/>
    </row>
    <row r="1216" spans="2:10" ht="14.5">
      <c r="B1216" s="47" t="s">
        <v>9572</v>
      </c>
      <c r="C1216" s="47" t="s">
        <v>64</v>
      </c>
      <c r="D1216" s="47" t="s">
        <v>9552</v>
      </c>
      <c r="E1216" s="47"/>
      <c r="F1216" s="47" t="s">
        <v>8189</v>
      </c>
      <c r="G1216" s="363">
        <v>46041</v>
      </c>
      <c r="H1216" s="47" t="s">
        <v>8337</v>
      </c>
      <c r="I1216" s="47" t="s">
        <v>8191</v>
      </c>
      <c r="J1216" s="47"/>
    </row>
    <row r="1217" spans="2:10" ht="14.5">
      <c r="B1217" s="47" t="s">
        <v>4113</v>
      </c>
      <c r="C1217" s="47" t="s">
        <v>64</v>
      </c>
      <c r="D1217" s="47" t="s">
        <v>9573</v>
      </c>
      <c r="E1217" s="47"/>
      <c r="F1217" s="47" t="s">
        <v>8189</v>
      </c>
      <c r="G1217" s="363">
        <v>46043</v>
      </c>
      <c r="H1217" s="47" t="s">
        <v>8190</v>
      </c>
      <c r="I1217" s="47" t="s">
        <v>8191</v>
      </c>
      <c r="J1217" s="47"/>
    </row>
    <row r="1218" spans="2:10" ht="14.5">
      <c r="B1218" s="47" t="s">
        <v>9574</v>
      </c>
      <c r="C1218" s="47" t="s">
        <v>64</v>
      </c>
      <c r="D1218" s="47" t="s">
        <v>9575</v>
      </c>
      <c r="E1218" s="47"/>
      <c r="F1218" s="47" t="s">
        <v>8236</v>
      </c>
      <c r="G1218" s="363">
        <v>46045</v>
      </c>
      <c r="H1218" s="47" t="s">
        <v>8337</v>
      </c>
      <c r="I1218" s="47" t="s">
        <v>8191</v>
      </c>
      <c r="J1218" s="47"/>
    </row>
    <row r="1219" spans="2:10" ht="14.5">
      <c r="B1219" s="47" t="s">
        <v>9486</v>
      </c>
      <c r="C1219" s="47" t="s">
        <v>64</v>
      </c>
      <c r="D1219" s="47" t="s">
        <v>9485</v>
      </c>
      <c r="E1219" s="47"/>
      <c r="F1219" s="47" t="s">
        <v>8189</v>
      </c>
      <c r="G1219" s="363">
        <v>46042</v>
      </c>
      <c r="H1219" s="47" t="s">
        <v>8337</v>
      </c>
      <c r="I1219" s="47" t="s">
        <v>8191</v>
      </c>
      <c r="J1219" s="47"/>
    </row>
    <row r="1220" spans="2:10" ht="14.5">
      <c r="B1220" s="47" t="s">
        <v>3820</v>
      </c>
      <c r="C1220" s="47" t="s">
        <v>64</v>
      </c>
      <c r="D1220" s="47" t="s">
        <v>9576</v>
      </c>
      <c r="E1220" s="47"/>
      <c r="F1220" s="47" t="s">
        <v>8189</v>
      </c>
      <c r="G1220" s="363">
        <v>46052</v>
      </c>
      <c r="H1220" s="47" t="s">
        <v>8190</v>
      </c>
      <c r="I1220" s="47" t="s">
        <v>8191</v>
      </c>
      <c r="J1220" s="47"/>
    </row>
    <row r="1221" spans="2:10" ht="14.5">
      <c r="B1221" s="47" t="s">
        <v>3891</v>
      </c>
      <c r="C1221" s="47" t="s">
        <v>64</v>
      </c>
      <c r="D1221" s="47" t="s">
        <v>9577</v>
      </c>
      <c r="E1221" s="47"/>
      <c r="F1221" s="47" t="s">
        <v>8189</v>
      </c>
      <c r="G1221" s="363">
        <v>46030</v>
      </c>
      <c r="H1221" s="47" t="s">
        <v>8190</v>
      </c>
      <c r="I1221" s="47" t="s">
        <v>8191</v>
      </c>
      <c r="J1221" s="47"/>
    </row>
    <row r="1222" spans="2:10" ht="14.5">
      <c r="B1222" s="47" t="s">
        <v>4020</v>
      </c>
      <c r="C1222" s="47" t="s">
        <v>64</v>
      </c>
      <c r="D1222" s="47" t="s">
        <v>9578</v>
      </c>
      <c r="E1222" s="47"/>
      <c r="F1222" s="47" t="s">
        <v>8189</v>
      </c>
      <c r="G1222" s="363">
        <v>46056</v>
      </c>
      <c r="H1222" s="47" t="s">
        <v>8190</v>
      </c>
      <c r="I1222" s="47" t="s">
        <v>8191</v>
      </c>
      <c r="J1222" s="47"/>
    </row>
    <row r="1223" spans="2:10" ht="14.5">
      <c r="B1223" s="47" t="s">
        <v>9480</v>
      </c>
      <c r="C1223" s="47" t="s">
        <v>64</v>
      </c>
      <c r="D1223" s="47" t="s">
        <v>9479</v>
      </c>
      <c r="E1223" s="47"/>
      <c r="F1223" s="47" t="s">
        <v>8189</v>
      </c>
      <c r="G1223" s="363">
        <v>46043</v>
      </c>
      <c r="H1223" s="47" t="s">
        <v>8337</v>
      </c>
      <c r="I1223" s="47" t="s">
        <v>8191</v>
      </c>
      <c r="J1223" s="47"/>
    </row>
    <row r="1224" spans="2:10" ht="14.5">
      <c r="B1224" s="47" t="s">
        <v>9488</v>
      </c>
      <c r="C1224" s="47" t="s">
        <v>64</v>
      </c>
      <c r="D1224" s="47" t="s">
        <v>9487</v>
      </c>
      <c r="E1224" s="47"/>
      <c r="F1224" s="47" t="s">
        <v>8189</v>
      </c>
      <c r="G1224" s="363">
        <v>46043</v>
      </c>
      <c r="H1224" s="47" t="s">
        <v>8337</v>
      </c>
      <c r="I1224" s="47" t="s">
        <v>8191</v>
      </c>
      <c r="J1224" s="47"/>
    </row>
    <row r="1225" spans="2:10" ht="14.5">
      <c r="B1225" s="47" t="s">
        <v>3815</v>
      </c>
      <c r="C1225" s="47" t="s">
        <v>64</v>
      </c>
      <c r="D1225" s="47" t="s">
        <v>9579</v>
      </c>
      <c r="E1225" s="47"/>
      <c r="F1225" s="47" t="s">
        <v>8189</v>
      </c>
      <c r="G1225" s="363">
        <v>46050</v>
      </c>
      <c r="H1225" s="47" t="s">
        <v>8190</v>
      </c>
      <c r="I1225" s="47" t="s">
        <v>8191</v>
      </c>
      <c r="J1225" s="47"/>
    </row>
    <row r="1226" spans="2:10" ht="14.5">
      <c r="B1226" s="47" t="s">
        <v>3768</v>
      </c>
      <c r="C1226" s="47" t="s">
        <v>64</v>
      </c>
      <c r="D1226" s="47" t="s">
        <v>9580</v>
      </c>
      <c r="E1226" s="47"/>
      <c r="F1226" s="47" t="s">
        <v>8189</v>
      </c>
      <c r="G1226" s="363">
        <v>46045</v>
      </c>
      <c r="H1226" s="47" t="s">
        <v>8190</v>
      </c>
      <c r="I1226" s="47" t="s">
        <v>8191</v>
      </c>
      <c r="J1226" s="47"/>
    </row>
    <row r="1227" spans="2:10" ht="14.5">
      <c r="B1227" s="47" t="s">
        <v>3836</v>
      </c>
      <c r="C1227" s="47" t="s">
        <v>64</v>
      </c>
      <c r="D1227" s="47" t="s">
        <v>9581</v>
      </c>
      <c r="E1227" s="47"/>
      <c r="F1227" s="47" t="s">
        <v>8189</v>
      </c>
      <c r="G1227" s="363">
        <v>46035</v>
      </c>
      <c r="H1227" s="47" t="s">
        <v>8190</v>
      </c>
      <c r="I1227" s="47" t="s">
        <v>8191</v>
      </c>
      <c r="J1227" s="47"/>
    </row>
    <row r="1228" spans="2:10" ht="14.5">
      <c r="B1228" s="47" t="s">
        <v>3831</v>
      </c>
      <c r="C1228" s="47" t="s">
        <v>64</v>
      </c>
      <c r="D1228" s="47" t="s">
        <v>9582</v>
      </c>
      <c r="E1228" s="47"/>
      <c r="F1228" s="47" t="s">
        <v>8189</v>
      </c>
      <c r="G1228" s="363">
        <v>46032</v>
      </c>
      <c r="H1228" s="47" t="s">
        <v>8190</v>
      </c>
      <c r="I1228" s="47" t="s">
        <v>8191</v>
      </c>
      <c r="J1228" s="47"/>
    </row>
    <row r="1229" spans="2:10" ht="14.5">
      <c r="B1229" s="47" t="s">
        <v>9583</v>
      </c>
      <c r="C1229" s="47" t="s">
        <v>8187</v>
      </c>
      <c r="D1229" s="47" t="s">
        <v>9547</v>
      </c>
      <c r="E1229" s="47"/>
      <c r="F1229" s="47" t="s">
        <v>8189</v>
      </c>
      <c r="G1229" s="363">
        <v>46079</v>
      </c>
      <c r="H1229" s="47" t="s">
        <v>8337</v>
      </c>
      <c r="I1229" s="47" t="s">
        <v>8191</v>
      </c>
      <c r="J1229" s="47"/>
    </row>
    <row r="1230" spans="2:10" ht="14.5">
      <c r="B1230" s="47" t="s">
        <v>9584</v>
      </c>
      <c r="C1230" s="47" t="s">
        <v>8187</v>
      </c>
      <c r="D1230" s="47" t="s">
        <v>9548</v>
      </c>
      <c r="E1230" s="47"/>
      <c r="F1230" s="47" t="s">
        <v>8189</v>
      </c>
      <c r="G1230" s="363">
        <v>46086</v>
      </c>
      <c r="H1230" s="47" t="s">
        <v>8337</v>
      </c>
      <c r="I1230" s="47" t="s">
        <v>8191</v>
      </c>
      <c r="J1230" s="47"/>
    </row>
    <row r="1231" spans="2:10" ht="14.5">
      <c r="B1231" s="47" t="s">
        <v>9585</v>
      </c>
      <c r="C1231" s="47" t="s">
        <v>8187</v>
      </c>
      <c r="D1231" s="47" t="s">
        <v>9549</v>
      </c>
      <c r="E1231" s="47"/>
      <c r="F1231" s="47" t="s">
        <v>8189</v>
      </c>
      <c r="G1231" s="363">
        <v>46086</v>
      </c>
      <c r="H1231" s="47" t="s">
        <v>8337</v>
      </c>
      <c r="I1231" s="47" t="s">
        <v>8191</v>
      </c>
      <c r="J1231" s="47"/>
    </row>
    <row r="1232" spans="2:10" ht="14.5">
      <c r="B1232" s="47" t="s">
        <v>9586</v>
      </c>
      <c r="C1232" s="47" t="s">
        <v>64</v>
      </c>
      <c r="D1232" s="47">
        <v>371008976</v>
      </c>
      <c r="E1232" s="47"/>
      <c r="F1232" s="47" t="s">
        <v>8189</v>
      </c>
      <c r="G1232" s="363">
        <v>46028</v>
      </c>
      <c r="H1232" s="47" t="s">
        <v>8337</v>
      </c>
      <c r="I1232" s="47" t="s">
        <v>8191</v>
      </c>
      <c r="J1232" s="47"/>
    </row>
    <row r="1233" spans="2:10" ht="14.5">
      <c r="B1233" s="47" t="s">
        <v>3759</v>
      </c>
      <c r="C1233" s="47" t="s">
        <v>64</v>
      </c>
      <c r="D1233" s="47" t="s">
        <v>9587</v>
      </c>
      <c r="E1233" s="47"/>
      <c r="F1233" s="47" t="s">
        <v>8189</v>
      </c>
      <c r="G1233" s="363">
        <v>46057</v>
      </c>
      <c r="H1233" s="47" t="s">
        <v>8190</v>
      </c>
      <c r="I1233" s="47" t="s">
        <v>8191</v>
      </c>
      <c r="J1233" s="47"/>
    </row>
    <row r="1234" spans="2:10" ht="14.5">
      <c r="B1234" s="47" t="s">
        <v>3751</v>
      </c>
      <c r="C1234" s="47" t="s">
        <v>64</v>
      </c>
      <c r="D1234" s="47" t="s">
        <v>9588</v>
      </c>
      <c r="E1234" s="47"/>
      <c r="F1234" s="47" t="s">
        <v>8189</v>
      </c>
      <c r="G1234" s="363">
        <v>46057</v>
      </c>
      <c r="H1234" s="47" t="s">
        <v>8190</v>
      </c>
      <c r="I1234" s="47" t="s">
        <v>8191</v>
      </c>
      <c r="J1234" s="47"/>
    </row>
    <row r="1235" spans="2:10" ht="14.5">
      <c r="B1235" s="47" t="s">
        <v>9589</v>
      </c>
      <c r="C1235" s="47" t="s">
        <v>64</v>
      </c>
      <c r="D1235" s="47">
        <v>371009123</v>
      </c>
      <c r="E1235" s="47"/>
      <c r="F1235" s="47" t="s">
        <v>8189</v>
      </c>
      <c r="G1235" s="363">
        <v>46034</v>
      </c>
      <c r="H1235" s="47" t="s">
        <v>8739</v>
      </c>
      <c r="I1235" s="47" t="s">
        <v>8191</v>
      </c>
      <c r="J1235" s="47"/>
    </row>
    <row r="1236" spans="2:10" ht="14.5">
      <c r="B1236" s="47" t="s">
        <v>9590</v>
      </c>
      <c r="C1236" s="47" t="s">
        <v>64</v>
      </c>
      <c r="D1236" s="47">
        <v>371009111</v>
      </c>
      <c r="E1236" s="47"/>
      <c r="F1236" s="47" t="s">
        <v>8189</v>
      </c>
      <c r="G1236" s="363">
        <v>46035</v>
      </c>
      <c r="H1236" s="47" t="s">
        <v>8337</v>
      </c>
      <c r="I1236" s="47" t="s">
        <v>8191</v>
      </c>
      <c r="J1236" s="47"/>
    </row>
    <row r="1237" spans="2:10" ht="14.5">
      <c r="B1237" s="47" t="s">
        <v>9591</v>
      </c>
      <c r="C1237" s="47" t="s">
        <v>64</v>
      </c>
      <c r="D1237" s="47">
        <v>371009099</v>
      </c>
      <c r="E1237" s="47"/>
      <c r="F1237" s="47" t="s">
        <v>8236</v>
      </c>
      <c r="G1237" s="363">
        <v>46026</v>
      </c>
      <c r="H1237" s="47" t="s">
        <v>8190</v>
      </c>
      <c r="I1237" s="47" t="s">
        <v>8191</v>
      </c>
      <c r="J1237" s="47"/>
    </row>
    <row r="1238" spans="2:10" ht="14.5">
      <c r="B1238" s="47" t="s">
        <v>3732</v>
      </c>
      <c r="C1238" s="47" t="s">
        <v>64</v>
      </c>
      <c r="D1238" s="47">
        <v>371009080</v>
      </c>
      <c r="E1238" s="47"/>
      <c r="F1238" s="47" t="s">
        <v>8189</v>
      </c>
      <c r="G1238" s="363">
        <v>46028</v>
      </c>
      <c r="H1238" s="47" t="s">
        <v>8190</v>
      </c>
      <c r="I1238" s="47" t="s">
        <v>8191</v>
      </c>
      <c r="J1238" s="47"/>
    </row>
    <row r="1239" spans="2:10" ht="14.5">
      <c r="B1239" s="47" t="s">
        <v>3667</v>
      </c>
      <c r="C1239" s="47" t="s">
        <v>64</v>
      </c>
      <c r="D1239" s="47">
        <v>371009078</v>
      </c>
      <c r="E1239" s="47"/>
      <c r="F1239" s="47" t="s">
        <v>8189</v>
      </c>
      <c r="G1239" s="363">
        <v>46057</v>
      </c>
      <c r="H1239" s="47" t="s">
        <v>8190</v>
      </c>
      <c r="I1239" s="47" t="s">
        <v>8191</v>
      </c>
      <c r="J1239" s="47"/>
    </row>
    <row r="1240" spans="2:10" ht="14.5">
      <c r="B1240" s="47" t="s">
        <v>3721</v>
      </c>
      <c r="C1240" s="47" t="s">
        <v>64</v>
      </c>
      <c r="D1240" s="47">
        <v>371009077</v>
      </c>
      <c r="E1240" s="47"/>
      <c r="F1240" s="47" t="s">
        <v>8189</v>
      </c>
      <c r="G1240" s="363">
        <v>46028</v>
      </c>
      <c r="H1240" s="47" t="s">
        <v>8190</v>
      </c>
      <c r="I1240" s="47" t="s">
        <v>8191</v>
      </c>
      <c r="J1240" s="47"/>
    </row>
    <row r="1241" spans="2:10" ht="14.5">
      <c r="B1241" s="47" t="s">
        <v>3739</v>
      </c>
      <c r="C1241" s="47" t="s">
        <v>64</v>
      </c>
      <c r="D1241" s="47">
        <v>371009076</v>
      </c>
      <c r="E1241" s="47"/>
      <c r="F1241" s="47" t="s">
        <v>8189</v>
      </c>
      <c r="G1241" s="363">
        <v>46029</v>
      </c>
      <c r="H1241" s="47" t="s">
        <v>8190</v>
      </c>
      <c r="I1241" s="47" t="s">
        <v>8191</v>
      </c>
      <c r="J1241" s="47"/>
    </row>
    <row r="1242" spans="2:10" ht="14.5">
      <c r="B1242" s="47" t="s">
        <v>3734</v>
      </c>
      <c r="C1242" s="47" t="s">
        <v>64</v>
      </c>
      <c r="D1242" s="47">
        <v>371009075</v>
      </c>
      <c r="E1242" s="47"/>
      <c r="F1242" s="47" t="s">
        <v>8189</v>
      </c>
      <c r="G1242" s="363">
        <v>46029</v>
      </c>
      <c r="H1242" s="47" t="s">
        <v>8190</v>
      </c>
      <c r="I1242" s="47" t="s">
        <v>8191</v>
      </c>
      <c r="J1242" s="47"/>
    </row>
    <row r="1243" spans="2:10" ht="14.5">
      <c r="B1243" s="47" t="s">
        <v>3741</v>
      </c>
      <c r="C1243" s="47" t="s">
        <v>64</v>
      </c>
      <c r="D1243" s="47">
        <v>371009074</v>
      </c>
      <c r="E1243" s="47"/>
      <c r="F1243" s="47" t="s">
        <v>8189</v>
      </c>
      <c r="G1243" s="363">
        <v>46029</v>
      </c>
      <c r="H1243" s="47" t="s">
        <v>8190</v>
      </c>
      <c r="I1243" s="47" t="s">
        <v>8191</v>
      </c>
      <c r="J1243" s="47"/>
    </row>
    <row r="1244" spans="2:10" ht="14.5">
      <c r="B1244" s="47" t="s">
        <v>3712</v>
      </c>
      <c r="C1244" s="47" t="s">
        <v>64</v>
      </c>
      <c r="D1244" s="47">
        <v>371009072</v>
      </c>
      <c r="E1244" s="47"/>
      <c r="F1244" s="47" t="s">
        <v>8189</v>
      </c>
      <c r="G1244" s="363">
        <v>46028</v>
      </c>
      <c r="H1244" s="47" t="s">
        <v>8190</v>
      </c>
      <c r="I1244" s="47" t="s">
        <v>8191</v>
      </c>
      <c r="J1244" s="47"/>
    </row>
    <row r="1245" spans="2:10" ht="14.5">
      <c r="B1245" s="47" t="s">
        <v>3707</v>
      </c>
      <c r="C1245" s="47" t="s">
        <v>64</v>
      </c>
      <c r="D1245" s="47">
        <v>371009071</v>
      </c>
      <c r="E1245" s="47"/>
      <c r="F1245" s="47" t="s">
        <v>8189</v>
      </c>
      <c r="G1245" s="363">
        <v>46033</v>
      </c>
      <c r="H1245" s="47" t="s">
        <v>8190</v>
      </c>
      <c r="I1245" s="47" t="s">
        <v>8191</v>
      </c>
      <c r="J1245" s="47"/>
    </row>
    <row r="1246" spans="2:10" ht="14.5">
      <c r="B1246" s="47" t="s">
        <v>3716</v>
      </c>
      <c r="C1246" s="47" t="s">
        <v>64</v>
      </c>
      <c r="D1246" s="47">
        <v>371009070</v>
      </c>
      <c r="E1246" s="47"/>
      <c r="F1246" s="47" t="s">
        <v>8189</v>
      </c>
      <c r="G1246" s="363">
        <v>46035</v>
      </c>
      <c r="H1246" s="47" t="s">
        <v>8190</v>
      </c>
      <c r="I1246" s="47" t="s">
        <v>8191</v>
      </c>
      <c r="J1246" s="47"/>
    </row>
    <row r="1247" spans="2:10" ht="14.5">
      <c r="B1247" s="47" t="s">
        <v>3728</v>
      </c>
      <c r="C1247" s="47" t="s">
        <v>64</v>
      </c>
      <c r="D1247" s="47">
        <v>371009069</v>
      </c>
      <c r="E1247" s="47"/>
      <c r="F1247" s="47" t="s">
        <v>8189</v>
      </c>
      <c r="G1247" s="363">
        <v>46031</v>
      </c>
      <c r="H1247" s="47" t="s">
        <v>8190</v>
      </c>
      <c r="I1247" s="47" t="s">
        <v>8191</v>
      </c>
      <c r="J1247" s="47"/>
    </row>
    <row r="1248" spans="2:10" ht="14.5">
      <c r="B1248" s="47" t="s">
        <v>3726</v>
      </c>
      <c r="C1248" s="47" t="s">
        <v>64</v>
      </c>
      <c r="D1248" s="47">
        <v>371009067</v>
      </c>
      <c r="E1248" s="47"/>
      <c r="F1248" s="47" t="s">
        <v>8189</v>
      </c>
      <c r="G1248" s="363">
        <v>46028</v>
      </c>
      <c r="H1248" s="47" t="s">
        <v>8190</v>
      </c>
      <c r="I1248" s="47" t="s">
        <v>8191</v>
      </c>
      <c r="J1248" s="47"/>
    </row>
    <row r="1249" spans="2:10" ht="14.5">
      <c r="B1249" s="47" t="s">
        <v>3675</v>
      </c>
      <c r="C1249" s="47" t="s">
        <v>64</v>
      </c>
      <c r="D1249" s="47">
        <v>371009065</v>
      </c>
      <c r="E1249" s="47"/>
      <c r="F1249" s="47" t="s">
        <v>8189</v>
      </c>
      <c r="G1249" s="363">
        <v>46059</v>
      </c>
      <c r="H1249" s="47" t="s">
        <v>8190</v>
      </c>
      <c r="I1249" s="47" t="s">
        <v>8191</v>
      </c>
      <c r="J1249" s="47"/>
    </row>
    <row r="1250" spans="2:10" ht="14.5">
      <c r="B1250" s="47" t="s">
        <v>3603</v>
      </c>
      <c r="C1250" s="47" t="s">
        <v>64</v>
      </c>
      <c r="D1250" s="47">
        <v>371009039</v>
      </c>
      <c r="E1250" s="47"/>
      <c r="F1250" s="47" t="s">
        <v>8189</v>
      </c>
      <c r="G1250" s="363">
        <v>46035</v>
      </c>
      <c r="H1250" s="47" t="s">
        <v>8190</v>
      </c>
      <c r="I1250" s="47" t="s">
        <v>8191</v>
      </c>
      <c r="J1250" s="47"/>
    </row>
    <row r="1251" spans="2:10" ht="14.5">
      <c r="B1251" s="47" t="s">
        <v>3677</v>
      </c>
      <c r="C1251" s="47" t="s">
        <v>64</v>
      </c>
      <c r="D1251" s="47">
        <v>371009034</v>
      </c>
      <c r="E1251" s="47"/>
      <c r="F1251" s="47" t="s">
        <v>8189</v>
      </c>
      <c r="G1251" s="363">
        <v>46029</v>
      </c>
      <c r="H1251" s="47" t="s">
        <v>8190</v>
      </c>
      <c r="I1251" s="47" t="s">
        <v>8191</v>
      </c>
      <c r="J1251" s="47"/>
    </row>
    <row r="1252" spans="2:10" ht="14.5">
      <c r="B1252" s="47" t="s">
        <v>3662</v>
      </c>
      <c r="C1252" s="47" t="s">
        <v>64</v>
      </c>
      <c r="D1252" s="47">
        <v>371009030</v>
      </c>
      <c r="E1252" s="47"/>
      <c r="F1252" s="47" t="s">
        <v>8189</v>
      </c>
      <c r="G1252" s="363">
        <v>46035</v>
      </c>
      <c r="H1252" s="47" t="s">
        <v>8190</v>
      </c>
      <c r="I1252" s="47" t="s">
        <v>8191</v>
      </c>
      <c r="J1252" s="47"/>
    </row>
    <row r="1253" spans="2:10" ht="14.5">
      <c r="B1253" s="47" t="s">
        <v>3701</v>
      </c>
      <c r="C1253" s="47" t="s">
        <v>64</v>
      </c>
      <c r="D1253" s="47">
        <v>371009026</v>
      </c>
      <c r="E1253" s="47"/>
      <c r="F1253" s="47" t="s">
        <v>8189</v>
      </c>
      <c r="G1253" s="363">
        <v>46045</v>
      </c>
      <c r="H1253" s="47" t="s">
        <v>8190</v>
      </c>
      <c r="I1253" s="47" t="s">
        <v>8191</v>
      </c>
      <c r="J1253" s="47"/>
    </row>
    <row r="1254" spans="2:10" ht="14.5">
      <c r="B1254" s="47" t="s">
        <v>3704</v>
      </c>
      <c r="C1254" s="47" t="s">
        <v>64</v>
      </c>
      <c r="D1254" s="47">
        <v>371009024</v>
      </c>
      <c r="E1254" s="47"/>
      <c r="F1254" s="47" t="s">
        <v>8189</v>
      </c>
      <c r="G1254" s="363">
        <v>46050</v>
      </c>
      <c r="H1254" s="47" t="s">
        <v>8190</v>
      </c>
      <c r="I1254" s="47" t="s">
        <v>8191</v>
      </c>
      <c r="J1254" s="47"/>
    </row>
    <row r="1255" spans="2:10" ht="14.5">
      <c r="B1255" s="47" t="s">
        <v>3529</v>
      </c>
      <c r="C1255" s="47" t="s">
        <v>64</v>
      </c>
      <c r="D1255" s="47">
        <v>371009011</v>
      </c>
      <c r="E1255" s="47"/>
      <c r="F1255" s="47" t="s">
        <v>8189</v>
      </c>
      <c r="G1255" s="363">
        <v>46052</v>
      </c>
      <c r="H1255" s="47" t="s">
        <v>8190</v>
      </c>
      <c r="I1255" s="47" t="s">
        <v>8191</v>
      </c>
      <c r="J1255" s="47"/>
    </row>
    <row r="1256" spans="2:10" ht="14.5">
      <c r="B1256" s="47" t="s">
        <v>3621</v>
      </c>
      <c r="C1256" s="47" t="s">
        <v>64</v>
      </c>
      <c r="D1256" s="47">
        <v>371009010</v>
      </c>
      <c r="E1256" s="47"/>
      <c r="F1256" s="47" t="s">
        <v>8189</v>
      </c>
      <c r="G1256" s="363">
        <v>46045</v>
      </c>
      <c r="H1256" s="47" t="s">
        <v>8190</v>
      </c>
      <c r="I1256" s="47" t="s">
        <v>8191</v>
      </c>
      <c r="J1256" s="47"/>
    </row>
    <row r="1257" spans="2:10" ht="14.5">
      <c r="B1257" s="47" t="s">
        <v>3548</v>
      </c>
      <c r="C1257" s="47" t="s">
        <v>64</v>
      </c>
      <c r="D1257" s="47">
        <v>371009009</v>
      </c>
      <c r="E1257" s="47"/>
      <c r="F1257" s="47" t="s">
        <v>8189</v>
      </c>
      <c r="G1257" s="363">
        <v>46052</v>
      </c>
      <c r="H1257" s="47" t="s">
        <v>8190</v>
      </c>
      <c r="I1257" s="47" t="s">
        <v>8191</v>
      </c>
      <c r="J1257" s="47"/>
    </row>
    <row r="1258" spans="2:10" ht="14.5">
      <c r="B1258" s="47" t="s">
        <v>3530</v>
      </c>
      <c r="C1258" s="47" t="s">
        <v>64</v>
      </c>
      <c r="D1258" s="47">
        <v>371009007</v>
      </c>
      <c r="E1258" s="47"/>
      <c r="F1258" s="47" t="s">
        <v>8189</v>
      </c>
      <c r="G1258" s="363">
        <v>46052</v>
      </c>
      <c r="H1258" s="47" t="s">
        <v>8190</v>
      </c>
      <c r="I1258" s="47" t="s">
        <v>8191</v>
      </c>
      <c r="J1258" s="47"/>
    </row>
    <row r="1259" spans="2:10" ht="14.5">
      <c r="B1259" s="47" t="s">
        <v>3524</v>
      </c>
      <c r="C1259" s="47" t="s">
        <v>64</v>
      </c>
      <c r="D1259" s="47">
        <v>371009002</v>
      </c>
      <c r="E1259" s="47"/>
      <c r="F1259" s="47" t="s">
        <v>8189</v>
      </c>
      <c r="G1259" s="363">
        <v>46052</v>
      </c>
      <c r="H1259" s="47" t="s">
        <v>8190</v>
      </c>
      <c r="I1259" s="47" t="s">
        <v>8191</v>
      </c>
      <c r="J1259" s="47"/>
    </row>
    <row r="1260" spans="2:10" ht="14.5">
      <c r="B1260" s="47" t="s">
        <v>3498</v>
      </c>
      <c r="C1260" s="47" t="s">
        <v>64</v>
      </c>
      <c r="D1260" s="47">
        <v>371008986</v>
      </c>
      <c r="E1260" s="47"/>
      <c r="F1260" s="47" t="s">
        <v>8189</v>
      </c>
      <c r="G1260" s="363">
        <v>46026</v>
      </c>
      <c r="H1260" s="47" t="s">
        <v>8190</v>
      </c>
      <c r="I1260" s="47" t="s">
        <v>8191</v>
      </c>
      <c r="J1260" s="47"/>
    </row>
    <row r="1261" spans="2:10" ht="14.5">
      <c r="B1261" s="47" t="s">
        <v>3503</v>
      </c>
      <c r="C1261" s="47" t="s">
        <v>64</v>
      </c>
      <c r="D1261" s="47">
        <v>371008985</v>
      </c>
      <c r="E1261" s="47"/>
      <c r="F1261" s="47" t="s">
        <v>8189</v>
      </c>
      <c r="G1261" s="363">
        <v>46026</v>
      </c>
      <c r="H1261" s="47" t="s">
        <v>8190</v>
      </c>
      <c r="I1261" s="47" t="s">
        <v>8191</v>
      </c>
      <c r="J1261" s="47"/>
    </row>
    <row r="1262" spans="2:10" ht="14.5">
      <c r="B1262" s="47" t="s">
        <v>9592</v>
      </c>
      <c r="C1262" s="47" t="s">
        <v>64</v>
      </c>
      <c r="D1262" s="47">
        <v>371008890</v>
      </c>
      <c r="E1262" s="47"/>
      <c r="F1262" s="47" t="s">
        <v>8189</v>
      </c>
      <c r="G1262" s="363">
        <v>46026</v>
      </c>
      <c r="H1262" s="47" t="s">
        <v>8739</v>
      </c>
      <c r="I1262" s="47" t="s">
        <v>8191</v>
      </c>
      <c r="J1262" s="47"/>
    </row>
    <row r="1263" spans="2:10" ht="14.5">
      <c r="B1263" s="47"/>
      <c r="C1263" s="47"/>
      <c r="D1263" s="47"/>
      <c r="E1263" s="47"/>
      <c r="F1263" s="47"/>
      <c r="G1263" s="363"/>
      <c r="H1263" s="47"/>
      <c r="I1263" s="47"/>
      <c r="J1263" s="47"/>
    </row>
    <row r="1264" spans="2:10" ht="14.5">
      <c r="B1264" s="47"/>
      <c r="C1264" s="47"/>
      <c r="D1264" s="47"/>
      <c r="E1264" s="47"/>
      <c r="F1264" s="47"/>
      <c r="G1264" s="363"/>
      <c r="H1264" s="47"/>
      <c r="I1264" s="47"/>
      <c r="J1264" s="47"/>
    </row>
    <row r="1265" spans="2:10" ht="14.5">
      <c r="B1265" s="47"/>
      <c r="C1265" s="47"/>
      <c r="D1265" s="47"/>
      <c r="E1265" s="47"/>
      <c r="F1265" s="47"/>
      <c r="G1265" s="363"/>
      <c r="H1265" s="47"/>
      <c r="I1265" s="47"/>
      <c r="J1265" s="47"/>
    </row>
    <row r="1266" spans="2:10" ht="14.5">
      <c r="B1266" s="47"/>
      <c r="C1266" s="47"/>
      <c r="D1266" s="47"/>
      <c r="E1266" s="47"/>
      <c r="F1266" s="47"/>
      <c r="G1266" s="363"/>
      <c r="H1266" s="47"/>
      <c r="I1266" s="47"/>
      <c r="J1266" s="47"/>
    </row>
    <row r="1267" spans="2:10" ht="14.5">
      <c r="B1267" s="47"/>
      <c r="C1267" s="47"/>
      <c r="D1267" s="47"/>
      <c r="E1267" s="47"/>
      <c r="F1267" s="47"/>
      <c r="G1267" s="363"/>
      <c r="H1267" s="47"/>
      <c r="I1267" s="47"/>
      <c r="J1267" s="47"/>
    </row>
    <row r="1268" spans="2:10" ht="14.5">
      <c r="B1268" s="47"/>
      <c r="C1268" s="47"/>
      <c r="D1268" s="47"/>
      <c r="E1268" s="47"/>
      <c r="F1268" s="47"/>
      <c r="G1268" s="363"/>
      <c r="H1268" s="47"/>
      <c r="I1268" s="47"/>
      <c r="J1268" s="47"/>
    </row>
    <row r="1269" spans="2:10" ht="14.5">
      <c r="B1269" s="47"/>
      <c r="C1269" s="47"/>
      <c r="D1269" s="47"/>
      <c r="E1269" s="47"/>
      <c r="F1269" s="47"/>
      <c r="G1269" s="363"/>
      <c r="H1269" s="47"/>
      <c r="I1269" s="47"/>
      <c r="J1269" s="47"/>
    </row>
    <row r="1270" spans="2:10" ht="14.5">
      <c r="B1270" s="47"/>
      <c r="C1270" s="47"/>
      <c r="D1270" s="47"/>
      <c r="E1270" s="47"/>
      <c r="F1270" s="47"/>
      <c r="G1270" s="363"/>
      <c r="H1270" s="47"/>
      <c r="I1270" s="47"/>
      <c r="J1270" s="47"/>
    </row>
    <row r="1271" spans="2:10" ht="14.5">
      <c r="B1271" s="47"/>
      <c r="C1271" s="47"/>
      <c r="D1271" s="47"/>
      <c r="E1271" s="47"/>
      <c r="F1271" s="47"/>
      <c r="G1271" s="363"/>
      <c r="H1271" s="47"/>
      <c r="I1271" s="47"/>
      <c r="J1271" s="47"/>
    </row>
    <row r="1272" spans="2:10" ht="14.5">
      <c r="B1272" s="47"/>
      <c r="C1272" s="47"/>
      <c r="D1272" s="47"/>
      <c r="E1272" s="47"/>
      <c r="F1272" s="47"/>
      <c r="G1272" s="363"/>
      <c r="H1272" s="47"/>
      <c r="I1272" s="47"/>
      <c r="J1272" s="47"/>
    </row>
    <row r="1273" spans="2:10" ht="14.5">
      <c r="B1273" s="47"/>
      <c r="C1273" s="47"/>
      <c r="D1273" s="47"/>
      <c r="E1273" s="47"/>
      <c r="F1273" s="47"/>
      <c r="G1273" s="363"/>
      <c r="H1273" s="47"/>
      <c r="I1273" s="47"/>
      <c r="J1273" s="47"/>
    </row>
    <row r="1274" spans="2:10" ht="14.5">
      <c r="B1274" s="47"/>
      <c r="C1274" s="47"/>
      <c r="D1274" s="47"/>
      <c r="E1274" s="47"/>
      <c r="F1274" s="47"/>
      <c r="G1274" s="363"/>
      <c r="H1274" s="47"/>
      <c r="I1274" s="47"/>
      <c r="J1274" s="47"/>
    </row>
    <row r="1275" spans="2:10" ht="14.5">
      <c r="B1275" s="47"/>
      <c r="C1275" s="47"/>
      <c r="D1275" s="47"/>
      <c r="E1275" s="47"/>
      <c r="F1275" s="47"/>
      <c r="G1275" s="363"/>
      <c r="H1275" s="47"/>
      <c r="I1275" s="47"/>
      <c r="J1275" s="47"/>
    </row>
    <row r="1276" spans="2:10" ht="14.5">
      <c r="B1276" s="47"/>
      <c r="C1276" s="47"/>
      <c r="D1276" s="47"/>
      <c r="E1276" s="47"/>
      <c r="F1276" s="47"/>
      <c r="G1276" s="363"/>
      <c r="H1276" s="47"/>
      <c r="I1276" s="47"/>
      <c r="J1276" s="47"/>
    </row>
    <row r="1277" spans="2:10" ht="14.5">
      <c r="B1277" s="47"/>
      <c r="C1277" s="47"/>
      <c r="D1277" s="47"/>
      <c r="E1277" s="47"/>
      <c r="F1277" s="47"/>
      <c r="G1277" s="363"/>
      <c r="H1277" s="47"/>
      <c r="I1277" s="47"/>
      <c r="J1277" s="47"/>
    </row>
    <row r="1278" spans="2:10" ht="14.5">
      <c r="B1278" s="47"/>
      <c r="C1278" s="47"/>
      <c r="D1278" s="47"/>
      <c r="E1278" s="47"/>
      <c r="F1278" s="47"/>
      <c r="G1278" s="363"/>
      <c r="H1278" s="47"/>
      <c r="I1278" s="47"/>
      <c r="J1278" s="47"/>
    </row>
    <row r="1279" spans="2:10" ht="14.5">
      <c r="B1279" s="47"/>
      <c r="C1279" s="47"/>
      <c r="D1279" s="47"/>
      <c r="E1279" s="47"/>
      <c r="F1279" s="47"/>
      <c r="G1279" s="363"/>
      <c r="H1279" s="47"/>
      <c r="I1279" s="47"/>
      <c r="J1279" s="47"/>
    </row>
    <row r="1280" spans="2:10" ht="14.5">
      <c r="B1280" s="47"/>
      <c r="C1280" s="47"/>
      <c r="D1280" s="47"/>
      <c r="E1280" s="47"/>
      <c r="F1280" s="47"/>
      <c r="G1280" s="363"/>
      <c r="H1280" s="47"/>
      <c r="I1280" s="47"/>
      <c r="J1280" s="47"/>
    </row>
    <row r="1281" spans="2:10" ht="14.5">
      <c r="B1281" s="47"/>
      <c r="C1281" s="47"/>
      <c r="D1281" s="47"/>
      <c r="E1281" s="47"/>
      <c r="F1281" s="47"/>
      <c r="G1281" s="363"/>
      <c r="H1281" s="47"/>
      <c r="I1281" s="47"/>
      <c r="J1281" s="47"/>
    </row>
    <row r="1282" spans="2:10" ht="14.5">
      <c r="B1282" s="47"/>
      <c r="C1282" s="47"/>
      <c r="D1282" s="47"/>
      <c r="E1282" s="47"/>
      <c r="F1282" s="47"/>
      <c r="G1282" s="363"/>
      <c r="H1282" s="47"/>
      <c r="I1282" s="47"/>
      <c r="J1282" s="47"/>
    </row>
    <row r="1283" spans="2:10" ht="14.5">
      <c r="B1283" s="47"/>
      <c r="C1283" s="47"/>
      <c r="D1283" s="47"/>
      <c r="E1283" s="47"/>
      <c r="F1283" s="47"/>
      <c r="G1283" s="363"/>
      <c r="H1283" s="47"/>
      <c r="I1283" s="47"/>
      <c r="J1283" s="47"/>
    </row>
    <row r="1284" spans="2:10" ht="14.5">
      <c r="B1284" s="47"/>
      <c r="C1284" s="47"/>
      <c r="D1284" s="47"/>
      <c r="E1284" s="47"/>
      <c r="F1284" s="47"/>
      <c r="G1284" s="363"/>
      <c r="H1284" s="47"/>
      <c r="I1284" s="47"/>
      <c r="J1284" s="47"/>
    </row>
    <row r="1285" spans="2:10" ht="14.5">
      <c r="B1285" s="47"/>
      <c r="C1285" s="47"/>
      <c r="D1285" s="47"/>
      <c r="E1285" s="47"/>
      <c r="F1285" s="47"/>
      <c r="G1285" s="363"/>
      <c r="H1285" s="47"/>
      <c r="I1285" s="47"/>
      <c r="J1285" s="47"/>
    </row>
    <row r="1286" spans="2:10" ht="14.5">
      <c r="B1286" s="47"/>
      <c r="C1286" s="47"/>
      <c r="D1286" s="47"/>
      <c r="E1286" s="47"/>
      <c r="F1286" s="47"/>
      <c r="G1286" s="363"/>
      <c r="H1286" s="47"/>
      <c r="I1286" s="47"/>
      <c r="J1286" s="47"/>
    </row>
    <row r="1287" spans="2:10" ht="14.5">
      <c r="B1287" s="47"/>
      <c r="C1287" s="47"/>
      <c r="D1287" s="47"/>
      <c r="E1287" s="47"/>
      <c r="F1287" s="47"/>
      <c r="G1287" s="363"/>
      <c r="H1287" s="47"/>
      <c r="I1287" s="47"/>
      <c r="J1287" s="47"/>
    </row>
    <row r="1288" spans="2:10" ht="14.5">
      <c r="B1288" s="47"/>
      <c r="C1288" s="47"/>
      <c r="D1288" s="47"/>
      <c r="E1288" s="47"/>
      <c r="F1288" s="47"/>
      <c r="G1288" s="363"/>
      <c r="H1288" s="47"/>
      <c r="I1288" s="47"/>
      <c r="J1288" s="47"/>
    </row>
    <row r="1289" spans="2:10" ht="14.5">
      <c r="B1289" s="47"/>
      <c r="C1289" s="47"/>
      <c r="D1289" s="47"/>
      <c r="E1289" s="47"/>
      <c r="F1289" s="47"/>
      <c r="G1289" s="363"/>
      <c r="H1289" s="47"/>
      <c r="I1289" s="47"/>
      <c r="J1289" s="47"/>
    </row>
    <row r="1290" spans="2:10" ht="14.5">
      <c r="B1290" s="47"/>
      <c r="C1290" s="47"/>
      <c r="D1290" s="47"/>
      <c r="E1290" s="47"/>
      <c r="F1290" s="47"/>
      <c r="G1290" s="363"/>
      <c r="H1290" s="47"/>
      <c r="I1290" s="47"/>
      <c r="J1290" s="47"/>
    </row>
    <row r="1291" spans="2:10" ht="14.5">
      <c r="B1291" s="47"/>
      <c r="C1291" s="47"/>
      <c r="D1291" s="47"/>
      <c r="E1291" s="47"/>
      <c r="F1291" s="47"/>
      <c r="G1291" s="363"/>
      <c r="H1291" s="47"/>
      <c r="I1291" s="47"/>
      <c r="J1291" s="47"/>
    </row>
    <row r="1292" spans="2:10" ht="14.5">
      <c r="B1292" s="47"/>
      <c r="C1292" s="47"/>
      <c r="D1292" s="47"/>
      <c r="E1292" s="47"/>
      <c r="F1292" s="47"/>
      <c r="G1292" s="363"/>
      <c r="H1292" s="47"/>
      <c r="I1292" s="47"/>
      <c r="J1292" s="47"/>
    </row>
    <row r="1293" spans="2:10" ht="14.5">
      <c r="B1293" s="47"/>
      <c r="C1293" s="47"/>
      <c r="D1293" s="47"/>
      <c r="E1293" s="47"/>
      <c r="F1293" s="47"/>
      <c r="G1293" s="363"/>
      <c r="H1293" s="47"/>
      <c r="I1293" s="47"/>
      <c r="J1293" s="47"/>
    </row>
    <row r="1294" spans="2:10" ht="14.5">
      <c r="B1294" s="47"/>
      <c r="C1294" s="47"/>
      <c r="D1294" s="47"/>
      <c r="E1294" s="47"/>
      <c r="F1294" s="47"/>
      <c r="G1294" s="363"/>
      <c r="H1294" s="47"/>
      <c r="I1294" s="47"/>
      <c r="J1294" s="47"/>
    </row>
    <row r="1295" spans="2:10" ht="14.5">
      <c r="B1295" s="47"/>
      <c r="C1295" s="47"/>
      <c r="D1295" s="47"/>
      <c r="E1295" s="47"/>
      <c r="F1295" s="47"/>
      <c r="G1295" s="363"/>
      <c r="H1295" s="47"/>
      <c r="I1295" s="47"/>
      <c r="J1295" s="47"/>
    </row>
    <row r="1296" spans="2:10" ht="14.5">
      <c r="B1296" s="47"/>
      <c r="C1296" s="47"/>
      <c r="D1296" s="47"/>
      <c r="E1296" s="47"/>
      <c r="F1296" s="47"/>
      <c r="G1296" s="363"/>
      <c r="H1296" s="47"/>
      <c r="I1296" s="47"/>
      <c r="J1296" s="47"/>
    </row>
    <row r="1297" spans="2:10" ht="14.5">
      <c r="B1297" s="47"/>
      <c r="C1297" s="47"/>
      <c r="D1297" s="47"/>
      <c r="E1297" s="47"/>
      <c r="F1297" s="47"/>
      <c r="G1297" s="363"/>
      <c r="H1297" s="47"/>
      <c r="I1297" s="47"/>
      <c r="J1297" s="47"/>
    </row>
    <row r="1298" spans="2:10" ht="14.5">
      <c r="B1298" s="47"/>
      <c r="C1298" s="47"/>
      <c r="D1298" s="47"/>
      <c r="E1298" s="47"/>
      <c r="F1298" s="47"/>
      <c r="G1298" s="363"/>
      <c r="H1298" s="47"/>
      <c r="I1298" s="47"/>
      <c r="J1298" s="47"/>
    </row>
    <row r="1299" spans="2:10" ht="14.5">
      <c r="B1299" s="47"/>
      <c r="C1299" s="47"/>
      <c r="D1299" s="47"/>
      <c r="E1299" s="47"/>
      <c r="F1299" s="47"/>
      <c r="G1299" s="363"/>
      <c r="H1299" s="47"/>
      <c r="I1299" s="47"/>
      <c r="J1299" s="47"/>
    </row>
    <row r="1300" spans="2:10" ht="14.5">
      <c r="B1300" s="47"/>
      <c r="C1300" s="47"/>
      <c r="D1300" s="47"/>
      <c r="E1300" s="47"/>
      <c r="F1300" s="47"/>
      <c r="G1300" s="363"/>
      <c r="H1300" s="47"/>
      <c r="I1300" s="47"/>
      <c r="J1300" s="47"/>
    </row>
    <row r="1301" spans="2:10" ht="14.5">
      <c r="B1301" s="47"/>
      <c r="C1301" s="47"/>
      <c r="D1301" s="47"/>
      <c r="E1301" s="47"/>
      <c r="F1301" s="47"/>
      <c r="G1301" s="363"/>
      <c r="H1301" s="47"/>
      <c r="I1301" s="47"/>
      <c r="J1301" s="47"/>
    </row>
    <row r="1302" spans="2:10" ht="14.5">
      <c r="B1302" s="47"/>
      <c r="C1302" s="47"/>
      <c r="D1302" s="47"/>
      <c r="E1302" s="47"/>
      <c r="F1302" s="47"/>
      <c r="G1302" s="363"/>
      <c r="H1302" s="47"/>
      <c r="I1302" s="47"/>
      <c r="J1302" s="47"/>
    </row>
    <row r="1303" spans="2:10" ht="14.5">
      <c r="B1303" s="47"/>
      <c r="C1303" s="47"/>
      <c r="D1303" s="47"/>
      <c r="E1303" s="47"/>
      <c r="F1303" s="47"/>
      <c r="G1303" s="363"/>
      <c r="H1303" s="47"/>
      <c r="I1303" s="47"/>
      <c r="J1303" s="47"/>
    </row>
    <row r="1304" spans="2:10" ht="14.5">
      <c r="B1304" s="47"/>
      <c r="C1304" s="47"/>
      <c r="D1304" s="47"/>
      <c r="E1304" s="47"/>
      <c r="F1304" s="47"/>
      <c r="G1304" s="363"/>
      <c r="H1304" s="47"/>
      <c r="I1304" s="47"/>
      <c r="J1304" s="47"/>
    </row>
    <row r="1305" spans="2:10" ht="14.5">
      <c r="B1305" s="47"/>
      <c r="C1305" s="47"/>
      <c r="D1305" s="47"/>
      <c r="E1305" s="47"/>
      <c r="F1305" s="47"/>
      <c r="G1305" s="363"/>
      <c r="H1305" s="47"/>
      <c r="I1305" s="47"/>
      <c r="J1305" s="47"/>
    </row>
    <row r="1306" spans="2:10" ht="14.5">
      <c r="B1306" s="47"/>
      <c r="C1306" s="47"/>
      <c r="D1306" s="47"/>
      <c r="E1306" s="47"/>
      <c r="F1306" s="47"/>
      <c r="G1306" s="363"/>
      <c r="H1306" s="47"/>
      <c r="I1306" s="47"/>
      <c r="J1306" s="47"/>
    </row>
    <row r="1307" spans="2:10" ht="14.5">
      <c r="B1307" s="47"/>
      <c r="C1307" s="47"/>
      <c r="D1307" s="47"/>
      <c r="E1307" s="47"/>
      <c r="F1307" s="47"/>
      <c r="G1307" s="363"/>
      <c r="H1307" s="47"/>
      <c r="I1307" s="47"/>
      <c r="J1307" s="47"/>
    </row>
    <row r="1308" spans="2:10" ht="14.5">
      <c r="B1308" s="47"/>
      <c r="C1308" s="47"/>
      <c r="D1308" s="47"/>
      <c r="E1308" s="47"/>
      <c r="F1308" s="47"/>
      <c r="G1308" s="363"/>
      <c r="H1308" s="47"/>
      <c r="I1308" s="47"/>
      <c r="J1308" s="47"/>
    </row>
    <row r="1309" spans="2:10" ht="14.5">
      <c r="B1309" s="47"/>
      <c r="C1309" s="47"/>
      <c r="D1309" s="47"/>
      <c r="E1309" s="47"/>
      <c r="F1309" s="47"/>
      <c r="G1309" s="363"/>
      <c r="H1309" s="47"/>
      <c r="I1309" s="47"/>
      <c r="J1309" s="47"/>
    </row>
    <row r="1310" spans="2:10" ht="14.5">
      <c r="B1310" s="47"/>
      <c r="C1310" s="47"/>
      <c r="D1310" s="47"/>
      <c r="E1310" s="47"/>
      <c r="F1310" s="47"/>
      <c r="G1310" s="363"/>
      <c r="H1310" s="47"/>
      <c r="I1310" s="47"/>
      <c r="J1310" s="47"/>
    </row>
    <row r="1311" spans="2:10" ht="14.5">
      <c r="B1311" s="47"/>
      <c r="C1311" s="47"/>
      <c r="D1311" s="47"/>
      <c r="E1311" s="47"/>
      <c r="F1311" s="47"/>
      <c r="G1311" s="363"/>
      <c r="H1311" s="47"/>
      <c r="I1311" s="47"/>
      <c r="J1311" s="47"/>
    </row>
    <row r="1312" spans="2:10" ht="14.5">
      <c r="B1312" s="47"/>
      <c r="C1312" s="47"/>
      <c r="D1312" s="47"/>
      <c r="E1312" s="47"/>
      <c r="F1312" s="47"/>
      <c r="G1312" s="363"/>
      <c r="H1312" s="47"/>
      <c r="I1312" s="47"/>
      <c r="J1312" s="47"/>
    </row>
    <row r="1313" spans="2:10" ht="14.5">
      <c r="B1313" s="47"/>
      <c r="C1313" s="47"/>
      <c r="D1313" s="47"/>
      <c r="E1313" s="47"/>
      <c r="F1313" s="47"/>
      <c r="G1313" s="363"/>
      <c r="H1313" s="47"/>
      <c r="I1313" s="47"/>
      <c r="J1313" s="47"/>
    </row>
    <row r="1314" spans="2:10" ht="14.5">
      <c r="B1314" s="47"/>
      <c r="C1314" s="47"/>
      <c r="D1314" s="47"/>
      <c r="E1314" s="47"/>
      <c r="F1314" s="47"/>
      <c r="G1314" s="363"/>
      <c r="H1314" s="47"/>
      <c r="I1314" s="47"/>
      <c r="J1314" s="47"/>
    </row>
    <row r="1315" spans="2:10" ht="14.5">
      <c r="B1315" s="47"/>
      <c r="C1315" s="47"/>
      <c r="D1315" s="47"/>
      <c r="E1315" s="47"/>
      <c r="F1315" s="47"/>
      <c r="G1315" s="363"/>
      <c r="H1315" s="47"/>
      <c r="I1315" s="47"/>
      <c r="J1315" s="47"/>
    </row>
    <row r="1316" spans="2:10" ht="14.5">
      <c r="B1316" s="47"/>
      <c r="C1316" s="47"/>
      <c r="D1316" s="47"/>
      <c r="E1316" s="47"/>
      <c r="F1316" s="47"/>
      <c r="G1316" s="363"/>
      <c r="H1316" s="47"/>
      <c r="I1316" s="47"/>
      <c r="J1316" s="47"/>
    </row>
    <row r="1317" spans="2:10" ht="14.5">
      <c r="B1317" s="47"/>
      <c r="C1317" s="47"/>
      <c r="D1317" s="47"/>
      <c r="E1317" s="47"/>
      <c r="F1317" s="47"/>
      <c r="G1317" s="363"/>
      <c r="H1317" s="47"/>
      <c r="I1317" s="47"/>
      <c r="J1317" s="47"/>
    </row>
    <row r="1318" spans="2:10" ht="14.5">
      <c r="B1318" s="47"/>
      <c r="C1318" s="47"/>
      <c r="D1318" s="47"/>
      <c r="E1318" s="47"/>
      <c r="F1318" s="47"/>
      <c r="G1318" s="363"/>
      <c r="H1318" s="47"/>
      <c r="I1318" s="47"/>
      <c r="J1318" s="47"/>
    </row>
    <row r="1319" spans="2:10" ht="14.5">
      <c r="B1319" s="47"/>
      <c r="C1319" s="47"/>
      <c r="D1319" s="47"/>
      <c r="E1319" s="47"/>
      <c r="F1319" s="47"/>
      <c r="G1319" s="363"/>
      <c r="H1319" s="47"/>
      <c r="I1319" s="47"/>
      <c r="J1319" s="47"/>
    </row>
    <row r="1320" spans="2:10" ht="14.5">
      <c r="B1320" s="47"/>
      <c r="C1320" s="47"/>
      <c r="D1320" s="47"/>
      <c r="E1320" s="47"/>
      <c r="F1320" s="47"/>
      <c r="G1320" s="363"/>
      <c r="H1320" s="47"/>
      <c r="I1320" s="47"/>
      <c r="J1320" s="47"/>
    </row>
    <row r="1321" spans="2:10" ht="14.5">
      <c r="B1321" s="47"/>
      <c r="C1321" s="47"/>
      <c r="D1321" s="47"/>
      <c r="E1321" s="47"/>
      <c r="F1321" s="47"/>
      <c r="G1321" s="363"/>
      <c r="H1321" s="47"/>
      <c r="I1321" s="47"/>
      <c r="J1321" s="47"/>
    </row>
    <row r="1322" spans="2:10" ht="14.5">
      <c r="B1322" s="47"/>
      <c r="C1322" s="47"/>
      <c r="D1322" s="47"/>
      <c r="E1322" s="47"/>
      <c r="F1322" s="47"/>
      <c r="G1322" s="363"/>
      <c r="H1322" s="47"/>
      <c r="I1322" s="47"/>
      <c r="J1322" s="47"/>
    </row>
    <row r="1323" spans="2:10" ht="14.5">
      <c r="B1323" s="47"/>
      <c r="C1323" s="47"/>
      <c r="D1323" s="47"/>
      <c r="E1323" s="47"/>
      <c r="F1323" s="47"/>
      <c r="G1323" s="363"/>
      <c r="H1323" s="47"/>
      <c r="I1323" s="47"/>
      <c r="J1323" s="47"/>
    </row>
    <row r="1324" spans="2:10" ht="14.5">
      <c r="B1324" s="47"/>
      <c r="C1324" s="47"/>
      <c r="D1324" s="47"/>
      <c r="E1324" s="47"/>
      <c r="F1324" s="47"/>
      <c r="G1324" s="363"/>
      <c r="H1324" s="47"/>
      <c r="I1324" s="47"/>
      <c r="J1324" s="47"/>
    </row>
    <row r="1325" spans="2:10" ht="14.5">
      <c r="B1325" s="47"/>
      <c r="C1325" s="47"/>
      <c r="D1325" s="47"/>
      <c r="E1325" s="47"/>
      <c r="F1325" s="47"/>
      <c r="G1325" s="363"/>
      <c r="H1325" s="47"/>
      <c r="I1325" s="47"/>
      <c r="J1325" s="47"/>
    </row>
    <row r="1326" spans="2:10" ht="14.5">
      <c r="B1326" s="47"/>
      <c r="C1326" s="47"/>
      <c r="D1326" s="47"/>
      <c r="E1326" s="47"/>
      <c r="F1326" s="47"/>
      <c r="G1326" s="363"/>
      <c r="H1326" s="47"/>
      <c r="I1326" s="47"/>
      <c r="J1326" s="47"/>
    </row>
    <row r="1327" spans="2:10" ht="14.5">
      <c r="B1327" s="47"/>
      <c r="C1327" s="47"/>
      <c r="D1327" s="47"/>
      <c r="E1327" s="47"/>
      <c r="F1327" s="47"/>
      <c r="G1327" s="363"/>
      <c r="H1327" s="47"/>
      <c r="I1327" s="47"/>
      <c r="J1327" s="47"/>
    </row>
    <row r="1328" spans="2:10" ht="14.5">
      <c r="B1328" s="47"/>
      <c r="C1328" s="47"/>
      <c r="D1328" s="47"/>
      <c r="E1328" s="47"/>
      <c r="F1328" s="47"/>
      <c r="G1328" s="363"/>
      <c r="H1328" s="47"/>
      <c r="I1328" s="47"/>
      <c r="J1328" s="47"/>
    </row>
    <row r="1329" spans="2:10" ht="14.5">
      <c r="B1329" s="47"/>
      <c r="C1329" s="47"/>
      <c r="D1329" s="47"/>
      <c r="E1329" s="47"/>
      <c r="F1329" s="47"/>
      <c r="G1329" s="363"/>
      <c r="H1329" s="47"/>
      <c r="I1329" s="47"/>
      <c r="J1329" s="47"/>
    </row>
    <row r="1330" spans="2:10" ht="14.5">
      <c r="B1330" s="47"/>
      <c r="C1330" s="47"/>
      <c r="D1330" s="47"/>
      <c r="E1330" s="47"/>
      <c r="F1330" s="47"/>
      <c r="G1330" s="363"/>
      <c r="H1330" s="47"/>
      <c r="I1330" s="47"/>
      <c r="J1330" s="47"/>
    </row>
    <row r="1331" spans="2:10" ht="14.5">
      <c r="B1331" s="47"/>
      <c r="C1331" s="47"/>
      <c r="D1331" s="47"/>
      <c r="E1331" s="47"/>
      <c r="F1331" s="47"/>
      <c r="G1331" s="363"/>
      <c r="H1331" s="47"/>
      <c r="I1331" s="47"/>
      <c r="J1331" s="47"/>
    </row>
    <row r="1332" spans="2:10" ht="14.5">
      <c r="B1332" s="47"/>
      <c r="C1332" s="47"/>
      <c r="D1332" s="47"/>
      <c r="E1332" s="47"/>
      <c r="F1332" s="47"/>
      <c r="G1332" s="363"/>
      <c r="H1332" s="47"/>
      <c r="I1332" s="47"/>
      <c r="J1332" s="47"/>
    </row>
    <row r="1333" spans="2:10" ht="14.5">
      <c r="B1333" s="47"/>
      <c r="C1333" s="47"/>
      <c r="D1333" s="47"/>
      <c r="E1333" s="47"/>
      <c r="F1333" s="47"/>
      <c r="G1333" s="363"/>
      <c r="H1333" s="47"/>
      <c r="I1333" s="47"/>
      <c r="J1333" s="47"/>
    </row>
    <row r="1334" spans="2:10" ht="14.5">
      <c r="B1334" s="47"/>
      <c r="C1334" s="47"/>
      <c r="D1334" s="47"/>
      <c r="E1334" s="47"/>
      <c r="F1334" s="47"/>
      <c r="G1334" s="363"/>
      <c r="H1334" s="47"/>
      <c r="I1334" s="47"/>
      <c r="J1334" s="47"/>
    </row>
    <row r="1335" spans="2:10" ht="14.5">
      <c r="B1335" s="47"/>
      <c r="C1335" s="47"/>
      <c r="D1335" s="47"/>
      <c r="E1335" s="47"/>
      <c r="F1335" s="47"/>
      <c r="G1335" s="363"/>
      <c r="H1335" s="47"/>
      <c r="I1335" s="47"/>
      <c r="J1335" s="47"/>
    </row>
    <row r="1336" spans="2:10" ht="14.5">
      <c r="B1336" s="47"/>
      <c r="C1336" s="47"/>
      <c r="D1336" s="47"/>
      <c r="E1336" s="47"/>
      <c r="F1336" s="47"/>
      <c r="G1336" s="363"/>
      <c r="H1336" s="47"/>
      <c r="I1336" s="47"/>
      <c r="J1336" s="47"/>
    </row>
    <row r="1337" spans="2:10" ht="14.5">
      <c r="B1337" s="47"/>
      <c r="C1337" s="47"/>
      <c r="D1337" s="47"/>
      <c r="E1337" s="47"/>
      <c r="F1337" s="47"/>
      <c r="G1337" s="363"/>
      <c r="H1337" s="47"/>
      <c r="I1337" s="47"/>
      <c r="J1337" s="47"/>
    </row>
    <row r="1338" spans="2:10" ht="14.5">
      <c r="B1338" s="47"/>
      <c r="C1338" s="47"/>
      <c r="D1338" s="47"/>
      <c r="E1338" s="47"/>
      <c r="F1338" s="47"/>
      <c r="G1338" s="363"/>
      <c r="H1338" s="47"/>
      <c r="I1338" s="47"/>
      <c r="J1338" s="47"/>
    </row>
    <row r="1339" spans="2:10" ht="14.5">
      <c r="B1339" s="47"/>
      <c r="C1339" s="47"/>
      <c r="D1339" s="47"/>
      <c r="E1339" s="47"/>
      <c r="F1339" s="47"/>
      <c r="G1339" s="363"/>
      <c r="H1339" s="47"/>
      <c r="I1339" s="47"/>
      <c r="J1339" s="47"/>
    </row>
    <row r="1340" spans="2:10" ht="14.5">
      <c r="B1340" s="47"/>
      <c r="C1340" s="47"/>
      <c r="D1340" s="47"/>
      <c r="E1340" s="47"/>
      <c r="F1340" s="47"/>
      <c r="G1340" s="363"/>
      <c r="H1340" s="47"/>
      <c r="I1340" s="47"/>
      <c r="J1340" s="47"/>
    </row>
    <row r="1341" spans="2:10" ht="14.5">
      <c r="B1341" s="47"/>
      <c r="C1341" s="47"/>
      <c r="D1341" s="47"/>
      <c r="E1341" s="47"/>
      <c r="F1341" s="47"/>
      <c r="G1341" s="363"/>
      <c r="H1341" s="47"/>
      <c r="I1341" s="47"/>
      <c r="J1341" s="47"/>
    </row>
    <row r="1342" spans="2:10" ht="14.5">
      <c r="B1342" s="47"/>
      <c r="C1342" s="47"/>
      <c r="D1342" s="47"/>
      <c r="E1342" s="47"/>
      <c r="F1342" s="47"/>
      <c r="G1342" s="363"/>
      <c r="H1342" s="47"/>
      <c r="I1342" s="47"/>
      <c r="J1342" s="47"/>
    </row>
    <row r="1343" spans="2:10" ht="14.5">
      <c r="B1343" s="47"/>
      <c r="C1343" s="47"/>
      <c r="D1343" s="47"/>
      <c r="E1343" s="47"/>
      <c r="F1343" s="47"/>
      <c r="G1343" s="363"/>
      <c r="H1343" s="47"/>
      <c r="I1343" s="47"/>
      <c r="J1343" s="47"/>
    </row>
    <row r="1344" spans="2:10" ht="14.5">
      <c r="B1344" s="47"/>
      <c r="C1344" s="47"/>
      <c r="D1344" s="47"/>
      <c r="E1344" s="47"/>
      <c r="F1344" s="47"/>
      <c r="G1344" s="363"/>
      <c r="H1344" s="47"/>
      <c r="I1344" s="47"/>
      <c r="J1344" s="47"/>
    </row>
    <row r="1345" spans="2:10" ht="14.5">
      <c r="B1345" s="47"/>
      <c r="C1345" s="47"/>
      <c r="D1345" s="47"/>
      <c r="E1345" s="47"/>
      <c r="F1345" s="47"/>
      <c r="G1345" s="363"/>
      <c r="H1345" s="47"/>
      <c r="I1345" s="47"/>
      <c r="J1345" s="47"/>
    </row>
    <row r="1346" spans="2:10" ht="14.5">
      <c r="B1346" s="47"/>
      <c r="C1346" s="47"/>
      <c r="D1346" s="47"/>
      <c r="E1346" s="47"/>
      <c r="F1346" s="47"/>
      <c r="G1346" s="363"/>
      <c r="H1346" s="47"/>
      <c r="I1346" s="47"/>
      <c r="J1346" s="47"/>
    </row>
    <row r="1347" spans="2:10" ht="14.5">
      <c r="B1347" s="47"/>
      <c r="C1347" s="47"/>
      <c r="D1347" s="47"/>
      <c r="E1347" s="47"/>
      <c r="F1347" s="47"/>
      <c r="G1347" s="363"/>
      <c r="H1347" s="47"/>
      <c r="I1347" s="47"/>
      <c r="J1347" s="47"/>
    </row>
    <row r="1348" spans="2:10" ht="14.5">
      <c r="B1348" s="47"/>
      <c r="C1348" s="47"/>
      <c r="D1348" s="47"/>
      <c r="E1348" s="47"/>
      <c r="F1348" s="47"/>
      <c r="G1348" s="363"/>
      <c r="H1348" s="47"/>
      <c r="I1348" s="47"/>
      <c r="J1348" s="47"/>
    </row>
    <row r="1349" spans="2:10" ht="14.5">
      <c r="B1349" s="47"/>
      <c r="C1349" s="47"/>
      <c r="D1349" s="47"/>
      <c r="E1349" s="47"/>
      <c r="F1349" s="47"/>
      <c r="G1349" s="363"/>
      <c r="H1349" s="47"/>
      <c r="I1349" s="47"/>
      <c r="J1349" s="47"/>
    </row>
    <row r="1350" spans="2:10" ht="14.5">
      <c r="B1350" s="47"/>
      <c r="C1350" s="47"/>
      <c r="D1350" s="47"/>
      <c r="E1350" s="47"/>
      <c r="F1350" s="47"/>
      <c r="G1350" s="363"/>
      <c r="H1350" s="47"/>
      <c r="I1350" s="47"/>
      <c r="J1350" s="47"/>
    </row>
    <row r="1351" spans="2:10" ht="14.5">
      <c r="B1351" s="47"/>
      <c r="C1351" s="47"/>
      <c r="D1351" s="47"/>
      <c r="E1351" s="47"/>
      <c r="F1351" s="47"/>
      <c r="G1351" s="363"/>
      <c r="H1351" s="47"/>
      <c r="I1351" s="47"/>
      <c r="J1351" s="47"/>
    </row>
    <row r="1352" spans="2:10" ht="14.5">
      <c r="B1352" s="47"/>
      <c r="C1352" s="47"/>
      <c r="D1352" s="47"/>
      <c r="E1352" s="47"/>
      <c r="F1352" s="47"/>
      <c r="G1352" s="363"/>
      <c r="H1352" s="47"/>
      <c r="I1352" s="47"/>
      <c r="J1352" s="47"/>
    </row>
    <row r="1353" spans="2:10" ht="14.5">
      <c r="B1353" s="47"/>
      <c r="C1353" s="47"/>
      <c r="D1353" s="47"/>
      <c r="E1353" s="47"/>
      <c r="F1353" s="47"/>
      <c r="G1353" s="363"/>
      <c r="H1353" s="47"/>
      <c r="I1353" s="47"/>
      <c r="J1353" s="47"/>
    </row>
    <row r="1354" spans="2:10" ht="14.5">
      <c r="B1354" s="47"/>
      <c r="C1354" s="47"/>
      <c r="D1354" s="47"/>
      <c r="E1354" s="47"/>
      <c r="F1354" s="47"/>
      <c r="G1354" s="363"/>
      <c r="H1354" s="47"/>
      <c r="I1354" s="47"/>
      <c r="J1354" s="47"/>
    </row>
    <row r="1355" spans="2:10" ht="14.5">
      <c r="B1355" s="47"/>
      <c r="C1355" s="47"/>
      <c r="D1355" s="47"/>
      <c r="E1355" s="47"/>
      <c r="F1355" s="47"/>
      <c r="G1355" s="363"/>
      <c r="H1355" s="47"/>
      <c r="I1355" s="47"/>
      <c r="J1355" s="47"/>
    </row>
    <row r="1356" spans="2:10" ht="14.5">
      <c r="B1356" s="47"/>
      <c r="C1356" s="47"/>
      <c r="D1356" s="47"/>
      <c r="E1356" s="47"/>
      <c r="F1356" s="47"/>
      <c r="G1356" s="363"/>
      <c r="H1356" s="47"/>
      <c r="I1356" s="47"/>
      <c r="J1356" s="47"/>
    </row>
    <row r="1357" spans="2:10" ht="14.5">
      <c r="B1357" s="47"/>
      <c r="C1357" s="47"/>
      <c r="D1357" s="47"/>
      <c r="E1357" s="47"/>
      <c r="F1357" s="47"/>
      <c r="G1357" s="363"/>
      <c r="H1357" s="47"/>
      <c r="I1357" s="47"/>
      <c r="J1357" s="47"/>
    </row>
    <row r="1358" spans="2:10" ht="14.5">
      <c r="B1358" s="47"/>
      <c r="C1358" s="47"/>
      <c r="D1358" s="47"/>
      <c r="E1358" s="47"/>
      <c r="F1358" s="47"/>
      <c r="G1358" s="363"/>
      <c r="H1358" s="47"/>
      <c r="I1358" s="47"/>
      <c r="J1358" s="47"/>
    </row>
    <row r="1359" spans="2:10" ht="14.5">
      <c r="B1359" s="47"/>
      <c r="C1359" s="47"/>
      <c r="D1359" s="47"/>
      <c r="E1359" s="47"/>
      <c r="F1359" s="47"/>
      <c r="G1359" s="363"/>
      <c r="H1359" s="47"/>
      <c r="I1359" s="47"/>
      <c r="J1359" s="47"/>
    </row>
    <row r="1360" spans="2:10" ht="14.5">
      <c r="B1360" s="47"/>
      <c r="C1360" s="47"/>
      <c r="D1360" s="47"/>
      <c r="E1360" s="47"/>
      <c r="F1360" s="47"/>
      <c r="G1360" s="363"/>
      <c r="H1360" s="47"/>
      <c r="I1360" s="47"/>
      <c r="J1360" s="47"/>
    </row>
    <row r="1361" spans="2:10" ht="14.5">
      <c r="B1361" s="47"/>
      <c r="C1361" s="47"/>
      <c r="D1361" s="47"/>
      <c r="E1361" s="47"/>
      <c r="F1361" s="47"/>
      <c r="G1361" s="363"/>
      <c r="H1361" s="47"/>
      <c r="I1361" s="47"/>
      <c r="J1361" s="47"/>
    </row>
    <row r="1362" spans="2:10" ht="14.5">
      <c r="B1362" s="47"/>
      <c r="C1362" s="47"/>
      <c r="D1362" s="47"/>
      <c r="E1362" s="47"/>
      <c r="F1362" s="47"/>
      <c r="G1362" s="363"/>
      <c r="H1362" s="47"/>
      <c r="I1362" s="47"/>
      <c r="J1362" s="47"/>
    </row>
    <row r="1363" spans="2:10" ht="14.5">
      <c r="B1363" s="47"/>
      <c r="C1363" s="47"/>
      <c r="D1363" s="47"/>
      <c r="E1363" s="47"/>
      <c r="F1363" s="47"/>
      <c r="G1363" s="363"/>
      <c r="H1363" s="47"/>
      <c r="I1363" s="47"/>
      <c r="J1363" s="47"/>
    </row>
    <row r="1364" spans="2:10" ht="14.5">
      <c r="B1364" s="47"/>
      <c r="C1364" s="47"/>
      <c r="D1364" s="47"/>
      <c r="E1364" s="47"/>
      <c r="F1364" s="47"/>
      <c r="G1364" s="363"/>
      <c r="H1364" s="47"/>
      <c r="I1364" s="47"/>
      <c r="J1364" s="47"/>
    </row>
    <row r="1365" spans="2:10" ht="14.5">
      <c r="B1365" s="47"/>
      <c r="C1365" s="47"/>
      <c r="D1365" s="47"/>
      <c r="E1365" s="47"/>
      <c r="F1365" s="47"/>
      <c r="G1365" s="363"/>
      <c r="H1365" s="47"/>
      <c r="I1365" s="47"/>
      <c r="J1365" s="47"/>
    </row>
    <row r="1366" spans="2:10" ht="14.5">
      <c r="B1366" s="47"/>
      <c r="C1366" s="47"/>
      <c r="D1366" s="47"/>
      <c r="E1366" s="47"/>
      <c r="F1366" s="47"/>
      <c r="G1366" s="363"/>
      <c r="H1366" s="47"/>
      <c r="I1366" s="47"/>
      <c r="J1366" s="47"/>
    </row>
    <row r="1367" spans="2:10" ht="14.5">
      <c r="B1367" s="47"/>
      <c r="C1367" s="47"/>
      <c r="D1367" s="47"/>
      <c r="E1367" s="47"/>
      <c r="F1367" s="47"/>
      <c r="G1367" s="363"/>
      <c r="H1367" s="47"/>
      <c r="I1367" s="47"/>
      <c r="J1367" s="47"/>
    </row>
    <row r="1368" spans="2:10" ht="14.5">
      <c r="B1368" s="47"/>
      <c r="C1368" s="47"/>
      <c r="D1368" s="47"/>
      <c r="E1368" s="47"/>
      <c r="F1368" s="47"/>
      <c r="G1368" s="363"/>
      <c r="H1368" s="47"/>
      <c r="I1368" s="47"/>
      <c r="J1368" s="47"/>
    </row>
    <row r="1369" spans="2:10" ht="14.5">
      <c r="B1369" s="47"/>
      <c r="C1369" s="47"/>
      <c r="D1369" s="47"/>
      <c r="E1369" s="47"/>
      <c r="F1369" s="47"/>
      <c r="G1369" s="363"/>
      <c r="H1369" s="47"/>
      <c r="I1369" s="47"/>
      <c r="J1369" s="47"/>
    </row>
    <row r="1370" spans="2:10" ht="14.5">
      <c r="B1370" s="47"/>
      <c r="C1370" s="47"/>
      <c r="D1370" s="47"/>
      <c r="E1370" s="47"/>
      <c r="F1370" s="47"/>
      <c r="G1370" s="363"/>
      <c r="H1370" s="47"/>
      <c r="I1370" s="47"/>
      <c r="J1370" s="47"/>
    </row>
    <row r="1371" spans="2:10" ht="14.5">
      <c r="B1371" s="47"/>
      <c r="C1371" s="47"/>
      <c r="D1371" s="47"/>
      <c r="E1371" s="47"/>
      <c r="F1371" s="47"/>
      <c r="G1371" s="363"/>
      <c r="H1371" s="47"/>
      <c r="I1371" s="47"/>
      <c r="J1371" s="47"/>
    </row>
    <row r="1372" spans="2:10" ht="14.5">
      <c r="B1372" s="47"/>
      <c r="C1372" s="47"/>
      <c r="D1372" s="47"/>
      <c r="E1372" s="47"/>
      <c r="F1372" s="47"/>
      <c r="G1372" s="363"/>
      <c r="H1372" s="47"/>
      <c r="I1372" s="47"/>
      <c r="J1372" s="47"/>
    </row>
    <row r="1373" spans="2:10" ht="14.5">
      <c r="B1373" s="47"/>
      <c r="C1373" s="47"/>
      <c r="D1373" s="47"/>
      <c r="E1373" s="47"/>
      <c r="F1373" s="47"/>
      <c r="G1373" s="363"/>
      <c r="H1373" s="47"/>
      <c r="I1373" s="47"/>
      <c r="J1373" s="47"/>
    </row>
    <row r="1374" spans="2:10" ht="14.5">
      <c r="B1374" s="47"/>
      <c r="C1374" s="47"/>
      <c r="D1374" s="47"/>
      <c r="E1374" s="47"/>
      <c r="F1374" s="47"/>
      <c r="G1374" s="363"/>
      <c r="H1374" s="47"/>
      <c r="I1374" s="47"/>
      <c r="J1374" s="47"/>
    </row>
    <row r="1375" spans="2:10" ht="14.5">
      <c r="B1375" s="47"/>
      <c r="C1375" s="47"/>
      <c r="D1375" s="47"/>
      <c r="E1375" s="47"/>
      <c r="F1375" s="47"/>
      <c r="G1375" s="363"/>
      <c r="H1375" s="47"/>
      <c r="I1375" s="47"/>
      <c r="J1375" s="47"/>
    </row>
    <row r="1376" spans="2:10" ht="14.5">
      <c r="B1376" s="47"/>
      <c r="C1376" s="47"/>
      <c r="D1376" s="47"/>
      <c r="E1376" s="47"/>
      <c r="F1376" s="47"/>
      <c r="G1376" s="363"/>
      <c r="H1376" s="47"/>
      <c r="I1376" s="47"/>
      <c r="J1376" s="47"/>
    </row>
    <row r="1377" spans="2:10" ht="14.5">
      <c r="B1377" s="47"/>
      <c r="C1377" s="47"/>
      <c r="D1377" s="47"/>
      <c r="E1377" s="47"/>
      <c r="F1377" s="47"/>
      <c r="G1377" s="363"/>
      <c r="H1377" s="47"/>
      <c r="I1377" s="47"/>
      <c r="J1377" s="47"/>
    </row>
    <row r="1378" spans="2:10" ht="14.5">
      <c r="B1378" s="47"/>
      <c r="C1378" s="47"/>
      <c r="D1378" s="47"/>
      <c r="E1378" s="47"/>
      <c r="F1378" s="47"/>
      <c r="G1378" s="363"/>
      <c r="H1378" s="47"/>
      <c r="I1378" s="47"/>
      <c r="J1378" s="47"/>
    </row>
    <row r="1379" spans="2:10" ht="14.5">
      <c r="B1379" s="47"/>
      <c r="C1379" s="47"/>
      <c r="D1379" s="47"/>
      <c r="E1379" s="47"/>
      <c r="F1379" s="47"/>
      <c r="G1379" s="363"/>
      <c r="H1379" s="47"/>
      <c r="I1379" s="47"/>
      <c r="J1379" s="47"/>
    </row>
    <row r="1380" spans="2:10" ht="14.5">
      <c r="B1380" s="47"/>
      <c r="C1380" s="47"/>
      <c r="D1380" s="47"/>
      <c r="E1380" s="47"/>
      <c r="F1380" s="47"/>
      <c r="G1380" s="363"/>
      <c r="H1380" s="47"/>
      <c r="I1380" s="47"/>
      <c r="J1380" s="47"/>
    </row>
    <row r="1381" spans="2:10" ht="14.5">
      <c r="B1381" s="47"/>
      <c r="C1381" s="47"/>
      <c r="D1381" s="47"/>
      <c r="E1381" s="47"/>
      <c r="F1381" s="47"/>
      <c r="G1381" s="363"/>
      <c r="H1381" s="47"/>
      <c r="I1381" s="47"/>
      <c r="J1381" s="47"/>
    </row>
    <row r="1382" spans="2:10" ht="14.5">
      <c r="B1382" s="47"/>
      <c r="C1382" s="47"/>
      <c r="D1382" s="47"/>
      <c r="E1382" s="47"/>
      <c r="F1382" s="47"/>
      <c r="G1382" s="363"/>
      <c r="H1382" s="47"/>
      <c r="I1382" s="47"/>
      <c r="J1382" s="47"/>
    </row>
    <row r="1383" spans="2:10" ht="14.5">
      <c r="B1383" s="47"/>
      <c r="C1383" s="47"/>
      <c r="D1383" s="47"/>
      <c r="E1383" s="47"/>
      <c r="F1383" s="47"/>
      <c r="G1383" s="363"/>
      <c r="H1383" s="47"/>
      <c r="I1383" s="47"/>
      <c r="J1383" s="47"/>
    </row>
    <row r="1384" spans="2:10" ht="14.5">
      <c r="B1384" s="47"/>
      <c r="C1384" s="47"/>
      <c r="D1384" s="47"/>
      <c r="E1384" s="47"/>
      <c r="F1384" s="47"/>
      <c r="G1384" s="363"/>
      <c r="H1384" s="47"/>
      <c r="I1384" s="47"/>
      <c r="J1384" s="47"/>
    </row>
    <row r="1385" spans="2:10" ht="14.5">
      <c r="B1385" s="47"/>
      <c r="C1385" s="47"/>
      <c r="D1385" s="47"/>
      <c r="E1385" s="47"/>
      <c r="F1385" s="47"/>
      <c r="G1385" s="363"/>
      <c r="H1385" s="47"/>
      <c r="I1385" s="47"/>
      <c r="J1385" s="47"/>
    </row>
    <row r="1386" spans="2:10" ht="14.5">
      <c r="B1386" s="47"/>
      <c r="C1386" s="47"/>
      <c r="D1386" s="47"/>
      <c r="E1386" s="47"/>
      <c r="F1386" s="47"/>
      <c r="G1386" s="363"/>
      <c r="H1386" s="47"/>
      <c r="I1386" s="47"/>
      <c r="J1386" s="47"/>
    </row>
    <row r="1387" spans="2:10" ht="14.5">
      <c r="B1387" s="47"/>
      <c r="C1387" s="47"/>
      <c r="D1387" s="47"/>
      <c r="E1387" s="47"/>
      <c r="F1387" s="47"/>
      <c r="G1387" s="363"/>
      <c r="H1387" s="47"/>
      <c r="I1387" s="47"/>
      <c r="J1387" s="47"/>
    </row>
    <row r="1388" spans="2:10" ht="14.5">
      <c r="B1388" s="47"/>
      <c r="C1388" s="47"/>
      <c r="D1388" s="47"/>
      <c r="E1388" s="47"/>
      <c r="F1388" s="47"/>
      <c r="G1388" s="363"/>
      <c r="H1388" s="47"/>
      <c r="I1388" s="47"/>
      <c r="J1388" s="47"/>
    </row>
    <row r="1389" spans="2:10" ht="14.5">
      <c r="B1389" s="47"/>
      <c r="C1389" s="47"/>
      <c r="D1389" s="47"/>
      <c r="E1389" s="47"/>
      <c r="F1389" s="47"/>
      <c r="G1389" s="363"/>
      <c r="H1389" s="47"/>
      <c r="I1389" s="47"/>
      <c r="J1389" s="47"/>
    </row>
    <row r="1390" spans="2:10" ht="14.5">
      <c r="B1390" s="47"/>
      <c r="C1390" s="47"/>
      <c r="D1390" s="47"/>
      <c r="E1390" s="47"/>
      <c r="F1390" s="47"/>
      <c r="G1390" s="363"/>
      <c r="H1390" s="47"/>
      <c r="I1390" s="47"/>
      <c r="J1390" s="47"/>
    </row>
    <row r="1391" spans="2:10" ht="14.5">
      <c r="B1391" s="47"/>
      <c r="C1391" s="47"/>
      <c r="D1391" s="47"/>
      <c r="E1391" s="47"/>
      <c r="F1391" s="47"/>
      <c r="G1391" s="363"/>
      <c r="H1391" s="47"/>
      <c r="I1391" s="47"/>
      <c r="J1391" s="47"/>
    </row>
    <row r="1392" spans="2:10" ht="14.5">
      <c r="B1392" s="47"/>
      <c r="C1392" s="47"/>
      <c r="D1392" s="47"/>
      <c r="E1392" s="47"/>
      <c r="F1392" s="47"/>
      <c r="G1392" s="363"/>
      <c r="H1392" s="47"/>
      <c r="I1392" s="47"/>
      <c r="J1392" s="47"/>
    </row>
    <row r="1393" spans="2:10" ht="14.5">
      <c r="B1393" s="47"/>
      <c r="C1393" s="47"/>
      <c r="D1393" s="47"/>
      <c r="E1393" s="47"/>
      <c r="F1393" s="47"/>
      <c r="G1393" s="363"/>
      <c r="H1393" s="47"/>
      <c r="I1393" s="47"/>
      <c r="J1393" s="47"/>
    </row>
    <row r="1394" spans="2:10" ht="14.5">
      <c r="B1394" s="47"/>
      <c r="C1394" s="47"/>
      <c r="D1394" s="47"/>
      <c r="E1394" s="47"/>
      <c r="F1394" s="47"/>
      <c r="G1394" s="363"/>
      <c r="H1394" s="47"/>
      <c r="I1394" s="47"/>
      <c r="J1394" s="47"/>
    </row>
    <row r="1395" spans="2:10" ht="14.5">
      <c r="B1395" s="47"/>
      <c r="C1395" s="47"/>
      <c r="D1395" s="47"/>
      <c r="E1395" s="47"/>
      <c r="F1395" s="47"/>
      <c r="G1395" s="363"/>
      <c r="H1395" s="47"/>
      <c r="I1395" s="47"/>
      <c r="J1395" s="47"/>
    </row>
    <row r="1396" spans="2:10" ht="14.5">
      <c r="B1396" s="47"/>
      <c r="C1396" s="47"/>
      <c r="D1396" s="47"/>
      <c r="E1396" s="47"/>
      <c r="F1396" s="47"/>
      <c r="G1396" s="363"/>
      <c r="H1396" s="47"/>
      <c r="I1396" s="47"/>
      <c r="J1396" s="47"/>
    </row>
    <row r="1397" spans="2:10" ht="14.5">
      <c r="B1397" s="47"/>
      <c r="C1397" s="47"/>
      <c r="D1397" s="47"/>
      <c r="E1397" s="47"/>
      <c r="F1397" s="47"/>
      <c r="G1397" s="363"/>
      <c r="H1397" s="47"/>
      <c r="I1397" s="47"/>
      <c r="J1397" s="47"/>
    </row>
    <row r="1398" spans="2:10" ht="14.5">
      <c r="B1398" s="47"/>
      <c r="C1398" s="47"/>
      <c r="D1398" s="47"/>
      <c r="E1398" s="47"/>
      <c r="F1398" s="47"/>
      <c r="G1398" s="363"/>
      <c r="H1398" s="47"/>
      <c r="I1398" s="47"/>
      <c r="J1398" s="47"/>
    </row>
    <row r="1399" spans="2:10" ht="14.5">
      <c r="B1399" s="47"/>
      <c r="C1399" s="47"/>
      <c r="D1399" s="47"/>
      <c r="E1399" s="47"/>
      <c r="F1399" s="47"/>
      <c r="G1399" s="363"/>
      <c r="H1399" s="47"/>
      <c r="I1399" s="47"/>
      <c r="J1399" s="47"/>
    </row>
    <row r="1400" spans="2:10" ht="14.5">
      <c r="B1400" s="47"/>
      <c r="C1400" s="47"/>
      <c r="D1400" s="47"/>
      <c r="E1400" s="47"/>
      <c r="F1400" s="47"/>
      <c r="G1400" s="363"/>
      <c r="H1400" s="47"/>
      <c r="I1400" s="47"/>
      <c r="J1400" s="47"/>
    </row>
    <row r="1401" spans="2:10" ht="14.5">
      <c r="B1401" s="47"/>
      <c r="C1401" s="47"/>
      <c r="D1401" s="47"/>
      <c r="E1401" s="47"/>
      <c r="F1401" s="47"/>
      <c r="G1401" s="363"/>
      <c r="H1401" s="47"/>
      <c r="I1401" s="47"/>
      <c r="J1401" s="47"/>
    </row>
    <row r="1402" spans="2:10" ht="14.5">
      <c r="B1402" s="47"/>
      <c r="C1402" s="47"/>
      <c r="D1402" s="47"/>
      <c r="E1402" s="47"/>
      <c r="F1402" s="47"/>
      <c r="G1402" s="363"/>
      <c r="H1402" s="47"/>
      <c r="I1402" s="47"/>
      <c r="J1402" s="47"/>
    </row>
    <row r="1403" spans="2:10" ht="14.5">
      <c r="B1403" s="47"/>
      <c r="C1403" s="47"/>
      <c r="D1403" s="47"/>
      <c r="E1403" s="47"/>
      <c r="F1403" s="47"/>
      <c r="G1403" s="363"/>
      <c r="H1403" s="47"/>
      <c r="I1403" s="47"/>
      <c r="J1403" s="47"/>
    </row>
    <row r="1404" spans="2:10" ht="14.5">
      <c r="B1404" s="47"/>
      <c r="C1404" s="47"/>
      <c r="D1404" s="47"/>
      <c r="E1404" s="47"/>
      <c r="F1404" s="47"/>
      <c r="G1404" s="363"/>
      <c r="H1404" s="47"/>
      <c r="I1404" s="47"/>
      <c r="J1404" s="47"/>
    </row>
    <row r="1405" spans="2:10" ht="14.5">
      <c r="B1405" s="47"/>
      <c r="C1405" s="47"/>
      <c r="D1405" s="47"/>
      <c r="E1405" s="47"/>
      <c r="F1405" s="47"/>
      <c r="G1405" s="363"/>
      <c r="H1405" s="47"/>
      <c r="I1405" s="47"/>
      <c r="J1405" s="47"/>
    </row>
    <row r="1406" spans="2:10" ht="14.5">
      <c r="B1406" s="47"/>
      <c r="C1406" s="47"/>
      <c r="D1406" s="47"/>
      <c r="E1406" s="47"/>
      <c r="F1406" s="47"/>
      <c r="G1406" s="363"/>
      <c r="H1406" s="47"/>
      <c r="I1406" s="47"/>
      <c r="J1406" s="47"/>
    </row>
    <row r="1407" spans="2:10" ht="14.5">
      <c r="B1407" s="47"/>
      <c r="C1407" s="47"/>
      <c r="D1407" s="47"/>
      <c r="E1407" s="47"/>
      <c r="F1407" s="47"/>
      <c r="G1407" s="363"/>
      <c r="H1407" s="47"/>
      <c r="I1407" s="47"/>
      <c r="J1407" s="47"/>
    </row>
    <row r="1408" spans="2:10" ht="14.5">
      <c r="B1408" s="47"/>
      <c r="C1408" s="47"/>
      <c r="D1408" s="47"/>
      <c r="E1408" s="47"/>
      <c r="F1408" s="47"/>
      <c r="G1408" s="363"/>
      <c r="H1408" s="47"/>
      <c r="I1408" s="47"/>
      <c r="J1408" s="47"/>
    </row>
    <row r="1409" spans="2:10" ht="14.5">
      <c r="B1409" s="47"/>
      <c r="C1409" s="47"/>
      <c r="D1409" s="47"/>
      <c r="E1409" s="47"/>
      <c r="F1409" s="47"/>
      <c r="G1409" s="363"/>
      <c r="H1409" s="47"/>
      <c r="I1409" s="47"/>
      <c r="J1409" s="47"/>
    </row>
    <row r="1410" spans="2:10" ht="14.5">
      <c r="B1410" s="47"/>
      <c r="C1410" s="47"/>
      <c r="D1410" s="47"/>
      <c r="E1410" s="47"/>
      <c r="F1410" s="47"/>
      <c r="G1410" s="363"/>
      <c r="H1410" s="47"/>
      <c r="I1410" s="47"/>
      <c r="J1410" s="47"/>
    </row>
    <row r="1411" spans="2:10" ht="14.5">
      <c r="B1411" s="47"/>
      <c r="C1411" s="47"/>
      <c r="D1411" s="47"/>
      <c r="E1411" s="47"/>
      <c r="F1411" s="47"/>
      <c r="G1411" s="363"/>
      <c r="H1411" s="47"/>
      <c r="I1411" s="47"/>
      <c r="J1411" s="47"/>
    </row>
    <row r="1412" spans="2:10" ht="14.5">
      <c r="B1412" s="47"/>
      <c r="C1412" s="47"/>
      <c r="D1412" s="47"/>
      <c r="E1412" s="47"/>
      <c r="F1412" s="47"/>
      <c r="G1412" s="363"/>
      <c r="H1412" s="47"/>
      <c r="I1412" s="47"/>
      <c r="J1412" s="47"/>
    </row>
    <row r="1413" spans="2:10" ht="14.5">
      <c r="B1413" s="47"/>
      <c r="C1413" s="47"/>
      <c r="D1413" s="47"/>
      <c r="E1413" s="47"/>
      <c r="F1413" s="47"/>
      <c r="G1413" s="363"/>
      <c r="H1413" s="47"/>
      <c r="I1413" s="47"/>
      <c r="J1413" s="47"/>
    </row>
    <row r="1414" spans="2:10" ht="14.5">
      <c r="B1414" s="47"/>
      <c r="C1414" s="47"/>
      <c r="D1414" s="47"/>
      <c r="E1414" s="47"/>
      <c r="F1414" s="47"/>
      <c r="G1414" s="363"/>
      <c r="H1414" s="47"/>
      <c r="I1414" s="47"/>
      <c r="J1414" s="47"/>
    </row>
    <row r="1415" spans="2:10" ht="14.5">
      <c r="B1415" s="47"/>
      <c r="C1415" s="47"/>
      <c r="D1415" s="47"/>
      <c r="E1415" s="47"/>
      <c r="F1415" s="47"/>
      <c r="G1415" s="363"/>
      <c r="H1415" s="47"/>
      <c r="I1415" s="47"/>
      <c r="J1415" s="47"/>
    </row>
    <row r="1416" spans="2:10" ht="14.5">
      <c r="B1416" s="47"/>
      <c r="C1416" s="47"/>
      <c r="D1416" s="47"/>
      <c r="E1416" s="47"/>
      <c r="F1416" s="47"/>
      <c r="G1416" s="363"/>
      <c r="H1416" s="47"/>
      <c r="I1416" s="47"/>
      <c r="J1416" s="47"/>
    </row>
    <row r="1417" spans="2:10" ht="14.5">
      <c r="B1417" s="47"/>
      <c r="C1417" s="47"/>
      <c r="D1417" s="47"/>
      <c r="E1417" s="47"/>
      <c r="F1417" s="47"/>
      <c r="G1417" s="363"/>
      <c r="H1417" s="47"/>
      <c r="I1417" s="47"/>
      <c r="J1417" s="47"/>
    </row>
    <row r="1418" spans="2:10" ht="14.5">
      <c r="B1418" s="47"/>
      <c r="C1418" s="47"/>
      <c r="D1418" s="47"/>
      <c r="E1418" s="47"/>
      <c r="F1418" s="47"/>
      <c r="G1418" s="363"/>
      <c r="H1418" s="47"/>
      <c r="I1418" s="47"/>
      <c r="J1418" s="47"/>
    </row>
    <row r="1419" spans="2:10" ht="14.5">
      <c r="B1419" s="47"/>
      <c r="C1419" s="47"/>
      <c r="D1419" s="47"/>
      <c r="E1419" s="47"/>
      <c r="F1419" s="47"/>
      <c r="G1419" s="363"/>
      <c r="H1419" s="47"/>
      <c r="I1419" s="47"/>
      <c r="J1419" s="47"/>
    </row>
    <row r="1420" spans="2:10" ht="14.5">
      <c r="B1420" s="47"/>
      <c r="C1420" s="47"/>
      <c r="D1420" s="47"/>
      <c r="E1420" s="47"/>
      <c r="F1420" s="47"/>
      <c r="G1420" s="363"/>
      <c r="H1420" s="47"/>
      <c r="I1420" s="47"/>
      <c r="J1420" s="47"/>
    </row>
    <row r="1421" spans="2:10" ht="14.5">
      <c r="B1421" s="47"/>
      <c r="C1421" s="47"/>
      <c r="D1421" s="47"/>
      <c r="E1421" s="47"/>
      <c r="F1421" s="47"/>
      <c r="G1421" s="363"/>
      <c r="H1421" s="47"/>
      <c r="I1421" s="47"/>
      <c r="J1421" s="47"/>
    </row>
    <row r="1422" spans="2:10" ht="14.5">
      <c r="B1422" s="47"/>
      <c r="C1422" s="47"/>
      <c r="D1422" s="47"/>
      <c r="E1422" s="47"/>
      <c r="F1422" s="47"/>
      <c r="G1422" s="363"/>
      <c r="H1422" s="47"/>
      <c r="I1422" s="47"/>
      <c r="J1422" s="47"/>
    </row>
    <row r="1423" spans="2:10" ht="14.5">
      <c r="B1423" s="47"/>
      <c r="C1423" s="47"/>
      <c r="D1423" s="47"/>
      <c r="E1423" s="47"/>
      <c r="F1423" s="47"/>
      <c r="G1423" s="363"/>
      <c r="H1423" s="47"/>
      <c r="I1423" s="47"/>
      <c r="J1423" s="47"/>
    </row>
    <row r="1424" spans="2:10" ht="14.5">
      <c r="B1424" s="47"/>
      <c r="C1424" s="47"/>
      <c r="D1424" s="47"/>
      <c r="E1424" s="47"/>
      <c r="F1424" s="47"/>
      <c r="G1424" s="363"/>
      <c r="H1424" s="47"/>
      <c r="I1424" s="47"/>
      <c r="J1424" s="47"/>
    </row>
    <row r="1425" spans="2:10" ht="14.5">
      <c r="B1425" s="47"/>
      <c r="C1425" s="47"/>
      <c r="D1425" s="47"/>
      <c r="E1425" s="47"/>
      <c r="F1425" s="47"/>
      <c r="G1425" s="363"/>
      <c r="H1425" s="47"/>
      <c r="I1425" s="47"/>
      <c r="J1425" s="47"/>
    </row>
    <row r="1426" spans="2:10" ht="14.5">
      <c r="B1426" s="47"/>
      <c r="C1426" s="47"/>
      <c r="D1426" s="47"/>
      <c r="E1426" s="47"/>
      <c r="F1426" s="47"/>
      <c r="G1426" s="363"/>
      <c r="H1426" s="47"/>
      <c r="I1426" s="47"/>
      <c r="J1426" s="47"/>
    </row>
    <row r="1427" spans="2:10" ht="14.5">
      <c r="B1427" s="47"/>
      <c r="C1427" s="47"/>
      <c r="D1427" s="47"/>
      <c r="E1427" s="47"/>
      <c r="F1427" s="47"/>
      <c r="G1427" s="363"/>
      <c r="H1427" s="47"/>
      <c r="I1427" s="47"/>
      <c r="J1427" s="47"/>
    </row>
    <row r="1428" spans="2:10" ht="14.5">
      <c r="B1428" s="47"/>
      <c r="C1428" s="47"/>
      <c r="D1428" s="47"/>
      <c r="E1428" s="47"/>
      <c r="F1428" s="47"/>
      <c r="G1428" s="363"/>
      <c r="H1428" s="47"/>
      <c r="I1428" s="47"/>
      <c r="J1428" s="47"/>
    </row>
    <row r="1429" spans="2:10" ht="14.5">
      <c r="B1429" s="47"/>
      <c r="C1429" s="47"/>
      <c r="D1429" s="47"/>
      <c r="E1429" s="47"/>
      <c r="F1429" s="47"/>
      <c r="G1429" s="363"/>
      <c r="H1429" s="47"/>
      <c r="I1429" s="47"/>
      <c r="J1429" s="47"/>
    </row>
    <row r="1430" spans="2:10" ht="14.5">
      <c r="B1430" s="47"/>
      <c r="C1430" s="47"/>
      <c r="D1430" s="47"/>
      <c r="E1430" s="47"/>
      <c r="F1430" s="47"/>
      <c r="G1430" s="363"/>
      <c r="H1430" s="47"/>
      <c r="I1430" s="47"/>
      <c r="J1430" s="47"/>
    </row>
    <row r="1431" spans="2:10" ht="14.5">
      <c r="B1431" s="47"/>
      <c r="C1431" s="47"/>
      <c r="D1431" s="47"/>
      <c r="E1431" s="47"/>
      <c r="F1431" s="47"/>
      <c r="G1431" s="363"/>
      <c r="H1431" s="47"/>
      <c r="I1431" s="47"/>
      <c r="J1431" s="47"/>
    </row>
    <row r="1432" spans="2:10" ht="14.5">
      <c r="B1432" s="47"/>
      <c r="C1432" s="47"/>
      <c r="D1432" s="47"/>
      <c r="E1432" s="47"/>
      <c r="F1432" s="47"/>
      <c r="G1432" s="363"/>
      <c r="H1432" s="47"/>
      <c r="I1432" s="47"/>
      <c r="J1432" s="47"/>
    </row>
    <row r="1433" spans="2:10" ht="14.5">
      <c r="B1433" s="47"/>
      <c r="C1433" s="47"/>
      <c r="D1433" s="47"/>
      <c r="E1433" s="47"/>
      <c r="F1433" s="47"/>
      <c r="G1433" s="363"/>
      <c r="H1433" s="47"/>
      <c r="I1433" s="47"/>
      <c r="J1433" s="47"/>
    </row>
    <row r="1434" spans="2:10" ht="14.5">
      <c r="B1434" s="47"/>
      <c r="C1434" s="47"/>
      <c r="D1434" s="47"/>
      <c r="E1434" s="47"/>
      <c r="F1434" s="47"/>
      <c r="G1434" s="363"/>
      <c r="H1434" s="47"/>
      <c r="I1434" s="47"/>
      <c r="J1434" s="47"/>
    </row>
    <row r="1435" spans="2:10" ht="14.5">
      <c r="B1435" s="47"/>
      <c r="C1435" s="47"/>
      <c r="D1435" s="47"/>
      <c r="E1435" s="47"/>
      <c r="F1435" s="47"/>
      <c r="G1435" s="363"/>
      <c r="H1435" s="47"/>
      <c r="I1435" s="47"/>
      <c r="J1435" s="47"/>
    </row>
    <row r="1436" spans="2:10" ht="14.5">
      <c r="B1436" s="47"/>
      <c r="C1436" s="47"/>
      <c r="D1436" s="47"/>
      <c r="E1436" s="47"/>
      <c r="F1436" s="47"/>
      <c r="G1436" s="363"/>
      <c r="H1436" s="47"/>
      <c r="I1436" s="47"/>
      <c r="J1436" s="47"/>
    </row>
    <row r="1437" spans="2:10" ht="14.5">
      <c r="B1437" s="47"/>
      <c r="C1437" s="47"/>
      <c r="D1437" s="47"/>
      <c r="E1437" s="47"/>
      <c r="F1437" s="47"/>
      <c r="G1437" s="363"/>
      <c r="H1437" s="47"/>
      <c r="I1437" s="47"/>
      <c r="J1437" s="47"/>
    </row>
    <row r="1438" spans="2:10" ht="14.5">
      <c r="B1438" s="47"/>
      <c r="C1438" s="47"/>
      <c r="D1438" s="47"/>
      <c r="E1438" s="47"/>
      <c r="F1438" s="47"/>
      <c r="G1438" s="363"/>
      <c r="H1438" s="47"/>
      <c r="I1438" s="47"/>
      <c r="J1438" s="47"/>
    </row>
    <row r="1439" spans="2:10" ht="14.5">
      <c r="B1439" s="47"/>
      <c r="C1439" s="47"/>
      <c r="D1439" s="47"/>
      <c r="E1439" s="47"/>
      <c r="F1439" s="47"/>
      <c r="G1439" s="363"/>
      <c r="H1439" s="47"/>
      <c r="I1439" s="47"/>
      <c r="J1439" s="47"/>
    </row>
    <row r="1440" spans="2:10" ht="14.5">
      <c r="B1440" s="47"/>
      <c r="C1440" s="47"/>
      <c r="D1440" s="47"/>
      <c r="E1440" s="47"/>
      <c r="F1440" s="47"/>
      <c r="G1440" s="363"/>
      <c r="H1440" s="47"/>
      <c r="I1440" s="47"/>
      <c r="J1440" s="47"/>
    </row>
    <row r="1441" spans="2:10" ht="14.5">
      <c r="B1441" s="47"/>
      <c r="C1441" s="47"/>
      <c r="D1441" s="47"/>
      <c r="E1441" s="47"/>
      <c r="F1441" s="47"/>
      <c r="G1441" s="363"/>
      <c r="H1441" s="47"/>
      <c r="I1441" s="47"/>
      <c r="J1441" s="47"/>
    </row>
    <row r="1442" spans="2:10" ht="14.5">
      <c r="B1442" s="47"/>
      <c r="C1442" s="47"/>
      <c r="D1442" s="47"/>
      <c r="E1442" s="47"/>
      <c r="F1442" s="47"/>
      <c r="G1442" s="363"/>
      <c r="H1442" s="47"/>
      <c r="I1442" s="47"/>
      <c r="J1442" s="47"/>
    </row>
    <row r="1443" spans="2:10" ht="14.5">
      <c r="B1443" s="47"/>
      <c r="C1443" s="47"/>
      <c r="D1443" s="47"/>
      <c r="E1443" s="47"/>
      <c r="F1443" s="47"/>
      <c r="G1443" s="363"/>
      <c r="H1443" s="47"/>
      <c r="I1443" s="47"/>
      <c r="J1443" s="47"/>
    </row>
    <row r="1444" spans="2:10" ht="14.5">
      <c r="B1444" s="47"/>
      <c r="C1444" s="47"/>
      <c r="D1444" s="47"/>
      <c r="E1444" s="47"/>
      <c r="F1444" s="47"/>
      <c r="G1444" s="363"/>
      <c r="H1444" s="47"/>
      <c r="I1444" s="47"/>
      <c r="J1444" s="47"/>
    </row>
    <row r="1445" spans="2:10" ht="14.5">
      <c r="B1445" s="47"/>
      <c r="C1445" s="47"/>
      <c r="D1445" s="47"/>
      <c r="E1445" s="47"/>
      <c r="F1445" s="47"/>
      <c r="G1445" s="363"/>
      <c r="H1445" s="47"/>
      <c r="I1445" s="47"/>
      <c r="J1445" s="47"/>
    </row>
    <row r="1446" spans="2:10" ht="14.5">
      <c r="B1446" s="47"/>
      <c r="C1446" s="47"/>
      <c r="D1446" s="47"/>
      <c r="E1446" s="47"/>
      <c r="F1446" s="47"/>
      <c r="G1446" s="363"/>
      <c r="H1446" s="47"/>
      <c r="I1446" s="47"/>
      <c r="J1446" s="47"/>
    </row>
    <row r="1447" spans="2:10" ht="14.5">
      <c r="B1447" s="47"/>
      <c r="C1447" s="47"/>
      <c r="D1447" s="47"/>
      <c r="E1447" s="47"/>
      <c r="F1447" s="47"/>
      <c r="G1447" s="363"/>
      <c r="H1447" s="47"/>
      <c r="I1447" s="47"/>
      <c r="J1447" s="47"/>
    </row>
    <row r="1448" spans="2:10" ht="14.5">
      <c r="B1448" s="47"/>
      <c r="C1448" s="47"/>
      <c r="D1448" s="47"/>
      <c r="E1448" s="47"/>
      <c r="F1448" s="47"/>
      <c r="G1448" s="363"/>
      <c r="H1448" s="47"/>
      <c r="I1448" s="47"/>
      <c r="J1448" s="47"/>
    </row>
    <row r="1449" spans="2:10" ht="14.5">
      <c r="B1449" s="47"/>
      <c r="C1449" s="47"/>
      <c r="D1449" s="47"/>
      <c r="E1449" s="47"/>
      <c r="F1449" s="47"/>
      <c r="G1449" s="363"/>
      <c r="H1449" s="47"/>
      <c r="I1449" s="47"/>
      <c r="J1449" s="47"/>
    </row>
    <row r="1450" spans="2:10" ht="14.5">
      <c r="B1450" s="47"/>
      <c r="C1450" s="47"/>
      <c r="D1450" s="47"/>
      <c r="E1450" s="47"/>
      <c r="F1450" s="47"/>
      <c r="G1450" s="363"/>
      <c r="H1450" s="47"/>
      <c r="I1450" s="47"/>
      <c r="J1450" s="47"/>
    </row>
    <row r="1451" spans="2:10" ht="14.5">
      <c r="B1451" s="47"/>
      <c r="C1451" s="47"/>
      <c r="D1451" s="47"/>
      <c r="E1451" s="47"/>
      <c r="F1451" s="47"/>
      <c r="G1451" s="363"/>
      <c r="H1451" s="47"/>
      <c r="I1451" s="47"/>
      <c r="J1451" s="47"/>
    </row>
    <row r="1452" spans="2:10" ht="14.5">
      <c r="B1452" s="47"/>
      <c r="C1452" s="47"/>
      <c r="D1452" s="47"/>
      <c r="E1452" s="47"/>
      <c r="F1452" s="47"/>
      <c r="G1452" s="363"/>
      <c r="H1452" s="47"/>
      <c r="I1452" s="47"/>
      <c r="J1452" s="47"/>
    </row>
    <row r="1453" spans="2:10" ht="14.5">
      <c r="B1453" s="47"/>
      <c r="C1453" s="47"/>
      <c r="D1453" s="47"/>
      <c r="E1453" s="47"/>
      <c r="F1453" s="47"/>
      <c r="G1453" s="363"/>
      <c r="H1453" s="47"/>
      <c r="I1453" s="47"/>
      <c r="J1453" s="47"/>
    </row>
    <row r="1454" spans="2:10" ht="14.5">
      <c r="B1454" s="47"/>
      <c r="C1454" s="47"/>
      <c r="D1454" s="47"/>
      <c r="E1454" s="47"/>
      <c r="F1454" s="47"/>
      <c r="G1454" s="363"/>
      <c r="H1454" s="47"/>
      <c r="I1454" s="47"/>
      <c r="J1454" s="47"/>
    </row>
    <row r="1455" spans="2:10" ht="14.5">
      <c r="B1455" s="47"/>
      <c r="C1455" s="47"/>
      <c r="D1455" s="47"/>
      <c r="E1455" s="47"/>
      <c r="F1455" s="47"/>
      <c r="G1455" s="363"/>
      <c r="H1455" s="47"/>
      <c r="I1455" s="47"/>
      <c r="J1455" s="47"/>
    </row>
    <row r="1456" spans="2:10" ht="14.5">
      <c r="B1456" s="47"/>
      <c r="C1456" s="47"/>
      <c r="D1456" s="47"/>
      <c r="E1456" s="47"/>
      <c r="F1456" s="47"/>
      <c r="G1456" s="363"/>
      <c r="H1456" s="47"/>
      <c r="I1456" s="47"/>
      <c r="J1456" s="47"/>
    </row>
    <row r="1457" spans="2:10" ht="14.5">
      <c r="B1457" s="47"/>
      <c r="C1457" s="47"/>
      <c r="D1457" s="47"/>
      <c r="E1457" s="47"/>
      <c r="F1457" s="47"/>
      <c r="G1457" s="363"/>
      <c r="H1457" s="47"/>
      <c r="I1457" s="47"/>
      <c r="J1457" s="47"/>
    </row>
    <row r="1458" spans="2:10" ht="14.5">
      <c r="B1458" s="47"/>
      <c r="C1458" s="47"/>
      <c r="D1458" s="47"/>
      <c r="E1458" s="47"/>
      <c r="F1458" s="47"/>
      <c r="G1458" s="363"/>
      <c r="H1458" s="47"/>
      <c r="I1458" s="47"/>
      <c r="J1458" s="47"/>
    </row>
    <row r="1459" spans="2:10" ht="14.5">
      <c r="B1459" s="47"/>
      <c r="C1459" s="47"/>
      <c r="D1459" s="47"/>
      <c r="E1459" s="47"/>
      <c r="F1459" s="47"/>
      <c r="G1459" s="363"/>
      <c r="H1459" s="47"/>
      <c r="I1459" s="47"/>
      <c r="J1459" s="47"/>
    </row>
    <row r="1460" spans="2:10" ht="14.5">
      <c r="B1460" s="47"/>
      <c r="C1460" s="47"/>
      <c r="D1460" s="47"/>
      <c r="E1460" s="47"/>
      <c r="F1460" s="47"/>
      <c r="G1460" s="363"/>
      <c r="H1460" s="47"/>
      <c r="I1460" s="47"/>
      <c r="J1460" s="47"/>
    </row>
    <row r="1461" spans="2:10" ht="14.5">
      <c r="B1461" s="47"/>
      <c r="C1461" s="47"/>
      <c r="D1461" s="47"/>
      <c r="E1461" s="47"/>
      <c r="F1461" s="47"/>
      <c r="G1461" s="363"/>
      <c r="H1461" s="47"/>
      <c r="I1461" s="47"/>
      <c r="J1461" s="47"/>
    </row>
    <row r="1462" spans="2:10" ht="14.5">
      <c r="B1462" s="47"/>
      <c r="C1462" s="47"/>
      <c r="D1462" s="47"/>
      <c r="E1462" s="47"/>
      <c r="F1462" s="47"/>
      <c r="G1462" s="363"/>
      <c r="H1462" s="47"/>
      <c r="I1462" s="47"/>
      <c r="J1462" s="47"/>
    </row>
    <row r="1463" spans="2:10" ht="14.5">
      <c r="B1463" s="47"/>
      <c r="C1463" s="47"/>
      <c r="D1463" s="47"/>
      <c r="E1463" s="47"/>
      <c r="F1463" s="47"/>
      <c r="G1463" s="363"/>
      <c r="H1463" s="47"/>
      <c r="I1463" s="47"/>
      <c r="J1463" s="47"/>
    </row>
    <row r="1464" spans="2:10" ht="14.5">
      <c r="B1464" s="47"/>
      <c r="C1464" s="47"/>
      <c r="D1464" s="47"/>
      <c r="E1464" s="47"/>
      <c r="F1464" s="47"/>
      <c r="G1464" s="363"/>
      <c r="H1464" s="47"/>
      <c r="I1464" s="47"/>
      <c r="J1464" s="47"/>
    </row>
    <row r="1465" spans="2:10" ht="14.5">
      <c r="B1465" s="47"/>
      <c r="C1465" s="47"/>
      <c r="D1465" s="47"/>
      <c r="E1465" s="47"/>
      <c r="F1465" s="47"/>
      <c r="G1465" s="363"/>
      <c r="H1465" s="47"/>
      <c r="I1465" s="47"/>
      <c r="J1465" s="47"/>
    </row>
    <row r="1466" spans="2:10" ht="14.5">
      <c r="B1466" s="47"/>
      <c r="C1466" s="47"/>
      <c r="D1466" s="47"/>
      <c r="E1466" s="47"/>
      <c r="F1466" s="47"/>
      <c r="G1466" s="363"/>
      <c r="H1466" s="47"/>
      <c r="I1466" s="47"/>
      <c r="J1466" s="47"/>
    </row>
    <row r="1467" spans="2:10" ht="14.5">
      <c r="B1467" s="47"/>
      <c r="C1467" s="47"/>
      <c r="D1467" s="47"/>
      <c r="E1467" s="47"/>
      <c r="F1467" s="47"/>
      <c r="G1467" s="363"/>
      <c r="H1467" s="47"/>
      <c r="I1467" s="47"/>
      <c r="J1467" s="47"/>
    </row>
    <row r="1468" spans="2:10" ht="14.5">
      <c r="B1468" s="47"/>
      <c r="C1468" s="47"/>
      <c r="D1468" s="47"/>
      <c r="E1468" s="47"/>
      <c r="F1468" s="47"/>
      <c r="G1468" s="363"/>
      <c r="H1468" s="47"/>
      <c r="I1468" s="47"/>
      <c r="J1468" s="47"/>
    </row>
    <row r="1469" spans="2:10" ht="14.5">
      <c r="B1469" s="47"/>
      <c r="C1469" s="47"/>
      <c r="D1469" s="47"/>
      <c r="E1469" s="47"/>
      <c r="F1469" s="47"/>
      <c r="G1469" s="363"/>
      <c r="H1469" s="47"/>
      <c r="I1469" s="47"/>
      <c r="J1469" s="47"/>
    </row>
    <row r="1470" spans="2:10" ht="14.5">
      <c r="B1470" s="47"/>
      <c r="C1470" s="47"/>
      <c r="D1470" s="47"/>
      <c r="E1470" s="47"/>
      <c r="F1470" s="47"/>
      <c r="G1470" s="363"/>
      <c r="H1470" s="47"/>
      <c r="I1470" s="47"/>
      <c r="J1470" s="47"/>
    </row>
    <row r="1471" spans="2:10" ht="14.5">
      <c r="B1471" s="47"/>
      <c r="C1471" s="47"/>
      <c r="D1471" s="47"/>
      <c r="E1471" s="47"/>
      <c r="F1471" s="47"/>
      <c r="G1471" s="363"/>
      <c r="H1471" s="47"/>
      <c r="I1471" s="47"/>
      <c r="J1471" s="47"/>
    </row>
    <row r="1472" spans="2:10" ht="14.5">
      <c r="B1472" s="47"/>
      <c r="C1472" s="47"/>
      <c r="D1472" s="47"/>
      <c r="E1472" s="47"/>
      <c r="F1472" s="47"/>
      <c r="G1472" s="363"/>
      <c r="H1472" s="47"/>
      <c r="I1472" s="47"/>
      <c r="J1472" s="47"/>
    </row>
    <row r="1473" spans="2:10" ht="14.5">
      <c r="B1473" s="47"/>
      <c r="C1473" s="47"/>
      <c r="D1473" s="47"/>
      <c r="E1473" s="47"/>
      <c r="F1473" s="47"/>
      <c r="G1473" s="363"/>
      <c r="H1473" s="47"/>
      <c r="I1473" s="47"/>
      <c r="J1473" s="47"/>
    </row>
    <row r="1474" spans="2:10" ht="14.5">
      <c r="B1474" s="47"/>
      <c r="C1474" s="47"/>
      <c r="D1474" s="47"/>
      <c r="E1474" s="47"/>
      <c r="F1474" s="47"/>
      <c r="G1474" s="363"/>
      <c r="H1474" s="47"/>
      <c r="I1474" s="47"/>
      <c r="J1474" s="47"/>
    </row>
    <row r="1475" spans="2:10" ht="14.5">
      <c r="B1475" s="47"/>
      <c r="C1475" s="47"/>
      <c r="D1475" s="47"/>
      <c r="E1475" s="47"/>
      <c r="F1475" s="47"/>
      <c r="G1475" s="363"/>
      <c r="H1475" s="47"/>
      <c r="I1475" s="47"/>
      <c r="J1475" s="47"/>
    </row>
    <row r="1476" spans="2:10" ht="14.5">
      <c r="B1476" s="47"/>
      <c r="C1476" s="47"/>
      <c r="D1476" s="47"/>
      <c r="E1476" s="47"/>
      <c r="F1476" s="47"/>
      <c r="G1476" s="363"/>
      <c r="H1476" s="47"/>
      <c r="I1476" s="47"/>
      <c r="J1476" s="47"/>
    </row>
    <row r="1477" spans="2:10" ht="14.5">
      <c r="B1477" s="47"/>
      <c r="C1477" s="47"/>
      <c r="D1477" s="47"/>
      <c r="E1477" s="47"/>
      <c r="F1477" s="47"/>
      <c r="G1477" s="363"/>
      <c r="H1477" s="47"/>
      <c r="I1477" s="47"/>
      <c r="J1477" s="47"/>
    </row>
    <row r="1478" spans="2:10" ht="14.5">
      <c r="B1478" s="47"/>
      <c r="C1478" s="47"/>
      <c r="D1478" s="47"/>
      <c r="E1478" s="47"/>
      <c r="F1478" s="47"/>
      <c r="G1478" s="363"/>
      <c r="H1478" s="47"/>
      <c r="I1478" s="47"/>
      <c r="J1478" s="47"/>
    </row>
    <row r="1479" spans="2:10" ht="14.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zoomScale="85" zoomScaleNormal="85" workbookViewId="0">
      <selection activeCell="B140" sqref="B140"/>
    </sheetView>
  </sheetViews>
  <sheetFormatPr defaultColWidth="9" defaultRowHeight="13"/>
  <cols>
    <col min="1" max="1" width="12.59765625" customWidth="1"/>
    <col min="2" max="2" width="59.8984375" style="228" customWidth="1"/>
    <col min="3" max="3" width="24.8984375" customWidth="1"/>
    <col min="4" max="4" width="30.8984375" customWidth="1"/>
    <col min="5" max="5" width="12.89843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0976562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0" t="s">
        <v>9593</v>
      </c>
      <c r="B1" s="231" t="s">
        <v>9594</v>
      </c>
      <c r="C1" s="42" t="s">
        <v>9595</v>
      </c>
      <c r="D1" s="42" t="s">
        <v>9596</v>
      </c>
      <c r="E1" s="43" t="s">
        <v>9597</v>
      </c>
      <c r="F1" s="44" t="s">
        <v>9598</v>
      </c>
      <c r="G1" s="44" t="s">
        <v>9599</v>
      </c>
      <c r="H1" s="44" t="s">
        <v>9600</v>
      </c>
      <c r="I1" s="44" t="s">
        <v>9601</v>
      </c>
      <c r="J1" s="45" t="s">
        <v>9602</v>
      </c>
      <c r="K1" s="45" t="s">
        <v>15</v>
      </c>
      <c r="L1" s="45" t="s">
        <v>2501</v>
      </c>
      <c r="M1" s="45" t="s">
        <v>2502</v>
      </c>
      <c r="N1" s="45" t="s">
        <v>19</v>
      </c>
      <c r="O1" s="45" t="s">
        <v>20</v>
      </c>
      <c r="P1" s="45" t="s">
        <v>21</v>
      </c>
      <c r="Q1" s="45" t="s">
        <v>22</v>
      </c>
      <c r="R1" s="45" t="s">
        <v>23</v>
      </c>
    </row>
    <row r="2" spans="1:20">
      <c r="A2" s="179"/>
      <c r="B2" s="263" t="s">
        <v>2538</v>
      </c>
      <c r="C2" s="229" t="s">
        <v>9603</v>
      </c>
      <c r="D2" s="229"/>
      <c r="E2" s="180" t="s">
        <v>402</v>
      </c>
      <c r="F2" s="180" t="s">
        <v>9604</v>
      </c>
      <c r="G2" s="180" t="s">
        <v>9605</v>
      </c>
      <c r="H2" s="180" t="s">
        <v>888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2538</v>
      </c>
      <c r="C8" s="186" t="s">
        <v>594</v>
      </c>
      <c r="D8" s="186"/>
      <c r="E8" s="180"/>
      <c r="F8" s="187" t="s">
        <v>9606</v>
      </c>
      <c r="G8" s="180" t="s">
        <v>9605</v>
      </c>
      <c r="H8" s="13" t="s">
        <v>124</v>
      </c>
      <c r="I8" s="179"/>
      <c r="J8" s="12" t="s">
        <v>70</v>
      </c>
      <c r="K8" s="12" t="s">
        <v>102</v>
      </c>
      <c r="L8" s="12">
        <v>554245</v>
      </c>
      <c r="M8" s="12" t="s">
        <v>103</v>
      </c>
      <c r="N8" s="12">
        <v>620</v>
      </c>
      <c r="O8" s="12">
        <v>1440</v>
      </c>
      <c r="P8" s="12" t="s">
        <v>9607</v>
      </c>
      <c r="Q8" s="12">
        <v>40</v>
      </c>
      <c r="R8" s="12">
        <v>2</v>
      </c>
      <c r="S8">
        <v>1</v>
      </c>
      <c r="T8" t="s">
        <v>9608</v>
      </c>
    </row>
    <row r="9" spans="1:20">
      <c r="A9" s="179"/>
      <c r="B9" s="264" t="s">
        <v>2538</v>
      </c>
      <c r="C9" s="186" t="s">
        <v>594</v>
      </c>
      <c r="D9" s="186"/>
      <c r="E9" s="180"/>
      <c r="F9" s="187"/>
      <c r="G9" s="180" t="s">
        <v>9605</v>
      </c>
      <c r="H9" s="13" t="s">
        <v>124</v>
      </c>
      <c r="I9" s="179"/>
      <c r="J9" s="12" t="s">
        <v>132</v>
      </c>
      <c r="K9" s="12" t="s">
        <v>2929</v>
      </c>
      <c r="L9" s="12">
        <v>555076</v>
      </c>
      <c r="M9" s="12" t="s">
        <v>1300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9609</v>
      </c>
    </row>
    <row r="10" spans="1:20">
      <c r="A10" s="179"/>
      <c r="B10" s="264" t="s">
        <v>9610</v>
      </c>
      <c r="C10" s="186" t="s">
        <v>594</v>
      </c>
      <c r="D10" s="186"/>
      <c r="E10" s="180"/>
      <c r="F10" s="187"/>
      <c r="G10" s="180" t="s">
        <v>9605</v>
      </c>
      <c r="H10" s="13" t="s">
        <v>124</v>
      </c>
      <c r="I10" s="179"/>
      <c r="J10" s="12" t="s">
        <v>132</v>
      </c>
      <c r="K10" s="12" t="s">
        <v>1905</v>
      </c>
      <c r="L10" s="12">
        <v>554547</v>
      </c>
      <c r="M10" s="12" t="s">
        <v>1906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9611</v>
      </c>
    </row>
    <row r="11" spans="1:20">
      <c r="A11" s="179"/>
      <c r="B11" s="264" t="s">
        <v>2538</v>
      </c>
      <c r="C11" s="186" t="s">
        <v>9612</v>
      </c>
      <c r="D11" s="186"/>
      <c r="E11" s="180" t="s">
        <v>9613</v>
      </c>
      <c r="F11" s="188" t="s">
        <v>9614</v>
      </c>
      <c r="G11" s="180" t="s">
        <v>9615</v>
      </c>
      <c r="H11" s="13" t="s">
        <v>456</v>
      </c>
      <c r="I11" s="179"/>
      <c r="J11" s="11" t="s">
        <v>132</v>
      </c>
      <c r="K11" s="12" t="s">
        <v>189</v>
      </c>
      <c r="L11" s="18">
        <v>555536</v>
      </c>
      <c r="M11" s="18" t="s">
        <v>190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9616</v>
      </c>
      <c r="C12" s="186" t="s">
        <v>9612</v>
      </c>
      <c r="D12" s="186"/>
      <c r="E12" s="180" t="s">
        <v>9613</v>
      </c>
      <c r="F12" s="189" t="s">
        <v>9617</v>
      </c>
      <c r="G12" s="190" t="s">
        <v>9615</v>
      </c>
      <c r="H12" s="190" t="s">
        <v>456</v>
      </c>
      <c r="I12" s="187"/>
      <c r="J12" s="186" t="s">
        <v>132</v>
      </c>
      <c r="K12" s="170" t="s">
        <v>189</v>
      </c>
      <c r="L12" s="181">
        <v>555536</v>
      </c>
      <c r="M12" s="181" t="s">
        <v>190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9618</v>
      </c>
      <c r="C16" s="147" t="s">
        <v>9619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2538</v>
      </c>
      <c r="C17" s="147" t="s">
        <v>9620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2538</v>
      </c>
      <c r="C20" s="147" t="s">
        <v>9603</v>
      </c>
      <c r="D20" s="147"/>
      <c r="E20" s="180" t="s">
        <v>402</v>
      </c>
      <c r="F20" s="180" t="s">
        <v>9621</v>
      </c>
      <c r="G20" s="180" t="s">
        <v>9605</v>
      </c>
      <c r="H20" s="180" t="s">
        <v>888</v>
      </c>
      <c r="I20" s="179"/>
      <c r="J20" s="186" t="s">
        <v>132</v>
      </c>
      <c r="K20" s="82" t="s">
        <v>133</v>
      </c>
      <c r="L20" s="82"/>
      <c r="M20" s="164" t="s">
        <v>134</v>
      </c>
      <c r="N20" s="181">
        <v>720</v>
      </c>
      <c r="O20" s="181">
        <v>1782</v>
      </c>
      <c r="P20" s="181">
        <f>PV_DATA[[#This Row],[WATT]]*PV_DATA[[#This Row],[QUANTITY]]/1000000</f>
        <v>1.8</v>
      </c>
      <c r="Q20" s="181">
        <f>PV_DATA[[#This Row],[QUANTITY]]/PV_DATA[[#This Row],[Qty/Pallet]]</f>
        <v>80</v>
      </c>
      <c r="R20" s="181">
        <f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9622</v>
      </c>
      <c r="C22" s="147" t="s">
        <v>1401</v>
      </c>
      <c r="D22" s="147"/>
      <c r="E22" s="180" t="s">
        <v>156</v>
      </c>
      <c r="F22" s="180" t="s">
        <v>9623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9624</v>
      </c>
      <c r="C24" s="147" t="s">
        <v>9625</v>
      </c>
      <c r="D24" s="147"/>
      <c r="E24" s="180" t="s">
        <v>9626</v>
      </c>
      <c r="F24" s="180" t="s">
        <v>9627</v>
      </c>
      <c r="G24" s="180" t="s">
        <v>9628</v>
      </c>
      <c r="H24" s="147" t="s">
        <v>8135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9629</v>
      </c>
      <c r="C26" s="147" t="s">
        <v>538</v>
      </c>
      <c r="D26" s="147"/>
      <c r="E26" s="180" t="s">
        <v>9630</v>
      </c>
      <c r="F26" s="180" t="s">
        <v>9631</v>
      </c>
      <c r="G26" s="180" t="s">
        <v>9605</v>
      </c>
      <c r="H26" s="180" t="s">
        <v>541</v>
      </c>
      <c r="I26" s="179"/>
    </row>
    <row r="27" spans="1:18">
      <c r="A27" s="180"/>
      <c r="B27" s="263" t="s">
        <v>9629</v>
      </c>
      <c r="C27" s="180"/>
      <c r="D27" s="180"/>
      <c r="E27" s="180"/>
      <c r="F27" s="180" t="s">
        <v>9632</v>
      </c>
      <c r="G27" s="180" t="s">
        <v>9633</v>
      </c>
      <c r="H27" s="180"/>
      <c r="I27" s="179"/>
    </row>
    <row r="28" spans="1:18">
      <c r="A28" s="180"/>
      <c r="B28" s="263" t="s">
        <v>9629</v>
      </c>
      <c r="C28" s="180"/>
      <c r="D28" s="180"/>
      <c r="E28" s="180"/>
      <c r="F28" s="180" t="s">
        <v>9634</v>
      </c>
      <c r="G28" s="180"/>
      <c r="H28" s="180"/>
      <c r="I28" s="179"/>
    </row>
    <row r="33" spans="1:19">
      <c r="A33" s="233">
        <v>46058</v>
      </c>
      <c r="B33" s="266" t="s">
        <v>9635</v>
      </c>
      <c r="C33" s="147" t="s">
        <v>9636</v>
      </c>
      <c r="D33" s="147"/>
      <c r="E33" s="180" t="s">
        <v>402</v>
      </c>
      <c r="F33" s="180" t="s">
        <v>9637</v>
      </c>
      <c r="G33" s="180"/>
      <c r="H33" s="180" t="s">
        <v>8135</v>
      </c>
      <c r="I33" s="179"/>
      <c r="J33" s="160" t="s">
        <v>713</v>
      </c>
      <c r="K33" s="160" t="s">
        <v>1628</v>
      </c>
      <c r="L33" s="160"/>
      <c r="M33" s="181" t="s">
        <v>1629</v>
      </c>
      <c r="N33" s="234">
        <v>630</v>
      </c>
      <c r="O33" s="234">
        <v>108</v>
      </c>
      <c r="P33" s="82">
        <f>PV_DATA[[#This Row],[WATT]]*PV_DATA[[#This Row],[QUANTITY]]/1000000</f>
        <v>1.3593599999999999</v>
      </c>
      <c r="Q33" s="203">
        <f>PV_DATA[[#This Row],[QUANTITY]]/PV_DATA[[#This Row],[Qty/Pallet]]</f>
        <v>59</v>
      </c>
      <c r="R33" s="203">
        <f>PV_DATA[[#This Row],[QUANTITY]]/PV_DATA[[#This Row],[Qty/CT]]</f>
        <v>3.6875</v>
      </c>
    </row>
    <row r="34" spans="1:19">
      <c r="A34" s="233">
        <v>46058</v>
      </c>
      <c r="B34" s="266" t="s">
        <v>9638</v>
      </c>
      <c r="C34" s="147" t="s">
        <v>9639</v>
      </c>
      <c r="D34" s="147"/>
      <c r="E34" s="180" t="s">
        <v>402</v>
      </c>
      <c r="F34" s="180" t="s">
        <v>9637</v>
      </c>
      <c r="G34" s="180"/>
      <c r="H34" s="180" t="s">
        <v>8135</v>
      </c>
      <c r="I34" s="179"/>
      <c r="J34" s="160" t="s">
        <v>713</v>
      </c>
      <c r="K34" s="160" t="s">
        <v>714</v>
      </c>
      <c r="L34" s="160"/>
      <c r="M34" s="181" t="s">
        <v>1173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9640</v>
      </c>
      <c r="C36" s="147" t="s">
        <v>883</v>
      </c>
      <c r="D36" s="147"/>
      <c r="E36" s="180" t="s">
        <v>402</v>
      </c>
      <c r="F36" s="180" t="s">
        <v>9641</v>
      </c>
      <c r="G36" s="180" t="s">
        <v>9605</v>
      </c>
      <c r="H36" s="180" t="s">
        <v>888</v>
      </c>
      <c r="I36" s="180"/>
      <c r="J36" s="160" t="s">
        <v>70</v>
      </c>
      <c r="K36" s="160" t="s">
        <v>885</v>
      </c>
      <c r="L36" s="160"/>
      <c r="M36" s="181" t="s">
        <v>886</v>
      </c>
      <c r="N36" s="234">
        <v>615</v>
      </c>
      <c r="O36" s="234" cm="1">
        <f t="array" ref="O36">2880-fx_qty</f>
        <v>2880</v>
      </c>
      <c r="P36" s="82">
        <f>PV_DATA[[#This Row],[WATT]]*PV_DATA[[#This Row],[QUANTITY]]/1000000</f>
        <v>0.44252000000000002</v>
      </c>
      <c r="Q36" s="203">
        <f>PV_DATA[[#This Row],[QUANTITY]]/PV_DATA[[#This Row],[Qty/Pallet]]</f>
        <v>26</v>
      </c>
      <c r="R36" s="203">
        <f>PV_DATA[[#This Row],[QUANTITY]]/PV_DATA[[#This Row],[Qty/CT]]</f>
        <v>1</v>
      </c>
      <c r="S36" s="160" t="s">
        <v>9642</v>
      </c>
    </row>
    <row r="39" spans="1:19" ht="39">
      <c r="A39" s="233">
        <v>46077</v>
      </c>
      <c r="B39" s="267" t="s">
        <v>9643</v>
      </c>
      <c r="C39" s="147" t="s">
        <v>9644</v>
      </c>
      <c r="D39" s="147"/>
      <c r="E39" s="147" t="s">
        <v>402</v>
      </c>
      <c r="F39" s="180" t="s">
        <v>9645</v>
      </c>
      <c r="G39" s="180" t="s">
        <v>9605</v>
      </c>
      <c r="H39" s="180" t="s">
        <v>9646</v>
      </c>
    </row>
    <row r="41" spans="1:19">
      <c r="A41" s="233">
        <v>46078</v>
      </c>
      <c r="B41" s="263" t="s">
        <v>9647</v>
      </c>
      <c r="C41" s="147" t="s">
        <v>9648</v>
      </c>
      <c r="D41" s="147"/>
      <c r="E41" s="147" t="s">
        <v>402</v>
      </c>
      <c r="F41" s="180" t="s">
        <v>9649</v>
      </c>
    </row>
    <row r="56" spans="1:35" ht="40.5">
      <c r="A56" s="233">
        <v>46078</v>
      </c>
      <c r="B56" s="267" t="s">
        <v>9650</v>
      </c>
      <c r="C56" s="147" t="s">
        <v>9651</v>
      </c>
      <c r="D56" s="147" t="s">
        <v>9652</v>
      </c>
      <c r="E56" s="147" t="s">
        <v>9613</v>
      </c>
      <c r="F56" s="274" t="s">
        <v>9653</v>
      </c>
      <c r="G56" s="180" t="s">
        <v>9633</v>
      </c>
      <c r="H56" s="180" t="s">
        <v>9646</v>
      </c>
      <c r="I56" s="180"/>
      <c r="J56" s="160" t="s">
        <v>132</v>
      </c>
      <c r="K56" s="160" t="s">
        <v>133</v>
      </c>
      <c r="L56" s="160"/>
      <c r="M56" s="181" t="s">
        <v>134</v>
      </c>
      <c r="N56" s="234">
        <v>720</v>
      </c>
      <c r="O56" s="234">
        <f>594*7</f>
        <v>4158</v>
      </c>
      <c r="P56" s="82">
        <f>PV_DATA[[#This Row],[WATT]]*PV_DATA[[#This Row],[QUANTITY]]/1000000</f>
        <v>1.2052799999999999</v>
      </c>
      <c r="Q56" s="203">
        <f>PV_DATA[[#This Row],[QUANTITY]]/PV_DATA[[#This Row],[Qty/Pallet]]</f>
        <v>72</v>
      </c>
      <c r="R56" s="203">
        <f>PV_DATA[[#This Row],[QUANTITY]]/PV_DATA[[#This Row],[Qty/CT]]</f>
        <v>3</v>
      </c>
    </row>
    <row r="58" spans="1:35" ht="50.5">
      <c r="A58" s="233">
        <v>46079</v>
      </c>
      <c r="B58" s="267" t="s">
        <v>9654</v>
      </c>
      <c r="C58" s="147" t="s">
        <v>9655</v>
      </c>
      <c r="D58" s="147"/>
      <c r="E58" s="147" t="s">
        <v>9613</v>
      </c>
      <c r="F58" s="252" t="s">
        <v>9656</v>
      </c>
      <c r="G58" s="180" t="s">
        <v>9633</v>
      </c>
      <c r="H58" s="180" t="s">
        <v>9646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9657</v>
      </c>
      <c r="C60" s="147" t="s">
        <v>9658</v>
      </c>
      <c r="D60" s="147"/>
      <c r="E60" s="147" t="s">
        <v>402</v>
      </c>
      <c r="F60" s="180" t="s">
        <v>9659</v>
      </c>
      <c r="G60" s="180" t="s">
        <v>9633</v>
      </c>
      <c r="H60" s="180" t="s">
        <v>9646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9660</v>
      </c>
      <c r="C62" s="147" t="s">
        <v>9661</v>
      </c>
      <c r="D62" s="147"/>
      <c r="E62" s="147" t="s">
        <v>9662</v>
      </c>
      <c r="F62" s="180" t="s">
        <v>9663</v>
      </c>
      <c r="G62" s="180" t="s">
        <v>9605</v>
      </c>
      <c r="H62" s="180" t="s">
        <v>888</v>
      </c>
      <c r="I62" s="180"/>
      <c r="J62" s="170" t="s">
        <v>70</v>
      </c>
      <c r="K62" s="170" t="s">
        <v>1151</v>
      </c>
      <c r="L62" s="170"/>
      <c r="M62" s="170" t="s">
        <v>421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">
      <c r="E63" s="280" t="s">
        <v>9664</v>
      </c>
    </row>
    <row r="64" spans="1:35">
      <c r="A64" s="233">
        <v>46092</v>
      </c>
      <c r="B64" s="263"/>
      <c r="C64" s="147" t="s">
        <v>9665</v>
      </c>
      <c r="D64" s="147"/>
      <c r="E64" s="147"/>
      <c r="F64" s="180" t="s">
        <v>9666</v>
      </c>
      <c r="G64" s="180" t="s">
        <v>9605</v>
      </c>
      <c r="H64" s="158" t="s">
        <v>1756</v>
      </c>
      <c r="I64" s="275" t="s">
        <v>1757</v>
      </c>
      <c r="J64" s="240" t="str">
        <f>IFERROR(LEFT(PV_DATA[[#This Row],[TCL REFERENCE]],FIND(".",PV_DATA[[#This Row],[TCL REFERENCE]],1)-1),"Main Line")</f>
        <v>DEC018</v>
      </c>
      <c r="K64" s="158" t="s">
        <v>63</v>
      </c>
      <c r="L64" s="157" t="s">
        <v>144</v>
      </c>
      <c r="M64" s="158" t="s">
        <v>1758</v>
      </c>
      <c r="N64" s="158" t="s">
        <v>689</v>
      </c>
      <c r="O64" s="158"/>
      <c r="P64" s="157"/>
      <c r="Q64" s="238" t="s">
        <v>9667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 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70</v>
      </c>
      <c r="U64" s="158" t="s">
        <v>71</v>
      </c>
      <c r="V64" s="158"/>
      <c r="W64" s="158" t="s">
        <v>72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9668</v>
      </c>
      <c r="AD64" s="279" t="s">
        <v>1760</v>
      </c>
      <c r="AE64" s="159"/>
      <c r="AF64" s="272">
        <f>IF(PV_DATA[[#This Row],[Pick- Up Date]]&lt;&gt;"",_xlfn.ISOWEEKNUM(PV_DATA[[#This Row],[Pick- Up Date]]),"")</f>
        <v>3</v>
      </c>
      <c r="AG64" s="158"/>
      <c r="AH64" s="275" t="s">
        <v>1757</v>
      </c>
      <c r="AI64" s="158" t="s">
        <v>888</v>
      </c>
    </row>
    <row r="65" spans="1:35">
      <c r="H65" s="240" t="s">
        <v>2027</v>
      </c>
      <c r="I65" s="277" t="s">
        <v>1757</v>
      </c>
      <c r="J65" s="240" t="str">
        <f>IFERROR(LEFT(PV_DATA[[#This Row],[TCL REFERENCE]],FIND(".",PV_DATA[[#This Row],[TCL REFERENCE]],1)-1),"Main Line")</f>
        <v>DEC021</v>
      </c>
      <c r="K65" s="240" t="s">
        <v>63</v>
      </c>
      <c r="L65" s="250" t="s">
        <v>144</v>
      </c>
      <c r="M65" s="240" t="s">
        <v>1758</v>
      </c>
      <c r="N65" s="240" t="s">
        <v>689</v>
      </c>
      <c r="O65" s="240"/>
      <c r="P65" s="250"/>
      <c r="Q65" s="283" t="s">
        <v>9667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 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70</v>
      </c>
      <c r="U65" s="240" t="s">
        <v>71</v>
      </c>
      <c r="V65" s="240"/>
      <c r="W65" s="240" t="s">
        <v>72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9668</v>
      </c>
      <c r="AD65" s="279" t="s">
        <v>2029</v>
      </c>
      <c r="AE65" s="242"/>
      <c r="AF65" s="251">
        <f>IF(PV_DATA[[#This Row],[Pick- Up Date]]&lt;&gt;"",_xlfn.ISOWEEKNUM(PV_DATA[[#This Row],[Pick- Up Date]]),"")</f>
        <v>4</v>
      </c>
      <c r="AG65" s="240"/>
      <c r="AH65" s="277" t="s">
        <v>1757</v>
      </c>
      <c r="AI65" s="240" t="s">
        <v>888</v>
      </c>
    </row>
    <row r="66" spans="1:35">
      <c r="A66" s="233">
        <v>46092</v>
      </c>
      <c r="B66" s="263"/>
      <c r="C66" s="147" t="s">
        <v>589</v>
      </c>
      <c r="D66" s="147"/>
      <c r="E66" s="147"/>
      <c r="F66" s="180" t="s">
        <v>9669</v>
      </c>
    </row>
    <row r="69" spans="1:35" ht="14">
      <c r="A69" s="233">
        <v>46299</v>
      </c>
      <c r="B69" s="263"/>
      <c r="C69" s="147" t="s">
        <v>9670</v>
      </c>
      <c r="D69" s="280" t="s">
        <v>9671</v>
      </c>
    </row>
    <row r="70" spans="1:35" ht="14">
      <c r="C70" s="228"/>
      <c r="D70" s="280" t="s">
        <v>9672</v>
      </c>
    </row>
    <row r="71" spans="1:35" ht="14">
      <c r="C71" s="228"/>
      <c r="D71" s="280" t="s">
        <v>9673</v>
      </c>
    </row>
    <row r="72" spans="1:35" ht="14">
      <c r="C72" s="228"/>
      <c r="D72" s="280" t="s">
        <v>9674</v>
      </c>
    </row>
    <row r="73" spans="1:35" ht="14">
      <c r="C73" s="228"/>
      <c r="D73" s="280" t="s">
        <v>9675</v>
      </c>
    </row>
    <row r="74" spans="1:35" ht="14">
      <c r="C74" s="228"/>
      <c r="D74" s="280" t="s">
        <v>9676</v>
      </c>
    </row>
    <row r="75" spans="1:35" ht="14">
      <c r="C75" s="280" t="s">
        <v>9664</v>
      </c>
    </row>
    <row r="79" spans="1:35">
      <c r="A79" s="233">
        <v>46136</v>
      </c>
      <c r="B79" s="263" t="s">
        <v>9677</v>
      </c>
      <c r="C79" s="147" t="s">
        <v>9678</v>
      </c>
      <c r="D79" s="147" t="s">
        <v>9679</v>
      </c>
    </row>
    <row r="80" spans="1:35">
      <c r="C80" s="147" t="s">
        <v>9680</v>
      </c>
      <c r="D80" s="147" t="s">
        <v>9681</v>
      </c>
    </row>
    <row r="81" spans="1:6">
      <c r="B81" s="352"/>
      <c r="C81" s="228"/>
      <c r="D81" s="147" t="s">
        <v>9682</v>
      </c>
    </row>
    <row r="82" spans="1:6">
      <c r="B82" s="352"/>
      <c r="C82" s="228"/>
      <c r="D82" s="147" t="s">
        <v>9683</v>
      </c>
    </row>
    <row r="83" spans="1:6">
      <c r="B83" s="352"/>
      <c r="C83" s="228"/>
      <c r="D83" s="23"/>
    </row>
    <row r="84" spans="1:6">
      <c r="B84" s="352"/>
    </row>
    <row r="85" spans="1:6">
      <c r="B85" s="352"/>
    </row>
    <row r="86" spans="1:6">
      <c r="B86" s="352"/>
    </row>
    <row r="87" spans="1:6">
      <c r="B87" s="352"/>
    </row>
    <row r="88" spans="1:6">
      <c r="A88" s="233">
        <v>46147</v>
      </c>
      <c r="B88" s="364" t="s">
        <v>9684</v>
      </c>
      <c r="C88" s="147" t="s">
        <v>9685</v>
      </c>
      <c r="D88" s="355">
        <v>1</v>
      </c>
      <c r="E88" s="356" t="s">
        <v>9686</v>
      </c>
      <c r="F88" s="179"/>
    </row>
    <row r="89" spans="1:6">
      <c r="B89" s="352"/>
      <c r="D89" s="355">
        <v>2</v>
      </c>
      <c r="E89" s="356" t="s">
        <v>9687</v>
      </c>
      <c r="F89" s="179"/>
    </row>
    <row r="90" spans="1:6">
      <c r="B90" s="352"/>
      <c r="D90" s="355">
        <v>3</v>
      </c>
      <c r="E90" s="356" t="s">
        <v>9688</v>
      </c>
      <c r="F90" s="179"/>
    </row>
    <row r="91" spans="1:6">
      <c r="B91" s="352"/>
      <c r="D91" s="355">
        <v>4</v>
      </c>
      <c r="E91" s="356" t="s">
        <v>9689</v>
      </c>
      <c r="F91" s="179"/>
    </row>
    <row r="92" spans="1:6">
      <c r="B92" s="352"/>
      <c r="D92" s="355">
        <v>5</v>
      </c>
      <c r="E92" s="356" t="s">
        <v>9690</v>
      </c>
      <c r="F92" s="179"/>
    </row>
    <row r="93" spans="1:6">
      <c r="B93" s="352"/>
      <c r="D93" s="355">
        <v>6</v>
      </c>
      <c r="E93" s="356" t="s">
        <v>9691</v>
      </c>
      <c r="F93" s="179"/>
    </row>
    <row r="94" spans="1:6">
      <c r="B94" s="352"/>
    </row>
    <row r="95" spans="1:6">
      <c r="B95" s="352"/>
      <c r="D95" s="355">
        <v>7</v>
      </c>
      <c r="E95" s="356" t="s">
        <v>9692</v>
      </c>
      <c r="F95" s="179"/>
    </row>
    <row r="96" spans="1:6" ht="14">
      <c r="B96" s="352"/>
      <c r="E96" s="280" t="s">
        <v>9664</v>
      </c>
    </row>
    <row r="97" spans="1:4">
      <c r="B97" s="352"/>
    </row>
    <row r="98" spans="1:4">
      <c r="B98" s="352"/>
    </row>
    <row r="99" spans="1:4">
      <c r="A99" s="233">
        <v>46153</v>
      </c>
      <c r="B99" s="113" t="s">
        <v>9693</v>
      </c>
      <c r="C99" s="147" t="s">
        <v>9694</v>
      </c>
      <c r="D99" s="147" t="s">
        <v>9695</v>
      </c>
    </row>
    <row r="100" spans="1:4">
      <c r="B100" s="352"/>
      <c r="D100" s="147" t="s">
        <v>4770</v>
      </c>
    </row>
    <row r="101" spans="1:4">
      <c r="B101" s="352"/>
      <c r="D101" s="147" t="s">
        <v>9696</v>
      </c>
    </row>
    <row r="102" spans="1:4">
      <c r="B102" s="352"/>
    </row>
    <row r="103" spans="1:4">
      <c r="B103" s="352"/>
    </row>
    <row r="104" spans="1:4">
      <c r="B104" s="352"/>
    </row>
    <row r="105" spans="1:4">
      <c r="B105" s="352"/>
    </row>
    <row r="106" spans="1:4">
      <c r="A106" s="233">
        <v>46153</v>
      </c>
      <c r="B106" s="113" t="s">
        <v>9697</v>
      </c>
      <c r="C106" s="147" t="s">
        <v>538</v>
      </c>
      <c r="D106" s="147" t="s">
        <v>9698</v>
      </c>
    </row>
    <row r="107" spans="1:4">
      <c r="B107" s="352"/>
      <c r="D107" s="147" t="s">
        <v>9699</v>
      </c>
    </row>
    <row r="108" spans="1:4" ht="14">
      <c r="B108" s="352"/>
      <c r="D108" s="280"/>
    </row>
    <row r="109" spans="1:4">
      <c r="A109" s="233">
        <v>46153</v>
      </c>
      <c r="B109" s="113" t="s">
        <v>9700</v>
      </c>
      <c r="C109" s="147" t="s">
        <v>9701</v>
      </c>
      <c r="D109" s="147" t="s">
        <v>9664</v>
      </c>
    </row>
    <row r="110" spans="1:4">
      <c r="B110" s="352"/>
      <c r="D110" s="147" t="s">
        <v>9702</v>
      </c>
    </row>
    <row r="111" spans="1:4">
      <c r="B111" s="352"/>
      <c r="D111" s="147" t="s">
        <v>9703</v>
      </c>
    </row>
    <row r="112" spans="1:4">
      <c r="D112" s="147" t="s">
        <v>9704</v>
      </c>
    </row>
    <row r="113" spans="1:13" ht="14">
      <c r="D113" s="280"/>
    </row>
    <row r="114" spans="1:13" ht="14">
      <c r="D114" s="280"/>
    </row>
    <row r="115" spans="1:13" ht="14">
      <c r="D115" s="280"/>
    </row>
    <row r="116" spans="1:13">
      <c r="A116" s="233">
        <v>46164</v>
      </c>
      <c r="B116" s="113"/>
      <c r="C116" s="147" t="s">
        <v>9705</v>
      </c>
      <c r="D116" s="389" t="s">
        <v>9706</v>
      </c>
      <c r="E116" s="390" t="s">
        <v>9707</v>
      </c>
      <c r="F116" s="390" t="s">
        <v>9708</v>
      </c>
      <c r="G116" s="390" t="s">
        <v>9709</v>
      </c>
      <c r="H116" s="390" t="s">
        <v>2502</v>
      </c>
      <c r="I116" s="390" t="s">
        <v>19</v>
      </c>
      <c r="J116" s="390" t="s">
        <v>20</v>
      </c>
      <c r="K116" s="390" t="s">
        <v>9710</v>
      </c>
      <c r="L116" s="390" t="s">
        <v>9711</v>
      </c>
      <c r="M116" s="390" t="s">
        <v>9712</v>
      </c>
    </row>
    <row r="117" spans="1:13">
      <c r="C117" s="400" t="s">
        <v>9713</v>
      </c>
      <c r="D117" s="391" t="s">
        <v>2716</v>
      </c>
      <c r="E117" s="392" t="s">
        <v>9714</v>
      </c>
      <c r="F117" s="393" t="s">
        <v>5358</v>
      </c>
      <c r="G117" s="392" t="s">
        <v>706</v>
      </c>
      <c r="H117" s="392" t="s">
        <v>9715</v>
      </c>
      <c r="I117" s="392">
        <v>500</v>
      </c>
      <c r="J117" s="392">
        <v>864</v>
      </c>
      <c r="K117" s="392">
        <v>1</v>
      </c>
      <c r="L117" s="394">
        <v>46237</v>
      </c>
      <c r="M117" s="392" t="s">
        <v>146</v>
      </c>
    </row>
    <row r="118" spans="1:13">
      <c r="D118" s="391" t="s">
        <v>2716</v>
      </c>
      <c r="E118" s="392" t="s">
        <v>9716</v>
      </c>
      <c r="F118" s="392" t="s">
        <v>5368</v>
      </c>
      <c r="G118" s="392" t="s">
        <v>706</v>
      </c>
      <c r="H118" s="392" t="s">
        <v>9715</v>
      </c>
      <c r="I118" s="392">
        <v>500</v>
      </c>
      <c r="J118" s="392">
        <v>864</v>
      </c>
      <c r="K118" s="392">
        <v>1</v>
      </c>
      <c r="L118" s="394">
        <v>46239</v>
      </c>
      <c r="M118" s="392" t="s">
        <v>146</v>
      </c>
    </row>
    <row r="119" spans="1:13">
      <c r="D119" s="391" t="s">
        <v>2716</v>
      </c>
      <c r="E119" s="392" t="s">
        <v>9717</v>
      </c>
      <c r="F119" s="392" t="s">
        <v>5468</v>
      </c>
      <c r="G119" s="392" t="s">
        <v>706</v>
      </c>
      <c r="H119" s="392" t="s">
        <v>9715</v>
      </c>
      <c r="I119" s="392">
        <v>500</v>
      </c>
      <c r="J119" s="392">
        <v>864</v>
      </c>
      <c r="K119" s="392">
        <v>1</v>
      </c>
      <c r="L119" s="394">
        <v>46241</v>
      </c>
      <c r="M119" s="392" t="s">
        <v>146</v>
      </c>
    </row>
    <row r="120" spans="1:13">
      <c r="D120" s="391" t="s">
        <v>2716</v>
      </c>
      <c r="E120" s="392" t="s">
        <v>9718</v>
      </c>
      <c r="F120" s="392" t="s">
        <v>5474</v>
      </c>
      <c r="G120" s="392" t="s">
        <v>706</v>
      </c>
      <c r="H120" s="392" t="s">
        <v>9715</v>
      </c>
      <c r="I120" s="392">
        <v>500</v>
      </c>
      <c r="J120" s="392">
        <v>864</v>
      </c>
      <c r="K120" s="392">
        <v>1</v>
      </c>
      <c r="L120" s="394">
        <v>46258</v>
      </c>
      <c r="M120" s="392" t="s">
        <v>146</v>
      </c>
    </row>
    <row r="121" spans="1:13">
      <c r="D121" s="391" t="s">
        <v>2716</v>
      </c>
      <c r="E121" s="392" t="s">
        <v>9719</v>
      </c>
      <c r="F121" s="392" t="s">
        <v>5477</v>
      </c>
      <c r="G121" s="392" t="s">
        <v>706</v>
      </c>
      <c r="H121" s="392" t="s">
        <v>9715</v>
      </c>
      <c r="I121" s="392">
        <v>500</v>
      </c>
      <c r="J121" s="392">
        <v>864</v>
      </c>
      <c r="K121" s="392">
        <v>1</v>
      </c>
      <c r="L121" s="394">
        <v>46258</v>
      </c>
      <c r="M121" s="392" t="s">
        <v>146</v>
      </c>
    </row>
    <row r="122" spans="1:13">
      <c r="D122" s="391" t="s">
        <v>2716</v>
      </c>
      <c r="E122" s="392" t="s">
        <v>9720</v>
      </c>
      <c r="F122" s="392" t="s">
        <v>5363</v>
      </c>
      <c r="G122" s="392" t="s">
        <v>706</v>
      </c>
      <c r="H122" s="392" t="s">
        <v>9715</v>
      </c>
      <c r="I122" s="392">
        <v>500</v>
      </c>
      <c r="J122" s="392">
        <v>864</v>
      </c>
      <c r="K122" s="392">
        <v>1</v>
      </c>
      <c r="L122" s="394">
        <v>46260</v>
      </c>
      <c r="M122" s="392" t="s">
        <v>146</v>
      </c>
    </row>
    <row r="123" spans="1:13">
      <c r="D123" s="391" t="s">
        <v>2716</v>
      </c>
      <c r="E123" s="392" t="s">
        <v>9721</v>
      </c>
      <c r="F123" s="392" t="s">
        <v>5480</v>
      </c>
      <c r="G123" s="392" t="s">
        <v>706</v>
      </c>
      <c r="H123" s="392" t="s">
        <v>9715</v>
      </c>
      <c r="I123" s="392">
        <v>500</v>
      </c>
      <c r="J123" s="392">
        <v>864</v>
      </c>
      <c r="K123" s="392">
        <v>1</v>
      </c>
      <c r="L123" s="394">
        <v>46262</v>
      </c>
      <c r="M123" s="392" t="s">
        <v>146</v>
      </c>
    </row>
    <row r="124" spans="1:13">
      <c r="D124" s="391" t="s">
        <v>2716</v>
      </c>
      <c r="E124" s="392" t="s">
        <v>9722</v>
      </c>
      <c r="F124" s="392" t="s">
        <v>5320</v>
      </c>
      <c r="G124" s="392" t="s">
        <v>706</v>
      </c>
      <c r="H124" s="392" t="s">
        <v>9715</v>
      </c>
      <c r="I124" s="392">
        <v>500</v>
      </c>
      <c r="J124" s="392">
        <v>864</v>
      </c>
      <c r="K124" s="392">
        <v>1</v>
      </c>
      <c r="L124" s="394">
        <v>46237</v>
      </c>
      <c r="M124" s="392" t="s">
        <v>146</v>
      </c>
    </row>
    <row r="129" spans="1:4">
      <c r="A129" s="233">
        <v>46168</v>
      </c>
      <c r="B129" s="113" t="s">
        <v>9723</v>
      </c>
      <c r="C129" s="147" t="s">
        <v>9724</v>
      </c>
      <c r="D129" s="147" t="s">
        <v>9725</v>
      </c>
    </row>
    <row r="133" spans="1:4">
      <c r="A133" s="233">
        <v>46170</v>
      </c>
      <c r="B133" s="113"/>
      <c r="C133" s="147" t="s">
        <v>9726</v>
      </c>
      <c r="D133" s="147" t="s">
        <v>9727</v>
      </c>
    </row>
    <row r="136" spans="1:4">
      <c r="A136" s="233">
        <v>46175</v>
      </c>
      <c r="B136" s="113" t="s">
        <v>9728</v>
      </c>
      <c r="C136" s="147" t="s">
        <v>9670</v>
      </c>
      <c r="D136" s="147" t="s">
        <v>9729</v>
      </c>
    </row>
    <row r="139" spans="1:4">
      <c r="A139" s="233">
        <v>46175</v>
      </c>
      <c r="B139" s="113"/>
      <c r="C139" s="147" t="s">
        <v>9730</v>
      </c>
      <c r="D139" s="147" t="s">
        <v>9731</v>
      </c>
    </row>
    <row r="140" spans="1:4">
      <c r="C140" s="228"/>
      <c r="D140" s="147" t="s">
        <v>9732</v>
      </c>
    </row>
    <row r="143" spans="1:4">
      <c r="A143" s="233">
        <v>46177</v>
      </c>
      <c r="B143" s="113"/>
      <c r="C143" s="147" t="s">
        <v>9733</v>
      </c>
      <c r="D143" s="147" t="s">
        <v>9734</v>
      </c>
    </row>
    <row r="146" spans="1:4">
      <c r="A146" s="233">
        <v>46177</v>
      </c>
      <c r="B146" s="113"/>
      <c r="C146" s="147"/>
      <c r="D146" s="147" t="s">
        <v>9735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50" priority="4"/>
  </conditionalFormatting>
  <conditionalFormatting sqref="Q64:Q65">
    <cfRule type="cellIs" dxfId="49" priority="2" operator="equal">
      <formula>"Yes"</formula>
    </cfRule>
    <cfRule type="cellIs" dxfId="48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sheetPr>
    <tabColor rgb="FFEBCDF7"/>
  </sheetPr>
  <dimension ref="B4:D21"/>
  <sheetViews>
    <sheetView workbookViewId="0">
      <selection activeCell="D23" sqref="D23"/>
    </sheetView>
  </sheetViews>
  <sheetFormatPr defaultColWidth="9" defaultRowHeight="12" customHeight="1"/>
  <cols>
    <col min="2" max="2" width="12.59765625" customWidth="1"/>
    <col min="3" max="3" width="40.3984375" customWidth="1"/>
    <col min="4" max="4" width="88.8984375" bestFit="1" customWidth="1"/>
  </cols>
  <sheetData>
    <row r="4" spans="2:4" ht="13">
      <c r="B4" s="417" t="s">
        <v>42</v>
      </c>
      <c r="C4" s="417" t="s">
        <v>9736</v>
      </c>
      <c r="D4" s="417" t="s">
        <v>9737</v>
      </c>
    </row>
    <row r="5" spans="2:4" ht="19.5" customHeight="1">
      <c r="B5" s="1013" t="s">
        <v>80</v>
      </c>
      <c r="C5" s="1183" t="s">
        <v>5731</v>
      </c>
      <c r="D5" s="1013" t="s">
        <v>9738</v>
      </c>
    </row>
    <row r="6" spans="2:4" ht="19.5" customHeight="1">
      <c r="B6" s="1013" t="s">
        <v>9739</v>
      </c>
      <c r="C6" s="1183">
        <v>274946111</v>
      </c>
      <c r="D6" s="1013" t="s">
        <v>9740</v>
      </c>
    </row>
    <row r="7" spans="2:4" ht="19.5" customHeight="1">
      <c r="B7" s="1013" t="s">
        <v>9741</v>
      </c>
      <c r="C7" s="1183" t="s">
        <v>5797</v>
      </c>
      <c r="D7" s="1013" t="s">
        <v>9742</v>
      </c>
    </row>
    <row r="8" spans="2:4" ht="19.5" customHeight="1">
      <c r="B8" s="1013" t="s">
        <v>9743</v>
      </c>
      <c r="C8" s="1183" t="s">
        <v>9744</v>
      </c>
      <c r="D8" s="1013" t="s">
        <v>9745</v>
      </c>
    </row>
    <row r="9" spans="2:4" ht="19.5" customHeight="1">
      <c r="B9" s="1013" t="s">
        <v>9746</v>
      </c>
      <c r="C9" s="1183" t="s">
        <v>5755</v>
      </c>
      <c r="D9" s="1013" t="s">
        <v>9747</v>
      </c>
    </row>
    <row r="10" spans="2:4" ht="19.5" customHeight="1">
      <c r="B10" s="1013" t="s">
        <v>9748</v>
      </c>
      <c r="C10" s="1183" t="s">
        <v>9749</v>
      </c>
      <c r="D10" s="1014" t="s">
        <v>9750</v>
      </c>
    </row>
    <row r="11" spans="2:4" ht="30" customHeight="1">
      <c r="B11" s="1183" t="s">
        <v>9751</v>
      </c>
      <c r="C11" s="1184" t="s">
        <v>9752</v>
      </c>
      <c r="D11" s="1186" t="s">
        <v>9753</v>
      </c>
    </row>
    <row r="12" spans="2:4" ht="50.25" customHeight="1">
      <c r="B12" s="1013" t="s">
        <v>9754</v>
      </c>
      <c r="C12" s="1185" t="s">
        <v>9755</v>
      </c>
      <c r="D12" s="1188" t="s">
        <v>9756</v>
      </c>
    </row>
    <row r="13" spans="2:4" ht="22.5" customHeight="1">
      <c r="B13" s="1013" t="s">
        <v>9757</v>
      </c>
      <c r="C13" s="1183"/>
      <c r="D13" s="1013" t="s">
        <v>9758</v>
      </c>
    </row>
    <row r="14" spans="2:4" ht="16.5" customHeight="1">
      <c r="B14" s="1013"/>
      <c r="C14" s="1013"/>
      <c r="D14" s="1187"/>
    </row>
    <row r="15" spans="2:4" ht="16.5" customHeight="1">
      <c r="B15" s="1013"/>
      <c r="C15" s="1013"/>
      <c r="D15" s="1013"/>
    </row>
    <row r="16" spans="2:4" ht="13">
      <c r="B16" s="1013"/>
      <c r="C16" s="1013"/>
      <c r="D16" s="1013"/>
    </row>
    <row r="17" spans="2:4" ht="13">
      <c r="B17" s="1013"/>
      <c r="C17" s="1013"/>
      <c r="D17" s="1013"/>
    </row>
    <row r="18" spans="2:4" ht="13">
      <c r="B18" s="1013"/>
      <c r="C18" s="1013"/>
      <c r="D18" s="1013"/>
    </row>
    <row r="19" spans="2:4" ht="13">
      <c r="B19" s="1013"/>
      <c r="C19" s="1013"/>
      <c r="D19" s="1013"/>
    </row>
    <row r="20" spans="2:4" ht="13">
      <c r="B20" s="1013"/>
      <c r="C20" s="1013"/>
      <c r="D20" s="1013"/>
    </row>
    <row r="21" spans="2:4" ht="13"/>
  </sheetData>
  <protectedRanges>
    <protectedRange sqref="B4:D4" name="PV_Data"/>
    <protectedRange sqref="B5:C5" name="PV_Data_1"/>
    <protectedRange sqref="C11" name="PV_Data_2"/>
    <protectedRange sqref="C9" name="PV_Data_3"/>
  </protectedRanges>
  <phoneticPr fontId="64" type="noConversion"/>
  <dataValidations count="1">
    <dataValidation allowBlank="1" showInputMessage="1" showErrorMessage="1" sqref="B4:C5 D4 C9 C11" xr:uid="{1BAA5E2B-C6AF-406D-941B-BC20F1F43DD8}"/>
  </dataValidations>
  <hyperlinks>
    <hyperlink ref="D6" r:id="rId1" xr:uid="{65FCC60D-A740-44D2-92E7-271951283754}"/>
    <hyperlink ref="D7" r:id="rId2" xr:uid="{ECF3425B-FDE6-4E9D-BC49-241E666BF7A0}"/>
    <hyperlink ref="D13" r:id="rId3" xr:uid="{B0BC7377-CBF7-40BE-8461-2636A3F1EED2}"/>
    <hyperlink ref="D8" r:id="rId4" xr:uid="{220D86CD-38F5-46C1-A873-1B4904F2DD01}"/>
    <hyperlink ref="D11" r:id="rId5" xr:uid="{62E04404-474C-4151-94FC-542DCCA09C45}"/>
    <hyperlink ref="D9" r:id="rId6" xr:uid="{78201BA5-B618-4D60-A35A-BAEB7E2BC92C}"/>
    <hyperlink ref="D10" r:id="rId7" xr:uid="{D4392F43-22FA-4ED8-BE4F-81BAFB01C2EA}"/>
    <hyperlink ref="D12" r:id="rId8" xr:uid="{1F6E62E8-C727-437B-8BA9-87A378282AAB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ColWidth="9" defaultRowHeight="13"/>
  <cols>
    <col min="1" max="1" width="21" bestFit="1" customWidth="1"/>
    <col min="2" max="2" width="11.8984375" bestFit="1" customWidth="1"/>
    <col min="3" max="11" width="13.796875" bestFit="1" customWidth="1"/>
    <col min="12" max="12" width="6.8984375" bestFit="1" customWidth="1"/>
    <col min="13" max="18" width="13.8984375" bestFit="1" customWidth="1"/>
  </cols>
  <sheetData>
    <row r="2" spans="1:12">
      <c r="A2" s="171" t="s">
        <v>4</v>
      </c>
      <c r="B2" t="s">
        <v>64</v>
      </c>
    </row>
    <row r="3" spans="1:12">
      <c r="A3" s="171" t="s">
        <v>14</v>
      </c>
      <c r="B3" t="s">
        <v>9759</v>
      </c>
    </row>
    <row r="4" spans="1:12">
      <c r="A4" s="171" t="s">
        <v>7</v>
      </c>
      <c r="B4" t="s">
        <v>9759</v>
      </c>
    </row>
    <row r="5" spans="1:12">
      <c r="A5" s="171" t="s">
        <v>44</v>
      </c>
      <c r="B5" t="s">
        <v>9759</v>
      </c>
    </row>
    <row r="7" spans="1:12">
      <c r="A7" s="171" t="s">
        <v>9760</v>
      </c>
      <c r="B7" s="171" t="s">
        <v>9761</v>
      </c>
    </row>
    <row r="8" spans="1:12">
      <c r="A8" s="171" t="s">
        <v>9762</v>
      </c>
      <c r="B8" t="s">
        <v>7027</v>
      </c>
      <c r="C8" t="s">
        <v>2457</v>
      </c>
      <c r="D8" t="s">
        <v>2458</v>
      </c>
      <c r="E8" t="s">
        <v>2459</v>
      </c>
      <c r="F8" t="s">
        <v>2460</v>
      </c>
      <c r="G8" t="s">
        <v>2461</v>
      </c>
      <c r="H8" t="s">
        <v>2462</v>
      </c>
      <c r="I8" t="s">
        <v>2463</v>
      </c>
      <c r="J8" t="s">
        <v>2464</v>
      </c>
      <c r="K8" t="s">
        <v>2466</v>
      </c>
      <c r="L8" t="s">
        <v>9763</v>
      </c>
    </row>
    <row r="9" spans="1:12">
      <c r="A9" s="360" t="s">
        <v>456</v>
      </c>
      <c r="B9" s="493"/>
      <c r="C9" s="493">
        <v>5</v>
      </c>
      <c r="D9" s="493"/>
      <c r="E9" s="493">
        <v>3</v>
      </c>
      <c r="F9" s="493">
        <v>5</v>
      </c>
      <c r="G9" s="493"/>
      <c r="H9" s="493">
        <v>8</v>
      </c>
      <c r="I9" s="493">
        <v>1</v>
      </c>
      <c r="J9" s="493">
        <v>12</v>
      </c>
      <c r="K9" s="493">
        <v>2</v>
      </c>
      <c r="L9" s="493">
        <v>36</v>
      </c>
    </row>
    <row r="10" spans="1:12">
      <c r="A10" s="488" t="s">
        <v>1525</v>
      </c>
      <c r="B10" s="493"/>
      <c r="C10" s="493"/>
      <c r="D10" s="493"/>
      <c r="E10" s="493"/>
      <c r="F10" s="493"/>
      <c r="G10" s="493"/>
      <c r="H10" s="493">
        <v>2</v>
      </c>
      <c r="I10" s="493"/>
      <c r="J10" s="493">
        <v>8</v>
      </c>
      <c r="K10" s="493"/>
      <c r="L10" s="493">
        <v>10</v>
      </c>
    </row>
    <row r="11" spans="1:12">
      <c r="A11" s="488" t="s">
        <v>123</v>
      </c>
      <c r="B11" s="493"/>
      <c r="C11" s="493">
        <v>3</v>
      </c>
      <c r="D11" s="493"/>
      <c r="E11" s="493">
        <v>1</v>
      </c>
      <c r="F11" s="493">
        <v>5</v>
      </c>
      <c r="G11" s="493"/>
      <c r="H11" s="493">
        <v>5</v>
      </c>
      <c r="I11" s="493">
        <v>1</v>
      </c>
      <c r="J11" s="493">
        <v>4</v>
      </c>
      <c r="K11" s="493"/>
      <c r="L11" s="493">
        <v>19</v>
      </c>
    </row>
    <row r="12" spans="1:12">
      <c r="A12" s="488" t="s">
        <v>61</v>
      </c>
      <c r="B12" s="493"/>
      <c r="C12" s="493">
        <v>2</v>
      </c>
      <c r="D12" s="493"/>
      <c r="E12" s="493">
        <v>2</v>
      </c>
      <c r="F12" s="493"/>
      <c r="G12" s="493"/>
      <c r="H12" s="493">
        <v>1</v>
      </c>
      <c r="I12" s="493"/>
      <c r="J12" s="493"/>
      <c r="K12" s="493">
        <v>2</v>
      </c>
      <c r="L12" s="493">
        <v>7</v>
      </c>
    </row>
    <row r="13" spans="1:12">
      <c r="A13" s="360" t="s">
        <v>78</v>
      </c>
      <c r="B13" s="493">
        <v>0</v>
      </c>
      <c r="C13" s="493">
        <v>37</v>
      </c>
      <c r="D13" s="493">
        <v>14</v>
      </c>
      <c r="E13" s="493">
        <v>21</v>
      </c>
      <c r="F13" s="493">
        <v>21</v>
      </c>
      <c r="G13" s="493">
        <v>21</v>
      </c>
      <c r="H13" s="493">
        <v>37</v>
      </c>
      <c r="I13" s="493">
        <v>23</v>
      </c>
      <c r="J13" s="493">
        <v>14</v>
      </c>
      <c r="K13" s="493">
        <v>19</v>
      </c>
      <c r="L13" s="493">
        <v>207</v>
      </c>
    </row>
    <row r="14" spans="1:12">
      <c r="A14" s="488" t="s">
        <v>1525</v>
      </c>
      <c r="B14" s="493"/>
      <c r="C14" s="493"/>
      <c r="D14" s="493"/>
      <c r="E14" s="493"/>
      <c r="F14" s="493"/>
      <c r="G14" s="493">
        <v>6</v>
      </c>
      <c r="H14" s="493">
        <v>2</v>
      </c>
      <c r="I14" s="493"/>
      <c r="J14" s="493">
        <v>1</v>
      </c>
      <c r="K14" s="493">
        <v>2</v>
      </c>
      <c r="L14" s="493">
        <v>11</v>
      </c>
    </row>
    <row r="15" spans="1:12">
      <c r="A15" s="488" t="s">
        <v>123</v>
      </c>
      <c r="B15" s="493"/>
      <c r="C15" s="493">
        <v>37</v>
      </c>
      <c r="D15" s="493">
        <v>14</v>
      </c>
      <c r="E15" s="493">
        <v>15</v>
      </c>
      <c r="F15" s="493">
        <v>15</v>
      </c>
      <c r="G15" s="493">
        <v>14</v>
      </c>
      <c r="H15" s="493">
        <v>23</v>
      </c>
      <c r="I15" s="493">
        <v>22</v>
      </c>
      <c r="J15" s="493">
        <v>13</v>
      </c>
      <c r="K15" s="493">
        <v>11</v>
      </c>
      <c r="L15" s="493">
        <v>164</v>
      </c>
    </row>
    <row r="16" spans="1:12">
      <c r="A16" s="488" t="s">
        <v>61</v>
      </c>
      <c r="B16" s="493">
        <v>0</v>
      </c>
      <c r="C16" s="493"/>
      <c r="D16" s="493"/>
      <c r="E16" s="493">
        <v>6</v>
      </c>
      <c r="F16" s="493">
        <v>6</v>
      </c>
      <c r="G16" s="493">
        <v>1</v>
      </c>
      <c r="H16" s="493">
        <v>12</v>
      </c>
      <c r="I16" s="493">
        <v>1</v>
      </c>
      <c r="J16" s="493"/>
      <c r="K16" s="493">
        <v>6</v>
      </c>
      <c r="L16" s="493">
        <v>32</v>
      </c>
    </row>
    <row r="17" spans="1:12">
      <c r="A17" s="360" t="s">
        <v>314</v>
      </c>
      <c r="B17" s="493"/>
      <c r="C17" s="493"/>
      <c r="D17" s="493">
        <v>5</v>
      </c>
      <c r="E17" s="493"/>
      <c r="F17" s="493">
        <v>3</v>
      </c>
      <c r="G17" s="493">
        <v>3</v>
      </c>
      <c r="H17" s="493"/>
      <c r="I17" s="493"/>
      <c r="J17" s="493"/>
      <c r="K17" s="493"/>
      <c r="L17" s="493">
        <v>11</v>
      </c>
    </row>
    <row r="18" spans="1:12">
      <c r="A18" s="488" t="s">
        <v>123</v>
      </c>
      <c r="B18" s="493"/>
      <c r="C18" s="493"/>
      <c r="D18" s="493">
        <v>5</v>
      </c>
      <c r="E18" s="493"/>
      <c r="F18" s="493">
        <v>3</v>
      </c>
      <c r="G18" s="493">
        <v>3</v>
      </c>
      <c r="H18" s="493"/>
      <c r="I18" s="493"/>
      <c r="J18" s="493"/>
      <c r="K18" s="493"/>
      <c r="L18" s="493">
        <v>11</v>
      </c>
    </row>
    <row r="19" spans="1:12">
      <c r="A19" s="360" t="s">
        <v>356</v>
      </c>
      <c r="B19" s="493"/>
      <c r="C19" s="493">
        <v>1</v>
      </c>
      <c r="D19" s="493"/>
      <c r="E19" s="493"/>
      <c r="F19" s="493"/>
      <c r="G19" s="493"/>
      <c r="H19" s="493"/>
      <c r="I19" s="493"/>
      <c r="J19" s="493"/>
      <c r="K19" s="493"/>
      <c r="L19" s="493">
        <v>1</v>
      </c>
    </row>
    <row r="20" spans="1:12">
      <c r="A20" s="488" t="s">
        <v>61</v>
      </c>
      <c r="B20" s="493"/>
      <c r="C20" s="493">
        <v>1</v>
      </c>
      <c r="D20" s="493"/>
      <c r="E20" s="493"/>
      <c r="F20" s="493"/>
      <c r="G20" s="493"/>
      <c r="H20" s="493"/>
      <c r="I20" s="493"/>
      <c r="J20" s="493"/>
      <c r="K20" s="493"/>
      <c r="L20" s="493">
        <v>1</v>
      </c>
    </row>
    <row r="21" spans="1:12">
      <c r="A21" s="360" t="s">
        <v>1561</v>
      </c>
      <c r="B21" s="493"/>
      <c r="C21" s="493">
        <v>3</v>
      </c>
      <c r="D21" s="493">
        <v>1</v>
      </c>
      <c r="E21" s="493"/>
      <c r="F21" s="493">
        <v>2</v>
      </c>
      <c r="G21" s="493">
        <v>5</v>
      </c>
      <c r="H21" s="493">
        <v>1</v>
      </c>
      <c r="I21" s="493">
        <v>7</v>
      </c>
      <c r="J21" s="493">
        <v>2</v>
      </c>
      <c r="K21" s="493">
        <v>2</v>
      </c>
      <c r="L21" s="493">
        <v>23</v>
      </c>
    </row>
    <row r="22" spans="1:12">
      <c r="A22" s="488" t="s">
        <v>1525</v>
      </c>
      <c r="B22" s="493"/>
      <c r="C22" s="493"/>
      <c r="D22" s="493"/>
      <c r="E22" s="493"/>
      <c r="F22" s="493"/>
      <c r="G22" s="493"/>
      <c r="H22" s="493"/>
      <c r="I22" s="493"/>
      <c r="J22" s="493">
        <v>1</v>
      </c>
      <c r="K22" s="493"/>
      <c r="L22" s="493">
        <v>1</v>
      </c>
    </row>
    <row r="23" spans="1:12">
      <c r="A23" s="488" t="s">
        <v>123</v>
      </c>
      <c r="B23" s="493"/>
      <c r="C23" s="493">
        <v>3</v>
      </c>
      <c r="D23" s="493"/>
      <c r="E23" s="493"/>
      <c r="F23" s="493"/>
      <c r="G23" s="493"/>
      <c r="H23" s="493"/>
      <c r="I23" s="493">
        <v>3</v>
      </c>
      <c r="J23" s="493">
        <v>1</v>
      </c>
      <c r="K23" s="493">
        <v>2</v>
      </c>
      <c r="L23" s="493">
        <v>9</v>
      </c>
    </row>
    <row r="24" spans="1:12">
      <c r="A24" s="488" t="s">
        <v>61</v>
      </c>
      <c r="B24" s="493"/>
      <c r="C24" s="493"/>
      <c r="D24" s="493">
        <v>1</v>
      </c>
      <c r="E24" s="493"/>
      <c r="F24" s="493">
        <v>2</v>
      </c>
      <c r="G24" s="493">
        <v>5</v>
      </c>
      <c r="H24" s="493">
        <v>1</v>
      </c>
      <c r="I24" s="493">
        <v>4</v>
      </c>
      <c r="J24" s="493"/>
      <c r="K24" s="493"/>
      <c r="L24" s="493">
        <v>13</v>
      </c>
    </row>
    <row r="25" spans="1:12">
      <c r="A25" s="360" t="s">
        <v>105</v>
      </c>
      <c r="B25" s="493"/>
      <c r="C25" s="493">
        <v>8</v>
      </c>
      <c r="D25" s="493">
        <v>38</v>
      </c>
      <c r="E25" s="493">
        <v>40</v>
      </c>
      <c r="F25" s="493">
        <v>79</v>
      </c>
      <c r="G25" s="493">
        <v>37</v>
      </c>
      <c r="H25" s="493">
        <v>19</v>
      </c>
      <c r="I25" s="493">
        <v>58</v>
      </c>
      <c r="J25" s="493">
        <v>49</v>
      </c>
      <c r="K25" s="493">
        <v>17</v>
      </c>
      <c r="L25" s="493">
        <v>345</v>
      </c>
    </row>
    <row r="26" spans="1:12">
      <c r="A26" s="488" t="s">
        <v>1525</v>
      </c>
      <c r="B26" s="493"/>
      <c r="C26" s="493"/>
      <c r="D26" s="493"/>
      <c r="E26" s="493"/>
      <c r="F26" s="493">
        <v>9</v>
      </c>
      <c r="G26" s="493">
        <v>6</v>
      </c>
      <c r="H26" s="493"/>
      <c r="I26" s="493">
        <v>4</v>
      </c>
      <c r="J26" s="493">
        <v>10</v>
      </c>
      <c r="K26" s="493"/>
      <c r="L26" s="493">
        <v>29</v>
      </c>
    </row>
    <row r="27" spans="1:12">
      <c r="A27" s="488" t="s">
        <v>123</v>
      </c>
      <c r="B27" s="493"/>
      <c r="C27" s="493">
        <v>8</v>
      </c>
      <c r="D27" s="493">
        <v>30</v>
      </c>
      <c r="E27" s="493">
        <v>32</v>
      </c>
      <c r="F27" s="493">
        <v>42</v>
      </c>
      <c r="G27" s="493">
        <v>6</v>
      </c>
      <c r="H27" s="493"/>
      <c r="I27" s="493">
        <v>37</v>
      </c>
      <c r="J27" s="493">
        <v>30</v>
      </c>
      <c r="K27" s="493">
        <v>11</v>
      </c>
      <c r="L27" s="493">
        <v>196</v>
      </c>
    </row>
    <row r="28" spans="1:12">
      <c r="A28" s="488" t="s">
        <v>61</v>
      </c>
      <c r="B28" s="493"/>
      <c r="C28" s="493"/>
      <c r="D28" s="493">
        <v>8</v>
      </c>
      <c r="E28" s="493">
        <v>8</v>
      </c>
      <c r="F28" s="493">
        <v>28</v>
      </c>
      <c r="G28" s="493">
        <v>25</v>
      </c>
      <c r="H28" s="493">
        <v>19</v>
      </c>
      <c r="I28" s="493">
        <v>17</v>
      </c>
      <c r="J28" s="493">
        <v>9</v>
      </c>
      <c r="K28" s="493">
        <v>6</v>
      </c>
      <c r="L28" s="493">
        <v>120</v>
      </c>
    </row>
    <row r="29" spans="1:12">
      <c r="A29" s="360" t="s">
        <v>124</v>
      </c>
      <c r="B29" s="493"/>
      <c r="C29" s="493">
        <v>2.0699999999999998</v>
      </c>
      <c r="D29" s="493">
        <v>5</v>
      </c>
      <c r="E29" s="493"/>
      <c r="F29" s="493">
        <v>3.9981818181818185</v>
      </c>
      <c r="G29" s="493"/>
      <c r="H29" s="493">
        <v>3</v>
      </c>
      <c r="I29" s="493">
        <v>2</v>
      </c>
      <c r="J29" s="493">
        <v>3</v>
      </c>
      <c r="K29" s="493">
        <v>2</v>
      </c>
      <c r="L29" s="493">
        <v>21.06818181818182</v>
      </c>
    </row>
    <row r="30" spans="1:12">
      <c r="A30" s="488" t="s">
        <v>1525</v>
      </c>
      <c r="B30" s="493"/>
      <c r="C30" s="493"/>
      <c r="D30" s="493"/>
      <c r="E30" s="493"/>
      <c r="F30" s="493">
        <v>1</v>
      </c>
      <c r="G30" s="493"/>
      <c r="H30" s="493">
        <v>1</v>
      </c>
      <c r="I30" s="493"/>
      <c r="J30" s="493"/>
      <c r="K30" s="493"/>
      <c r="L30" s="493">
        <v>2</v>
      </c>
    </row>
    <row r="31" spans="1:12">
      <c r="A31" s="488" t="s">
        <v>123</v>
      </c>
      <c r="B31" s="493"/>
      <c r="C31" s="493">
        <v>2.0699999999999998</v>
      </c>
      <c r="D31" s="493">
        <v>5</v>
      </c>
      <c r="E31" s="493"/>
      <c r="F31" s="493">
        <v>2.9981818181818185</v>
      </c>
      <c r="G31" s="493"/>
      <c r="H31" s="493">
        <v>2</v>
      </c>
      <c r="I31" s="493">
        <v>2</v>
      </c>
      <c r="J31" s="493">
        <v>3</v>
      </c>
      <c r="K31" s="493">
        <v>2</v>
      </c>
      <c r="L31" s="493">
        <v>19.06818181818182</v>
      </c>
    </row>
    <row r="32" spans="1:12">
      <c r="A32" s="360" t="s">
        <v>9763</v>
      </c>
      <c r="B32" s="493">
        <v>0</v>
      </c>
      <c r="C32" s="493">
        <v>56.07</v>
      </c>
      <c r="D32" s="493">
        <v>63</v>
      </c>
      <c r="E32" s="493">
        <v>64</v>
      </c>
      <c r="F32" s="493">
        <v>113.99818181818182</v>
      </c>
      <c r="G32" s="493">
        <v>66</v>
      </c>
      <c r="H32" s="493">
        <v>68</v>
      </c>
      <c r="I32" s="493">
        <v>91</v>
      </c>
      <c r="J32" s="493">
        <v>80</v>
      </c>
      <c r="K32" s="493">
        <v>42</v>
      </c>
      <c r="L32" s="493">
        <v>644.06818181818187</v>
      </c>
    </row>
  </sheetData>
  <phoneticPr fontId="6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sheetPr>
    <tabColor rgb="FFEBCDF7"/>
  </sheetPr>
  <dimension ref="A1:I383"/>
  <sheetViews>
    <sheetView workbookViewId="0">
      <pane ySplit="1" topLeftCell="A2" activePane="bottomLeft" state="frozen"/>
      <selection pane="bottomLeft" activeCell="E18" sqref="E18"/>
    </sheetView>
  </sheetViews>
  <sheetFormatPr defaultColWidth="9" defaultRowHeight="13"/>
  <cols>
    <col min="1" max="1" width="17.09765625" customWidth="1"/>
    <col min="2" max="2" width="17.8984375" customWidth="1"/>
    <col min="3" max="3" width="13.09765625" customWidth="1"/>
    <col min="4" max="5" width="18" style="926" bestFit="1" customWidth="1"/>
    <col min="6" max="7" width="15.8984375" customWidth="1"/>
    <col min="8" max="8" width="18.3984375" style="926" bestFit="1" customWidth="1"/>
    <col min="9" max="9" width="18" style="926" bestFit="1" customWidth="1"/>
  </cols>
  <sheetData>
    <row r="1" spans="1:9" ht="14">
      <c r="A1" s="1008" t="s">
        <v>9764</v>
      </c>
      <c r="B1" s="1008" t="s">
        <v>9765</v>
      </c>
      <c r="C1" s="1008" t="s">
        <v>9766</v>
      </c>
      <c r="D1" s="1009" t="s">
        <v>9767</v>
      </c>
      <c r="E1" s="1009" t="s">
        <v>9768</v>
      </c>
      <c r="F1" s="1008" t="s">
        <v>9769</v>
      </c>
      <c r="G1" s="1008" t="s">
        <v>9770</v>
      </c>
      <c r="H1" s="1009" t="s">
        <v>9771</v>
      </c>
      <c r="I1" s="1009" t="s">
        <v>9772</v>
      </c>
    </row>
    <row r="2" spans="1:9" ht="14">
      <c r="A2" s="1296" t="s">
        <v>1398</v>
      </c>
      <c r="B2" s="1296">
        <v>9506227090</v>
      </c>
      <c r="C2" s="1296" t="s">
        <v>9773</v>
      </c>
      <c r="D2" s="1300">
        <v>46089</v>
      </c>
      <c r="E2" s="1300">
        <v>46088.897199074076</v>
      </c>
      <c r="F2" s="1296" t="s">
        <v>9774</v>
      </c>
      <c r="G2" s="1296" t="s">
        <v>8135</v>
      </c>
      <c r="H2" s="1300">
        <v>46185.25</v>
      </c>
      <c r="I2" s="1300">
        <v>46184.877083333333</v>
      </c>
    </row>
    <row r="3" spans="1:9" ht="14">
      <c r="A3" s="1297" t="s">
        <v>1846</v>
      </c>
      <c r="B3" s="1297">
        <v>9506490230</v>
      </c>
      <c r="C3" s="1297" t="s">
        <v>9773</v>
      </c>
      <c r="D3" s="1301">
        <v>46103.489583333336</v>
      </c>
      <c r="E3" s="1301">
        <v>46103.526192129626</v>
      </c>
      <c r="F3" s="1297" t="s">
        <v>9775</v>
      </c>
      <c r="G3" s="1297" t="s">
        <v>8135</v>
      </c>
      <c r="H3" s="1301">
        <v>46183.21875</v>
      </c>
      <c r="I3" s="1301">
        <v>46183.291377314818</v>
      </c>
    </row>
    <row r="4" spans="1:9" ht="14">
      <c r="A4" s="1296" t="s">
        <v>1938</v>
      </c>
      <c r="B4" s="1296">
        <v>9506569240</v>
      </c>
      <c r="C4" s="1296" t="s">
        <v>9773</v>
      </c>
      <c r="D4" s="1300">
        <v>46110.666666666664</v>
      </c>
      <c r="E4" s="1300">
        <v>46110.624490740738</v>
      </c>
      <c r="F4" s="1296" t="s">
        <v>9775</v>
      </c>
      <c r="G4" s="1296" t="s">
        <v>8135</v>
      </c>
      <c r="H4" s="1300">
        <v>46191.875</v>
      </c>
      <c r="I4" s="1300">
        <v>46191.811898148146</v>
      </c>
    </row>
    <row r="5" spans="1:9" ht="14">
      <c r="A5" s="1297" t="s">
        <v>2002</v>
      </c>
      <c r="B5" s="1297">
        <v>6449453200</v>
      </c>
      <c r="C5" s="1297" t="s">
        <v>123</v>
      </c>
      <c r="D5" s="1301">
        <v>46125.791666666664</v>
      </c>
      <c r="E5" s="1301">
        <v>46125.815613425926</v>
      </c>
      <c r="F5" s="1297" t="s">
        <v>9776</v>
      </c>
      <c r="G5" s="1297" t="s">
        <v>9777</v>
      </c>
      <c r="H5" s="1301">
        <v>46182.791666666664</v>
      </c>
      <c r="I5" s="1301">
        <v>46182.978495370371</v>
      </c>
    </row>
    <row r="6" spans="1:9" ht="14">
      <c r="A6" s="1296" t="s">
        <v>2075</v>
      </c>
      <c r="B6" s="1296">
        <v>6449762550</v>
      </c>
      <c r="C6" s="1296" t="s">
        <v>123</v>
      </c>
      <c r="D6" s="1300">
        <v>46124.333333333336</v>
      </c>
      <c r="E6" s="1300">
        <v>46124.051226851851</v>
      </c>
      <c r="F6" s="1296" t="s">
        <v>8135</v>
      </c>
      <c r="G6" s="1296" t="s">
        <v>9778</v>
      </c>
      <c r="H6" s="1300">
        <v>46207.833333333336</v>
      </c>
      <c r="I6" s="1300">
        <v>46207.808657407404</v>
      </c>
    </row>
    <row r="7" spans="1:9" ht="14">
      <c r="A7" s="1297" t="s">
        <v>2092</v>
      </c>
      <c r="B7" s="1297">
        <v>9506746670</v>
      </c>
      <c r="C7" s="1297" t="s">
        <v>9773</v>
      </c>
      <c r="D7" s="1301">
        <v>46122.625</v>
      </c>
      <c r="E7" s="1301">
        <v>46122.657337962963</v>
      </c>
      <c r="F7" s="1297" t="s">
        <v>123</v>
      </c>
      <c r="G7" s="1297" t="s">
        <v>8135</v>
      </c>
      <c r="H7" s="1301">
        <v>46195.083333333336</v>
      </c>
      <c r="I7" s="1301">
        <v>46195.180555555555</v>
      </c>
    </row>
    <row r="8" spans="1:9" ht="14">
      <c r="A8" s="1296" t="s">
        <v>2115</v>
      </c>
      <c r="B8" s="1296">
        <v>6450390090</v>
      </c>
      <c r="C8" s="1296" t="s">
        <v>123</v>
      </c>
      <c r="D8" s="1300">
        <v>46141.854166666664</v>
      </c>
      <c r="E8" s="1300">
        <v>46141.916365740741</v>
      </c>
      <c r="F8" s="1296" t="s">
        <v>9779</v>
      </c>
      <c r="G8" s="1296" t="s">
        <v>9780</v>
      </c>
      <c r="H8" s="1300">
        <v>46189.125</v>
      </c>
      <c r="I8" s="1300">
        <v>46190.26971064815</v>
      </c>
    </row>
    <row r="9" spans="1:9" ht="14">
      <c r="A9" s="1297" t="s">
        <v>2145</v>
      </c>
      <c r="B9" s="1297">
        <v>6450114670</v>
      </c>
      <c r="C9" s="1297" t="s">
        <v>123</v>
      </c>
      <c r="D9" s="1301">
        <v>46131.1875</v>
      </c>
      <c r="E9" s="1301">
        <v>46131.213784722226</v>
      </c>
      <c r="F9" s="1298"/>
      <c r="G9" s="1297" t="s">
        <v>9781</v>
      </c>
      <c r="H9" s="1301">
        <v>46183.333333333336</v>
      </c>
      <c r="I9" s="1301">
        <v>46182.884826388887</v>
      </c>
    </row>
    <row r="10" spans="1:9" ht="14">
      <c r="A10" s="1296" t="s">
        <v>2156</v>
      </c>
      <c r="B10" s="1296">
        <v>6450390480</v>
      </c>
      <c r="C10" s="1296" t="s">
        <v>123</v>
      </c>
      <c r="D10" s="1300">
        <v>46138.875</v>
      </c>
      <c r="E10" s="1300">
        <v>46138.895370370374</v>
      </c>
      <c r="F10" s="1299"/>
      <c r="G10" s="1296" t="s">
        <v>8135</v>
      </c>
      <c r="H10" s="1300">
        <v>46191.875</v>
      </c>
      <c r="I10" s="1300">
        <v>46191.811898148146</v>
      </c>
    </row>
    <row r="11" spans="1:9" ht="14">
      <c r="A11" s="1297" t="s">
        <v>2170</v>
      </c>
      <c r="B11" s="1297">
        <v>6449793280</v>
      </c>
      <c r="C11" s="1297" t="s">
        <v>9773</v>
      </c>
      <c r="D11" s="1301">
        <v>46129.458333333336</v>
      </c>
      <c r="E11" s="1301">
        <v>46128.870671296296</v>
      </c>
      <c r="F11" s="1297" t="s">
        <v>123</v>
      </c>
      <c r="G11" s="1297" t="s">
        <v>9782</v>
      </c>
      <c r="H11" s="1301">
        <v>46183.25</v>
      </c>
      <c r="I11" s="1301">
        <v>46182.894849537035</v>
      </c>
    </row>
    <row r="12" spans="1:9" ht="14">
      <c r="A12" s="1296" t="s">
        <v>2176</v>
      </c>
      <c r="B12" s="1296">
        <v>9506800640</v>
      </c>
      <c r="C12" s="1296" t="s">
        <v>9773</v>
      </c>
      <c r="D12" s="1300">
        <v>46133.958333333336</v>
      </c>
      <c r="E12" s="1300">
        <v>46133.981435185182</v>
      </c>
      <c r="F12" s="1296" t="s">
        <v>9775</v>
      </c>
      <c r="G12" s="1296" t="s">
        <v>8135</v>
      </c>
      <c r="H12" s="1300">
        <v>46203.208333333336</v>
      </c>
      <c r="I12" s="1300">
        <v>46203.286539351851</v>
      </c>
    </row>
    <row r="13" spans="1:9" ht="14">
      <c r="A13" s="1297" t="s">
        <v>2181</v>
      </c>
      <c r="B13" s="1297">
        <v>6449882020</v>
      </c>
      <c r="C13" s="1297" t="s">
        <v>9773</v>
      </c>
      <c r="D13" s="1301">
        <v>46129.458333333336</v>
      </c>
      <c r="E13" s="1301">
        <v>46128.870671296296</v>
      </c>
      <c r="F13" s="1297" t="s">
        <v>123</v>
      </c>
      <c r="G13" s="1297" t="s">
        <v>8135</v>
      </c>
      <c r="H13" s="1301">
        <v>46185.25</v>
      </c>
      <c r="I13" s="1301">
        <v>46184.877083333333</v>
      </c>
    </row>
    <row r="14" spans="1:9" ht="14">
      <c r="A14" s="1296" t="s">
        <v>2194</v>
      </c>
      <c r="B14" s="1296">
        <v>6451575620</v>
      </c>
      <c r="C14" s="1296" t="s">
        <v>123</v>
      </c>
      <c r="D14" s="1300">
        <v>46139.375</v>
      </c>
      <c r="E14" s="1300">
        <v>46139.41201388889</v>
      </c>
      <c r="F14" s="1299"/>
      <c r="G14" s="1296" t="s">
        <v>9779</v>
      </c>
      <c r="H14" s="1300">
        <v>46195.145833333336</v>
      </c>
      <c r="I14" s="1300">
        <v>46195.250127314815</v>
      </c>
    </row>
    <row r="15" spans="1:9" ht="14">
      <c r="A15" s="1297" t="s">
        <v>2199</v>
      </c>
      <c r="B15" s="1297">
        <v>6451231180</v>
      </c>
      <c r="C15" s="1297" t="s">
        <v>123</v>
      </c>
      <c r="D15" s="1301">
        <v>46141.979166666664</v>
      </c>
      <c r="E15" s="1301">
        <v>46141.74858796296</v>
      </c>
      <c r="F15" s="1298"/>
      <c r="G15" s="1297" t="s">
        <v>9783</v>
      </c>
      <c r="H15" s="1301">
        <v>46194.25</v>
      </c>
      <c r="I15" s="1301">
        <v>46194.316770833335</v>
      </c>
    </row>
    <row r="16" spans="1:9" ht="14">
      <c r="A16" s="1296" t="s">
        <v>2205</v>
      </c>
      <c r="B16" s="1296">
        <v>6450703930</v>
      </c>
      <c r="C16" s="1296" t="s">
        <v>123</v>
      </c>
      <c r="D16" s="1300">
        <v>46138.5</v>
      </c>
      <c r="E16" s="1300">
        <v>46138.085729166669</v>
      </c>
      <c r="F16" s="1299"/>
      <c r="G16" s="1296" t="s">
        <v>9781</v>
      </c>
      <c r="H16" s="1300">
        <v>46190.75</v>
      </c>
      <c r="I16" s="1300">
        <v>46190.870671296296</v>
      </c>
    </row>
    <row r="17" spans="1:9" ht="14">
      <c r="A17" s="1297" t="s">
        <v>2215</v>
      </c>
      <c r="B17" s="1297">
        <v>6450706480</v>
      </c>
      <c r="C17" s="1297" t="s">
        <v>123</v>
      </c>
      <c r="D17" s="1301">
        <v>46140.729166666664</v>
      </c>
      <c r="E17" s="1301">
        <v>46140.745300925926</v>
      </c>
      <c r="F17" s="1298"/>
      <c r="G17" s="1297" t="s">
        <v>8135</v>
      </c>
      <c r="H17" s="1301">
        <v>46185.25</v>
      </c>
      <c r="I17" s="1301">
        <v>46184.877083333333</v>
      </c>
    </row>
    <row r="18" spans="1:9" ht="14">
      <c r="A18" s="1296" t="s">
        <v>2220</v>
      </c>
      <c r="B18" s="1296">
        <v>6451090390</v>
      </c>
      <c r="C18" s="1296" t="s">
        <v>123</v>
      </c>
      <c r="D18" s="1300">
        <v>46140.541666666664</v>
      </c>
      <c r="E18" s="1300">
        <v>46140.57271990741</v>
      </c>
      <c r="F18" s="1296" t="s">
        <v>9776</v>
      </c>
      <c r="G18" s="1296" t="s">
        <v>9777</v>
      </c>
      <c r="H18" s="1300">
        <v>46198.75</v>
      </c>
      <c r="I18" s="1300">
        <v>46198.780798611115</v>
      </c>
    </row>
    <row r="19" spans="1:9" ht="14">
      <c r="A19" s="1297" t="s">
        <v>2229</v>
      </c>
      <c r="B19" s="1297">
        <v>9506918160</v>
      </c>
      <c r="C19" s="1297" t="s">
        <v>9773</v>
      </c>
      <c r="D19" s="1301">
        <v>46138</v>
      </c>
      <c r="E19" s="1301">
        <v>46138.037280092591</v>
      </c>
      <c r="F19" s="1297" t="s">
        <v>9775</v>
      </c>
      <c r="G19" s="1297" t="s">
        <v>8135</v>
      </c>
      <c r="H19" s="1301">
        <v>46207.25</v>
      </c>
      <c r="I19" s="1301">
        <v>46207.073067129626</v>
      </c>
    </row>
    <row r="20" spans="1:9" ht="14">
      <c r="A20" s="1296" t="s">
        <v>2278</v>
      </c>
      <c r="B20" s="1296">
        <v>9506929530</v>
      </c>
      <c r="C20" s="1296" t="s">
        <v>9773</v>
      </c>
      <c r="D20" s="1300">
        <v>46138</v>
      </c>
      <c r="E20" s="1300">
        <v>46138.037280092591</v>
      </c>
      <c r="F20" s="1299"/>
      <c r="G20" s="1296" t="s">
        <v>9779</v>
      </c>
      <c r="H20" s="1300">
        <v>46189.5</v>
      </c>
      <c r="I20" s="1300">
        <v>46189.67</v>
      </c>
    </row>
    <row r="21" spans="1:9" ht="14">
      <c r="A21" s="1297" t="s">
        <v>2347</v>
      </c>
      <c r="B21" s="1297">
        <v>6451369150</v>
      </c>
      <c r="C21" s="1297" t="s">
        <v>123</v>
      </c>
      <c r="D21" s="1301">
        <v>46147.708333333336</v>
      </c>
      <c r="E21" s="1301">
        <v>46147.727800925924</v>
      </c>
      <c r="F21" s="1298"/>
      <c r="G21" s="1297" t="s">
        <v>8135</v>
      </c>
      <c r="H21" s="1301">
        <v>46196.541666666664</v>
      </c>
      <c r="I21" s="1301">
        <v>46196.578993055555</v>
      </c>
    </row>
    <row r="22" spans="1:9" ht="14">
      <c r="A22" s="1296" t="s">
        <v>2353</v>
      </c>
      <c r="B22" s="1296">
        <v>6451366460</v>
      </c>
      <c r="C22" s="1296" t="s">
        <v>123</v>
      </c>
      <c r="D22" s="1300">
        <v>46146.208333333336</v>
      </c>
      <c r="E22" s="1300">
        <v>46146.210486111115</v>
      </c>
      <c r="F22" s="1299"/>
      <c r="G22" s="1296" t="s">
        <v>9781</v>
      </c>
      <c r="H22" s="1300">
        <v>46198.25</v>
      </c>
      <c r="I22" s="1300">
        <v>46198.26699074074</v>
      </c>
    </row>
    <row r="23" spans="1:9" ht="14">
      <c r="A23" s="1297" t="s">
        <v>2361</v>
      </c>
      <c r="B23" s="1297">
        <v>6451880280</v>
      </c>
      <c r="C23" s="1297" t="s">
        <v>123</v>
      </c>
      <c r="D23" s="1301">
        <v>46149.625</v>
      </c>
      <c r="E23" s="1301">
        <v>46149.658437500002</v>
      </c>
      <c r="F23" s="1297" t="s">
        <v>9776</v>
      </c>
      <c r="G23" s="1297" t="s">
        <v>9777</v>
      </c>
      <c r="H23" s="1301">
        <v>46205.958333333336</v>
      </c>
      <c r="I23" s="1301">
        <v>46205.950752314813</v>
      </c>
    </row>
    <row r="24" spans="1:9" ht="14">
      <c r="A24" s="1296" t="s">
        <v>2365</v>
      </c>
      <c r="B24" s="1296">
        <v>6451371990</v>
      </c>
      <c r="C24" s="1296" t="s">
        <v>123</v>
      </c>
      <c r="D24" s="1300">
        <v>46147.708333333336</v>
      </c>
      <c r="E24" s="1300">
        <v>46147.727800925924</v>
      </c>
      <c r="F24" s="1299"/>
      <c r="G24" s="1296" t="s">
        <v>9778</v>
      </c>
      <c r="H24" s="1300">
        <v>46192.833333333336</v>
      </c>
      <c r="I24" s="1300">
        <v>46192.914004629631</v>
      </c>
    </row>
    <row r="25" spans="1:9" ht="14">
      <c r="A25" s="1297" t="s">
        <v>2370</v>
      </c>
      <c r="B25" s="1297">
        <v>9507036360</v>
      </c>
      <c r="C25" s="1297" t="s">
        <v>9773</v>
      </c>
      <c r="D25" s="1301">
        <v>46146.645833333336</v>
      </c>
      <c r="E25" s="1301">
        <v>46146.66920138889</v>
      </c>
      <c r="F25" s="1297" t="s">
        <v>123</v>
      </c>
      <c r="G25" s="1297" t="s">
        <v>9779</v>
      </c>
      <c r="H25" s="1301">
        <v>46202.583333333336</v>
      </c>
      <c r="I25" s="1301">
        <v>46202.551469907405</v>
      </c>
    </row>
    <row r="26" spans="1:9" ht="14">
      <c r="A26" s="1296" t="s">
        <v>2376</v>
      </c>
      <c r="B26" s="1296">
        <v>9507037880</v>
      </c>
      <c r="C26" s="1296" t="s">
        <v>9773</v>
      </c>
      <c r="D26" s="1300">
        <v>46146.645833333336</v>
      </c>
      <c r="E26" s="1300">
        <v>46146.66920138889</v>
      </c>
      <c r="F26" s="1299"/>
      <c r="G26" s="1296" t="s">
        <v>9779</v>
      </c>
      <c r="H26" s="1300">
        <v>46197.083333333336</v>
      </c>
      <c r="I26" s="1300">
        <v>46197.406006944446</v>
      </c>
    </row>
    <row r="27" spans="1:9" ht="14">
      <c r="A27" s="1297" t="s">
        <v>2380</v>
      </c>
      <c r="B27" s="1297">
        <v>9507017710</v>
      </c>
      <c r="C27" s="1297" t="s">
        <v>9773</v>
      </c>
      <c r="D27" s="1301">
        <v>46146.645833333336</v>
      </c>
      <c r="E27" s="1301">
        <v>46146.66920138889</v>
      </c>
      <c r="F27" s="1297" t="s">
        <v>9775</v>
      </c>
      <c r="G27" s="1297" t="s">
        <v>8135</v>
      </c>
      <c r="H27" s="1301">
        <v>46210.25</v>
      </c>
      <c r="I27" s="1301">
        <v>46210.243923611109</v>
      </c>
    </row>
    <row r="28" spans="1:9" ht="14">
      <c r="A28" s="1296" t="s">
        <v>2392</v>
      </c>
      <c r="B28" s="1296">
        <v>9507036320</v>
      </c>
      <c r="C28" s="1296" t="s">
        <v>9773</v>
      </c>
      <c r="D28" s="1300">
        <v>46146.645833333336</v>
      </c>
      <c r="E28" s="1300">
        <v>46146.66920138889</v>
      </c>
      <c r="F28" s="1296" t="s">
        <v>123</v>
      </c>
      <c r="G28" s="1296" t="s">
        <v>9784</v>
      </c>
      <c r="H28" s="1300">
        <v>46211.75</v>
      </c>
      <c r="I28" s="1300">
        <v>46211.801168981481</v>
      </c>
    </row>
    <row r="29" spans="1:9" ht="14">
      <c r="A29" s="1297" t="s">
        <v>2426</v>
      </c>
      <c r="B29" s="1297">
        <v>6452080850</v>
      </c>
      <c r="C29" s="1297" t="s">
        <v>123</v>
      </c>
      <c r="D29" s="1301">
        <v>46155.520833333336</v>
      </c>
      <c r="E29" s="1301">
        <v>46155.537627314814</v>
      </c>
      <c r="F29" s="1298"/>
      <c r="G29" s="1297" t="s">
        <v>9779</v>
      </c>
      <c r="H29" s="1301">
        <v>46197.083333333336</v>
      </c>
      <c r="I29" s="1301">
        <v>46197.406006944446</v>
      </c>
    </row>
    <row r="30" spans="1:9" ht="14">
      <c r="A30" s="1296" t="s">
        <v>2443</v>
      </c>
      <c r="B30" s="1296">
        <v>6452081790</v>
      </c>
      <c r="C30" s="1296" t="s">
        <v>123</v>
      </c>
      <c r="D30" s="1300">
        <v>46157.854166666664</v>
      </c>
      <c r="E30" s="1300">
        <v>46157.874074074076</v>
      </c>
      <c r="F30" s="1299"/>
      <c r="G30" s="1296" t="s">
        <v>9781</v>
      </c>
      <c r="H30" s="1300">
        <v>46205.708333333336</v>
      </c>
      <c r="I30" s="1300">
        <v>46205.655138888891</v>
      </c>
    </row>
    <row r="31" spans="1:9" ht="14">
      <c r="A31" s="1297" t="s">
        <v>2451</v>
      </c>
      <c r="B31" s="1297">
        <v>6452282800</v>
      </c>
      <c r="C31" s="1297" t="s">
        <v>9773</v>
      </c>
      <c r="D31" s="1301">
        <v>46155.197916666664</v>
      </c>
      <c r="E31" s="1301">
        <v>46155.189675925925</v>
      </c>
      <c r="F31" s="1297" t="s">
        <v>123</v>
      </c>
      <c r="G31" s="1297" t="s">
        <v>9782</v>
      </c>
      <c r="H31" s="1301">
        <v>46203.25</v>
      </c>
      <c r="I31" s="1301">
        <v>46202.869155092594</v>
      </c>
    </row>
    <row r="32" spans="1:9" ht="14">
      <c r="A32" s="1296" t="s">
        <v>4428</v>
      </c>
      <c r="B32" s="1296">
        <v>6452259000</v>
      </c>
      <c r="C32" s="1296" t="s">
        <v>9773</v>
      </c>
      <c r="D32" s="1300">
        <v>46150.708333333336</v>
      </c>
      <c r="E32" s="1300">
        <v>46150.817928240744</v>
      </c>
      <c r="F32" s="1296" t="s">
        <v>5994</v>
      </c>
      <c r="G32" s="1296" t="s">
        <v>9783</v>
      </c>
      <c r="H32" s="1300">
        <v>46208.708333333336</v>
      </c>
      <c r="I32" s="1300">
        <v>46208.656018518515</v>
      </c>
    </row>
    <row r="33" spans="1:9" ht="14">
      <c r="A33" s="1297" t="s">
        <v>4432</v>
      </c>
      <c r="B33" s="1297">
        <v>9507118140</v>
      </c>
      <c r="C33" s="1297" t="s">
        <v>9773</v>
      </c>
      <c r="D33" s="1301">
        <v>46155.197916666664</v>
      </c>
      <c r="E33" s="1301">
        <v>46155.189675925925</v>
      </c>
      <c r="F33" s="1298"/>
      <c r="G33" s="1297" t="s">
        <v>9779</v>
      </c>
      <c r="H33" s="1301">
        <v>46203.625</v>
      </c>
      <c r="I33" s="1301">
        <v>46203.620509259257</v>
      </c>
    </row>
    <row r="34" spans="1:9" ht="14">
      <c r="A34" s="1296" t="s">
        <v>4436</v>
      </c>
      <c r="B34" s="1296">
        <v>9507123270</v>
      </c>
      <c r="C34" s="1296" t="s">
        <v>9773</v>
      </c>
      <c r="D34" s="1300">
        <v>46155.197916666664</v>
      </c>
      <c r="E34" s="1300">
        <v>46155.189675925925</v>
      </c>
      <c r="F34" s="1296" t="s">
        <v>9775</v>
      </c>
      <c r="G34" s="1296" t="s">
        <v>8135</v>
      </c>
      <c r="H34" s="1300">
        <v>46215.25</v>
      </c>
      <c r="I34" s="1300">
        <v>46215.279849537037</v>
      </c>
    </row>
    <row r="35" spans="1:9" ht="14">
      <c r="A35" s="1297" t="s">
        <v>4440</v>
      </c>
      <c r="B35" s="1297">
        <v>9507123300</v>
      </c>
      <c r="C35" s="1297" t="s">
        <v>9773</v>
      </c>
      <c r="D35" s="1301">
        <v>46155.197916666664</v>
      </c>
      <c r="E35" s="1301">
        <v>46155.189675925925</v>
      </c>
      <c r="F35" s="1297" t="s">
        <v>9775</v>
      </c>
      <c r="G35" s="1297" t="s">
        <v>8135</v>
      </c>
      <c r="H35" s="1301">
        <v>46211.604166666664</v>
      </c>
      <c r="I35" s="1301">
        <v>46211.6721875</v>
      </c>
    </row>
    <row r="36" spans="1:9" ht="14">
      <c r="A36" s="1296" t="s">
        <v>4444</v>
      </c>
      <c r="B36" s="1296">
        <v>9507124020</v>
      </c>
      <c r="C36" s="1296" t="s">
        <v>9773</v>
      </c>
      <c r="D36" s="1300">
        <v>46155.197916666664</v>
      </c>
      <c r="E36" s="1300">
        <v>46155.189675925925</v>
      </c>
      <c r="F36" s="1296" t="s">
        <v>9775</v>
      </c>
      <c r="G36" s="1296" t="s">
        <v>9778</v>
      </c>
      <c r="H36" s="1300">
        <v>46204.583333333336</v>
      </c>
      <c r="I36" s="1300">
        <v>46204.374976851854</v>
      </c>
    </row>
    <row r="37" spans="1:9" ht="14">
      <c r="A37" s="1297" t="s">
        <v>4448</v>
      </c>
      <c r="B37" s="1297">
        <v>9507124040</v>
      </c>
      <c r="C37" s="1297" t="s">
        <v>9773</v>
      </c>
      <c r="D37" s="1301">
        <v>46150.708333333336</v>
      </c>
      <c r="E37" s="1301">
        <v>46150.817928240744</v>
      </c>
      <c r="F37" s="1297" t="s">
        <v>5994</v>
      </c>
      <c r="G37" s="1297" t="s">
        <v>9778</v>
      </c>
      <c r="H37" s="1301">
        <v>46205.479166666664</v>
      </c>
      <c r="I37" s="1301">
        <v>46205.285462962966</v>
      </c>
    </row>
    <row r="38" spans="1:9" ht="14">
      <c r="A38" s="1296" t="s">
        <v>4467</v>
      </c>
      <c r="B38" s="1296">
        <v>6500579050</v>
      </c>
      <c r="C38" s="1296" t="s">
        <v>123</v>
      </c>
      <c r="D38" s="1300">
        <v>46159.770833333336</v>
      </c>
      <c r="E38" s="1300">
        <v>46159.803553240738</v>
      </c>
      <c r="F38" s="1299"/>
      <c r="G38" s="1296" t="s">
        <v>9783</v>
      </c>
      <c r="H38" s="1300">
        <v>46200.458333333336</v>
      </c>
      <c r="I38" s="1300">
        <v>46200.509432870371</v>
      </c>
    </row>
    <row r="39" spans="1:9" ht="14">
      <c r="A39" s="1297" t="s">
        <v>4472</v>
      </c>
      <c r="B39" s="1297">
        <v>6500580760</v>
      </c>
      <c r="C39" s="1297" t="s">
        <v>123</v>
      </c>
      <c r="D39" s="1301">
        <v>46159.145833333336</v>
      </c>
      <c r="E39" s="1301">
        <v>46159.021979166668</v>
      </c>
      <c r="F39" s="1298"/>
      <c r="G39" s="1297" t="s">
        <v>9783</v>
      </c>
      <c r="H39" s="1301">
        <v>46202.916666666664</v>
      </c>
      <c r="I39" s="1301">
        <v>46202.913761574076</v>
      </c>
    </row>
    <row r="40" spans="1:9" ht="14">
      <c r="A40" s="1296" t="s">
        <v>4477</v>
      </c>
      <c r="B40" s="1296">
        <v>6452554090</v>
      </c>
      <c r="C40" s="1296" t="s">
        <v>123</v>
      </c>
      <c r="D40" s="1300">
        <v>46163.645833333336</v>
      </c>
      <c r="E40" s="1300">
        <v>46163.661041666666</v>
      </c>
      <c r="F40" s="1299"/>
      <c r="G40" s="1296" t="s">
        <v>9779</v>
      </c>
      <c r="H40" s="1300">
        <v>46203.625</v>
      </c>
      <c r="I40" s="1300">
        <v>46203.620509259257</v>
      </c>
    </row>
    <row r="41" spans="1:9" ht="14">
      <c r="A41" s="1297" t="s">
        <v>4484</v>
      </c>
      <c r="B41" s="1297">
        <v>6452556510</v>
      </c>
      <c r="C41" s="1297" t="s">
        <v>123</v>
      </c>
      <c r="D41" s="1301">
        <v>46173.645833333336</v>
      </c>
      <c r="E41" s="1301">
        <v>46173.669224537036</v>
      </c>
      <c r="F41" s="1298"/>
      <c r="G41" s="1297" t="s">
        <v>9779</v>
      </c>
      <c r="H41" s="1301">
        <v>46211.791666666664</v>
      </c>
      <c r="I41" s="1301">
        <v>46211.822372685187</v>
      </c>
    </row>
    <row r="42" spans="1:9" ht="14">
      <c r="A42" s="1296" t="s">
        <v>4491</v>
      </c>
      <c r="B42" s="1296">
        <v>6500776920</v>
      </c>
      <c r="C42" s="1296" t="s">
        <v>123</v>
      </c>
      <c r="D42" s="1300">
        <v>46163.645833333336</v>
      </c>
      <c r="E42" s="1300">
        <v>46163.661041666666</v>
      </c>
      <c r="F42" s="1299"/>
      <c r="G42" s="1296" t="s">
        <v>9779</v>
      </c>
      <c r="H42" s="1300">
        <v>46203.625</v>
      </c>
      <c r="I42" s="1300">
        <v>46203.620509259257</v>
      </c>
    </row>
    <row r="43" spans="1:9" ht="14">
      <c r="A43" s="1297" t="s">
        <v>4497</v>
      </c>
      <c r="B43" s="1297">
        <v>6452564640</v>
      </c>
      <c r="C43" s="1297" t="s">
        <v>123</v>
      </c>
      <c r="D43" s="1301">
        <v>46165.375</v>
      </c>
      <c r="E43" s="1301">
        <v>46165.372939814813</v>
      </c>
      <c r="F43" s="1298"/>
      <c r="G43" s="1297" t="s">
        <v>8135</v>
      </c>
      <c r="H43" s="1301">
        <v>46215.25</v>
      </c>
      <c r="I43" s="1301">
        <v>46215.279849537037</v>
      </c>
    </row>
    <row r="44" spans="1:9" ht="14">
      <c r="A44" s="1296" t="s">
        <v>4505</v>
      </c>
      <c r="B44" s="1296">
        <v>6452565360</v>
      </c>
      <c r="C44" s="1296" t="s">
        <v>123</v>
      </c>
      <c r="D44" s="1300">
        <v>46160.416666666664</v>
      </c>
      <c r="E44" s="1300">
        <v>46160.438981481479</v>
      </c>
      <c r="F44" s="1299"/>
      <c r="G44" s="1296" t="s">
        <v>8135</v>
      </c>
      <c r="H44" s="1300">
        <v>46207.25</v>
      </c>
      <c r="I44" s="1300">
        <v>46207.073067129626</v>
      </c>
    </row>
    <row r="45" spans="1:9" ht="14">
      <c r="A45" s="1297" t="s">
        <v>4512</v>
      </c>
      <c r="B45" s="1297">
        <v>6452560540</v>
      </c>
      <c r="C45" s="1297" t="s">
        <v>123</v>
      </c>
      <c r="D45" s="1301">
        <v>46165.375</v>
      </c>
      <c r="E45" s="1301">
        <v>46165.372939814813</v>
      </c>
      <c r="F45" s="1298"/>
      <c r="G45" s="1297" t="s">
        <v>9781</v>
      </c>
      <c r="H45" s="1301">
        <v>46217.75</v>
      </c>
      <c r="I45" s="1301">
        <v>46217.715624999997</v>
      </c>
    </row>
    <row r="46" spans="1:9" ht="14">
      <c r="A46" s="1296" t="s">
        <v>4516</v>
      </c>
      <c r="B46" s="1296">
        <v>6452561470</v>
      </c>
      <c r="C46" s="1296" t="s">
        <v>123</v>
      </c>
      <c r="D46" s="1300">
        <v>46165.375</v>
      </c>
      <c r="E46" s="1300">
        <v>46165.372939814813</v>
      </c>
      <c r="F46" s="1299"/>
      <c r="G46" s="1296" t="s">
        <v>9781</v>
      </c>
      <c r="H46" s="1300">
        <v>46217.75</v>
      </c>
      <c r="I46" s="1300">
        <v>46217.715624999997</v>
      </c>
    </row>
    <row r="47" spans="1:9" ht="14">
      <c r="A47" s="1297" t="s">
        <v>4525</v>
      </c>
      <c r="B47" s="1297">
        <v>6500305100</v>
      </c>
      <c r="C47" s="1297" t="s">
        <v>123</v>
      </c>
      <c r="D47" s="1301">
        <v>46162.25</v>
      </c>
      <c r="E47" s="1301">
        <v>46162.268611111111</v>
      </c>
      <c r="F47" s="1298"/>
      <c r="G47" s="1297" t="s">
        <v>9778</v>
      </c>
      <c r="H47" s="1301">
        <v>46205.479166666664</v>
      </c>
      <c r="I47" s="1301">
        <v>46205.285462962966</v>
      </c>
    </row>
    <row r="48" spans="1:9" ht="14">
      <c r="A48" s="1296" t="s">
        <v>4529</v>
      </c>
      <c r="B48" s="1296">
        <v>6500301740</v>
      </c>
      <c r="C48" s="1296" t="s">
        <v>123</v>
      </c>
      <c r="D48" s="1300">
        <v>46162.25</v>
      </c>
      <c r="E48" s="1300">
        <v>46162.268611111111</v>
      </c>
      <c r="F48" s="1299"/>
      <c r="G48" s="1296" t="s">
        <v>9778</v>
      </c>
      <c r="H48" s="1300">
        <v>46205.479166666664</v>
      </c>
      <c r="I48" s="1300">
        <v>46205.285462962966</v>
      </c>
    </row>
    <row r="49" spans="1:9" ht="14">
      <c r="A49" s="1297" t="s">
        <v>4536</v>
      </c>
      <c r="B49" s="1297">
        <v>6500419700</v>
      </c>
      <c r="C49" s="1297" t="s">
        <v>9773</v>
      </c>
      <c r="D49" s="1301">
        <v>46164.798611111109</v>
      </c>
      <c r="E49" s="1301">
        <v>46164.845092592594</v>
      </c>
      <c r="F49" s="1297" t="s">
        <v>123</v>
      </c>
      <c r="G49" s="1297" t="s">
        <v>9783</v>
      </c>
      <c r="H49" s="1301">
        <v>46215.833333333336</v>
      </c>
      <c r="I49" s="1301">
        <v>46215.791539351849</v>
      </c>
    </row>
    <row r="50" spans="1:9" ht="14">
      <c r="A50" s="1296" t="s">
        <v>4540</v>
      </c>
      <c r="B50" s="1296">
        <v>6500506790</v>
      </c>
      <c r="C50" s="1296" t="s">
        <v>9773</v>
      </c>
      <c r="D50" s="1300">
        <v>46164.798611111109</v>
      </c>
      <c r="E50" s="1300">
        <v>46164.845092592594</v>
      </c>
      <c r="F50" s="1299"/>
      <c r="G50" s="1296" t="s">
        <v>9779</v>
      </c>
      <c r="H50" s="1300">
        <v>46211.791666666664</v>
      </c>
      <c r="I50" s="1300">
        <v>46211.822372685187</v>
      </c>
    </row>
    <row r="51" spans="1:9" ht="14">
      <c r="A51" s="1297" t="s">
        <v>4549</v>
      </c>
      <c r="B51" s="1297">
        <v>9507226040</v>
      </c>
      <c r="C51" s="1297" t="s">
        <v>9773</v>
      </c>
      <c r="D51" s="1301">
        <v>46164.798611111109</v>
      </c>
      <c r="E51" s="1301">
        <v>46164.845092592594</v>
      </c>
      <c r="F51" s="1297" t="s">
        <v>123</v>
      </c>
      <c r="G51" s="1297" t="s">
        <v>9784</v>
      </c>
      <c r="H51" s="1301">
        <v>46225.916666666664</v>
      </c>
      <c r="I51" s="1301">
        <v>46225.981736111113</v>
      </c>
    </row>
    <row r="52" spans="1:9" ht="14">
      <c r="A52" s="1296" t="s">
        <v>4555</v>
      </c>
      <c r="B52" s="1296">
        <v>9507244150</v>
      </c>
      <c r="C52" s="1296" t="s">
        <v>9773</v>
      </c>
      <c r="D52" s="1300">
        <v>46164.798611111109</v>
      </c>
      <c r="E52" s="1300">
        <v>46164.845092592594</v>
      </c>
      <c r="F52" s="1296" t="s">
        <v>9775</v>
      </c>
      <c r="G52" s="1296" t="s">
        <v>8135</v>
      </c>
      <c r="H52" s="1300">
        <v>46236.25</v>
      </c>
      <c r="I52" s="1300">
        <v>46236.239571759259</v>
      </c>
    </row>
    <row r="53" spans="1:9" ht="14">
      <c r="A53" s="1297" t="s">
        <v>4564</v>
      </c>
      <c r="B53" s="1297">
        <v>9507244520</v>
      </c>
      <c r="C53" s="1297" t="s">
        <v>9773</v>
      </c>
      <c r="D53" s="1301">
        <v>46164.798611111109</v>
      </c>
      <c r="E53" s="1301">
        <v>46164.845092592594</v>
      </c>
      <c r="F53" s="1297" t="s">
        <v>9775</v>
      </c>
      <c r="G53" s="1297" t="s">
        <v>9778</v>
      </c>
      <c r="H53" s="1301">
        <v>46221.125</v>
      </c>
      <c r="I53" s="1301">
        <v>46221.124722222223</v>
      </c>
    </row>
    <row r="54" spans="1:9" ht="14">
      <c r="A54" s="1296" t="s">
        <v>4568</v>
      </c>
      <c r="B54" s="1296">
        <v>6500591410</v>
      </c>
      <c r="C54" s="1296" t="s">
        <v>9773</v>
      </c>
      <c r="D54" s="1300">
        <v>46164.798611111109</v>
      </c>
      <c r="E54" s="1300">
        <v>46164.845092592594</v>
      </c>
      <c r="F54" s="1296" t="s">
        <v>123</v>
      </c>
      <c r="G54" s="1296" t="s">
        <v>9778</v>
      </c>
      <c r="H54" s="1300">
        <v>46219.833333333336</v>
      </c>
      <c r="I54" s="1300">
        <v>46219.648356481484</v>
      </c>
    </row>
    <row r="55" spans="1:9" ht="14">
      <c r="A55" s="1297" t="s">
        <v>4583</v>
      </c>
      <c r="B55" s="1297">
        <v>6500936270</v>
      </c>
      <c r="C55" s="1297" t="s">
        <v>123</v>
      </c>
      <c r="D55" s="1301">
        <v>46167.958333333336</v>
      </c>
      <c r="E55" s="1301">
        <v>46168.254942129628</v>
      </c>
      <c r="F55" s="1298"/>
      <c r="G55" s="1297" t="s">
        <v>9783</v>
      </c>
      <c r="H55" s="1301">
        <v>46208.708333333336</v>
      </c>
      <c r="I55" s="1301">
        <v>46208.656018518515</v>
      </c>
    </row>
    <row r="56" spans="1:9" ht="14">
      <c r="A56" s="1296" t="s">
        <v>4587</v>
      </c>
      <c r="B56" s="1296">
        <v>6500933440</v>
      </c>
      <c r="C56" s="1296" t="s">
        <v>123</v>
      </c>
      <c r="D56" s="1300">
        <v>46173.645833333336</v>
      </c>
      <c r="E56" s="1300">
        <v>46173.669224537036</v>
      </c>
      <c r="F56" s="1299"/>
      <c r="G56" s="1296" t="s">
        <v>9779</v>
      </c>
      <c r="H56" s="1300">
        <v>46211.791666666664</v>
      </c>
      <c r="I56" s="1300">
        <v>46211.822372685187</v>
      </c>
    </row>
    <row r="57" spans="1:9" ht="14">
      <c r="A57" s="1297" t="s">
        <v>4595</v>
      </c>
      <c r="B57" s="1297">
        <v>6500933990</v>
      </c>
      <c r="C57" s="1297" t="s">
        <v>123</v>
      </c>
      <c r="D57" s="1301">
        <v>46173.645833333336</v>
      </c>
      <c r="E57" s="1301">
        <v>46173.669224537036</v>
      </c>
      <c r="F57" s="1298"/>
      <c r="G57" s="1297" t="s">
        <v>9779</v>
      </c>
      <c r="H57" s="1301">
        <v>46211.791666666664</v>
      </c>
      <c r="I57" s="1301">
        <v>46211.822372685187</v>
      </c>
    </row>
    <row r="58" spans="1:9" ht="14">
      <c r="A58" s="1296" t="s">
        <v>4604</v>
      </c>
      <c r="B58" s="1296">
        <v>6500935690</v>
      </c>
      <c r="C58" s="1296" t="s">
        <v>123</v>
      </c>
      <c r="D58" s="1300">
        <v>46174.666666666664</v>
      </c>
      <c r="E58" s="1300">
        <v>46174.715324074074</v>
      </c>
      <c r="F58" s="1296" t="s">
        <v>9785</v>
      </c>
      <c r="G58" s="1296" t="s">
        <v>9779</v>
      </c>
      <c r="H58" s="1300">
        <v>46227.458333333336</v>
      </c>
      <c r="I58" s="1300">
        <v>46227.434178240743</v>
      </c>
    </row>
    <row r="59" spans="1:9" ht="14">
      <c r="A59" s="1297" t="s">
        <v>4611</v>
      </c>
      <c r="B59" s="1297">
        <v>6500934940</v>
      </c>
      <c r="C59" s="1297" t="s">
        <v>123</v>
      </c>
      <c r="D59" s="1301">
        <v>46190.708333333336</v>
      </c>
      <c r="E59" s="1301">
        <v>46190.726354166669</v>
      </c>
      <c r="F59" s="1298"/>
      <c r="G59" s="1297" t="s">
        <v>9779</v>
      </c>
      <c r="H59" s="1301">
        <v>46234.6875</v>
      </c>
      <c r="I59" s="1301">
        <v>46234.795706018522</v>
      </c>
    </row>
    <row r="60" spans="1:9" ht="14">
      <c r="A60" s="1296" t="s">
        <v>4615</v>
      </c>
      <c r="B60" s="1296">
        <v>6501272360</v>
      </c>
      <c r="C60" s="1296" t="s">
        <v>123</v>
      </c>
      <c r="D60" s="1300">
        <v>46190.708333333336</v>
      </c>
      <c r="E60" s="1300">
        <v>46190.726354166669</v>
      </c>
      <c r="F60" s="1299"/>
      <c r="G60" s="1296" t="s">
        <v>9779</v>
      </c>
      <c r="H60" s="1300">
        <v>46234.6875</v>
      </c>
      <c r="I60" s="1300">
        <v>46234.795706018522</v>
      </c>
    </row>
    <row r="61" spans="1:9" ht="14">
      <c r="A61" s="1297" t="s">
        <v>4624</v>
      </c>
      <c r="B61" s="1297">
        <v>6501271780</v>
      </c>
      <c r="C61" s="1297" t="s">
        <v>123</v>
      </c>
      <c r="D61" s="1301">
        <v>46190.708333333336</v>
      </c>
      <c r="E61" s="1301">
        <v>46190.726354166669</v>
      </c>
      <c r="F61" s="1298"/>
      <c r="G61" s="1297" t="s">
        <v>9779</v>
      </c>
      <c r="H61" s="1301">
        <v>46234.6875</v>
      </c>
      <c r="I61" s="1301">
        <v>46234.795706018522</v>
      </c>
    </row>
    <row r="62" spans="1:9" ht="14">
      <c r="A62" s="1296" t="s">
        <v>4630</v>
      </c>
      <c r="B62" s="1296">
        <v>6500939350</v>
      </c>
      <c r="C62" s="1296" t="s">
        <v>123</v>
      </c>
      <c r="D62" s="1300">
        <v>46172.479166666664</v>
      </c>
      <c r="E62" s="1300">
        <v>46172.499710648146</v>
      </c>
      <c r="F62" s="1299"/>
      <c r="G62" s="1296" t="s">
        <v>9781</v>
      </c>
      <c r="H62" s="1300">
        <v>46225.5</v>
      </c>
      <c r="I62" s="1300">
        <v>46225.689560185187</v>
      </c>
    </row>
    <row r="63" spans="1:9" ht="14">
      <c r="A63" s="1297" t="s">
        <v>4636</v>
      </c>
      <c r="B63" s="1297">
        <v>6500939570</v>
      </c>
      <c r="C63" s="1297" t="s">
        <v>123</v>
      </c>
      <c r="D63" s="1301">
        <v>46172.479166666664</v>
      </c>
      <c r="E63" s="1301">
        <v>46172.499710648146</v>
      </c>
      <c r="F63" s="1297" t="s">
        <v>9776</v>
      </c>
      <c r="G63" s="1297" t="s">
        <v>9777</v>
      </c>
      <c r="H63" s="1301">
        <v>46227.291666666664</v>
      </c>
      <c r="I63" s="1301">
        <v>46227.704837962963</v>
      </c>
    </row>
    <row r="64" spans="1:9" ht="14">
      <c r="A64" s="1296" t="s">
        <v>4646</v>
      </c>
      <c r="B64" s="1296">
        <v>6500952590</v>
      </c>
      <c r="C64" s="1296" t="s">
        <v>123</v>
      </c>
      <c r="D64" s="1300">
        <v>46168.354166666664</v>
      </c>
      <c r="E64" s="1300">
        <v>46168.380972222221</v>
      </c>
      <c r="F64" s="1299"/>
      <c r="G64" s="1296" t="s">
        <v>9778</v>
      </c>
      <c r="H64" s="1300">
        <v>46204.583333333336</v>
      </c>
      <c r="I64" s="1300">
        <v>46204.374976851854</v>
      </c>
    </row>
    <row r="65" spans="1:9" ht="14">
      <c r="A65" s="1297" t="s">
        <v>4660</v>
      </c>
      <c r="B65" s="1297">
        <v>6500853600</v>
      </c>
      <c r="C65" s="1297" t="s">
        <v>9773</v>
      </c>
      <c r="D65" s="1301">
        <v>46164.798611111109</v>
      </c>
      <c r="E65" s="1301">
        <v>46164.845092592594</v>
      </c>
      <c r="F65" s="1297" t="s">
        <v>123</v>
      </c>
      <c r="G65" s="1297" t="s">
        <v>9784</v>
      </c>
      <c r="H65" s="1301">
        <v>46225.916666666664</v>
      </c>
      <c r="I65" s="1301">
        <v>46225.981736111113</v>
      </c>
    </row>
    <row r="66" spans="1:9" ht="14">
      <c r="A66" s="1296" t="s">
        <v>4664</v>
      </c>
      <c r="B66" s="1296">
        <v>6500844150</v>
      </c>
      <c r="C66" s="1296" t="s">
        <v>9773</v>
      </c>
      <c r="D66" s="1300">
        <v>46164.798611111109</v>
      </c>
      <c r="E66" s="1300">
        <v>46164.845092592594</v>
      </c>
      <c r="F66" s="1296" t="s">
        <v>9775</v>
      </c>
      <c r="G66" s="1296" t="s">
        <v>9779</v>
      </c>
      <c r="H66" s="1300">
        <v>46218.916666666664</v>
      </c>
      <c r="I66" s="1300">
        <v>46218.926388888889</v>
      </c>
    </row>
    <row r="67" spans="1:9" ht="14">
      <c r="A67" s="1297" t="s">
        <v>4672</v>
      </c>
      <c r="B67" s="1297">
        <v>6501834110</v>
      </c>
      <c r="C67" s="1297" t="s">
        <v>9773</v>
      </c>
      <c r="D67" s="1301">
        <v>46172.645833333336</v>
      </c>
      <c r="E67" s="1301">
        <v>46172.671979166669</v>
      </c>
      <c r="F67" s="1298"/>
      <c r="G67" s="1297" t="s">
        <v>9779</v>
      </c>
      <c r="H67" s="1301">
        <v>46218.916666666664</v>
      </c>
      <c r="I67" s="1301">
        <v>46218.926388888889</v>
      </c>
    </row>
    <row r="68" spans="1:9" ht="14">
      <c r="A68" s="1296" t="s">
        <v>4683</v>
      </c>
      <c r="B68" s="1296">
        <v>9507394940</v>
      </c>
      <c r="C68" s="1296" t="s">
        <v>9773</v>
      </c>
      <c r="D68" s="1300">
        <v>46172.645833333336</v>
      </c>
      <c r="E68" s="1300">
        <v>46172.671979166669</v>
      </c>
      <c r="F68" s="1296" t="s">
        <v>9775</v>
      </c>
      <c r="G68" s="1296" t="s">
        <v>9781</v>
      </c>
      <c r="H68" s="1300">
        <v>46239.5</v>
      </c>
      <c r="I68" s="1300">
        <v>46239.457638888889</v>
      </c>
    </row>
    <row r="69" spans="1:9" ht="14">
      <c r="A69" s="1297" t="s">
        <v>4688</v>
      </c>
      <c r="B69" s="1297">
        <v>9507394750</v>
      </c>
      <c r="C69" s="1297" t="s">
        <v>9773</v>
      </c>
      <c r="D69" s="1301">
        <v>46172.645833333336</v>
      </c>
      <c r="E69" s="1301">
        <v>46172.671979166669</v>
      </c>
      <c r="F69" s="1297" t="s">
        <v>9775</v>
      </c>
      <c r="G69" s="1297" t="s">
        <v>8135</v>
      </c>
      <c r="H69" s="1301">
        <v>46235.125</v>
      </c>
      <c r="I69" s="1301">
        <v>46235.175381944442</v>
      </c>
    </row>
    <row r="70" spans="1:9" ht="14">
      <c r="A70" s="1296" t="s">
        <v>4692</v>
      </c>
      <c r="B70" s="1296">
        <v>6501671340</v>
      </c>
      <c r="C70" s="1296" t="s">
        <v>9773</v>
      </c>
      <c r="D70" s="1300">
        <v>46172.645833333336</v>
      </c>
      <c r="E70" s="1300">
        <v>46172.671979166669</v>
      </c>
      <c r="F70" s="1296" t="s">
        <v>123</v>
      </c>
      <c r="G70" s="1296" t="s">
        <v>9783</v>
      </c>
      <c r="H70" s="1300">
        <v>46224.708333333336</v>
      </c>
      <c r="I70" s="1300">
        <v>46224.717939814815</v>
      </c>
    </row>
    <row r="71" spans="1:9" ht="14">
      <c r="A71" s="1297" t="s">
        <v>4698</v>
      </c>
      <c r="B71" s="1297">
        <v>9507395030</v>
      </c>
      <c r="C71" s="1297" t="s">
        <v>9773</v>
      </c>
      <c r="D71" s="1301">
        <v>46172.645833333336</v>
      </c>
      <c r="E71" s="1301">
        <v>46172.671979166669</v>
      </c>
      <c r="F71" s="1297" t="s">
        <v>123</v>
      </c>
      <c r="G71" s="1297" t="s">
        <v>9778</v>
      </c>
      <c r="H71" s="1301">
        <v>46229.333333333336</v>
      </c>
      <c r="I71" s="1301">
        <v>46229.295902777776</v>
      </c>
    </row>
    <row r="72" spans="1:9" ht="14">
      <c r="A72" s="1296" t="s">
        <v>4703</v>
      </c>
      <c r="B72" s="1296">
        <v>6501611330</v>
      </c>
      <c r="C72" s="1296" t="s">
        <v>123</v>
      </c>
      <c r="D72" s="1300">
        <v>46179.479166666664</v>
      </c>
      <c r="E72" s="1300">
        <v>46179.552465277775</v>
      </c>
      <c r="F72" s="1299"/>
      <c r="G72" s="1296" t="s">
        <v>9779</v>
      </c>
      <c r="H72" s="1300">
        <v>46218.916666666664</v>
      </c>
      <c r="I72" s="1300">
        <v>46218.926388888889</v>
      </c>
    </row>
    <row r="73" spans="1:9" ht="14">
      <c r="A73" s="1297" t="s">
        <v>4709</v>
      </c>
      <c r="B73" s="1297">
        <v>6501612640</v>
      </c>
      <c r="C73" s="1297" t="s">
        <v>123</v>
      </c>
      <c r="D73" s="1301">
        <v>46179.479166666664</v>
      </c>
      <c r="E73" s="1301">
        <v>46179.552465277775</v>
      </c>
      <c r="F73" s="1298"/>
      <c r="G73" s="1297" t="s">
        <v>9779</v>
      </c>
      <c r="H73" s="1301">
        <v>46218.916666666664</v>
      </c>
      <c r="I73" s="1301">
        <v>46218.926388888889</v>
      </c>
    </row>
    <row r="74" spans="1:9" ht="14">
      <c r="A74" s="1296" t="s">
        <v>4715</v>
      </c>
      <c r="B74" s="1296">
        <v>6501606860</v>
      </c>
      <c r="C74" s="1296" t="s">
        <v>123</v>
      </c>
      <c r="D74" s="1300">
        <v>46175.958333333336</v>
      </c>
      <c r="E74" s="1300">
        <v>46175.833240740743</v>
      </c>
      <c r="F74" s="1299"/>
      <c r="G74" s="1296" t="s">
        <v>9779</v>
      </c>
      <c r="H74" s="1300">
        <v>46222.208333333336</v>
      </c>
      <c r="I74" s="1300">
        <v>46222.270439814813</v>
      </c>
    </row>
    <row r="75" spans="1:9" ht="14">
      <c r="A75" s="1297" t="s">
        <v>4720</v>
      </c>
      <c r="B75" s="1297">
        <v>6501614610</v>
      </c>
      <c r="C75" s="1297" t="s">
        <v>123</v>
      </c>
      <c r="D75" s="1301">
        <v>46182.125</v>
      </c>
      <c r="E75" s="1301">
        <v>46182.145671296297</v>
      </c>
      <c r="F75" s="1298"/>
      <c r="G75" s="1297" t="s">
        <v>9779</v>
      </c>
      <c r="H75" s="1301">
        <v>46228.541666666664</v>
      </c>
      <c r="I75" s="1301">
        <v>46228.541307870371</v>
      </c>
    </row>
    <row r="76" spans="1:9" ht="14">
      <c r="A76" s="1296" t="s">
        <v>4727</v>
      </c>
      <c r="B76" s="1296">
        <v>6501935710</v>
      </c>
      <c r="C76" s="1296" t="s">
        <v>123</v>
      </c>
      <c r="D76" s="1300">
        <v>46183.291666666664</v>
      </c>
      <c r="E76" s="1300">
        <v>46183.326574074075</v>
      </c>
      <c r="F76" s="1299"/>
      <c r="G76" s="1296" t="s">
        <v>8135</v>
      </c>
      <c r="H76" s="1300">
        <v>46236.25</v>
      </c>
      <c r="I76" s="1300">
        <v>46236.239571759259</v>
      </c>
    </row>
    <row r="77" spans="1:9" ht="14">
      <c r="A77" s="1297" t="s">
        <v>4732</v>
      </c>
      <c r="B77" s="1297">
        <v>6501936780</v>
      </c>
      <c r="C77" s="1297" t="s">
        <v>123</v>
      </c>
      <c r="D77" s="1301">
        <v>46183.291666666664</v>
      </c>
      <c r="E77" s="1301">
        <v>46183.326574074075</v>
      </c>
      <c r="F77" s="1298"/>
      <c r="G77" s="1297" t="s">
        <v>9781</v>
      </c>
      <c r="H77" s="1301">
        <v>46232.75</v>
      </c>
      <c r="I77" s="1301">
        <v>46232.83326388889</v>
      </c>
    </row>
    <row r="78" spans="1:9" ht="14">
      <c r="A78" s="1296" t="s">
        <v>4740</v>
      </c>
      <c r="B78" s="1296">
        <v>6502257250</v>
      </c>
      <c r="C78" s="1296" t="s">
        <v>123</v>
      </c>
      <c r="D78" s="1300">
        <v>46178.520833333336</v>
      </c>
      <c r="E78" s="1300">
        <v>46178.523506944446</v>
      </c>
      <c r="F78" s="1299"/>
      <c r="G78" s="1296" t="s">
        <v>9778</v>
      </c>
      <c r="H78" s="1300">
        <v>46219.833333333336</v>
      </c>
      <c r="I78" s="1300">
        <v>46219.648356481484</v>
      </c>
    </row>
    <row r="79" spans="1:9" ht="14">
      <c r="A79" s="1297" t="s">
        <v>4744</v>
      </c>
      <c r="B79" s="1297">
        <v>6501615690</v>
      </c>
      <c r="C79" s="1297" t="s">
        <v>123</v>
      </c>
      <c r="D79" s="1301">
        <v>46178.520833333336</v>
      </c>
      <c r="E79" s="1301">
        <v>46178.523506944446</v>
      </c>
      <c r="F79" s="1298"/>
      <c r="G79" s="1297" t="s">
        <v>9778</v>
      </c>
      <c r="H79" s="1301">
        <v>46219.833333333336</v>
      </c>
      <c r="I79" s="1301">
        <v>46219.648356481484</v>
      </c>
    </row>
    <row r="80" spans="1:9" ht="14">
      <c r="A80" s="1296" t="s">
        <v>4754</v>
      </c>
      <c r="B80" s="1296">
        <v>9507498230</v>
      </c>
      <c r="C80" s="1296" t="s">
        <v>9773</v>
      </c>
      <c r="D80" s="1300">
        <v>46178.8125</v>
      </c>
      <c r="E80" s="1300">
        <v>46178.691296296296</v>
      </c>
      <c r="F80" s="1299"/>
      <c r="G80" s="1296" t="s">
        <v>9779</v>
      </c>
      <c r="H80" s="1300">
        <v>46223.416666666664</v>
      </c>
      <c r="I80" s="1300">
        <v>46223.416238425925</v>
      </c>
    </row>
    <row r="81" spans="1:9" ht="14">
      <c r="A81" s="1297" t="s">
        <v>4760</v>
      </c>
      <c r="B81" s="1297">
        <v>9507497710</v>
      </c>
      <c r="C81" s="1297" t="s">
        <v>9773</v>
      </c>
      <c r="D81" s="1301">
        <v>46178.8125</v>
      </c>
      <c r="E81" s="1301">
        <v>46178.691296296296</v>
      </c>
      <c r="F81" s="1297" t="s">
        <v>123</v>
      </c>
      <c r="G81" s="1297" t="s">
        <v>9778</v>
      </c>
      <c r="H81" s="1301">
        <v>46233.5</v>
      </c>
      <c r="I81" s="1301">
        <v>46233.593275462961</v>
      </c>
    </row>
    <row r="82" spans="1:9" ht="14">
      <c r="A82" s="1296" t="s">
        <v>4764</v>
      </c>
      <c r="B82" s="1296">
        <v>9507509280</v>
      </c>
      <c r="C82" s="1296" t="s">
        <v>9773</v>
      </c>
      <c r="D82" s="1300">
        <v>46178.8125</v>
      </c>
      <c r="E82" s="1300">
        <v>46178.691296296296</v>
      </c>
      <c r="F82" s="1296" t="s">
        <v>9786</v>
      </c>
      <c r="G82" s="1296" t="s">
        <v>9778</v>
      </c>
      <c r="H82" s="1300">
        <v>46262.583333333336</v>
      </c>
      <c r="I82" s="1300">
        <v>46262.516215277778</v>
      </c>
    </row>
    <row r="83" spans="1:9" ht="14">
      <c r="A83" s="1297" t="s">
        <v>4769</v>
      </c>
      <c r="B83" s="1297">
        <v>6502492780</v>
      </c>
      <c r="C83" s="1297" t="s">
        <v>9773</v>
      </c>
      <c r="D83" s="1301">
        <v>46178.8125</v>
      </c>
      <c r="E83" s="1301">
        <v>46178.691296296296</v>
      </c>
      <c r="F83" s="1297" t="s">
        <v>9775</v>
      </c>
      <c r="G83" s="1297" t="s">
        <v>9778</v>
      </c>
      <c r="H83" s="1301">
        <v>46236.333333333336</v>
      </c>
      <c r="I83" s="1301">
        <v>46236.419953703706</v>
      </c>
    </row>
    <row r="84" spans="1:9" ht="14">
      <c r="A84" s="1296" t="s">
        <v>4790</v>
      </c>
      <c r="B84" s="1296">
        <v>6502493430</v>
      </c>
      <c r="C84" s="1296" t="s">
        <v>123</v>
      </c>
      <c r="D84" s="1300">
        <v>46183.958333333336</v>
      </c>
      <c r="E84" s="1300">
        <v>46183.985844907409</v>
      </c>
      <c r="F84" s="1299"/>
      <c r="G84" s="1296" t="s">
        <v>9783</v>
      </c>
      <c r="H84" s="1300">
        <v>46224.708333333336</v>
      </c>
      <c r="I84" s="1300">
        <v>46224.717939814815</v>
      </c>
    </row>
    <row r="85" spans="1:9" ht="14">
      <c r="A85" s="1297" t="s">
        <v>4794</v>
      </c>
      <c r="B85" s="1297">
        <v>6503351170</v>
      </c>
      <c r="C85" s="1297" t="s">
        <v>123</v>
      </c>
      <c r="D85" s="1301">
        <v>46186.416666666664</v>
      </c>
      <c r="E85" s="1301">
        <v>46186.43677083333</v>
      </c>
      <c r="F85" s="1298"/>
      <c r="G85" s="1297" t="s">
        <v>9779</v>
      </c>
      <c r="H85" s="1301">
        <v>46223.416666666664</v>
      </c>
      <c r="I85" s="1301">
        <v>46223.416238425925</v>
      </c>
    </row>
    <row r="86" spans="1:9" ht="14">
      <c r="A86" s="1296" t="s">
        <v>4809</v>
      </c>
      <c r="B86" s="1296">
        <v>6502941500</v>
      </c>
      <c r="C86" s="1296" t="s">
        <v>123</v>
      </c>
      <c r="D86" s="1300">
        <v>46189.1875</v>
      </c>
      <c r="E86" s="1300">
        <v>46189.219097222223</v>
      </c>
      <c r="F86" s="1299"/>
      <c r="G86" s="1296" t="s">
        <v>8135</v>
      </c>
      <c r="H86" s="1300">
        <v>46245.833333333336</v>
      </c>
      <c r="I86" s="1300">
        <v>46245.821898148148</v>
      </c>
    </row>
    <row r="87" spans="1:9" ht="14">
      <c r="A87" s="1297" t="s">
        <v>4814</v>
      </c>
      <c r="B87" s="1297">
        <v>6503034790</v>
      </c>
      <c r="C87" s="1297" t="s">
        <v>123</v>
      </c>
      <c r="D87" s="1301">
        <v>46192.3125</v>
      </c>
      <c r="E87" s="1301">
        <v>46192.344004629631</v>
      </c>
      <c r="F87" s="1298"/>
      <c r="G87" s="1297" t="s">
        <v>8135</v>
      </c>
      <c r="H87" s="1301">
        <v>46235.125</v>
      </c>
      <c r="I87" s="1301">
        <v>46235.175381944442</v>
      </c>
    </row>
    <row r="88" spans="1:9" ht="14">
      <c r="A88" s="1296" t="s">
        <v>4818</v>
      </c>
      <c r="B88" s="1296">
        <v>6502940030</v>
      </c>
      <c r="C88" s="1296" t="s">
        <v>123</v>
      </c>
      <c r="D88" s="1300">
        <v>46189.1875</v>
      </c>
      <c r="E88" s="1300">
        <v>46189.219097222223</v>
      </c>
      <c r="F88" s="1299"/>
      <c r="G88" s="1296" t="s">
        <v>9781</v>
      </c>
      <c r="H88" s="1300">
        <v>46239.5</v>
      </c>
      <c r="I88" s="1300">
        <v>46239.457638888889</v>
      </c>
    </row>
    <row r="89" spans="1:9" ht="14">
      <c r="A89" s="1297" t="s">
        <v>4826</v>
      </c>
      <c r="B89" s="1297">
        <v>6502586240</v>
      </c>
      <c r="C89" s="1297" t="s">
        <v>123</v>
      </c>
      <c r="D89" s="1301">
        <v>46186.5625</v>
      </c>
      <c r="E89" s="1301">
        <v>46186.583067129628</v>
      </c>
      <c r="F89" s="1297" t="s">
        <v>9776</v>
      </c>
      <c r="G89" s="1297" t="s">
        <v>9777</v>
      </c>
      <c r="H89" s="1301">
        <v>46254.75</v>
      </c>
      <c r="I89" s="1301">
        <v>46254.30159722222</v>
      </c>
    </row>
    <row r="90" spans="1:9" ht="14">
      <c r="A90" s="1296" t="s">
        <v>4832</v>
      </c>
      <c r="B90" s="1296">
        <v>6502958530</v>
      </c>
      <c r="C90" s="1296" t="s">
        <v>123</v>
      </c>
      <c r="D90" s="1300">
        <v>46189.1875</v>
      </c>
      <c r="E90" s="1300">
        <v>46189.219097222223</v>
      </c>
      <c r="F90" s="1299"/>
      <c r="G90" s="1296" t="s">
        <v>9778</v>
      </c>
      <c r="H90" s="1300">
        <v>46250.583333333336</v>
      </c>
      <c r="I90" s="1300">
        <v>46250.44736111111</v>
      </c>
    </row>
    <row r="91" spans="1:9" ht="14">
      <c r="A91" s="1297" t="s">
        <v>4837</v>
      </c>
      <c r="B91" s="1297">
        <v>6502959080</v>
      </c>
      <c r="C91" s="1297" t="s">
        <v>123</v>
      </c>
      <c r="D91" s="1301">
        <v>46189.1875</v>
      </c>
      <c r="E91" s="1301">
        <v>46189.219097222223</v>
      </c>
      <c r="F91" s="1298"/>
      <c r="G91" s="1297" t="s">
        <v>9778</v>
      </c>
      <c r="H91" s="1301">
        <v>46250.583333333336</v>
      </c>
      <c r="I91" s="1301">
        <v>46250.44736111111</v>
      </c>
    </row>
    <row r="92" spans="1:9" ht="14">
      <c r="A92" s="1296" t="s">
        <v>4841</v>
      </c>
      <c r="B92" s="1296">
        <v>6502940840</v>
      </c>
      <c r="C92" s="1296" t="s">
        <v>123</v>
      </c>
      <c r="D92" s="1300">
        <v>46189.1875</v>
      </c>
      <c r="E92" s="1300">
        <v>46189.219097222223</v>
      </c>
      <c r="F92" s="1299"/>
      <c r="G92" s="1296" t="s">
        <v>9778</v>
      </c>
      <c r="H92" s="1300">
        <v>46250.583333333336</v>
      </c>
      <c r="I92" s="1300">
        <v>46250.44736111111</v>
      </c>
    </row>
    <row r="93" spans="1:9" ht="14">
      <c r="A93" s="1297" t="s">
        <v>4847</v>
      </c>
      <c r="B93" s="1297">
        <v>6502627700</v>
      </c>
      <c r="C93" s="1297" t="s">
        <v>123</v>
      </c>
      <c r="D93" s="1301">
        <v>46185.176388888889</v>
      </c>
      <c r="E93" s="1301">
        <v>46185.17696759259</v>
      </c>
      <c r="F93" s="1298"/>
      <c r="G93" s="1297" t="s">
        <v>9778</v>
      </c>
      <c r="H93" s="1301">
        <v>46221.125</v>
      </c>
      <c r="I93" s="1301">
        <v>46221.124722222223</v>
      </c>
    </row>
    <row r="94" spans="1:9" ht="14">
      <c r="A94" s="1296" t="s">
        <v>4886</v>
      </c>
      <c r="B94" s="1296">
        <v>9507638470</v>
      </c>
      <c r="C94" s="1296" t="s">
        <v>9773</v>
      </c>
      <c r="D94" s="1300">
        <v>46187.1875</v>
      </c>
      <c r="E94" s="1300">
        <v>46187.209155092591</v>
      </c>
      <c r="F94" s="1296" t="s">
        <v>123</v>
      </c>
      <c r="G94" s="1296" t="s">
        <v>9779</v>
      </c>
      <c r="H94" s="1300">
        <v>46242.041666666664</v>
      </c>
      <c r="I94" s="1300">
        <v>46241.871620370373</v>
      </c>
    </row>
    <row r="95" spans="1:9" ht="14">
      <c r="A95" s="1297" t="s">
        <v>4892</v>
      </c>
      <c r="B95" s="1297">
        <v>9507649120</v>
      </c>
      <c r="C95" s="1297" t="s">
        <v>9773</v>
      </c>
      <c r="D95" s="1301">
        <v>46187.1875</v>
      </c>
      <c r="E95" s="1301">
        <v>46187.209155092591</v>
      </c>
      <c r="F95" s="1298"/>
      <c r="G95" s="1297" t="s">
        <v>9779</v>
      </c>
      <c r="H95" s="1301">
        <v>46233.8125</v>
      </c>
      <c r="I95" s="1301">
        <v>46233.853298611109</v>
      </c>
    </row>
    <row r="96" spans="1:9" ht="14">
      <c r="A96" s="1296" t="s">
        <v>4905</v>
      </c>
      <c r="B96" s="1296">
        <v>9507636070</v>
      </c>
      <c r="C96" s="1296" t="s">
        <v>9773</v>
      </c>
      <c r="D96" s="1300">
        <v>46187.1875</v>
      </c>
      <c r="E96" s="1300">
        <v>46187.209155092591</v>
      </c>
      <c r="F96" s="1296" t="s">
        <v>9775</v>
      </c>
      <c r="G96" s="1296" t="s">
        <v>8135</v>
      </c>
      <c r="H96" s="1300">
        <v>46259.25</v>
      </c>
      <c r="I96" s="1300">
        <v>46259.238761574074</v>
      </c>
    </row>
    <row r="97" spans="1:9" ht="14">
      <c r="A97" s="1297" t="s">
        <v>4909</v>
      </c>
      <c r="B97" s="1297">
        <v>9507639060</v>
      </c>
      <c r="C97" s="1297" t="s">
        <v>9773</v>
      </c>
      <c r="D97" s="1301">
        <v>46187.1875</v>
      </c>
      <c r="E97" s="1301">
        <v>46187.209155092591</v>
      </c>
      <c r="F97" s="1297" t="s">
        <v>9775</v>
      </c>
      <c r="G97" s="1297" t="s">
        <v>8135</v>
      </c>
      <c r="H97" s="1301">
        <v>46253.541666666664</v>
      </c>
      <c r="I97" s="1301">
        <v>46253.474305555559</v>
      </c>
    </row>
    <row r="98" spans="1:9" ht="14">
      <c r="A98" s="1296" t="s">
        <v>4915</v>
      </c>
      <c r="B98" s="1296">
        <v>9507639000</v>
      </c>
      <c r="C98" s="1296" t="s">
        <v>9773</v>
      </c>
      <c r="D98" s="1300">
        <v>46187.1875</v>
      </c>
      <c r="E98" s="1300">
        <v>46187.209155092591</v>
      </c>
      <c r="F98" s="1296" t="s">
        <v>9775</v>
      </c>
      <c r="G98" s="1296" t="s">
        <v>9778</v>
      </c>
      <c r="H98" s="1300">
        <v>46247.083333333336</v>
      </c>
      <c r="I98" s="1300">
        <v>46247.058229166665</v>
      </c>
    </row>
    <row r="99" spans="1:9" ht="14">
      <c r="A99" s="1297" t="s">
        <v>4919</v>
      </c>
      <c r="B99" s="1297">
        <v>9507638950</v>
      </c>
      <c r="C99" s="1297" t="s">
        <v>9773</v>
      </c>
      <c r="D99" s="1301">
        <v>46187.1875</v>
      </c>
      <c r="E99" s="1301">
        <v>46187.209155092591</v>
      </c>
      <c r="F99" s="1297" t="s">
        <v>123</v>
      </c>
      <c r="G99" s="1297" t="s">
        <v>9778</v>
      </c>
      <c r="H99" s="1301">
        <v>46247.375</v>
      </c>
      <c r="I99" s="1301">
        <v>46247.275509259256</v>
      </c>
    </row>
    <row r="100" spans="1:9" ht="14">
      <c r="A100" s="1296" t="s">
        <v>4925</v>
      </c>
      <c r="B100" s="1296">
        <v>6503989170</v>
      </c>
      <c r="C100" s="1296" t="s">
        <v>123</v>
      </c>
      <c r="D100" s="1300">
        <v>46190.833333333336</v>
      </c>
      <c r="E100" s="1300">
        <v>46190.856678240743</v>
      </c>
      <c r="F100" s="1299"/>
      <c r="G100" s="1296" t="s">
        <v>9783</v>
      </c>
      <c r="H100" s="1300">
        <v>46232.5</v>
      </c>
      <c r="I100" s="1300">
        <v>46232.433854166666</v>
      </c>
    </row>
    <row r="101" spans="1:9" ht="14">
      <c r="A101" s="1297" t="s">
        <v>4929</v>
      </c>
      <c r="B101" s="1297">
        <v>6503863610</v>
      </c>
      <c r="C101" s="1297" t="s">
        <v>123</v>
      </c>
      <c r="D101" s="1301">
        <v>46190.833333333336</v>
      </c>
      <c r="E101" s="1301">
        <v>46190.856678240743</v>
      </c>
      <c r="F101" s="1298"/>
      <c r="G101" s="1297" t="s">
        <v>9783</v>
      </c>
      <c r="H101" s="1301">
        <v>46232.5</v>
      </c>
      <c r="I101" s="1301">
        <v>46232.433854166666</v>
      </c>
    </row>
    <row r="102" spans="1:9" ht="14">
      <c r="A102" s="1296" t="s">
        <v>4934</v>
      </c>
      <c r="B102" s="1296">
        <v>6503246610</v>
      </c>
      <c r="C102" s="1296" t="s">
        <v>123</v>
      </c>
      <c r="D102" s="1300">
        <v>46195.645833333336</v>
      </c>
      <c r="E102" s="1300">
        <v>46195.516574074078</v>
      </c>
      <c r="F102" s="1299"/>
      <c r="G102" s="1296" t="s">
        <v>9779</v>
      </c>
      <c r="H102" s="1300">
        <v>46233.8125</v>
      </c>
      <c r="I102" s="1300">
        <v>46233.853298611109</v>
      </c>
    </row>
    <row r="103" spans="1:9" ht="14">
      <c r="A103" s="1297" t="s">
        <v>4939</v>
      </c>
      <c r="B103" s="1297">
        <v>6503114070</v>
      </c>
      <c r="C103" s="1297" t="s">
        <v>123</v>
      </c>
      <c r="D103" s="1301">
        <v>46189.895833333336</v>
      </c>
      <c r="E103" s="1301">
        <v>46189.683425925927</v>
      </c>
      <c r="F103" s="1298"/>
      <c r="G103" s="1297" t="s">
        <v>9779</v>
      </c>
      <c r="H103" s="1301">
        <v>46239.166666666664</v>
      </c>
      <c r="I103" s="1301">
        <v>46239.203981481478</v>
      </c>
    </row>
    <row r="104" spans="1:9" ht="14">
      <c r="A104" s="1296" t="s">
        <v>4944</v>
      </c>
      <c r="B104" s="1296">
        <v>6503119910</v>
      </c>
      <c r="C104" s="1296" t="s">
        <v>123</v>
      </c>
      <c r="D104" s="1300">
        <v>46190.708333333336</v>
      </c>
      <c r="E104" s="1300">
        <v>46190.726354166669</v>
      </c>
      <c r="F104" s="1299"/>
      <c r="G104" s="1296" t="s">
        <v>9779</v>
      </c>
      <c r="H104" s="1300">
        <v>46234.6875</v>
      </c>
      <c r="I104" s="1300">
        <v>46234.795706018522</v>
      </c>
    </row>
    <row r="105" spans="1:9" ht="14">
      <c r="A105" s="1297" t="s">
        <v>4959</v>
      </c>
      <c r="B105" s="1297">
        <v>6503364860</v>
      </c>
      <c r="C105" s="1297" t="s">
        <v>123</v>
      </c>
      <c r="D105" s="1301">
        <v>46192.3125</v>
      </c>
      <c r="E105" s="1301">
        <v>46192.344004629631</v>
      </c>
      <c r="F105" s="1298"/>
      <c r="G105" s="1297" t="s">
        <v>8135</v>
      </c>
      <c r="H105" s="1301">
        <v>46235.125</v>
      </c>
      <c r="I105" s="1301">
        <v>46235.175381944442</v>
      </c>
    </row>
    <row r="106" spans="1:9" ht="14">
      <c r="A106" s="1296" t="s">
        <v>4975</v>
      </c>
      <c r="B106" s="1296">
        <v>6503741610</v>
      </c>
      <c r="C106" s="1296" t="s">
        <v>123</v>
      </c>
      <c r="D106" s="1300">
        <v>46200.958333333336</v>
      </c>
      <c r="E106" s="1300">
        <v>46200.97996527778</v>
      </c>
      <c r="F106" s="1299"/>
      <c r="G106" s="1296" t="s">
        <v>8135</v>
      </c>
      <c r="H106" s="1300">
        <v>46251.25</v>
      </c>
      <c r="I106" s="1300">
        <v>46250.848819444444</v>
      </c>
    </row>
    <row r="107" spans="1:9" ht="14">
      <c r="A107" s="1297" t="s">
        <v>4984</v>
      </c>
      <c r="B107" s="1297">
        <v>6503527860</v>
      </c>
      <c r="C107" s="1297" t="s">
        <v>123</v>
      </c>
      <c r="D107" s="1301">
        <v>46191.5</v>
      </c>
      <c r="E107" s="1301">
        <v>46191.502662037034</v>
      </c>
      <c r="F107" s="1297" t="s">
        <v>9776</v>
      </c>
      <c r="G107" s="1297" t="s">
        <v>9777</v>
      </c>
      <c r="H107" s="1301">
        <v>46254.75</v>
      </c>
      <c r="I107" s="1301">
        <v>46254.30159722222</v>
      </c>
    </row>
    <row r="108" spans="1:9" ht="14">
      <c r="A108" s="1296" t="s">
        <v>4996</v>
      </c>
      <c r="B108" s="1296">
        <v>9507807450</v>
      </c>
      <c r="C108" s="1296" t="s">
        <v>9773</v>
      </c>
      <c r="D108" s="1300">
        <v>46195.333333333336</v>
      </c>
      <c r="E108" s="1300">
        <v>46195.205069444448</v>
      </c>
      <c r="F108" s="1296" t="s">
        <v>9775</v>
      </c>
      <c r="G108" s="1296" t="s">
        <v>8135</v>
      </c>
      <c r="H108" s="1300">
        <v>46261.25</v>
      </c>
      <c r="I108" s="1300">
        <v>46261.249641203707</v>
      </c>
    </row>
    <row r="109" spans="1:9" ht="14">
      <c r="A109" s="1297" t="s">
        <v>5000</v>
      </c>
      <c r="B109" s="1297">
        <v>9507807520</v>
      </c>
      <c r="C109" s="1297" t="s">
        <v>9773</v>
      </c>
      <c r="D109" s="1301">
        <v>46195.333333333336</v>
      </c>
      <c r="E109" s="1301">
        <v>46195.205069444448</v>
      </c>
      <c r="F109" s="1297" t="s">
        <v>123</v>
      </c>
      <c r="G109" s="1297" t="s">
        <v>8135</v>
      </c>
      <c r="H109" s="1301">
        <v>46271.25</v>
      </c>
      <c r="I109" s="1301">
        <v>46271.279085648152</v>
      </c>
    </row>
    <row r="110" spans="1:9" ht="14">
      <c r="A110" s="1296" t="s">
        <v>5008</v>
      </c>
      <c r="B110" s="1296">
        <v>6504041890</v>
      </c>
      <c r="C110" s="1296" t="s">
        <v>9773</v>
      </c>
      <c r="D110" s="1300">
        <v>46195.333333333336</v>
      </c>
      <c r="E110" s="1300">
        <v>46195.205069444448</v>
      </c>
      <c r="F110" s="1296" t="s">
        <v>123</v>
      </c>
      <c r="G110" s="1296" t="s">
        <v>9783</v>
      </c>
      <c r="H110" s="1300">
        <v>46244.40625</v>
      </c>
      <c r="I110" s="1300">
        <v>46244.405787037038</v>
      </c>
    </row>
    <row r="111" spans="1:9" ht="14">
      <c r="A111" s="1297" t="s">
        <v>5012</v>
      </c>
      <c r="B111" s="1297">
        <v>6504191030</v>
      </c>
      <c r="C111" s="1297" t="s">
        <v>9773</v>
      </c>
      <c r="D111" s="1301">
        <v>46195.333333333336</v>
      </c>
      <c r="E111" s="1301">
        <v>46195.205069444448</v>
      </c>
      <c r="F111" s="1298"/>
      <c r="G111" s="1297" t="s">
        <v>9779</v>
      </c>
      <c r="H111" s="1301">
        <v>46240.020833333336</v>
      </c>
      <c r="I111" s="1301">
        <v>46240.041226851848</v>
      </c>
    </row>
    <row r="112" spans="1:9" ht="14">
      <c r="A112" s="1296" t="s">
        <v>5016</v>
      </c>
      <c r="B112" s="1296">
        <v>6504047380</v>
      </c>
      <c r="C112" s="1296" t="s">
        <v>9773</v>
      </c>
      <c r="D112" s="1300">
        <v>46195.333333333336</v>
      </c>
      <c r="E112" s="1300">
        <v>46195.205069444448</v>
      </c>
      <c r="F112" s="1299"/>
      <c r="G112" s="1296" t="s">
        <v>9779</v>
      </c>
      <c r="H112" s="1300">
        <v>46240.020833333336</v>
      </c>
      <c r="I112" s="1300">
        <v>46240.041226851848</v>
      </c>
    </row>
    <row r="113" spans="1:9" ht="14">
      <c r="A113" s="1297" t="s">
        <v>5021</v>
      </c>
      <c r="B113" s="1297">
        <v>9507807610</v>
      </c>
      <c r="C113" s="1297" t="s">
        <v>9773</v>
      </c>
      <c r="D113" s="1301">
        <v>46195.333333333336</v>
      </c>
      <c r="E113" s="1301">
        <v>46195.205069444448</v>
      </c>
      <c r="F113" s="1297" t="s">
        <v>123</v>
      </c>
      <c r="G113" s="1297" t="s">
        <v>9778</v>
      </c>
      <c r="H113" s="1301">
        <v>46258.375</v>
      </c>
      <c r="I113" s="1301">
        <v>46258.289537037039</v>
      </c>
    </row>
    <row r="114" spans="1:9" ht="14">
      <c r="A114" s="1296" t="s">
        <v>5025</v>
      </c>
      <c r="B114" s="1296">
        <v>9507770280</v>
      </c>
      <c r="C114" s="1296" t="s">
        <v>9773</v>
      </c>
      <c r="D114" s="1300">
        <v>46195.333333333336</v>
      </c>
      <c r="E114" s="1300">
        <v>46195.205069444448</v>
      </c>
      <c r="F114" s="1296" t="s">
        <v>123</v>
      </c>
      <c r="G114" s="1296" t="s">
        <v>9778</v>
      </c>
      <c r="H114" s="1300">
        <v>46275.083333333336</v>
      </c>
      <c r="I114" s="1300">
        <v>46275.045995370368</v>
      </c>
    </row>
    <row r="115" spans="1:9" ht="14">
      <c r="A115" s="1297" t="s">
        <v>5062</v>
      </c>
      <c r="B115" s="1297">
        <v>6504129580</v>
      </c>
      <c r="C115" s="1297" t="s">
        <v>123</v>
      </c>
      <c r="D115" s="1301">
        <v>46203.645833333336</v>
      </c>
      <c r="E115" s="1301">
        <v>46203.667638888888</v>
      </c>
      <c r="F115" s="1298"/>
      <c r="G115" s="1297" t="s">
        <v>9779</v>
      </c>
      <c r="H115" s="1301">
        <v>46240.020833333336</v>
      </c>
      <c r="I115" s="1301">
        <v>46240.041226851848</v>
      </c>
    </row>
    <row r="116" spans="1:9" ht="14">
      <c r="A116" s="1296" t="s">
        <v>5070</v>
      </c>
      <c r="B116" s="1296">
        <v>6503985850</v>
      </c>
      <c r="C116" s="1296" t="s">
        <v>123</v>
      </c>
      <c r="D116" s="1300">
        <v>46197.291666666664</v>
      </c>
      <c r="E116" s="1300">
        <v>46197.343634259261</v>
      </c>
      <c r="F116" s="1299"/>
      <c r="G116" s="1296" t="s">
        <v>9779</v>
      </c>
      <c r="H116" s="1300">
        <v>46242.416666666664</v>
      </c>
      <c r="I116" s="1300">
        <v>46242.416134259256</v>
      </c>
    </row>
    <row r="117" spans="1:9" ht="14">
      <c r="A117" s="1297" t="s">
        <v>5075</v>
      </c>
      <c r="B117" s="1297">
        <v>6503980090</v>
      </c>
      <c r="C117" s="1297" t="s">
        <v>123</v>
      </c>
      <c r="D117" s="1301">
        <v>46196.9375</v>
      </c>
      <c r="E117" s="1301">
        <v>46196.957442129627</v>
      </c>
      <c r="F117" s="1298"/>
      <c r="G117" s="1297" t="s">
        <v>9779</v>
      </c>
      <c r="H117" s="1301">
        <v>46249.416666666664</v>
      </c>
      <c r="I117" s="1301">
        <v>46249.489212962966</v>
      </c>
    </row>
    <row r="118" spans="1:9" ht="14">
      <c r="A118" s="1296" t="s">
        <v>5080</v>
      </c>
      <c r="B118" s="1296">
        <v>6504140950</v>
      </c>
      <c r="C118" s="1296" t="s">
        <v>123</v>
      </c>
      <c r="D118" s="1300">
        <v>46198.875</v>
      </c>
      <c r="E118" s="1300">
        <v>46198.816701388889</v>
      </c>
      <c r="F118" s="1299"/>
      <c r="G118" s="1296" t="s">
        <v>8135</v>
      </c>
      <c r="H118" s="1300">
        <v>46242.25</v>
      </c>
      <c r="I118" s="1300">
        <v>46242.239039351851</v>
      </c>
    </row>
    <row r="119" spans="1:9" ht="14">
      <c r="A119" s="1297" t="s">
        <v>5088</v>
      </c>
      <c r="B119" s="1297">
        <v>6504372270</v>
      </c>
      <c r="C119" s="1297" t="s">
        <v>123</v>
      </c>
      <c r="D119" s="1301">
        <v>46201.604166666664</v>
      </c>
      <c r="E119" s="1301">
        <v>46201.364212962966</v>
      </c>
      <c r="F119" s="1298"/>
      <c r="G119" s="1297" t="s">
        <v>8135</v>
      </c>
      <c r="H119" s="1301">
        <v>46259.25</v>
      </c>
      <c r="I119" s="1301">
        <v>46259.238761574074</v>
      </c>
    </row>
    <row r="120" spans="1:9" ht="14">
      <c r="A120" s="1296" t="s">
        <v>5094</v>
      </c>
      <c r="B120" s="1296">
        <v>6504374270</v>
      </c>
      <c r="C120" s="1296" t="s">
        <v>123</v>
      </c>
      <c r="D120" s="1300">
        <v>46201.604166666664</v>
      </c>
      <c r="E120" s="1300">
        <v>46201.364212962966</v>
      </c>
      <c r="F120" s="1299"/>
      <c r="G120" s="1296" t="s">
        <v>8135</v>
      </c>
      <c r="H120" s="1300">
        <v>46259.25</v>
      </c>
      <c r="I120" s="1300">
        <v>46259.238761574074</v>
      </c>
    </row>
    <row r="121" spans="1:9" ht="14">
      <c r="A121" s="1297" t="s">
        <v>5105</v>
      </c>
      <c r="B121" s="1297">
        <v>6505411160</v>
      </c>
      <c r="C121" s="1297" t="s">
        <v>123</v>
      </c>
      <c r="D121" s="1301">
        <v>46201.604166666664</v>
      </c>
      <c r="E121" s="1301">
        <v>46201.364212962966</v>
      </c>
      <c r="F121" s="1298"/>
      <c r="G121" s="1297" t="s">
        <v>8135</v>
      </c>
      <c r="H121" s="1301">
        <v>46259.25</v>
      </c>
      <c r="I121" s="1301">
        <v>46259.238761574074</v>
      </c>
    </row>
    <row r="122" spans="1:9" ht="14">
      <c r="A122" s="1296" t="s">
        <v>5110</v>
      </c>
      <c r="B122" s="1296">
        <v>6504378210</v>
      </c>
      <c r="C122" s="1296" t="s">
        <v>123</v>
      </c>
      <c r="D122" s="1300">
        <v>46201.604166666664</v>
      </c>
      <c r="E122" s="1300">
        <v>46201.364212962966</v>
      </c>
      <c r="F122" s="1299"/>
      <c r="G122" s="1296" t="s">
        <v>8135</v>
      </c>
      <c r="H122" s="1300">
        <v>46259.25</v>
      </c>
      <c r="I122" s="1300">
        <v>46259.238761574074</v>
      </c>
    </row>
    <row r="123" spans="1:9" ht="14">
      <c r="A123" s="1297" t="s">
        <v>5115</v>
      </c>
      <c r="B123" s="1297">
        <v>6504138100</v>
      </c>
      <c r="C123" s="1297" t="s">
        <v>123</v>
      </c>
      <c r="D123" s="1301">
        <v>46205.708333333336</v>
      </c>
      <c r="E123" s="1301">
        <v>46205.721689814818</v>
      </c>
      <c r="F123" s="1297" t="s">
        <v>9776</v>
      </c>
      <c r="G123" s="1297" t="s">
        <v>9777</v>
      </c>
      <c r="H123" s="1301">
        <v>46264.25</v>
      </c>
      <c r="I123" s="1301">
        <v>46264.627175925925</v>
      </c>
    </row>
    <row r="124" spans="1:9" ht="14">
      <c r="A124" s="1296" t="s">
        <v>5123</v>
      </c>
      <c r="B124" s="1296">
        <v>9507886950</v>
      </c>
      <c r="C124" s="1296" t="s">
        <v>9773</v>
      </c>
      <c r="D124" s="1300">
        <v>46197.666666666664</v>
      </c>
      <c r="E124" s="1300">
        <v>46197.673738425925</v>
      </c>
      <c r="F124" s="1296" t="s">
        <v>5994</v>
      </c>
      <c r="G124" s="1296" t="s">
        <v>9779</v>
      </c>
      <c r="H124" s="1300">
        <v>46262.1875</v>
      </c>
      <c r="I124" s="1300">
        <v>46262.176122685189</v>
      </c>
    </row>
    <row r="125" spans="1:9" ht="14">
      <c r="A125" s="1297" t="s">
        <v>5128</v>
      </c>
      <c r="B125" s="1297">
        <v>9507829660</v>
      </c>
      <c r="C125" s="1297" t="s">
        <v>9773</v>
      </c>
      <c r="D125" s="1301">
        <v>46197.666666666664</v>
      </c>
      <c r="E125" s="1301">
        <v>46197.673738425925</v>
      </c>
      <c r="F125" s="1298"/>
      <c r="G125" s="1297" t="s">
        <v>9779</v>
      </c>
      <c r="H125" s="1301">
        <v>46244.291666666664</v>
      </c>
      <c r="I125" s="1301">
        <v>46244.348958333336</v>
      </c>
    </row>
    <row r="126" spans="1:9" ht="14">
      <c r="A126" s="1296" t="s">
        <v>5132</v>
      </c>
      <c r="B126" s="1296">
        <v>9507886600</v>
      </c>
      <c r="C126" s="1296" t="s">
        <v>9773</v>
      </c>
      <c r="D126" s="1300">
        <v>46197.666666666664</v>
      </c>
      <c r="E126" s="1300">
        <v>46197.673738425925</v>
      </c>
      <c r="F126" s="1296" t="s">
        <v>9775</v>
      </c>
      <c r="G126" s="1296" t="s">
        <v>8135</v>
      </c>
      <c r="H126" s="1300">
        <v>46278.083333333336</v>
      </c>
      <c r="I126" s="1300">
        <v>46278.186840277776</v>
      </c>
    </row>
    <row r="127" spans="1:9" ht="14">
      <c r="A127" s="1297" t="s">
        <v>5136</v>
      </c>
      <c r="B127" s="1297">
        <v>9507886780</v>
      </c>
      <c r="C127" s="1297" t="s">
        <v>9773</v>
      </c>
      <c r="D127" s="1301">
        <v>46197.666666666664</v>
      </c>
      <c r="E127" s="1301">
        <v>46197.673738425925</v>
      </c>
      <c r="F127" s="1297" t="s">
        <v>9775</v>
      </c>
      <c r="G127" s="1297" t="s">
        <v>8135</v>
      </c>
      <c r="H127" s="1301">
        <v>46272.833333333336</v>
      </c>
      <c r="I127" s="1301">
        <v>46272.644375000003</v>
      </c>
    </row>
    <row r="128" spans="1:9" ht="14">
      <c r="A128" s="1296" t="s">
        <v>5141</v>
      </c>
      <c r="B128" s="1296">
        <v>6504801500</v>
      </c>
      <c r="C128" s="1296" t="s">
        <v>9773</v>
      </c>
      <c r="D128" s="1300">
        <v>46197.666666666664</v>
      </c>
      <c r="E128" s="1300">
        <v>46197.673738425925</v>
      </c>
      <c r="F128" s="1296" t="s">
        <v>9775</v>
      </c>
      <c r="G128" s="1296" t="s">
        <v>9783</v>
      </c>
      <c r="H128" s="1300">
        <v>46253.75</v>
      </c>
      <c r="I128" s="1300">
        <v>46253.739166666666</v>
      </c>
    </row>
    <row r="129" spans="1:9" ht="14">
      <c r="A129" s="1297" t="s">
        <v>5145</v>
      </c>
      <c r="B129" s="1297">
        <v>9507886860</v>
      </c>
      <c r="C129" s="1297" t="s">
        <v>9773</v>
      </c>
      <c r="D129" s="1301">
        <v>46197.666666666664</v>
      </c>
      <c r="E129" s="1301">
        <v>46197.673738425925</v>
      </c>
      <c r="F129" s="1297" t="s">
        <v>9775</v>
      </c>
      <c r="G129" s="1297" t="s">
        <v>8135</v>
      </c>
      <c r="H129" s="1301">
        <v>46272.833333333336</v>
      </c>
      <c r="I129" s="1301">
        <v>46272.644375000003</v>
      </c>
    </row>
    <row r="130" spans="1:9" ht="14">
      <c r="A130" s="1296" t="s">
        <v>5166</v>
      </c>
      <c r="B130" s="1296">
        <v>6505324630</v>
      </c>
      <c r="C130" s="1296" t="s">
        <v>123</v>
      </c>
      <c r="D130" s="1300">
        <v>46204.1875</v>
      </c>
      <c r="E130" s="1300">
        <v>46204.208078703705</v>
      </c>
      <c r="F130" s="1299"/>
      <c r="G130" s="1296" t="s">
        <v>9783</v>
      </c>
      <c r="H130" s="1300">
        <v>46256.458333333336</v>
      </c>
      <c r="I130" s="1300">
        <v>46256.481874999998</v>
      </c>
    </row>
    <row r="131" spans="1:9" ht="14">
      <c r="A131" s="1297" t="s">
        <v>5171</v>
      </c>
      <c r="B131" s="1297">
        <v>6503833660</v>
      </c>
      <c r="C131" s="1297" t="s">
        <v>123</v>
      </c>
      <c r="D131" s="1301">
        <v>46204.1875</v>
      </c>
      <c r="E131" s="1301">
        <v>46204.208078703705</v>
      </c>
      <c r="F131" s="1298"/>
      <c r="G131" s="1297" t="s">
        <v>9783</v>
      </c>
      <c r="H131" s="1301">
        <v>46256.458333333336</v>
      </c>
      <c r="I131" s="1301">
        <v>46256.481874999998</v>
      </c>
    </row>
    <row r="132" spans="1:9" ht="14">
      <c r="A132" s="1296" t="s">
        <v>5176</v>
      </c>
      <c r="B132" s="1296">
        <v>6505377920</v>
      </c>
      <c r="C132" s="1296" t="s">
        <v>123</v>
      </c>
      <c r="D132" s="1300">
        <v>46206.25</v>
      </c>
      <c r="E132" s="1300">
        <v>46206.24690972222</v>
      </c>
      <c r="F132" s="1299"/>
      <c r="G132" s="1296" t="s">
        <v>9779</v>
      </c>
      <c r="H132" s="1300">
        <v>46244.291666666664</v>
      </c>
      <c r="I132" s="1300">
        <v>46244.348958333336</v>
      </c>
    </row>
    <row r="133" spans="1:9" ht="14">
      <c r="A133" s="1297" t="s">
        <v>5183</v>
      </c>
      <c r="B133" s="1297">
        <v>6505017200</v>
      </c>
      <c r="C133" s="1297" t="s">
        <v>123</v>
      </c>
      <c r="D133" s="1301">
        <v>46221.5</v>
      </c>
      <c r="E133" s="1301">
        <v>46220.527777777781</v>
      </c>
      <c r="F133" s="1298"/>
      <c r="G133" s="1297" t="s">
        <v>9779</v>
      </c>
      <c r="H133" s="1301">
        <v>46260.5</v>
      </c>
      <c r="I133" s="1301">
        <v>46260.57949074074</v>
      </c>
    </row>
    <row r="134" spans="1:9" ht="14">
      <c r="A134" s="1296" t="s">
        <v>5187</v>
      </c>
      <c r="B134" s="1296">
        <v>6504983950</v>
      </c>
      <c r="C134" s="1296" t="s">
        <v>123</v>
      </c>
      <c r="D134" s="1300">
        <v>46206.25</v>
      </c>
      <c r="E134" s="1300">
        <v>46206.24690972222</v>
      </c>
      <c r="F134" s="1299"/>
      <c r="G134" s="1296" t="s">
        <v>9779</v>
      </c>
      <c r="H134" s="1300">
        <v>46244.291666666664</v>
      </c>
      <c r="I134" s="1300">
        <v>46244.348958333336</v>
      </c>
    </row>
    <row r="135" spans="1:9" ht="14">
      <c r="A135" s="1297" t="s">
        <v>5193</v>
      </c>
      <c r="B135" s="1297">
        <v>6505404590</v>
      </c>
      <c r="C135" s="1297" t="s">
        <v>123</v>
      </c>
      <c r="D135" s="1301">
        <v>46206.25</v>
      </c>
      <c r="E135" s="1301">
        <v>46206.24690972222</v>
      </c>
      <c r="F135" s="1298"/>
      <c r="G135" s="1297" t="s">
        <v>9779</v>
      </c>
      <c r="H135" s="1301">
        <v>46244.291666666664</v>
      </c>
      <c r="I135" s="1301">
        <v>46244.348958333336</v>
      </c>
    </row>
    <row r="136" spans="1:9" ht="14">
      <c r="A136" s="1296" t="s">
        <v>5199</v>
      </c>
      <c r="B136" s="1296">
        <v>6504989080</v>
      </c>
      <c r="C136" s="1296" t="s">
        <v>123</v>
      </c>
      <c r="D136" s="1300">
        <v>46209.875</v>
      </c>
      <c r="E136" s="1300">
        <v>46209.833182870374</v>
      </c>
      <c r="F136" s="1299"/>
      <c r="G136" s="1296" t="s">
        <v>8135</v>
      </c>
      <c r="H136" s="1300">
        <v>46253.541666666664</v>
      </c>
      <c r="I136" s="1300">
        <v>46253.474305555559</v>
      </c>
    </row>
    <row r="137" spans="1:9" ht="14">
      <c r="A137" s="1297" t="s">
        <v>5208</v>
      </c>
      <c r="B137" s="1297">
        <v>6505067030</v>
      </c>
      <c r="C137" s="1297" t="s">
        <v>123</v>
      </c>
      <c r="D137" s="1301">
        <v>46211.5</v>
      </c>
      <c r="E137" s="1301">
        <v>46211.386006944442</v>
      </c>
      <c r="F137" s="1298"/>
      <c r="G137" s="1297" t="s">
        <v>8135</v>
      </c>
      <c r="H137" s="1301">
        <v>46271.25</v>
      </c>
      <c r="I137" s="1301">
        <v>46271.279085648152</v>
      </c>
    </row>
    <row r="138" spans="1:9" ht="14">
      <c r="A138" s="1296" t="s">
        <v>5215</v>
      </c>
      <c r="B138" s="1296">
        <v>6505066450</v>
      </c>
      <c r="C138" s="1296" t="s">
        <v>123</v>
      </c>
      <c r="D138" s="1300">
        <v>46211.5</v>
      </c>
      <c r="E138" s="1300">
        <v>46211.386006944442</v>
      </c>
      <c r="F138" s="1299"/>
      <c r="G138" s="1296" t="s">
        <v>8135</v>
      </c>
      <c r="H138" s="1300">
        <v>46271.25</v>
      </c>
      <c r="I138" s="1300">
        <v>46271.279085648152</v>
      </c>
    </row>
    <row r="139" spans="1:9" ht="14">
      <c r="A139" s="1297" t="s">
        <v>5221</v>
      </c>
      <c r="B139" s="1297">
        <v>6505066890</v>
      </c>
      <c r="C139" s="1297" t="s">
        <v>123</v>
      </c>
      <c r="D139" s="1301">
        <v>46211.5</v>
      </c>
      <c r="E139" s="1301">
        <v>46211.386006944442</v>
      </c>
      <c r="F139" s="1298"/>
      <c r="G139" s="1297" t="s">
        <v>8135</v>
      </c>
      <c r="H139" s="1301">
        <v>46271.25</v>
      </c>
      <c r="I139" s="1301">
        <v>46271.279085648152</v>
      </c>
    </row>
    <row r="140" spans="1:9" ht="14">
      <c r="A140" s="1296" t="s">
        <v>5231</v>
      </c>
      <c r="B140" s="1296">
        <v>6504142070</v>
      </c>
      <c r="C140" s="1296" t="s">
        <v>123</v>
      </c>
      <c r="D140" s="1300">
        <v>46207.75</v>
      </c>
      <c r="E140" s="1300">
        <v>46207.798136574071</v>
      </c>
      <c r="F140" s="1299"/>
      <c r="G140" s="1296" t="s">
        <v>9778</v>
      </c>
      <c r="H140" s="1300">
        <v>46258.375</v>
      </c>
      <c r="I140" s="1300">
        <v>46258.289537037039</v>
      </c>
    </row>
    <row r="141" spans="1:9" ht="14">
      <c r="A141" s="1297" t="s">
        <v>5239</v>
      </c>
      <c r="B141" s="1297">
        <v>6504385010</v>
      </c>
      <c r="C141" s="1297" t="s">
        <v>123</v>
      </c>
      <c r="D141" s="1301">
        <v>46207.75</v>
      </c>
      <c r="E141" s="1301">
        <v>46207.798136574071</v>
      </c>
      <c r="F141" s="1297" t="s">
        <v>9776</v>
      </c>
      <c r="G141" s="1297" t="s">
        <v>9777</v>
      </c>
      <c r="H141" s="1301">
        <v>46272.25</v>
      </c>
      <c r="I141" s="1301">
        <v>46272.251446759263</v>
      </c>
    </row>
    <row r="142" spans="1:9" ht="14">
      <c r="A142" s="1296" t="s">
        <v>5245</v>
      </c>
      <c r="B142" s="1296">
        <v>6505756530</v>
      </c>
      <c r="C142" s="1296" t="s">
        <v>9773</v>
      </c>
      <c r="D142" s="1300">
        <v>46210.333333333336</v>
      </c>
      <c r="E142" s="1300">
        <v>46210.350694444445</v>
      </c>
      <c r="F142" s="1296" t="s">
        <v>5994</v>
      </c>
      <c r="G142" s="1296" t="s">
        <v>9783</v>
      </c>
      <c r="H142" s="1300">
        <v>46264.041666666664</v>
      </c>
      <c r="I142" s="1300">
        <v>46263.989421296297</v>
      </c>
    </row>
    <row r="143" spans="1:9" ht="14">
      <c r="A143" s="1297" t="s">
        <v>5249</v>
      </c>
      <c r="B143" s="1297">
        <v>6505906290</v>
      </c>
      <c r="C143" s="1297" t="s">
        <v>9773</v>
      </c>
      <c r="D143" s="1301">
        <v>46210.333333333336</v>
      </c>
      <c r="E143" s="1301">
        <v>46210.350694444445</v>
      </c>
      <c r="F143" s="1297" t="s">
        <v>9787</v>
      </c>
      <c r="G143" s="1297" t="s">
        <v>9782</v>
      </c>
      <c r="H143" s="1301">
        <v>46275.291666666664</v>
      </c>
      <c r="I143" s="1301">
        <v>46275.245208333334</v>
      </c>
    </row>
    <row r="144" spans="1:9" ht="14">
      <c r="A144" s="1296" t="s">
        <v>5254</v>
      </c>
      <c r="B144" s="1296">
        <v>9507951690</v>
      </c>
      <c r="C144" s="1296" t="s">
        <v>9773</v>
      </c>
      <c r="D144" s="1300">
        <v>46202.125</v>
      </c>
      <c r="E144" s="1300">
        <v>46202.135266203702</v>
      </c>
      <c r="F144" s="1299"/>
      <c r="G144" s="1296" t="s">
        <v>9779</v>
      </c>
      <c r="H144" s="1300">
        <v>46253.416666666664</v>
      </c>
      <c r="I144" s="1300">
        <v>46253.479062500002</v>
      </c>
    </row>
    <row r="145" spans="1:9" ht="14">
      <c r="A145" s="1297" t="s">
        <v>5261</v>
      </c>
      <c r="B145" s="1297">
        <v>9507977520</v>
      </c>
      <c r="C145" s="1297" t="s">
        <v>9773</v>
      </c>
      <c r="D145" s="1301">
        <v>46202.125</v>
      </c>
      <c r="E145" s="1301">
        <v>46202.135266203702</v>
      </c>
      <c r="F145" s="1297" t="s">
        <v>5994</v>
      </c>
      <c r="G145" s="1297" t="s">
        <v>9779</v>
      </c>
      <c r="H145" s="1301">
        <v>46293.083333333336</v>
      </c>
      <c r="I145" s="1301">
        <v>46292.966608796298</v>
      </c>
    </row>
    <row r="146" spans="1:9" ht="14">
      <c r="A146" s="1296" t="s">
        <v>5265</v>
      </c>
      <c r="B146" s="1296">
        <v>6505349280</v>
      </c>
      <c r="C146" s="1296" t="s">
        <v>9773</v>
      </c>
      <c r="D146" s="1300">
        <v>46202.125</v>
      </c>
      <c r="E146" s="1300">
        <v>46202.135266203702</v>
      </c>
      <c r="F146" s="1296" t="s">
        <v>9775</v>
      </c>
      <c r="G146" s="1296" t="s">
        <v>9783</v>
      </c>
      <c r="H146" s="1300">
        <v>46274.999305555553</v>
      </c>
      <c r="I146" s="1300">
        <v>46275.009525462963</v>
      </c>
    </row>
    <row r="147" spans="1:9" ht="14">
      <c r="A147" s="1297" t="s">
        <v>5280</v>
      </c>
      <c r="B147" s="1297">
        <v>6505925840</v>
      </c>
      <c r="C147" s="1297" t="s">
        <v>123</v>
      </c>
      <c r="D147" s="1301">
        <v>46219.0625</v>
      </c>
      <c r="E147" s="1301">
        <v>46219.103425925925</v>
      </c>
      <c r="F147" s="1298"/>
      <c r="G147" s="1297" t="s">
        <v>9784</v>
      </c>
      <c r="H147" s="1301">
        <v>46264.541666666664</v>
      </c>
      <c r="I147" s="1301">
        <v>46264.676631944443</v>
      </c>
    </row>
    <row r="148" spans="1:9" ht="14">
      <c r="A148" s="1296" t="s">
        <v>5284</v>
      </c>
      <c r="B148" s="1296">
        <v>6505587010</v>
      </c>
      <c r="C148" s="1296" t="s">
        <v>123</v>
      </c>
      <c r="D148" s="1300">
        <v>46212.9375</v>
      </c>
      <c r="E148" s="1300">
        <v>46212.958078703705</v>
      </c>
      <c r="F148" s="1299"/>
      <c r="G148" s="1296" t="s">
        <v>9779</v>
      </c>
      <c r="H148" s="1300">
        <v>46253.416666666664</v>
      </c>
      <c r="I148" s="1300">
        <v>46253.479062500002</v>
      </c>
    </row>
    <row r="149" spans="1:9" ht="14">
      <c r="A149" s="1297" t="s">
        <v>5291</v>
      </c>
      <c r="B149" s="1297">
        <v>6505608500</v>
      </c>
      <c r="C149" s="1297" t="s">
        <v>123</v>
      </c>
      <c r="D149" s="1301">
        <v>46212.9375</v>
      </c>
      <c r="E149" s="1301">
        <v>46212.958078703705</v>
      </c>
      <c r="F149" s="1298"/>
      <c r="G149" s="1297" t="s">
        <v>9779</v>
      </c>
      <c r="H149" s="1301">
        <v>46253.416666666664</v>
      </c>
      <c r="I149" s="1301">
        <v>46253.479062500002</v>
      </c>
    </row>
    <row r="150" spans="1:9" ht="14">
      <c r="A150" s="1296" t="s">
        <v>5296</v>
      </c>
      <c r="B150" s="1296">
        <v>6505588390</v>
      </c>
      <c r="C150" s="1296" t="s">
        <v>123</v>
      </c>
      <c r="D150" s="1300">
        <v>46221.5</v>
      </c>
      <c r="E150" s="1300">
        <v>46220.527777777781</v>
      </c>
      <c r="F150" s="1299"/>
      <c r="G150" s="1296" t="s">
        <v>9779</v>
      </c>
      <c r="H150" s="1300">
        <v>46260.5</v>
      </c>
      <c r="I150" s="1300">
        <v>46260.57949074074</v>
      </c>
    </row>
    <row r="151" spans="1:9" ht="14">
      <c r="A151" s="1297" t="s">
        <v>5302</v>
      </c>
      <c r="B151" s="1297">
        <v>6505914680</v>
      </c>
      <c r="C151" s="1297" t="s">
        <v>123</v>
      </c>
      <c r="D151" s="1301">
        <v>46227.3125</v>
      </c>
      <c r="E151" s="1301">
        <v>46227.336087962962</v>
      </c>
      <c r="F151" s="1298"/>
      <c r="G151" s="1297" t="s">
        <v>9781</v>
      </c>
      <c r="H151" s="1301">
        <v>46274.333333333336</v>
      </c>
      <c r="I151" s="1301">
        <v>46274.416041666664</v>
      </c>
    </row>
    <row r="152" spans="1:9" ht="14">
      <c r="A152" s="1296" t="s">
        <v>5310</v>
      </c>
      <c r="B152" s="1296">
        <v>6505913620</v>
      </c>
      <c r="C152" s="1296" t="s">
        <v>123</v>
      </c>
      <c r="D152" s="1300">
        <v>46227.3125</v>
      </c>
      <c r="E152" s="1300">
        <v>46227.336087962962</v>
      </c>
      <c r="F152" s="1299"/>
      <c r="G152" s="1296" t="s">
        <v>8135</v>
      </c>
      <c r="H152" s="1300">
        <v>46278.083333333336</v>
      </c>
      <c r="I152" s="1300">
        <v>46278.186840277776</v>
      </c>
    </row>
    <row r="153" spans="1:9" ht="14">
      <c r="A153" s="1297" t="s">
        <v>5324</v>
      </c>
      <c r="B153" s="1297">
        <v>6507195960</v>
      </c>
      <c r="C153" s="1297" t="s">
        <v>123</v>
      </c>
      <c r="D153" s="1301">
        <v>46227.3125</v>
      </c>
      <c r="E153" s="1301">
        <v>46227.336087962962</v>
      </c>
      <c r="F153" s="1298"/>
      <c r="G153" s="1297" t="s">
        <v>8135</v>
      </c>
      <c r="H153" s="1301">
        <v>46278.083333333336</v>
      </c>
      <c r="I153" s="1301">
        <v>46278.186840277776</v>
      </c>
    </row>
    <row r="154" spans="1:9" ht="14">
      <c r="A154" s="1296" t="s">
        <v>5330</v>
      </c>
      <c r="B154" s="1296">
        <v>6505912480</v>
      </c>
      <c r="C154" s="1296" t="s">
        <v>123</v>
      </c>
      <c r="D154" s="1300">
        <v>46232</v>
      </c>
      <c r="E154" s="1300">
        <v>46232.027199074073</v>
      </c>
      <c r="F154" s="1299"/>
      <c r="G154" s="1296" t="s">
        <v>8135</v>
      </c>
      <c r="H154" s="1300">
        <v>46272.833333333336</v>
      </c>
      <c r="I154" s="1300">
        <v>46272.644375000003</v>
      </c>
    </row>
    <row r="155" spans="1:9" ht="14">
      <c r="A155" s="1297" t="s">
        <v>5343</v>
      </c>
      <c r="B155" s="1297">
        <v>6505915770</v>
      </c>
      <c r="C155" s="1297" t="s">
        <v>123</v>
      </c>
      <c r="D155" s="1301">
        <v>46219.958333333336</v>
      </c>
      <c r="E155" s="1301">
        <v>46220.011817129627</v>
      </c>
      <c r="F155" s="1298"/>
      <c r="G155" s="1297" t="s">
        <v>9778</v>
      </c>
      <c r="H155" s="1301">
        <v>46267.791666666664</v>
      </c>
      <c r="I155" s="1301">
        <v>46268.28087962963</v>
      </c>
    </row>
    <row r="156" spans="1:9" ht="14">
      <c r="A156" s="1296" t="s">
        <v>5351</v>
      </c>
      <c r="B156" s="1296">
        <v>9508140760</v>
      </c>
      <c r="C156" s="1296" t="s">
        <v>9773</v>
      </c>
      <c r="D156" s="1300">
        <v>46213.020833333336</v>
      </c>
      <c r="E156" s="1300">
        <v>46213.041493055556</v>
      </c>
      <c r="F156" s="1296" t="s">
        <v>9788</v>
      </c>
      <c r="G156" s="1296" t="s">
        <v>9777</v>
      </c>
      <c r="H156" s="1300">
        <v>46300.75</v>
      </c>
      <c r="I156" s="1302"/>
    </row>
    <row r="157" spans="1:9" ht="14">
      <c r="A157" s="1297" t="s">
        <v>5356</v>
      </c>
      <c r="B157" s="1297">
        <v>9508147070</v>
      </c>
      <c r="C157" s="1297" t="s">
        <v>9773</v>
      </c>
      <c r="D157" s="1301">
        <v>46213.020833333336</v>
      </c>
      <c r="E157" s="1301">
        <v>46213.041493055556</v>
      </c>
      <c r="F157" s="1297" t="s">
        <v>123</v>
      </c>
      <c r="G157" s="1297" t="s">
        <v>8135</v>
      </c>
      <c r="H157" s="1301">
        <v>46285.041666666664</v>
      </c>
      <c r="I157" s="1301">
        <v>46284.921701388892</v>
      </c>
    </row>
    <row r="158" spans="1:9" ht="14">
      <c r="A158" s="1296" t="s">
        <v>5361</v>
      </c>
      <c r="B158" s="1296">
        <v>9508147071</v>
      </c>
      <c r="C158" s="1296" t="s">
        <v>9773</v>
      </c>
      <c r="D158" s="1300">
        <v>46213.020833333336</v>
      </c>
      <c r="E158" s="1300">
        <v>46213.041493055556</v>
      </c>
      <c r="F158" s="1296" t="s">
        <v>123</v>
      </c>
      <c r="G158" s="1296" t="s">
        <v>8135</v>
      </c>
      <c r="H158" s="1300">
        <v>46285.041666666664</v>
      </c>
      <c r="I158" s="1300">
        <v>46284.921701388892</v>
      </c>
    </row>
    <row r="159" spans="1:9" ht="14">
      <c r="A159" s="1297" t="s">
        <v>5366</v>
      </c>
      <c r="B159" s="1297">
        <v>9508147081</v>
      </c>
      <c r="C159" s="1297" t="s">
        <v>9773</v>
      </c>
      <c r="D159" s="1301">
        <v>46213.020833333336</v>
      </c>
      <c r="E159" s="1301">
        <v>46213.041493055556</v>
      </c>
      <c r="F159" s="1297" t="s">
        <v>123</v>
      </c>
      <c r="G159" s="1297" t="s">
        <v>8135</v>
      </c>
      <c r="H159" s="1301">
        <v>46290.25</v>
      </c>
      <c r="I159" s="1301">
        <v>46290.232800925929</v>
      </c>
    </row>
    <row r="160" spans="1:9" ht="14">
      <c r="A160" s="1296" t="s">
        <v>5371</v>
      </c>
      <c r="B160" s="1296">
        <v>9508147080</v>
      </c>
      <c r="C160" s="1296" t="s">
        <v>9773</v>
      </c>
      <c r="D160" s="1300">
        <v>46213.020833333336</v>
      </c>
      <c r="E160" s="1300">
        <v>46213.041493055556</v>
      </c>
      <c r="F160" s="1296" t="s">
        <v>123</v>
      </c>
      <c r="G160" s="1296" t="s">
        <v>8135</v>
      </c>
      <c r="H160" s="1300">
        <v>46290.25</v>
      </c>
      <c r="I160" s="1300">
        <v>46290.232800925929</v>
      </c>
    </row>
    <row r="161" spans="1:9" ht="14">
      <c r="A161" s="1297" t="s">
        <v>5377</v>
      </c>
      <c r="B161" s="1297">
        <v>6506450380</v>
      </c>
      <c r="C161" s="1297" t="s">
        <v>123</v>
      </c>
      <c r="D161" s="1301">
        <v>46223.3125</v>
      </c>
      <c r="E161" s="1301">
        <v>46223.347905092596</v>
      </c>
      <c r="F161" s="1297" t="s">
        <v>9789</v>
      </c>
      <c r="G161" s="1297" t="s">
        <v>9784</v>
      </c>
      <c r="H161" s="1301">
        <v>46284.916666666664</v>
      </c>
      <c r="I161" s="1301">
        <v>46285.259710648148</v>
      </c>
    </row>
    <row r="162" spans="1:9" ht="14">
      <c r="A162" s="1296" t="s">
        <v>5384</v>
      </c>
      <c r="B162" s="1296">
        <v>6507018050</v>
      </c>
      <c r="C162" s="1296" t="s">
        <v>123</v>
      </c>
      <c r="D162" s="1300">
        <v>46219.0625</v>
      </c>
      <c r="E162" s="1300">
        <v>46219.103425925925</v>
      </c>
      <c r="F162" s="1299"/>
      <c r="G162" s="1296" t="s">
        <v>9783</v>
      </c>
      <c r="H162" s="1300">
        <v>46253.75</v>
      </c>
      <c r="I162" s="1300">
        <v>46253.739166666666</v>
      </c>
    </row>
    <row r="163" spans="1:9" ht="14">
      <c r="A163" s="1297" t="s">
        <v>5390</v>
      </c>
      <c r="B163" s="1297">
        <v>6507790480</v>
      </c>
      <c r="C163" s="1297" t="s">
        <v>123</v>
      </c>
      <c r="D163" s="1301">
        <v>46231.479166666664</v>
      </c>
      <c r="E163" s="1301">
        <v>46231.502453703702</v>
      </c>
      <c r="F163" s="1298"/>
      <c r="G163" s="1297" t="s">
        <v>9779</v>
      </c>
      <c r="H163" s="1301">
        <v>46266.041666666664</v>
      </c>
      <c r="I163" s="1301">
        <v>46265.971226851849</v>
      </c>
    </row>
    <row r="164" spans="1:9" ht="14">
      <c r="A164" s="1296" t="s">
        <v>5397</v>
      </c>
      <c r="B164" s="1296">
        <v>6507666250</v>
      </c>
      <c r="C164" s="1296" t="s">
        <v>123</v>
      </c>
      <c r="D164" s="1300">
        <v>46231.479166666664</v>
      </c>
      <c r="E164" s="1300">
        <v>46231.502453703702</v>
      </c>
      <c r="F164" s="1299"/>
      <c r="G164" s="1296" t="s">
        <v>9779</v>
      </c>
      <c r="H164" s="1300">
        <v>46266.041666666664</v>
      </c>
      <c r="I164" s="1300">
        <v>46265.971226851849</v>
      </c>
    </row>
    <row r="165" spans="1:9" ht="14">
      <c r="A165" s="1297" t="s">
        <v>5405</v>
      </c>
      <c r="B165" s="1297">
        <v>6508738520</v>
      </c>
      <c r="C165" s="1297" t="s">
        <v>123</v>
      </c>
      <c r="D165" s="1301">
        <v>46231.479166666664</v>
      </c>
      <c r="E165" s="1301">
        <v>46231.502453703702</v>
      </c>
      <c r="F165" s="1298"/>
      <c r="G165" s="1297" t="s">
        <v>9779</v>
      </c>
      <c r="H165" s="1301">
        <v>46266.041666666664</v>
      </c>
      <c r="I165" s="1301">
        <v>46265.971226851849</v>
      </c>
    </row>
    <row r="166" spans="1:9" ht="14">
      <c r="A166" s="1296" t="s">
        <v>5411</v>
      </c>
      <c r="B166" s="1296">
        <v>6506729920</v>
      </c>
      <c r="C166" s="1296" t="s">
        <v>123</v>
      </c>
      <c r="D166" s="1300">
        <v>46221.5</v>
      </c>
      <c r="E166" s="1300">
        <v>46220.527777777781</v>
      </c>
      <c r="F166" s="1299"/>
      <c r="G166" s="1296" t="s">
        <v>9779</v>
      </c>
      <c r="H166" s="1300">
        <v>46260.5</v>
      </c>
      <c r="I166" s="1300">
        <v>46260.57949074074</v>
      </c>
    </row>
    <row r="167" spans="1:9" ht="14">
      <c r="A167" s="1297" t="s">
        <v>5418</v>
      </c>
      <c r="B167" s="1297">
        <v>6506730240</v>
      </c>
      <c r="C167" s="1297" t="s">
        <v>123</v>
      </c>
      <c r="D167" s="1301">
        <v>46223.3125</v>
      </c>
      <c r="E167" s="1301">
        <v>46223.347905092596</v>
      </c>
      <c r="F167" s="1298"/>
      <c r="G167" s="1297" t="s">
        <v>9779</v>
      </c>
      <c r="H167" s="1301">
        <v>46274.291666666664</v>
      </c>
      <c r="I167" s="1301">
        <v>46274.338287037041</v>
      </c>
    </row>
    <row r="168" spans="1:9" ht="14">
      <c r="A168" s="1296" t="s">
        <v>5443</v>
      </c>
      <c r="B168" s="1296">
        <v>6506929700</v>
      </c>
      <c r="C168" s="1296" t="s">
        <v>123</v>
      </c>
      <c r="D168" s="1300">
        <v>46227.3125</v>
      </c>
      <c r="E168" s="1300">
        <v>46227.336087962962</v>
      </c>
      <c r="F168" s="1299"/>
      <c r="G168" s="1296" t="s">
        <v>8135</v>
      </c>
      <c r="H168" s="1300">
        <v>46278.083333333336</v>
      </c>
      <c r="I168" s="1300">
        <v>46278.186840277776</v>
      </c>
    </row>
    <row r="169" spans="1:9" ht="14">
      <c r="A169" s="1297" t="s">
        <v>5449</v>
      </c>
      <c r="B169" s="1297">
        <v>6506899540</v>
      </c>
      <c r="C169" s="1297" t="s">
        <v>123</v>
      </c>
      <c r="D169" s="1301">
        <v>46227.3125</v>
      </c>
      <c r="E169" s="1301">
        <v>46227.336087962962</v>
      </c>
      <c r="F169" s="1298"/>
      <c r="G169" s="1297" t="s">
        <v>8135</v>
      </c>
      <c r="H169" s="1301">
        <v>46278.083333333336</v>
      </c>
      <c r="I169" s="1301">
        <v>46278.186840277776</v>
      </c>
    </row>
    <row r="170" spans="1:9" ht="14">
      <c r="A170" s="1296" t="s">
        <v>5458</v>
      </c>
      <c r="B170" s="1296">
        <v>6506928990</v>
      </c>
      <c r="C170" s="1296" t="s">
        <v>123</v>
      </c>
      <c r="D170" s="1300">
        <v>46227.3125</v>
      </c>
      <c r="E170" s="1300">
        <v>46227.336087962962</v>
      </c>
      <c r="F170" s="1299"/>
      <c r="G170" s="1296" t="s">
        <v>8135</v>
      </c>
      <c r="H170" s="1300">
        <v>46278.083333333336</v>
      </c>
      <c r="I170" s="1300">
        <v>46278.186840277776</v>
      </c>
    </row>
    <row r="171" spans="1:9" ht="14">
      <c r="A171" s="1297" t="s">
        <v>5466</v>
      </c>
      <c r="B171" s="1297">
        <v>6506932230</v>
      </c>
      <c r="C171" s="1297" t="s">
        <v>123</v>
      </c>
      <c r="D171" s="1301">
        <v>46232</v>
      </c>
      <c r="E171" s="1301">
        <v>46232.027199074073</v>
      </c>
      <c r="F171" s="1298"/>
      <c r="G171" s="1297" t="s">
        <v>8135</v>
      </c>
      <c r="H171" s="1301">
        <v>46272.833333333336</v>
      </c>
      <c r="I171" s="1301">
        <v>46272.644375000003</v>
      </c>
    </row>
    <row r="172" spans="1:9" ht="14">
      <c r="A172" s="1296" t="s">
        <v>5472</v>
      </c>
      <c r="B172" s="1296">
        <v>6506596440</v>
      </c>
      <c r="C172" s="1296" t="s">
        <v>123</v>
      </c>
      <c r="D172" s="1300">
        <v>46232</v>
      </c>
      <c r="E172" s="1300">
        <v>46232.027199074073</v>
      </c>
      <c r="F172" s="1299"/>
      <c r="G172" s="1296" t="s">
        <v>8135</v>
      </c>
      <c r="H172" s="1300">
        <v>46272.833333333336</v>
      </c>
      <c r="I172" s="1300">
        <v>46272.644375000003</v>
      </c>
    </row>
    <row r="173" spans="1:9" ht="14">
      <c r="A173" s="1297" t="s">
        <v>5486</v>
      </c>
      <c r="B173" s="1297">
        <v>9508260330</v>
      </c>
      <c r="C173" s="1297" t="s">
        <v>9773</v>
      </c>
      <c r="D173" s="1301">
        <v>46219.847222222219</v>
      </c>
      <c r="E173" s="1301">
        <v>46219.833506944444</v>
      </c>
      <c r="F173" s="1297" t="s">
        <v>9775</v>
      </c>
      <c r="G173" s="1297" t="s">
        <v>8135</v>
      </c>
      <c r="H173" s="1301">
        <v>46299.041666666664</v>
      </c>
      <c r="I173" s="1303"/>
    </row>
    <row r="174" spans="1:9" ht="14">
      <c r="A174" s="1296" t="s">
        <v>5490</v>
      </c>
      <c r="B174" s="1296">
        <v>9508260600</v>
      </c>
      <c r="C174" s="1296" t="s">
        <v>9773</v>
      </c>
      <c r="D174" s="1300">
        <v>46219.847222222219</v>
      </c>
      <c r="E174" s="1300">
        <v>46219.833506944444</v>
      </c>
      <c r="F174" s="1296" t="s">
        <v>9775</v>
      </c>
      <c r="G174" s="1296" t="s">
        <v>8135</v>
      </c>
      <c r="H174" s="1300">
        <v>46283.416666666664</v>
      </c>
      <c r="I174" s="1300">
        <v>46283.4372337963</v>
      </c>
    </row>
    <row r="175" spans="1:9" ht="14">
      <c r="A175" s="1297" t="s">
        <v>5494</v>
      </c>
      <c r="B175" s="1297">
        <v>9508255560</v>
      </c>
      <c r="C175" s="1297" t="s">
        <v>9773</v>
      </c>
      <c r="D175" s="1301">
        <v>46219.847222222219</v>
      </c>
      <c r="E175" s="1301">
        <v>46219.833506944444</v>
      </c>
      <c r="F175" s="1298"/>
      <c r="G175" s="1297" t="s">
        <v>9779</v>
      </c>
      <c r="H175" s="1301">
        <v>46266.041666666664</v>
      </c>
      <c r="I175" s="1301">
        <v>46265.971226851849</v>
      </c>
    </row>
    <row r="176" spans="1:9" ht="14">
      <c r="A176" s="1296" t="s">
        <v>5499</v>
      </c>
      <c r="B176" s="1296">
        <v>9508259840</v>
      </c>
      <c r="C176" s="1296" t="s">
        <v>9773</v>
      </c>
      <c r="D176" s="1300">
        <v>46219.847222222219</v>
      </c>
      <c r="E176" s="1300">
        <v>46219.833506944444</v>
      </c>
      <c r="F176" s="1296" t="s">
        <v>9788</v>
      </c>
      <c r="G176" s="1296" t="s">
        <v>9777</v>
      </c>
      <c r="H176" s="1300">
        <v>46308.75</v>
      </c>
      <c r="I176" s="1302"/>
    </row>
    <row r="177" spans="1:9" ht="14">
      <c r="A177" s="1297" t="s">
        <v>5504</v>
      </c>
      <c r="B177" s="1297">
        <v>6507754600</v>
      </c>
      <c r="C177" s="1297" t="s">
        <v>123</v>
      </c>
      <c r="D177" s="1301">
        <v>46228.166666666664</v>
      </c>
      <c r="E177" s="1301">
        <v>46228.194085648145</v>
      </c>
      <c r="F177" s="1298"/>
      <c r="G177" s="1297" t="s">
        <v>9783</v>
      </c>
      <c r="H177" s="1301">
        <v>46274.999305555553</v>
      </c>
      <c r="I177" s="1301">
        <v>46275.009525462963</v>
      </c>
    </row>
    <row r="178" spans="1:9" ht="14">
      <c r="A178" s="1296" t="s">
        <v>5508</v>
      </c>
      <c r="B178" s="1296">
        <v>6507727180</v>
      </c>
      <c r="C178" s="1296" t="s">
        <v>123</v>
      </c>
      <c r="D178" s="1300">
        <v>46228.166666666664</v>
      </c>
      <c r="E178" s="1300">
        <v>46228.194085648145</v>
      </c>
      <c r="F178" s="1299"/>
      <c r="G178" s="1296" t="s">
        <v>9783</v>
      </c>
      <c r="H178" s="1300">
        <v>46274.999305555553</v>
      </c>
      <c r="I178" s="1300">
        <v>46275.009525462963</v>
      </c>
    </row>
    <row r="179" spans="1:9" ht="14">
      <c r="A179" s="1297" t="s">
        <v>5514</v>
      </c>
      <c r="B179" s="1297">
        <v>6507885650</v>
      </c>
      <c r="C179" s="1297" t="s">
        <v>123</v>
      </c>
      <c r="D179" s="1301">
        <v>46225.208333333336</v>
      </c>
      <c r="E179" s="1301">
        <v>46225.247291666667</v>
      </c>
      <c r="F179" s="1298"/>
      <c r="G179" s="1297" t="s">
        <v>9779</v>
      </c>
      <c r="H179" s="1301">
        <v>46270.833333333336</v>
      </c>
      <c r="I179" s="1301">
        <v>46270.874618055554</v>
      </c>
    </row>
    <row r="180" spans="1:9" ht="14">
      <c r="A180" s="1296" t="s">
        <v>5521</v>
      </c>
      <c r="B180" s="1296">
        <v>6507266890</v>
      </c>
      <c r="C180" s="1296" t="s">
        <v>123</v>
      </c>
      <c r="D180" s="1300">
        <v>46236.25</v>
      </c>
      <c r="E180" s="1300">
        <v>46236.259745370371</v>
      </c>
      <c r="F180" s="1299"/>
      <c r="G180" s="1296" t="s">
        <v>9781</v>
      </c>
      <c r="H180" s="1300">
        <v>46288.666666666664</v>
      </c>
      <c r="I180" s="1300">
        <v>46288.792233796295</v>
      </c>
    </row>
    <row r="181" spans="1:9" ht="14">
      <c r="A181" s="1297" t="s">
        <v>5527</v>
      </c>
      <c r="B181" s="1297">
        <v>6507883400</v>
      </c>
      <c r="C181" s="1297" t="s">
        <v>123</v>
      </c>
      <c r="D181" s="1301">
        <v>46236.25</v>
      </c>
      <c r="E181" s="1301">
        <v>46236.259745370371</v>
      </c>
      <c r="F181" s="1298"/>
      <c r="G181" s="1297" t="s">
        <v>8135</v>
      </c>
      <c r="H181" s="1301">
        <v>46285.041666666664</v>
      </c>
      <c r="I181" s="1301">
        <v>46284.921701388892</v>
      </c>
    </row>
    <row r="182" spans="1:9" ht="14">
      <c r="A182" s="1296" t="s">
        <v>5536</v>
      </c>
      <c r="B182" s="1296">
        <v>6508803190</v>
      </c>
      <c r="C182" s="1296" t="s">
        <v>123</v>
      </c>
      <c r="D182" s="1300">
        <v>46236.25</v>
      </c>
      <c r="E182" s="1300">
        <v>46236.259745370371</v>
      </c>
      <c r="F182" s="1299"/>
      <c r="G182" s="1296" t="s">
        <v>8135</v>
      </c>
      <c r="H182" s="1300">
        <v>46285.041666666664</v>
      </c>
      <c r="I182" s="1300">
        <v>46284.921701388892</v>
      </c>
    </row>
    <row r="183" spans="1:9" ht="14">
      <c r="A183" s="1297" t="s">
        <v>5547</v>
      </c>
      <c r="B183" s="1297">
        <v>6507751580</v>
      </c>
      <c r="C183" s="1297" t="s">
        <v>123</v>
      </c>
      <c r="D183" s="1301">
        <v>46236.25</v>
      </c>
      <c r="E183" s="1301">
        <v>46236.259745370371</v>
      </c>
      <c r="F183" s="1298"/>
      <c r="G183" s="1297" t="s">
        <v>9778</v>
      </c>
      <c r="H183" s="1301">
        <v>46296.25</v>
      </c>
      <c r="I183" s="1303"/>
    </row>
    <row r="184" spans="1:9" ht="14">
      <c r="A184" s="1296" t="s">
        <v>5553</v>
      </c>
      <c r="B184" s="1296">
        <v>6507752990</v>
      </c>
      <c r="C184" s="1296" t="s">
        <v>123</v>
      </c>
      <c r="D184" s="1300">
        <v>46233.708333333336</v>
      </c>
      <c r="E184" s="1300">
        <v>46233.663472222222</v>
      </c>
      <c r="F184" s="1299"/>
      <c r="G184" s="1296" t="s">
        <v>9778</v>
      </c>
      <c r="H184" s="1300">
        <v>46280.541666666664</v>
      </c>
      <c r="I184" s="1300">
        <v>46280.459409722222</v>
      </c>
    </row>
    <row r="185" spans="1:9" ht="14">
      <c r="A185" s="1297" t="s">
        <v>5562</v>
      </c>
      <c r="B185" s="1297">
        <v>6507753540</v>
      </c>
      <c r="C185" s="1297" t="s">
        <v>123</v>
      </c>
      <c r="D185" s="1301">
        <v>46233.708333333336</v>
      </c>
      <c r="E185" s="1301">
        <v>46233.663472222222</v>
      </c>
      <c r="F185" s="1298"/>
      <c r="G185" s="1297" t="s">
        <v>9778</v>
      </c>
      <c r="H185" s="1301">
        <v>46280.541666666664</v>
      </c>
      <c r="I185" s="1301">
        <v>46280.459409722222</v>
      </c>
    </row>
    <row r="186" spans="1:9" ht="14">
      <c r="A186" s="1296" t="s">
        <v>5569</v>
      </c>
      <c r="B186" s="1296">
        <v>9508345820</v>
      </c>
      <c r="C186" s="1296" t="s">
        <v>9773</v>
      </c>
      <c r="D186" s="1300">
        <v>46225.833333333336</v>
      </c>
      <c r="E186" s="1300">
        <v>46225.845682870371</v>
      </c>
      <c r="F186" s="1296" t="s">
        <v>9775</v>
      </c>
      <c r="G186" s="1296" t="s">
        <v>8135</v>
      </c>
      <c r="H186" s="1300">
        <v>46316.916666666664</v>
      </c>
      <c r="I186" s="1302"/>
    </row>
    <row r="187" spans="1:9" ht="14">
      <c r="A187" s="1297" t="s">
        <v>5573</v>
      </c>
      <c r="B187" s="1297">
        <v>9508345960</v>
      </c>
      <c r="C187" s="1297" t="s">
        <v>9773</v>
      </c>
      <c r="D187" s="1301">
        <v>46225.833333333336</v>
      </c>
      <c r="E187" s="1301">
        <v>46225.845682870371</v>
      </c>
      <c r="F187" s="1297" t="s">
        <v>9775</v>
      </c>
      <c r="G187" s="1297" t="s">
        <v>8135</v>
      </c>
      <c r="H187" s="1301">
        <v>46290.25</v>
      </c>
      <c r="I187" s="1301">
        <v>46290.232800925929</v>
      </c>
    </row>
    <row r="188" spans="1:9" ht="14">
      <c r="A188" s="1296" t="s">
        <v>5579</v>
      </c>
      <c r="B188" s="1296">
        <v>9508353580</v>
      </c>
      <c r="C188" s="1296" t="s">
        <v>9773</v>
      </c>
      <c r="D188" s="1300">
        <v>46225.833333333336</v>
      </c>
      <c r="E188" s="1300">
        <v>46225.845682870371</v>
      </c>
      <c r="F188" s="1299"/>
      <c r="G188" s="1296" t="s">
        <v>9779</v>
      </c>
      <c r="H188" s="1300">
        <v>46270.645833333336</v>
      </c>
      <c r="I188" s="1300">
        <v>46270.66238425926</v>
      </c>
    </row>
    <row r="189" spans="1:9" ht="14">
      <c r="A189" s="1297" t="s">
        <v>5586</v>
      </c>
      <c r="B189" s="1297">
        <v>9508346010</v>
      </c>
      <c r="C189" s="1297" t="s">
        <v>9773</v>
      </c>
      <c r="D189" s="1301">
        <v>46225.833333333336</v>
      </c>
      <c r="E189" s="1301">
        <v>46225.845682870371</v>
      </c>
      <c r="F189" s="1297" t="s">
        <v>9790</v>
      </c>
      <c r="G189" s="1297" t="s">
        <v>9777</v>
      </c>
      <c r="H189" s="1301">
        <v>46300.75</v>
      </c>
      <c r="I189" s="1303"/>
    </row>
    <row r="190" spans="1:9" ht="14">
      <c r="A190" s="1296" t="s">
        <v>5591</v>
      </c>
      <c r="B190" s="1296">
        <v>6507915250</v>
      </c>
      <c r="C190" s="1296" t="s">
        <v>123</v>
      </c>
      <c r="D190" s="1300">
        <v>46231.479166666664</v>
      </c>
      <c r="E190" s="1300">
        <v>46231.502453703702</v>
      </c>
      <c r="F190" s="1299"/>
      <c r="G190" s="1296" t="s">
        <v>9779</v>
      </c>
      <c r="H190" s="1300">
        <v>46266.041666666664</v>
      </c>
      <c r="I190" s="1300">
        <v>46265.971226851849</v>
      </c>
    </row>
    <row r="191" spans="1:9" ht="14">
      <c r="A191" s="1297" t="s">
        <v>5607</v>
      </c>
      <c r="B191" s="1297">
        <v>6508479150</v>
      </c>
      <c r="C191" s="1297" t="s">
        <v>123</v>
      </c>
      <c r="D191" s="1301">
        <v>46232.125</v>
      </c>
      <c r="E191" s="1301">
        <v>46232.170578703706</v>
      </c>
      <c r="F191" s="1298"/>
      <c r="G191" s="1297" t="s">
        <v>9779</v>
      </c>
      <c r="H191" s="1301">
        <v>46279.083333333336</v>
      </c>
      <c r="I191" s="1301">
        <v>46279.139525462961</v>
      </c>
    </row>
    <row r="192" spans="1:9" ht="14">
      <c r="A192" s="1296" t="s">
        <v>5612</v>
      </c>
      <c r="B192" s="1296">
        <v>6508016810</v>
      </c>
      <c r="C192" s="1296" t="s">
        <v>123</v>
      </c>
      <c r="D192" s="1300">
        <v>46232</v>
      </c>
      <c r="E192" s="1300">
        <v>46232.027199074073</v>
      </c>
      <c r="F192" s="1299"/>
      <c r="G192" s="1296" t="s">
        <v>8135</v>
      </c>
      <c r="H192" s="1300">
        <v>46272.833333333336</v>
      </c>
      <c r="I192" s="1300">
        <v>46272.644375000003</v>
      </c>
    </row>
    <row r="193" spans="1:9" ht="14">
      <c r="A193" s="1297" t="s">
        <v>5617</v>
      </c>
      <c r="B193" s="1297">
        <v>9508462360</v>
      </c>
      <c r="C193" s="1297" t="s">
        <v>5994</v>
      </c>
      <c r="D193" s="1301">
        <v>46234.145833333336</v>
      </c>
      <c r="E193" s="1301">
        <v>46234.034502314818</v>
      </c>
      <c r="F193" s="1298"/>
      <c r="G193" s="1297" t="s">
        <v>9783</v>
      </c>
      <c r="H193" s="1301">
        <v>46274.999305555553</v>
      </c>
      <c r="I193" s="1301">
        <v>46275.009525462963</v>
      </c>
    </row>
    <row r="194" spans="1:9" ht="14">
      <c r="A194" s="1296" t="s">
        <v>5621</v>
      </c>
      <c r="B194" s="1296">
        <v>9508463160</v>
      </c>
      <c r="C194" s="1296" t="s">
        <v>5994</v>
      </c>
      <c r="D194" s="1300">
        <v>46232.958333333336</v>
      </c>
      <c r="E194" s="1300">
        <v>46232.984756944446</v>
      </c>
      <c r="F194" s="1299"/>
      <c r="G194" s="1296" t="s">
        <v>9779</v>
      </c>
      <c r="H194" s="1300">
        <v>46270.645833333336</v>
      </c>
      <c r="I194" s="1300">
        <v>46270.66238425926</v>
      </c>
    </row>
    <row r="195" spans="1:9" ht="14">
      <c r="A195" s="1297" t="s">
        <v>5626</v>
      </c>
      <c r="B195" s="1297">
        <v>9508462510</v>
      </c>
      <c r="C195" s="1297" t="s">
        <v>5994</v>
      </c>
      <c r="D195" s="1301">
        <v>46234.53125</v>
      </c>
      <c r="E195" s="1301">
        <v>46234.573657407411</v>
      </c>
      <c r="F195" s="1298"/>
      <c r="G195" s="1297" t="s">
        <v>9779</v>
      </c>
      <c r="H195" s="1301">
        <v>46275.083333333336</v>
      </c>
      <c r="I195" s="1301">
        <v>46275.088877314818</v>
      </c>
    </row>
    <row r="196" spans="1:9" ht="14">
      <c r="A196" s="1296" t="s">
        <v>5634</v>
      </c>
      <c r="B196" s="1296">
        <v>9508444890</v>
      </c>
      <c r="C196" s="1296" t="s">
        <v>5994</v>
      </c>
      <c r="D196" s="1300">
        <v>46232.8125</v>
      </c>
      <c r="E196" s="1300">
        <v>46232.832314814812</v>
      </c>
      <c r="F196" s="1299"/>
      <c r="G196" s="1296" t="s">
        <v>8135</v>
      </c>
      <c r="H196" s="1300">
        <v>46276.625</v>
      </c>
      <c r="I196" s="1300">
        <v>46276.681458333333</v>
      </c>
    </row>
    <row r="197" spans="1:9" ht="14">
      <c r="A197" s="1297" t="s">
        <v>5638</v>
      </c>
      <c r="B197" s="1297">
        <v>9508457230</v>
      </c>
      <c r="C197" s="1297" t="s">
        <v>5994</v>
      </c>
      <c r="D197" s="1301">
        <v>46240.802083333336</v>
      </c>
      <c r="E197" s="1301">
        <v>46240.833252314813</v>
      </c>
      <c r="F197" s="1298"/>
      <c r="G197" s="1297" t="s">
        <v>8135</v>
      </c>
      <c r="H197" s="1301">
        <v>46285.041666666664</v>
      </c>
      <c r="I197" s="1301">
        <v>46284.921701388892</v>
      </c>
    </row>
    <row r="198" spans="1:9" ht="14">
      <c r="A198" s="1296" t="s">
        <v>5643</v>
      </c>
      <c r="B198" s="1296">
        <v>9508475300</v>
      </c>
      <c r="C198" s="1296" t="s">
        <v>5994</v>
      </c>
      <c r="D198" s="1300">
        <v>46255.875</v>
      </c>
      <c r="E198" s="1300">
        <v>46255.885057870371</v>
      </c>
      <c r="F198" s="1299"/>
      <c r="G198" s="1296" t="s">
        <v>8135</v>
      </c>
      <c r="H198" s="1300">
        <v>46316.916666666664</v>
      </c>
      <c r="I198" s="1302"/>
    </row>
    <row r="199" spans="1:9" ht="14">
      <c r="A199" s="1297" t="s">
        <v>5648</v>
      </c>
      <c r="B199" s="1297">
        <v>6508263600</v>
      </c>
      <c r="C199" s="1297" t="s">
        <v>5994</v>
      </c>
      <c r="D199" s="1301">
        <v>46230.385416666664</v>
      </c>
      <c r="E199" s="1301">
        <v>46230.367858796293</v>
      </c>
      <c r="F199" s="1297" t="s">
        <v>9778</v>
      </c>
      <c r="G199" s="1297" t="s">
        <v>8135</v>
      </c>
      <c r="H199" s="1301">
        <v>46297.25</v>
      </c>
      <c r="I199" s="1303"/>
    </row>
    <row r="200" spans="1:9" ht="14">
      <c r="A200" s="1296" t="s">
        <v>5653</v>
      </c>
      <c r="B200" s="1296">
        <v>9508539600</v>
      </c>
      <c r="C200" s="1296" t="s">
        <v>5994</v>
      </c>
      <c r="D200" s="1300">
        <v>46237.5625</v>
      </c>
      <c r="E200" s="1300">
        <v>46237.471828703703</v>
      </c>
      <c r="F200" s="1299"/>
      <c r="G200" s="1296" t="s">
        <v>9778</v>
      </c>
      <c r="H200" s="1300">
        <v>46280.541666666664</v>
      </c>
      <c r="I200" s="1300">
        <v>46280.459409722222</v>
      </c>
    </row>
    <row r="201" spans="1:9" ht="14">
      <c r="A201" s="1297" t="s">
        <v>5658</v>
      </c>
      <c r="B201" s="1297">
        <v>6507918470</v>
      </c>
      <c r="C201" s="1297" t="s">
        <v>9773</v>
      </c>
      <c r="D201" s="1301">
        <v>46229.333333333336</v>
      </c>
      <c r="E201" s="1301">
        <v>46229.344398148147</v>
      </c>
      <c r="F201" s="1297" t="s">
        <v>123</v>
      </c>
      <c r="G201" s="1297" t="s">
        <v>9783</v>
      </c>
      <c r="H201" s="1301">
        <v>46290.041666666664</v>
      </c>
      <c r="I201" s="1301">
        <v>46290.087800925925</v>
      </c>
    </row>
    <row r="202" spans="1:9" ht="14">
      <c r="A202" s="1296" t="s">
        <v>5662</v>
      </c>
      <c r="B202" s="1296">
        <v>9508471420</v>
      </c>
      <c r="C202" s="1296" t="s">
        <v>9773</v>
      </c>
      <c r="D202" s="1300">
        <v>46229.333333333336</v>
      </c>
      <c r="E202" s="1300">
        <v>46229.344398148147</v>
      </c>
      <c r="F202" s="1299"/>
      <c r="G202" s="1296" t="s">
        <v>9779</v>
      </c>
      <c r="H202" s="1300">
        <v>46279.958333333336</v>
      </c>
      <c r="I202" s="1300">
        <v>46279.935393518521</v>
      </c>
    </row>
    <row r="203" spans="1:9" ht="14">
      <c r="A203" s="1297" t="s">
        <v>5671</v>
      </c>
      <c r="B203" s="1297">
        <v>6508644310</v>
      </c>
      <c r="C203" s="1297" t="s">
        <v>123</v>
      </c>
      <c r="D203" s="1301">
        <v>46239.25</v>
      </c>
      <c r="E203" s="1301">
        <v>46239.274942129632</v>
      </c>
      <c r="F203" s="1298"/>
      <c r="G203" s="1297" t="s">
        <v>9783</v>
      </c>
      <c r="H203" s="1301">
        <v>46286.270833333336</v>
      </c>
      <c r="I203" s="1301">
        <v>46286.275081018517</v>
      </c>
    </row>
    <row r="204" spans="1:9" ht="14">
      <c r="A204" s="1296" t="s">
        <v>5675</v>
      </c>
      <c r="B204" s="1296">
        <v>6508646060</v>
      </c>
      <c r="C204" s="1296" t="s">
        <v>123</v>
      </c>
      <c r="D204" s="1300">
        <v>46239.25</v>
      </c>
      <c r="E204" s="1300">
        <v>46239.274942129632</v>
      </c>
      <c r="F204" s="1299"/>
      <c r="G204" s="1296" t="s">
        <v>9783</v>
      </c>
      <c r="H204" s="1300">
        <v>46286.270833333336</v>
      </c>
      <c r="I204" s="1300">
        <v>46286.275081018517</v>
      </c>
    </row>
    <row r="205" spans="1:9" ht="14">
      <c r="A205" s="1297" t="s">
        <v>5706</v>
      </c>
      <c r="B205" s="1297">
        <v>6508616170</v>
      </c>
      <c r="C205" s="1297" t="s">
        <v>123</v>
      </c>
      <c r="D205" s="1301">
        <v>46240.333333333336</v>
      </c>
      <c r="E205" s="1301">
        <v>46240.230393518519</v>
      </c>
      <c r="F205" s="1298"/>
      <c r="G205" s="1297" t="s">
        <v>9779</v>
      </c>
      <c r="H205" s="1301">
        <v>46279.958333333336</v>
      </c>
      <c r="I205" s="1301">
        <v>46279.935393518521</v>
      </c>
    </row>
    <row r="206" spans="1:9" ht="14">
      <c r="A206" s="1296" t="s">
        <v>5710</v>
      </c>
      <c r="B206" s="1296">
        <v>6508644840</v>
      </c>
      <c r="C206" s="1296" t="s">
        <v>123</v>
      </c>
      <c r="D206" s="1300">
        <v>46240.333333333336</v>
      </c>
      <c r="E206" s="1300">
        <v>46240.230393518519</v>
      </c>
      <c r="F206" s="1299"/>
      <c r="G206" s="1296" t="s">
        <v>9779</v>
      </c>
      <c r="H206" s="1300">
        <v>46279.958333333336</v>
      </c>
      <c r="I206" s="1300">
        <v>46279.935393518521</v>
      </c>
    </row>
    <row r="207" spans="1:9" ht="14">
      <c r="A207" s="1297" t="s">
        <v>5720</v>
      </c>
      <c r="B207" s="1297">
        <v>6508515860</v>
      </c>
      <c r="C207" s="1297" t="s">
        <v>123</v>
      </c>
      <c r="D207" s="1301">
        <v>46240.875</v>
      </c>
      <c r="E207" s="1301">
        <v>46240.874942129631</v>
      </c>
      <c r="F207" s="1298"/>
      <c r="G207" s="1297" t="s">
        <v>9779</v>
      </c>
      <c r="H207" s="1301">
        <v>46283.875</v>
      </c>
      <c r="I207" s="1301">
        <v>46283.912627314814</v>
      </c>
    </row>
    <row r="208" spans="1:9" ht="14">
      <c r="A208" s="1296" t="s">
        <v>5727</v>
      </c>
      <c r="B208" s="1296">
        <v>6509178440</v>
      </c>
      <c r="C208" s="1296" t="s">
        <v>123</v>
      </c>
      <c r="D208" s="1300">
        <v>46263.4375</v>
      </c>
      <c r="E208" s="1300">
        <v>46263.48333333333</v>
      </c>
      <c r="F208" s="1299"/>
      <c r="G208" s="1296" t="s">
        <v>9781</v>
      </c>
      <c r="H208" s="1300">
        <v>46316.5</v>
      </c>
      <c r="I208" s="1302"/>
    </row>
    <row r="209" spans="1:9" ht="14">
      <c r="A209" s="1297" t="s">
        <v>5731</v>
      </c>
      <c r="B209" s="1297">
        <v>6509176590</v>
      </c>
      <c r="C209" s="1297" t="s">
        <v>123</v>
      </c>
      <c r="D209" s="1301">
        <v>46263.4375</v>
      </c>
      <c r="E209" s="1301">
        <v>46263.48333333333</v>
      </c>
      <c r="F209" s="1298"/>
      <c r="G209" s="1297" t="s">
        <v>8135</v>
      </c>
      <c r="H209" s="1301">
        <v>46320.25</v>
      </c>
      <c r="I209" s="1303"/>
    </row>
    <row r="210" spans="1:9" ht="14">
      <c r="A210" s="1296" t="s">
        <v>5742</v>
      </c>
      <c r="B210" s="1296">
        <v>6508944020</v>
      </c>
      <c r="C210" s="1296" t="s">
        <v>123</v>
      </c>
      <c r="D210" s="1300">
        <v>46241.770833333336</v>
      </c>
      <c r="E210" s="1300">
        <v>46241.8122337963</v>
      </c>
      <c r="F210" s="1296" t="s">
        <v>9785</v>
      </c>
      <c r="G210" s="1296" t="s">
        <v>8135</v>
      </c>
      <c r="H210" s="1300">
        <v>46283.416666666664</v>
      </c>
      <c r="I210" s="1300">
        <v>46283.4372337963</v>
      </c>
    </row>
    <row r="211" spans="1:9" ht="14">
      <c r="A211" s="1297" t="s">
        <v>5747</v>
      </c>
      <c r="B211" s="1297">
        <v>6508516880</v>
      </c>
      <c r="C211" s="1297" t="s">
        <v>123</v>
      </c>
      <c r="D211" s="1301">
        <v>46241.770833333336</v>
      </c>
      <c r="E211" s="1301">
        <v>46241.8122337963</v>
      </c>
      <c r="F211" s="1298"/>
      <c r="G211" s="1297" t="s">
        <v>9778</v>
      </c>
      <c r="H211" s="1301">
        <v>46301.875</v>
      </c>
      <c r="I211" s="1303"/>
    </row>
    <row r="212" spans="1:9" ht="14">
      <c r="A212" s="1296" t="s">
        <v>5763</v>
      </c>
      <c r="B212" s="1296">
        <v>9508541790</v>
      </c>
      <c r="C212" s="1296" t="s">
        <v>5994</v>
      </c>
      <c r="D212" s="1300">
        <v>46246.375</v>
      </c>
      <c r="E212" s="1300">
        <v>46246.423298611109</v>
      </c>
      <c r="F212" s="1299"/>
      <c r="G212" s="1296" t="s">
        <v>9779</v>
      </c>
      <c r="H212" s="1300">
        <v>46279.958333333336</v>
      </c>
      <c r="I212" s="1300">
        <v>46279.935393518521</v>
      </c>
    </row>
    <row r="213" spans="1:9" ht="14">
      <c r="A213" s="1297" t="s">
        <v>5768</v>
      </c>
      <c r="B213" s="1297">
        <v>6509574920</v>
      </c>
      <c r="C213" s="1297" t="s">
        <v>5994</v>
      </c>
      <c r="D213" s="1301">
        <v>46239.75</v>
      </c>
      <c r="E213" s="1301">
        <v>46239.791562500002</v>
      </c>
      <c r="F213" s="1298"/>
      <c r="G213" s="1297" t="s">
        <v>8135</v>
      </c>
      <c r="H213" s="1301">
        <v>46283.416666666664</v>
      </c>
      <c r="I213" s="1301">
        <v>46283.4372337963</v>
      </c>
    </row>
    <row r="214" spans="1:9" ht="14">
      <c r="A214" s="1296" t="s">
        <v>5772</v>
      </c>
      <c r="B214" s="1296">
        <v>9508762540</v>
      </c>
      <c r="C214" s="1296" t="s">
        <v>5994</v>
      </c>
      <c r="D214" s="1300">
        <v>46241.541666666664</v>
      </c>
      <c r="E214" s="1300">
        <v>46241.557245370372</v>
      </c>
      <c r="F214" s="1299"/>
      <c r="G214" s="1296" t="s">
        <v>9778</v>
      </c>
      <c r="H214" s="1300">
        <v>46284</v>
      </c>
      <c r="I214" s="1300">
        <v>46284.052731481483</v>
      </c>
    </row>
    <row r="215" spans="1:9" ht="14">
      <c r="A215" s="1297" t="s">
        <v>5802</v>
      </c>
      <c r="B215" s="1297">
        <v>6508495770</v>
      </c>
      <c r="C215" s="1297" t="s">
        <v>9773</v>
      </c>
      <c r="D215" s="1301">
        <v>46236.145833333336</v>
      </c>
      <c r="E215" s="1301">
        <v>46236.170567129629</v>
      </c>
      <c r="F215" s="1297" t="s">
        <v>123</v>
      </c>
      <c r="G215" s="1297" t="s">
        <v>9783</v>
      </c>
      <c r="H215" s="1301">
        <v>46299.291666666664</v>
      </c>
      <c r="I215" s="1303"/>
    </row>
    <row r="216" spans="1:9" ht="14">
      <c r="A216" s="1296" t="s">
        <v>5806</v>
      </c>
      <c r="B216" s="1296">
        <v>6508664430</v>
      </c>
      <c r="C216" s="1296" t="s">
        <v>9773</v>
      </c>
      <c r="D216" s="1300">
        <v>46236.145833333336</v>
      </c>
      <c r="E216" s="1300">
        <v>46236.170567129629</v>
      </c>
      <c r="F216" s="1296" t="s">
        <v>123</v>
      </c>
      <c r="G216" s="1296" t="s">
        <v>9783</v>
      </c>
      <c r="H216" s="1300">
        <v>46299.291666666664</v>
      </c>
      <c r="I216" s="1302"/>
    </row>
    <row r="217" spans="1:9" ht="14">
      <c r="A217" s="1297" t="s">
        <v>5817</v>
      </c>
      <c r="B217" s="1297">
        <v>9508614640</v>
      </c>
      <c r="C217" s="1297" t="s">
        <v>9773</v>
      </c>
      <c r="D217" s="1301">
        <v>46236.145833333336</v>
      </c>
      <c r="E217" s="1301">
        <v>46236.170567129629</v>
      </c>
      <c r="F217" s="1298"/>
      <c r="G217" s="1297" t="s">
        <v>9779</v>
      </c>
      <c r="H217" s="1301">
        <v>46284.875</v>
      </c>
      <c r="I217" s="1301">
        <v>46285.134953703702</v>
      </c>
    </row>
    <row r="218" spans="1:9" ht="14">
      <c r="A218" s="1296" t="s">
        <v>5823</v>
      </c>
      <c r="B218" s="1296">
        <v>9508583080</v>
      </c>
      <c r="C218" s="1296" t="s">
        <v>9773</v>
      </c>
      <c r="D218" s="1300">
        <v>46236.145833333336</v>
      </c>
      <c r="E218" s="1300">
        <v>46236.170567129629</v>
      </c>
      <c r="F218" s="1296" t="s">
        <v>9775</v>
      </c>
      <c r="G218" s="1296" t="s">
        <v>8135</v>
      </c>
      <c r="H218" s="1300">
        <v>46320.25</v>
      </c>
      <c r="I218" s="1302"/>
    </row>
    <row r="219" spans="1:9" ht="14">
      <c r="A219" s="1297" t="s">
        <v>5827</v>
      </c>
      <c r="B219" s="1297">
        <v>9508583110</v>
      </c>
      <c r="C219" s="1297" t="s">
        <v>9773</v>
      </c>
      <c r="D219" s="1301">
        <v>46236.145833333336</v>
      </c>
      <c r="E219" s="1301">
        <v>46236.170567129629</v>
      </c>
      <c r="F219" s="1297" t="s">
        <v>9775</v>
      </c>
      <c r="G219" s="1297" t="s">
        <v>8135</v>
      </c>
      <c r="H219" s="1301">
        <v>46297.25</v>
      </c>
      <c r="I219" s="1303"/>
    </row>
    <row r="220" spans="1:9" ht="14">
      <c r="A220" s="1296" t="s">
        <v>5831</v>
      </c>
      <c r="B220" s="1296">
        <v>6508687400</v>
      </c>
      <c r="C220" s="1296" t="s">
        <v>9773</v>
      </c>
      <c r="D220" s="1300">
        <v>46236.145833333336</v>
      </c>
      <c r="E220" s="1300">
        <v>46236.170567129629</v>
      </c>
      <c r="F220" s="1296" t="s">
        <v>9791</v>
      </c>
      <c r="G220" s="1296" t="s">
        <v>9777</v>
      </c>
      <c r="H220" s="1300">
        <v>46327.75</v>
      </c>
      <c r="I220" s="1302"/>
    </row>
    <row r="221" spans="1:9" ht="14">
      <c r="A221" s="1297" t="s">
        <v>5835</v>
      </c>
      <c r="B221" s="1297">
        <v>9508582980</v>
      </c>
      <c r="C221" s="1297" t="s">
        <v>9773</v>
      </c>
      <c r="D221" s="1301">
        <v>46236.145833333336</v>
      </c>
      <c r="E221" s="1301">
        <v>46236.170567129629</v>
      </c>
      <c r="F221" s="1297" t="s">
        <v>9788</v>
      </c>
      <c r="G221" s="1297" t="s">
        <v>9777</v>
      </c>
      <c r="H221" s="1301">
        <v>46308.75</v>
      </c>
      <c r="I221" s="1303"/>
    </row>
    <row r="222" spans="1:9" ht="14">
      <c r="A222" s="1296" t="s">
        <v>5848</v>
      </c>
      <c r="B222" s="1296">
        <v>6509534810</v>
      </c>
      <c r="C222" s="1296" t="s">
        <v>123</v>
      </c>
      <c r="D222" s="1300">
        <v>46251.104166666664</v>
      </c>
      <c r="E222" s="1300">
        <v>46251.127662037034</v>
      </c>
      <c r="F222" s="1299"/>
      <c r="G222" s="1296" t="s">
        <v>9784</v>
      </c>
      <c r="H222" s="1300">
        <v>46301.25</v>
      </c>
      <c r="I222" s="1302"/>
    </row>
    <row r="223" spans="1:9" ht="14">
      <c r="A223" s="1297" t="s">
        <v>5857</v>
      </c>
      <c r="B223" s="1297">
        <v>6462068440</v>
      </c>
      <c r="C223" s="1297" t="s">
        <v>123</v>
      </c>
      <c r="D223" s="1301">
        <v>46251.104166666664</v>
      </c>
      <c r="E223" s="1301">
        <v>46251.127662037034</v>
      </c>
      <c r="F223" s="1298"/>
      <c r="G223" s="1297" t="s">
        <v>9783</v>
      </c>
      <c r="H223" s="1301">
        <v>46290.041666666664</v>
      </c>
      <c r="I223" s="1301">
        <v>46290.087800925925</v>
      </c>
    </row>
    <row r="224" spans="1:9" ht="14">
      <c r="A224" s="1296" t="s">
        <v>5861</v>
      </c>
      <c r="B224" s="1296">
        <v>6462001750</v>
      </c>
      <c r="C224" s="1296" t="s">
        <v>123</v>
      </c>
      <c r="D224" s="1300">
        <v>46248.541666666664</v>
      </c>
      <c r="E224" s="1300">
        <v>46248.565416666665</v>
      </c>
      <c r="F224" s="1299"/>
      <c r="G224" s="1296" t="s">
        <v>9779</v>
      </c>
      <c r="H224" s="1300">
        <v>46284.875</v>
      </c>
      <c r="I224" s="1300">
        <v>46285.134953703702</v>
      </c>
    </row>
    <row r="225" spans="1:9" ht="14">
      <c r="A225" s="1297" t="s">
        <v>5865</v>
      </c>
      <c r="B225" s="1297">
        <v>6509599960</v>
      </c>
      <c r="C225" s="1297" t="s">
        <v>123</v>
      </c>
      <c r="D225" s="1301">
        <v>46248.541666666664</v>
      </c>
      <c r="E225" s="1301">
        <v>46248.565416666665</v>
      </c>
      <c r="F225" s="1298"/>
      <c r="G225" s="1297" t="s">
        <v>9779</v>
      </c>
      <c r="H225" s="1301">
        <v>46284.875</v>
      </c>
      <c r="I225" s="1301">
        <v>46285.134953703702</v>
      </c>
    </row>
    <row r="226" spans="1:9" ht="14">
      <c r="A226" s="1296" t="s">
        <v>5880</v>
      </c>
      <c r="B226" s="1296">
        <v>6509605690</v>
      </c>
      <c r="C226" s="1296" t="s">
        <v>123</v>
      </c>
      <c r="D226" s="1300">
        <v>46248.541666666664</v>
      </c>
      <c r="E226" s="1300">
        <v>46248.565416666665</v>
      </c>
      <c r="F226" s="1299"/>
      <c r="G226" s="1296" t="s">
        <v>9779</v>
      </c>
      <c r="H226" s="1300">
        <v>46284.875</v>
      </c>
      <c r="I226" s="1300">
        <v>46285.134953703702</v>
      </c>
    </row>
    <row r="227" spans="1:9" ht="14">
      <c r="A227" s="1297" t="s">
        <v>5887</v>
      </c>
      <c r="B227" s="1297">
        <v>6509601100</v>
      </c>
      <c r="C227" s="1297" t="s">
        <v>123</v>
      </c>
      <c r="D227" s="1301">
        <v>46250.083333333336</v>
      </c>
      <c r="E227" s="1301">
        <v>46249.754317129627</v>
      </c>
      <c r="F227" s="1298"/>
      <c r="G227" s="1297" t="s">
        <v>9779</v>
      </c>
      <c r="H227" s="1301">
        <v>46299.75</v>
      </c>
      <c r="I227" s="1303"/>
    </row>
    <row r="228" spans="1:9" ht="14">
      <c r="A228" s="1296" t="s">
        <v>5927</v>
      </c>
      <c r="B228" s="1296">
        <v>6509607500</v>
      </c>
      <c r="C228" s="1296" t="s">
        <v>123</v>
      </c>
      <c r="D228" s="1300">
        <v>46253.916666666664</v>
      </c>
      <c r="E228" s="1300">
        <v>46253.978368055556</v>
      </c>
      <c r="F228" s="1299"/>
      <c r="G228" s="1296" t="s">
        <v>8135</v>
      </c>
      <c r="H228" s="1300">
        <v>46290.25</v>
      </c>
      <c r="I228" s="1300">
        <v>46290.232800925929</v>
      </c>
    </row>
    <row r="229" spans="1:9" ht="14">
      <c r="A229" s="1297" t="s">
        <v>5931</v>
      </c>
      <c r="B229" s="1297">
        <v>6509607090</v>
      </c>
      <c r="C229" s="1297" t="s">
        <v>123</v>
      </c>
      <c r="D229" s="1301">
        <v>46253.916666666664</v>
      </c>
      <c r="E229" s="1301">
        <v>46253.978368055556</v>
      </c>
      <c r="F229" s="1298"/>
      <c r="G229" s="1297" t="s">
        <v>9778</v>
      </c>
      <c r="H229" s="1301">
        <v>46284.333333333336</v>
      </c>
      <c r="I229" s="1301">
        <v>46284.41574074074</v>
      </c>
    </row>
    <row r="230" spans="1:9" ht="14">
      <c r="A230" s="1296" t="s">
        <v>5937</v>
      </c>
      <c r="B230" s="1296">
        <v>6509607950</v>
      </c>
      <c r="C230" s="1296" t="s">
        <v>123</v>
      </c>
      <c r="D230" s="1300">
        <v>46241.770833333336</v>
      </c>
      <c r="E230" s="1300">
        <v>46241.8122337963</v>
      </c>
      <c r="F230" s="1296" t="s">
        <v>9776</v>
      </c>
      <c r="G230" s="1296" t="s">
        <v>9777</v>
      </c>
      <c r="H230" s="1300">
        <v>46300.75</v>
      </c>
      <c r="I230" s="1302"/>
    </row>
    <row r="231" spans="1:9" ht="14">
      <c r="A231" s="1297" t="s">
        <v>5954</v>
      </c>
      <c r="B231" s="1297">
        <v>9508771470</v>
      </c>
      <c r="C231" s="1297" t="s">
        <v>9773</v>
      </c>
      <c r="D231" s="1301">
        <v>46243.166666666664</v>
      </c>
      <c r="E231" s="1301">
        <v>46243.192557870374</v>
      </c>
      <c r="F231" s="1297" t="s">
        <v>9775</v>
      </c>
      <c r="G231" s="1297" t="s">
        <v>8135</v>
      </c>
      <c r="H231" s="1301">
        <v>46336.791666666664</v>
      </c>
      <c r="I231" s="1303"/>
    </row>
    <row r="232" spans="1:9" ht="14">
      <c r="A232" s="1296" t="s">
        <v>5958</v>
      </c>
      <c r="B232" s="1296">
        <v>9508769100</v>
      </c>
      <c r="C232" s="1296" t="s">
        <v>9773</v>
      </c>
      <c r="D232" s="1300">
        <v>46243.166666666664</v>
      </c>
      <c r="E232" s="1300">
        <v>46243.192557870374</v>
      </c>
      <c r="F232" s="1296" t="s">
        <v>9788</v>
      </c>
      <c r="G232" s="1296" t="s">
        <v>9777</v>
      </c>
      <c r="H232" s="1300">
        <v>46334.75</v>
      </c>
      <c r="I232" s="1302"/>
    </row>
    <row r="233" spans="1:9" ht="14">
      <c r="A233" s="1297" t="s">
        <v>5962</v>
      </c>
      <c r="B233" s="1297">
        <v>9508771330</v>
      </c>
      <c r="C233" s="1297" t="s">
        <v>9773</v>
      </c>
      <c r="D233" s="1301">
        <v>46243.166666666664</v>
      </c>
      <c r="E233" s="1301">
        <v>46243.192557870374</v>
      </c>
      <c r="F233" s="1297" t="s">
        <v>9791</v>
      </c>
      <c r="G233" s="1297" t="s">
        <v>9777</v>
      </c>
      <c r="H233" s="1303"/>
      <c r="I233" s="1303"/>
    </row>
    <row r="234" spans="1:9" ht="14">
      <c r="A234" s="1296" t="s">
        <v>5966</v>
      </c>
      <c r="B234" s="1296">
        <v>9508803730</v>
      </c>
      <c r="C234" s="1296" t="s">
        <v>9773</v>
      </c>
      <c r="D234" s="1300">
        <v>46243.166666666664</v>
      </c>
      <c r="E234" s="1300">
        <v>46243.192557870374</v>
      </c>
      <c r="F234" s="1299"/>
      <c r="G234" s="1296" t="s">
        <v>9779</v>
      </c>
      <c r="H234" s="1300">
        <v>46289.958333333336</v>
      </c>
      <c r="I234" s="1300">
        <v>46290.180347222224</v>
      </c>
    </row>
    <row r="235" spans="1:9" ht="14">
      <c r="A235" s="1297" t="s">
        <v>5970</v>
      </c>
      <c r="B235" s="1297">
        <v>9508876530</v>
      </c>
      <c r="C235" s="1297" t="s">
        <v>9773</v>
      </c>
      <c r="D235" s="1301">
        <v>46243.166666666664</v>
      </c>
      <c r="E235" s="1301">
        <v>46243.192557870374</v>
      </c>
      <c r="F235" s="1298"/>
      <c r="G235" s="1297" t="s">
        <v>9779</v>
      </c>
      <c r="H235" s="1301">
        <v>46289.958333333336</v>
      </c>
      <c r="I235" s="1301">
        <v>46290.180347222224</v>
      </c>
    </row>
    <row r="236" spans="1:9" ht="14">
      <c r="A236" s="1296" t="s">
        <v>5974</v>
      </c>
      <c r="B236" s="1296">
        <v>6461689400</v>
      </c>
      <c r="C236" s="1296" t="s">
        <v>9773</v>
      </c>
      <c r="D236" s="1300">
        <v>46243.166666666664</v>
      </c>
      <c r="E236" s="1300">
        <v>46243.192557870374</v>
      </c>
      <c r="F236" s="1299"/>
      <c r="G236" s="1296" t="s">
        <v>9779</v>
      </c>
      <c r="H236" s="1300">
        <v>46289.958333333336</v>
      </c>
      <c r="I236" s="1300">
        <v>46290.180347222224</v>
      </c>
    </row>
    <row r="237" spans="1:9" ht="14">
      <c r="A237" s="1297" t="s">
        <v>5979</v>
      </c>
      <c r="B237" s="1297">
        <v>9508762190</v>
      </c>
      <c r="C237" s="1297" t="s">
        <v>5994</v>
      </c>
      <c r="D237" s="1301">
        <v>46246.208333333336</v>
      </c>
      <c r="E237" s="1301">
        <v>46246.239791666667</v>
      </c>
      <c r="F237" s="1298"/>
      <c r="G237" s="1297" t="s">
        <v>9783</v>
      </c>
      <c r="H237" s="1301">
        <v>46286.270833333336</v>
      </c>
      <c r="I237" s="1301">
        <v>46286.275081018517</v>
      </c>
    </row>
    <row r="238" spans="1:9" ht="14">
      <c r="A238" s="1296" t="s">
        <v>5984</v>
      </c>
      <c r="B238" s="1296">
        <v>9508766060</v>
      </c>
      <c r="C238" s="1296" t="s">
        <v>5994</v>
      </c>
      <c r="D238" s="1300">
        <v>46249.802083333336</v>
      </c>
      <c r="E238" s="1300">
        <v>46249.834432870368</v>
      </c>
      <c r="F238" s="1299"/>
      <c r="G238" s="1296" t="s">
        <v>9779</v>
      </c>
      <c r="H238" s="1300">
        <v>46283.875</v>
      </c>
      <c r="I238" s="1300">
        <v>46283.912627314814</v>
      </c>
    </row>
    <row r="239" spans="1:9" ht="14">
      <c r="A239" s="1297" t="s">
        <v>5989</v>
      </c>
      <c r="B239" s="1297">
        <v>9508766070</v>
      </c>
      <c r="C239" s="1297" t="s">
        <v>5994</v>
      </c>
      <c r="D239" s="1301">
        <v>46259.333333333336</v>
      </c>
      <c r="E239" s="1301">
        <v>46259.356724537036</v>
      </c>
      <c r="F239" s="1298"/>
      <c r="G239" s="1297" t="s">
        <v>9779</v>
      </c>
      <c r="H239" s="1301">
        <v>46299.75</v>
      </c>
      <c r="I239" s="1303"/>
    </row>
    <row r="240" spans="1:9" ht="14">
      <c r="A240" s="1296" t="s">
        <v>5998</v>
      </c>
      <c r="B240" s="1296">
        <v>9508804610</v>
      </c>
      <c r="C240" s="1296" t="s">
        <v>5994</v>
      </c>
      <c r="D240" s="1300">
        <v>46254</v>
      </c>
      <c r="E240" s="1300">
        <v>46254.01357638889</v>
      </c>
      <c r="F240" s="1299"/>
      <c r="G240" s="1296" t="s">
        <v>8135</v>
      </c>
      <c r="H240" s="1300">
        <v>46297.25</v>
      </c>
      <c r="I240" s="1302"/>
    </row>
    <row r="241" spans="1:9" ht="14">
      <c r="A241" s="1297" t="s">
        <v>6003</v>
      </c>
      <c r="B241" s="1297">
        <v>6463190630</v>
      </c>
      <c r="C241" s="1297" t="s">
        <v>123</v>
      </c>
      <c r="D241" s="1301">
        <v>46254.3125</v>
      </c>
      <c r="E241" s="1301">
        <v>46254.231863425928</v>
      </c>
      <c r="F241" s="1298"/>
      <c r="G241" s="1297" t="s">
        <v>9779</v>
      </c>
      <c r="H241" s="1301">
        <v>46289.958333333336</v>
      </c>
      <c r="I241" s="1301">
        <v>46290.180347222224</v>
      </c>
    </row>
    <row r="242" spans="1:9" ht="14">
      <c r="A242" s="1296" t="s">
        <v>6010</v>
      </c>
      <c r="B242" s="1296">
        <v>6461909030</v>
      </c>
      <c r="C242" s="1296" t="s">
        <v>123</v>
      </c>
      <c r="D242" s="1300">
        <v>46253.1875</v>
      </c>
      <c r="E242" s="1300">
        <v>46253.207060185188</v>
      </c>
      <c r="F242" s="1299"/>
      <c r="G242" s="1296" t="s">
        <v>9779</v>
      </c>
      <c r="H242" s="1300">
        <v>46298</v>
      </c>
      <c r="I242" s="1302"/>
    </row>
    <row r="243" spans="1:9" ht="14">
      <c r="A243" s="1297" t="s">
        <v>6015</v>
      </c>
      <c r="B243" s="1297">
        <v>6461896790</v>
      </c>
      <c r="C243" s="1297" t="s">
        <v>123</v>
      </c>
      <c r="D243" s="1301">
        <v>46254.3125</v>
      </c>
      <c r="E243" s="1301">
        <v>46254.231863425928</v>
      </c>
      <c r="F243" s="1298"/>
      <c r="G243" s="1297" t="s">
        <v>9779</v>
      </c>
      <c r="H243" s="1301">
        <v>46289.958333333336</v>
      </c>
      <c r="I243" s="1301">
        <v>46290.180347222224</v>
      </c>
    </row>
    <row r="244" spans="1:9" ht="14">
      <c r="A244" s="1296" t="s">
        <v>6020</v>
      </c>
      <c r="B244" s="1296">
        <v>6461897910</v>
      </c>
      <c r="C244" s="1296" t="s">
        <v>123</v>
      </c>
      <c r="D244" s="1300">
        <v>46248.541666666664</v>
      </c>
      <c r="E244" s="1300">
        <v>46248.565416666665</v>
      </c>
      <c r="F244" s="1299"/>
      <c r="G244" s="1296" t="s">
        <v>9779</v>
      </c>
      <c r="H244" s="1300">
        <v>46284.875</v>
      </c>
      <c r="I244" s="1300">
        <v>46285.134953703702</v>
      </c>
    </row>
    <row r="245" spans="1:9" ht="14">
      <c r="A245" s="1297" t="s">
        <v>6029</v>
      </c>
      <c r="B245" s="1297">
        <v>6461909570</v>
      </c>
      <c r="C245" s="1297" t="s">
        <v>123</v>
      </c>
      <c r="D245" s="1301">
        <v>46248.541666666664</v>
      </c>
      <c r="E245" s="1301">
        <v>46248.565416666665</v>
      </c>
      <c r="F245" s="1298"/>
      <c r="G245" s="1297" t="s">
        <v>9779</v>
      </c>
      <c r="H245" s="1301">
        <v>46284.875</v>
      </c>
      <c r="I245" s="1301">
        <v>46285.134953703702</v>
      </c>
    </row>
    <row r="246" spans="1:9" ht="14">
      <c r="A246" s="1296" t="s">
        <v>6047</v>
      </c>
      <c r="B246" s="1296">
        <v>6462349090</v>
      </c>
      <c r="C246" s="1296" t="s">
        <v>123</v>
      </c>
      <c r="D246" s="1300">
        <v>46248.541666666664</v>
      </c>
      <c r="E246" s="1300">
        <v>46248.565416666665</v>
      </c>
      <c r="F246" s="1299"/>
      <c r="G246" s="1296" t="s">
        <v>9779</v>
      </c>
      <c r="H246" s="1300">
        <v>46284.875</v>
      </c>
      <c r="I246" s="1300">
        <v>46285.134953703702</v>
      </c>
    </row>
    <row r="247" spans="1:9" ht="14">
      <c r="A247" s="1297" t="s">
        <v>6053</v>
      </c>
      <c r="B247" s="1297">
        <v>6462350050</v>
      </c>
      <c r="C247" s="1297" t="s">
        <v>123</v>
      </c>
      <c r="D247" s="1301">
        <v>46248.541666666664</v>
      </c>
      <c r="E247" s="1301">
        <v>46248.565416666665</v>
      </c>
      <c r="F247" s="1298"/>
      <c r="G247" s="1297" t="s">
        <v>9779</v>
      </c>
      <c r="H247" s="1301">
        <v>46284.875</v>
      </c>
      <c r="I247" s="1301">
        <v>46285.134953703702</v>
      </c>
    </row>
    <row r="248" spans="1:9" ht="14">
      <c r="A248" s="1296" t="s">
        <v>6062</v>
      </c>
      <c r="B248" s="1296">
        <v>6461814320</v>
      </c>
      <c r="C248" s="1296" t="s">
        <v>123</v>
      </c>
      <c r="D248" s="1300">
        <v>46253.916666666664</v>
      </c>
      <c r="E248" s="1300">
        <v>46253.978368055556</v>
      </c>
      <c r="F248" s="1299"/>
      <c r="G248" s="1296" t="s">
        <v>8135</v>
      </c>
      <c r="H248" s="1300">
        <v>46290.25</v>
      </c>
      <c r="I248" s="1300">
        <v>46290.232800925929</v>
      </c>
    </row>
    <row r="249" spans="1:9" ht="14">
      <c r="A249" s="1297" t="s">
        <v>6069</v>
      </c>
      <c r="B249" s="1297">
        <v>6461816750</v>
      </c>
      <c r="C249" s="1297" t="s">
        <v>123</v>
      </c>
      <c r="D249" s="1301">
        <v>46263.4375</v>
      </c>
      <c r="E249" s="1301">
        <v>46263.48333333333</v>
      </c>
      <c r="F249" s="1298"/>
      <c r="G249" s="1297" t="s">
        <v>8135</v>
      </c>
      <c r="H249" s="1301">
        <v>46320.25</v>
      </c>
      <c r="I249" s="1303"/>
    </row>
    <row r="250" spans="1:9" ht="14">
      <c r="A250" s="1296" t="s">
        <v>6090</v>
      </c>
      <c r="B250" s="1296">
        <v>6461817600</v>
      </c>
      <c r="C250" s="1296" t="s">
        <v>123</v>
      </c>
      <c r="D250" s="1300">
        <v>46263.4375</v>
      </c>
      <c r="E250" s="1300">
        <v>46263.48333333333</v>
      </c>
      <c r="F250" s="1299"/>
      <c r="G250" s="1296" t="s">
        <v>9778</v>
      </c>
      <c r="H250" s="1300">
        <v>46322.833333333336</v>
      </c>
      <c r="I250" s="1302"/>
    </row>
    <row r="251" spans="1:9" ht="14">
      <c r="A251" s="1297" t="s">
        <v>6101</v>
      </c>
      <c r="B251" s="1297">
        <v>6461905820</v>
      </c>
      <c r="C251" s="1297" t="s">
        <v>123</v>
      </c>
      <c r="D251" s="1301">
        <v>46251.791666666664</v>
      </c>
      <c r="E251" s="1301">
        <v>46251.534803240742</v>
      </c>
      <c r="F251" s="1297" t="s">
        <v>9776</v>
      </c>
      <c r="G251" s="1297" t="s">
        <v>9777</v>
      </c>
      <c r="H251" s="1301">
        <v>46308.75</v>
      </c>
      <c r="I251" s="1303"/>
    </row>
    <row r="252" spans="1:9" ht="14">
      <c r="A252" s="1296" t="s">
        <v>6138</v>
      </c>
      <c r="B252" s="1296">
        <v>9508762590</v>
      </c>
      <c r="C252" s="1296" t="s">
        <v>5994</v>
      </c>
      <c r="D252" s="1300">
        <v>46257.791666666664</v>
      </c>
      <c r="E252" s="1300">
        <v>46257.848101851851</v>
      </c>
      <c r="F252" s="1299"/>
      <c r="G252" s="1296" t="s">
        <v>9779</v>
      </c>
      <c r="H252" s="1300">
        <v>46289.958333333336</v>
      </c>
      <c r="I252" s="1300">
        <v>46290.180347222224</v>
      </c>
    </row>
    <row r="253" spans="1:9" ht="14">
      <c r="A253" s="1297" t="s">
        <v>6129</v>
      </c>
      <c r="B253" s="1297">
        <v>9508902260</v>
      </c>
      <c r="C253" s="1297" t="s">
        <v>5994</v>
      </c>
      <c r="D253" s="1301">
        <v>46255.875</v>
      </c>
      <c r="E253" s="1301">
        <v>46255.885057870371</v>
      </c>
      <c r="F253" s="1298"/>
      <c r="G253" s="1297" t="s">
        <v>8135</v>
      </c>
      <c r="H253" s="1301">
        <v>46316.916666666664</v>
      </c>
      <c r="I253" s="1303"/>
    </row>
    <row r="254" spans="1:9" ht="14">
      <c r="A254" s="1296" t="s">
        <v>6133</v>
      </c>
      <c r="B254" s="1296">
        <v>9508904380</v>
      </c>
      <c r="C254" s="1296" t="s">
        <v>5994</v>
      </c>
      <c r="D254" s="1300">
        <v>46257.291666666664</v>
      </c>
      <c r="E254" s="1300">
        <v>46257.156030092592</v>
      </c>
      <c r="F254" s="1296" t="s">
        <v>9776</v>
      </c>
      <c r="G254" s="1296" t="s">
        <v>9777</v>
      </c>
      <c r="H254" s="1300">
        <v>46308.75</v>
      </c>
      <c r="I254" s="1302"/>
    </row>
    <row r="255" spans="1:9" ht="14">
      <c r="A255" s="1297" t="s">
        <v>6206</v>
      </c>
      <c r="B255" s="1297">
        <v>6463115620</v>
      </c>
      <c r="C255" s="1297" t="s">
        <v>123</v>
      </c>
      <c r="D255" s="1301">
        <v>46264.5625</v>
      </c>
      <c r="E255" s="1301">
        <v>46264.582175925927</v>
      </c>
      <c r="F255" s="1297" t="s">
        <v>9779</v>
      </c>
      <c r="G255" s="1297" t="s">
        <v>9780</v>
      </c>
      <c r="H255" s="1303"/>
      <c r="I255" s="1303"/>
    </row>
    <row r="256" spans="1:9" ht="14">
      <c r="A256" s="1296" t="s">
        <v>6214</v>
      </c>
      <c r="B256" s="1296">
        <v>6463847410</v>
      </c>
      <c r="C256" s="1296" t="s">
        <v>123</v>
      </c>
      <c r="D256" s="1300">
        <v>46257.916666666664</v>
      </c>
      <c r="E256" s="1300">
        <v>46257.983877314815</v>
      </c>
      <c r="F256" s="1299"/>
      <c r="G256" s="1296" t="s">
        <v>9783</v>
      </c>
      <c r="H256" s="1300">
        <v>46299.291666666664</v>
      </c>
      <c r="I256" s="1302"/>
    </row>
    <row r="257" spans="1:9" ht="14">
      <c r="A257" s="1297" t="s">
        <v>6227</v>
      </c>
      <c r="B257" s="1297">
        <v>6463255210</v>
      </c>
      <c r="C257" s="1297" t="s">
        <v>123</v>
      </c>
      <c r="D257" s="1301">
        <v>46257.916666666664</v>
      </c>
      <c r="E257" s="1301">
        <v>46257.983877314815</v>
      </c>
      <c r="F257" s="1298"/>
      <c r="G257" s="1297" t="s">
        <v>9783</v>
      </c>
      <c r="H257" s="1301">
        <v>46299.291666666664</v>
      </c>
      <c r="I257" s="1303"/>
    </row>
    <row r="258" spans="1:9" ht="14">
      <c r="A258" s="1296" t="s">
        <v>6232</v>
      </c>
      <c r="B258" s="1296">
        <v>6462717070</v>
      </c>
      <c r="C258" s="1296" t="s">
        <v>123</v>
      </c>
      <c r="D258" s="1300">
        <v>46256.395833333336</v>
      </c>
      <c r="E258" s="1300">
        <v>46256.416493055556</v>
      </c>
      <c r="F258" s="1299"/>
      <c r="G258" s="1296" t="s">
        <v>9779</v>
      </c>
      <c r="H258" s="1300">
        <v>46305.583333333336</v>
      </c>
      <c r="I258" s="1302"/>
    </row>
    <row r="259" spans="1:9" ht="14">
      <c r="A259" s="1297" t="s">
        <v>6273</v>
      </c>
      <c r="B259" s="1297">
        <v>6463259170</v>
      </c>
      <c r="C259" s="1297" t="s">
        <v>123</v>
      </c>
      <c r="D259" s="1301">
        <v>46269.166666666664</v>
      </c>
      <c r="E259" s="1301">
        <v>46269.097187500003</v>
      </c>
      <c r="F259" s="1298"/>
      <c r="G259" s="1297" t="s">
        <v>8135</v>
      </c>
      <c r="H259" s="1301">
        <v>46323.791666666664</v>
      </c>
      <c r="I259" s="1303"/>
    </row>
    <row r="260" spans="1:9" ht="14">
      <c r="A260" s="1296" t="s">
        <v>6279</v>
      </c>
      <c r="B260" s="1296">
        <v>9508974980</v>
      </c>
      <c r="C260" s="1296" t="s">
        <v>5994</v>
      </c>
      <c r="D260" s="1300">
        <v>46269.041666666664</v>
      </c>
      <c r="E260" s="1300">
        <v>46269.101157407407</v>
      </c>
      <c r="F260" s="1296" t="s">
        <v>9779</v>
      </c>
      <c r="G260" s="1296" t="s">
        <v>9780</v>
      </c>
      <c r="H260" s="1302"/>
      <c r="I260" s="1302"/>
    </row>
    <row r="261" spans="1:9" ht="14">
      <c r="A261" s="1297" t="s">
        <v>6290</v>
      </c>
      <c r="B261" s="1297">
        <v>6463257360</v>
      </c>
      <c r="C261" s="1297" t="s">
        <v>123</v>
      </c>
      <c r="D261" s="1301">
        <v>46269.166666666664</v>
      </c>
      <c r="E261" s="1301">
        <v>46269.097187500003</v>
      </c>
      <c r="F261" s="1298"/>
      <c r="G261" s="1297" t="s">
        <v>9778</v>
      </c>
      <c r="H261" s="1301">
        <v>46326.625</v>
      </c>
      <c r="I261" s="1303"/>
    </row>
    <row r="262" spans="1:9" ht="14">
      <c r="A262" s="1296" t="s">
        <v>6299</v>
      </c>
      <c r="B262" s="1296">
        <v>6462720700</v>
      </c>
      <c r="C262" s="1296" t="s">
        <v>123</v>
      </c>
      <c r="D262" s="1300">
        <v>46266.083333333336</v>
      </c>
      <c r="E262" s="1300">
        <v>46266.110775462963</v>
      </c>
      <c r="F262" s="1296" t="s">
        <v>9776</v>
      </c>
      <c r="G262" s="1296" t="s">
        <v>9777</v>
      </c>
      <c r="H262" s="1300">
        <v>46334.75</v>
      </c>
      <c r="I262" s="1302"/>
    </row>
    <row r="263" spans="1:9" ht="14">
      <c r="A263" s="1297" t="s">
        <v>6319</v>
      </c>
      <c r="B263" s="1297">
        <v>9509275040</v>
      </c>
      <c r="C263" s="1297" t="s">
        <v>5994</v>
      </c>
      <c r="D263" s="1301">
        <v>46271</v>
      </c>
      <c r="E263" s="1301">
        <v>46270.981307870374</v>
      </c>
      <c r="F263" s="1297" t="s">
        <v>9776</v>
      </c>
      <c r="G263" s="1297" t="s">
        <v>9777</v>
      </c>
      <c r="H263" s="1301">
        <v>46334.75</v>
      </c>
      <c r="I263" s="1303"/>
    </row>
    <row r="264" spans="1:9" ht="14">
      <c r="A264" s="1296" t="s">
        <v>6327</v>
      </c>
      <c r="B264" s="1296">
        <v>9509346010</v>
      </c>
      <c r="C264" s="1296" t="s">
        <v>5994</v>
      </c>
      <c r="D264" s="1300">
        <v>46269.041666666664</v>
      </c>
      <c r="E264" s="1300">
        <v>46269.101157407407</v>
      </c>
      <c r="F264" s="1299"/>
      <c r="G264" s="1296" t="s">
        <v>9783</v>
      </c>
      <c r="H264" s="1300">
        <v>46310.041666666664</v>
      </c>
      <c r="I264" s="1302"/>
    </row>
    <row r="265" spans="1:9" ht="14">
      <c r="A265" s="1297" t="s">
        <v>6332</v>
      </c>
      <c r="B265" s="1297">
        <v>9509265660</v>
      </c>
      <c r="C265" s="1297" t="s">
        <v>5994</v>
      </c>
      <c r="D265" s="1301">
        <v>46269.041666666664</v>
      </c>
      <c r="E265" s="1301">
        <v>46269.101157407407</v>
      </c>
      <c r="F265" s="1298"/>
      <c r="G265" s="1297" t="s">
        <v>9783</v>
      </c>
      <c r="H265" s="1301">
        <v>46310.041666666664</v>
      </c>
      <c r="I265" s="1303"/>
    </row>
    <row r="266" spans="1:9" ht="14">
      <c r="A266" s="1296" t="s">
        <v>6336</v>
      </c>
      <c r="B266" s="1296">
        <v>9509015500</v>
      </c>
      <c r="C266" s="1296" t="s">
        <v>5994</v>
      </c>
      <c r="D266" s="1300">
        <v>46257.291666666664</v>
      </c>
      <c r="E266" s="1300">
        <v>46257.156030092592</v>
      </c>
      <c r="F266" s="1296" t="s">
        <v>9776</v>
      </c>
      <c r="G266" s="1296" t="s">
        <v>9777</v>
      </c>
      <c r="H266" s="1300">
        <v>46308.75</v>
      </c>
      <c r="I266" s="1302"/>
    </row>
    <row r="267" spans="1:9" ht="14">
      <c r="A267" s="1297" t="s">
        <v>6343</v>
      </c>
      <c r="B267" s="1297">
        <v>9508973640</v>
      </c>
      <c r="C267" s="1297" t="s">
        <v>5994</v>
      </c>
      <c r="D267" s="1301">
        <v>46270.041666666664</v>
      </c>
      <c r="E267" s="1301">
        <v>46270.062141203707</v>
      </c>
      <c r="F267" s="1298"/>
      <c r="G267" s="1297" t="s">
        <v>8135</v>
      </c>
      <c r="H267" s="1301">
        <v>46320.25</v>
      </c>
      <c r="I267" s="1303"/>
    </row>
    <row r="268" spans="1:9" ht="14">
      <c r="A268" s="1296" t="s">
        <v>6348</v>
      </c>
      <c r="B268" s="1296">
        <v>9508973860</v>
      </c>
      <c r="C268" s="1296" t="s">
        <v>5994</v>
      </c>
      <c r="D268" s="1300">
        <v>46254</v>
      </c>
      <c r="E268" s="1300">
        <v>46254.01357638889</v>
      </c>
      <c r="F268" s="1299"/>
      <c r="G268" s="1296" t="s">
        <v>8135</v>
      </c>
      <c r="H268" s="1300">
        <v>46297.25</v>
      </c>
      <c r="I268" s="1302"/>
    </row>
    <row r="269" spans="1:9" ht="14">
      <c r="A269" s="1297" t="s">
        <v>6353</v>
      </c>
      <c r="B269" s="1297">
        <v>9509256390</v>
      </c>
      <c r="C269" s="1297" t="s">
        <v>5994</v>
      </c>
      <c r="D269" s="1301">
        <v>46275</v>
      </c>
      <c r="E269" s="1301">
        <v>46275.042812500003</v>
      </c>
      <c r="F269" s="1298"/>
      <c r="G269" s="1297" t="s">
        <v>8135</v>
      </c>
      <c r="H269" s="1301">
        <v>46323.791666666664</v>
      </c>
      <c r="I269" s="1303"/>
    </row>
    <row r="270" spans="1:9" ht="14">
      <c r="A270" s="1296" t="s">
        <v>6358</v>
      </c>
      <c r="B270" s="1296">
        <v>9509256030</v>
      </c>
      <c r="C270" s="1296" t="s">
        <v>5994</v>
      </c>
      <c r="D270" s="1300">
        <v>46260.458333333336</v>
      </c>
      <c r="E270" s="1300">
        <v>46260.478738425925</v>
      </c>
      <c r="F270" s="1299"/>
      <c r="G270" s="1296" t="s">
        <v>9783</v>
      </c>
      <c r="H270" s="1300">
        <v>46305.5</v>
      </c>
      <c r="I270" s="1302"/>
    </row>
    <row r="271" spans="1:9" ht="14">
      <c r="A271" s="1297" t="s">
        <v>6362</v>
      </c>
      <c r="B271" s="1297">
        <v>9508982210</v>
      </c>
      <c r="C271" s="1297" t="s">
        <v>5994</v>
      </c>
      <c r="D271" s="1301">
        <v>46257.791666666664</v>
      </c>
      <c r="E271" s="1301">
        <v>46257.848101851851</v>
      </c>
      <c r="F271" s="1297" t="s">
        <v>9779</v>
      </c>
      <c r="G271" s="1297" t="s">
        <v>9780</v>
      </c>
      <c r="H271" s="1301">
        <v>46299.083333333336</v>
      </c>
      <c r="I271" s="1303"/>
    </row>
    <row r="272" spans="1:9" ht="14">
      <c r="A272" s="1296" t="s">
        <v>6367</v>
      </c>
      <c r="B272" s="1296">
        <v>9508974810</v>
      </c>
      <c r="C272" s="1296" t="s">
        <v>5994</v>
      </c>
      <c r="D272" s="1300">
        <v>46260.458333333336</v>
      </c>
      <c r="E272" s="1300">
        <v>46260.478738425925</v>
      </c>
      <c r="F272" s="1299"/>
      <c r="G272" s="1296" t="s">
        <v>9783</v>
      </c>
      <c r="H272" s="1300">
        <v>46305.5</v>
      </c>
      <c r="I272" s="1302"/>
    </row>
    <row r="273" spans="1:9" ht="14">
      <c r="A273" s="1297" t="s">
        <v>6371</v>
      </c>
      <c r="B273" s="1297">
        <v>9508974740</v>
      </c>
      <c r="C273" s="1297" t="s">
        <v>5994</v>
      </c>
      <c r="D273" s="1301">
        <v>46260.458333333336</v>
      </c>
      <c r="E273" s="1301">
        <v>46260.478738425925</v>
      </c>
      <c r="F273" s="1298"/>
      <c r="G273" s="1297" t="s">
        <v>9783</v>
      </c>
      <c r="H273" s="1301">
        <v>46305.5</v>
      </c>
      <c r="I273" s="1303"/>
    </row>
    <row r="274" spans="1:9" ht="14">
      <c r="A274" s="1296" t="s">
        <v>6375</v>
      </c>
      <c r="B274" s="1296">
        <v>9509255460</v>
      </c>
      <c r="C274" s="1296" t="s">
        <v>5994</v>
      </c>
      <c r="D274" s="1300">
        <v>46269.791666666664</v>
      </c>
      <c r="E274" s="1300">
        <v>46269.824548611112</v>
      </c>
      <c r="F274" s="1296" t="s">
        <v>9779</v>
      </c>
      <c r="G274" s="1296" t="s">
        <v>9780</v>
      </c>
      <c r="H274" s="1302"/>
      <c r="I274" s="1302"/>
    </row>
    <row r="275" spans="1:9" ht="14">
      <c r="A275" s="1297" t="s">
        <v>6380</v>
      </c>
      <c r="B275" s="1297">
        <v>9509127610</v>
      </c>
      <c r="C275" s="1297" t="s">
        <v>9773</v>
      </c>
      <c r="D275" s="1301">
        <v>46259.322916666664</v>
      </c>
      <c r="E275" s="1301">
        <v>46259.371157407404</v>
      </c>
      <c r="F275" s="1298"/>
      <c r="G275" s="1297" t="s">
        <v>9779</v>
      </c>
      <c r="H275" s="1301">
        <v>46307.833333333336</v>
      </c>
      <c r="I275" s="1303"/>
    </row>
    <row r="276" spans="1:9" ht="14">
      <c r="A276" s="1296" t="s">
        <v>6406</v>
      </c>
      <c r="B276" s="1296">
        <v>9509124230</v>
      </c>
      <c r="C276" s="1296" t="s">
        <v>9773</v>
      </c>
      <c r="D276" s="1300">
        <v>46259.322916666664</v>
      </c>
      <c r="E276" s="1300">
        <v>46259.371157407404</v>
      </c>
      <c r="F276" s="1296" t="s">
        <v>123</v>
      </c>
      <c r="G276" s="1296" t="s">
        <v>8135</v>
      </c>
      <c r="H276" s="1300">
        <v>46330.25</v>
      </c>
      <c r="I276" s="1302"/>
    </row>
    <row r="277" spans="1:9" ht="14">
      <c r="A277" s="1297" t="s">
        <v>6413</v>
      </c>
      <c r="B277" s="1297">
        <v>9509124140</v>
      </c>
      <c r="C277" s="1297" t="s">
        <v>9773</v>
      </c>
      <c r="D277" s="1301">
        <v>46259.322916666664</v>
      </c>
      <c r="E277" s="1301">
        <v>46259.371157407404</v>
      </c>
      <c r="F277" s="1297" t="s">
        <v>9775</v>
      </c>
      <c r="G277" s="1297" t="s">
        <v>8135</v>
      </c>
      <c r="H277" s="1301">
        <v>46316.833333333336</v>
      </c>
      <c r="I277" s="1303"/>
    </row>
    <row r="278" spans="1:9" ht="14">
      <c r="A278" s="1296" t="s">
        <v>6177</v>
      </c>
      <c r="B278" s="1296">
        <v>9508944650</v>
      </c>
      <c r="C278" s="1296" t="s">
        <v>9773</v>
      </c>
      <c r="D278" s="1300">
        <v>46254.666666666664</v>
      </c>
      <c r="E278" s="1300">
        <v>46254.49119212963</v>
      </c>
      <c r="F278" s="1299"/>
      <c r="G278" s="1296" t="s">
        <v>9779</v>
      </c>
      <c r="H278" s="1300">
        <v>46303.291666666664</v>
      </c>
      <c r="I278" s="1302"/>
    </row>
    <row r="279" spans="1:9" ht="14">
      <c r="A279" s="1297" t="s">
        <v>6183</v>
      </c>
      <c r="B279" s="1297">
        <v>9508943650</v>
      </c>
      <c r="C279" s="1297" t="s">
        <v>9773</v>
      </c>
      <c r="D279" s="1301">
        <v>46254.666666666664</v>
      </c>
      <c r="E279" s="1301">
        <v>46254.49119212963</v>
      </c>
      <c r="F279" s="1297" t="s">
        <v>123</v>
      </c>
      <c r="G279" s="1297" t="s">
        <v>8135</v>
      </c>
      <c r="H279" s="1301">
        <v>46323.791666666664</v>
      </c>
      <c r="I279" s="1303"/>
    </row>
    <row r="280" spans="1:9" ht="14">
      <c r="A280" s="1296" t="s">
        <v>6189</v>
      </c>
      <c r="B280" s="1296">
        <v>9508943400</v>
      </c>
      <c r="C280" s="1296" t="s">
        <v>9773</v>
      </c>
      <c r="D280" s="1300">
        <v>46254.666666666664</v>
      </c>
      <c r="E280" s="1300">
        <v>46254.49119212963</v>
      </c>
      <c r="F280" s="1296" t="s">
        <v>9775</v>
      </c>
      <c r="G280" s="1296" t="s">
        <v>8135</v>
      </c>
      <c r="H280" s="1300">
        <v>46316.833333333336</v>
      </c>
      <c r="I280" s="1302"/>
    </row>
    <row r="281" spans="1:9" ht="14">
      <c r="A281" s="1297" t="s">
        <v>6193</v>
      </c>
      <c r="B281" s="1297">
        <v>9508944110</v>
      </c>
      <c r="C281" s="1297" t="s">
        <v>9773</v>
      </c>
      <c r="D281" s="1301">
        <v>46254.666666666664</v>
      </c>
      <c r="E281" s="1301">
        <v>46254.49119212963</v>
      </c>
      <c r="F281" s="1297" t="s">
        <v>9788</v>
      </c>
      <c r="G281" s="1297" t="s">
        <v>9777</v>
      </c>
      <c r="H281" s="1301">
        <v>46316.75</v>
      </c>
      <c r="I281" s="1303"/>
    </row>
    <row r="282" spans="1:9" ht="14">
      <c r="A282" s="1296" t="s">
        <v>6198</v>
      </c>
      <c r="B282" s="1296">
        <v>6462455040</v>
      </c>
      <c r="C282" s="1296" t="s">
        <v>9773</v>
      </c>
      <c r="D282" s="1300">
        <v>46254.666666666664</v>
      </c>
      <c r="E282" s="1300">
        <v>46254.49119212963</v>
      </c>
      <c r="F282" s="1296" t="s">
        <v>123</v>
      </c>
      <c r="G282" s="1296" t="s">
        <v>9783</v>
      </c>
      <c r="H282" s="1300">
        <v>46308.75</v>
      </c>
      <c r="I282" s="1302"/>
    </row>
    <row r="283" spans="1:9" ht="14">
      <c r="A283" s="1297" t="s">
        <v>6435</v>
      </c>
      <c r="B283" s="1297">
        <v>6462929130</v>
      </c>
      <c r="C283" s="1297" t="s">
        <v>9773</v>
      </c>
      <c r="D283" s="1301">
        <v>46259.322916666664</v>
      </c>
      <c r="E283" s="1301">
        <v>46259.371157407404</v>
      </c>
      <c r="F283" s="1297" t="s">
        <v>123</v>
      </c>
      <c r="G283" s="1297" t="s">
        <v>9783</v>
      </c>
      <c r="H283" s="1301">
        <v>46315.291666666664</v>
      </c>
      <c r="I283" s="1303"/>
    </row>
    <row r="284" spans="1:9" ht="14">
      <c r="A284" s="1296" t="s">
        <v>6442</v>
      </c>
      <c r="B284" s="1296">
        <v>6464353550</v>
      </c>
      <c r="C284" s="1296" t="s">
        <v>123</v>
      </c>
      <c r="D284" s="1300">
        <v>46278.8125</v>
      </c>
      <c r="E284" s="1300">
        <v>46278.838460648149</v>
      </c>
      <c r="F284" s="1296" t="s">
        <v>9789</v>
      </c>
      <c r="G284" s="1296" t="s">
        <v>9782</v>
      </c>
      <c r="H284" s="1300">
        <v>46318.291666666664</v>
      </c>
      <c r="I284" s="1302"/>
    </row>
    <row r="285" spans="1:9" ht="14">
      <c r="A285" s="1297" t="s">
        <v>6446</v>
      </c>
      <c r="B285" s="1297">
        <v>6463656670</v>
      </c>
      <c r="C285" s="1297" t="s">
        <v>123</v>
      </c>
      <c r="D285" s="1301">
        <v>46282.395833333336</v>
      </c>
      <c r="E285" s="1301">
        <v>46282.285486111112</v>
      </c>
      <c r="F285" s="1298"/>
      <c r="G285" s="1297" t="s">
        <v>9783</v>
      </c>
      <c r="H285" s="1301">
        <v>46316.791666666664</v>
      </c>
      <c r="I285" s="1303"/>
    </row>
    <row r="286" spans="1:9" ht="14">
      <c r="A286" s="1296" t="s">
        <v>6451</v>
      </c>
      <c r="B286" s="1296">
        <v>6463840480</v>
      </c>
      <c r="C286" s="1296" t="s">
        <v>123</v>
      </c>
      <c r="D286" s="1300">
        <v>46267.520833333336</v>
      </c>
      <c r="E286" s="1300">
        <v>46267.407708333332</v>
      </c>
      <c r="F286" s="1299"/>
      <c r="G286" s="1296" t="s">
        <v>9779</v>
      </c>
      <c r="H286" s="1300">
        <v>46307.833333333336</v>
      </c>
      <c r="I286" s="1302"/>
    </row>
    <row r="287" spans="1:9" ht="14">
      <c r="A287" s="1297" t="s">
        <v>6459</v>
      </c>
      <c r="B287" s="1297">
        <v>6463656150</v>
      </c>
      <c r="C287" s="1297" t="s">
        <v>123</v>
      </c>
      <c r="D287" s="1301">
        <v>46267.520833333336</v>
      </c>
      <c r="E287" s="1301">
        <v>46267.407708333332</v>
      </c>
      <c r="F287" s="1298"/>
      <c r="G287" s="1297" t="s">
        <v>9779</v>
      </c>
      <c r="H287" s="1301">
        <v>46307.833333333336</v>
      </c>
      <c r="I287" s="1303"/>
    </row>
    <row r="288" spans="1:9" ht="14">
      <c r="A288" s="1296" t="s">
        <v>6517</v>
      </c>
      <c r="B288" s="1296">
        <v>6464354100</v>
      </c>
      <c r="C288" s="1296" t="s">
        <v>123</v>
      </c>
      <c r="D288" s="1300">
        <v>46273.041666666664</v>
      </c>
      <c r="E288" s="1300">
        <v>46273.077708333331</v>
      </c>
      <c r="F288" s="1299"/>
      <c r="G288" s="1296" t="s">
        <v>9781</v>
      </c>
      <c r="H288" s="1300">
        <v>46324.25</v>
      </c>
      <c r="I288" s="1302"/>
    </row>
    <row r="289" spans="1:9" ht="14">
      <c r="A289" s="1297" t="s">
        <v>6522</v>
      </c>
      <c r="B289" s="1297">
        <v>6463662040</v>
      </c>
      <c r="C289" s="1297" t="s">
        <v>123</v>
      </c>
      <c r="D289" s="1301">
        <v>46271.375</v>
      </c>
      <c r="E289" s="1301">
        <v>46270.941423611112</v>
      </c>
      <c r="F289" s="1298"/>
      <c r="G289" s="1297" t="s">
        <v>8135</v>
      </c>
      <c r="H289" s="1301">
        <v>46309.25</v>
      </c>
      <c r="I289" s="1303"/>
    </row>
    <row r="290" spans="1:9" ht="14">
      <c r="A290" s="1296" t="s">
        <v>6534</v>
      </c>
      <c r="B290" s="1296">
        <v>6464243200</v>
      </c>
      <c r="C290" s="1296" t="s">
        <v>123</v>
      </c>
      <c r="D290" s="1300">
        <v>46273.041666666664</v>
      </c>
      <c r="E290" s="1300">
        <v>46273.077708333331</v>
      </c>
      <c r="F290" s="1299"/>
      <c r="G290" s="1296" t="s">
        <v>8135</v>
      </c>
      <c r="H290" s="1300">
        <v>46330.25</v>
      </c>
      <c r="I290" s="1302"/>
    </row>
    <row r="291" spans="1:9" ht="14">
      <c r="A291" s="1297" t="s">
        <v>6542</v>
      </c>
      <c r="B291" s="1297">
        <v>6463660760</v>
      </c>
      <c r="C291" s="1297" t="s">
        <v>123</v>
      </c>
      <c r="D291" s="1301">
        <v>46271.375</v>
      </c>
      <c r="E291" s="1301">
        <v>46270.941423611112</v>
      </c>
      <c r="F291" s="1298"/>
      <c r="G291" s="1297" t="s">
        <v>9778</v>
      </c>
      <c r="H291" s="1301">
        <v>46303.833333333336</v>
      </c>
      <c r="I291" s="1303"/>
    </row>
    <row r="292" spans="1:9" ht="14">
      <c r="A292" s="1296" t="s">
        <v>6546</v>
      </c>
      <c r="B292" s="1296">
        <v>9509312590</v>
      </c>
      <c r="C292" s="1296" t="s">
        <v>5994</v>
      </c>
      <c r="D292" s="1300">
        <v>46273.645833333336</v>
      </c>
      <c r="E292" s="1300">
        <v>46273.670289351852</v>
      </c>
      <c r="F292" s="1299"/>
      <c r="G292" s="1296" t="s">
        <v>9783</v>
      </c>
      <c r="H292" s="1300">
        <v>46308.770833333336</v>
      </c>
      <c r="I292" s="1302"/>
    </row>
    <row r="293" spans="1:9" ht="14">
      <c r="A293" s="1297" t="s">
        <v>6550</v>
      </c>
      <c r="B293" s="1297">
        <v>9509256240</v>
      </c>
      <c r="C293" s="1297" t="s">
        <v>5994</v>
      </c>
      <c r="D293" s="1301">
        <v>46273.645833333336</v>
      </c>
      <c r="E293" s="1301">
        <v>46273.670289351852</v>
      </c>
      <c r="F293" s="1298"/>
      <c r="G293" s="1297" t="s">
        <v>9783</v>
      </c>
      <c r="H293" s="1301">
        <v>46308.75</v>
      </c>
      <c r="I293" s="1303"/>
    </row>
    <row r="294" spans="1:9" ht="14">
      <c r="A294" s="1296" t="s">
        <v>6554</v>
      </c>
      <c r="B294" s="1296">
        <v>9509255750</v>
      </c>
      <c r="C294" s="1296" t="s">
        <v>5994</v>
      </c>
      <c r="D294" s="1300">
        <v>46272.625</v>
      </c>
      <c r="E294" s="1300">
        <v>46272.645995370367</v>
      </c>
      <c r="F294" s="1299"/>
      <c r="G294" s="1296" t="s">
        <v>9779</v>
      </c>
      <c r="H294" s="1300">
        <v>46307.833333333336</v>
      </c>
      <c r="I294" s="1302"/>
    </row>
    <row r="295" spans="1:9" ht="14">
      <c r="A295" s="1297" t="s">
        <v>6565</v>
      </c>
      <c r="B295" s="1297">
        <v>9509265340</v>
      </c>
      <c r="C295" s="1297" t="s">
        <v>5994</v>
      </c>
      <c r="D295" s="1301">
        <v>46269.041666666664</v>
      </c>
      <c r="E295" s="1301">
        <v>46269.101157407407</v>
      </c>
      <c r="F295" s="1298"/>
      <c r="G295" s="1297" t="s">
        <v>9783</v>
      </c>
      <c r="H295" s="1301">
        <v>46310.041666666664</v>
      </c>
      <c r="I295" s="1303"/>
    </row>
    <row r="296" spans="1:9" ht="14">
      <c r="A296" s="1296" t="s">
        <v>6570</v>
      </c>
      <c r="B296" s="1296">
        <v>9509256340</v>
      </c>
      <c r="C296" s="1296" t="s">
        <v>5994</v>
      </c>
      <c r="D296" s="1300">
        <v>46268.333333333336</v>
      </c>
      <c r="E296" s="1300">
        <v>46268.365231481483</v>
      </c>
      <c r="F296" s="1299"/>
      <c r="G296" s="1296" t="s">
        <v>8135</v>
      </c>
      <c r="H296" s="1300">
        <v>46309.25</v>
      </c>
      <c r="I296" s="1302"/>
    </row>
    <row r="297" spans="1:9" ht="14">
      <c r="A297" s="1297" t="s">
        <v>6575</v>
      </c>
      <c r="B297" s="1297">
        <v>9509275330</v>
      </c>
      <c r="C297" s="1297" t="s">
        <v>9773</v>
      </c>
      <c r="D297" s="1301">
        <v>46269.833333333336</v>
      </c>
      <c r="E297" s="1301">
        <v>46269.854108796295</v>
      </c>
      <c r="F297" s="1298"/>
      <c r="G297" s="1297" t="s">
        <v>9779</v>
      </c>
      <c r="H297" s="1301">
        <v>46317.625</v>
      </c>
      <c r="I297" s="1303"/>
    </row>
    <row r="298" spans="1:9" ht="14">
      <c r="A298" s="1296" t="s">
        <v>6581</v>
      </c>
      <c r="B298" s="1296">
        <v>9509296080</v>
      </c>
      <c r="C298" s="1296" t="s">
        <v>9773</v>
      </c>
      <c r="D298" s="1300">
        <v>46269.833333333336</v>
      </c>
      <c r="E298" s="1300">
        <v>46269.854108796295</v>
      </c>
      <c r="F298" s="1296" t="s">
        <v>9775</v>
      </c>
      <c r="G298" s="1296" t="s">
        <v>8135</v>
      </c>
      <c r="H298" s="1300">
        <v>46323.25</v>
      </c>
      <c r="I298" s="1302"/>
    </row>
    <row r="299" spans="1:9" ht="14">
      <c r="A299" s="1297" t="s">
        <v>6586</v>
      </c>
      <c r="B299" s="1297">
        <v>9509296500</v>
      </c>
      <c r="C299" s="1297" t="s">
        <v>9773</v>
      </c>
      <c r="D299" s="1301">
        <v>46269.833333333336</v>
      </c>
      <c r="E299" s="1301">
        <v>46269.854108796295</v>
      </c>
      <c r="F299" s="1297" t="s">
        <v>9775</v>
      </c>
      <c r="G299" s="1297" t="s">
        <v>8135</v>
      </c>
      <c r="H299" s="1301">
        <v>46344.791666666664</v>
      </c>
      <c r="I299" s="1303"/>
    </row>
    <row r="300" spans="1:9" ht="14">
      <c r="A300" s="1296" t="s">
        <v>6590</v>
      </c>
      <c r="B300" s="1296">
        <v>9509296870</v>
      </c>
      <c r="C300" s="1296" t="s">
        <v>9773</v>
      </c>
      <c r="D300" s="1300">
        <v>46269.833333333336</v>
      </c>
      <c r="E300" s="1300">
        <v>46269.854108796295</v>
      </c>
      <c r="F300" s="1296" t="s">
        <v>9788</v>
      </c>
      <c r="G300" s="1296" t="s">
        <v>9777</v>
      </c>
      <c r="H300" s="1302"/>
      <c r="I300" s="1302"/>
    </row>
    <row r="301" spans="1:9" ht="14">
      <c r="A301" s="1297" t="s">
        <v>6609</v>
      </c>
      <c r="B301" s="1297">
        <v>6464780390</v>
      </c>
      <c r="C301" s="1297" t="s">
        <v>123</v>
      </c>
      <c r="D301" s="1301">
        <v>46274.083333333336</v>
      </c>
      <c r="E301" s="1301">
        <v>46274.103541666664</v>
      </c>
      <c r="F301" s="1298"/>
      <c r="G301" s="1297" t="s">
        <v>9783</v>
      </c>
      <c r="H301" s="1301">
        <v>46315.291666666664</v>
      </c>
      <c r="I301" s="1303"/>
    </row>
    <row r="302" spans="1:9" ht="14">
      <c r="A302" s="1296" t="s">
        <v>6613</v>
      </c>
      <c r="B302" s="1296">
        <v>6464774420</v>
      </c>
      <c r="C302" s="1296" t="s">
        <v>123</v>
      </c>
      <c r="D302" s="1300">
        <v>46278.708333333336</v>
      </c>
      <c r="E302" s="1300">
        <v>46278.586898148147</v>
      </c>
      <c r="F302" s="1299"/>
      <c r="G302" s="1296" t="s">
        <v>9779</v>
      </c>
      <c r="H302" s="1300">
        <v>46317.625</v>
      </c>
      <c r="I302" s="1302"/>
    </row>
    <row r="303" spans="1:9" ht="14">
      <c r="A303" s="1297" t="s">
        <v>6618</v>
      </c>
      <c r="B303" s="1297">
        <v>6464775680</v>
      </c>
      <c r="C303" s="1297" t="s">
        <v>123</v>
      </c>
      <c r="D303" s="1301">
        <v>46277.8125</v>
      </c>
      <c r="E303" s="1301">
        <v>46277.716585648152</v>
      </c>
      <c r="F303" s="1298"/>
      <c r="G303" s="1297" t="s">
        <v>9779</v>
      </c>
      <c r="H303" s="1301">
        <v>46319.875</v>
      </c>
      <c r="I303" s="1303"/>
    </row>
    <row r="304" spans="1:9" ht="14">
      <c r="A304" s="1296" t="s">
        <v>6623</v>
      </c>
      <c r="B304" s="1296">
        <v>6464778420</v>
      </c>
      <c r="C304" s="1296" t="s">
        <v>123</v>
      </c>
      <c r="D304" s="1300">
        <v>46276.520833333336</v>
      </c>
      <c r="E304" s="1300">
        <v>46276.53597222222</v>
      </c>
      <c r="F304" s="1299"/>
      <c r="G304" s="1296" t="s">
        <v>9779</v>
      </c>
      <c r="H304" s="1300">
        <v>46321.9375</v>
      </c>
      <c r="I304" s="1302"/>
    </row>
    <row r="305" spans="1:9" ht="14">
      <c r="A305" s="1297" t="s">
        <v>6628</v>
      </c>
      <c r="B305" s="1297">
        <v>6464781690</v>
      </c>
      <c r="C305" s="1297" t="s">
        <v>123</v>
      </c>
      <c r="D305" s="1301">
        <v>46277.791666666664</v>
      </c>
      <c r="E305" s="1301">
        <v>46277.833090277774</v>
      </c>
      <c r="F305" s="1298"/>
      <c r="G305" s="1297" t="s">
        <v>8135</v>
      </c>
      <c r="H305" s="1301">
        <v>46316.833333333336</v>
      </c>
      <c r="I305" s="1303"/>
    </row>
    <row r="306" spans="1:9" ht="14">
      <c r="A306" s="1296" t="s">
        <v>6635</v>
      </c>
      <c r="B306" s="1296">
        <v>6464783150</v>
      </c>
      <c r="C306" s="1296" t="s">
        <v>123</v>
      </c>
      <c r="D306" s="1300">
        <v>46284.729166666664</v>
      </c>
      <c r="E306" s="1300">
        <v>46284.757893518516</v>
      </c>
      <c r="F306" s="1299"/>
      <c r="G306" s="1296" t="s">
        <v>8135</v>
      </c>
      <c r="H306" s="1300">
        <v>46336.791666666664</v>
      </c>
      <c r="I306" s="1302"/>
    </row>
    <row r="307" spans="1:9" ht="14">
      <c r="A307" s="1297" t="s">
        <v>6643</v>
      </c>
      <c r="B307" s="1297">
        <v>6464784160</v>
      </c>
      <c r="C307" s="1297" t="s">
        <v>123</v>
      </c>
      <c r="D307" s="1301">
        <v>46273.041666666664</v>
      </c>
      <c r="E307" s="1301">
        <v>46273.077708333331</v>
      </c>
      <c r="F307" s="1298"/>
      <c r="G307" s="1297" t="s">
        <v>9778</v>
      </c>
      <c r="H307" s="1301">
        <v>46333.583333333336</v>
      </c>
      <c r="I307" s="1303"/>
    </row>
    <row r="308" spans="1:9" ht="14">
      <c r="A308" s="1296" t="s">
        <v>6647</v>
      </c>
      <c r="B308" s="1296">
        <v>6465498240</v>
      </c>
      <c r="C308" s="1296" t="s">
        <v>123</v>
      </c>
      <c r="D308" s="1300">
        <v>46277.791666666664</v>
      </c>
      <c r="E308" s="1300">
        <v>46277.833090277774</v>
      </c>
      <c r="F308" s="1299"/>
      <c r="G308" s="1296" t="s">
        <v>9778</v>
      </c>
      <c r="H308" s="1300">
        <v>46311.583333333336</v>
      </c>
      <c r="I308" s="1302"/>
    </row>
    <row r="309" spans="1:9" ht="14">
      <c r="A309" s="1297" t="s">
        <v>7124</v>
      </c>
      <c r="B309" s="1297">
        <v>9510170300</v>
      </c>
      <c r="C309" s="1297" t="s">
        <v>9773</v>
      </c>
      <c r="D309" s="1301">
        <v>46300.958333333336</v>
      </c>
      <c r="E309" s="1303"/>
      <c r="F309" s="1298"/>
      <c r="G309" s="1297" t="s">
        <v>9779</v>
      </c>
      <c r="H309" s="1301">
        <v>46346.333333333336</v>
      </c>
      <c r="I309" s="1303"/>
    </row>
    <row r="310" spans="1:9" ht="14">
      <c r="A310" s="1296" t="s">
        <v>7014</v>
      </c>
      <c r="B310" s="1296">
        <v>9510101310</v>
      </c>
      <c r="C310" s="1296" t="s">
        <v>9773</v>
      </c>
      <c r="D310" s="1300">
        <v>46295.5</v>
      </c>
      <c r="E310" s="1300">
        <v>46295.536527777775</v>
      </c>
      <c r="F310" s="1296" t="s">
        <v>9775</v>
      </c>
      <c r="G310" s="1296" t="s">
        <v>8135</v>
      </c>
      <c r="H310" s="1300">
        <v>46365.25</v>
      </c>
      <c r="I310" s="1302"/>
    </row>
    <row r="311" spans="1:9" ht="14">
      <c r="A311" s="1297" t="s">
        <v>7021</v>
      </c>
      <c r="B311" s="1297">
        <v>9510260340</v>
      </c>
      <c r="C311" s="1297" t="s">
        <v>9773</v>
      </c>
      <c r="D311" s="1301">
        <v>46313.166666666664</v>
      </c>
      <c r="E311" s="1303"/>
      <c r="F311" s="1297" t="s">
        <v>9775</v>
      </c>
      <c r="G311" s="1297" t="s">
        <v>8135</v>
      </c>
      <c r="H311" s="1301">
        <v>46372.25</v>
      </c>
      <c r="I311" s="1303"/>
    </row>
    <row r="312" spans="1:9" ht="14">
      <c r="A312" s="1296" t="s">
        <v>7026</v>
      </c>
      <c r="B312" s="1296">
        <v>9510100890</v>
      </c>
      <c r="C312" s="1296" t="s">
        <v>9773</v>
      </c>
      <c r="D312" s="1300">
        <v>46295.5</v>
      </c>
      <c r="E312" s="1300">
        <v>46295.536527777775</v>
      </c>
      <c r="F312" s="1296" t="s">
        <v>9775</v>
      </c>
      <c r="G312" s="1296" t="s">
        <v>8135</v>
      </c>
      <c r="H312" s="1300">
        <v>46363.791666666664</v>
      </c>
      <c r="I312" s="1302"/>
    </row>
    <row r="313" spans="1:9" ht="14">
      <c r="A313" s="1297" t="s">
        <v>6682</v>
      </c>
      <c r="B313" s="1297">
        <v>9509606910</v>
      </c>
      <c r="C313" s="1297" t="s">
        <v>5994</v>
      </c>
      <c r="D313" s="1301">
        <v>46282.583333333336</v>
      </c>
      <c r="E313" s="1301">
        <v>46282.614317129628</v>
      </c>
      <c r="F313" s="1298"/>
      <c r="G313" s="1297" t="s">
        <v>9779</v>
      </c>
      <c r="H313" s="1301">
        <v>46317.625</v>
      </c>
      <c r="I313" s="1303"/>
    </row>
    <row r="314" spans="1:9" ht="14">
      <c r="A314" s="1296" t="s">
        <v>6687</v>
      </c>
      <c r="B314" s="1296">
        <v>9509606920</v>
      </c>
      <c r="C314" s="1296" t="s">
        <v>5994</v>
      </c>
      <c r="D314" s="1300">
        <v>46284.375</v>
      </c>
      <c r="E314" s="1300">
        <v>46284.396817129629</v>
      </c>
      <c r="F314" s="1299"/>
      <c r="G314" s="1296" t="s">
        <v>9779</v>
      </c>
      <c r="H314" s="1300">
        <v>46319.875</v>
      </c>
      <c r="I314" s="1302"/>
    </row>
    <row r="315" spans="1:9" ht="14">
      <c r="A315" s="1297" t="s">
        <v>6737</v>
      </c>
      <c r="B315" s="1297">
        <v>6465715640</v>
      </c>
      <c r="C315" s="1297" t="s">
        <v>123</v>
      </c>
      <c r="D315" s="1301">
        <v>46279.6875</v>
      </c>
      <c r="E315" s="1301">
        <v>46279.699814814812</v>
      </c>
      <c r="F315" s="1298"/>
      <c r="G315" s="1297" t="s">
        <v>9784</v>
      </c>
      <c r="H315" s="1301">
        <v>46330.25</v>
      </c>
      <c r="I315" s="1303"/>
    </row>
    <row r="316" spans="1:9" ht="14">
      <c r="A316" s="1296" t="s">
        <v>6763</v>
      </c>
      <c r="B316" s="1296">
        <v>6465717250</v>
      </c>
      <c r="C316" s="1296" t="s">
        <v>123</v>
      </c>
      <c r="D316" s="1300">
        <v>46286.4375</v>
      </c>
      <c r="E316" s="1300">
        <v>46286.452141203707</v>
      </c>
      <c r="F316" s="1299"/>
      <c r="G316" s="1296" t="s">
        <v>9779</v>
      </c>
      <c r="H316" s="1300">
        <v>46326.875</v>
      </c>
      <c r="I316" s="1302"/>
    </row>
    <row r="317" spans="1:9" ht="14">
      <c r="A317" s="1297" t="s">
        <v>6770</v>
      </c>
      <c r="B317" s="1297">
        <v>6466066070</v>
      </c>
      <c r="C317" s="1297" t="s">
        <v>123</v>
      </c>
      <c r="D317" s="1301">
        <v>46282.395833333336</v>
      </c>
      <c r="E317" s="1301">
        <v>46282.285486111112</v>
      </c>
      <c r="F317" s="1298"/>
      <c r="G317" s="1297" t="s">
        <v>9779</v>
      </c>
      <c r="H317" s="1301">
        <v>46321.791666666664</v>
      </c>
      <c r="I317" s="1303"/>
    </row>
    <row r="318" spans="1:9" ht="14">
      <c r="A318" s="1296" t="s">
        <v>6778</v>
      </c>
      <c r="B318" s="1296">
        <v>6466067620</v>
      </c>
      <c r="C318" s="1296" t="s">
        <v>123</v>
      </c>
      <c r="D318" s="1300">
        <v>46281.625</v>
      </c>
      <c r="E318" s="1300">
        <v>46281.637303240743</v>
      </c>
      <c r="F318" s="1299"/>
      <c r="G318" s="1296" t="s">
        <v>9779</v>
      </c>
      <c r="H318" s="1300">
        <v>46321.958333333336</v>
      </c>
      <c r="I318" s="1302"/>
    </row>
    <row r="319" spans="1:9" ht="14">
      <c r="A319" s="1297" t="s">
        <v>6789</v>
      </c>
      <c r="B319" s="1297">
        <v>6465719640</v>
      </c>
      <c r="C319" s="1297" t="s">
        <v>123</v>
      </c>
      <c r="D319" s="1301">
        <v>46279.6875</v>
      </c>
      <c r="E319" s="1301">
        <v>46279.699814814812</v>
      </c>
      <c r="F319" s="1297" t="s">
        <v>9785</v>
      </c>
      <c r="G319" s="1297" t="s">
        <v>8135</v>
      </c>
      <c r="H319" s="1301">
        <v>46323.25</v>
      </c>
      <c r="I319" s="1303"/>
    </row>
    <row r="320" spans="1:9" ht="14">
      <c r="A320" s="1296" t="s">
        <v>6832</v>
      </c>
      <c r="B320" s="1296">
        <v>6466858750</v>
      </c>
      <c r="C320" s="1296" t="s">
        <v>123</v>
      </c>
      <c r="D320" s="1300">
        <v>46295.229166666664</v>
      </c>
      <c r="E320" s="1300">
        <v>46295.255243055559</v>
      </c>
      <c r="F320" s="1299"/>
      <c r="G320" s="1296" t="s">
        <v>9784</v>
      </c>
      <c r="H320" s="1300">
        <v>46339.708333333336</v>
      </c>
      <c r="I320" s="1302"/>
    </row>
    <row r="321" spans="1:9" ht="14">
      <c r="A321" s="1297" t="s">
        <v>6837</v>
      </c>
      <c r="B321" s="1297">
        <v>6467013360</v>
      </c>
      <c r="C321" s="1297" t="s">
        <v>123</v>
      </c>
      <c r="D321" s="1301">
        <v>46294.166666666664</v>
      </c>
      <c r="E321" s="1301">
        <v>46294.084317129629</v>
      </c>
      <c r="F321" s="1298"/>
      <c r="G321" s="1297" t="s">
        <v>9779</v>
      </c>
      <c r="H321" s="1301">
        <v>46332.875</v>
      </c>
      <c r="I321" s="1303"/>
    </row>
    <row r="322" spans="1:9" ht="14">
      <c r="A322" s="1296" t="s">
        <v>6845</v>
      </c>
      <c r="B322" s="1296">
        <v>6466678170</v>
      </c>
      <c r="C322" s="1296" t="s">
        <v>123</v>
      </c>
      <c r="D322" s="1300">
        <v>46287.5</v>
      </c>
      <c r="E322" s="1300">
        <v>46287.427245370367</v>
      </c>
      <c r="F322" s="1299"/>
      <c r="G322" s="1296" t="s">
        <v>9779</v>
      </c>
      <c r="H322" s="1300">
        <v>46324.854166666664</v>
      </c>
      <c r="I322" s="1302"/>
    </row>
    <row r="323" spans="1:9" ht="14">
      <c r="A323" s="1297" t="s">
        <v>6855</v>
      </c>
      <c r="B323" s="1297">
        <v>6466631520</v>
      </c>
      <c r="C323" s="1297" t="s">
        <v>123</v>
      </c>
      <c r="D323" s="1301">
        <v>46294.166666666664</v>
      </c>
      <c r="E323" s="1301">
        <v>46294.084317129629</v>
      </c>
      <c r="F323" s="1298"/>
      <c r="G323" s="1297" t="s">
        <v>9779</v>
      </c>
      <c r="H323" s="1301">
        <v>46332.875</v>
      </c>
      <c r="I323" s="1303"/>
    </row>
    <row r="324" spans="1:9" ht="14">
      <c r="A324" s="1296" t="s">
        <v>6860</v>
      </c>
      <c r="B324" s="1296">
        <v>6467015120</v>
      </c>
      <c r="C324" s="1296" t="s">
        <v>123</v>
      </c>
      <c r="D324" s="1300">
        <v>46292.791666666664</v>
      </c>
      <c r="E324" s="1300">
        <v>46292.810983796298</v>
      </c>
      <c r="F324" s="1299"/>
      <c r="G324" s="1296" t="s">
        <v>9781</v>
      </c>
      <c r="H324" s="1300">
        <v>46341</v>
      </c>
      <c r="I324" s="1302"/>
    </row>
    <row r="325" spans="1:9" ht="14">
      <c r="A325" s="1297" t="s">
        <v>6865</v>
      </c>
      <c r="B325" s="1297">
        <v>6467017560</v>
      </c>
      <c r="C325" s="1297" t="s">
        <v>123</v>
      </c>
      <c r="D325" s="1301">
        <v>46289.583333333336</v>
      </c>
      <c r="E325" s="1301">
        <v>46289.623495370368</v>
      </c>
      <c r="F325" s="1298"/>
      <c r="G325" s="1297" t="s">
        <v>8135</v>
      </c>
      <c r="H325" s="1301">
        <v>46330.25</v>
      </c>
      <c r="I325" s="1303"/>
    </row>
    <row r="326" spans="1:9" ht="14">
      <c r="A326" s="1296" t="s">
        <v>6869</v>
      </c>
      <c r="B326" s="1296">
        <v>6467016280</v>
      </c>
      <c r="C326" s="1296" t="s">
        <v>123</v>
      </c>
      <c r="D326" s="1300">
        <v>46292.791666666664</v>
      </c>
      <c r="E326" s="1300">
        <v>46292.810983796298</v>
      </c>
      <c r="F326" s="1299"/>
      <c r="G326" s="1296" t="s">
        <v>8135</v>
      </c>
      <c r="H326" s="1300">
        <v>46343.75</v>
      </c>
      <c r="I326" s="1302"/>
    </row>
    <row r="327" spans="1:9" ht="14">
      <c r="A327" s="1297" t="s">
        <v>6876</v>
      </c>
      <c r="B327" s="1297">
        <v>6467090510</v>
      </c>
      <c r="C327" s="1297" t="s">
        <v>123</v>
      </c>
      <c r="D327" s="1301">
        <v>46292.791666666664</v>
      </c>
      <c r="E327" s="1301">
        <v>46292.810983796298</v>
      </c>
      <c r="F327" s="1298"/>
      <c r="G327" s="1297" t="s">
        <v>9778</v>
      </c>
      <c r="H327" s="1301">
        <v>46346.541666666664</v>
      </c>
      <c r="I327" s="1303"/>
    </row>
    <row r="328" spans="1:9" ht="14">
      <c r="A328" s="1296" t="s">
        <v>6942</v>
      </c>
      <c r="B328" s="1296">
        <v>6467917120</v>
      </c>
      <c r="C328" s="1296" t="s">
        <v>123</v>
      </c>
      <c r="D328" s="1300">
        <v>46293.1875</v>
      </c>
      <c r="E328" s="1300">
        <v>46292.541562500002</v>
      </c>
      <c r="F328" s="1299"/>
      <c r="G328" s="1296" t="s">
        <v>9779</v>
      </c>
      <c r="H328" s="1300">
        <v>46329.333333333336</v>
      </c>
      <c r="I328" s="1302"/>
    </row>
    <row r="329" spans="1:9" ht="14">
      <c r="A329" s="1297" t="s">
        <v>6952</v>
      </c>
      <c r="B329" s="1297">
        <v>6467917960</v>
      </c>
      <c r="C329" s="1297" t="s">
        <v>123</v>
      </c>
      <c r="D329" s="1301">
        <v>46310.083333333336</v>
      </c>
      <c r="E329" s="1303"/>
      <c r="F329" s="1298"/>
      <c r="G329" s="1297" t="s">
        <v>9779</v>
      </c>
      <c r="H329" s="1301">
        <v>46347.875</v>
      </c>
      <c r="I329" s="1303"/>
    </row>
    <row r="330" spans="1:9" ht="14">
      <c r="A330" s="1296" t="s">
        <v>6958</v>
      </c>
      <c r="B330" s="1296">
        <v>6467919240</v>
      </c>
      <c r="C330" s="1296" t="s">
        <v>123</v>
      </c>
      <c r="D330" s="1300">
        <v>46296.5</v>
      </c>
      <c r="E330" s="1302"/>
      <c r="F330" s="1299"/>
      <c r="G330" s="1296" t="s">
        <v>9779</v>
      </c>
      <c r="H330" s="1300">
        <v>46341.625</v>
      </c>
      <c r="I330" s="1302"/>
    </row>
    <row r="331" spans="1:9" ht="14">
      <c r="A331" s="1297" t="s">
        <v>6963</v>
      </c>
      <c r="B331" s="1297">
        <v>6467919750</v>
      </c>
      <c r="C331" s="1297" t="s">
        <v>123</v>
      </c>
      <c r="D331" s="1301">
        <v>46297.9375</v>
      </c>
      <c r="E331" s="1303"/>
      <c r="F331" s="1298"/>
      <c r="G331" s="1297" t="s">
        <v>9779</v>
      </c>
      <c r="H331" s="1301">
        <v>46340.791666666664</v>
      </c>
      <c r="I331" s="1303"/>
    </row>
    <row r="332" spans="1:9" ht="14">
      <c r="A332" s="1296" t="s">
        <v>6973</v>
      </c>
      <c r="B332" s="1296">
        <v>6467920310</v>
      </c>
      <c r="C332" s="1296" t="s">
        <v>123</v>
      </c>
      <c r="D332" s="1300">
        <v>46297.9375</v>
      </c>
      <c r="E332" s="1302"/>
      <c r="F332" s="1299"/>
      <c r="G332" s="1296" t="s">
        <v>9779</v>
      </c>
      <c r="H332" s="1300">
        <v>46340.791666666664</v>
      </c>
      <c r="I332" s="1302"/>
    </row>
    <row r="333" spans="1:9" ht="14">
      <c r="A333" s="1297" t="s">
        <v>6990</v>
      </c>
      <c r="B333" s="1297">
        <v>6468132880</v>
      </c>
      <c r="C333" s="1297" t="s">
        <v>123</v>
      </c>
      <c r="D333" s="1301">
        <v>46302.791666666664</v>
      </c>
      <c r="E333" s="1303"/>
      <c r="F333" s="1298"/>
      <c r="G333" s="1297" t="s">
        <v>9781</v>
      </c>
      <c r="H333" s="1301">
        <v>46344.25</v>
      </c>
      <c r="I333" s="1303"/>
    </row>
    <row r="334" spans="1:9" ht="14">
      <c r="A334" s="1296" t="s">
        <v>6994</v>
      </c>
      <c r="B334" s="1296">
        <v>6467810590</v>
      </c>
      <c r="C334" s="1296" t="s">
        <v>123</v>
      </c>
      <c r="D334" s="1300">
        <v>46302.791666666664</v>
      </c>
      <c r="E334" s="1302"/>
      <c r="F334" s="1296" t="s">
        <v>9776</v>
      </c>
      <c r="G334" s="1296" t="s">
        <v>9777</v>
      </c>
      <c r="H334" s="1300">
        <v>46348.75</v>
      </c>
      <c r="I334" s="1302"/>
    </row>
    <row r="335" spans="1:9" ht="14">
      <c r="A335" s="1297" t="s">
        <v>6998</v>
      </c>
      <c r="B335" s="1297">
        <v>6468136360</v>
      </c>
      <c r="C335" s="1297" t="s">
        <v>123</v>
      </c>
      <c r="D335" s="1301">
        <v>46302.791666666664</v>
      </c>
      <c r="E335" s="1303"/>
      <c r="F335" s="1298"/>
      <c r="G335" s="1297" t="s">
        <v>8135</v>
      </c>
      <c r="H335" s="1301">
        <v>46349.791666666664</v>
      </c>
      <c r="I335" s="1303"/>
    </row>
    <row r="336" spans="1:9" ht="14">
      <c r="A336" s="1296" t="s">
        <v>7003</v>
      </c>
      <c r="B336" s="1296">
        <v>6468139070</v>
      </c>
      <c r="C336" s="1296" t="s">
        <v>123</v>
      </c>
      <c r="D336" s="1300">
        <v>46298.5625</v>
      </c>
      <c r="E336" s="1302"/>
      <c r="F336" s="1296" t="s">
        <v>9785</v>
      </c>
      <c r="G336" s="1296" t="s">
        <v>9778</v>
      </c>
      <c r="H336" s="1300">
        <v>46338.833333333336</v>
      </c>
      <c r="I336" s="1302"/>
    </row>
    <row r="337" spans="1:9" ht="14">
      <c r="A337" s="1297" t="s">
        <v>7008</v>
      </c>
      <c r="B337" s="1297">
        <v>6468138550</v>
      </c>
      <c r="C337" s="1297" t="s">
        <v>123</v>
      </c>
      <c r="D337" s="1301">
        <v>46298.5625</v>
      </c>
      <c r="E337" s="1303"/>
      <c r="F337" s="1297" t="s">
        <v>9785</v>
      </c>
      <c r="G337" s="1297" t="s">
        <v>8135</v>
      </c>
      <c r="H337" s="1301">
        <v>46344.25</v>
      </c>
      <c r="I337" s="1303"/>
    </row>
    <row r="338" spans="1:9" ht="14">
      <c r="A338" s="1296" t="s">
        <v>7115</v>
      </c>
      <c r="B338" s="1296">
        <v>9510036150</v>
      </c>
      <c r="C338" s="1296" t="s">
        <v>5994</v>
      </c>
      <c r="D338" s="1300">
        <v>46304.291666666664</v>
      </c>
      <c r="E338" s="1302"/>
      <c r="F338" s="1299"/>
      <c r="G338" s="1296" t="s">
        <v>8135</v>
      </c>
      <c r="H338" s="1300">
        <v>46349.791666666664</v>
      </c>
      <c r="I338" s="1302"/>
    </row>
    <row r="339" spans="1:9" ht="14">
      <c r="A339" s="1297" t="s">
        <v>7120</v>
      </c>
      <c r="B339" s="1297">
        <v>9510036540</v>
      </c>
      <c r="C339" s="1297" t="s">
        <v>5994</v>
      </c>
      <c r="D339" s="1301">
        <v>46297.666666666664</v>
      </c>
      <c r="E339" s="1303"/>
      <c r="F339" s="1298"/>
      <c r="G339" s="1297" t="s">
        <v>8135</v>
      </c>
      <c r="H339" s="1301">
        <v>46337.25</v>
      </c>
      <c r="I339" s="1303"/>
    </row>
    <row r="340" spans="1:9" ht="14">
      <c r="A340" s="1296" t="s">
        <v>6714</v>
      </c>
      <c r="B340" s="1296">
        <v>6464983000</v>
      </c>
      <c r="C340" s="1296" t="s">
        <v>9773</v>
      </c>
      <c r="D340" s="1300">
        <v>46275.833333333336</v>
      </c>
      <c r="E340" s="1300">
        <v>46275.864525462966</v>
      </c>
      <c r="F340" s="1299"/>
      <c r="G340" s="1296" t="s">
        <v>9779</v>
      </c>
      <c r="H340" s="1300">
        <v>46321.958333333336</v>
      </c>
      <c r="I340" s="1302"/>
    </row>
    <row r="341" spans="1:9" ht="14">
      <c r="A341" s="1297" t="s">
        <v>6718</v>
      </c>
      <c r="B341" s="1297">
        <v>9509511700</v>
      </c>
      <c r="C341" s="1297" t="s">
        <v>9773</v>
      </c>
      <c r="D341" s="1301">
        <v>46275.833333333336</v>
      </c>
      <c r="E341" s="1301">
        <v>46275.864525462966</v>
      </c>
      <c r="F341" s="1298"/>
      <c r="G341" s="1297" t="s">
        <v>9779</v>
      </c>
      <c r="H341" s="1301">
        <v>46321.958333333336</v>
      </c>
      <c r="I341" s="1303"/>
    </row>
    <row r="342" spans="1:9" ht="14">
      <c r="A342" s="1296" t="s">
        <v>7049</v>
      </c>
      <c r="B342" s="1296">
        <v>6467808410</v>
      </c>
      <c r="C342" s="1296" t="s">
        <v>123</v>
      </c>
      <c r="D342" s="1300">
        <v>46298.5625</v>
      </c>
      <c r="E342" s="1302"/>
      <c r="F342" s="1299"/>
      <c r="G342" s="1296" t="s">
        <v>9784</v>
      </c>
      <c r="H342" s="1300">
        <v>46347.645833333336</v>
      </c>
      <c r="I342" s="1302"/>
    </row>
    <row r="343" spans="1:9" ht="14">
      <c r="A343" s="1297" t="s">
        <v>7055</v>
      </c>
      <c r="B343" s="1297">
        <v>6468384010</v>
      </c>
      <c r="C343" s="1297" t="s">
        <v>123</v>
      </c>
      <c r="D343" s="1301">
        <v>46301.333333333336</v>
      </c>
      <c r="E343" s="1303"/>
      <c r="F343" s="1298"/>
      <c r="G343" s="1297" t="s">
        <v>9779</v>
      </c>
      <c r="H343" s="1301">
        <v>46336.333333333336</v>
      </c>
      <c r="I343" s="1303"/>
    </row>
    <row r="344" spans="1:9" ht="14">
      <c r="A344" s="1296" t="s">
        <v>7065</v>
      </c>
      <c r="B344" s="1296">
        <v>6468580080</v>
      </c>
      <c r="C344" s="1296" t="s">
        <v>123</v>
      </c>
      <c r="D344" s="1300">
        <v>46299.625</v>
      </c>
      <c r="E344" s="1302"/>
      <c r="F344" s="1299"/>
      <c r="G344" s="1296" t="s">
        <v>9779</v>
      </c>
      <c r="H344" s="1300">
        <v>46340.25</v>
      </c>
      <c r="I344" s="1302"/>
    </row>
    <row r="345" spans="1:9" ht="14">
      <c r="A345" s="1297" t="s">
        <v>7070</v>
      </c>
      <c r="B345" s="1297">
        <v>6468731340</v>
      </c>
      <c r="C345" s="1297" t="s">
        <v>123</v>
      </c>
      <c r="D345" s="1301">
        <v>46306.333333333336</v>
      </c>
      <c r="E345" s="1303"/>
      <c r="F345" s="1298"/>
      <c r="G345" s="1297" t="s">
        <v>8135</v>
      </c>
      <c r="H345" s="1301">
        <v>46344.25</v>
      </c>
      <c r="I345" s="1303"/>
    </row>
    <row r="346" spans="1:9" ht="14">
      <c r="A346" s="1296" t="s">
        <v>7134</v>
      </c>
      <c r="B346" s="1296">
        <v>6469843890</v>
      </c>
      <c r="C346" s="1296" t="s">
        <v>123</v>
      </c>
      <c r="D346" s="1300">
        <v>46308.354166666664</v>
      </c>
      <c r="E346" s="1302"/>
      <c r="F346" s="1299"/>
      <c r="G346" s="1296" t="s">
        <v>9783</v>
      </c>
      <c r="H346" s="1300">
        <v>46349.916666666664</v>
      </c>
      <c r="I346" s="1302"/>
    </row>
    <row r="347" spans="1:9" ht="14">
      <c r="A347" s="1297" t="s">
        <v>7138</v>
      </c>
      <c r="B347" s="1297">
        <v>6469843490</v>
      </c>
      <c r="C347" s="1297" t="s">
        <v>123</v>
      </c>
      <c r="D347" s="1301">
        <v>46310</v>
      </c>
      <c r="E347" s="1303"/>
      <c r="F347" s="1298"/>
      <c r="G347" s="1297" t="s">
        <v>9779</v>
      </c>
      <c r="H347" s="1301">
        <v>46346.333333333336</v>
      </c>
      <c r="I347" s="1303"/>
    </row>
    <row r="348" spans="1:9" ht="14">
      <c r="A348" s="1296" t="s">
        <v>7143</v>
      </c>
      <c r="B348" s="1296">
        <v>6469220480</v>
      </c>
      <c r="C348" s="1296" t="s">
        <v>123</v>
      </c>
      <c r="D348" s="1300">
        <v>46310</v>
      </c>
      <c r="E348" s="1302"/>
      <c r="F348" s="1299"/>
      <c r="G348" s="1296" t="s">
        <v>9779</v>
      </c>
      <c r="H348" s="1300">
        <v>46346.333333333336</v>
      </c>
      <c r="I348" s="1302"/>
    </row>
    <row r="349" spans="1:9" ht="14">
      <c r="A349" s="1297" t="s">
        <v>7149</v>
      </c>
      <c r="B349" s="1297">
        <v>6469326980</v>
      </c>
      <c r="C349" s="1297" t="s">
        <v>123</v>
      </c>
      <c r="D349" s="1301">
        <v>46311.4375</v>
      </c>
      <c r="E349" s="1303"/>
      <c r="F349" s="1298"/>
      <c r="G349" s="1297" t="s">
        <v>9781</v>
      </c>
      <c r="H349" s="1301">
        <v>46358.25</v>
      </c>
      <c r="I349" s="1303"/>
    </row>
    <row r="350" spans="1:9" ht="14">
      <c r="A350" s="1296" t="s">
        <v>7154</v>
      </c>
      <c r="B350" s="1296">
        <v>6469320380</v>
      </c>
      <c r="C350" s="1296" t="s">
        <v>123</v>
      </c>
      <c r="D350" s="1300">
        <v>46311.4375</v>
      </c>
      <c r="E350" s="1302"/>
      <c r="F350" s="1299"/>
      <c r="G350" s="1296" t="s">
        <v>9778</v>
      </c>
      <c r="H350" s="1300">
        <v>46366.625</v>
      </c>
      <c r="I350" s="1302"/>
    </row>
    <row r="351" spans="1:9" ht="14">
      <c r="A351" s="1297" t="s">
        <v>7158</v>
      </c>
      <c r="B351" s="1297">
        <v>6469326430</v>
      </c>
      <c r="C351" s="1297" t="s">
        <v>123</v>
      </c>
      <c r="D351" s="1301">
        <v>46311.4375</v>
      </c>
      <c r="E351" s="1303"/>
      <c r="F351" s="1297" t="s">
        <v>9776</v>
      </c>
      <c r="G351" s="1297" t="s">
        <v>9777</v>
      </c>
      <c r="H351" s="1303"/>
      <c r="I351" s="1303"/>
    </row>
    <row r="352" spans="1:9" ht="14">
      <c r="A352" s="1296" t="s">
        <v>7163</v>
      </c>
      <c r="B352" s="1296">
        <v>6469323740</v>
      </c>
      <c r="C352" s="1296" t="s">
        <v>123</v>
      </c>
      <c r="D352" s="1300">
        <v>46311.4375</v>
      </c>
      <c r="E352" s="1302"/>
      <c r="F352" s="1299"/>
      <c r="G352" s="1296" t="s">
        <v>8135</v>
      </c>
      <c r="H352" s="1300">
        <v>46363.791666666664</v>
      </c>
      <c r="I352" s="1302"/>
    </row>
    <row r="353" spans="1:9" ht="14">
      <c r="A353" s="1297" t="s">
        <v>7168</v>
      </c>
      <c r="B353" s="1297">
        <v>9510309650</v>
      </c>
      <c r="C353" s="1297" t="s">
        <v>9773</v>
      </c>
      <c r="D353" s="1301">
        <v>46306.166666666664</v>
      </c>
      <c r="E353" s="1303"/>
      <c r="F353" s="1298"/>
      <c r="G353" s="1297" t="s">
        <v>9779</v>
      </c>
      <c r="H353" s="1301">
        <v>46351.104166666664</v>
      </c>
      <c r="I353" s="1303"/>
    </row>
    <row r="354" spans="1:9" ht="14">
      <c r="A354" s="1296" t="s">
        <v>7176</v>
      </c>
      <c r="B354" s="1296">
        <v>9510182110</v>
      </c>
      <c r="C354" s="1296" t="s">
        <v>9773</v>
      </c>
      <c r="D354" s="1300">
        <v>46306.166666666664</v>
      </c>
      <c r="E354" s="1302"/>
      <c r="F354" s="1296" t="s">
        <v>9775</v>
      </c>
      <c r="G354" s="1296" t="s">
        <v>8135</v>
      </c>
      <c r="H354" s="1300">
        <v>46370.791666666664</v>
      </c>
      <c r="I354" s="1302"/>
    </row>
    <row r="355" spans="1:9" ht="14">
      <c r="A355" s="1297" t="s">
        <v>7180</v>
      </c>
      <c r="B355" s="1297">
        <v>6469165090</v>
      </c>
      <c r="C355" s="1297" t="s">
        <v>9773</v>
      </c>
      <c r="D355" s="1301">
        <v>46306.166666666664</v>
      </c>
      <c r="E355" s="1303"/>
      <c r="F355" s="1297" t="s">
        <v>9775</v>
      </c>
      <c r="G355" s="1297" t="s">
        <v>9783</v>
      </c>
      <c r="H355" s="1301">
        <v>46362.041666666664</v>
      </c>
      <c r="I355" s="1303"/>
    </row>
    <row r="356" spans="1:9" ht="14">
      <c r="A356" s="1296" t="s">
        <v>6904</v>
      </c>
      <c r="B356" s="1296">
        <v>9509786940</v>
      </c>
      <c r="C356" s="1296" t="s">
        <v>9773</v>
      </c>
      <c r="D356" s="1300">
        <v>46284.958333333336</v>
      </c>
      <c r="E356" s="1300">
        <v>46284.979166666664</v>
      </c>
      <c r="F356" s="1299"/>
      <c r="G356" s="1296" t="s">
        <v>9779</v>
      </c>
      <c r="H356" s="1300">
        <v>46329.333333333336</v>
      </c>
      <c r="I356" s="1302"/>
    </row>
    <row r="357" spans="1:9" ht="14">
      <c r="A357" s="1297" t="s">
        <v>7032</v>
      </c>
      <c r="B357" s="1297">
        <v>9509997120</v>
      </c>
      <c r="C357" s="1297" t="s">
        <v>9773</v>
      </c>
      <c r="D357" s="1301">
        <v>46293.333333333336</v>
      </c>
      <c r="E357" s="1301">
        <v>46293.38</v>
      </c>
      <c r="F357" s="1298"/>
      <c r="G357" s="1297" t="s">
        <v>9779</v>
      </c>
      <c r="H357" s="1301">
        <v>46336.75</v>
      </c>
      <c r="I357" s="1303"/>
    </row>
    <row r="358" spans="1:9" ht="14">
      <c r="A358" s="1296" t="s">
        <v>7042</v>
      </c>
      <c r="B358" s="1296">
        <v>6467723460</v>
      </c>
      <c r="C358" s="1296" t="s">
        <v>9773</v>
      </c>
      <c r="D358" s="1300">
        <v>46293.333333333336</v>
      </c>
      <c r="E358" s="1300">
        <v>46293.38</v>
      </c>
      <c r="F358" s="1296" t="s">
        <v>123</v>
      </c>
      <c r="G358" s="1296" t="s">
        <v>9783</v>
      </c>
      <c r="H358" s="1300">
        <v>46349.916666666664</v>
      </c>
      <c r="I358" s="1302"/>
    </row>
    <row r="359" spans="1:9" ht="14">
      <c r="A359" s="1297" t="s">
        <v>6665</v>
      </c>
      <c r="B359" s="1297">
        <v>9509736950</v>
      </c>
      <c r="C359" s="1297" t="s">
        <v>5994</v>
      </c>
      <c r="D359" s="1301">
        <v>46281.041666666664</v>
      </c>
      <c r="E359" s="1301">
        <v>46281.061203703706</v>
      </c>
      <c r="F359" s="1298"/>
      <c r="G359" s="1297" t="s">
        <v>8135</v>
      </c>
      <c r="H359" s="1301">
        <v>46323.25</v>
      </c>
      <c r="I359" s="1303"/>
    </row>
    <row r="360" spans="1:9" ht="14">
      <c r="A360" s="1296" t="s">
        <v>6669</v>
      </c>
      <c r="B360" s="1296">
        <v>9509736980</v>
      </c>
      <c r="C360" s="1296" t="s">
        <v>5994</v>
      </c>
      <c r="D360" s="1300">
        <v>46289.625</v>
      </c>
      <c r="E360" s="1300">
        <v>46289.666585648149</v>
      </c>
      <c r="F360" s="1299"/>
      <c r="G360" s="1296" t="s">
        <v>8135</v>
      </c>
      <c r="H360" s="1300">
        <v>46336.791666666664</v>
      </c>
      <c r="I360" s="1302"/>
    </row>
    <row r="361" spans="1:9" ht="14">
      <c r="A361" s="1297" t="s">
        <v>6676</v>
      </c>
      <c r="B361" s="1297">
        <v>9509739210</v>
      </c>
      <c r="C361" s="1297" t="s">
        <v>5994</v>
      </c>
      <c r="D361" s="1301">
        <v>46301.541666666664</v>
      </c>
      <c r="E361" s="1303"/>
      <c r="F361" s="1298"/>
      <c r="G361" s="1297" t="s">
        <v>8135</v>
      </c>
      <c r="H361" s="1301">
        <v>46344.791666666664</v>
      </c>
      <c r="I361" s="1303"/>
    </row>
    <row r="362" spans="1:9" ht="14">
      <c r="A362" s="1296" t="s">
        <v>6705</v>
      </c>
      <c r="B362" s="1296">
        <v>9509531260</v>
      </c>
      <c r="C362" s="1296" t="s">
        <v>9773</v>
      </c>
      <c r="D362" s="1300">
        <v>46275.833333333336</v>
      </c>
      <c r="E362" s="1300">
        <v>46275.864525462966</v>
      </c>
      <c r="F362" s="1296" t="s">
        <v>123</v>
      </c>
      <c r="G362" s="1296" t="s">
        <v>8135</v>
      </c>
      <c r="H362" s="1300">
        <v>46330.25</v>
      </c>
      <c r="I362" s="1302"/>
    </row>
    <row r="363" spans="1:9" ht="14">
      <c r="A363" s="1297" t="s">
        <v>6709</v>
      </c>
      <c r="B363" s="1297">
        <v>9509531180</v>
      </c>
      <c r="C363" s="1297" t="s">
        <v>9773</v>
      </c>
      <c r="D363" s="1301">
        <v>46275.833333333336</v>
      </c>
      <c r="E363" s="1301">
        <v>46275.864525462966</v>
      </c>
      <c r="F363" s="1297" t="s">
        <v>123</v>
      </c>
      <c r="G363" s="1297" t="s">
        <v>8135</v>
      </c>
      <c r="H363" s="1301">
        <v>46343.75</v>
      </c>
      <c r="I363" s="1303"/>
    </row>
    <row r="364" spans="1:9" ht="14">
      <c r="A364" s="1296" t="s">
        <v>6814</v>
      </c>
      <c r="B364" s="1296">
        <v>9509601430</v>
      </c>
      <c r="C364" s="1296" t="s">
        <v>9773</v>
      </c>
      <c r="D364" s="1300">
        <v>46279.979166666664</v>
      </c>
      <c r="E364" s="1300">
        <v>46279.989803240744</v>
      </c>
      <c r="F364" s="1296" t="s">
        <v>9775</v>
      </c>
      <c r="G364" s="1296" t="s">
        <v>8135</v>
      </c>
      <c r="H364" s="1300">
        <v>46349.791666666664</v>
      </c>
      <c r="I364" s="1302"/>
    </row>
    <row r="365" spans="1:9" ht="14">
      <c r="A365" s="1297" t="s">
        <v>6818</v>
      </c>
      <c r="B365" s="1297">
        <v>9509601740</v>
      </c>
      <c r="C365" s="1297" t="s">
        <v>9773</v>
      </c>
      <c r="D365" s="1301">
        <v>46279.979166666664</v>
      </c>
      <c r="E365" s="1301">
        <v>46279.989803240744</v>
      </c>
      <c r="F365" s="1297" t="s">
        <v>9775</v>
      </c>
      <c r="G365" s="1297" t="s">
        <v>8135</v>
      </c>
      <c r="H365" s="1301">
        <v>46337.25</v>
      </c>
      <c r="I365" s="1303"/>
    </row>
    <row r="366" spans="1:9" ht="14">
      <c r="A366" s="1296" t="s">
        <v>6799</v>
      </c>
      <c r="B366" s="1296">
        <v>9509811770</v>
      </c>
      <c r="C366" s="1296" t="s">
        <v>5994</v>
      </c>
      <c r="D366" s="1300">
        <v>46285.583333333336</v>
      </c>
      <c r="E366" s="1300">
        <v>46285.607071759259</v>
      </c>
      <c r="F366" s="1299"/>
      <c r="G366" s="1296" t="s">
        <v>9779</v>
      </c>
      <c r="H366" s="1300">
        <v>46321.958333333336</v>
      </c>
      <c r="I366" s="1302"/>
    </row>
    <row r="367" spans="1:9" ht="14">
      <c r="A367" s="1297" t="s">
        <v>6804</v>
      </c>
      <c r="B367" s="1297">
        <v>9509811250</v>
      </c>
      <c r="C367" s="1297" t="s">
        <v>5994</v>
      </c>
      <c r="D367" s="1301">
        <v>46291.041666666664</v>
      </c>
      <c r="E367" s="1301">
        <v>46291.062094907407</v>
      </c>
      <c r="F367" s="1298"/>
      <c r="G367" s="1297" t="s">
        <v>9779</v>
      </c>
      <c r="H367" s="1301">
        <v>46326.875</v>
      </c>
      <c r="I367" s="1303"/>
    </row>
    <row r="368" spans="1:9" ht="14">
      <c r="A368" s="1296" t="s">
        <v>6808</v>
      </c>
      <c r="B368" s="1296">
        <v>9509912990</v>
      </c>
      <c r="C368" s="1296" t="s">
        <v>5994</v>
      </c>
      <c r="D368" s="1300">
        <v>46285.583333333336</v>
      </c>
      <c r="E368" s="1300">
        <v>46285.607071759259</v>
      </c>
      <c r="F368" s="1299"/>
      <c r="G368" s="1296" t="s">
        <v>9779</v>
      </c>
      <c r="H368" s="1300">
        <v>46321.958333333336</v>
      </c>
      <c r="I368" s="1302"/>
    </row>
    <row r="369" spans="1:9" ht="14">
      <c r="A369" s="1297" t="s">
        <v>6696</v>
      </c>
      <c r="B369" s="1297">
        <v>9509650560</v>
      </c>
      <c r="C369" s="1297" t="s">
        <v>5994</v>
      </c>
      <c r="D369" s="1301">
        <v>46278.78125</v>
      </c>
      <c r="E369" s="1301">
        <v>46278.549780092595</v>
      </c>
      <c r="F369" s="1298"/>
      <c r="G369" s="1297" t="s">
        <v>9784</v>
      </c>
      <c r="H369" s="1301">
        <v>46323.916666666664</v>
      </c>
      <c r="I369" s="1303"/>
    </row>
    <row r="370" spans="1:9" ht="14">
      <c r="A370" s="1296" t="s">
        <v>6700</v>
      </c>
      <c r="B370" s="1296">
        <v>9509488350</v>
      </c>
      <c r="C370" s="1296" t="s">
        <v>5994</v>
      </c>
      <c r="D370" s="1300">
        <v>46279.75</v>
      </c>
      <c r="E370" s="1300">
        <v>46279.80667824074</v>
      </c>
      <c r="F370" s="1299"/>
      <c r="G370" s="1296" t="s">
        <v>8135</v>
      </c>
      <c r="H370" s="1300">
        <v>46330.25</v>
      </c>
      <c r="I370" s="1302"/>
    </row>
    <row r="371" spans="1:9" ht="14">
      <c r="A371" s="1297" t="s">
        <v>7112</v>
      </c>
      <c r="B371" s="1297">
        <v>9510092840</v>
      </c>
      <c r="C371" s="1297" t="s">
        <v>9773</v>
      </c>
      <c r="D371" s="1301">
        <v>46300.958333333336</v>
      </c>
      <c r="E371" s="1303"/>
      <c r="F371" s="1297" t="s">
        <v>9775</v>
      </c>
      <c r="G371" s="1297" t="s">
        <v>8135</v>
      </c>
      <c r="H371" s="1301">
        <v>46358.25</v>
      </c>
      <c r="I371" s="1303"/>
    </row>
    <row r="372" spans="1:9" ht="14">
      <c r="A372" s="1296" t="s">
        <v>6908</v>
      </c>
      <c r="B372" s="1296">
        <v>9509787370</v>
      </c>
      <c r="C372" s="1296" t="s">
        <v>9773</v>
      </c>
      <c r="D372" s="1300">
        <v>46284.958333333336</v>
      </c>
      <c r="E372" s="1300">
        <v>46284.979166666664</v>
      </c>
      <c r="F372" s="1296" t="s">
        <v>9775</v>
      </c>
      <c r="G372" s="1296" t="s">
        <v>8135</v>
      </c>
      <c r="H372" s="1300">
        <v>46344.25</v>
      </c>
      <c r="I372" s="1302"/>
    </row>
    <row r="373" spans="1:9" ht="14">
      <c r="A373" s="1297" t="s">
        <v>6895</v>
      </c>
      <c r="B373" s="1297">
        <v>6467892390</v>
      </c>
      <c r="C373" s="1297" t="s">
        <v>5994</v>
      </c>
      <c r="D373" s="1301">
        <v>46298.375</v>
      </c>
      <c r="E373" s="1303"/>
      <c r="F373" s="1298"/>
      <c r="G373" s="1297" t="s">
        <v>9779</v>
      </c>
      <c r="H373" s="1301">
        <v>46332.875</v>
      </c>
      <c r="I373" s="1303"/>
    </row>
    <row r="374" spans="1:9" ht="14">
      <c r="A374" s="1296" t="s">
        <v>7084</v>
      </c>
      <c r="B374" s="1296">
        <v>9510012710</v>
      </c>
      <c r="C374" s="1296" t="s">
        <v>5994</v>
      </c>
      <c r="D374" s="1300">
        <v>46301.666666666664</v>
      </c>
      <c r="E374" s="1302"/>
      <c r="F374" s="1299"/>
      <c r="G374" s="1296" t="s">
        <v>9779</v>
      </c>
      <c r="H374" s="1300">
        <v>46335.875</v>
      </c>
      <c r="I374" s="1302"/>
    </row>
    <row r="375" spans="1:9" ht="14">
      <c r="A375" s="1297" t="s">
        <v>7088</v>
      </c>
      <c r="B375" s="1297">
        <v>9510036320</v>
      </c>
      <c r="C375" s="1297" t="s">
        <v>5994</v>
      </c>
      <c r="D375" s="1301">
        <v>46304.291666666664</v>
      </c>
      <c r="E375" s="1303"/>
      <c r="F375" s="1298"/>
      <c r="G375" s="1297" t="s">
        <v>9781</v>
      </c>
      <c r="H375" s="1301">
        <v>46344.25</v>
      </c>
      <c r="I375" s="1303"/>
    </row>
    <row r="376" spans="1:9" ht="14">
      <c r="A376" s="1296" t="s">
        <v>7093</v>
      </c>
      <c r="B376" s="1296">
        <v>9510251200</v>
      </c>
      <c r="C376" s="1296" t="s">
        <v>5994</v>
      </c>
      <c r="D376" s="1300">
        <v>46302.458333333336</v>
      </c>
      <c r="E376" s="1302"/>
      <c r="F376" s="1299"/>
      <c r="G376" s="1296" t="s">
        <v>8135</v>
      </c>
      <c r="H376" s="1300">
        <v>46344.25</v>
      </c>
      <c r="I376" s="1302"/>
    </row>
    <row r="377" spans="1:9" ht="14">
      <c r="A377" s="1297" t="s">
        <v>6899</v>
      </c>
      <c r="B377" s="1297">
        <v>9510035910</v>
      </c>
      <c r="C377" s="1297" t="s">
        <v>5994</v>
      </c>
      <c r="D377" s="1301">
        <v>46297</v>
      </c>
      <c r="E377" s="1303"/>
      <c r="F377" s="1298"/>
      <c r="G377" s="1297" t="s">
        <v>9781</v>
      </c>
      <c r="H377" s="1301">
        <v>46341</v>
      </c>
      <c r="I377" s="1303"/>
    </row>
    <row r="378" spans="1:9" ht="14">
      <c r="A378" s="1296" t="s">
        <v>7099</v>
      </c>
      <c r="B378" s="1296">
        <v>9510030740</v>
      </c>
      <c r="C378" s="1296" t="s">
        <v>5994</v>
      </c>
      <c r="D378" s="1300">
        <v>46302.770833333336</v>
      </c>
      <c r="E378" s="1302"/>
      <c r="F378" s="1299"/>
      <c r="G378" s="1296" t="s">
        <v>9783</v>
      </c>
      <c r="H378" s="1300">
        <v>46338.9375</v>
      </c>
      <c r="I378" s="1302"/>
    </row>
    <row r="379" spans="1:9" ht="14">
      <c r="A379" s="1297" t="s">
        <v>6890</v>
      </c>
      <c r="B379" s="1297">
        <v>9510012530</v>
      </c>
      <c r="C379" s="1297" t="s">
        <v>5994</v>
      </c>
      <c r="D379" s="1301">
        <v>46292.583333333336</v>
      </c>
      <c r="E379" s="1301">
        <v>46291.864884259259</v>
      </c>
      <c r="F379" s="1298"/>
      <c r="G379" s="1297" t="s">
        <v>9779</v>
      </c>
      <c r="H379" s="1301">
        <v>46324.854166666664</v>
      </c>
      <c r="I379" s="1303"/>
    </row>
    <row r="380" spans="1:9" ht="14">
      <c r="A380" s="1296" t="s">
        <v>7184</v>
      </c>
      <c r="B380" s="1296">
        <v>9510309930</v>
      </c>
      <c r="C380" s="1296" t="s">
        <v>9773</v>
      </c>
      <c r="D380" s="1300">
        <v>46313.166666666664</v>
      </c>
      <c r="E380" s="1302"/>
      <c r="F380" s="1299"/>
      <c r="G380" s="1296" t="s">
        <v>9779</v>
      </c>
      <c r="H380" s="1300">
        <v>46358.083333333336</v>
      </c>
      <c r="I380" s="1302"/>
    </row>
    <row r="381" spans="1:9" ht="14">
      <c r="A381" s="1297" t="s">
        <v>7018</v>
      </c>
      <c r="B381" s="1297">
        <v>9510260410</v>
      </c>
      <c r="C381" s="1297" t="s">
        <v>9773</v>
      </c>
      <c r="D381" s="1301">
        <v>46313.166666666664</v>
      </c>
      <c r="E381" s="1303"/>
      <c r="F381" s="1297" t="s">
        <v>9775</v>
      </c>
      <c r="G381" s="1297" t="s">
        <v>8135</v>
      </c>
      <c r="H381" s="1301">
        <v>46384.791666666664</v>
      </c>
      <c r="I381" s="1303"/>
    </row>
    <row r="382" spans="1:9" ht="14">
      <c r="A382" s="1296" t="s">
        <v>7104</v>
      </c>
      <c r="B382" s="1296">
        <v>9510092930</v>
      </c>
      <c r="C382" s="1296" t="s">
        <v>9773</v>
      </c>
      <c r="D382" s="1300">
        <v>46300.958333333336</v>
      </c>
      <c r="E382" s="1302"/>
      <c r="F382" s="1296" t="s">
        <v>9775</v>
      </c>
      <c r="G382" s="1296" t="s">
        <v>8135</v>
      </c>
      <c r="H382" s="1300">
        <v>46363.791666666664</v>
      </c>
      <c r="I382" s="1302"/>
    </row>
    <row r="383" spans="1:9" ht="14">
      <c r="A383" s="1297" t="s">
        <v>7108</v>
      </c>
      <c r="B383" s="1297">
        <v>6468723370</v>
      </c>
      <c r="C383" s="1297" t="s">
        <v>9773</v>
      </c>
      <c r="D383" s="1301">
        <v>46300.958333333336</v>
      </c>
      <c r="E383" s="1303"/>
      <c r="F383" s="1297" t="s">
        <v>9775</v>
      </c>
      <c r="G383" s="1297" t="s">
        <v>9783</v>
      </c>
      <c r="H383" s="1301">
        <v>46355.020833333336</v>
      </c>
      <c r="I383" s="1303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M118"/>
  <sheetViews>
    <sheetView topLeftCell="A90" zoomScale="130" zoomScaleNormal="130" workbookViewId="0">
      <selection activeCell="A105" sqref="A105:M125"/>
    </sheetView>
  </sheetViews>
  <sheetFormatPr defaultColWidth="9" defaultRowHeight="13"/>
  <cols>
    <col min="1" max="1" width="23.09765625" customWidth="1"/>
    <col min="2" max="2" width="16.296875" bestFit="1" customWidth="1"/>
    <col min="3" max="6" width="13.8984375" bestFit="1" customWidth="1"/>
    <col min="7" max="7" width="5.59765625" bestFit="1" customWidth="1"/>
    <col min="8" max="12" width="13.8984375" bestFit="1" customWidth="1"/>
    <col min="13" max="13" width="6.8984375" bestFit="1" customWidth="1"/>
    <col min="14" max="14" width="6.09765625" bestFit="1" customWidth="1"/>
    <col min="15" max="15" width="6.8984375" bestFit="1" customWidth="1"/>
    <col min="16" max="16" width="6.3984375" bestFit="1" customWidth="1"/>
    <col min="17" max="17" width="5.09765625" bestFit="1" customWidth="1"/>
    <col min="18" max="18" width="7.59765625" bestFit="1" customWidth="1"/>
    <col min="19" max="19" width="5.8984375" bestFit="1" customWidth="1"/>
    <col min="20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8984375" bestFit="1" customWidth="1"/>
    <col min="37" max="37" width="5.89843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1" t="s">
        <v>29</v>
      </c>
      <c r="B1" t="s">
        <v>9759</v>
      </c>
    </row>
    <row r="2" spans="1:3">
      <c r="A2" s="171" t="s">
        <v>20</v>
      </c>
      <c r="B2" t="s">
        <v>9759</v>
      </c>
      <c r="C2" t="s">
        <v>9792</v>
      </c>
    </row>
    <row r="3" spans="1:3">
      <c r="A3" s="171" t="s">
        <v>2511</v>
      </c>
      <c r="B3" t="s">
        <v>9793</v>
      </c>
      <c r="C3" t="s">
        <v>9794</v>
      </c>
    </row>
    <row r="4" spans="1:3">
      <c r="A4" s="171" t="s">
        <v>39</v>
      </c>
      <c r="B4" t="s">
        <v>9795</v>
      </c>
      <c r="C4" t="s">
        <v>9796</v>
      </c>
    </row>
    <row r="6" spans="1:3">
      <c r="A6" s="171" t="s">
        <v>15</v>
      </c>
      <c r="B6" s="171" t="s">
        <v>5</v>
      </c>
      <c r="C6" t="s">
        <v>9797</v>
      </c>
    </row>
    <row r="7" spans="1:3">
      <c r="A7" t="s">
        <v>9763</v>
      </c>
      <c r="C7" s="353"/>
    </row>
    <row r="75" spans="1:2">
      <c r="A75" s="361" t="s">
        <v>9798</v>
      </c>
    </row>
    <row r="78" spans="1:2">
      <c r="A78" s="171" t="s">
        <v>0</v>
      </c>
      <c r="B78" t="s">
        <v>9793</v>
      </c>
    </row>
    <row r="79" spans="1:2">
      <c r="A79" s="171" t="s">
        <v>33</v>
      </c>
      <c r="B79" t="s">
        <v>9793</v>
      </c>
    </row>
    <row r="80" spans="1:2">
      <c r="A80" s="171" t="s">
        <v>53</v>
      </c>
      <c r="B80" t="s">
        <v>9759</v>
      </c>
    </row>
    <row r="82" spans="1:13">
      <c r="A82" s="171" t="s">
        <v>9799</v>
      </c>
      <c r="C82" s="171" t="s">
        <v>54</v>
      </c>
    </row>
    <row r="83" spans="1:13">
      <c r="A83" s="171" t="s">
        <v>16</v>
      </c>
      <c r="B83" s="171" t="s">
        <v>15</v>
      </c>
      <c r="C83">
        <v>2</v>
      </c>
      <c r="D83">
        <v>3</v>
      </c>
      <c r="E83">
        <v>4</v>
      </c>
      <c r="F83">
        <v>5</v>
      </c>
      <c r="G83">
        <v>7</v>
      </c>
      <c r="H83">
        <v>8</v>
      </c>
      <c r="I83">
        <v>9</v>
      </c>
      <c r="J83">
        <v>10</v>
      </c>
      <c r="K83">
        <v>11</v>
      </c>
      <c r="L83">
        <v>12</v>
      </c>
      <c r="M83" t="s">
        <v>9763</v>
      </c>
    </row>
    <row r="84" spans="1:13">
      <c r="A84" t="s">
        <v>7447</v>
      </c>
      <c r="B84" t="s">
        <v>7446</v>
      </c>
      <c r="C84" s="1400">
        <v>10</v>
      </c>
      <c r="D84" s="1400"/>
      <c r="E84" s="1400"/>
      <c r="F84" s="1400"/>
      <c r="G84" s="1400">
        <v>106</v>
      </c>
      <c r="H84" s="1400"/>
      <c r="I84" s="1400">
        <v>144</v>
      </c>
      <c r="J84" s="1400">
        <v>124</v>
      </c>
      <c r="K84" s="1400">
        <v>67</v>
      </c>
      <c r="L84" s="1400"/>
      <c r="M84" s="1400">
        <v>451</v>
      </c>
    </row>
    <row r="85" spans="1:13">
      <c r="A85" t="s">
        <v>7472</v>
      </c>
      <c r="B85" t="s">
        <v>7471</v>
      </c>
      <c r="C85" s="1400"/>
      <c r="D85" s="1400"/>
      <c r="E85" s="1400">
        <v>100</v>
      </c>
      <c r="F85" s="1400"/>
      <c r="G85" s="1400"/>
      <c r="H85" s="1400"/>
      <c r="I85" s="1400">
        <v>53</v>
      </c>
      <c r="J85" s="1400">
        <v>34</v>
      </c>
      <c r="K85" s="1400">
        <v>81</v>
      </c>
      <c r="L85" s="1400"/>
      <c r="M85" s="1400">
        <v>268</v>
      </c>
    </row>
    <row r="86" spans="1:13">
      <c r="A86" t="s">
        <v>7439</v>
      </c>
      <c r="B86" t="s">
        <v>7437</v>
      </c>
      <c r="C86" s="1400">
        <v>325</v>
      </c>
      <c r="D86" s="1400"/>
      <c r="E86" s="1400">
        <v>296</v>
      </c>
      <c r="F86" s="1400"/>
      <c r="G86" s="1400">
        <v>488</v>
      </c>
      <c r="H86" s="1400">
        <v>320</v>
      </c>
      <c r="I86" s="1400">
        <v>936</v>
      </c>
      <c r="J86" s="1400">
        <v>682</v>
      </c>
      <c r="K86" s="1400">
        <v>796</v>
      </c>
      <c r="L86" s="1400"/>
      <c r="M86" s="1400">
        <v>3843</v>
      </c>
    </row>
    <row r="87" spans="1:13">
      <c r="A87" t="s">
        <v>7444</v>
      </c>
      <c r="B87" t="s">
        <v>7443</v>
      </c>
      <c r="C87" s="1400">
        <v>60</v>
      </c>
      <c r="D87" s="1400">
        <v>34</v>
      </c>
      <c r="E87" s="1400">
        <v>6</v>
      </c>
      <c r="F87" s="1400"/>
      <c r="G87" s="1400">
        <v>2</v>
      </c>
      <c r="H87" s="1400"/>
      <c r="I87" s="1400"/>
      <c r="J87" s="1400"/>
      <c r="K87" s="1400"/>
      <c r="L87" s="1400"/>
      <c r="M87" s="1400">
        <v>102</v>
      </c>
    </row>
    <row r="88" spans="1:13">
      <c r="A88" t="s">
        <v>7427</v>
      </c>
      <c r="B88" t="s">
        <v>7425</v>
      </c>
      <c r="C88" s="1400">
        <v>78</v>
      </c>
      <c r="D88" s="1400"/>
      <c r="E88" s="1400">
        <v>10</v>
      </c>
      <c r="F88" s="1400">
        <v>72</v>
      </c>
      <c r="G88" s="1400">
        <v>78</v>
      </c>
      <c r="H88" s="1400">
        <v>165</v>
      </c>
      <c r="I88" s="1400">
        <v>360</v>
      </c>
      <c r="J88" s="1400">
        <v>180</v>
      </c>
      <c r="K88" s="1400">
        <v>180</v>
      </c>
      <c r="L88" s="1400"/>
      <c r="M88" s="1400">
        <v>1123</v>
      </c>
    </row>
    <row r="89" spans="1:13">
      <c r="A89" t="s">
        <v>7451</v>
      </c>
      <c r="B89" t="s">
        <v>7496</v>
      </c>
      <c r="C89" s="1400"/>
      <c r="D89" s="1400">
        <v>34</v>
      </c>
      <c r="E89" s="1400"/>
      <c r="F89" s="1400"/>
      <c r="G89" s="1400">
        <v>2</v>
      </c>
      <c r="H89" s="1400"/>
      <c r="I89" s="1400"/>
      <c r="J89" s="1400"/>
      <c r="K89" s="1400"/>
      <c r="L89" s="1400"/>
      <c r="M89" s="1400">
        <v>36</v>
      </c>
    </row>
    <row r="90" spans="1:13">
      <c r="B90" t="s">
        <v>7449</v>
      </c>
      <c r="C90" s="1400">
        <v>395</v>
      </c>
      <c r="D90" s="1400"/>
      <c r="E90" s="1400">
        <v>402</v>
      </c>
      <c r="F90" s="1400"/>
      <c r="G90" s="1400">
        <v>720</v>
      </c>
      <c r="H90" s="1400">
        <v>194</v>
      </c>
      <c r="I90" s="1400">
        <v>1135</v>
      </c>
      <c r="J90" s="1400">
        <v>841</v>
      </c>
      <c r="K90" s="1400">
        <v>946</v>
      </c>
      <c r="L90" s="1400"/>
      <c r="M90" s="1400">
        <v>4633</v>
      </c>
    </row>
    <row r="91" spans="1:13">
      <c r="A91" t="s">
        <v>7462</v>
      </c>
      <c r="B91" t="s">
        <v>7498</v>
      </c>
      <c r="C91" s="1400"/>
      <c r="D91" s="1400">
        <v>34</v>
      </c>
      <c r="E91" s="1400"/>
      <c r="F91" s="1400"/>
      <c r="G91" s="1400"/>
      <c r="H91" s="1400"/>
      <c r="I91" s="1400"/>
      <c r="J91" s="1400"/>
      <c r="K91" s="1400"/>
      <c r="L91" s="1400"/>
      <c r="M91" s="1400">
        <v>34</v>
      </c>
    </row>
    <row r="92" spans="1:13">
      <c r="B92" t="s">
        <v>7507</v>
      </c>
      <c r="C92" s="1400"/>
      <c r="D92" s="1400"/>
      <c r="E92" s="1400">
        <v>8</v>
      </c>
      <c r="F92" s="1400"/>
      <c r="G92" s="1400"/>
      <c r="H92" s="1400"/>
      <c r="I92" s="1400"/>
      <c r="J92" s="1400"/>
      <c r="K92" s="1400"/>
      <c r="L92" s="1400"/>
      <c r="M92" s="1400">
        <v>8</v>
      </c>
    </row>
    <row r="93" spans="1:13">
      <c r="B93" t="s">
        <v>7460</v>
      </c>
      <c r="C93" s="1400"/>
      <c r="D93" s="1400">
        <v>20</v>
      </c>
      <c r="E93" s="1400">
        <v>772</v>
      </c>
      <c r="F93" s="1400"/>
      <c r="G93" s="1400">
        <v>804</v>
      </c>
      <c r="H93" s="1400">
        <v>1683</v>
      </c>
      <c r="I93" s="1400">
        <v>826</v>
      </c>
      <c r="J93" s="1400">
        <v>3380</v>
      </c>
      <c r="K93" s="1400">
        <v>3088</v>
      </c>
      <c r="L93" s="1400">
        <v>1656</v>
      </c>
      <c r="M93" s="1400">
        <v>12229</v>
      </c>
    </row>
    <row r="94" spans="1:13">
      <c r="A94" t="s">
        <v>7718</v>
      </c>
      <c r="B94" t="s">
        <v>7717</v>
      </c>
      <c r="C94" s="1400"/>
      <c r="D94" s="1400"/>
      <c r="E94" s="1400"/>
      <c r="F94" s="1400"/>
      <c r="G94" s="1400"/>
      <c r="H94" s="1400">
        <v>192</v>
      </c>
      <c r="I94" s="1400"/>
      <c r="J94" s="1400"/>
      <c r="K94" s="1400">
        <v>295</v>
      </c>
      <c r="L94" s="1400"/>
      <c r="M94" s="1400">
        <v>487</v>
      </c>
    </row>
    <row r="95" spans="1:13">
      <c r="A95" t="s">
        <v>7726</v>
      </c>
      <c r="B95" t="s">
        <v>7725</v>
      </c>
      <c r="C95" s="1400"/>
      <c r="D95" s="1400"/>
      <c r="E95" s="1400"/>
      <c r="F95" s="1400"/>
      <c r="G95" s="1400"/>
      <c r="H95" s="1400">
        <v>128</v>
      </c>
      <c r="I95" s="1400"/>
      <c r="J95" s="1400"/>
      <c r="K95" s="1400">
        <v>194</v>
      </c>
      <c r="L95" s="1400"/>
      <c r="M95" s="1400">
        <v>322</v>
      </c>
    </row>
    <row r="96" spans="1:13">
      <c r="A96" t="s">
        <v>7711</v>
      </c>
      <c r="B96" t="s">
        <v>7710</v>
      </c>
      <c r="C96" s="1400"/>
      <c r="D96" s="1400"/>
      <c r="E96" s="1400"/>
      <c r="F96" s="1400"/>
      <c r="G96" s="1400"/>
      <c r="H96" s="1400">
        <v>64</v>
      </c>
      <c r="I96" s="1400"/>
      <c r="J96" s="1400"/>
      <c r="K96" s="1400">
        <v>101</v>
      </c>
      <c r="L96" s="1400"/>
      <c r="M96" s="1400">
        <v>165</v>
      </c>
    </row>
    <row r="97" spans="1:13">
      <c r="A97" t="s">
        <v>7435</v>
      </c>
      <c r="B97" t="s">
        <v>7433</v>
      </c>
      <c r="C97" s="1400">
        <v>24</v>
      </c>
      <c r="D97" s="1400"/>
      <c r="E97" s="1400">
        <v>10</v>
      </c>
      <c r="F97" s="1400"/>
      <c r="G97" s="1400"/>
      <c r="H97" s="1400">
        <v>72</v>
      </c>
      <c r="I97" s="1400"/>
      <c r="J97" s="1400">
        <v>108</v>
      </c>
      <c r="K97" s="1400"/>
      <c r="L97" s="1400"/>
      <c r="M97" s="1400">
        <v>214</v>
      </c>
    </row>
    <row r="98" spans="1:13">
      <c r="A98" t="s">
        <v>9763</v>
      </c>
      <c r="C98" s="1400">
        <v>892</v>
      </c>
      <c r="D98" s="1400">
        <v>122</v>
      </c>
      <c r="E98" s="1400">
        <v>1604</v>
      </c>
      <c r="F98" s="1400">
        <v>72</v>
      </c>
      <c r="G98" s="1400">
        <v>2200</v>
      </c>
      <c r="H98" s="1400">
        <v>2818</v>
      </c>
      <c r="I98" s="1400">
        <v>3454</v>
      </c>
      <c r="J98" s="1400">
        <v>5349</v>
      </c>
      <c r="K98" s="1400">
        <v>5748</v>
      </c>
      <c r="L98" s="1400">
        <v>1656</v>
      </c>
      <c r="M98" s="1400">
        <v>23915</v>
      </c>
    </row>
    <row r="105" spans="1:13">
      <c r="A105" s="171" t="s">
        <v>0</v>
      </c>
      <c r="B105" t="s">
        <v>9793</v>
      </c>
    </row>
    <row r="106" spans="1:13">
      <c r="A106" s="171" t="s">
        <v>33</v>
      </c>
      <c r="B106" t="s">
        <v>9793</v>
      </c>
    </row>
    <row r="107" spans="1:13">
      <c r="A107" s="171" t="s">
        <v>53</v>
      </c>
      <c r="B107" t="s">
        <v>9759</v>
      </c>
    </row>
    <row r="109" spans="1:13">
      <c r="A109" s="171" t="s">
        <v>9799</v>
      </c>
      <c r="C109" s="171" t="s">
        <v>54</v>
      </c>
    </row>
    <row r="110" spans="1:13">
      <c r="A110" s="171" t="s">
        <v>16</v>
      </c>
      <c r="B110" s="171" t="s">
        <v>15</v>
      </c>
      <c r="C110">
        <v>4</v>
      </c>
      <c r="D110">
        <v>6</v>
      </c>
      <c r="E110">
        <v>10</v>
      </c>
      <c r="F110">
        <v>11</v>
      </c>
      <c r="G110" t="s">
        <v>9763</v>
      </c>
    </row>
    <row r="111" spans="1:13">
      <c r="A111" t="s">
        <v>7905</v>
      </c>
      <c r="B111" t="s">
        <v>7903</v>
      </c>
      <c r="C111" s="1400"/>
      <c r="D111" s="1400"/>
      <c r="E111" s="1400">
        <v>30</v>
      </c>
      <c r="F111" s="1400"/>
      <c r="G111" s="1400">
        <v>30</v>
      </c>
    </row>
    <row r="112" spans="1:13">
      <c r="A112" t="s">
        <v>7588</v>
      </c>
      <c r="B112" t="s">
        <v>7586</v>
      </c>
      <c r="C112" s="1400">
        <v>16</v>
      </c>
      <c r="D112" s="1400">
        <v>32</v>
      </c>
      <c r="E112" s="1400"/>
      <c r="F112" s="1400"/>
      <c r="G112" s="1400">
        <v>48</v>
      </c>
    </row>
    <row r="113" spans="1:7">
      <c r="A113" t="s">
        <v>8022</v>
      </c>
      <c r="B113" t="s">
        <v>8021</v>
      </c>
      <c r="C113" s="1400"/>
      <c r="D113" s="1400"/>
      <c r="E113" s="1400"/>
      <c r="F113" s="1400">
        <v>9</v>
      </c>
      <c r="G113" s="1400">
        <v>9</v>
      </c>
    </row>
    <row r="114" spans="1:7">
      <c r="A114" t="s">
        <v>8026</v>
      </c>
      <c r="B114" t="s">
        <v>8025</v>
      </c>
      <c r="C114" s="1400"/>
      <c r="D114" s="1400"/>
      <c r="E114" s="1400"/>
      <c r="F114" s="1400">
        <v>18</v>
      </c>
      <c r="G114" s="1400">
        <v>18</v>
      </c>
    </row>
    <row r="115" spans="1:7">
      <c r="A115" t="s">
        <v>8029</v>
      </c>
      <c r="B115" t="s">
        <v>8028</v>
      </c>
      <c r="C115" s="1400"/>
      <c r="D115" s="1400"/>
      <c r="E115" s="1400"/>
      <c r="F115" s="1400">
        <v>18</v>
      </c>
      <c r="G115" s="1400">
        <v>18</v>
      </c>
    </row>
    <row r="116" spans="1:7">
      <c r="A116" t="s">
        <v>8032</v>
      </c>
      <c r="B116" t="s">
        <v>8031</v>
      </c>
      <c r="C116" s="1400"/>
      <c r="D116" s="1400"/>
      <c r="E116" s="1400"/>
      <c r="F116" s="1400">
        <v>60</v>
      </c>
      <c r="G116" s="1400">
        <v>60</v>
      </c>
    </row>
    <row r="117" spans="1:7">
      <c r="A117" t="s">
        <v>8036</v>
      </c>
      <c r="B117" t="s">
        <v>8034</v>
      </c>
      <c r="C117" s="1400"/>
      <c r="D117" s="1400"/>
      <c r="E117" s="1400"/>
      <c r="F117" s="1400">
        <v>24</v>
      </c>
      <c r="G117" s="1400">
        <v>24</v>
      </c>
    </row>
    <row r="118" spans="1:7">
      <c r="A118" t="s">
        <v>9763</v>
      </c>
      <c r="C118" s="1400">
        <v>16</v>
      </c>
      <c r="D118" s="1400">
        <v>32</v>
      </c>
      <c r="E118" s="1400">
        <v>30</v>
      </c>
      <c r="F118" s="1400">
        <v>129</v>
      </c>
      <c r="G118" s="1400">
        <v>207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89843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0976562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09765625" style="60" customWidth="1"/>
    <col min="12" max="12" width="59.0976562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09765625" style="155" customWidth="1" outlineLevel="1"/>
    <col min="21" max="21" width="14.59765625" style="23" customWidth="1" outlineLevel="1"/>
    <col min="22" max="22" width="9.09765625" style="23" customWidth="1" outlineLevel="1"/>
    <col min="23" max="23" width="19.89843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09765625" style="21" customWidth="1"/>
    <col min="38" max="39" width="14.59765625" style="21" customWidth="1"/>
    <col min="40" max="40" width="14.89843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9800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103" t="s">
        <v>2497</v>
      </c>
      <c r="B3" s="1104" t="s">
        <v>9801</v>
      </c>
      <c r="C3" s="1104" t="s">
        <v>3</v>
      </c>
      <c r="D3" s="1105" t="s">
        <v>9802</v>
      </c>
      <c r="E3" s="1104" t="s">
        <v>1</v>
      </c>
      <c r="F3" s="1105" t="s">
        <v>9803</v>
      </c>
      <c r="G3" s="1105" t="s">
        <v>10</v>
      </c>
      <c r="H3" s="1105" t="s">
        <v>9804</v>
      </c>
      <c r="I3" s="1105" t="s">
        <v>2500</v>
      </c>
      <c r="J3" s="1104" t="s">
        <v>9602</v>
      </c>
      <c r="K3" s="1103" t="s">
        <v>9805</v>
      </c>
      <c r="L3" s="1106" t="s">
        <v>2502</v>
      </c>
      <c r="M3" s="1107" t="s">
        <v>19</v>
      </c>
      <c r="N3" s="1107" t="s">
        <v>20</v>
      </c>
      <c r="O3" s="1108" t="s">
        <v>21</v>
      </c>
      <c r="P3" s="1109" t="s">
        <v>22</v>
      </c>
      <c r="Q3" s="1110" t="s">
        <v>23</v>
      </c>
      <c r="R3" s="1111" t="s">
        <v>24</v>
      </c>
      <c r="S3" s="1112" t="s">
        <v>9806</v>
      </c>
      <c r="T3" s="1107" t="s">
        <v>9807</v>
      </c>
      <c r="U3" s="1113" t="s">
        <v>18</v>
      </c>
      <c r="V3" s="1113" t="s">
        <v>9808</v>
      </c>
      <c r="W3" s="1107" t="s">
        <v>9809</v>
      </c>
      <c r="X3" s="1114" t="s">
        <v>9810</v>
      </c>
      <c r="Y3" s="1114" t="s">
        <v>9811</v>
      </c>
      <c r="Z3" s="1114" t="s">
        <v>29</v>
      </c>
      <c r="AA3" s="1107" t="s">
        <v>9812</v>
      </c>
      <c r="AB3" s="1113" t="s">
        <v>31</v>
      </c>
      <c r="AC3" s="1112" t="s">
        <v>33</v>
      </c>
      <c r="AD3" s="1115" t="s">
        <v>2504</v>
      </c>
      <c r="AE3" s="1115" t="s">
        <v>35</v>
      </c>
      <c r="AF3" s="1115" t="s">
        <v>36</v>
      </c>
      <c r="AG3" s="1116" t="s">
        <v>37</v>
      </c>
      <c r="AH3" s="1116" t="s">
        <v>38</v>
      </c>
      <c r="AI3" s="1116" t="s">
        <v>39</v>
      </c>
      <c r="AJ3" s="1103" t="s">
        <v>2505</v>
      </c>
      <c r="AK3" s="1117" t="s">
        <v>41</v>
      </c>
      <c r="AL3" s="1104" t="s">
        <v>43</v>
      </c>
      <c r="AM3" s="1103" t="s">
        <v>9813</v>
      </c>
      <c r="AN3" s="1103" t="s">
        <v>2506</v>
      </c>
      <c r="AO3" s="70" t="s">
        <v>46</v>
      </c>
      <c r="AP3" s="71" t="s">
        <v>47</v>
      </c>
      <c r="AQ3" s="72" t="s">
        <v>9814</v>
      </c>
    </row>
    <row r="4" spans="1:43" s="6" customFormat="1" ht="10" hidden="1">
      <c r="A4" s="74" t="s">
        <v>9815</v>
      </c>
      <c r="B4" s="56" t="s">
        <v>67</v>
      </c>
      <c r="C4" s="56" t="s">
        <v>63</v>
      </c>
      <c r="D4" s="56"/>
      <c r="E4" s="56"/>
      <c r="F4" s="56"/>
      <c r="G4" s="39"/>
      <c r="H4" s="56"/>
      <c r="I4" s="56" t="s">
        <v>9816</v>
      </c>
      <c r="J4" s="56" t="s">
        <v>170</v>
      </c>
      <c r="K4" s="75">
        <v>552027</v>
      </c>
      <c r="L4" s="56" t="s">
        <v>9817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75</v>
      </c>
      <c r="S4" s="56"/>
      <c r="T4" s="56" t="s">
        <v>2525</v>
      </c>
      <c r="U4" s="56" t="s">
        <v>2525</v>
      </c>
      <c r="V4" s="56"/>
      <c r="W4" s="39"/>
      <c r="X4" s="78">
        <v>45618</v>
      </c>
      <c r="Y4" s="78"/>
      <c r="Z4" s="78"/>
      <c r="AA4" s="39">
        <v>371008129</v>
      </c>
      <c r="AB4" s="79" t="s">
        <v>122</v>
      </c>
      <c r="AC4" s="80" t="s">
        <v>78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66</v>
      </c>
      <c r="AK4" s="39" t="s">
        <v>9818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9819</v>
      </c>
      <c r="B5" s="56" t="s">
        <v>67</v>
      </c>
      <c r="C5" s="56" t="s">
        <v>63</v>
      </c>
      <c r="D5" s="56"/>
      <c r="E5" s="56"/>
      <c r="F5" s="56"/>
      <c r="G5" s="39"/>
      <c r="H5" s="56"/>
      <c r="I5" s="56" t="s">
        <v>9816</v>
      </c>
      <c r="J5" s="56" t="s">
        <v>170</v>
      </c>
      <c r="K5" s="75">
        <v>552026</v>
      </c>
      <c r="L5" s="56" t="s">
        <v>463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75</v>
      </c>
      <c r="S5" s="56"/>
      <c r="T5" s="56" t="s">
        <v>2525</v>
      </c>
      <c r="U5" s="56" t="s">
        <v>2525</v>
      </c>
      <c r="V5" s="56"/>
      <c r="W5" s="39"/>
      <c r="X5" s="78">
        <v>45618</v>
      </c>
      <c r="Y5" s="78"/>
      <c r="Z5" s="78"/>
      <c r="AA5" s="39">
        <v>371008128</v>
      </c>
      <c r="AB5" s="79" t="s">
        <v>122</v>
      </c>
      <c r="AC5" s="80" t="s">
        <v>78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66</v>
      </c>
      <c r="AK5" s="39" t="s">
        <v>9820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9821</v>
      </c>
      <c r="B6" s="56" t="s">
        <v>67</v>
      </c>
      <c r="C6" s="56" t="s">
        <v>63</v>
      </c>
      <c r="D6" s="56" t="s">
        <v>9822</v>
      </c>
      <c r="E6" s="56"/>
      <c r="F6" s="56"/>
      <c r="G6" s="39"/>
      <c r="H6" s="56"/>
      <c r="I6" s="56" t="s">
        <v>9816</v>
      </c>
      <c r="J6" s="56" t="s">
        <v>170</v>
      </c>
      <c r="K6" s="75">
        <v>552027</v>
      </c>
      <c r="L6" s="56" t="s">
        <v>9817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75</v>
      </c>
      <c r="S6" s="56"/>
      <c r="T6" s="56" t="s">
        <v>2525</v>
      </c>
      <c r="U6" s="56" t="s">
        <v>2525</v>
      </c>
      <c r="V6" s="56"/>
      <c r="W6" s="39"/>
      <c r="X6" s="78">
        <v>45618</v>
      </c>
      <c r="Y6" s="78"/>
      <c r="Z6" s="78"/>
      <c r="AA6" s="39">
        <v>371008129</v>
      </c>
      <c r="AB6" s="79" t="s">
        <v>122</v>
      </c>
      <c r="AC6" s="80" t="s">
        <v>78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66</v>
      </c>
      <c r="AK6" s="39" t="s">
        <v>9818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9823</v>
      </c>
      <c r="B7" s="56" t="s">
        <v>67</v>
      </c>
      <c r="C7" s="56" t="s">
        <v>63</v>
      </c>
      <c r="D7" s="56" t="s">
        <v>9824</v>
      </c>
      <c r="E7" s="56"/>
      <c r="F7" s="56"/>
      <c r="G7" s="39"/>
      <c r="H7" s="56"/>
      <c r="I7" s="56" t="s">
        <v>9816</v>
      </c>
      <c r="J7" s="56" t="s">
        <v>170</v>
      </c>
      <c r="K7" s="75">
        <v>552027</v>
      </c>
      <c r="L7" s="56" t="s">
        <v>9817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75</v>
      </c>
      <c r="S7" s="56"/>
      <c r="T7" s="56" t="s">
        <v>2525</v>
      </c>
      <c r="U7" s="56" t="s">
        <v>2525</v>
      </c>
      <c r="V7" s="56"/>
      <c r="W7" s="39"/>
      <c r="X7" s="78">
        <v>45618</v>
      </c>
      <c r="Y7" s="78"/>
      <c r="Z7" s="78"/>
      <c r="AA7" s="39">
        <v>371008129</v>
      </c>
      <c r="AB7" s="79" t="s">
        <v>122</v>
      </c>
      <c r="AC7" s="80" t="s">
        <v>78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66</v>
      </c>
      <c r="AK7" s="39" t="s">
        <v>9818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9825</v>
      </c>
      <c r="B8" s="56" t="s">
        <v>67</v>
      </c>
      <c r="C8" s="56" t="s">
        <v>63</v>
      </c>
      <c r="D8" s="56" t="s">
        <v>9824</v>
      </c>
      <c r="E8" s="56"/>
      <c r="F8" s="56"/>
      <c r="G8" s="39"/>
      <c r="H8" s="56"/>
      <c r="I8" s="56" t="s">
        <v>9816</v>
      </c>
      <c r="J8" s="56" t="s">
        <v>170</v>
      </c>
      <c r="K8" s="75">
        <v>552027</v>
      </c>
      <c r="L8" s="56" t="s">
        <v>9817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75</v>
      </c>
      <c r="S8" s="56"/>
      <c r="T8" s="56" t="s">
        <v>2525</v>
      </c>
      <c r="U8" s="56" t="s">
        <v>2525</v>
      </c>
      <c r="V8" s="56"/>
      <c r="W8" s="39"/>
      <c r="X8" s="78">
        <v>45618</v>
      </c>
      <c r="Y8" s="78"/>
      <c r="Z8" s="78"/>
      <c r="AA8" s="39">
        <v>371008130</v>
      </c>
      <c r="AB8" s="79" t="s">
        <v>122</v>
      </c>
      <c r="AC8" s="80" t="s">
        <v>78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66</v>
      </c>
      <c r="AK8" s="39" t="s">
        <v>9818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9826</v>
      </c>
      <c r="B9" s="56" t="s">
        <v>67</v>
      </c>
      <c r="C9" s="56" t="s">
        <v>63</v>
      </c>
      <c r="D9" s="56" t="s">
        <v>9822</v>
      </c>
      <c r="E9" s="56"/>
      <c r="F9" s="56"/>
      <c r="G9" s="39"/>
      <c r="H9" s="56"/>
      <c r="I9" s="56" t="s">
        <v>9816</v>
      </c>
      <c r="J9" s="56" t="s">
        <v>170</v>
      </c>
      <c r="K9" s="75">
        <v>552027</v>
      </c>
      <c r="L9" s="56" t="s">
        <v>9817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75</v>
      </c>
      <c r="S9" s="56"/>
      <c r="T9" s="56" t="s">
        <v>2525</v>
      </c>
      <c r="U9" s="56" t="s">
        <v>2525</v>
      </c>
      <c r="V9" s="56"/>
      <c r="W9" s="39"/>
      <c r="X9" s="78">
        <v>45618</v>
      </c>
      <c r="Y9" s="78"/>
      <c r="Z9" s="78"/>
      <c r="AA9" s="39">
        <v>371008131</v>
      </c>
      <c r="AB9" s="79" t="s">
        <v>122</v>
      </c>
      <c r="AC9" s="80" t="s">
        <v>78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66</v>
      </c>
      <c r="AK9" s="39" t="s">
        <v>9818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9827</v>
      </c>
      <c r="B10" s="56" t="s">
        <v>67</v>
      </c>
      <c r="C10" s="56" t="s">
        <v>63</v>
      </c>
      <c r="D10" s="56" t="s">
        <v>9822</v>
      </c>
      <c r="E10" s="56"/>
      <c r="F10" s="56"/>
      <c r="G10" s="39"/>
      <c r="H10" s="56"/>
      <c r="I10" s="56" t="s">
        <v>9816</v>
      </c>
      <c r="J10" s="56" t="s">
        <v>550</v>
      </c>
      <c r="K10" s="75">
        <v>553120</v>
      </c>
      <c r="L10" s="56" t="s">
        <v>2745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75</v>
      </c>
      <c r="S10" s="56"/>
      <c r="T10" s="56" t="s">
        <v>2525</v>
      </c>
      <c r="U10" s="56" t="s">
        <v>2525</v>
      </c>
      <c r="V10" s="56"/>
      <c r="W10" s="39" t="s">
        <v>9828</v>
      </c>
      <c r="X10" s="78">
        <v>45645</v>
      </c>
      <c r="Y10" s="78"/>
      <c r="Z10" s="78"/>
      <c r="AA10" s="39">
        <v>371008136</v>
      </c>
      <c r="AB10" s="79" t="s">
        <v>122</v>
      </c>
      <c r="AC10" s="80" t="s">
        <v>356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66</v>
      </c>
      <c r="AK10" s="39" t="s">
        <v>9829</v>
      </c>
      <c r="AL10" s="39" t="s">
        <v>9830</v>
      </c>
      <c r="AM10" s="39" t="s">
        <v>9831</v>
      </c>
      <c r="AN10" s="39" t="s">
        <v>9832</v>
      </c>
      <c r="AO10" s="75">
        <f t="shared" si="2"/>
        <v>37</v>
      </c>
      <c r="AP10" s="39" t="s">
        <v>2538</v>
      </c>
      <c r="AQ10" s="75" t="s">
        <v>2538</v>
      </c>
    </row>
    <row r="11" spans="1:43" s="6" customFormat="1" ht="10" hidden="1">
      <c r="A11" s="74" t="s">
        <v>9833</v>
      </c>
      <c r="B11" s="56" t="s">
        <v>67</v>
      </c>
      <c r="C11" s="56" t="s">
        <v>63</v>
      </c>
      <c r="D11" s="56" t="s">
        <v>9822</v>
      </c>
      <c r="E11" s="56"/>
      <c r="F11" s="56"/>
      <c r="G11" s="39"/>
      <c r="H11" s="56"/>
      <c r="I11" s="56" t="s">
        <v>9816</v>
      </c>
      <c r="J11" s="56" t="s">
        <v>550</v>
      </c>
      <c r="K11" s="75">
        <v>553120</v>
      </c>
      <c r="L11" s="56" t="s">
        <v>2745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75</v>
      </c>
      <c r="S11" s="56"/>
      <c r="T11" s="56" t="s">
        <v>2525</v>
      </c>
      <c r="U11" s="56" t="s">
        <v>2525</v>
      </c>
      <c r="V11" s="56"/>
      <c r="W11" s="39" t="s">
        <v>9828</v>
      </c>
      <c r="X11" s="78">
        <v>45645</v>
      </c>
      <c r="Y11" s="78"/>
      <c r="Z11" s="78"/>
      <c r="AA11" s="39">
        <v>371008136</v>
      </c>
      <c r="AB11" s="79" t="s">
        <v>122</v>
      </c>
      <c r="AC11" s="80" t="s">
        <v>356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66</v>
      </c>
      <c r="AK11" s="39" t="s">
        <v>9829</v>
      </c>
      <c r="AL11" s="39" t="s">
        <v>9830</v>
      </c>
      <c r="AM11" s="39" t="s">
        <v>9831</v>
      </c>
      <c r="AN11" s="39" t="s">
        <v>9832</v>
      </c>
      <c r="AO11" s="75">
        <f t="shared" si="2"/>
        <v>37</v>
      </c>
      <c r="AP11" s="39" t="s">
        <v>2538</v>
      </c>
      <c r="AQ11" s="75" t="s">
        <v>2538</v>
      </c>
    </row>
    <row r="12" spans="1:43" s="6" customFormat="1" ht="10" hidden="1">
      <c r="A12" s="74" t="s">
        <v>9834</v>
      </c>
      <c r="B12" s="56" t="s">
        <v>67</v>
      </c>
      <c r="C12" s="56" t="s">
        <v>63</v>
      </c>
      <c r="D12" s="56" t="s">
        <v>9822</v>
      </c>
      <c r="E12" s="56"/>
      <c r="F12" s="56"/>
      <c r="G12" s="39"/>
      <c r="H12" s="56"/>
      <c r="I12" s="56" t="s">
        <v>9816</v>
      </c>
      <c r="J12" s="56" t="s">
        <v>550</v>
      </c>
      <c r="K12" s="75">
        <v>553120</v>
      </c>
      <c r="L12" s="56" t="s">
        <v>2745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75</v>
      </c>
      <c r="S12" s="56"/>
      <c r="T12" s="56" t="s">
        <v>2525</v>
      </c>
      <c r="U12" s="56" t="s">
        <v>2525</v>
      </c>
      <c r="V12" s="56"/>
      <c r="W12" s="39" t="s">
        <v>9828</v>
      </c>
      <c r="X12" s="78">
        <v>45645</v>
      </c>
      <c r="Y12" s="78"/>
      <c r="Z12" s="78"/>
      <c r="AA12" s="39">
        <v>371008136</v>
      </c>
      <c r="AB12" s="79" t="s">
        <v>122</v>
      </c>
      <c r="AC12" s="80" t="s">
        <v>356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66</v>
      </c>
      <c r="AK12" s="39" t="s">
        <v>9829</v>
      </c>
      <c r="AL12" s="39" t="s">
        <v>9830</v>
      </c>
      <c r="AM12" s="39" t="s">
        <v>9831</v>
      </c>
      <c r="AN12" s="39" t="s">
        <v>9832</v>
      </c>
      <c r="AO12" s="75">
        <f t="shared" si="2"/>
        <v>37</v>
      </c>
      <c r="AP12" s="39" t="s">
        <v>2538</v>
      </c>
      <c r="AQ12" s="75" t="s">
        <v>2538</v>
      </c>
    </row>
    <row r="13" spans="1:43" s="6" customFormat="1" ht="10" hidden="1">
      <c r="A13" s="74" t="s">
        <v>9835</v>
      </c>
      <c r="B13" s="56" t="s">
        <v>67</v>
      </c>
      <c r="C13" s="56" t="s">
        <v>63</v>
      </c>
      <c r="D13" s="56" t="s">
        <v>9822</v>
      </c>
      <c r="E13" s="56"/>
      <c r="F13" s="56"/>
      <c r="G13" s="39"/>
      <c r="H13" s="56"/>
      <c r="I13" s="56" t="s">
        <v>9816</v>
      </c>
      <c r="J13" s="56" t="s">
        <v>550</v>
      </c>
      <c r="K13" s="75">
        <v>553120</v>
      </c>
      <c r="L13" s="56" t="s">
        <v>2745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75</v>
      </c>
      <c r="S13" s="56"/>
      <c r="T13" s="56" t="s">
        <v>2525</v>
      </c>
      <c r="U13" s="56" t="s">
        <v>2525</v>
      </c>
      <c r="V13" s="56"/>
      <c r="W13" s="39" t="s">
        <v>9828</v>
      </c>
      <c r="X13" s="78">
        <v>45645</v>
      </c>
      <c r="Y13" s="78"/>
      <c r="Z13" s="78"/>
      <c r="AA13" s="39">
        <v>371008136</v>
      </c>
      <c r="AB13" s="79" t="s">
        <v>122</v>
      </c>
      <c r="AC13" s="80" t="s">
        <v>356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66</v>
      </c>
      <c r="AK13" s="39" t="s">
        <v>9829</v>
      </c>
      <c r="AL13" s="39" t="s">
        <v>9830</v>
      </c>
      <c r="AM13" s="39" t="s">
        <v>9831</v>
      </c>
      <c r="AN13" s="39" t="s">
        <v>9832</v>
      </c>
      <c r="AO13" s="75">
        <f t="shared" si="2"/>
        <v>37</v>
      </c>
      <c r="AP13" s="39" t="s">
        <v>2538</v>
      </c>
      <c r="AQ13" s="75" t="s">
        <v>2538</v>
      </c>
    </row>
    <row r="14" spans="1:43" s="6" customFormat="1" ht="10" hidden="1">
      <c r="A14" s="74" t="s">
        <v>9836</v>
      </c>
      <c r="B14" s="56" t="s">
        <v>67</v>
      </c>
      <c r="C14" s="56" t="s">
        <v>63</v>
      </c>
      <c r="D14" s="56" t="s">
        <v>9822</v>
      </c>
      <c r="E14" s="56"/>
      <c r="F14" s="56"/>
      <c r="G14" s="39"/>
      <c r="H14" s="56"/>
      <c r="I14" s="56" t="s">
        <v>9816</v>
      </c>
      <c r="J14" s="56" t="s">
        <v>550</v>
      </c>
      <c r="K14" s="75">
        <v>553120</v>
      </c>
      <c r="L14" s="56" t="s">
        <v>2745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75</v>
      </c>
      <c r="S14" s="56"/>
      <c r="T14" s="56" t="s">
        <v>2525</v>
      </c>
      <c r="U14" s="56" t="s">
        <v>2525</v>
      </c>
      <c r="V14" s="56"/>
      <c r="W14" s="39" t="s">
        <v>9828</v>
      </c>
      <c r="X14" s="78">
        <v>45645</v>
      </c>
      <c r="Y14" s="78"/>
      <c r="Z14" s="78"/>
      <c r="AA14" s="39">
        <v>371008136</v>
      </c>
      <c r="AB14" s="79" t="s">
        <v>122</v>
      </c>
      <c r="AC14" s="80" t="s">
        <v>356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66</v>
      </c>
      <c r="AK14" s="39" t="s">
        <v>9829</v>
      </c>
      <c r="AL14" s="39" t="s">
        <v>9830</v>
      </c>
      <c r="AM14" s="39" t="s">
        <v>9831</v>
      </c>
      <c r="AN14" s="39" t="s">
        <v>9832</v>
      </c>
      <c r="AO14" s="75">
        <f t="shared" si="2"/>
        <v>37</v>
      </c>
      <c r="AP14" s="39" t="s">
        <v>2538</v>
      </c>
      <c r="AQ14" s="75" t="s">
        <v>2538</v>
      </c>
    </row>
    <row r="15" spans="1:43" s="6" customFormat="1" ht="10" hidden="1">
      <c r="A15" s="74" t="s">
        <v>9837</v>
      </c>
      <c r="B15" s="56" t="s">
        <v>67</v>
      </c>
      <c r="C15" s="56" t="s">
        <v>63</v>
      </c>
      <c r="D15" s="56" t="s">
        <v>9824</v>
      </c>
      <c r="E15" s="56"/>
      <c r="F15" s="56"/>
      <c r="G15" s="39"/>
      <c r="H15" s="56"/>
      <c r="I15" s="56" t="s">
        <v>9816</v>
      </c>
      <c r="J15" s="56" t="s">
        <v>9838</v>
      </c>
      <c r="K15" s="75">
        <v>547867</v>
      </c>
      <c r="L15" s="56" t="s">
        <v>9839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75</v>
      </c>
      <c r="S15" s="56"/>
      <c r="T15" s="56" t="s">
        <v>2525</v>
      </c>
      <c r="U15" s="56" t="s">
        <v>2525</v>
      </c>
      <c r="V15" s="56"/>
      <c r="W15" s="39" t="s">
        <v>9840</v>
      </c>
      <c r="X15" s="78">
        <v>45650</v>
      </c>
      <c r="Y15" s="78"/>
      <c r="Z15" s="78"/>
      <c r="AA15" s="39">
        <v>371008137</v>
      </c>
      <c r="AB15" s="79" t="s">
        <v>122</v>
      </c>
      <c r="AC15" s="80" t="s">
        <v>356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66</v>
      </c>
      <c r="AK15" s="39" t="s">
        <v>9841</v>
      </c>
      <c r="AL15" s="39" t="s">
        <v>9842</v>
      </c>
      <c r="AM15" s="39" t="s">
        <v>9843</v>
      </c>
      <c r="AN15" s="39" t="s">
        <v>9844</v>
      </c>
      <c r="AO15" s="75">
        <f t="shared" si="2"/>
        <v>38</v>
      </c>
      <c r="AP15" s="39" t="s">
        <v>2538</v>
      </c>
      <c r="AQ15" s="75" t="s">
        <v>2538</v>
      </c>
    </row>
    <row r="16" spans="1:43" s="6" customFormat="1" ht="10" hidden="1">
      <c r="A16" s="74" t="s">
        <v>9845</v>
      </c>
      <c r="B16" s="56" t="s">
        <v>67</v>
      </c>
      <c r="C16" s="56" t="s">
        <v>63</v>
      </c>
      <c r="D16" s="56" t="s">
        <v>156</v>
      </c>
      <c r="E16" s="56"/>
      <c r="F16" s="56"/>
      <c r="G16" s="39"/>
      <c r="H16" s="56"/>
      <c r="I16" s="56" t="s">
        <v>9816</v>
      </c>
      <c r="J16" s="56" t="s">
        <v>170</v>
      </c>
      <c r="K16" s="75">
        <v>552026</v>
      </c>
      <c r="L16" s="56" t="s">
        <v>463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75</v>
      </c>
      <c r="S16" s="56"/>
      <c r="T16" s="56" t="s">
        <v>2525</v>
      </c>
      <c r="U16" s="56" t="s">
        <v>2525</v>
      </c>
      <c r="V16" s="56"/>
      <c r="W16" s="39" t="s">
        <v>9846</v>
      </c>
      <c r="X16" s="78">
        <v>45645</v>
      </c>
      <c r="Y16" s="78"/>
      <c r="Z16" s="78"/>
      <c r="AA16" s="39">
        <v>371008116</v>
      </c>
      <c r="AB16" s="79" t="s">
        <v>122</v>
      </c>
      <c r="AC16" s="80" t="s">
        <v>9847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156</v>
      </c>
      <c r="AK16" s="39" t="s">
        <v>9848</v>
      </c>
      <c r="AL16" s="39" t="s">
        <v>9849</v>
      </c>
      <c r="AM16" s="39">
        <v>1063823207</v>
      </c>
      <c r="AN16" s="39" t="s">
        <v>9850</v>
      </c>
      <c r="AO16" s="75">
        <f t="shared" si="2"/>
        <v>60</v>
      </c>
      <c r="AP16" s="39" t="s">
        <v>2538</v>
      </c>
      <c r="AQ16" s="75" t="s">
        <v>2538</v>
      </c>
    </row>
    <row r="17" spans="1:43" s="6" customFormat="1" ht="10" hidden="1">
      <c r="A17" s="74" t="s">
        <v>9851</v>
      </c>
      <c r="B17" s="56" t="s">
        <v>67</v>
      </c>
      <c r="C17" s="56" t="s">
        <v>63</v>
      </c>
      <c r="D17" s="56" t="s">
        <v>156</v>
      </c>
      <c r="E17" s="56"/>
      <c r="F17" s="56"/>
      <c r="G17" s="39"/>
      <c r="H17" s="56"/>
      <c r="I17" s="56" t="s">
        <v>9816</v>
      </c>
      <c r="J17" s="56" t="s">
        <v>170</v>
      </c>
      <c r="K17" s="75">
        <v>552026</v>
      </c>
      <c r="L17" s="56" t="s">
        <v>463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75</v>
      </c>
      <c r="S17" s="56"/>
      <c r="T17" s="56" t="s">
        <v>2525</v>
      </c>
      <c r="U17" s="56" t="s">
        <v>2525</v>
      </c>
      <c r="V17" s="56"/>
      <c r="W17" s="39" t="s">
        <v>9846</v>
      </c>
      <c r="X17" s="78">
        <v>45660</v>
      </c>
      <c r="Y17" s="78"/>
      <c r="Z17" s="78"/>
      <c r="AA17" s="39">
        <v>371008115</v>
      </c>
      <c r="AB17" s="79" t="s">
        <v>122</v>
      </c>
      <c r="AC17" s="80" t="s">
        <v>9852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156</v>
      </c>
      <c r="AK17" s="39" t="s">
        <v>9853</v>
      </c>
      <c r="AL17" s="39" t="s">
        <v>9854</v>
      </c>
      <c r="AM17" s="39">
        <v>1064000730</v>
      </c>
      <c r="AN17" s="39" t="s">
        <v>9855</v>
      </c>
      <c r="AO17" s="75">
        <f t="shared" si="2"/>
        <v>53</v>
      </c>
      <c r="AP17" s="39" t="s">
        <v>2538</v>
      </c>
      <c r="AQ17" s="75" t="s">
        <v>2538</v>
      </c>
    </row>
    <row r="18" spans="1:43" s="6" customFormat="1" ht="10" hidden="1">
      <c r="A18" s="74" t="s">
        <v>9856</v>
      </c>
      <c r="B18" s="56" t="s">
        <v>67</v>
      </c>
      <c r="C18" s="56" t="s">
        <v>63</v>
      </c>
      <c r="D18" s="56" t="s">
        <v>9822</v>
      </c>
      <c r="E18" s="56"/>
      <c r="F18" s="56"/>
      <c r="G18" s="39"/>
      <c r="H18" s="56"/>
      <c r="I18" s="56" t="s">
        <v>9816</v>
      </c>
      <c r="J18" s="56" t="s">
        <v>550</v>
      </c>
      <c r="K18" s="75">
        <v>553118</v>
      </c>
      <c r="L18" s="56" t="s">
        <v>552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75</v>
      </c>
      <c r="S18" s="56"/>
      <c r="T18" s="56" t="s">
        <v>2525</v>
      </c>
      <c r="U18" s="56" t="s">
        <v>2525</v>
      </c>
      <c r="V18" s="56"/>
      <c r="W18" s="39" t="s">
        <v>9857</v>
      </c>
      <c r="X18" s="78">
        <v>45671</v>
      </c>
      <c r="Y18" s="78"/>
      <c r="Z18" s="78"/>
      <c r="AA18" s="39">
        <v>371008157</v>
      </c>
      <c r="AB18" s="79" t="s">
        <v>122</v>
      </c>
      <c r="AC18" s="80" t="s">
        <v>105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66</v>
      </c>
      <c r="AK18" s="39" t="s">
        <v>9858</v>
      </c>
      <c r="AL18" s="39" t="s">
        <v>9859</v>
      </c>
      <c r="AM18" s="39" t="s">
        <v>9860</v>
      </c>
      <c r="AN18" s="39" t="s">
        <v>9861</v>
      </c>
      <c r="AO18" s="75">
        <f t="shared" si="2"/>
        <v>42</v>
      </c>
      <c r="AP18" s="39" t="s">
        <v>2538</v>
      </c>
      <c r="AQ18" s="75" t="s">
        <v>2538</v>
      </c>
    </row>
    <row r="19" spans="1:43" s="6" customFormat="1" ht="10" hidden="1">
      <c r="A19" s="74" t="s">
        <v>9862</v>
      </c>
      <c r="B19" s="56" t="s">
        <v>67</v>
      </c>
      <c r="C19" s="56" t="s">
        <v>63</v>
      </c>
      <c r="D19" s="56" t="s">
        <v>9822</v>
      </c>
      <c r="E19" s="56"/>
      <c r="F19" s="56"/>
      <c r="G19" s="39"/>
      <c r="H19" s="56"/>
      <c r="I19" s="56" t="s">
        <v>9816</v>
      </c>
      <c r="J19" s="56" t="s">
        <v>550</v>
      </c>
      <c r="K19" s="75">
        <v>553118</v>
      </c>
      <c r="L19" s="56" t="s">
        <v>552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75</v>
      </c>
      <c r="S19" s="56"/>
      <c r="T19" s="56" t="s">
        <v>2525</v>
      </c>
      <c r="U19" s="56" t="s">
        <v>2525</v>
      </c>
      <c r="V19" s="56"/>
      <c r="W19" s="39" t="s">
        <v>9863</v>
      </c>
      <c r="X19" s="78">
        <v>45671</v>
      </c>
      <c r="Y19" s="78"/>
      <c r="Z19" s="78"/>
      <c r="AA19" s="39">
        <v>371008157</v>
      </c>
      <c r="AB19" s="79" t="s">
        <v>122</v>
      </c>
      <c r="AC19" s="80" t="s">
        <v>105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66</v>
      </c>
      <c r="AK19" s="39" t="s">
        <v>9858</v>
      </c>
      <c r="AL19" s="39" t="s">
        <v>9859</v>
      </c>
      <c r="AM19" s="39" t="s">
        <v>9860</v>
      </c>
      <c r="AN19" s="39" t="s">
        <v>9861</v>
      </c>
      <c r="AO19" s="75">
        <f t="shared" si="2"/>
        <v>50</v>
      </c>
      <c r="AP19" s="39" t="s">
        <v>2538</v>
      </c>
      <c r="AQ19" s="75" t="s">
        <v>2538</v>
      </c>
    </row>
    <row r="20" spans="1:43" s="6" customFormat="1" ht="10" hidden="1">
      <c r="A20" s="74" t="s">
        <v>9864</v>
      </c>
      <c r="B20" s="56" t="s">
        <v>67</v>
      </c>
      <c r="C20" s="56" t="s">
        <v>63</v>
      </c>
      <c r="D20" s="56" t="s">
        <v>9822</v>
      </c>
      <c r="E20" s="56"/>
      <c r="F20" s="56"/>
      <c r="G20" s="39"/>
      <c r="H20" s="56"/>
      <c r="I20" s="56" t="s">
        <v>9816</v>
      </c>
      <c r="J20" s="56" t="s">
        <v>550</v>
      </c>
      <c r="K20" s="75">
        <v>553120</v>
      </c>
      <c r="L20" s="56" t="s">
        <v>2745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75</v>
      </c>
      <c r="S20" s="56"/>
      <c r="T20" s="56" t="s">
        <v>2525</v>
      </c>
      <c r="U20" s="56" t="s">
        <v>2525</v>
      </c>
      <c r="V20" s="56"/>
      <c r="W20" s="39" t="s">
        <v>9863</v>
      </c>
      <c r="X20" s="78">
        <v>45671</v>
      </c>
      <c r="Y20" s="78"/>
      <c r="Z20" s="78"/>
      <c r="AA20" s="39">
        <v>371008155</v>
      </c>
      <c r="AB20" s="79" t="s">
        <v>122</v>
      </c>
      <c r="AC20" s="80" t="s">
        <v>356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66</v>
      </c>
      <c r="AK20" s="39" t="s">
        <v>9858</v>
      </c>
      <c r="AL20" s="39" t="s">
        <v>9865</v>
      </c>
      <c r="AM20" s="39" t="s">
        <v>9866</v>
      </c>
      <c r="AN20" s="39" t="s">
        <v>9867</v>
      </c>
      <c r="AO20" s="75">
        <f t="shared" si="2"/>
        <v>45</v>
      </c>
      <c r="AP20" s="39" t="s">
        <v>2538</v>
      </c>
      <c r="AQ20" s="75" t="s">
        <v>2538</v>
      </c>
    </row>
    <row r="21" spans="1:43" s="6" customFormat="1" ht="10" hidden="1">
      <c r="A21" s="74" t="s">
        <v>9868</v>
      </c>
      <c r="B21" s="56" t="s">
        <v>67</v>
      </c>
      <c r="C21" s="56" t="s">
        <v>63</v>
      </c>
      <c r="D21" s="56" t="s">
        <v>9824</v>
      </c>
      <c r="E21" s="56"/>
      <c r="F21" s="56"/>
      <c r="G21" s="39"/>
      <c r="H21" s="56"/>
      <c r="I21" s="56" t="s">
        <v>9816</v>
      </c>
      <c r="J21" s="56" t="s">
        <v>170</v>
      </c>
      <c r="K21" s="75">
        <v>552028</v>
      </c>
      <c r="L21" s="56" t="s">
        <v>9869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75</v>
      </c>
      <c r="S21" s="56"/>
      <c r="T21" s="56" t="s">
        <v>2525</v>
      </c>
      <c r="U21" s="56" t="s">
        <v>2525</v>
      </c>
      <c r="V21" s="56"/>
      <c r="W21" s="39" t="s">
        <v>9870</v>
      </c>
      <c r="X21" s="78">
        <v>45671</v>
      </c>
      <c r="Y21" s="78"/>
      <c r="Z21" s="78"/>
      <c r="AA21" s="39">
        <v>371008138</v>
      </c>
      <c r="AB21" s="79" t="s">
        <v>122</v>
      </c>
      <c r="AC21" s="80" t="s">
        <v>356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66</v>
      </c>
      <c r="AK21" s="39" t="s">
        <v>9858</v>
      </c>
      <c r="AL21" s="39" t="s">
        <v>9865</v>
      </c>
      <c r="AM21" s="39" t="s">
        <v>9866</v>
      </c>
      <c r="AN21" s="39" t="s">
        <v>9867</v>
      </c>
      <c r="AO21" s="75">
        <f t="shared" si="2"/>
        <v>45</v>
      </c>
      <c r="AP21" s="39" t="s">
        <v>2538</v>
      </c>
      <c r="AQ21" s="75" t="s">
        <v>2538</v>
      </c>
    </row>
    <row r="22" spans="1:43" s="6" customFormat="1" ht="10" hidden="1">
      <c r="A22" s="74" t="s">
        <v>9871</v>
      </c>
      <c r="B22" s="56" t="s">
        <v>67</v>
      </c>
      <c r="C22" s="56" t="s">
        <v>63</v>
      </c>
      <c r="D22" s="56" t="s">
        <v>9824</v>
      </c>
      <c r="E22" s="56"/>
      <c r="F22" s="56"/>
      <c r="G22" s="39"/>
      <c r="H22" s="56"/>
      <c r="I22" s="56" t="s">
        <v>9816</v>
      </c>
      <c r="J22" s="56" t="s">
        <v>170</v>
      </c>
      <c r="K22" s="75">
        <v>552026</v>
      </c>
      <c r="L22" s="56" t="s">
        <v>463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75</v>
      </c>
      <c r="S22" s="56"/>
      <c r="T22" s="56" t="s">
        <v>2525</v>
      </c>
      <c r="U22" s="56" t="s">
        <v>2525</v>
      </c>
      <c r="V22" s="56"/>
      <c r="W22" s="39" t="s">
        <v>9872</v>
      </c>
      <c r="X22" s="78">
        <v>45671</v>
      </c>
      <c r="Y22" s="78"/>
      <c r="Z22" s="78"/>
      <c r="AA22" s="39">
        <v>371008138</v>
      </c>
      <c r="AB22" s="79" t="s">
        <v>122</v>
      </c>
      <c r="AC22" s="80" t="s">
        <v>356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66</v>
      </c>
      <c r="AK22" s="39" t="s">
        <v>9858</v>
      </c>
      <c r="AL22" s="39" t="s">
        <v>9865</v>
      </c>
      <c r="AM22" s="39" t="s">
        <v>9866</v>
      </c>
      <c r="AN22" s="39" t="s">
        <v>9867</v>
      </c>
      <c r="AO22" s="75">
        <f t="shared" si="2"/>
        <v>45</v>
      </c>
      <c r="AP22" s="39" t="s">
        <v>2538</v>
      </c>
      <c r="AQ22" s="75" t="s">
        <v>2538</v>
      </c>
    </row>
    <row r="23" spans="1:43" s="6" customFormat="1" ht="10" hidden="1">
      <c r="A23" s="74" t="s">
        <v>9873</v>
      </c>
      <c r="B23" s="56" t="s">
        <v>67</v>
      </c>
      <c r="C23" s="56" t="s">
        <v>63</v>
      </c>
      <c r="D23" s="56" t="s">
        <v>9824</v>
      </c>
      <c r="E23" s="56"/>
      <c r="F23" s="56"/>
      <c r="G23" s="39"/>
      <c r="H23" s="56"/>
      <c r="I23" s="56" t="s">
        <v>9816</v>
      </c>
      <c r="J23" s="56" t="s">
        <v>170</v>
      </c>
      <c r="K23" s="75">
        <v>552045</v>
      </c>
      <c r="L23" s="56" t="s">
        <v>172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75</v>
      </c>
      <c r="S23" s="56"/>
      <c r="T23" s="56" t="s">
        <v>2525</v>
      </c>
      <c r="U23" s="56" t="s">
        <v>2525</v>
      </c>
      <c r="V23" s="56"/>
      <c r="W23" s="39" t="s">
        <v>9870</v>
      </c>
      <c r="X23" s="78">
        <v>45671</v>
      </c>
      <c r="Y23" s="78"/>
      <c r="Z23" s="78"/>
      <c r="AA23" s="39">
        <v>371008138</v>
      </c>
      <c r="AB23" s="79" t="s">
        <v>122</v>
      </c>
      <c r="AC23" s="80" t="s">
        <v>356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66</v>
      </c>
      <c r="AK23" s="39" t="s">
        <v>9858</v>
      </c>
      <c r="AL23" s="39" t="s">
        <v>9865</v>
      </c>
      <c r="AM23" s="39" t="s">
        <v>9866</v>
      </c>
      <c r="AN23" s="39" t="s">
        <v>9867</v>
      </c>
      <c r="AO23" s="75">
        <f t="shared" si="2"/>
        <v>45</v>
      </c>
      <c r="AP23" s="39" t="s">
        <v>2538</v>
      </c>
      <c r="AQ23" s="75" t="s">
        <v>2538</v>
      </c>
    </row>
    <row r="24" spans="1:43" s="6" customFormat="1" ht="10" hidden="1">
      <c r="A24" s="74" t="s">
        <v>9874</v>
      </c>
      <c r="B24" s="56" t="s">
        <v>67</v>
      </c>
      <c r="C24" s="56" t="s">
        <v>63</v>
      </c>
      <c r="D24" s="56" t="s">
        <v>9822</v>
      </c>
      <c r="E24" s="56"/>
      <c r="F24" s="56"/>
      <c r="G24" s="39"/>
      <c r="H24" s="56"/>
      <c r="I24" s="56" t="s">
        <v>9816</v>
      </c>
      <c r="J24" s="56" t="s">
        <v>550</v>
      </c>
      <c r="K24" s="75">
        <v>553120</v>
      </c>
      <c r="L24" s="56" t="s">
        <v>2745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75</v>
      </c>
      <c r="S24" s="56"/>
      <c r="T24" s="56" t="s">
        <v>2525</v>
      </c>
      <c r="U24" s="56" t="s">
        <v>2525</v>
      </c>
      <c r="V24" s="56"/>
      <c r="W24" s="39" t="s">
        <v>9863</v>
      </c>
      <c r="X24" s="78">
        <v>45673</v>
      </c>
      <c r="Y24" s="78"/>
      <c r="Z24" s="78"/>
      <c r="AA24" s="39">
        <v>371008155</v>
      </c>
      <c r="AB24" s="79" t="s">
        <v>122</v>
      </c>
      <c r="AC24" s="80" t="s">
        <v>356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66</v>
      </c>
      <c r="AK24" s="39" t="s">
        <v>9875</v>
      </c>
      <c r="AL24" s="39" t="s">
        <v>9876</v>
      </c>
      <c r="AM24" s="39" t="s">
        <v>9877</v>
      </c>
      <c r="AN24" s="39">
        <v>285369343</v>
      </c>
      <c r="AO24" s="75">
        <f t="shared" si="2"/>
        <v>53</v>
      </c>
      <c r="AP24" s="39" t="s">
        <v>2538</v>
      </c>
      <c r="AQ24" s="75" t="s">
        <v>2538</v>
      </c>
    </row>
    <row r="25" spans="1:43" s="6" customFormat="1" ht="10" hidden="1">
      <c r="A25" s="74" t="s">
        <v>9878</v>
      </c>
      <c r="B25" s="56" t="s">
        <v>67</v>
      </c>
      <c r="C25" s="56" t="s">
        <v>63</v>
      </c>
      <c r="D25" s="56" t="s">
        <v>9824</v>
      </c>
      <c r="E25" s="56"/>
      <c r="F25" s="56"/>
      <c r="G25" s="39"/>
      <c r="H25" s="56"/>
      <c r="I25" s="56" t="s">
        <v>9816</v>
      </c>
      <c r="J25" s="56" t="s">
        <v>170</v>
      </c>
      <c r="K25" s="75">
        <v>552027</v>
      </c>
      <c r="L25" s="56" t="s">
        <v>9817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75</v>
      </c>
      <c r="S25" s="56"/>
      <c r="T25" s="56" t="s">
        <v>2525</v>
      </c>
      <c r="U25" s="56" t="s">
        <v>2525</v>
      </c>
      <c r="V25" s="56"/>
      <c r="W25" s="39" t="s">
        <v>9870</v>
      </c>
      <c r="X25" s="78">
        <v>45673</v>
      </c>
      <c r="Y25" s="78"/>
      <c r="Z25" s="78"/>
      <c r="AA25" s="39">
        <v>371008138</v>
      </c>
      <c r="AB25" s="79" t="s">
        <v>122</v>
      </c>
      <c r="AC25" s="80" t="s">
        <v>356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66</v>
      </c>
      <c r="AK25" s="39" t="s">
        <v>9875</v>
      </c>
      <c r="AL25" s="39" t="s">
        <v>9876</v>
      </c>
      <c r="AM25" s="39" t="s">
        <v>9877</v>
      </c>
      <c r="AN25" s="39">
        <v>285369343</v>
      </c>
      <c r="AO25" s="75">
        <f t="shared" si="2"/>
        <v>53</v>
      </c>
      <c r="AP25" s="39" t="s">
        <v>2538</v>
      </c>
      <c r="AQ25" s="75" t="s">
        <v>2538</v>
      </c>
    </row>
    <row r="26" spans="1:43" s="6" customFormat="1" ht="10" hidden="1">
      <c r="A26" s="74" t="s">
        <v>9879</v>
      </c>
      <c r="B26" s="56" t="s">
        <v>67</v>
      </c>
      <c r="C26" s="56" t="s">
        <v>63</v>
      </c>
      <c r="D26" s="56" t="s">
        <v>9824</v>
      </c>
      <c r="E26" s="56"/>
      <c r="F26" s="56"/>
      <c r="G26" s="39"/>
      <c r="H26" s="56"/>
      <c r="I26" s="56" t="s">
        <v>9816</v>
      </c>
      <c r="J26" s="56" t="s">
        <v>170</v>
      </c>
      <c r="K26" s="75">
        <v>552027</v>
      </c>
      <c r="L26" s="56" t="s">
        <v>9817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75</v>
      </c>
      <c r="S26" s="56"/>
      <c r="T26" s="56" t="s">
        <v>2525</v>
      </c>
      <c r="U26" s="56" t="s">
        <v>2525</v>
      </c>
      <c r="V26" s="56"/>
      <c r="W26" s="39" t="s">
        <v>9870</v>
      </c>
      <c r="X26" s="78">
        <v>45677</v>
      </c>
      <c r="Y26" s="78"/>
      <c r="Z26" s="78"/>
      <c r="AA26" s="39">
        <v>371008160</v>
      </c>
      <c r="AB26" s="79" t="s">
        <v>122</v>
      </c>
      <c r="AC26" s="80" t="s">
        <v>78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66</v>
      </c>
      <c r="AK26" s="39" t="s">
        <v>9880</v>
      </c>
      <c r="AL26" s="39" t="s">
        <v>9881</v>
      </c>
      <c r="AM26" s="39">
        <v>248809625</v>
      </c>
      <c r="AN26" s="39">
        <v>248809625</v>
      </c>
      <c r="AO26" s="75">
        <f t="shared" si="2"/>
        <v>55</v>
      </c>
      <c r="AP26" s="39" t="s">
        <v>2538</v>
      </c>
      <c r="AQ26" s="75" t="s">
        <v>2538</v>
      </c>
    </row>
    <row r="27" spans="1:43" s="6" customFormat="1" ht="10" hidden="1">
      <c r="A27" s="74" t="s">
        <v>9882</v>
      </c>
      <c r="B27" s="56" t="s">
        <v>67</v>
      </c>
      <c r="C27" s="56" t="s">
        <v>63</v>
      </c>
      <c r="D27" s="56" t="s">
        <v>9822</v>
      </c>
      <c r="E27" s="56"/>
      <c r="F27" s="56"/>
      <c r="G27" s="39"/>
      <c r="H27" s="56"/>
      <c r="I27" s="56" t="s">
        <v>9816</v>
      </c>
      <c r="J27" s="56" t="s">
        <v>550</v>
      </c>
      <c r="K27" s="75">
        <v>553120</v>
      </c>
      <c r="L27" s="56" t="s">
        <v>2745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75</v>
      </c>
      <c r="S27" s="56"/>
      <c r="T27" s="56" t="s">
        <v>2525</v>
      </c>
      <c r="U27" s="56" t="s">
        <v>2525</v>
      </c>
      <c r="V27" s="56"/>
      <c r="W27" s="39" t="s">
        <v>9863</v>
      </c>
      <c r="X27" s="78">
        <v>45679</v>
      </c>
      <c r="Y27" s="78"/>
      <c r="Z27" s="78"/>
      <c r="AA27" s="39">
        <v>371008156</v>
      </c>
      <c r="AB27" s="79" t="s">
        <v>122</v>
      </c>
      <c r="AC27" s="80" t="s">
        <v>78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66</v>
      </c>
      <c r="AK27" s="39" t="s">
        <v>9883</v>
      </c>
      <c r="AL27" s="39" t="s">
        <v>9884</v>
      </c>
      <c r="AM27" s="39" t="s">
        <v>9885</v>
      </c>
      <c r="AN27" s="39" t="s">
        <v>9886</v>
      </c>
      <c r="AO27" s="75">
        <f t="shared" si="2"/>
        <v>48</v>
      </c>
      <c r="AP27" s="39" t="s">
        <v>2538</v>
      </c>
      <c r="AQ27" s="75" t="s">
        <v>2538</v>
      </c>
    </row>
    <row r="28" spans="1:43" s="6" customFormat="1" ht="10" hidden="1">
      <c r="A28" s="74" t="s">
        <v>9887</v>
      </c>
      <c r="B28" s="56" t="s">
        <v>67</v>
      </c>
      <c r="C28" s="56" t="s">
        <v>63</v>
      </c>
      <c r="D28" s="56" t="s">
        <v>9822</v>
      </c>
      <c r="E28" s="56"/>
      <c r="F28" s="56"/>
      <c r="G28" s="39"/>
      <c r="H28" s="56"/>
      <c r="I28" s="56" t="s">
        <v>9816</v>
      </c>
      <c r="J28" s="56" t="s">
        <v>550</v>
      </c>
      <c r="K28" s="75">
        <v>553120</v>
      </c>
      <c r="L28" s="56" t="s">
        <v>2745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75</v>
      </c>
      <c r="S28" s="56"/>
      <c r="T28" s="56" t="s">
        <v>2525</v>
      </c>
      <c r="U28" s="56" t="s">
        <v>2525</v>
      </c>
      <c r="V28" s="56"/>
      <c r="W28" s="39" t="s">
        <v>9857</v>
      </c>
      <c r="X28" s="78">
        <v>45679</v>
      </c>
      <c r="Y28" s="78"/>
      <c r="Z28" s="78"/>
      <c r="AA28" s="39">
        <v>371008156</v>
      </c>
      <c r="AB28" s="79" t="s">
        <v>122</v>
      </c>
      <c r="AC28" s="80" t="s">
        <v>78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66</v>
      </c>
      <c r="AK28" s="39" t="s">
        <v>9883</v>
      </c>
      <c r="AL28" s="39" t="s">
        <v>9888</v>
      </c>
      <c r="AM28" s="39" t="s">
        <v>9889</v>
      </c>
      <c r="AN28" s="39" t="s">
        <v>9890</v>
      </c>
      <c r="AO28" s="75">
        <f t="shared" si="2"/>
        <v>48</v>
      </c>
      <c r="AP28" s="39" t="s">
        <v>2538</v>
      </c>
      <c r="AQ28" s="75" t="s">
        <v>2538</v>
      </c>
    </row>
    <row r="29" spans="1:43" s="6" customFormat="1" ht="10" hidden="1">
      <c r="A29" s="74" t="s">
        <v>9891</v>
      </c>
      <c r="B29" s="56" t="s">
        <v>67</v>
      </c>
      <c r="C29" s="56" t="s">
        <v>63</v>
      </c>
      <c r="D29" s="56" t="s">
        <v>9824</v>
      </c>
      <c r="E29" s="56"/>
      <c r="F29" s="56"/>
      <c r="G29" s="39"/>
      <c r="H29" s="56"/>
      <c r="I29" s="56" t="s">
        <v>9816</v>
      </c>
      <c r="J29" s="56" t="s">
        <v>170</v>
      </c>
      <c r="K29" s="75">
        <v>552026</v>
      </c>
      <c r="L29" s="56" t="s">
        <v>463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75</v>
      </c>
      <c r="S29" s="56"/>
      <c r="T29" s="56" t="s">
        <v>2525</v>
      </c>
      <c r="U29" s="56" t="s">
        <v>2525</v>
      </c>
      <c r="V29" s="56"/>
      <c r="W29" s="39" t="s">
        <v>9870</v>
      </c>
      <c r="X29" s="78">
        <v>45679</v>
      </c>
      <c r="Y29" s="78"/>
      <c r="Z29" s="78"/>
      <c r="AA29" s="39">
        <v>371008150</v>
      </c>
      <c r="AB29" s="79" t="s">
        <v>122</v>
      </c>
      <c r="AC29" s="80" t="s">
        <v>78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66</v>
      </c>
      <c r="AK29" s="39" t="s">
        <v>9883</v>
      </c>
      <c r="AL29" s="39" t="s">
        <v>9888</v>
      </c>
      <c r="AM29" s="39" t="s">
        <v>9889</v>
      </c>
      <c r="AN29" s="39" t="s">
        <v>9890</v>
      </c>
      <c r="AO29" s="75">
        <f t="shared" si="2"/>
        <v>48</v>
      </c>
      <c r="AP29" s="39" t="s">
        <v>2538</v>
      </c>
      <c r="AQ29" s="75" t="s">
        <v>2538</v>
      </c>
    </row>
    <row r="30" spans="1:43" s="6" customFormat="1" ht="10" hidden="1">
      <c r="A30" s="74" t="s">
        <v>9892</v>
      </c>
      <c r="B30" s="56" t="s">
        <v>67</v>
      </c>
      <c r="C30" s="56" t="s">
        <v>63</v>
      </c>
      <c r="D30" s="56" t="s">
        <v>146</v>
      </c>
      <c r="E30" s="56"/>
      <c r="F30" s="56" t="s">
        <v>2533</v>
      </c>
      <c r="G30" s="39"/>
      <c r="H30" s="56"/>
      <c r="I30" s="82" t="s">
        <v>9816</v>
      </c>
      <c r="J30" s="56" t="s">
        <v>170</v>
      </c>
      <c r="K30" s="75">
        <v>552027</v>
      </c>
      <c r="L30" s="56" t="s">
        <v>9817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75</v>
      </c>
      <c r="S30" s="56"/>
      <c r="T30" s="56" t="s">
        <v>2525</v>
      </c>
      <c r="U30" s="56" t="s">
        <v>2525</v>
      </c>
      <c r="V30" s="56"/>
      <c r="W30" s="39" t="s">
        <v>9870</v>
      </c>
      <c r="X30" s="78">
        <v>45678</v>
      </c>
      <c r="Y30" s="78"/>
      <c r="Z30" s="78"/>
      <c r="AA30" s="75">
        <v>371008198</v>
      </c>
      <c r="AB30" s="79" t="s">
        <v>122</v>
      </c>
      <c r="AC30" s="80" t="s">
        <v>159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146</v>
      </c>
      <c r="AK30" s="39" t="s">
        <v>9893</v>
      </c>
      <c r="AL30" s="39" t="s">
        <v>9894</v>
      </c>
      <c r="AM30" s="39" t="s">
        <v>9895</v>
      </c>
      <c r="AN30" s="39" t="s">
        <v>9895</v>
      </c>
      <c r="AO30" s="75">
        <f t="shared" si="2"/>
        <v>79</v>
      </c>
      <c r="AP30" s="39" t="s">
        <v>2538</v>
      </c>
      <c r="AQ30" s="75" t="s">
        <v>2538</v>
      </c>
    </row>
    <row r="31" spans="1:43" s="6" customFormat="1" ht="10" hidden="1">
      <c r="A31" s="74" t="s">
        <v>9896</v>
      </c>
      <c r="B31" s="56" t="s">
        <v>67</v>
      </c>
      <c r="C31" s="56" t="s">
        <v>63</v>
      </c>
      <c r="D31" s="56" t="s">
        <v>9822</v>
      </c>
      <c r="E31" s="56"/>
      <c r="F31" s="56"/>
      <c r="G31" s="39"/>
      <c r="H31" s="56"/>
      <c r="I31" s="56" t="s">
        <v>9816</v>
      </c>
      <c r="J31" s="56" t="s">
        <v>550</v>
      </c>
      <c r="K31" s="75">
        <v>553118</v>
      </c>
      <c r="L31" s="56" t="s">
        <v>552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75</v>
      </c>
      <c r="S31" s="56"/>
      <c r="T31" s="56" t="s">
        <v>2525</v>
      </c>
      <c r="U31" s="56" t="s">
        <v>2525</v>
      </c>
      <c r="V31" s="56"/>
      <c r="W31" s="39" t="s">
        <v>9863</v>
      </c>
      <c r="X31" s="78">
        <v>45679</v>
      </c>
      <c r="Y31" s="78"/>
      <c r="Z31" s="78"/>
      <c r="AA31" s="39">
        <v>371008157</v>
      </c>
      <c r="AB31" s="79" t="s">
        <v>122</v>
      </c>
      <c r="AC31" s="80" t="s">
        <v>105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66</v>
      </c>
      <c r="AK31" s="39" t="s">
        <v>9897</v>
      </c>
      <c r="AL31" s="39" t="s">
        <v>9898</v>
      </c>
      <c r="AM31" s="39" t="s">
        <v>9899</v>
      </c>
      <c r="AN31" s="39" t="s">
        <v>9900</v>
      </c>
      <c r="AO31" s="75">
        <f t="shared" si="2"/>
        <v>60</v>
      </c>
      <c r="AP31" s="39" t="s">
        <v>2538</v>
      </c>
      <c r="AQ31" s="75" t="s">
        <v>2538</v>
      </c>
    </row>
    <row r="32" spans="1:43" s="6" customFormat="1" ht="10" hidden="1">
      <c r="A32" s="74" t="s">
        <v>9901</v>
      </c>
      <c r="B32" s="56" t="s">
        <v>67</v>
      </c>
      <c r="C32" s="56" t="s">
        <v>63</v>
      </c>
      <c r="D32" s="56" t="s">
        <v>9822</v>
      </c>
      <c r="E32" s="56"/>
      <c r="F32" s="56"/>
      <c r="G32" s="39"/>
      <c r="H32" s="56"/>
      <c r="I32" s="56" t="s">
        <v>9816</v>
      </c>
      <c r="J32" s="56" t="s">
        <v>550</v>
      </c>
      <c r="K32" s="75">
        <v>553120</v>
      </c>
      <c r="L32" s="56" t="s">
        <v>2745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75</v>
      </c>
      <c r="S32" s="56"/>
      <c r="T32" s="56" t="s">
        <v>2525</v>
      </c>
      <c r="U32" s="56" t="s">
        <v>2525</v>
      </c>
      <c r="V32" s="56"/>
      <c r="W32" s="39" t="s">
        <v>9857</v>
      </c>
      <c r="X32" s="78">
        <v>45682</v>
      </c>
      <c r="Y32" s="78"/>
      <c r="Z32" s="78"/>
      <c r="AA32" s="39">
        <v>371008183</v>
      </c>
      <c r="AB32" s="79" t="s">
        <v>122</v>
      </c>
      <c r="AC32" s="80" t="s">
        <v>356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66</v>
      </c>
      <c r="AK32" s="39" t="s">
        <v>9902</v>
      </c>
      <c r="AL32" s="39" t="s">
        <v>9903</v>
      </c>
      <c r="AM32" s="39" t="s">
        <v>9904</v>
      </c>
      <c r="AN32" s="39" t="s">
        <v>9904</v>
      </c>
      <c r="AO32" s="75">
        <f t="shared" si="2"/>
        <v>55</v>
      </c>
      <c r="AP32" s="39" t="s">
        <v>2538</v>
      </c>
      <c r="AQ32" s="75" t="s">
        <v>2538</v>
      </c>
    </row>
    <row r="33" spans="1:43" s="6" customFormat="1" ht="10" hidden="1">
      <c r="A33" s="74"/>
      <c r="B33" s="56" t="s">
        <v>67</v>
      </c>
      <c r="C33" s="56" t="s">
        <v>63</v>
      </c>
      <c r="D33" s="56" t="s">
        <v>9822</v>
      </c>
      <c r="E33" s="56"/>
      <c r="F33" s="56"/>
      <c r="G33" s="39"/>
      <c r="H33" s="56"/>
      <c r="I33" s="56" t="s">
        <v>9816</v>
      </c>
      <c r="J33" s="56" t="s">
        <v>473</v>
      </c>
      <c r="K33" s="75">
        <v>553145</v>
      </c>
      <c r="L33" s="56" t="s">
        <v>9905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75</v>
      </c>
      <c r="S33" s="56"/>
      <c r="T33" s="56" t="s">
        <v>2525</v>
      </c>
      <c r="U33" s="56" t="s">
        <v>2525</v>
      </c>
      <c r="V33" s="56"/>
      <c r="W33" s="39" t="s">
        <v>9906</v>
      </c>
      <c r="X33" s="78">
        <v>45682</v>
      </c>
      <c r="Y33" s="78"/>
      <c r="Z33" s="78"/>
      <c r="AA33" s="39">
        <v>371008214</v>
      </c>
      <c r="AB33" s="79" t="s">
        <v>122</v>
      </c>
      <c r="AC33" s="80" t="s">
        <v>356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66</v>
      </c>
      <c r="AK33" s="39" t="s">
        <v>9902</v>
      </c>
      <c r="AL33" s="39" t="s">
        <v>9903</v>
      </c>
      <c r="AM33" s="39" t="s">
        <v>9904</v>
      </c>
      <c r="AN33" s="39" t="s">
        <v>9904</v>
      </c>
      <c r="AO33" s="75">
        <f t="shared" si="2"/>
        <v>55</v>
      </c>
      <c r="AP33" s="39" t="s">
        <v>2538</v>
      </c>
      <c r="AQ33" s="75" t="s">
        <v>2538</v>
      </c>
    </row>
    <row r="34" spans="1:43" s="6" customFormat="1" ht="10" hidden="1">
      <c r="A34" s="74" t="s">
        <v>9907</v>
      </c>
      <c r="B34" s="56" t="s">
        <v>67</v>
      </c>
      <c r="C34" s="56" t="s">
        <v>63</v>
      </c>
      <c r="D34" s="56" t="s">
        <v>9822</v>
      </c>
      <c r="E34" s="56"/>
      <c r="F34" s="56"/>
      <c r="G34" s="39"/>
      <c r="H34" s="56"/>
      <c r="I34" s="56" t="s">
        <v>9816</v>
      </c>
      <c r="J34" s="56" t="s">
        <v>550</v>
      </c>
      <c r="K34" s="75">
        <v>553120</v>
      </c>
      <c r="L34" s="56" t="s">
        <v>2745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75</v>
      </c>
      <c r="S34" s="56"/>
      <c r="T34" s="56" t="s">
        <v>2525</v>
      </c>
      <c r="U34" s="56" t="s">
        <v>2525</v>
      </c>
      <c r="V34" s="56"/>
      <c r="W34" s="39" t="s">
        <v>9863</v>
      </c>
      <c r="X34" s="78">
        <v>45680</v>
      </c>
      <c r="Y34" s="78"/>
      <c r="Z34" s="78"/>
      <c r="AA34" s="39">
        <v>371008156</v>
      </c>
      <c r="AB34" s="79" t="s">
        <v>122</v>
      </c>
      <c r="AC34" s="80" t="s">
        <v>78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66</v>
      </c>
      <c r="AK34" s="39" t="s">
        <v>9908</v>
      </c>
      <c r="AL34" s="39" t="s">
        <v>9909</v>
      </c>
      <c r="AM34" s="39" t="s">
        <v>9910</v>
      </c>
      <c r="AN34" s="39" t="s">
        <v>9911</v>
      </c>
      <c r="AO34" s="75">
        <f t="shared" si="2"/>
        <v>49</v>
      </c>
      <c r="AP34" s="39" t="s">
        <v>2538</v>
      </c>
      <c r="AQ34" s="75" t="s">
        <v>2538</v>
      </c>
    </row>
    <row r="35" spans="1:43" s="6" customFormat="1" ht="10" hidden="1">
      <c r="A35" s="74" t="s">
        <v>9912</v>
      </c>
      <c r="B35" s="56" t="s">
        <v>67</v>
      </c>
      <c r="C35" s="56" t="s">
        <v>63</v>
      </c>
      <c r="D35" s="56" t="s">
        <v>9822</v>
      </c>
      <c r="E35" s="56"/>
      <c r="F35" s="56"/>
      <c r="G35" s="39"/>
      <c r="H35" s="56"/>
      <c r="I35" s="56" t="s">
        <v>9816</v>
      </c>
      <c r="J35" s="56" t="s">
        <v>550</v>
      </c>
      <c r="K35" s="75">
        <v>553120</v>
      </c>
      <c r="L35" s="56" t="s">
        <v>2745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75</v>
      </c>
      <c r="S35" s="56"/>
      <c r="T35" s="56" t="s">
        <v>2525</v>
      </c>
      <c r="U35" s="56" t="s">
        <v>2525</v>
      </c>
      <c r="V35" s="56"/>
      <c r="W35" s="39" t="s">
        <v>9857</v>
      </c>
      <c r="X35" s="78">
        <v>45680</v>
      </c>
      <c r="Y35" s="78"/>
      <c r="Z35" s="78"/>
      <c r="AA35" s="39">
        <v>371008182</v>
      </c>
      <c r="AB35" s="79" t="s">
        <v>122</v>
      </c>
      <c r="AC35" s="80" t="s">
        <v>78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66</v>
      </c>
      <c r="AK35" s="39" t="s">
        <v>9908</v>
      </c>
      <c r="AL35" s="39" t="s">
        <v>9909</v>
      </c>
      <c r="AM35" s="39" t="s">
        <v>9910</v>
      </c>
      <c r="AN35" s="39" t="s">
        <v>9911</v>
      </c>
      <c r="AO35" s="75">
        <f t="shared" si="2"/>
        <v>49</v>
      </c>
      <c r="AP35" s="39" t="s">
        <v>2538</v>
      </c>
      <c r="AQ35" s="75" t="s">
        <v>2538</v>
      </c>
    </row>
    <row r="36" spans="1:43" s="6" customFormat="1" ht="10" hidden="1">
      <c r="A36" s="74"/>
      <c r="B36" s="56" t="s">
        <v>67</v>
      </c>
      <c r="C36" s="56" t="s">
        <v>63</v>
      </c>
      <c r="D36" s="56" t="s">
        <v>9822</v>
      </c>
      <c r="E36" s="56"/>
      <c r="F36" s="56"/>
      <c r="G36" s="39"/>
      <c r="H36" s="56"/>
      <c r="I36" s="56" t="s">
        <v>9816</v>
      </c>
      <c r="J36" s="56" t="s">
        <v>473</v>
      </c>
      <c r="K36" s="75">
        <v>553145</v>
      </c>
      <c r="L36" s="56" t="s">
        <v>530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75</v>
      </c>
      <c r="S36" s="56"/>
      <c r="T36" s="56" t="s">
        <v>2525</v>
      </c>
      <c r="U36" s="56" t="s">
        <v>2525</v>
      </c>
      <c r="V36" s="56"/>
      <c r="W36" s="39" t="s">
        <v>9906</v>
      </c>
      <c r="X36" s="78">
        <v>45700</v>
      </c>
      <c r="Y36" s="78"/>
      <c r="Z36" s="78"/>
      <c r="AA36" s="39">
        <v>371008232</v>
      </c>
      <c r="AB36" s="79" t="s">
        <v>122</v>
      </c>
      <c r="AC36" s="80" t="s">
        <v>356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66</v>
      </c>
      <c r="AK36" s="39" t="s">
        <v>9913</v>
      </c>
      <c r="AL36" s="39" t="s">
        <v>9914</v>
      </c>
      <c r="AM36" s="39" t="s">
        <v>9915</v>
      </c>
      <c r="AN36" s="39" t="s">
        <v>9915</v>
      </c>
      <c r="AO36" s="75">
        <f t="shared" si="2"/>
        <v>43</v>
      </c>
      <c r="AP36" s="39" t="s">
        <v>2538</v>
      </c>
      <c r="AQ36" s="75" t="s">
        <v>2538</v>
      </c>
    </row>
    <row r="37" spans="1:43" s="6" customFormat="1" ht="10" hidden="1">
      <c r="A37" s="74"/>
      <c r="B37" s="56" t="s">
        <v>67</v>
      </c>
      <c r="C37" s="56" t="s">
        <v>63</v>
      </c>
      <c r="D37" s="56" t="s">
        <v>9822</v>
      </c>
      <c r="E37" s="56"/>
      <c r="F37" s="56"/>
      <c r="G37" s="39"/>
      <c r="H37" s="56"/>
      <c r="I37" s="56" t="s">
        <v>9816</v>
      </c>
      <c r="J37" s="56" t="s">
        <v>473</v>
      </c>
      <c r="K37" s="75">
        <v>553146</v>
      </c>
      <c r="L37" s="49" t="s">
        <v>764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75</v>
      </c>
      <c r="S37" s="56"/>
      <c r="T37" s="56" t="s">
        <v>2525</v>
      </c>
      <c r="U37" s="56" t="s">
        <v>2525</v>
      </c>
      <c r="V37" s="56"/>
      <c r="W37" s="39" t="s">
        <v>9906</v>
      </c>
      <c r="X37" s="78">
        <v>45700</v>
      </c>
      <c r="Y37" s="78"/>
      <c r="Z37" s="78"/>
      <c r="AA37" s="39">
        <v>371008232</v>
      </c>
      <c r="AB37" s="79" t="s">
        <v>122</v>
      </c>
      <c r="AC37" s="80" t="s">
        <v>356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66</v>
      </c>
      <c r="AK37" s="39" t="s">
        <v>9913</v>
      </c>
      <c r="AL37" s="39" t="s">
        <v>9914</v>
      </c>
      <c r="AM37" s="39" t="s">
        <v>9915</v>
      </c>
      <c r="AN37" s="39" t="s">
        <v>9915</v>
      </c>
      <c r="AO37" s="75">
        <f t="shared" si="2"/>
        <v>43</v>
      </c>
      <c r="AP37" s="39" t="s">
        <v>2538</v>
      </c>
      <c r="AQ37" s="75" t="s">
        <v>2538</v>
      </c>
    </row>
    <row r="38" spans="1:43" s="6" customFormat="1" ht="10" hidden="1">
      <c r="A38" s="74" t="s">
        <v>9916</v>
      </c>
      <c r="B38" s="56" t="s">
        <v>67</v>
      </c>
      <c r="C38" s="56" t="s">
        <v>63</v>
      </c>
      <c r="D38" s="56" t="s">
        <v>9822</v>
      </c>
      <c r="E38" s="56"/>
      <c r="F38" s="56"/>
      <c r="G38" s="39"/>
      <c r="H38" s="56"/>
      <c r="I38" s="56" t="s">
        <v>9816</v>
      </c>
      <c r="J38" s="56" t="s">
        <v>550</v>
      </c>
      <c r="K38" s="75">
        <v>553120</v>
      </c>
      <c r="L38" s="84" t="s">
        <v>2745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75</v>
      </c>
      <c r="S38" s="56"/>
      <c r="T38" s="56" t="s">
        <v>2525</v>
      </c>
      <c r="U38" s="56" t="s">
        <v>2525</v>
      </c>
      <c r="V38" s="56"/>
      <c r="W38" s="39" t="s">
        <v>9857</v>
      </c>
      <c r="X38" s="78">
        <v>45705</v>
      </c>
      <c r="Y38" s="78"/>
      <c r="Z38" s="78"/>
      <c r="AA38" s="39">
        <v>371008231</v>
      </c>
      <c r="AB38" s="79" t="s">
        <v>122</v>
      </c>
      <c r="AC38" s="80" t="s">
        <v>78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146</v>
      </c>
      <c r="AK38" s="39" t="s">
        <v>9917</v>
      </c>
      <c r="AL38" s="39" t="s">
        <v>9918</v>
      </c>
      <c r="AM38" s="39" t="s">
        <v>9919</v>
      </c>
      <c r="AN38" s="39" t="s">
        <v>9919</v>
      </c>
      <c r="AO38" s="75">
        <f t="shared" si="2"/>
        <v>66</v>
      </c>
      <c r="AP38" s="39" t="s">
        <v>9920</v>
      </c>
      <c r="AQ38" s="75" t="s">
        <v>2538</v>
      </c>
    </row>
    <row r="39" spans="1:43" s="6" customFormat="1" ht="10" hidden="1">
      <c r="A39" s="74" t="s">
        <v>9921</v>
      </c>
      <c r="B39" s="56" t="s">
        <v>67</v>
      </c>
      <c r="C39" s="56" t="s">
        <v>63</v>
      </c>
      <c r="D39" s="56" t="s">
        <v>9822</v>
      </c>
      <c r="E39" s="56"/>
      <c r="F39" s="56"/>
      <c r="G39" s="39"/>
      <c r="H39" s="56"/>
      <c r="I39" s="56" t="s">
        <v>9816</v>
      </c>
      <c r="J39" s="56" t="s">
        <v>550</v>
      </c>
      <c r="K39" s="75">
        <v>553120</v>
      </c>
      <c r="L39" s="56" t="s">
        <v>2745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75</v>
      </c>
      <c r="S39" s="56"/>
      <c r="T39" s="56" t="s">
        <v>2525</v>
      </c>
      <c r="U39" s="56" t="s">
        <v>2525</v>
      </c>
      <c r="V39" s="56"/>
      <c r="W39" s="39" t="s">
        <v>9857</v>
      </c>
      <c r="X39" s="78">
        <v>45705</v>
      </c>
      <c r="Y39" s="78"/>
      <c r="Z39" s="78"/>
      <c r="AA39" s="39">
        <v>371008231</v>
      </c>
      <c r="AB39" s="79" t="s">
        <v>122</v>
      </c>
      <c r="AC39" s="80" t="s">
        <v>78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146</v>
      </c>
      <c r="AK39" s="39" t="s">
        <v>9917</v>
      </c>
      <c r="AL39" s="39" t="s">
        <v>9922</v>
      </c>
      <c r="AM39" s="39" t="s">
        <v>9923</v>
      </c>
      <c r="AN39" s="39" t="s">
        <v>9923</v>
      </c>
      <c r="AO39" s="75">
        <f t="shared" si="2"/>
        <v>66</v>
      </c>
      <c r="AP39" s="39" t="s">
        <v>2538</v>
      </c>
      <c r="AQ39" s="75" t="s">
        <v>2538</v>
      </c>
    </row>
    <row r="40" spans="1:43" s="6" customFormat="1" ht="10" hidden="1">
      <c r="A40" s="74" t="s">
        <v>9924</v>
      </c>
      <c r="B40" s="56" t="s">
        <v>67</v>
      </c>
      <c r="C40" s="56" t="s">
        <v>63</v>
      </c>
      <c r="D40" s="56" t="s">
        <v>9822</v>
      </c>
      <c r="E40" s="56"/>
      <c r="F40" s="56"/>
      <c r="G40" s="39"/>
      <c r="H40" s="56"/>
      <c r="I40" s="56" t="s">
        <v>9816</v>
      </c>
      <c r="J40" s="56" t="s">
        <v>550</v>
      </c>
      <c r="K40" s="75">
        <v>553120</v>
      </c>
      <c r="L40" s="56" t="s">
        <v>2745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75</v>
      </c>
      <c r="S40" s="56"/>
      <c r="T40" s="56" t="s">
        <v>2525</v>
      </c>
      <c r="U40" s="56" t="s">
        <v>2525</v>
      </c>
      <c r="V40" s="56"/>
      <c r="W40" s="39" t="s">
        <v>9857</v>
      </c>
      <c r="X40" s="78">
        <v>45705</v>
      </c>
      <c r="Y40" s="78"/>
      <c r="Z40" s="78"/>
      <c r="AA40" s="39">
        <v>371008231</v>
      </c>
      <c r="AB40" s="79" t="s">
        <v>122</v>
      </c>
      <c r="AC40" s="80" t="s">
        <v>78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146</v>
      </c>
      <c r="AK40" s="39" t="s">
        <v>9917</v>
      </c>
      <c r="AL40" s="39" t="s">
        <v>9925</v>
      </c>
      <c r="AM40" s="39" t="s">
        <v>9926</v>
      </c>
      <c r="AN40" s="39" t="s">
        <v>9926</v>
      </c>
      <c r="AO40" s="75">
        <f t="shared" si="2"/>
        <v>66</v>
      </c>
      <c r="AP40" s="39" t="s">
        <v>2538</v>
      </c>
      <c r="AQ40" s="75" t="s">
        <v>2538</v>
      </c>
    </row>
    <row r="41" spans="1:43" s="6" customFormat="1" ht="10" hidden="1">
      <c r="A41" s="74" t="s">
        <v>9927</v>
      </c>
      <c r="B41" s="56" t="s">
        <v>67</v>
      </c>
      <c r="C41" s="56" t="s">
        <v>63</v>
      </c>
      <c r="D41" s="56" t="s">
        <v>9822</v>
      </c>
      <c r="E41" s="56"/>
      <c r="F41" s="56"/>
      <c r="G41" s="39"/>
      <c r="H41" s="56"/>
      <c r="I41" s="56" t="s">
        <v>9816</v>
      </c>
      <c r="J41" s="56" t="s">
        <v>550</v>
      </c>
      <c r="K41" s="75">
        <v>553120</v>
      </c>
      <c r="L41" s="56" t="s">
        <v>2745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75</v>
      </c>
      <c r="S41" s="56"/>
      <c r="T41" s="56" t="s">
        <v>2525</v>
      </c>
      <c r="U41" s="56" t="s">
        <v>2525</v>
      </c>
      <c r="V41" s="56"/>
      <c r="W41" s="39" t="s">
        <v>9857</v>
      </c>
      <c r="X41" s="78">
        <v>45705</v>
      </c>
      <c r="Y41" s="78"/>
      <c r="Z41" s="78"/>
      <c r="AA41" s="39">
        <v>371008233</v>
      </c>
      <c r="AB41" s="79" t="s">
        <v>122</v>
      </c>
      <c r="AC41" s="80" t="s">
        <v>78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66</v>
      </c>
      <c r="AK41" s="39" t="s">
        <v>9917</v>
      </c>
      <c r="AL41" s="39" t="s">
        <v>9928</v>
      </c>
      <c r="AM41" s="39" t="s">
        <v>9929</v>
      </c>
      <c r="AN41" s="39" t="s">
        <v>9929</v>
      </c>
      <c r="AO41" s="75">
        <f t="shared" si="2"/>
        <v>66</v>
      </c>
      <c r="AP41" s="39" t="s">
        <v>2538</v>
      </c>
      <c r="AQ41" s="75" t="s">
        <v>2538</v>
      </c>
    </row>
    <row r="42" spans="1:43" s="6" customFormat="1" ht="10" hidden="1">
      <c r="A42" s="74"/>
      <c r="B42" s="56" t="s">
        <v>67</v>
      </c>
      <c r="C42" s="56" t="s">
        <v>63</v>
      </c>
      <c r="D42" s="56" t="s">
        <v>9822</v>
      </c>
      <c r="E42" s="56"/>
      <c r="F42" s="56"/>
      <c r="G42" s="39"/>
      <c r="H42" s="56"/>
      <c r="I42" s="56" t="s">
        <v>9816</v>
      </c>
      <c r="J42" s="56" t="s">
        <v>473</v>
      </c>
      <c r="K42" s="75">
        <v>553145</v>
      </c>
      <c r="L42" s="56" t="s">
        <v>530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75</v>
      </c>
      <c r="S42" s="56"/>
      <c r="T42" s="56" t="s">
        <v>2525</v>
      </c>
      <c r="U42" s="56" t="s">
        <v>2525</v>
      </c>
      <c r="V42" s="56"/>
      <c r="W42" s="39" t="s">
        <v>9906</v>
      </c>
      <c r="X42" s="78">
        <v>45705</v>
      </c>
      <c r="Y42" s="78"/>
      <c r="Z42" s="78"/>
      <c r="AA42" s="39">
        <v>371008233</v>
      </c>
      <c r="AB42" s="79" t="s">
        <v>122</v>
      </c>
      <c r="AC42" s="80" t="s">
        <v>78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66</v>
      </c>
      <c r="AK42" s="39" t="s">
        <v>9917</v>
      </c>
      <c r="AL42" s="39" t="s">
        <v>9928</v>
      </c>
      <c r="AM42" s="39" t="s">
        <v>9929</v>
      </c>
      <c r="AN42" s="39" t="s">
        <v>9929</v>
      </c>
      <c r="AO42" s="75">
        <f t="shared" si="2"/>
        <v>66</v>
      </c>
      <c r="AP42" s="39" t="s">
        <v>2538</v>
      </c>
      <c r="AQ42" s="75" t="s">
        <v>2538</v>
      </c>
    </row>
    <row r="43" spans="1:43" s="6" customFormat="1" ht="10" hidden="1">
      <c r="A43" s="74"/>
      <c r="B43" s="56" t="s">
        <v>67</v>
      </c>
      <c r="C43" s="56" t="s">
        <v>63</v>
      </c>
      <c r="D43" s="56" t="s">
        <v>9822</v>
      </c>
      <c r="E43" s="56"/>
      <c r="F43" s="56"/>
      <c r="G43" s="39"/>
      <c r="H43" s="56"/>
      <c r="I43" s="56" t="s">
        <v>9816</v>
      </c>
      <c r="J43" s="56" t="s">
        <v>473</v>
      </c>
      <c r="K43" s="75">
        <v>553146</v>
      </c>
      <c r="L43" s="49" t="s">
        <v>764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75</v>
      </c>
      <c r="S43" s="56"/>
      <c r="T43" s="56" t="s">
        <v>2525</v>
      </c>
      <c r="U43" s="56" t="s">
        <v>2525</v>
      </c>
      <c r="V43" s="56"/>
      <c r="W43" s="36" t="s">
        <v>9906</v>
      </c>
      <c r="X43" s="89">
        <v>45709</v>
      </c>
      <c r="Y43" s="89"/>
      <c r="Z43" s="89"/>
      <c r="AA43" s="36">
        <v>371008264</v>
      </c>
      <c r="AB43" s="79" t="s">
        <v>122</v>
      </c>
      <c r="AC43" s="80" t="s">
        <v>356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66</v>
      </c>
      <c r="AK43" s="39" t="s">
        <v>9930</v>
      </c>
      <c r="AL43" s="39" t="s">
        <v>9931</v>
      </c>
      <c r="AM43" s="39" t="s">
        <v>9932</v>
      </c>
      <c r="AN43" s="39" t="s">
        <v>9933</v>
      </c>
      <c r="AO43" s="75">
        <f t="shared" si="2"/>
        <v>41</v>
      </c>
      <c r="AP43" s="39" t="s">
        <v>2538</v>
      </c>
      <c r="AQ43" s="75" t="s">
        <v>2538</v>
      </c>
    </row>
    <row r="44" spans="1:43" s="6" customFormat="1" ht="10" hidden="1">
      <c r="A44" s="74"/>
      <c r="B44" s="56" t="s">
        <v>67</v>
      </c>
      <c r="C44" s="56" t="s">
        <v>63</v>
      </c>
      <c r="D44" s="56" t="s">
        <v>9822</v>
      </c>
      <c r="E44" s="56"/>
      <c r="F44" s="56"/>
      <c r="G44" s="39"/>
      <c r="H44" s="56"/>
      <c r="I44" s="56" t="s">
        <v>9816</v>
      </c>
      <c r="J44" s="56" t="s">
        <v>473</v>
      </c>
      <c r="K44" s="75">
        <v>553146</v>
      </c>
      <c r="L44" s="49" t="s">
        <v>764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75</v>
      </c>
      <c r="S44" s="56"/>
      <c r="T44" s="56" t="s">
        <v>2525</v>
      </c>
      <c r="U44" s="56" t="s">
        <v>2525</v>
      </c>
      <c r="V44" s="56"/>
      <c r="W44" s="39" t="s">
        <v>9906</v>
      </c>
      <c r="X44" s="78">
        <v>45711</v>
      </c>
      <c r="Y44" s="78"/>
      <c r="Z44" s="78"/>
      <c r="AA44" s="39">
        <v>371008264</v>
      </c>
      <c r="AB44" s="79" t="s">
        <v>122</v>
      </c>
      <c r="AC44" s="80" t="s">
        <v>78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66</v>
      </c>
      <c r="AK44" s="39" t="s">
        <v>9934</v>
      </c>
      <c r="AL44" s="39" t="s">
        <v>9935</v>
      </c>
      <c r="AM44" s="39" t="s">
        <v>9936</v>
      </c>
      <c r="AN44" s="39" t="s">
        <v>9936</v>
      </c>
      <c r="AO44" s="86">
        <f t="shared" si="2"/>
        <v>74</v>
      </c>
      <c r="AP44" s="18" t="s">
        <v>2538</v>
      </c>
      <c r="AQ44" s="91" t="s">
        <v>2538</v>
      </c>
    </row>
    <row r="45" spans="1:43" s="6" customFormat="1" ht="10" hidden="1">
      <c r="A45" s="74"/>
      <c r="B45" s="56" t="s">
        <v>67</v>
      </c>
      <c r="C45" s="56" t="s">
        <v>63</v>
      </c>
      <c r="D45" s="56" t="s">
        <v>9822</v>
      </c>
      <c r="E45" s="56"/>
      <c r="F45" s="56"/>
      <c r="G45" s="39"/>
      <c r="H45" s="56"/>
      <c r="I45" s="56" t="s">
        <v>9816</v>
      </c>
      <c r="J45" s="56" t="s">
        <v>473</v>
      </c>
      <c r="K45" s="75">
        <v>553146</v>
      </c>
      <c r="L45" s="49" t="s">
        <v>764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75</v>
      </c>
      <c r="S45" s="56"/>
      <c r="T45" s="56" t="s">
        <v>2525</v>
      </c>
      <c r="U45" s="56" t="s">
        <v>2525</v>
      </c>
      <c r="V45" s="56"/>
      <c r="W45" s="39" t="s">
        <v>9906</v>
      </c>
      <c r="X45" s="78">
        <v>45716</v>
      </c>
      <c r="Y45" s="78"/>
      <c r="Z45" s="78"/>
      <c r="AA45" s="39">
        <v>371008265</v>
      </c>
      <c r="AB45" s="79" t="s">
        <v>122</v>
      </c>
      <c r="AC45" s="80" t="s">
        <v>356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66</v>
      </c>
      <c r="AK45" s="39" t="s">
        <v>9937</v>
      </c>
      <c r="AL45" s="39" t="s">
        <v>9938</v>
      </c>
      <c r="AM45" s="39" t="s">
        <v>9939</v>
      </c>
      <c r="AN45" s="39" t="s">
        <v>9940</v>
      </c>
      <c r="AO45" s="75">
        <f t="shared" si="2"/>
        <v>40</v>
      </c>
      <c r="AP45" s="39" t="s">
        <v>2538</v>
      </c>
      <c r="AQ45" s="75" t="s">
        <v>2538</v>
      </c>
    </row>
    <row r="46" spans="1:43" s="6" customFormat="1" ht="10" hidden="1">
      <c r="A46" s="74"/>
      <c r="B46" s="56" t="s">
        <v>67</v>
      </c>
      <c r="C46" s="56" t="s">
        <v>63</v>
      </c>
      <c r="D46" s="56" t="s">
        <v>9822</v>
      </c>
      <c r="E46" s="56"/>
      <c r="F46" s="56"/>
      <c r="G46" s="39"/>
      <c r="H46" s="56"/>
      <c r="I46" s="56" t="s">
        <v>9816</v>
      </c>
      <c r="J46" s="56" t="s">
        <v>473</v>
      </c>
      <c r="K46" s="75">
        <v>553146</v>
      </c>
      <c r="L46" s="49" t="s">
        <v>764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75</v>
      </c>
      <c r="S46" s="56"/>
      <c r="T46" s="56" t="s">
        <v>2525</v>
      </c>
      <c r="U46" s="56" t="s">
        <v>2525</v>
      </c>
      <c r="V46" s="56"/>
      <c r="W46" s="39" t="s">
        <v>9906</v>
      </c>
      <c r="X46" s="78">
        <v>45717</v>
      </c>
      <c r="Y46" s="78"/>
      <c r="Z46" s="78"/>
      <c r="AA46" s="39">
        <v>371008266</v>
      </c>
      <c r="AB46" s="79" t="s">
        <v>122</v>
      </c>
      <c r="AC46" s="80" t="s">
        <v>78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66</v>
      </c>
      <c r="AK46" s="39" t="s">
        <v>9941</v>
      </c>
      <c r="AL46" s="39" t="s">
        <v>9942</v>
      </c>
      <c r="AM46" s="39" t="s">
        <v>9943</v>
      </c>
      <c r="AN46" s="39" t="s">
        <v>9944</v>
      </c>
      <c r="AO46" s="75">
        <f t="shared" si="2"/>
        <v>48</v>
      </c>
      <c r="AP46" s="39" t="s">
        <v>2538</v>
      </c>
      <c r="AQ46" s="75" t="s">
        <v>2538</v>
      </c>
    </row>
    <row r="47" spans="1:43" s="6" customFormat="1" ht="10" hidden="1">
      <c r="A47" s="74"/>
      <c r="B47" s="56" t="s">
        <v>67</v>
      </c>
      <c r="C47" s="56" t="s">
        <v>63</v>
      </c>
      <c r="D47" s="56" t="s">
        <v>9822</v>
      </c>
      <c r="E47" s="56"/>
      <c r="F47" s="56"/>
      <c r="G47" s="39"/>
      <c r="H47" s="56"/>
      <c r="I47" s="56" t="s">
        <v>9816</v>
      </c>
      <c r="J47" s="56" t="s">
        <v>473</v>
      </c>
      <c r="K47" s="75">
        <v>553146</v>
      </c>
      <c r="L47" s="49" t="s">
        <v>764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75</v>
      </c>
      <c r="S47" s="56"/>
      <c r="T47" s="56" t="s">
        <v>2525</v>
      </c>
      <c r="U47" s="56" t="s">
        <v>2525</v>
      </c>
      <c r="V47" s="56"/>
      <c r="W47" s="39" t="s">
        <v>9906</v>
      </c>
      <c r="X47" s="78">
        <v>45723</v>
      </c>
      <c r="Y47" s="78"/>
      <c r="Z47" s="78"/>
      <c r="AA47" s="39">
        <v>371008286</v>
      </c>
      <c r="AB47" s="79" t="s">
        <v>122</v>
      </c>
      <c r="AC47" s="80" t="s">
        <v>356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66</v>
      </c>
      <c r="AK47" s="39" t="s">
        <v>9945</v>
      </c>
      <c r="AL47" s="39" t="s">
        <v>9946</v>
      </c>
      <c r="AM47" s="39" t="s">
        <v>9947</v>
      </c>
      <c r="AN47" s="39" t="s">
        <v>9948</v>
      </c>
      <c r="AO47" s="75">
        <f t="shared" si="2"/>
        <v>41</v>
      </c>
      <c r="AP47" s="39" t="s">
        <v>2538</v>
      </c>
      <c r="AQ47" s="75" t="s">
        <v>2538</v>
      </c>
    </row>
    <row r="48" spans="1:43" s="6" customFormat="1" ht="10.5" hidden="1">
      <c r="A48" s="74" t="s">
        <v>9949</v>
      </c>
      <c r="B48" s="56" t="s">
        <v>67</v>
      </c>
      <c r="C48" s="56" t="s">
        <v>63</v>
      </c>
      <c r="D48" s="56" t="s">
        <v>9822</v>
      </c>
      <c r="E48" s="56"/>
      <c r="F48" s="56"/>
      <c r="G48" s="39"/>
      <c r="H48" s="56"/>
      <c r="I48" s="56" t="s">
        <v>9816</v>
      </c>
      <c r="J48" s="56" t="s">
        <v>550</v>
      </c>
      <c r="K48" s="75">
        <v>553120</v>
      </c>
      <c r="L48" s="84" t="s">
        <v>2745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75</v>
      </c>
      <c r="S48" s="56"/>
      <c r="T48" s="56" t="s">
        <v>2525</v>
      </c>
      <c r="U48" s="56" t="s">
        <v>2525</v>
      </c>
      <c r="V48" s="56"/>
      <c r="W48" s="39" t="s">
        <v>9857</v>
      </c>
      <c r="X48" s="90">
        <v>45728</v>
      </c>
      <c r="Y48" s="90"/>
      <c r="Z48" s="90"/>
      <c r="AA48" s="18">
        <v>371008231</v>
      </c>
      <c r="AB48" s="79" t="s">
        <v>122</v>
      </c>
      <c r="AC48" s="94" t="s">
        <v>78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146</v>
      </c>
      <c r="AK48" s="39" t="s">
        <v>9950</v>
      </c>
      <c r="AL48" s="39" t="s">
        <v>9951</v>
      </c>
      <c r="AM48" s="39" t="s">
        <v>9952</v>
      </c>
      <c r="AN48" s="39" t="s">
        <v>9953</v>
      </c>
      <c r="AO48" s="75">
        <f t="shared" si="2"/>
        <v>78</v>
      </c>
      <c r="AP48" s="18" t="s">
        <v>2538</v>
      </c>
      <c r="AQ48" s="91" t="s">
        <v>2538</v>
      </c>
    </row>
    <row r="49" spans="1:43" s="6" customFormat="1" ht="10" hidden="1">
      <c r="A49" s="74"/>
      <c r="B49" s="56" t="s">
        <v>67</v>
      </c>
      <c r="C49" s="56" t="s">
        <v>63</v>
      </c>
      <c r="D49" s="56" t="s">
        <v>9822</v>
      </c>
      <c r="E49" s="56"/>
      <c r="F49" s="56"/>
      <c r="G49" s="39"/>
      <c r="H49" s="56"/>
      <c r="I49" s="56" t="s">
        <v>9816</v>
      </c>
      <c r="J49" s="56" t="s">
        <v>473</v>
      </c>
      <c r="K49" s="75">
        <v>553146</v>
      </c>
      <c r="L49" s="49" t="s">
        <v>764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75</v>
      </c>
      <c r="S49" s="56"/>
      <c r="T49" s="56" t="s">
        <v>2525</v>
      </c>
      <c r="U49" s="56" t="s">
        <v>2525</v>
      </c>
      <c r="V49" s="56"/>
      <c r="W49" s="18" t="s">
        <v>9906</v>
      </c>
      <c r="X49" s="90">
        <v>45728</v>
      </c>
      <c r="Y49" s="90"/>
      <c r="Z49" s="90"/>
      <c r="AA49" s="18">
        <v>371008293</v>
      </c>
      <c r="AB49" s="79" t="s">
        <v>122</v>
      </c>
      <c r="AC49" s="94" t="s">
        <v>78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66</v>
      </c>
      <c r="AK49" s="39" t="s">
        <v>9950</v>
      </c>
      <c r="AL49" s="39" t="s">
        <v>9954</v>
      </c>
      <c r="AM49" s="39" t="s">
        <v>9955</v>
      </c>
      <c r="AN49" s="39" t="s">
        <v>9956</v>
      </c>
      <c r="AO49" s="75">
        <f t="shared" si="2"/>
        <v>78</v>
      </c>
      <c r="AP49" s="18" t="s">
        <v>2538</v>
      </c>
      <c r="AQ49" s="91" t="s">
        <v>2538</v>
      </c>
    </row>
    <row r="50" spans="1:43" s="6" customFormat="1" ht="10" hidden="1">
      <c r="A50" s="74"/>
      <c r="B50" s="56" t="s">
        <v>67</v>
      </c>
      <c r="C50" s="56" t="s">
        <v>63</v>
      </c>
      <c r="D50" s="56" t="s">
        <v>9822</v>
      </c>
      <c r="E50" s="56"/>
      <c r="F50" s="56"/>
      <c r="G50" s="39"/>
      <c r="H50" s="56"/>
      <c r="I50" s="56" t="s">
        <v>9816</v>
      </c>
      <c r="J50" s="56" t="s">
        <v>473</v>
      </c>
      <c r="K50" s="75">
        <v>553146</v>
      </c>
      <c r="L50" s="49" t="s">
        <v>764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75</v>
      </c>
      <c r="S50" s="56"/>
      <c r="T50" s="56" t="s">
        <v>2525</v>
      </c>
      <c r="U50" s="56" t="s">
        <v>2525</v>
      </c>
      <c r="V50" s="56"/>
      <c r="W50" s="39" t="s">
        <v>9906</v>
      </c>
      <c r="X50" s="78">
        <v>45730</v>
      </c>
      <c r="Y50" s="78"/>
      <c r="Z50" s="78"/>
      <c r="AA50" s="39">
        <v>371008288</v>
      </c>
      <c r="AB50" s="79" t="s">
        <v>122</v>
      </c>
      <c r="AC50" s="80" t="s">
        <v>356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66</v>
      </c>
      <c r="AK50" s="39" t="s">
        <v>9957</v>
      </c>
      <c r="AL50" s="39" t="s">
        <v>9958</v>
      </c>
      <c r="AM50" s="39" t="s">
        <v>9959</v>
      </c>
      <c r="AN50" s="39" t="s">
        <v>9960</v>
      </c>
      <c r="AO50" s="75">
        <f t="shared" si="2"/>
        <v>42</v>
      </c>
      <c r="AP50" s="18" t="s">
        <v>2538</v>
      </c>
      <c r="AQ50" s="91" t="s">
        <v>2538</v>
      </c>
    </row>
    <row r="51" spans="1:43" s="6" customFormat="1" ht="10" hidden="1">
      <c r="A51" s="74"/>
      <c r="B51" s="56" t="s">
        <v>67</v>
      </c>
      <c r="C51" s="56" t="s">
        <v>63</v>
      </c>
      <c r="D51" s="56" t="s">
        <v>9822</v>
      </c>
      <c r="E51" s="56"/>
      <c r="F51" s="56"/>
      <c r="G51" s="39"/>
      <c r="H51" s="56"/>
      <c r="I51" s="56" t="s">
        <v>9816</v>
      </c>
      <c r="J51" s="56" t="s">
        <v>473</v>
      </c>
      <c r="K51" s="75">
        <v>553145</v>
      </c>
      <c r="L51" s="84" t="s">
        <v>530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75</v>
      </c>
      <c r="S51" s="56"/>
      <c r="T51" s="56" t="s">
        <v>2525</v>
      </c>
      <c r="U51" s="56" t="s">
        <v>2525</v>
      </c>
      <c r="V51" s="56"/>
      <c r="W51" s="39" t="s">
        <v>9906</v>
      </c>
      <c r="X51" s="78">
        <v>45730</v>
      </c>
      <c r="Y51" s="78"/>
      <c r="Z51" s="78"/>
      <c r="AA51" s="39">
        <v>371008294</v>
      </c>
      <c r="AB51" s="79" t="s">
        <v>122</v>
      </c>
      <c r="AC51" s="80" t="s">
        <v>356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66</v>
      </c>
      <c r="AK51" s="39" t="s">
        <v>9957</v>
      </c>
      <c r="AL51" s="39" t="s">
        <v>9958</v>
      </c>
      <c r="AM51" s="39" t="s">
        <v>9959</v>
      </c>
      <c r="AN51" s="39" t="s">
        <v>9960</v>
      </c>
      <c r="AO51" s="75">
        <f t="shared" si="2"/>
        <v>42</v>
      </c>
      <c r="AP51" s="18" t="s">
        <v>2538</v>
      </c>
      <c r="AQ51" s="91" t="s">
        <v>2538</v>
      </c>
    </row>
    <row r="52" spans="1:43" s="6" customFormat="1" ht="10" hidden="1">
      <c r="A52" s="74"/>
      <c r="B52" s="56" t="s">
        <v>67</v>
      </c>
      <c r="C52" s="56" t="s">
        <v>63</v>
      </c>
      <c r="D52" s="56" t="s">
        <v>9822</v>
      </c>
      <c r="E52" s="56"/>
      <c r="F52" s="56"/>
      <c r="G52" s="39"/>
      <c r="H52" s="56"/>
      <c r="I52" s="56" t="s">
        <v>9816</v>
      </c>
      <c r="J52" s="56" t="s">
        <v>473</v>
      </c>
      <c r="K52" s="75">
        <v>553146</v>
      </c>
      <c r="L52" s="49" t="s">
        <v>764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75</v>
      </c>
      <c r="S52" s="56"/>
      <c r="T52" s="56" t="s">
        <v>2525</v>
      </c>
      <c r="U52" s="56" t="s">
        <v>2525</v>
      </c>
      <c r="V52" s="56"/>
      <c r="W52" s="39" t="s">
        <v>9906</v>
      </c>
      <c r="X52" s="78">
        <v>45731</v>
      </c>
      <c r="Y52" s="78"/>
      <c r="Z52" s="78"/>
      <c r="AA52" s="39">
        <v>371008287</v>
      </c>
      <c r="AB52" s="79" t="s">
        <v>122</v>
      </c>
      <c r="AC52" s="80" t="s">
        <v>78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66</v>
      </c>
      <c r="AK52" s="39" t="s">
        <v>9961</v>
      </c>
      <c r="AL52" s="39" t="s">
        <v>9962</v>
      </c>
      <c r="AM52" s="39" t="s">
        <v>9963</v>
      </c>
      <c r="AN52" s="39" t="s">
        <v>9964</v>
      </c>
      <c r="AO52" s="86">
        <f t="shared" si="2"/>
        <v>49</v>
      </c>
      <c r="AP52" s="18" t="s">
        <v>2538</v>
      </c>
      <c r="AQ52" s="91" t="s">
        <v>2538</v>
      </c>
    </row>
    <row r="53" spans="1:43" s="6" customFormat="1" ht="10.5" hidden="1">
      <c r="A53" s="74" t="s">
        <v>9965</v>
      </c>
      <c r="B53" s="56" t="s">
        <v>67</v>
      </c>
      <c r="C53" s="56" t="s">
        <v>63</v>
      </c>
      <c r="D53" s="56" t="s">
        <v>9822</v>
      </c>
      <c r="E53" s="56"/>
      <c r="F53" s="56"/>
      <c r="G53" s="39"/>
      <c r="H53" s="56"/>
      <c r="I53" s="56" t="s">
        <v>9816</v>
      </c>
      <c r="J53" s="56" t="s">
        <v>550</v>
      </c>
      <c r="K53" s="75">
        <v>553120</v>
      </c>
      <c r="L53" s="84" t="s">
        <v>2745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75</v>
      </c>
      <c r="S53" s="56"/>
      <c r="T53" s="56" t="s">
        <v>2525</v>
      </c>
      <c r="U53" s="56" t="s">
        <v>2525</v>
      </c>
      <c r="V53" s="56"/>
      <c r="W53" s="39" t="s">
        <v>9966</v>
      </c>
      <c r="X53" s="78">
        <v>45731</v>
      </c>
      <c r="Y53" s="78"/>
      <c r="Z53" s="78"/>
      <c r="AA53" s="39">
        <v>371008324</v>
      </c>
      <c r="AB53" s="79" t="s">
        <v>122</v>
      </c>
      <c r="AC53" s="80" t="s">
        <v>78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146</v>
      </c>
      <c r="AK53" s="39" t="s">
        <v>9961</v>
      </c>
      <c r="AL53" s="39" t="s">
        <v>9967</v>
      </c>
      <c r="AM53" s="39" t="s">
        <v>9968</v>
      </c>
      <c r="AN53" s="39" t="s">
        <v>9969</v>
      </c>
      <c r="AO53" s="75">
        <f t="shared" si="2"/>
        <v>49</v>
      </c>
      <c r="AP53" s="18" t="s">
        <v>2538</v>
      </c>
      <c r="AQ53" s="91" t="s">
        <v>2538</v>
      </c>
    </row>
    <row r="54" spans="1:43" s="6" customFormat="1" ht="10" hidden="1">
      <c r="A54" s="74" t="s">
        <v>9970</v>
      </c>
      <c r="B54" s="56" t="s">
        <v>67</v>
      </c>
      <c r="C54" s="56" t="s">
        <v>63</v>
      </c>
      <c r="D54" s="56" t="s">
        <v>9822</v>
      </c>
      <c r="E54" s="56"/>
      <c r="F54" s="56"/>
      <c r="G54" s="39"/>
      <c r="H54" s="56"/>
      <c r="I54" s="56" t="s">
        <v>9816</v>
      </c>
      <c r="J54" s="56" t="s">
        <v>473</v>
      </c>
      <c r="K54" s="75">
        <v>553146</v>
      </c>
      <c r="L54" s="49" t="s">
        <v>764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75</v>
      </c>
      <c r="S54" s="56"/>
      <c r="T54" s="56" t="s">
        <v>2525</v>
      </c>
      <c r="U54" s="56" t="s">
        <v>2525</v>
      </c>
      <c r="V54" s="56"/>
      <c r="W54" s="39" t="s">
        <v>9971</v>
      </c>
      <c r="X54" s="78">
        <v>45731</v>
      </c>
      <c r="Y54" s="78"/>
      <c r="Z54" s="78"/>
      <c r="AA54" s="39">
        <v>371008342</v>
      </c>
      <c r="AB54" s="79" t="s">
        <v>122</v>
      </c>
      <c r="AC54" s="80" t="s">
        <v>105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66</v>
      </c>
      <c r="AK54" s="39" t="s">
        <v>9972</v>
      </c>
      <c r="AL54" s="39" t="s">
        <v>9973</v>
      </c>
      <c r="AM54" s="39" t="s">
        <v>9974</v>
      </c>
      <c r="AN54" s="39">
        <v>250480762</v>
      </c>
      <c r="AO54" s="75">
        <f t="shared" si="2"/>
        <v>40</v>
      </c>
      <c r="AP54" s="39" t="s">
        <v>2538</v>
      </c>
      <c r="AQ54" s="75" t="s">
        <v>2538</v>
      </c>
    </row>
    <row r="55" spans="1:43" s="6" customFormat="1" ht="10.5" hidden="1" customHeight="1">
      <c r="A55" s="74" t="s">
        <v>9975</v>
      </c>
      <c r="B55" s="56" t="s">
        <v>67</v>
      </c>
      <c r="C55" s="56" t="s">
        <v>63</v>
      </c>
      <c r="D55" s="56" t="s">
        <v>9822</v>
      </c>
      <c r="E55" s="56"/>
      <c r="F55" s="56"/>
      <c r="G55" s="39"/>
      <c r="H55" s="56"/>
      <c r="I55" s="56" t="s">
        <v>9816</v>
      </c>
      <c r="J55" s="56" t="s">
        <v>473</v>
      </c>
      <c r="K55" s="75">
        <v>553145</v>
      </c>
      <c r="L55" s="84" t="s">
        <v>530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75</v>
      </c>
      <c r="S55" s="56"/>
      <c r="T55" s="56" t="s">
        <v>2525</v>
      </c>
      <c r="U55" s="56" t="s">
        <v>2525</v>
      </c>
      <c r="V55" s="56"/>
      <c r="W55" s="39" t="s">
        <v>9971</v>
      </c>
      <c r="X55" s="78">
        <v>45731</v>
      </c>
      <c r="Y55" s="78"/>
      <c r="Z55" s="78"/>
      <c r="AA55" s="39">
        <v>371008353</v>
      </c>
      <c r="AB55" s="79" t="s">
        <v>122</v>
      </c>
      <c r="AC55" s="80" t="s">
        <v>105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66</v>
      </c>
      <c r="AK55" s="39" t="s">
        <v>9972</v>
      </c>
      <c r="AL55" s="39" t="s">
        <v>9973</v>
      </c>
      <c r="AM55" s="39" t="s">
        <v>9974</v>
      </c>
      <c r="AN55" s="39">
        <v>250480762</v>
      </c>
      <c r="AO55" s="75">
        <f t="shared" si="2"/>
        <v>40</v>
      </c>
      <c r="AP55" s="39" t="s">
        <v>2538</v>
      </c>
      <c r="AQ55" s="75" t="s">
        <v>2538</v>
      </c>
    </row>
    <row r="56" spans="1:43" s="101" customFormat="1" ht="10" hidden="1">
      <c r="A56" s="97" t="s">
        <v>9976</v>
      </c>
      <c r="B56" s="98" t="s">
        <v>67</v>
      </c>
      <c r="C56" s="98" t="s">
        <v>63</v>
      </c>
      <c r="D56" s="98" t="s">
        <v>9822</v>
      </c>
      <c r="E56" s="98"/>
      <c r="F56" s="99"/>
      <c r="G56" s="36"/>
      <c r="H56" s="99"/>
      <c r="I56" s="56" t="s">
        <v>9816</v>
      </c>
      <c r="J56" s="98" t="s">
        <v>170</v>
      </c>
      <c r="K56" s="100">
        <v>552045</v>
      </c>
      <c r="L56" s="56" t="s">
        <v>172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75</v>
      </c>
      <c r="S56" s="99"/>
      <c r="T56" s="56" t="s">
        <v>2525</v>
      </c>
      <c r="U56" s="56" t="s">
        <v>2525</v>
      </c>
      <c r="V56" s="56"/>
      <c r="W56" s="39" t="s">
        <v>9971</v>
      </c>
      <c r="X56" s="78">
        <v>45735</v>
      </c>
      <c r="Y56" s="78"/>
      <c r="Z56" s="78"/>
      <c r="AA56" s="39">
        <v>371008338</v>
      </c>
      <c r="AB56" s="79" t="s">
        <v>122</v>
      </c>
      <c r="AC56" s="80" t="s">
        <v>356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66</v>
      </c>
      <c r="AK56" s="36" t="s">
        <v>9977</v>
      </c>
      <c r="AL56" s="36" t="s">
        <v>9978</v>
      </c>
      <c r="AM56" s="36" t="s">
        <v>9979</v>
      </c>
      <c r="AN56" s="36" t="s">
        <v>9980</v>
      </c>
      <c r="AO56" s="86">
        <f t="shared" si="2"/>
        <v>41</v>
      </c>
      <c r="AP56" s="18" t="s">
        <v>2538</v>
      </c>
      <c r="AQ56" s="91" t="s">
        <v>2538</v>
      </c>
    </row>
    <row r="57" spans="1:43" s="6" customFormat="1" ht="10" hidden="1">
      <c r="A57" s="74" t="s">
        <v>9981</v>
      </c>
      <c r="B57" s="56" t="s">
        <v>67</v>
      </c>
      <c r="C57" s="56" t="s">
        <v>63</v>
      </c>
      <c r="D57" s="56" t="s">
        <v>9822</v>
      </c>
      <c r="E57" s="56"/>
      <c r="F57" s="56"/>
      <c r="G57" s="39"/>
      <c r="H57" s="56"/>
      <c r="I57" s="56" t="s">
        <v>9816</v>
      </c>
      <c r="J57" s="56" t="s">
        <v>550</v>
      </c>
      <c r="K57" s="75">
        <v>553120</v>
      </c>
      <c r="L57" s="56" t="s">
        <v>2745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75</v>
      </c>
      <c r="S57" s="56"/>
      <c r="T57" s="56" t="s">
        <v>2525</v>
      </c>
      <c r="U57" s="56" t="s">
        <v>2525</v>
      </c>
      <c r="V57" s="56"/>
      <c r="W57" s="39" t="s">
        <v>9966</v>
      </c>
      <c r="X57" s="78">
        <v>45741</v>
      </c>
      <c r="Y57" s="78"/>
      <c r="Z57" s="78"/>
      <c r="AA57" s="39">
        <v>371008328</v>
      </c>
      <c r="AB57" s="79" t="s">
        <v>122</v>
      </c>
      <c r="AC57" s="80" t="s">
        <v>356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66</v>
      </c>
      <c r="AK57" s="39" t="s">
        <v>9982</v>
      </c>
      <c r="AL57" s="39" t="s">
        <v>9983</v>
      </c>
      <c r="AM57" s="39" t="s">
        <v>9984</v>
      </c>
      <c r="AN57" s="39" t="s">
        <v>9985</v>
      </c>
      <c r="AO57" s="86">
        <f t="shared" si="2"/>
        <v>44</v>
      </c>
      <c r="AP57" s="18" t="s">
        <v>2538</v>
      </c>
      <c r="AQ57" s="91" t="s">
        <v>2538</v>
      </c>
    </row>
    <row r="58" spans="1:43" s="6" customFormat="1" ht="10" hidden="1">
      <c r="A58" s="74" t="s">
        <v>9986</v>
      </c>
      <c r="B58" s="56" t="s">
        <v>67</v>
      </c>
      <c r="C58" s="56" t="s">
        <v>63</v>
      </c>
      <c r="D58" s="56" t="s">
        <v>9822</v>
      </c>
      <c r="E58" s="56"/>
      <c r="F58" s="56"/>
      <c r="G58" s="39"/>
      <c r="H58" s="56"/>
      <c r="I58" s="56" t="s">
        <v>9816</v>
      </c>
      <c r="J58" s="56" t="s">
        <v>170</v>
      </c>
      <c r="K58" s="75">
        <v>552026</v>
      </c>
      <c r="L58" s="56" t="s">
        <v>463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75</v>
      </c>
      <c r="S58" s="56"/>
      <c r="T58" s="56" t="s">
        <v>2525</v>
      </c>
      <c r="U58" s="56" t="s">
        <v>2525</v>
      </c>
      <c r="V58" s="56"/>
      <c r="W58" s="39" t="s">
        <v>9971</v>
      </c>
      <c r="X58" s="78">
        <v>45741</v>
      </c>
      <c r="Y58" s="78"/>
      <c r="Z58" s="78"/>
      <c r="AA58" s="39">
        <v>371008335</v>
      </c>
      <c r="AB58" s="79" t="s">
        <v>122</v>
      </c>
      <c r="AC58" s="80" t="s">
        <v>356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66</v>
      </c>
      <c r="AK58" s="39" t="s">
        <v>9982</v>
      </c>
      <c r="AL58" s="39" t="s">
        <v>9983</v>
      </c>
      <c r="AM58" s="39" t="s">
        <v>9984</v>
      </c>
      <c r="AN58" s="39" t="s">
        <v>9985</v>
      </c>
      <c r="AO58" s="86">
        <f t="shared" si="2"/>
        <v>44</v>
      </c>
      <c r="AP58" s="18" t="s">
        <v>2538</v>
      </c>
      <c r="AQ58" s="91" t="s">
        <v>2538</v>
      </c>
    </row>
    <row r="59" spans="1:43" s="6" customFormat="1" ht="10" hidden="1">
      <c r="A59" s="74" t="s">
        <v>9987</v>
      </c>
      <c r="B59" s="56" t="s">
        <v>67</v>
      </c>
      <c r="C59" s="56" t="s">
        <v>63</v>
      </c>
      <c r="D59" s="56" t="s">
        <v>9822</v>
      </c>
      <c r="E59" s="56"/>
      <c r="F59" s="56"/>
      <c r="G59" s="39"/>
      <c r="H59" s="56"/>
      <c r="I59" s="56" t="s">
        <v>9816</v>
      </c>
      <c r="J59" s="56" t="s">
        <v>550</v>
      </c>
      <c r="K59" s="75">
        <v>553118</v>
      </c>
      <c r="L59" s="56" t="s">
        <v>552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75</v>
      </c>
      <c r="S59" s="56"/>
      <c r="T59" s="56" t="s">
        <v>2525</v>
      </c>
      <c r="U59" s="56" t="s">
        <v>2525</v>
      </c>
      <c r="V59" s="56"/>
      <c r="W59" s="39" t="s">
        <v>9966</v>
      </c>
      <c r="X59" s="78">
        <v>45740</v>
      </c>
      <c r="Y59" s="78"/>
      <c r="Z59" s="78"/>
      <c r="AA59" s="39">
        <v>371008333</v>
      </c>
      <c r="AB59" s="79" t="s">
        <v>122</v>
      </c>
      <c r="AC59" s="80" t="s">
        <v>105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66</v>
      </c>
      <c r="AK59" s="39" t="s">
        <v>9988</v>
      </c>
      <c r="AL59" s="39" t="s">
        <v>9989</v>
      </c>
      <c r="AM59" s="39" t="s">
        <v>9990</v>
      </c>
      <c r="AN59" s="39" t="s">
        <v>9991</v>
      </c>
      <c r="AO59" s="102">
        <f t="shared" si="2"/>
        <v>51</v>
      </c>
      <c r="AP59" s="18" t="s">
        <v>2538</v>
      </c>
      <c r="AQ59" s="91" t="s">
        <v>2538</v>
      </c>
    </row>
    <row r="60" spans="1:43" s="6" customFormat="1" ht="10" hidden="1">
      <c r="A60" s="74" t="s">
        <v>9992</v>
      </c>
      <c r="B60" s="56" t="s">
        <v>67</v>
      </c>
      <c r="C60" s="56" t="s">
        <v>63</v>
      </c>
      <c r="D60" s="56" t="s">
        <v>9822</v>
      </c>
      <c r="E60" s="56"/>
      <c r="F60" s="56"/>
      <c r="G60" s="39"/>
      <c r="H60" s="56"/>
      <c r="I60" s="56" t="s">
        <v>9816</v>
      </c>
      <c r="J60" s="56" t="s">
        <v>550</v>
      </c>
      <c r="K60" s="75">
        <v>553120</v>
      </c>
      <c r="L60" s="56" t="s">
        <v>2745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75</v>
      </c>
      <c r="S60" s="56"/>
      <c r="T60" s="56" t="s">
        <v>2525</v>
      </c>
      <c r="U60" s="56" t="s">
        <v>2525</v>
      </c>
      <c r="V60" s="56"/>
      <c r="W60" s="39" t="s">
        <v>9966</v>
      </c>
      <c r="X60" s="78">
        <v>45740</v>
      </c>
      <c r="Y60" s="78"/>
      <c r="Z60" s="78"/>
      <c r="AA60" s="39">
        <v>371008329</v>
      </c>
      <c r="AB60" s="79" t="s">
        <v>122</v>
      </c>
      <c r="AC60" s="80" t="s">
        <v>105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66</v>
      </c>
      <c r="AK60" s="39" t="s">
        <v>9988</v>
      </c>
      <c r="AL60" s="39" t="s">
        <v>9989</v>
      </c>
      <c r="AM60" s="39" t="s">
        <v>9990</v>
      </c>
      <c r="AN60" s="39" t="s">
        <v>9991</v>
      </c>
      <c r="AO60" s="102">
        <f t="shared" si="2"/>
        <v>51</v>
      </c>
      <c r="AP60" s="18" t="s">
        <v>2538</v>
      </c>
      <c r="AQ60" s="91" t="s">
        <v>2538</v>
      </c>
    </row>
    <row r="61" spans="1:43" s="6" customFormat="1" ht="10" hidden="1">
      <c r="A61" s="74" t="s">
        <v>9993</v>
      </c>
      <c r="B61" s="56" t="s">
        <v>67</v>
      </c>
      <c r="C61" s="56" t="s">
        <v>63</v>
      </c>
      <c r="D61" s="56" t="s">
        <v>9822</v>
      </c>
      <c r="E61" s="56"/>
      <c r="F61" s="56"/>
      <c r="G61" s="39"/>
      <c r="H61" s="56"/>
      <c r="I61" s="56" t="s">
        <v>9816</v>
      </c>
      <c r="J61" s="56" t="s">
        <v>170</v>
      </c>
      <c r="K61" s="75">
        <v>552026</v>
      </c>
      <c r="L61" s="56" t="s">
        <v>463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75</v>
      </c>
      <c r="S61" s="56"/>
      <c r="T61" s="56" t="s">
        <v>2525</v>
      </c>
      <c r="U61" s="56" t="s">
        <v>2525</v>
      </c>
      <c r="V61" s="56"/>
      <c r="W61" s="39" t="s">
        <v>9971</v>
      </c>
      <c r="X61" s="78">
        <v>45740</v>
      </c>
      <c r="Y61" s="78"/>
      <c r="Z61" s="78"/>
      <c r="AA61" s="39">
        <v>371008336</v>
      </c>
      <c r="AB61" s="79" t="s">
        <v>122</v>
      </c>
      <c r="AC61" s="80" t="s">
        <v>105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66</v>
      </c>
      <c r="AK61" s="39" t="s">
        <v>9988</v>
      </c>
      <c r="AL61" s="39" t="s">
        <v>9989</v>
      </c>
      <c r="AM61" s="39" t="s">
        <v>9990</v>
      </c>
      <c r="AN61" s="39" t="s">
        <v>9991</v>
      </c>
      <c r="AO61" s="102">
        <f t="shared" si="2"/>
        <v>51</v>
      </c>
      <c r="AP61" s="18" t="s">
        <v>2538</v>
      </c>
      <c r="AQ61" s="91" t="s">
        <v>2538</v>
      </c>
    </row>
    <row r="62" spans="1:43" s="6" customFormat="1" ht="10" hidden="1">
      <c r="A62" s="74" t="s">
        <v>9994</v>
      </c>
      <c r="B62" s="56" t="s">
        <v>67</v>
      </c>
      <c r="C62" s="56" t="s">
        <v>63</v>
      </c>
      <c r="D62" s="56" t="s">
        <v>9822</v>
      </c>
      <c r="E62" s="56"/>
      <c r="F62" s="56"/>
      <c r="G62" s="39"/>
      <c r="H62" s="56"/>
      <c r="I62" s="56" t="s">
        <v>9816</v>
      </c>
      <c r="J62" s="56" t="s">
        <v>170</v>
      </c>
      <c r="K62" s="75">
        <v>552045</v>
      </c>
      <c r="L62" s="56" t="s">
        <v>172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75</v>
      </c>
      <c r="S62" s="56"/>
      <c r="T62" s="56" t="s">
        <v>2525</v>
      </c>
      <c r="U62" s="56" t="s">
        <v>2525</v>
      </c>
      <c r="V62" s="56"/>
      <c r="W62" s="39" t="s">
        <v>9971</v>
      </c>
      <c r="X62" s="78">
        <v>45740</v>
      </c>
      <c r="Y62" s="78"/>
      <c r="Z62" s="78"/>
      <c r="AA62" s="39">
        <v>371008340</v>
      </c>
      <c r="AB62" s="79" t="s">
        <v>122</v>
      </c>
      <c r="AC62" s="80" t="s">
        <v>105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66</v>
      </c>
      <c r="AK62" s="39" t="s">
        <v>9988</v>
      </c>
      <c r="AL62" s="39" t="s">
        <v>9989</v>
      </c>
      <c r="AM62" s="39" t="s">
        <v>9990</v>
      </c>
      <c r="AN62" s="39" t="s">
        <v>9991</v>
      </c>
      <c r="AO62" s="102">
        <f t="shared" si="2"/>
        <v>51</v>
      </c>
      <c r="AP62" s="18" t="s">
        <v>2538</v>
      </c>
      <c r="AQ62" s="91" t="s">
        <v>2538</v>
      </c>
    </row>
    <row r="63" spans="1:43" s="6" customFormat="1" ht="10" hidden="1">
      <c r="A63" s="74" t="s">
        <v>9995</v>
      </c>
      <c r="B63" s="56" t="s">
        <v>67</v>
      </c>
      <c r="C63" s="56" t="s">
        <v>63</v>
      </c>
      <c r="D63" s="56" t="s">
        <v>9822</v>
      </c>
      <c r="E63" s="56"/>
      <c r="F63" s="56"/>
      <c r="G63" s="39"/>
      <c r="H63" s="56"/>
      <c r="I63" s="56" t="s">
        <v>9816</v>
      </c>
      <c r="J63" s="56" t="s">
        <v>473</v>
      </c>
      <c r="K63" s="75">
        <v>553145</v>
      </c>
      <c r="L63" s="56" t="s">
        <v>530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75</v>
      </c>
      <c r="S63" s="56"/>
      <c r="T63" s="56" t="s">
        <v>2525</v>
      </c>
      <c r="U63" s="56" t="s">
        <v>2525</v>
      </c>
      <c r="V63" s="56"/>
      <c r="W63" s="39" t="s">
        <v>9971</v>
      </c>
      <c r="X63" s="78">
        <v>45740</v>
      </c>
      <c r="Y63" s="78"/>
      <c r="Z63" s="78"/>
      <c r="AA63" s="39">
        <v>371008354</v>
      </c>
      <c r="AB63" s="79" t="s">
        <v>122</v>
      </c>
      <c r="AC63" s="80" t="s">
        <v>105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66</v>
      </c>
      <c r="AK63" s="39" t="s">
        <v>9988</v>
      </c>
      <c r="AL63" s="39" t="s">
        <v>9989</v>
      </c>
      <c r="AM63" s="39" t="s">
        <v>9990</v>
      </c>
      <c r="AN63" s="39" t="s">
        <v>9991</v>
      </c>
      <c r="AO63" s="102">
        <f t="shared" si="2"/>
        <v>51</v>
      </c>
      <c r="AP63" s="18" t="s">
        <v>2538</v>
      </c>
      <c r="AQ63" s="91" t="s">
        <v>2538</v>
      </c>
    </row>
    <row r="64" spans="1:43" s="6" customFormat="1" ht="10" hidden="1">
      <c r="A64" s="74" t="s">
        <v>9996</v>
      </c>
      <c r="B64" s="56" t="s">
        <v>67</v>
      </c>
      <c r="C64" s="56" t="s">
        <v>63</v>
      </c>
      <c r="D64" s="56" t="s">
        <v>9822</v>
      </c>
      <c r="E64" s="56"/>
      <c r="F64" s="56"/>
      <c r="G64" s="39"/>
      <c r="H64" s="56"/>
      <c r="I64" s="56" t="s">
        <v>9816</v>
      </c>
      <c r="J64" s="56" t="s">
        <v>550</v>
      </c>
      <c r="K64" s="75">
        <v>553120</v>
      </c>
      <c r="L64" s="56" t="s">
        <v>2745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75</v>
      </c>
      <c r="S64" s="56"/>
      <c r="T64" s="56" t="s">
        <v>2525</v>
      </c>
      <c r="U64" s="56" t="s">
        <v>2525</v>
      </c>
      <c r="V64" s="56"/>
      <c r="W64" s="39" t="s">
        <v>9966</v>
      </c>
      <c r="X64" s="78">
        <v>45740</v>
      </c>
      <c r="Y64" s="78"/>
      <c r="Z64" s="78"/>
      <c r="AA64" s="39">
        <v>371008330</v>
      </c>
      <c r="AB64" s="79" t="s">
        <v>122</v>
      </c>
      <c r="AC64" s="80" t="s">
        <v>356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66</v>
      </c>
      <c r="AK64" s="39" t="s">
        <v>9997</v>
      </c>
      <c r="AL64" s="39" t="s">
        <v>9998</v>
      </c>
      <c r="AM64" s="39" t="s">
        <v>9999</v>
      </c>
      <c r="AN64" s="39" t="s">
        <v>9999</v>
      </c>
      <c r="AO64" s="86">
        <f t="shared" si="2"/>
        <v>41</v>
      </c>
      <c r="AP64" s="18" t="s">
        <v>2538</v>
      </c>
      <c r="AQ64" s="91" t="s">
        <v>2538</v>
      </c>
    </row>
    <row r="65" spans="1:43" s="6" customFormat="1" ht="10" hidden="1">
      <c r="A65" s="74" t="s">
        <v>10000</v>
      </c>
      <c r="B65" s="56" t="s">
        <v>67</v>
      </c>
      <c r="C65" s="56" t="s">
        <v>63</v>
      </c>
      <c r="D65" s="56" t="s">
        <v>9822</v>
      </c>
      <c r="E65" s="56"/>
      <c r="F65" s="56"/>
      <c r="G65" s="39"/>
      <c r="H65" s="56"/>
      <c r="I65" s="56" t="s">
        <v>9816</v>
      </c>
      <c r="J65" s="56" t="s">
        <v>170</v>
      </c>
      <c r="K65" s="75">
        <v>552045</v>
      </c>
      <c r="L65" s="56" t="s">
        <v>172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75</v>
      </c>
      <c r="S65" s="56"/>
      <c r="T65" s="56" t="s">
        <v>2525</v>
      </c>
      <c r="U65" s="56" t="s">
        <v>2525</v>
      </c>
      <c r="V65" s="56"/>
      <c r="W65" s="39" t="s">
        <v>9971</v>
      </c>
      <c r="X65" s="78">
        <v>45740</v>
      </c>
      <c r="Y65" s="78"/>
      <c r="Z65" s="78"/>
      <c r="AA65" s="39">
        <v>371008341</v>
      </c>
      <c r="AB65" s="79" t="s">
        <v>122</v>
      </c>
      <c r="AC65" s="80" t="s">
        <v>356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66</v>
      </c>
      <c r="AK65" s="39" t="s">
        <v>10001</v>
      </c>
      <c r="AL65" s="39" t="s">
        <v>9998</v>
      </c>
      <c r="AM65" s="39" t="s">
        <v>9999</v>
      </c>
      <c r="AN65" s="39" t="s">
        <v>9999</v>
      </c>
      <c r="AO65" s="86">
        <f t="shared" si="2"/>
        <v>41</v>
      </c>
      <c r="AP65" s="18" t="s">
        <v>2538</v>
      </c>
      <c r="AQ65" s="91" t="s">
        <v>2538</v>
      </c>
    </row>
    <row r="66" spans="1:43" s="101" customFormat="1" ht="10" hidden="1">
      <c r="A66" s="97" t="s">
        <v>10002</v>
      </c>
      <c r="B66" s="98" t="s">
        <v>67</v>
      </c>
      <c r="C66" s="98" t="s">
        <v>63</v>
      </c>
      <c r="D66" s="98" t="s">
        <v>9822</v>
      </c>
      <c r="E66" s="98"/>
      <c r="F66" s="56"/>
      <c r="G66" s="39"/>
      <c r="H66" s="56"/>
      <c r="I66" s="56" t="s">
        <v>9816</v>
      </c>
      <c r="J66" s="98" t="s">
        <v>170</v>
      </c>
      <c r="K66" s="100">
        <v>552026</v>
      </c>
      <c r="L66" s="56" t="s">
        <v>463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75</v>
      </c>
      <c r="S66" s="56"/>
      <c r="T66" s="56" t="s">
        <v>2525</v>
      </c>
      <c r="U66" s="56" t="s">
        <v>2525</v>
      </c>
      <c r="V66" s="56"/>
      <c r="W66" s="39" t="s">
        <v>9971</v>
      </c>
      <c r="X66" s="78">
        <v>45739</v>
      </c>
      <c r="Y66" s="78"/>
      <c r="Z66" s="78"/>
      <c r="AA66" s="39">
        <v>371008337</v>
      </c>
      <c r="AB66" s="79" t="s">
        <v>122</v>
      </c>
      <c r="AC66" s="80" t="s">
        <v>78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66</v>
      </c>
      <c r="AK66" s="36" t="s">
        <v>10003</v>
      </c>
      <c r="AL66" s="36" t="s">
        <v>10004</v>
      </c>
      <c r="AM66" s="36" t="s">
        <v>10005</v>
      </c>
      <c r="AN66" s="36" t="s">
        <v>10006</v>
      </c>
      <c r="AO66" s="102">
        <f t="shared" si="2"/>
        <v>48</v>
      </c>
      <c r="AP66" s="18" t="s">
        <v>2538</v>
      </c>
      <c r="AQ66" s="91" t="s">
        <v>2538</v>
      </c>
    </row>
    <row r="67" spans="1:43" s="6" customFormat="1" ht="11.5" hidden="1">
      <c r="A67" s="74" t="s">
        <v>10007</v>
      </c>
      <c r="B67" s="56" t="s">
        <v>67</v>
      </c>
      <c r="C67" s="56" t="s">
        <v>63</v>
      </c>
      <c r="D67" s="56" t="s">
        <v>9822</v>
      </c>
      <c r="E67" s="56"/>
      <c r="F67" s="56"/>
      <c r="G67" s="39"/>
      <c r="H67" s="56"/>
      <c r="I67" s="56" t="s">
        <v>9816</v>
      </c>
      <c r="J67" s="56" t="s">
        <v>473</v>
      </c>
      <c r="K67" s="75">
        <v>553146</v>
      </c>
      <c r="L67" s="49" t="s">
        <v>764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75</v>
      </c>
      <c r="S67" s="56"/>
      <c r="T67" s="56" t="s">
        <v>2525</v>
      </c>
      <c r="U67" s="56" t="s">
        <v>2525</v>
      </c>
      <c r="V67" s="56"/>
      <c r="W67" s="39" t="s">
        <v>9971</v>
      </c>
      <c r="X67" s="90">
        <v>45760</v>
      </c>
      <c r="Y67" s="90"/>
      <c r="Z67" s="90"/>
      <c r="AA67" s="103">
        <v>371008426</v>
      </c>
      <c r="AB67" s="79" t="s">
        <v>122</v>
      </c>
      <c r="AC67" s="94" t="s">
        <v>456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66</v>
      </c>
      <c r="AK67" s="39" t="s">
        <v>10008</v>
      </c>
      <c r="AL67" s="39" t="s">
        <v>10009</v>
      </c>
      <c r="AM67" s="39" t="s">
        <v>10010</v>
      </c>
      <c r="AN67" s="39" t="s">
        <v>10010</v>
      </c>
      <c r="AO67" s="75">
        <f t="shared" si="2"/>
        <v>41</v>
      </c>
      <c r="AP67" s="39" t="s">
        <v>2538</v>
      </c>
      <c r="AQ67" s="91" t="s">
        <v>2538</v>
      </c>
    </row>
    <row r="68" spans="1:43" s="6" customFormat="1" ht="11.5" hidden="1">
      <c r="A68" s="74" t="s">
        <v>10011</v>
      </c>
      <c r="B68" s="56" t="s">
        <v>67</v>
      </c>
      <c r="C68" s="56" t="s">
        <v>63</v>
      </c>
      <c r="D68" s="56" t="s">
        <v>9822</v>
      </c>
      <c r="E68" s="56"/>
      <c r="F68" s="56"/>
      <c r="G68" s="39"/>
      <c r="H68" s="56"/>
      <c r="I68" s="56" t="s">
        <v>9816</v>
      </c>
      <c r="J68" s="56" t="s">
        <v>170</v>
      </c>
      <c r="K68" s="75">
        <v>552045</v>
      </c>
      <c r="L68" s="84" t="s">
        <v>172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75</v>
      </c>
      <c r="S68" s="56"/>
      <c r="T68" s="56" t="s">
        <v>2525</v>
      </c>
      <c r="U68" s="56" t="s">
        <v>2525</v>
      </c>
      <c r="V68" s="56"/>
      <c r="W68" s="39" t="s">
        <v>10012</v>
      </c>
      <c r="X68" s="90">
        <v>45760</v>
      </c>
      <c r="Y68" s="90"/>
      <c r="Z68" s="90"/>
      <c r="AA68" s="103">
        <v>371008434</v>
      </c>
      <c r="AB68" s="79" t="s">
        <v>122</v>
      </c>
      <c r="AC68" s="94" t="s">
        <v>356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66</v>
      </c>
      <c r="AK68" s="39" t="s">
        <v>10013</v>
      </c>
      <c r="AL68" s="39" t="s">
        <v>10014</v>
      </c>
      <c r="AM68" s="39" t="s">
        <v>10015</v>
      </c>
      <c r="AN68" s="39" t="s">
        <v>10015</v>
      </c>
      <c r="AO68" s="75">
        <f t="shared" ref="AO68:AO131" si="7">DATEDIF(AD68,AG68,"d")+1</f>
        <v>40</v>
      </c>
      <c r="AP68" s="39" t="s">
        <v>2538</v>
      </c>
      <c r="AQ68" s="91" t="s">
        <v>2538</v>
      </c>
    </row>
    <row r="69" spans="1:43" s="6" customFormat="1" ht="10.5" hidden="1" customHeight="1">
      <c r="A69" s="74" t="s">
        <v>10016</v>
      </c>
      <c r="B69" s="56" t="s">
        <v>67</v>
      </c>
      <c r="C69" s="56" t="s">
        <v>63</v>
      </c>
      <c r="D69" s="56" t="s">
        <v>9822</v>
      </c>
      <c r="E69" s="56"/>
      <c r="F69" s="56"/>
      <c r="G69" s="39"/>
      <c r="H69" s="56"/>
      <c r="I69" s="56" t="s">
        <v>9816</v>
      </c>
      <c r="J69" s="56" t="s">
        <v>550</v>
      </c>
      <c r="K69" s="75">
        <v>553120</v>
      </c>
      <c r="L69" s="56" t="s">
        <v>2745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75</v>
      </c>
      <c r="S69" s="56"/>
      <c r="T69" s="56" t="s">
        <v>2525</v>
      </c>
      <c r="U69" s="56" t="s">
        <v>2525</v>
      </c>
      <c r="V69" s="56"/>
      <c r="W69" s="39" t="s">
        <v>9966</v>
      </c>
      <c r="X69" s="90">
        <v>45749</v>
      </c>
      <c r="Y69" s="90"/>
      <c r="Z69" s="90"/>
      <c r="AA69" s="18">
        <v>371008397</v>
      </c>
      <c r="AB69" s="79" t="s">
        <v>122</v>
      </c>
      <c r="AC69" s="104" t="s">
        <v>78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66</v>
      </c>
      <c r="AK69" s="39" t="s">
        <v>10017</v>
      </c>
      <c r="AL69" s="39" t="s">
        <v>10018</v>
      </c>
      <c r="AM69" s="39" t="s">
        <v>10019</v>
      </c>
      <c r="AN69" s="39" t="s">
        <v>10019</v>
      </c>
      <c r="AO69" s="75">
        <f t="shared" si="7"/>
        <v>52</v>
      </c>
      <c r="AP69" s="39" t="s">
        <v>2538</v>
      </c>
      <c r="AQ69" s="91" t="s">
        <v>2538</v>
      </c>
    </row>
    <row r="70" spans="1:43" s="6" customFormat="1" ht="10" hidden="1">
      <c r="A70" s="74" t="s">
        <v>10020</v>
      </c>
      <c r="B70" s="56" t="s">
        <v>67</v>
      </c>
      <c r="C70" s="56" t="s">
        <v>63</v>
      </c>
      <c r="D70" s="56" t="s">
        <v>9822</v>
      </c>
      <c r="E70" s="56"/>
      <c r="F70" s="56"/>
      <c r="G70" s="39"/>
      <c r="H70" s="56"/>
      <c r="I70" s="56" t="s">
        <v>9816</v>
      </c>
      <c r="J70" s="56" t="s">
        <v>170</v>
      </c>
      <c r="K70" s="75">
        <v>552026</v>
      </c>
      <c r="L70" s="56" t="s">
        <v>463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75</v>
      </c>
      <c r="S70" s="56"/>
      <c r="T70" s="56" t="s">
        <v>2525</v>
      </c>
      <c r="U70" s="56" t="s">
        <v>2525</v>
      </c>
      <c r="V70" s="56"/>
      <c r="W70" s="39" t="s">
        <v>9971</v>
      </c>
      <c r="X70" s="78">
        <v>45749</v>
      </c>
      <c r="Y70" s="78"/>
      <c r="Z70" s="78"/>
      <c r="AA70" s="39">
        <v>371008390</v>
      </c>
      <c r="AB70" s="79" t="s">
        <v>122</v>
      </c>
      <c r="AC70" s="80" t="s">
        <v>456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66</v>
      </c>
      <c r="AK70" s="39" t="s">
        <v>10021</v>
      </c>
      <c r="AL70" s="39" t="s">
        <v>10022</v>
      </c>
      <c r="AM70" s="39" t="s">
        <v>10023</v>
      </c>
      <c r="AN70" s="39" t="s">
        <v>10023</v>
      </c>
      <c r="AO70" s="102">
        <f t="shared" si="7"/>
        <v>42</v>
      </c>
      <c r="AP70" s="18" t="s">
        <v>2538</v>
      </c>
      <c r="AQ70" s="91" t="s">
        <v>2538</v>
      </c>
    </row>
    <row r="71" spans="1:43" s="6" customFormat="1" ht="12" hidden="1">
      <c r="A71" s="74" t="s">
        <v>10024</v>
      </c>
      <c r="B71" s="56" t="s">
        <v>67</v>
      </c>
      <c r="C71" s="56" t="s">
        <v>63</v>
      </c>
      <c r="D71" s="56" t="s">
        <v>9822</v>
      </c>
      <c r="E71" s="56"/>
      <c r="F71" s="56"/>
      <c r="G71" s="39"/>
      <c r="H71" s="56"/>
      <c r="I71" s="56" t="s">
        <v>9816</v>
      </c>
      <c r="J71" s="56" t="s">
        <v>550</v>
      </c>
      <c r="K71" s="75">
        <v>553120</v>
      </c>
      <c r="L71" s="56" t="s">
        <v>2745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75</v>
      </c>
      <c r="S71" s="56"/>
      <c r="T71" s="56" t="s">
        <v>2525</v>
      </c>
      <c r="U71" s="56" t="s">
        <v>2525</v>
      </c>
      <c r="V71" s="56"/>
      <c r="W71" s="39" t="s">
        <v>9966</v>
      </c>
      <c r="X71" s="78">
        <v>45744</v>
      </c>
      <c r="Y71" s="78"/>
      <c r="Z71" s="78"/>
      <c r="AA71" s="105">
        <v>371008395</v>
      </c>
      <c r="AB71" s="79" t="s">
        <v>122</v>
      </c>
      <c r="AC71" s="80" t="s">
        <v>356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66</v>
      </c>
      <c r="AK71" s="39" t="s">
        <v>10025</v>
      </c>
      <c r="AL71" s="39" t="s">
        <v>10026</v>
      </c>
      <c r="AM71" s="39" t="s">
        <v>10027</v>
      </c>
      <c r="AN71" s="39" t="s">
        <v>10027</v>
      </c>
      <c r="AO71" s="102">
        <f t="shared" si="7"/>
        <v>40</v>
      </c>
      <c r="AP71" s="18" t="s">
        <v>2538</v>
      </c>
      <c r="AQ71" s="91" t="s">
        <v>2538</v>
      </c>
    </row>
    <row r="72" spans="1:43" s="6" customFormat="1" ht="11.5" hidden="1">
      <c r="A72" s="74" t="s">
        <v>10028</v>
      </c>
      <c r="B72" s="56" t="s">
        <v>67</v>
      </c>
      <c r="C72" s="56" t="s">
        <v>63</v>
      </c>
      <c r="D72" s="56" t="s">
        <v>9822</v>
      </c>
      <c r="E72" s="56"/>
      <c r="F72" s="56"/>
      <c r="G72" s="39"/>
      <c r="H72" s="56"/>
      <c r="I72" s="56" t="s">
        <v>9816</v>
      </c>
      <c r="J72" s="56" t="s">
        <v>170</v>
      </c>
      <c r="K72" s="75">
        <v>552026</v>
      </c>
      <c r="L72" s="56" t="s">
        <v>463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75</v>
      </c>
      <c r="S72" s="56"/>
      <c r="T72" s="56" t="s">
        <v>2525</v>
      </c>
      <c r="U72" s="56" t="s">
        <v>2525</v>
      </c>
      <c r="V72" s="56"/>
      <c r="W72" s="39" t="s">
        <v>9971</v>
      </c>
      <c r="X72" s="78">
        <v>45744</v>
      </c>
      <c r="Y72" s="78"/>
      <c r="Z72" s="78"/>
      <c r="AA72" s="106">
        <v>371008391</v>
      </c>
      <c r="AB72" s="79" t="s">
        <v>122</v>
      </c>
      <c r="AC72" s="80" t="s">
        <v>105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66</v>
      </c>
      <c r="AK72" s="39" t="s">
        <v>10029</v>
      </c>
      <c r="AL72" s="39" t="s">
        <v>10030</v>
      </c>
      <c r="AM72" s="39" t="s">
        <v>10031</v>
      </c>
      <c r="AN72" s="39" t="s">
        <v>10031</v>
      </c>
      <c r="AO72" s="86">
        <f t="shared" si="7"/>
        <v>35</v>
      </c>
      <c r="AP72" s="18" t="s">
        <v>2538</v>
      </c>
      <c r="AQ72" s="91" t="s">
        <v>2538</v>
      </c>
    </row>
    <row r="73" spans="1:43" s="6" customFormat="1" ht="11.5" hidden="1">
      <c r="A73" s="74" t="s">
        <v>10032</v>
      </c>
      <c r="B73" s="56" t="s">
        <v>67</v>
      </c>
      <c r="C73" s="56" t="s">
        <v>63</v>
      </c>
      <c r="D73" s="56" t="s">
        <v>9822</v>
      </c>
      <c r="E73" s="56"/>
      <c r="F73" s="56"/>
      <c r="G73" s="39"/>
      <c r="H73" s="56"/>
      <c r="I73" s="56" t="s">
        <v>9816</v>
      </c>
      <c r="J73" s="56" t="s">
        <v>170</v>
      </c>
      <c r="K73" s="75">
        <v>552045</v>
      </c>
      <c r="L73" s="56" t="s">
        <v>172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75</v>
      </c>
      <c r="S73" s="56"/>
      <c r="T73" s="56" t="s">
        <v>2525</v>
      </c>
      <c r="U73" s="56" t="s">
        <v>2525</v>
      </c>
      <c r="V73" s="56"/>
      <c r="W73" s="39" t="s">
        <v>9971</v>
      </c>
      <c r="X73" s="78">
        <v>45744</v>
      </c>
      <c r="Y73" s="78"/>
      <c r="Z73" s="78"/>
      <c r="AA73" s="107">
        <v>371008407</v>
      </c>
      <c r="AB73" s="79" t="s">
        <v>122</v>
      </c>
      <c r="AC73" s="80" t="s">
        <v>105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66</v>
      </c>
      <c r="AK73" s="39" t="s">
        <v>10029</v>
      </c>
      <c r="AL73" s="39" t="s">
        <v>10030</v>
      </c>
      <c r="AM73" s="39" t="s">
        <v>10031</v>
      </c>
      <c r="AN73" s="39" t="s">
        <v>10031</v>
      </c>
      <c r="AO73" s="86">
        <f t="shared" si="7"/>
        <v>35</v>
      </c>
      <c r="AP73" s="18" t="s">
        <v>2538</v>
      </c>
      <c r="AQ73" s="91" t="s">
        <v>2538</v>
      </c>
    </row>
    <row r="74" spans="1:43" s="6" customFormat="1" ht="11.5" hidden="1">
      <c r="A74" s="74" t="s">
        <v>10033</v>
      </c>
      <c r="B74" s="56" t="s">
        <v>67</v>
      </c>
      <c r="C74" s="56" t="s">
        <v>63</v>
      </c>
      <c r="D74" s="56" t="s">
        <v>9822</v>
      </c>
      <c r="E74" s="56"/>
      <c r="F74" s="56"/>
      <c r="G74" s="39"/>
      <c r="H74" s="56"/>
      <c r="I74" s="56" t="s">
        <v>9816</v>
      </c>
      <c r="J74" s="56" t="s">
        <v>170</v>
      </c>
      <c r="K74" s="75">
        <v>552026</v>
      </c>
      <c r="L74" s="56" t="s">
        <v>463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75</v>
      </c>
      <c r="S74" s="56"/>
      <c r="T74" s="56" t="s">
        <v>2525</v>
      </c>
      <c r="U74" s="56" t="s">
        <v>2525</v>
      </c>
      <c r="V74" s="56"/>
      <c r="W74" s="39" t="s">
        <v>9971</v>
      </c>
      <c r="X74" s="90">
        <v>45749</v>
      </c>
      <c r="Y74" s="90"/>
      <c r="Z74" s="90"/>
      <c r="AA74" s="103">
        <v>371008393</v>
      </c>
      <c r="AB74" s="79" t="s">
        <v>122</v>
      </c>
      <c r="AC74" s="94" t="s">
        <v>78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66</v>
      </c>
      <c r="AK74" s="39" t="s">
        <v>10034</v>
      </c>
      <c r="AL74" s="39" t="s">
        <v>10035</v>
      </c>
      <c r="AM74" s="39" t="s">
        <v>10036</v>
      </c>
      <c r="AN74" s="39" t="s">
        <v>10036</v>
      </c>
      <c r="AO74" s="75">
        <f t="shared" si="7"/>
        <v>51</v>
      </c>
      <c r="AP74" s="39" t="s">
        <v>2538</v>
      </c>
      <c r="AQ74" s="91" t="s">
        <v>2538</v>
      </c>
    </row>
    <row r="75" spans="1:43" s="6" customFormat="1" ht="12" hidden="1">
      <c r="A75" s="74" t="s">
        <v>10037</v>
      </c>
      <c r="B75" s="56" t="s">
        <v>67</v>
      </c>
      <c r="C75" s="56" t="s">
        <v>63</v>
      </c>
      <c r="D75" s="56" t="s">
        <v>9822</v>
      </c>
      <c r="E75" s="56"/>
      <c r="F75" s="56"/>
      <c r="G75" s="39"/>
      <c r="H75" s="56"/>
      <c r="I75" s="56" t="s">
        <v>9816</v>
      </c>
      <c r="J75" s="56" t="s">
        <v>550</v>
      </c>
      <c r="K75" s="75">
        <v>553120</v>
      </c>
      <c r="L75" s="56" t="s">
        <v>2745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75</v>
      </c>
      <c r="S75" s="56"/>
      <c r="T75" s="56" t="s">
        <v>2525</v>
      </c>
      <c r="U75" s="56" t="s">
        <v>2525</v>
      </c>
      <c r="V75" s="56"/>
      <c r="W75" s="39" t="s">
        <v>9966</v>
      </c>
      <c r="X75" s="90">
        <v>45756</v>
      </c>
      <c r="Y75" s="90"/>
      <c r="Z75" s="90"/>
      <c r="AA75" s="108">
        <v>371008400</v>
      </c>
      <c r="AB75" s="79" t="s">
        <v>122</v>
      </c>
      <c r="AC75" s="94" t="s">
        <v>78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66</v>
      </c>
      <c r="AK75" s="39" t="s">
        <v>10034</v>
      </c>
      <c r="AL75" s="39" t="s">
        <v>10038</v>
      </c>
      <c r="AM75" s="39" t="s">
        <v>10039</v>
      </c>
      <c r="AN75" s="39" t="s">
        <v>10040</v>
      </c>
      <c r="AO75" s="75">
        <f t="shared" si="7"/>
        <v>51</v>
      </c>
      <c r="AP75" s="39" t="s">
        <v>2538</v>
      </c>
      <c r="AQ75" s="91" t="s">
        <v>2538</v>
      </c>
    </row>
    <row r="76" spans="1:43" s="6" customFormat="1" ht="10.5" hidden="1" customHeight="1">
      <c r="A76" s="74" t="s">
        <v>10041</v>
      </c>
      <c r="B76" s="56" t="s">
        <v>67</v>
      </c>
      <c r="C76" s="56" t="s">
        <v>63</v>
      </c>
      <c r="D76" s="56" t="s">
        <v>9822</v>
      </c>
      <c r="E76" s="56"/>
      <c r="F76" s="56"/>
      <c r="G76" s="39"/>
      <c r="H76" s="56"/>
      <c r="I76" s="56" t="s">
        <v>9816</v>
      </c>
      <c r="J76" s="56" t="s">
        <v>473</v>
      </c>
      <c r="K76" s="75">
        <v>553145</v>
      </c>
      <c r="L76" s="56" t="s">
        <v>530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75</v>
      </c>
      <c r="S76" s="56"/>
      <c r="T76" s="56" t="s">
        <v>2525</v>
      </c>
      <c r="U76" s="56" t="s">
        <v>2525</v>
      </c>
      <c r="V76" s="56"/>
      <c r="W76" s="39" t="s">
        <v>9971</v>
      </c>
      <c r="X76" s="78">
        <v>45746</v>
      </c>
      <c r="Y76" s="78"/>
      <c r="Z76" s="78"/>
      <c r="AA76" s="107">
        <v>371008356</v>
      </c>
      <c r="AB76" s="79" t="s">
        <v>122</v>
      </c>
      <c r="AC76" s="80" t="s">
        <v>78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66</v>
      </c>
      <c r="AK76" s="39" t="s">
        <v>10042</v>
      </c>
      <c r="AL76" s="39" t="s">
        <v>10043</v>
      </c>
      <c r="AM76" s="39" t="s">
        <v>10044</v>
      </c>
      <c r="AN76" s="39" t="s">
        <v>10045</v>
      </c>
      <c r="AO76" s="100">
        <f t="shared" si="7"/>
        <v>51</v>
      </c>
      <c r="AP76" s="39" t="s">
        <v>2538</v>
      </c>
      <c r="AQ76" s="91" t="s">
        <v>2538</v>
      </c>
    </row>
    <row r="77" spans="1:43" s="6" customFormat="1" ht="11.5" hidden="1">
      <c r="A77" s="74" t="s">
        <v>10046</v>
      </c>
      <c r="B77" s="56" t="s">
        <v>67</v>
      </c>
      <c r="C77" s="56" t="s">
        <v>63</v>
      </c>
      <c r="D77" s="56" t="s">
        <v>9822</v>
      </c>
      <c r="E77" s="56"/>
      <c r="F77" s="56"/>
      <c r="G77" s="39"/>
      <c r="H77" s="56"/>
      <c r="I77" s="56" t="s">
        <v>9816</v>
      </c>
      <c r="J77" s="56" t="s">
        <v>170</v>
      </c>
      <c r="K77" s="75">
        <v>552026</v>
      </c>
      <c r="L77" s="56" t="s">
        <v>463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75</v>
      </c>
      <c r="S77" s="56"/>
      <c r="T77" s="56" t="s">
        <v>2525</v>
      </c>
      <c r="U77" s="56" t="s">
        <v>2525</v>
      </c>
      <c r="V77" s="56"/>
      <c r="W77" s="39" t="s">
        <v>9971</v>
      </c>
      <c r="X77" s="78">
        <v>45746</v>
      </c>
      <c r="Y77" s="78"/>
      <c r="Z77" s="78"/>
      <c r="AA77" s="107">
        <v>371008392</v>
      </c>
      <c r="AB77" s="79" t="s">
        <v>122</v>
      </c>
      <c r="AC77" s="80" t="s">
        <v>78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66</v>
      </c>
      <c r="AK77" s="39" t="s">
        <v>10042</v>
      </c>
      <c r="AL77" s="39" t="s">
        <v>10043</v>
      </c>
      <c r="AM77" s="39" t="s">
        <v>10044</v>
      </c>
      <c r="AN77" s="39" t="s">
        <v>10045</v>
      </c>
      <c r="AO77" s="75">
        <f t="shared" si="7"/>
        <v>51</v>
      </c>
      <c r="AP77" s="39" t="s">
        <v>2538</v>
      </c>
      <c r="AQ77" s="91" t="s">
        <v>2538</v>
      </c>
    </row>
    <row r="78" spans="1:43" s="6" customFormat="1" ht="11.5" hidden="1">
      <c r="A78" s="74" t="s">
        <v>10047</v>
      </c>
      <c r="B78" s="56" t="s">
        <v>67</v>
      </c>
      <c r="C78" s="56" t="s">
        <v>63</v>
      </c>
      <c r="D78" s="56" t="s">
        <v>9822</v>
      </c>
      <c r="E78" s="56"/>
      <c r="F78" s="56"/>
      <c r="G78" s="39"/>
      <c r="H78" s="56"/>
      <c r="I78" s="56" t="s">
        <v>9816</v>
      </c>
      <c r="J78" s="56" t="s">
        <v>170</v>
      </c>
      <c r="K78" s="75">
        <v>552045</v>
      </c>
      <c r="L78" s="56" t="s">
        <v>172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75</v>
      </c>
      <c r="S78" s="56"/>
      <c r="T78" s="56" t="s">
        <v>2525</v>
      </c>
      <c r="U78" s="56" t="s">
        <v>2525</v>
      </c>
      <c r="V78" s="56"/>
      <c r="W78" s="39" t="s">
        <v>9971</v>
      </c>
      <c r="X78" s="78">
        <v>45746</v>
      </c>
      <c r="Y78" s="78"/>
      <c r="Z78" s="78"/>
      <c r="AA78" s="107">
        <v>371008408</v>
      </c>
      <c r="AB78" s="79" t="s">
        <v>122</v>
      </c>
      <c r="AC78" s="80" t="s">
        <v>78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66</v>
      </c>
      <c r="AK78" s="39" t="s">
        <v>10042</v>
      </c>
      <c r="AL78" s="39" t="s">
        <v>10043</v>
      </c>
      <c r="AM78" s="39" t="s">
        <v>10044</v>
      </c>
      <c r="AN78" s="39" t="s">
        <v>10045</v>
      </c>
      <c r="AO78" s="75">
        <f t="shared" si="7"/>
        <v>51</v>
      </c>
      <c r="AP78" s="39" t="s">
        <v>2538</v>
      </c>
      <c r="AQ78" s="91" t="s">
        <v>2538</v>
      </c>
    </row>
    <row r="79" spans="1:43" s="6" customFormat="1" ht="11.5" hidden="1">
      <c r="A79" s="97" t="s">
        <v>10048</v>
      </c>
      <c r="B79" s="98" t="s">
        <v>67</v>
      </c>
      <c r="C79" s="98" t="s">
        <v>63</v>
      </c>
      <c r="D79" s="98" t="s">
        <v>9822</v>
      </c>
      <c r="E79" s="98"/>
      <c r="F79" s="99"/>
      <c r="G79" s="36"/>
      <c r="H79" s="99"/>
      <c r="I79" s="56" t="s">
        <v>9816</v>
      </c>
      <c r="J79" s="98" t="s">
        <v>170</v>
      </c>
      <c r="K79" s="100">
        <v>552045</v>
      </c>
      <c r="L79" s="98" t="s">
        <v>172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75</v>
      </c>
      <c r="S79" s="99"/>
      <c r="T79" s="56" t="s">
        <v>2525</v>
      </c>
      <c r="U79" s="56" t="s">
        <v>2525</v>
      </c>
      <c r="V79" s="56"/>
      <c r="W79" s="36" t="s">
        <v>9971</v>
      </c>
      <c r="X79" s="90">
        <v>45749</v>
      </c>
      <c r="Y79" s="90"/>
      <c r="Z79" s="90"/>
      <c r="AA79" s="103">
        <v>371008413</v>
      </c>
      <c r="AB79" s="79" t="s">
        <v>122</v>
      </c>
      <c r="AC79" s="104" t="s">
        <v>78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66</v>
      </c>
      <c r="AK79" s="36" t="s">
        <v>10017</v>
      </c>
      <c r="AL79" s="36" t="s">
        <v>10049</v>
      </c>
      <c r="AM79" s="36" t="s">
        <v>10050</v>
      </c>
      <c r="AN79" s="36" t="s">
        <v>10050</v>
      </c>
      <c r="AO79" s="100">
        <f t="shared" si="7"/>
        <v>52</v>
      </c>
      <c r="AP79" s="109" t="s">
        <v>2538</v>
      </c>
      <c r="AQ79" s="91" t="s">
        <v>2538</v>
      </c>
    </row>
    <row r="80" spans="1:43" s="6" customFormat="1" ht="10" hidden="1">
      <c r="A80" s="74" t="s">
        <v>10051</v>
      </c>
      <c r="B80" s="56" t="s">
        <v>67</v>
      </c>
      <c r="C80" s="56" t="s">
        <v>63</v>
      </c>
      <c r="D80" s="56" t="s">
        <v>9822</v>
      </c>
      <c r="E80" s="56"/>
      <c r="F80" s="56"/>
      <c r="G80" s="39"/>
      <c r="H80" s="56"/>
      <c r="I80" s="56" t="s">
        <v>9816</v>
      </c>
      <c r="J80" s="56" t="s">
        <v>550</v>
      </c>
      <c r="K80" s="75">
        <v>553120</v>
      </c>
      <c r="L80" s="56" t="s">
        <v>2745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75</v>
      </c>
      <c r="S80" s="56"/>
      <c r="T80" s="56" t="s">
        <v>2525</v>
      </c>
      <c r="U80" s="56" t="s">
        <v>2525</v>
      </c>
      <c r="V80" s="56"/>
      <c r="W80" s="39" t="s">
        <v>9966</v>
      </c>
      <c r="X80" s="90">
        <v>45739</v>
      </c>
      <c r="Y80" s="90"/>
      <c r="Z80" s="90"/>
      <c r="AA80" s="18">
        <v>371008331</v>
      </c>
      <c r="AB80" s="79" t="s">
        <v>122</v>
      </c>
      <c r="AC80" s="94" t="s">
        <v>78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66</v>
      </c>
      <c r="AK80" s="39" t="s">
        <v>10052</v>
      </c>
      <c r="AL80" s="39" t="s">
        <v>10053</v>
      </c>
      <c r="AM80" s="39" t="s">
        <v>10054</v>
      </c>
      <c r="AN80" s="39" t="s">
        <v>10054</v>
      </c>
      <c r="AO80" s="75">
        <f t="shared" si="7"/>
        <v>63</v>
      </c>
      <c r="AP80" s="39" t="s">
        <v>2538</v>
      </c>
      <c r="AQ80" s="91" t="s">
        <v>2538</v>
      </c>
    </row>
    <row r="81" spans="1:43" s="6" customFormat="1" ht="11.5" hidden="1">
      <c r="A81" s="74" t="s">
        <v>10055</v>
      </c>
      <c r="B81" s="56" t="s">
        <v>67</v>
      </c>
      <c r="C81" s="56" t="s">
        <v>63</v>
      </c>
      <c r="D81" s="56" t="s">
        <v>9822</v>
      </c>
      <c r="E81" s="56"/>
      <c r="F81" s="56"/>
      <c r="G81" s="39"/>
      <c r="H81" s="56"/>
      <c r="I81" s="56" t="s">
        <v>9816</v>
      </c>
      <c r="J81" s="56" t="s">
        <v>473</v>
      </c>
      <c r="K81" s="75">
        <v>553146</v>
      </c>
      <c r="L81" s="49" t="s">
        <v>764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75</v>
      </c>
      <c r="S81" s="56"/>
      <c r="T81" s="56" t="s">
        <v>2525</v>
      </c>
      <c r="U81" s="56" t="s">
        <v>2525</v>
      </c>
      <c r="V81" s="56"/>
      <c r="W81" s="39" t="s">
        <v>9971</v>
      </c>
      <c r="X81" s="90">
        <v>45739</v>
      </c>
      <c r="Y81" s="90"/>
      <c r="Z81" s="90"/>
      <c r="AA81" s="103">
        <v>371008384</v>
      </c>
      <c r="AB81" s="79" t="s">
        <v>122</v>
      </c>
      <c r="AC81" s="94" t="s">
        <v>78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66</v>
      </c>
      <c r="AK81" s="39" t="s">
        <v>10052</v>
      </c>
      <c r="AL81" s="39" t="s">
        <v>10053</v>
      </c>
      <c r="AM81" s="39" t="s">
        <v>10054</v>
      </c>
      <c r="AN81" s="39" t="s">
        <v>10054</v>
      </c>
      <c r="AO81" s="75">
        <f t="shared" si="7"/>
        <v>63</v>
      </c>
      <c r="AP81" s="39" t="s">
        <v>2538</v>
      </c>
      <c r="AQ81" s="91" t="s">
        <v>2538</v>
      </c>
    </row>
    <row r="82" spans="1:43" s="6" customFormat="1" ht="10" hidden="1">
      <c r="A82" s="74" t="s">
        <v>10056</v>
      </c>
      <c r="B82" s="56" t="s">
        <v>67</v>
      </c>
      <c r="C82" s="56" t="s">
        <v>63</v>
      </c>
      <c r="D82" s="56" t="s">
        <v>9822</v>
      </c>
      <c r="E82" s="56"/>
      <c r="F82" s="56"/>
      <c r="G82" s="39"/>
      <c r="H82" s="56"/>
      <c r="I82" s="56" t="s">
        <v>9816</v>
      </c>
      <c r="J82" s="56" t="s">
        <v>473</v>
      </c>
      <c r="K82" s="75">
        <v>553145</v>
      </c>
      <c r="L82" s="84" t="s">
        <v>530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75</v>
      </c>
      <c r="S82" s="56"/>
      <c r="T82" s="56" t="s">
        <v>2525</v>
      </c>
      <c r="U82" s="56" t="s">
        <v>2525</v>
      </c>
      <c r="V82" s="56"/>
      <c r="W82" s="39" t="s">
        <v>9971</v>
      </c>
      <c r="X82" s="90">
        <v>45739</v>
      </c>
      <c r="Y82" s="90"/>
      <c r="Z82" s="90"/>
      <c r="AA82" s="18">
        <v>371008355</v>
      </c>
      <c r="AB82" s="79" t="s">
        <v>122</v>
      </c>
      <c r="AC82" s="94" t="s">
        <v>78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66</v>
      </c>
      <c r="AK82" s="39" t="s">
        <v>10052</v>
      </c>
      <c r="AL82" s="39" t="s">
        <v>10053</v>
      </c>
      <c r="AM82" s="39" t="s">
        <v>10054</v>
      </c>
      <c r="AN82" s="39" t="s">
        <v>10054</v>
      </c>
      <c r="AO82" s="75">
        <f t="shared" si="7"/>
        <v>63</v>
      </c>
      <c r="AP82" s="39" t="s">
        <v>2538</v>
      </c>
      <c r="AQ82" s="91" t="s">
        <v>2538</v>
      </c>
    </row>
    <row r="83" spans="1:43" s="6" customFormat="1" ht="11.5" hidden="1">
      <c r="A83" s="74" t="s">
        <v>10057</v>
      </c>
      <c r="B83" s="56" t="s">
        <v>67</v>
      </c>
      <c r="C83" s="56" t="s">
        <v>63</v>
      </c>
      <c r="D83" s="56" t="s">
        <v>9822</v>
      </c>
      <c r="E83" s="56"/>
      <c r="F83" s="56" t="s">
        <v>2533</v>
      </c>
      <c r="G83" s="39"/>
      <c r="H83" s="56"/>
      <c r="I83" s="82" t="s">
        <v>9816</v>
      </c>
      <c r="J83" s="56" t="s">
        <v>170</v>
      </c>
      <c r="K83" s="75">
        <v>552027</v>
      </c>
      <c r="L83" s="56" t="s">
        <v>9817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75</v>
      </c>
      <c r="S83" s="56"/>
      <c r="T83" s="56" t="s">
        <v>2525</v>
      </c>
      <c r="U83" s="56" t="s">
        <v>2525</v>
      </c>
      <c r="V83" s="56"/>
      <c r="W83" s="39" t="s">
        <v>9971</v>
      </c>
      <c r="X83" s="78">
        <v>45759</v>
      </c>
      <c r="Y83" s="78"/>
      <c r="Z83" s="78"/>
      <c r="AA83" s="110">
        <v>371008448</v>
      </c>
      <c r="AB83" s="79" t="s">
        <v>122</v>
      </c>
      <c r="AC83" s="80" t="s">
        <v>159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146</v>
      </c>
      <c r="AK83" s="39" t="s">
        <v>10058</v>
      </c>
      <c r="AL83" s="39" t="s">
        <v>10059</v>
      </c>
      <c r="AM83" s="39" t="s">
        <v>10060</v>
      </c>
      <c r="AN83" s="39">
        <v>252422294</v>
      </c>
      <c r="AO83" s="75">
        <f t="shared" si="7"/>
        <v>51</v>
      </c>
      <c r="AP83" s="39" t="s">
        <v>2538</v>
      </c>
      <c r="AQ83" s="75" t="s">
        <v>2538</v>
      </c>
    </row>
    <row r="84" spans="1:43" s="6" customFormat="1" ht="11.5" hidden="1">
      <c r="A84" s="74" t="s">
        <v>10061</v>
      </c>
      <c r="B84" s="56" t="s">
        <v>67</v>
      </c>
      <c r="C84" s="56" t="s">
        <v>63</v>
      </c>
      <c r="D84" s="56" t="s">
        <v>9822</v>
      </c>
      <c r="E84" s="56"/>
      <c r="F84" s="56"/>
      <c r="G84" s="39"/>
      <c r="H84" s="56"/>
      <c r="I84" s="56" t="s">
        <v>9816</v>
      </c>
      <c r="J84" s="56" t="s">
        <v>170</v>
      </c>
      <c r="K84" s="75">
        <v>552026</v>
      </c>
      <c r="L84" s="56" t="s">
        <v>463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75</v>
      </c>
      <c r="S84" s="111"/>
      <c r="T84" s="56" t="s">
        <v>2525</v>
      </c>
      <c r="U84" s="56" t="s">
        <v>2525</v>
      </c>
      <c r="V84" s="56"/>
      <c r="W84" s="18" t="s">
        <v>10012</v>
      </c>
      <c r="X84" s="90">
        <v>45766</v>
      </c>
      <c r="Y84" s="90"/>
      <c r="Z84" s="90"/>
      <c r="AA84" s="103">
        <v>371008432</v>
      </c>
      <c r="AB84" s="79" t="s">
        <v>122</v>
      </c>
      <c r="AC84" s="94" t="s">
        <v>356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66</v>
      </c>
      <c r="AK84" s="18" t="s">
        <v>10062</v>
      </c>
      <c r="AL84" s="18" t="s">
        <v>10063</v>
      </c>
      <c r="AM84" s="18" t="s">
        <v>10064</v>
      </c>
      <c r="AN84" s="18" t="s">
        <v>10064</v>
      </c>
      <c r="AO84" s="91">
        <f t="shared" si="7"/>
        <v>43</v>
      </c>
      <c r="AP84" s="18" t="s">
        <v>2538</v>
      </c>
      <c r="AQ84" s="91" t="s">
        <v>2538</v>
      </c>
    </row>
    <row r="85" spans="1:43" s="6" customFormat="1" ht="11.5" hidden="1">
      <c r="A85" s="74" t="s">
        <v>10065</v>
      </c>
      <c r="B85" s="56" t="s">
        <v>67</v>
      </c>
      <c r="C85" s="56" t="s">
        <v>63</v>
      </c>
      <c r="D85" s="56" t="s">
        <v>9822</v>
      </c>
      <c r="E85" s="56"/>
      <c r="F85" s="56"/>
      <c r="G85" s="39"/>
      <c r="H85" s="56"/>
      <c r="I85" s="56" t="s">
        <v>9816</v>
      </c>
      <c r="J85" s="56" t="s">
        <v>550</v>
      </c>
      <c r="K85" s="75">
        <v>553118</v>
      </c>
      <c r="L85" s="56" t="s">
        <v>552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75</v>
      </c>
      <c r="S85" s="56"/>
      <c r="T85" s="56" t="s">
        <v>2525</v>
      </c>
      <c r="U85" s="56" t="s">
        <v>2525</v>
      </c>
      <c r="V85" s="56"/>
      <c r="W85" s="39" t="s">
        <v>9971</v>
      </c>
      <c r="X85" s="78">
        <v>45744</v>
      </c>
      <c r="Y85" s="78"/>
      <c r="Z85" s="78"/>
      <c r="AA85" s="107">
        <v>371008428</v>
      </c>
      <c r="AB85" s="79" t="s">
        <v>122</v>
      </c>
      <c r="AC85" s="80" t="s">
        <v>456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66</v>
      </c>
      <c r="AK85" s="39" t="s">
        <v>10066</v>
      </c>
      <c r="AL85" s="39" t="s">
        <v>10067</v>
      </c>
      <c r="AM85" s="39" t="s">
        <v>10068</v>
      </c>
      <c r="AN85" s="39" t="s">
        <v>10069</v>
      </c>
      <c r="AO85" s="102">
        <f t="shared" si="7"/>
        <v>43</v>
      </c>
      <c r="AP85" s="18" t="s">
        <v>2538</v>
      </c>
      <c r="AQ85" s="91" t="s">
        <v>2538</v>
      </c>
    </row>
    <row r="86" spans="1:43" s="6" customFormat="1" ht="11.5" hidden="1">
      <c r="A86" s="74" t="s">
        <v>10070</v>
      </c>
      <c r="B86" s="56" t="s">
        <v>67</v>
      </c>
      <c r="C86" s="56" t="s">
        <v>63</v>
      </c>
      <c r="D86" s="56" t="s">
        <v>9822</v>
      </c>
      <c r="E86" s="56"/>
      <c r="F86" s="56"/>
      <c r="G86" s="39"/>
      <c r="H86" s="56"/>
      <c r="I86" s="56" t="s">
        <v>9816</v>
      </c>
      <c r="J86" s="56" t="s">
        <v>473</v>
      </c>
      <c r="K86" s="75">
        <v>553146</v>
      </c>
      <c r="L86" s="49" t="s">
        <v>764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75</v>
      </c>
      <c r="S86" s="56"/>
      <c r="T86" s="56" t="s">
        <v>2525</v>
      </c>
      <c r="U86" s="56" t="s">
        <v>2525</v>
      </c>
      <c r="V86" s="56"/>
      <c r="W86" s="39" t="s">
        <v>9971</v>
      </c>
      <c r="X86" s="78">
        <v>45744</v>
      </c>
      <c r="Y86" s="78"/>
      <c r="Z86" s="78"/>
      <c r="AA86" s="107">
        <v>371008385</v>
      </c>
      <c r="AB86" s="79" t="s">
        <v>122</v>
      </c>
      <c r="AC86" s="80" t="s">
        <v>456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66</v>
      </c>
      <c r="AK86" s="39" t="s">
        <v>10066</v>
      </c>
      <c r="AL86" s="39" t="s">
        <v>10067</v>
      </c>
      <c r="AM86" s="39" t="s">
        <v>10068</v>
      </c>
      <c r="AN86" s="39" t="s">
        <v>10069</v>
      </c>
      <c r="AO86" s="102">
        <f t="shared" si="7"/>
        <v>43</v>
      </c>
      <c r="AP86" s="18" t="s">
        <v>2538</v>
      </c>
      <c r="AQ86" s="91" t="s">
        <v>2538</v>
      </c>
    </row>
    <row r="87" spans="1:43" s="6" customFormat="1" ht="10" hidden="1">
      <c r="A87" s="74" t="s">
        <v>10071</v>
      </c>
      <c r="B87" s="56" t="s">
        <v>67</v>
      </c>
      <c r="C87" s="56" t="s">
        <v>63</v>
      </c>
      <c r="D87" s="56" t="s">
        <v>9822</v>
      </c>
      <c r="E87" s="56"/>
      <c r="F87" s="56"/>
      <c r="G87" s="39"/>
      <c r="H87" s="56"/>
      <c r="I87" s="56" t="s">
        <v>9816</v>
      </c>
      <c r="J87" s="56" t="s">
        <v>550</v>
      </c>
      <c r="K87" s="75">
        <v>553120</v>
      </c>
      <c r="L87" s="84" t="s">
        <v>2745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75</v>
      </c>
      <c r="S87" s="56"/>
      <c r="T87" s="56" t="s">
        <v>2525</v>
      </c>
      <c r="U87" s="56" t="s">
        <v>2525</v>
      </c>
      <c r="V87" s="56"/>
      <c r="W87" s="39" t="s">
        <v>9966</v>
      </c>
      <c r="X87" s="78">
        <v>45745</v>
      </c>
      <c r="Y87" s="78"/>
      <c r="Z87" s="78"/>
      <c r="AA87" s="39">
        <v>371008398</v>
      </c>
      <c r="AB87" s="79" t="s">
        <v>122</v>
      </c>
      <c r="AC87" s="80" t="s">
        <v>356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66</v>
      </c>
      <c r="AK87" s="39" t="s">
        <v>10025</v>
      </c>
      <c r="AL87" s="39" t="s">
        <v>10072</v>
      </c>
      <c r="AM87" s="39" t="s">
        <v>10073</v>
      </c>
      <c r="AN87" s="39" t="s">
        <v>10073</v>
      </c>
      <c r="AO87" s="102">
        <f t="shared" si="7"/>
        <v>40</v>
      </c>
      <c r="AP87" s="18" t="s">
        <v>2538</v>
      </c>
      <c r="AQ87" s="91" t="s">
        <v>2538</v>
      </c>
    </row>
    <row r="88" spans="1:43" s="6" customFormat="1" ht="11.5" hidden="1">
      <c r="A88" s="74" t="s">
        <v>10074</v>
      </c>
      <c r="B88" s="56" t="s">
        <v>67</v>
      </c>
      <c r="C88" s="56" t="s">
        <v>63</v>
      </c>
      <c r="D88" s="56" t="s">
        <v>9822</v>
      </c>
      <c r="E88" s="56"/>
      <c r="F88" s="56"/>
      <c r="G88" s="39"/>
      <c r="H88" s="56"/>
      <c r="I88" s="56" t="s">
        <v>9816</v>
      </c>
      <c r="J88" s="56" t="s">
        <v>550</v>
      </c>
      <c r="K88" s="75">
        <v>553118</v>
      </c>
      <c r="L88" s="56" t="s">
        <v>552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75</v>
      </c>
      <c r="S88" s="56"/>
      <c r="T88" s="56" t="s">
        <v>2525</v>
      </c>
      <c r="U88" s="56" t="s">
        <v>2525</v>
      </c>
      <c r="V88" s="56"/>
      <c r="W88" s="39" t="s">
        <v>9966</v>
      </c>
      <c r="X88" s="78">
        <v>45755</v>
      </c>
      <c r="Y88" s="78"/>
      <c r="Z88" s="78"/>
      <c r="AA88" s="107">
        <v>371008403</v>
      </c>
      <c r="AB88" s="79" t="s">
        <v>122</v>
      </c>
      <c r="AC88" s="80" t="s">
        <v>356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66</v>
      </c>
      <c r="AK88" s="39" t="s">
        <v>10075</v>
      </c>
      <c r="AL88" s="39" t="s">
        <v>10076</v>
      </c>
      <c r="AM88" s="39" t="s">
        <v>10077</v>
      </c>
      <c r="AN88" s="39" t="s">
        <v>10077</v>
      </c>
      <c r="AO88" s="75">
        <f t="shared" si="7"/>
        <v>42</v>
      </c>
      <c r="AP88" s="18" t="s">
        <v>2538</v>
      </c>
      <c r="AQ88" s="91" t="s">
        <v>2538</v>
      </c>
    </row>
    <row r="89" spans="1:43" s="6" customFormat="1" ht="10" hidden="1">
      <c r="A89" s="74" t="s">
        <v>10078</v>
      </c>
      <c r="B89" s="56" t="s">
        <v>67</v>
      </c>
      <c r="C89" s="56" t="s">
        <v>63</v>
      </c>
      <c r="D89" s="56" t="s">
        <v>9822</v>
      </c>
      <c r="E89" s="56"/>
      <c r="F89" s="56"/>
      <c r="G89" s="39"/>
      <c r="H89" s="56"/>
      <c r="I89" s="56" t="s">
        <v>9816</v>
      </c>
      <c r="J89" s="56" t="s">
        <v>550</v>
      </c>
      <c r="K89" s="75">
        <v>553120</v>
      </c>
      <c r="L89" s="56" t="s">
        <v>2745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75</v>
      </c>
      <c r="S89" s="56"/>
      <c r="T89" s="56" t="s">
        <v>2525</v>
      </c>
      <c r="U89" s="56" t="s">
        <v>2525</v>
      </c>
      <c r="V89" s="56"/>
      <c r="W89" s="39" t="s">
        <v>9966</v>
      </c>
      <c r="X89" s="78">
        <v>45746</v>
      </c>
      <c r="Y89" s="78"/>
      <c r="Z89" s="78"/>
      <c r="AA89" s="39">
        <v>371008399</v>
      </c>
      <c r="AB89" s="79" t="s">
        <v>122</v>
      </c>
      <c r="AC89" s="80" t="s">
        <v>105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66</v>
      </c>
      <c r="AK89" s="39" t="s">
        <v>10079</v>
      </c>
      <c r="AL89" s="39" t="s">
        <v>10080</v>
      </c>
      <c r="AM89" s="39" t="s">
        <v>10081</v>
      </c>
      <c r="AN89" s="39" t="s">
        <v>10081</v>
      </c>
      <c r="AO89" s="75">
        <f t="shared" si="7"/>
        <v>39</v>
      </c>
      <c r="AP89" s="18" t="s">
        <v>2538</v>
      </c>
      <c r="AQ89" s="91" t="s">
        <v>2538</v>
      </c>
    </row>
    <row r="90" spans="1:43" s="6" customFormat="1" ht="11.5" hidden="1">
      <c r="A90" s="74" t="s">
        <v>10082</v>
      </c>
      <c r="B90" s="56" t="s">
        <v>67</v>
      </c>
      <c r="C90" s="56" t="s">
        <v>63</v>
      </c>
      <c r="D90" s="56" t="s">
        <v>9822</v>
      </c>
      <c r="E90" s="56"/>
      <c r="F90" s="56"/>
      <c r="G90" s="39"/>
      <c r="H90" s="56"/>
      <c r="I90" s="56" t="s">
        <v>9816</v>
      </c>
      <c r="J90" s="56" t="s">
        <v>550</v>
      </c>
      <c r="K90" s="75">
        <v>553118</v>
      </c>
      <c r="L90" s="56" t="s">
        <v>552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75</v>
      </c>
      <c r="S90" s="56"/>
      <c r="T90" s="56" t="s">
        <v>2525</v>
      </c>
      <c r="U90" s="56" t="s">
        <v>2525</v>
      </c>
      <c r="V90" s="56"/>
      <c r="W90" s="39" t="s">
        <v>9966</v>
      </c>
      <c r="X90" s="78">
        <v>45749</v>
      </c>
      <c r="Y90" s="78"/>
      <c r="Z90" s="78"/>
      <c r="AA90" s="107">
        <v>371008404</v>
      </c>
      <c r="AB90" s="79" t="s">
        <v>122</v>
      </c>
      <c r="AC90" s="80" t="s">
        <v>105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66</v>
      </c>
      <c r="AK90" s="39" t="s">
        <v>10083</v>
      </c>
      <c r="AL90" s="39" t="s">
        <v>10084</v>
      </c>
      <c r="AM90" s="112" t="s">
        <v>10085</v>
      </c>
      <c r="AN90" s="39" t="s">
        <v>10086</v>
      </c>
      <c r="AO90" s="75">
        <f t="shared" si="7"/>
        <v>46</v>
      </c>
      <c r="AP90" s="39" t="s">
        <v>2538</v>
      </c>
      <c r="AQ90" s="75" t="s">
        <v>2538</v>
      </c>
    </row>
    <row r="91" spans="1:43" s="6" customFormat="1" ht="11.5">
      <c r="A91" s="74" t="s">
        <v>10087</v>
      </c>
      <c r="B91" s="56" t="s">
        <v>67</v>
      </c>
      <c r="C91" s="56" t="s">
        <v>63</v>
      </c>
      <c r="D91" s="56" t="s">
        <v>9822</v>
      </c>
      <c r="E91" s="56"/>
      <c r="F91" s="56"/>
      <c r="G91" s="39"/>
      <c r="H91" s="56"/>
      <c r="I91" s="56" t="s">
        <v>9816</v>
      </c>
      <c r="J91" s="56" t="s">
        <v>170</v>
      </c>
      <c r="K91" s="75">
        <v>552045</v>
      </c>
      <c r="L91" s="56" t="s">
        <v>172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75</v>
      </c>
      <c r="S91" s="56"/>
      <c r="T91" s="56" t="s">
        <v>2525</v>
      </c>
      <c r="U91" s="56" t="s">
        <v>2525</v>
      </c>
      <c r="V91" s="56"/>
      <c r="W91" s="39" t="s">
        <v>9971</v>
      </c>
      <c r="X91" s="90">
        <v>45745</v>
      </c>
      <c r="Y91" s="90"/>
      <c r="Z91" s="90"/>
      <c r="AA91" s="103">
        <v>371008410</v>
      </c>
      <c r="AB91" s="79" t="s">
        <v>122</v>
      </c>
      <c r="AC91" s="94" t="s">
        <v>1561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66</v>
      </c>
      <c r="AK91" s="39" t="s">
        <v>10088</v>
      </c>
      <c r="AL91" s="39" t="s">
        <v>10089</v>
      </c>
      <c r="AM91" s="39" t="s">
        <v>10090</v>
      </c>
      <c r="AN91" s="39" t="s">
        <v>10090</v>
      </c>
      <c r="AO91" s="91">
        <f t="shared" si="7"/>
        <v>67</v>
      </c>
      <c r="AP91" s="18" t="s">
        <v>2538</v>
      </c>
      <c r="AQ91" s="113" t="s">
        <v>2538</v>
      </c>
    </row>
    <row r="92" spans="1:43" s="6" customFormat="1" ht="11.5">
      <c r="A92" s="74" t="s">
        <v>10091</v>
      </c>
      <c r="B92" s="56" t="s">
        <v>67</v>
      </c>
      <c r="C92" s="56" t="s">
        <v>63</v>
      </c>
      <c r="D92" s="56" t="s">
        <v>9822</v>
      </c>
      <c r="E92" s="56"/>
      <c r="F92" s="56"/>
      <c r="G92" s="39"/>
      <c r="H92" s="56"/>
      <c r="I92" s="56" t="s">
        <v>9816</v>
      </c>
      <c r="J92" s="56" t="s">
        <v>550</v>
      </c>
      <c r="K92" s="75">
        <v>553118</v>
      </c>
      <c r="L92" s="56" t="s">
        <v>552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75</v>
      </c>
      <c r="S92" s="56"/>
      <c r="T92" s="56" t="s">
        <v>2525</v>
      </c>
      <c r="U92" s="56" t="s">
        <v>2525</v>
      </c>
      <c r="V92" s="56"/>
      <c r="W92" s="39" t="s">
        <v>9966</v>
      </c>
      <c r="X92" s="90">
        <v>45745</v>
      </c>
      <c r="Y92" s="90"/>
      <c r="Z92" s="90"/>
      <c r="AA92" s="103">
        <v>371008402</v>
      </c>
      <c r="AB92" s="79" t="s">
        <v>122</v>
      </c>
      <c r="AC92" s="94" t="s">
        <v>1561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66</v>
      </c>
      <c r="AK92" s="39" t="s">
        <v>10088</v>
      </c>
      <c r="AL92" s="39" t="s">
        <v>10089</v>
      </c>
      <c r="AM92" s="39" t="s">
        <v>10090</v>
      </c>
      <c r="AN92" s="39" t="s">
        <v>10090</v>
      </c>
      <c r="AO92" s="91">
        <f t="shared" si="7"/>
        <v>67</v>
      </c>
      <c r="AP92" s="18" t="s">
        <v>2538</v>
      </c>
      <c r="AQ92" s="113" t="s">
        <v>2538</v>
      </c>
    </row>
    <row r="93" spans="1:43" s="6" customFormat="1" ht="11.5" hidden="1">
      <c r="A93" s="74" t="s">
        <v>10092</v>
      </c>
      <c r="B93" s="56" t="s">
        <v>67</v>
      </c>
      <c r="C93" s="56" t="s">
        <v>63</v>
      </c>
      <c r="D93" s="56" t="s">
        <v>9822</v>
      </c>
      <c r="E93" s="56"/>
      <c r="F93" s="56"/>
      <c r="G93" s="39"/>
      <c r="H93" s="56"/>
      <c r="I93" s="56" t="s">
        <v>9816</v>
      </c>
      <c r="J93" s="56" t="s">
        <v>170</v>
      </c>
      <c r="K93" s="75">
        <v>552026</v>
      </c>
      <c r="L93" s="56" t="s">
        <v>463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75</v>
      </c>
      <c r="S93" s="111"/>
      <c r="T93" s="56" t="s">
        <v>2525</v>
      </c>
      <c r="U93" s="56" t="s">
        <v>2525</v>
      </c>
      <c r="V93" s="56"/>
      <c r="W93" s="18" t="s">
        <v>9971</v>
      </c>
      <c r="X93" s="90">
        <v>45751</v>
      </c>
      <c r="Y93" s="90"/>
      <c r="Z93" s="90"/>
      <c r="AA93" s="103">
        <v>371008394</v>
      </c>
      <c r="AB93" s="79" t="s">
        <v>122</v>
      </c>
      <c r="AC93" s="94" t="s">
        <v>78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66</v>
      </c>
      <c r="AK93" s="18" t="s">
        <v>10093</v>
      </c>
      <c r="AL93" s="18" t="s">
        <v>10094</v>
      </c>
      <c r="AM93" s="18" t="s">
        <v>10095</v>
      </c>
      <c r="AN93" s="18" t="s">
        <v>10095</v>
      </c>
      <c r="AO93" s="91">
        <f t="shared" si="7"/>
        <v>56</v>
      </c>
      <c r="AP93" s="18" t="s">
        <v>2538</v>
      </c>
      <c r="AQ93" s="114" t="s">
        <v>2538</v>
      </c>
    </row>
    <row r="94" spans="1:43" s="6" customFormat="1" ht="11.5" hidden="1">
      <c r="A94" s="74" t="s">
        <v>10096</v>
      </c>
      <c r="B94" s="56" t="s">
        <v>67</v>
      </c>
      <c r="C94" s="56" t="s">
        <v>63</v>
      </c>
      <c r="D94" s="56" t="s">
        <v>9822</v>
      </c>
      <c r="E94" s="56"/>
      <c r="F94" s="56"/>
      <c r="G94" s="39"/>
      <c r="H94" s="56"/>
      <c r="I94" s="56" t="s">
        <v>9816</v>
      </c>
      <c r="J94" s="56" t="s">
        <v>170</v>
      </c>
      <c r="K94" s="75">
        <v>552026</v>
      </c>
      <c r="L94" s="56" t="s">
        <v>463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75</v>
      </c>
      <c r="S94" s="111"/>
      <c r="T94" s="56" t="s">
        <v>2525</v>
      </c>
      <c r="U94" s="56" t="s">
        <v>2525</v>
      </c>
      <c r="V94" s="56"/>
      <c r="W94" s="18" t="s">
        <v>10012</v>
      </c>
      <c r="X94" s="90">
        <v>45751</v>
      </c>
      <c r="Y94" s="90"/>
      <c r="Z94" s="90"/>
      <c r="AA94" s="103">
        <v>371008431</v>
      </c>
      <c r="AB94" s="79" t="s">
        <v>122</v>
      </c>
      <c r="AC94" s="94" t="s">
        <v>78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66</v>
      </c>
      <c r="AK94" s="18" t="s">
        <v>10093</v>
      </c>
      <c r="AL94" s="18" t="s">
        <v>10094</v>
      </c>
      <c r="AM94" s="18" t="s">
        <v>10095</v>
      </c>
      <c r="AN94" s="18" t="s">
        <v>10095</v>
      </c>
      <c r="AO94" s="91">
        <f t="shared" si="7"/>
        <v>56</v>
      </c>
      <c r="AP94" s="18" t="s">
        <v>2538</v>
      </c>
      <c r="AQ94" s="91" t="s">
        <v>2538</v>
      </c>
    </row>
    <row r="95" spans="1:43" s="6" customFormat="1" ht="11.5">
      <c r="A95" s="74" t="s">
        <v>10097</v>
      </c>
      <c r="B95" s="56" t="s">
        <v>67</v>
      </c>
      <c r="C95" s="56" t="s">
        <v>63</v>
      </c>
      <c r="D95" s="56" t="s">
        <v>9822</v>
      </c>
      <c r="E95" s="56"/>
      <c r="F95" s="56"/>
      <c r="G95" s="39"/>
      <c r="H95" s="56"/>
      <c r="I95" s="56" t="s">
        <v>9816</v>
      </c>
      <c r="J95" s="56" t="s">
        <v>170</v>
      </c>
      <c r="K95" s="75">
        <v>552045</v>
      </c>
      <c r="L95" s="56" t="s">
        <v>172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75</v>
      </c>
      <c r="S95" s="56"/>
      <c r="T95" s="56" t="s">
        <v>2525</v>
      </c>
      <c r="U95" s="56" t="s">
        <v>2525</v>
      </c>
      <c r="V95" s="56"/>
      <c r="W95" s="39" t="s">
        <v>9971</v>
      </c>
      <c r="X95" s="78">
        <v>45745</v>
      </c>
      <c r="Y95" s="78"/>
      <c r="Z95" s="78"/>
      <c r="AA95" s="107">
        <v>371008409</v>
      </c>
      <c r="AB95" s="79" t="s">
        <v>122</v>
      </c>
      <c r="AC95" s="80" t="s">
        <v>314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66</v>
      </c>
      <c r="AK95" s="39" t="s">
        <v>10088</v>
      </c>
      <c r="AL95" s="39" t="s">
        <v>10098</v>
      </c>
      <c r="AM95" s="39" t="s">
        <v>10099</v>
      </c>
      <c r="AN95" s="39" t="s">
        <v>10099</v>
      </c>
      <c r="AO95" s="75">
        <f t="shared" si="7"/>
        <v>68</v>
      </c>
      <c r="AP95" s="39" t="s">
        <v>2538</v>
      </c>
      <c r="AQ95" s="75" t="s">
        <v>2538</v>
      </c>
    </row>
    <row r="96" spans="1:43" s="6" customFormat="1" ht="11.5">
      <c r="A96" s="74" t="s">
        <v>10100</v>
      </c>
      <c r="B96" s="56" t="s">
        <v>67</v>
      </c>
      <c r="C96" s="56" t="s">
        <v>63</v>
      </c>
      <c r="D96" s="56" t="s">
        <v>9822</v>
      </c>
      <c r="E96" s="56"/>
      <c r="F96" s="56"/>
      <c r="G96" s="39"/>
      <c r="H96" s="56"/>
      <c r="I96" s="56" t="s">
        <v>9816</v>
      </c>
      <c r="J96" s="56" t="s">
        <v>550</v>
      </c>
      <c r="K96" s="75">
        <v>553118</v>
      </c>
      <c r="L96" s="56" t="s">
        <v>552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75</v>
      </c>
      <c r="S96" s="56"/>
      <c r="T96" s="56" t="s">
        <v>2525</v>
      </c>
      <c r="U96" s="56" t="s">
        <v>2525</v>
      </c>
      <c r="V96" s="56"/>
      <c r="W96" s="39" t="s">
        <v>9966</v>
      </c>
      <c r="X96" s="78">
        <v>45745</v>
      </c>
      <c r="Y96" s="78"/>
      <c r="Z96" s="78"/>
      <c r="AA96" s="107">
        <v>371008401</v>
      </c>
      <c r="AB96" s="79" t="s">
        <v>122</v>
      </c>
      <c r="AC96" s="80" t="s">
        <v>314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66</v>
      </c>
      <c r="AK96" s="39" t="s">
        <v>10088</v>
      </c>
      <c r="AL96" s="39" t="s">
        <v>10098</v>
      </c>
      <c r="AM96" s="39" t="s">
        <v>10099</v>
      </c>
      <c r="AN96" s="39" t="s">
        <v>10099</v>
      </c>
      <c r="AO96" s="75">
        <f t="shared" si="7"/>
        <v>68</v>
      </c>
      <c r="AP96" s="39" t="s">
        <v>2538</v>
      </c>
      <c r="AQ96" s="75" t="s">
        <v>2538</v>
      </c>
    </row>
    <row r="97" spans="1:43" s="6" customFormat="1" ht="10.5" customHeight="1">
      <c r="A97" s="74" t="s">
        <v>10101</v>
      </c>
      <c r="B97" s="56" t="s">
        <v>67</v>
      </c>
      <c r="C97" s="56" t="s">
        <v>63</v>
      </c>
      <c r="D97" s="56" t="s">
        <v>9822</v>
      </c>
      <c r="E97" s="56"/>
      <c r="F97" s="56"/>
      <c r="G97" s="39"/>
      <c r="H97" s="56"/>
      <c r="I97" s="56" t="s">
        <v>9816</v>
      </c>
      <c r="J97" s="56" t="s">
        <v>473</v>
      </c>
      <c r="K97" s="75">
        <v>553145</v>
      </c>
      <c r="L97" s="56" t="s">
        <v>530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75</v>
      </c>
      <c r="S97" s="56"/>
      <c r="T97" s="56" t="s">
        <v>2525</v>
      </c>
      <c r="U97" s="56" t="s">
        <v>2525</v>
      </c>
      <c r="V97" s="56"/>
      <c r="W97" s="39" t="s">
        <v>9971</v>
      </c>
      <c r="X97" s="78">
        <v>45745</v>
      </c>
      <c r="Y97" s="78"/>
      <c r="Z97" s="78"/>
      <c r="AA97" s="107">
        <v>371008370</v>
      </c>
      <c r="AB97" s="79" t="s">
        <v>122</v>
      </c>
      <c r="AC97" s="80" t="s">
        <v>314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66</v>
      </c>
      <c r="AK97" s="39" t="s">
        <v>10088</v>
      </c>
      <c r="AL97" s="39" t="s">
        <v>10098</v>
      </c>
      <c r="AM97" s="39" t="s">
        <v>10099</v>
      </c>
      <c r="AN97" s="39" t="s">
        <v>10099</v>
      </c>
      <c r="AO97" s="75">
        <f t="shared" si="7"/>
        <v>68</v>
      </c>
      <c r="AP97" s="39" t="s">
        <v>2538</v>
      </c>
      <c r="AQ97" s="75" t="s">
        <v>2538</v>
      </c>
    </row>
    <row r="98" spans="1:43" s="6" customFormat="1" ht="11.5" hidden="1">
      <c r="A98" s="74" t="s">
        <v>10102</v>
      </c>
      <c r="B98" s="56" t="s">
        <v>67</v>
      </c>
      <c r="C98" s="56" t="s">
        <v>63</v>
      </c>
      <c r="D98" s="56" t="s">
        <v>9822</v>
      </c>
      <c r="E98" s="56"/>
      <c r="F98" s="56"/>
      <c r="G98" s="39"/>
      <c r="H98" s="56"/>
      <c r="I98" s="56" t="s">
        <v>9816</v>
      </c>
      <c r="J98" s="56" t="s">
        <v>170</v>
      </c>
      <c r="K98" s="75">
        <v>552045</v>
      </c>
      <c r="L98" s="56" t="s">
        <v>172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75</v>
      </c>
      <c r="S98" s="56"/>
      <c r="T98" s="56" t="s">
        <v>2525</v>
      </c>
      <c r="U98" s="56" t="s">
        <v>2525</v>
      </c>
      <c r="V98" s="56"/>
      <c r="W98" s="39" t="s">
        <v>10012</v>
      </c>
      <c r="X98" s="78">
        <v>45766</v>
      </c>
      <c r="Y98" s="78"/>
      <c r="Z98" s="78"/>
      <c r="AA98" s="107">
        <v>371008439</v>
      </c>
      <c r="AB98" s="79" t="s">
        <v>122</v>
      </c>
      <c r="AC98" s="80" t="s">
        <v>456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66</v>
      </c>
      <c r="AK98" s="39" t="s">
        <v>10103</v>
      </c>
      <c r="AL98" s="39" t="s">
        <v>10104</v>
      </c>
      <c r="AM98" s="39" t="s">
        <v>10105</v>
      </c>
      <c r="AN98" s="39" t="s">
        <v>10105</v>
      </c>
      <c r="AO98" s="75">
        <f t="shared" si="7"/>
        <v>43</v>
      </c>
      <c r="AP98" s="39" t="s">
        <v>2538</v>
      </c>
      <c r="AQ98" s="75" t="s">
        <v>2538</v>
      </c>
    </row>
    <row r="99" spans="1:43" s="6" customFormat="1" ht="10.5" hidden="1" customHeight="1">
      <c r="A99" s="74" t="s">
        <v>10106</v>
      </c>
      <c r="B99" s="56" t="s">
        <v>67</v>
      </c>
      <c r="C99" s="56" t="s">
        <v>63</v>
      </c>
      <c r="D99" s="56" t="s">
        <v>9822</v>
      </c>
      <c r="E99" s="56"/>
      <c r="F99" s="56"/>
      <c r="G99" s="39"/>
      <c r="H99" s="56"/>
      <c r="I99" s="56" t="s">
        <v>9816</v>
      </c>
      <c r="J99" s="56" t="s">
        <v>550</v>
      </c>
      <c r="K99" s="75">
        <v>553120</v>
      </c>
      <c r="L99" s="56" t="s">
        <v>2745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75</v>
      </c>
      <c r="S99" s="56"/>
      <c r="T99" s="56" t="s">
        <v>2525</v>
      </c>
      <c r="U99" s="56" t="s">
        <v>2525</v>
      </c>
      <c r="V99" s="56"/>
      <c r="W99" s="39" t="s">
        <v>9966</v>
      </c>
      <c r="X99" s="78">
        <v>45760</v>
      </c>
      <c r="Y99" s="78"/>
      <c r="Z99" s="78"/>
      <c r="AA99" s="39">
        <v>371008418</v>
      </c>
      <c r="AB99" s="79" t="s">
        <v>122</v>
      </c>
      <c r="AC99" s="80" t="s">
        <v>78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66</v>
      </c>
      <c r="AK99" s="39" t="s">
        <v>10107</v>
      </c>
      <c r="AL99" s="39" t="s">
        <v>10108</v>
      </c>
      <c r="AM99" s="39" t="s">
        <v>10109</v>
      </c>
      <c r="AN99" s="39" t="s">
        <v>10109</v>
      </c>
      <c r="AO99" s="75">
        <f t="shared" si="7"/>
        <v>54</v>
      </c>
      <c r="AP99" s="39" t="s">
        <v>2538</v>
      </c>
      <c r="AQ99" s="115" t="s">
        <v>2538</v>
      </c>
    </row>
    <row r="100" spans="1:43" s="6" customFormat="1" ht="12" hidden="1">
      <c r="A100" s="74" t="s">
        <v>10110</v>
      </c>
      <c r="B100" s="56" t="s">
        <v>67</v>
      </c>
      <c r="C100" s="56" t="s">
        <v>63</v>
      </c>
      <c r="D100" s="56" t="s">
        <v>9822</v>
      </c>
      <c r="E100" s="56"/>
      <c r="F100" s="56" t="s">
        <v>96</v>
      </c>
      <c r="G100" s="39"/>
      <c r="H100" s="56"/>
      <c r="I100" s="56" t="s">
        <v>9816</v>
      </c>
      <c r="J100" s="56" t="s">
        <v>170</v>
      </c>
      <c r="K100" s="75">
        <v>552028</v>
      </c>
      <c r="L100" s="56" t="s">
        <v>9869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75</v>
      </c>
      <c r="S100" s="56"/>
      <c r="T100" s="56" t="s">
        <v>2525</v>
      </c>
      <c r="U100" s="56" t="s">
        <v>2525</v>
      </c>
      <c r="V100" s="56"/>
      <c r="W100" s="39" t="s">
        <v>9971</v>
      </c>
      <c r="X100" s="78">
        <v>45745</v>
      </c>
      <c r="Y100" s="78"/>
      <c r="Z100" s="78"/>
      <c r="AA100" s="105">
        <v>371008419</v>
      </c>
      <c r="AB100" s="79" t="s">
        <v>122</v>
      </c>
      <c r="AC100" s="80" t="s">
        <v>78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66</v>
      </c>
      <c r="AK100" s="39" t="s">
        <v>10088</v>
      </c>
      <c r="AL100" s="39" t="s">
        <v>10111</v>
      </c>
      <c r="AM100" s="39" t="s">
        <v>10112</v>
      </c>
      <c r="AN100" s="39" t="s">
        <v>10112</v>
      </c>
      <c r="AO100" s="75">
        <f t="shared" si="7"/>
        <v>73</v>
      </c>
      <c r="AP100" s="39" t="s">
        <v>2538</v>
      </c>
      <c r="AQ100" s="115" t="s">
        <v>2538</v>
      </c>
    </row>
    <row r="101" spans="1:43" s="6" customFormat="1" ht="12" hidden="1">
      <c r="A101" s="74" t="s">
        <v>10113</v>
      </c>
      <c r="B101" s="56" t="s">
        <v>67</v>
      </c>
      <c r="C101" s="56" t="s">
        <v>63</v>
      </c>
      <c r="D101" s="56" t="s">
        <v>9822</v>
      </c>
      <c r="E101" s="56"/>
      <c r="F101" s="56" t="s">
        <v>96</v>
      </c>
      <c r="G101" s="39"/>
      <c r="H101" s="56"/>
      <c r="I101" s="56" t="s">
        <v>9816</v>
      </c>
      <c r="J101" s="56" t="s">
        <v>550</v>
      </c>
      <c r="K101" s="75">
        <v>553120</v>
      </c>
      <c r="L101" s="56" t="s">
        <v>2745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75</v>
      </c>
      <c r="S101" s="56"/>
      <c r="T101" s="56" t="s">
        <v>2525</v>
      </c>
      <c r="U101" s="56" t="s">
        <v>2525</v>
      </c>
      <c r="V101" s="56"/>
      <c r="W101" s="39" t="s">
        <v>9966</v>
      </c>
      <c r="X101" s="78">
        <v>45745</v>
      </c>
      <c r="Y101" s="78"/>
      <c r="Z101" s="78"/>
      <c r="AA101" s="105">
        <v>371008396</v>
      </c>
      <c r="AB101" s="79" t="s">
        <v>122</v>
      </c>
      <c r="AC101" s="80" t="s">
        <v>78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66</v>
      </c>
      <c r="AK101" s="39" t="s">
        <v>10088</v>
      </c>
      <c r="AL101" s="39" t="s">
        <v>10111</v>
      </c>
      <c r="AM101" s="39" t="s">
        <v>10112</v>
      </c>
      <c r="AN101" s="39" t="s">
        <v>10112</v>
      </c>
      <c r="AO101" s="75">
        <f t="shared" si="7"/>
        <v>73</v>
      </c>
      <c r="AP101" s="39" t="s">
        <v>2538</v>
      </c>
      <c r="AQ101" s="115" t="s">
        <v>2538</v>
      </c>
    </row>
    <row r="102" spans="1:43" s="6" customFormat="1" ht="11.5" hidden="1">
      <c r="A102" s="74" t="s">
        <v>10114</v>
      </c>
      <c r="B102" s="56" t="s">
        <v>67</v>
      </c>
      <c r="C102" s="56" t="s">
        <v>63</v>
      </c>
      <c r="D102" s="56" t="s">
        <v>9822</v>
      </c>
      <c r="E102" s="56"/>
      <c r="F102" s="56"/>
      <c r="G102" s="39"/>
      <c r="H102" s="56"/>
      <c r="I102" s="56" t="s">
        <v>9816</v>
      </c>
      <c r="J102" s="56" t="s">
        <v>473</v>
      </c>
      <c r="K102" s="75">
        <v>553146</v>
      </c>
      <c r="L102" s="49" t="s">
        <v>764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75</v>
      </c>
      <c r="S102" s="56"/>
      <c r="T102" s="56" t="s">
        <v>2525</v>
      </c>
      <c r="U102" s="56" t="s">
        <v>2525</v>
      </c>
      <c r="V102" s="56"/>
      <c r="W102" s="39" t="s">
        <v>9971</v>
      </c>
      <c r="X102" s="78">
        <v>45756</v>
      </c>
      <c r="Y102" s="78"/>
      <c r="Z102" s="78"/>
      <c r="AA102" s="107">
        <v>371008426</v>
      </c>
      <c r="AB102" s="79" t="s">
        <v>122</v>
      </c>
      <c r="AC102" s="80" t="s">
        <v>456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66</v>
      </c>
      <c r="AK102" s="39" t="s">
        <v>10115</v>
      </c>
      <c r="AL102" s="39" t="s">
        <v>10116</v>
      </c>
      <c r="AM102" s="39" t="s">
        <v>10117</v>
      </c>
      <c r="AN102" s="39" t="s">
        <v>10117</v>
      </c>
      <c r="AO102" s="75">
        <f t="shared" si="7"/>
        <v>41</v>
      </c>
      <c r="AP102" s="39" t="s">
        <v>2538</v>
      </c>
      <c r="AQ102" s="115" t="s">
        <v>2538</v>
      </c>
    </row>
    <row r="103" spans="1:43" s="6" customFormat="1" ht="10" hidden="1">
      <c r="A103" s="74" t="s">
        <v>10118</v>
      </c>
      <c r="B103" s="56" t="s">
        <v>67</v>
      </c>
      <c r="C103" s="56" t="s">
        <v>63</v>
      </c>
      <c r="D103" s="56" t="s">
        <v>9822</v>
      </c>
      <c r="E103" s="56"/>
      <c r="F103" s="56"/>
      <c r="G103" s="39"/>
      <c r="H103" s="56"/>
      <c r="I103" s="56" t="s">
        <v>9816</v>
      </c>
      <c r="J103" s="56" t="s">
        <v>550</v>
      </c>
      <c r="K103" s="75">
        <v>553120</v>
      </c>
      <c r="L103" s="84" t="s">
        <v>2745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75</v>
      </c>
      <c r="S103" s="56"/>
      <c r="T103" s="56" t="s">
        <v>2525</v>
      </c>
      <c r="U103" s="56" t="s">
        <v>2525</v>
      </c>
      <c r="V103" s="56"/>
      <c r="W103" s="39" t="s">
        <v>9966</v>
      </c>
      <c r="X103" s="78">
        <v>45755</v>
      </c>
      <c r="Y103" s="78"/>
      <c r="Z103" s="78"/>
      <c r="AA103" s="39">
        <v>371008417</v>
      </c>
      <c r="AB103" s="79" t="s">
        <v>122</v>
      </c>
      <c r="AC103" s="80" t="s">
        <v>356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66</v>
      </c>
      <c r="AK103" s="39" t="s">
        <v>10075</v>
      </c>
      <c r="AL103" s="39" t="s">
        <v>10119</v>
      </c>
      <c r="AM103" s="39" t="s">
        <v>10120</v>
      </c>
      <c r="AN103" s="39" t="s">
        <v>10120</v>
      </c>
      <c r="AO103" s="75">
        <f t="shared" si="7"/>
        <v>42</v>
      </c>
      <c r="AP103" s="39" t="s">
        <v>2538</v>
      </c>
      <c r="AQ103" s="115" t="s">
        <v>2538</v>
      </c>
    </row>
    <row r="104" spans="1:43" s="6" customFormat="1" ht="11.5" hidden="1">
      <c r="A104" s="74" t="s">
        <v>10121</v>
      </c>
      <c r="B104" s="56" t="s">
        <v>67</v>
      </c>
      <c r="C104" s="56" t="s">
        <v>63</v>
      </c>
      <c r="D104" s="56" t="s">
        <v>9822</v>
      </c>
      <c r="E104" s="56"/>
      <c r="F104" s="56"/>
      <c r="G104" s="39"/>
      <c r="H104" s="56"/>
      <c r="I104" s="56" t="s">
        <v>9816</v>
      </c>
      <c r="J104" s="56" t="s">
        <v>170</v>
      </c>
      <c r="K104" s="75">
        <v>552026</v>
      </c>
      <c r="L104" s="56" t="s">
        <v>463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75</v>
      </c>
      <c r="S104" s="56"/>
      <c r="T104" s="56" t="s">
        <v>2525</v>
      </c>
      <c r="U104" s="56" t="s">
        <v>2525</v>
      </c>
      <c r="V104" s="56"/>
      <c r="W104" s="39" t="s">
        <v>10012</v>
      </c>
      <c r="X104" s="78">
        <v>45755</v>
      </c>
      <c r="Y104" s="78"/>
      <c r="Z104" s="78"/>
      <c r="AA104" s="107">
        <v>371008432</v>
      </c>
      <c r="AB104" s="79" t="s">
        <v>122</v>
      </c>
      <c r="AC104" s="80" t="s">
        <v>356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66</v>
      </c>
      <c r="AK104" s="39" t="s">
        <v>10075</v>
      </c>
      <c r="AL104" s="39" t="s">
        <v>10119</v>
      </c>
      <c r="AM104" s="39" t="s">
        <v>10120</v>
      </c>
      <c r="AN104" s="39" t="s">
        <v>10120</v>
      </c>
      <c r="AO104" s="75">
        <f t="shared" si="7"/>
        <v>43</v>
      </c>
      <c r="AP104" s="39" t="s">
        <v>2538</v>
      </c>
      <c r="AQ104" s="115" t="s">
        <v>2538</v>
      </c>
    </row>
    <row r="105" spans="1:43" s="6" customFormat="1" ht="11.5" hidden="1">
      <c r="A105" s="74" t="s">
        <v>10122</v>
      </c>
      <c r="B105" s="56" t="s">
        <v>67</v>
      </c>
      <c r="C105" s="56" t="s">
        <v>63</v>
      </c>
      <c r="D105" s="56" t="s">
        <v>9822</v>
      </c>
      <c r="E105" s="56"/>
      <c r="F105" s="56"/>
      <c r="G105" s="39"/>
      <c r="H105" s="56"/>
      <c r="I105" s="56" t="s">
        <v>9816</v>
      </c>
      <c r="J105" s="56" t="s">
        <v>170</v>
      </c>
      <c r="K105" s="75">
        <v>552045</v>
      </c>
      <c r="L105" s="56" t="s">
        <v>172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75</v>
      </c>
      <c r="S105" s="56"/>
      <c r="T105" s="56" t="s">
        <v>2525</v>
      </c>
      <c r="U105" s="56" t="s">
        <v>2525</v>
      </c>
      <c r="V105" s="56"/>
      <c r="W105" s="39" t="s">
        <v>9971</v>
      </c>
      <c r="X105" s="78">
        <v>45755</v>
      </c>
      <c r="Y105" s="78"/>
      <c r="Z105" s="78"/>
      <c r="AA105" s="107">
        <v>371008420</v>
      </c>
      <c r="AB105" s="79" t="s">
        <v>122</v>
      </c>
      <c r="AC105" s="80" t="s">
        <v>356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66</v>
      </c>
      <c r="AK105" s="39" t="s">
        <v>10075</v>
      </c>
      <c r="AL105" s="39" t="s">
        <v>10119</v>
      </c>
      <c r="AM105" s="39" t="s">
        <v>10120</v>
      </c>
      <c r="AN105" s="39" t="s">
        <v>10120</v>
      </c>
      <c r="AO105" s="75">
        <f t="shared" si="7"/>
        <v>43</v>
      </c>
      <c r="AP105" s="39" t="s">
        <v>2538</v>
      </c>
      <c r="AQ105" s="115" t="s">
        <v>2538</v>
      </c>
    </row>
    <row r="106" spans="1:43" s="6" customFormat="1" ht="11.5" hidden="1">
      <c r="A106" s="74" t="s">
        <v>10123</v>
      </c>
      <c r="B106" s="56" t="s">
        <v>67</v>
      </c>
      <c r="C106" s="56" t="s">
        <v>63</v>
      </c>
      <c r="D106" s="56" t="s">
        <v>9822</v>
      </c>
      <c r="E106" s="56"/>
      <c r="F106" s="56"/>
      <c r="G106" s="39"/>
      <c r="H106" s="56"/>
      <c r="I106" s="56" t="s">
        <v>9816</v>
      </c>
      <c r="J106" s="56" t="s">
        <v>550</v>
      </c>
      <c r="K106" s="75">
        <v>553118</v>
      </c>
      <c r="L106" s="56" t="s">
        <v>552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75</v>
      </c>
      <c r="S106" s="56"/>
      <c r="T106" s="56" t="s">
        <v>2525</v>
      </c>
      <c r="U106" s="56" t="s">
        <v>2525</v>
      </c>
      <c r="V106" s="56"/>
      <c r="W106" s="39" t="s">
        <v>9971</v>
      </c>
      <c r="X106" s="78">
        <v>45756</v>
      </c>
      <c r="Y106" s="78"/>
      <c r="Z106" s="78"/>
      <c r="AA106" s="107">
        <v>371008430</v>
      </c>
      <c r="AB106" s="79" t="s">
        <v>122</v>
      </c>
      <c r="AC106" s="80" t="s">
        <v>105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66</v>
      </c>
      <c r="AK106" s="39" t="s">
        <v>10124</v>
      </c>
      <c r="AL106" s="39" t="s">
        <v>10125</v>
      </c>
      <c r="AM106" s="39" t="s">
        <v>10126</v>
      </c>
      <c r="AN106" s="39" t="s">
        <v>10126</v>
      </c>
      <c r="AO106" s="75">
        <f t="shared" si="7"/>
        <v>36</v>
      </c>
      <c r="AP106" s="39" t="s">
        <v>2538</v>
      </c>
      <c r="AQ106" s="115" t="s">
        <v>2538</v>
      </c>
    </row>
    <row r="107" spans="1:43" s="6" customFormat="1" ht="11.5">
      <c r="A107" s="74" t="s">
        <v>10127</v>
      </c>
      <c r="B107" s="56" t="s">
        <v>67</v>
      </c>
      <c r="C107" s="56" t="s">
        <v>63</v>
      </c>
      <c r="D107" s="56" t="s">
        <v>9822</v>
      </c>
      <c r="E107" s="56"/>
      <c r="F107" s="56" t="s">
        <v>96</v>
      </c>
      <c r="G107" s="39"/>
      <c r="H107" s="56"/>
      <c r="I107" s="56" t="s">
        <v>9816</v>
      </c>
      <c r="J107" s="56" t="s">
        <v>170</v>
      </c>
      <c r="K107" s="75">
        <v>552045</v>
      </c>
      <c r="L107" s="56" t="s">
        <v>172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75</v>
      </c>
      <c r="S107" s="56"/>
      <c r="T107" s="56" t="s">
        <v>2525</v>
      </c>
      <c r="U107" s="56" t="s">
        <v>2525</v>
      </c>
      <c r="V107" s="56"/>
      <c r="W107" s="39" t="s">
        <v>9971</v>
      </c>
      <c r="X107" s="78">
        <v>45750</v>
      </c>
      <c r="Y107" s="78"/>
      <c r="Z107" s="78"/>
      <c r="AA107" s="107">
        <v>371008411</v>
      </c>
      <c r="AB107" s="79" t="s">
        <v>122</v>
      </c>
      <c r="AC107" s="80" t="s">
        <v>314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66</v>
      </c>
      <c r="AK107" s="39" t="s">
        <v>10093</v>
      </c>
      <c r="AL107" s="39" t="s">
        <v>10128</v>
      </c>
      <c r="AM107" s="39" t="s">
        <v>10129</v>
      </c>
      <c r="AN107" s="39" t="s">
        <v>10129</v>
      </c>
      <c r="AO107" s="75">
        <f t="shared" si="7"/>
        <v>61</v>
      </c>
      <c r="AP107" s="39" t="s">
        <v>2538</v>
      </c>
      <c r="AQ107" s="115" t="s">
        <v>2538</v>
      </c>
    </row>
    <row r="108" spans="1:43" s="6" customFormat="1" ht="11.5">
      <c r="A108" s="74" t="s">
        <v>10130</v>
      </c>
      <c r="B108" s="56" t="s">
        <v>67</v>
      </c>
      <c r="C108" s="56" t="s">
        <v>63</v>
      </c>
      <c r="D108" s="56" t="s">
        <v>9822</v>
      </c>
      <c r="E108" s="56"/>
      <c r="F108" s="56" t="s">
        <v>96</v>
      </c>
      <c r="G108" s="39"/>
      <c r="H108" s="56"/>
      <c r="I108" s="56" t="s">
        <v>9816</v>
      </c>
      <c r="J108" s="56" t="s">
        <v>550</v>
      </c>
      <c r="K108" s="75">
        <v>553118</v>
      </c>
      <c r="L108" s="56" t="s">
        <v>552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75</v>
      </c>
      <c r="S108" s="56"/>
      <c r="T108" s="56" t="s">
        <v>2525</v>
      </c>
      <c r="U108" s="56" t="s">
        <v>2525</v>
      </c>
      <c r="V108" s="56"/>
      <c r="W108" s="39" t="s">
        <v>9971</v>
      </c>
      <c r="X108" s="78">
        <v>45750</v>
      </c>
      <c r="Y108" s="78"/>
      <c r="Z108" s="78"/>
      <c r="AA108" s="107">
        <v>371008429</v>
      </c>
      <c r="AB108" s="79" t="s">
        <v>122</v>
      </c>
      <c r="AC108" s="80" t="s">
        <v>314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66</v>
      </c>
      <c r="AK108" s="39" t="s">
        <v>10093</v>
      </c>
      <c r="AL108" s="39" t="s">
        <v>10128</v>
      </c>
      <c r="AM108" s="39" t="s">
        <v>10131</v>
      </c>
      <c r="AN108" s="39" t="s">
        <v>10131</v>
      </c>
      <c r="AO108" s="75">
        <f t="shared" si="7"/>
        <v>61</v>
      </c>
      <c r="AP108" s="39" t="s">
        <v>2538</v>
      </c>
      <c r="AQ108" s="115" t="s">
        <v>2538</v>
      </c>
    </row>
    <row r="109" spans="1:43" s="6" customFormat="1" ht="11.5">
      <c r="A109" s="74" t="s">
        <v>10132</v>
      </c>
      <c r="B109" s="56" t="s">
        <v>67</v>
      </c>
      <c r="C109" s="56" t="s">
        <v>63</v>
      </c>
      <c r="D109" s="56" t="s">
        <v>9822</v>
      </c>
      <c r="E109" s="56"/>
      <c r="F109" s="56" t="s">
        <v>96</v>
      </c>
      <c r="G109" s="39"/>
      <c r="H109" s="56"/>
      <c r="I109" s="56" t="s">
        <v>9816</v>
      </c>
      <c r="J109" s="56" t="s">
        <v>473</v>
      </c>
      <c r="K109" s="75">
        <v>553145</v>
      </c>
      <c r="L109" s="56" t="s">
        <v>530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75</v>
      </c>
      <c r="S109" s="56"/>
      <c r="T109" s="56" t="s">
        <v>2525</v>
      </c>
      <c r="U109" s="56" t="s">
        <v>2525</v>
      </c>
      <c r="V109" s="56"/>
      <c r="W109" s="39" t="s">
        <v>9971</v>
      </c>
      <c r="X109" s="78">
        <v>45750</v>
      </c>
      <c r="Y109" s="78"/>
      <c r="Z109" s="78"/>
      <c r="AA109" s="107">
        <v>371008371</v>
      </c>
      <c r="AB109" s="79" t="s">
        <v>122</v>
      </c>
      <c r="AC109" s="80" t="s">
        <v>314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66</v>
      </c>
      <c r="AK109" s="39" t="s">
        <v>10093</v>
      </c>
      <c r="AL109" s="39" t="s">
        <v>10128</v>
      </c>
      <c r="AM109" s="39" t="s">
        <v>10131</v>
      </c>
      <c r="AN109" s="39" t="s">
        <v>10131</v>
      </c>
      <c r="AO109" s="75">
        <f t="shared" si="7"/>
        <v>61</v>
      </c>
      <c r="AP109" s="39" t="s">
        <v>2538</v>
      </c>
      <c r="AQ109" s="115" t="s">
        <v>2538</v>
      </c>
    </row>
    <row r="110" spans="1:43" s="6" customFormat="1" ht="10" hidden="1">
      <c r="A110" s="74" t="s">
        <v>10133</v>
      </c>
      <c r="B110" s="56" t="s">
        <v>67</v>
      </c>
      <c r="C110" s="56" t="s">
        <v>63</v>
      </c>
      <c r="D110" s="56" t="s">
        <v>9822</v>
      </c>
      <c r="E110" s="56"/>
      <c r="F110" s="56" t="s">
        <v>96</v>
      </c>
      <c r="G110" s="39"/>
      <c r="H110" s="56"/>
      <c r="I110" s="56" t="s">
        <v>9816</v>
      </c>
      <c r="J110" s="56" t="s">
        <v>550</v>
      </c>
      <c r="K110" s="75">
        <v>553120</v>
      </c>
      <c r="L110" s="56" t="s">
        <v>2745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75</v>
      </c>
      <c r="S110" s="56"/>
      <c r="T110" s="56" t="s">
        <v>2525</v>
      </c>
      <c r="U110" s="56" t="s">
        <v>2525</v>
      </c>
      <c r="V110" s="56"/>
      <c r="W110" s="39" t="s">
        <v>9971</v>
      </c>
      <c r="X110" s="90">
        <v>45766</v>
      </c>
      <c r="Y110" s="90"/>
      <c r="Z110" s="90"/>
      <c r="AA110" s="91">
        <v>371008447</v>
      </c>
      <c r="AB110" s="79" t="s">
        <v>122</v>
      </c>
      <c r="AC110" s="94" t="s">
        <v>78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66</v>
      </c>
      <c r="AK110" s="39" t="s">
        <v>10134</v>
      </c>
      <c r="AL110" s="39">
        <v>46010175</v>
      </c>
      <c r="AM110" s="39" t="s">
        <v>10135</v>
      </c>
      <c r="AN110" s="39" t="s">
        <v>10135</v>
      </c>
      <c r="AO110" s="75">
        <f t="shared" si="7"/>
        <v>49</v>
      </c>
      <c r="AP110" s="18" t="s">
        <v>2538</v>
      </c>
      <c r="AQ110" s="113" t="s">
        <v>2538</v>
      </c>
    </row>
    <row r="111" spans="1:43" s="6" customFormat="1" ht="11.5" hidden="1">
      <c r="A111" s="74" t="s">
        <v>10136</v>
      </c>
      <c r="B111" s="56" t="s">
        <v>67</v>
      </c>
      <c r="C111" s="56" t="s">
        <v>63</v>
      </c>
      <c r="D111" s="56" t="s">
        <v>9822</v>
      </c>
      <c r="E111" s="56"/>
      <c r="F111" s="56" t="s">
        <v>96</v>
      </c>
      <c r="G111" s="39"/>
      <c r="H111" s="56"/>
      <c r="I111" s="56" t="s">
        <v>9816</v>
      </c>
      <c r="J111" s="56" t="s">
        <v>170</v>
      </c>
      <c r="K111" s="75">
        <v>552026</v>
      </c>
      <c r="L111" s="56" t="s">
        <v>463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75</v>
      </c>
      <c r="S111" s="56"/>
      <c r="T111" s="56" t="s">
        <v>2525</v>
      </c>
      <c r="U111" s="56" t="s">
        <v>2525</v>
      </c>
      <c r="V111" s="56"/>
      <c r="W111" s="39" t="s">
        <v>10012</v>
      </c>
      <c r="X111" s="90">
        <v>45766</v>
      </c>
      <c r="Y111" s="90"/>
      <c r="Z111" s="90"/>
      <c r="AA111" s="103">
        <v>371008431</v>
      </c>
      <c r="AB111" s="79" t="s">
        <v>122</v>
      </c>
      <c r="AC111" s="94" t="s">
        <v>78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66</v>
      </c>
      <c r="AK111" s="39" t="s">
        <v>10134</v>
      </c>
      <c r="AL111" s="39" t="s">
        <v>10137</v>
      </c>
      <c r="AM111" s="39" t="s">
        <v>10138</v>
      </c>
      <c r="AN111" s="39" t="s">
        <v>10138</v>
      </c>
      <c r="AO111" s="75">
        <f t="shared" si="7"/>
        <v>49</v>
      </c>
      <c r="AP111" s="18" t="s">
        <v>2538</v>
      </c>
      <c r="AQ111" s="113" t="s">
        <v>2538</v>
      </c>
    </row>
    <row r="112" spans="1:43" s="6" customFormat="1" ht="10.5" hidden="1" customHeight="1">
      <c r="A112" s="74" t="s">
        <v>10139</v>
      </c>
      <c r="B112" s="56" t="s">
        <v>67</v>
      </c>
      <c r="C112" s="56" t="s">
        <v>63</v>
      </c>
      <c r="D112" s="56" t="s">
        <v>9822</v>
      </c>
      <c r="E112" s="56"/>
      <c r="F112" s="56" t="s">
        <v>96</v>
      </c>
      <c r="G112" s="39"/>
      <c r="H112" s="56"/>
      <c r="I112" s="56" t="s">
        <v>9816</v>
      </c>
      <c r="J112" s="56" t="s">
        <v>170</v>
      </c>
      <c r="K112" s="75">
        <v>552045</v>
      </c>
      <c r="L112" s="56" t="s">
        <v>172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75</v>
      </c>
      <c r="S112" s="56"/>
      <c r="T112" s="56" t="s">
        <v>2525</v>
      </c>
      <c r="U112" s="56" t="s">
        <v>2525</v>
      </c>
      <c r="V112" s="56"/>
      <c r="W112" s="39" t="s">
        <v>9971</v>
      </c>
      <c r="X112" s="90">
        <v>45766</v>
      </c>
      <c r="Y112" s="90"/>
      <c r="Z112" s="90"/>
      <c r="AA112" s="103">
        <v>371008421</v>
      </c>
      <c r="AB112" s="79" t="s">
        <v>122</v>
      </c>
      <c r="AC112" s="94" t="s">
        <v>78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66</v>
      </c>
      <c r="AK112" s="39" t="s">
        <v>10134</v>
      </c>
      <c r="AL112" s="39" t="s">
        <v>10137</v>
      </c>
      <c r="AM112" s="39" t="s">
        <v>10138</v>
      </c>
      <c r="AN112" s="39" t="s">
        <v>10140</v>
      </c>
      <c r="AO112" s="75">
        <f t="shared" si="7"/>
        <v>49</v>
      </c>
      <c r="AP112" s="18" t="s">
        <v>2538</v>
      </c>
      <c r="AQ112" s="113" t="s">
        <v>2538</v>
      </c>
    </row>
    <row r="113" spans="1:43" s="6" customFormat="1" ht="11.5" hidden="1">
      <c r="A113" s="74" t="s">
        <v>10141</v>
      </c>
      <c r="B113" s="56" t="s">
        <v>67</v>
      </c>
      <c r="C113" s="56" t="s">
        <v>63</v>
      </c>
      <c r="D113" s="56" t="s">
        <v>9822</v>
      </c>
      <c r="E113" s="56"/>
      <c r="F113" s="56" t="s">
        <v>96</v>
      </c>
      <c r="G113" s="39"/>
      <c r="H113" s="56"/>
      <c r="I113" s="56" t="s">
        <v>9816</v>
      </c>
      <c r="J113" s="56" t="s">
        <v>170</v>
      </c>
      <c r="K113" s="75">
        <v>552045</v>
      </c>
      <c r="L113" s="56" t="s">
        <v>172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75</v>
      </c>
      <c r="S113" s="111"/>
      <c r="T113" s="56" t="s">
        <v>2525</v>
      </c>
      <c r="U113" s="56" t="s">
        <v>2525</v>
      </c>
      <c r="V113" s="56"/>
      <c r="W113" s="18" t="s">
        <v>10012</v>
      </c>
      <c r="X113" s="90">
        <v>45768</v>
      </c>
      <c r="Y113" s="90"/>
      <c r="Z113" s="90"/>
      <c r="AA113" s="103">
        <v>371008444</v>
      </c>
      <c r="AB113" s="79" t="s">
        <v>122</v>
      </c>
      <c r="AC113" s="94" t="s">
        <v>124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66</v>
      </c>
      <c r="AK113" s="18" t="s">
        <v>10142</v>
      </c>
      <c r="AL113" s="18" t="s">
        <v>10143</v>
      </c>
      <c r="AM113" s="18" t="s">
        <v>10144</v>
      </c>
      <c r="AN113" s="18" t="s">
        <v>10144</v>
      </c>
      <c r="AO113" s="91">
        <f t="shared" si="7"/>
        <v>45</v>
      </c>
      <c r="AP113" s="18" t="s">
        <v>2538</v>
      </c>
      <c r="AQ113" s="113" t="s">
        <v>2538</v>
      </c>
    </row>
    <row r="114" spans="1:43" s="6" customFormat="1" ht="11.5">
      <c r="A114" s="74" t="s">
        <v>10145</v>
      </c>
      <c r="B114" s="56" t="s">
        <v>67</v>
      </c>
      <c r="C114" s="56" t="s">
        <v>63</v>
      </c>
      <c r="D114" s="56" t="s">
        <v>9822</v>
      </c>
      <c r="E114" s="56"/>
      <c r="F114" s="56" t="s">
        <v>96</v>
      </c>
      <c r="G114" s="39"/>
      <c r="H114" s="56"/>
      <c r="I114" s="56" t="s">
        <v>9816</v>
      </c>
      <c r="J114" s="56" t="s">
        <v>170</v>
      </c>
      <c r="K114" s="75">
        <v>552045</v>
      </c>
      <c r="L114" s="56" t="s">
        <v>172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75</v>
      </c>
      <c r="S114" s="56"/>
      <c r="T114" s="56" t="s">
        <v>2525</v>
      </c>
      <c r="U114" s="56" t="s">
        <v>2525</v>
      </c>
      <c r="V114" s="56"/>
      <c r="W114" s="39" t="s">
        <v>9971</v>
      </c>
      <c r="X114" s="90">
        <v>45751</v>
      </c>
      <c r="Y114" s="90"/>
      <c r="Z114" s="90"/>
      <c r="AA114" s="103">
        <v>371008412</v>
      </c>
      <c r="AB114" s="79" t="s">
        <v>122</v>
      </c>
      <c r="AC114" s="94" t="s">
        <v>1561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66</v>
      </c>
      <c r="AK114" s="39" t="s">
        <v>10093</v>
      </c>
      <c r="AL114" s="39" t="s">
        <v>10146</v>
      </c>
      <c r="AM114" s="39" t="s">
        <v>10147</v>
      </c>
      <c r="AN114" s="39" t="s">
        <v>10148</v>
      </c>
      <c r="AO114" s="75">
        <f t="shared" si="7"/>
        <v>62</v>
      </c>
      <c r="AP114" s="18" t="s">
        <v>2538</v>
      </c>
      <c r="AQ114" s="113" t="s">
        <v>2538</v>
      </c>
    </row>
    <row r="115" spans="1:43" s="6" customFormat="1" ht="11.5">
      <c r="A115" s="74" t="s">
        <v>10149</v>
      </c>
      <c r="B115" s="56" t="s">
        <v>67</v>
      </c>
      <c r="C115" s="56" t="s">
        <v>63</v>
      </c>
      <c r="D115" s="56" t="s">
        <v>9822</v>
      </c>
      <c r="E115" s="56"/>
      <c r="F115" s="56" t="s">
        <v>96</v>
      </c>
      <c r="G115" s="39"/>
      <c r="H115" s="56"/>
      <c r="I115" s="56" t="s">
        <v>9816</v>
      </c>
      <c r="J115" s="56" t="s">
        <v>473</v>
      </c>
      <c r="K115" s="75">
        <v>553145</v>
      </c>
      <c r="L115" s="56" t="s">
        <v>530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75</v>
      </c>
      <c r="S115" s="56"/>
      <c r="T115" s="56" t="s">
        <v>2525</v>
      </c>
      <c r="U115" s="56" t="s">
        <v>2525</v>
      </c>
      <c r="V115" s="56"/>
      <c r="W115" s="39" t="s">
        <v>9971</v>
      </c>
      <c r="X115" s="90">
        <v>45751</v>
      </c>
      <c r="Y115" s="90"/>
      <c r="Z115" s="90"/>
      <c r="AA115" s="103">
        <v>371008372</v>
      </c>
      <c r="AB115" s="79" t="s">
        <v>122</v>
      </c>
      <c r="AC115" s="94" t="s">
        <v>1561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66</v>
      </c>
      <c r="AK115" s="39" t="s">
        <v>10093</v>
      </c>
      <c r="AL115" s="39" t="s">
        <v>10146</v>
      </c>
      <c r="AM115" s="39" t="s">
        <v>10147</v>
      </c>
      <c r="AN115" s="39" t="s">
        <v>10148</v>
      </c>
      <c r="AO115" s="75">
        <f t="shared" si="7"/>
        <v>62</v>
      </c>
      <c r="AP115" s="18" t="s">
        <v>2538</v>
      </c>
      <c r="AQ115" s="113" t="s">
        <v>2538</v>
      </c>
    </row>
    <row r="116" spans="1:43" s="6" customFormat="1" ht="11.5">
      <c r="A116" s="74" t="s">
        <v>10150</v>
      </c>
      <c r="B116" s="56" t="s">
        <v>67</v>
      </c>
      <c r="C116" s="56" t="s">
        <v>63</v>
      </c>
      <c r="D116" s="56" t="s">
        <v>9822</v>
      </c>
      <c r="E116" s="56"/>
      <c r="F116" s="56" t="s">
        <v>96</v>
      </c>
      <c r="G116" s="39"/>
      <c r="H116" s="56"/>
      <c r="I116" s="56" t="s">
        <v>9816</v>
      </c>
      <c r="J116" s="56" t="s">
        <v>170</v>
      </c>
      <c r="K116" s="75">
        <v>552045</v>
      </c>
      <c r="L116" s="56" t="s">
        <v>172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75</v>
      </c>
      <c r="S116" s="56"/>
      <c r="T116" s="56" t="s">
        <v>2525</v>
      </c>
      <c r="U116" s="56" t="s">
        <v>2525</v>
      </c>
      <c r="V116" s="56"/>
      <c r="W116" s="39" t="s">
        <v>9971</v>
      </c>
      <c r="X116" s="90">
        <v>45759</v>
      </c>
      <c r="Y116" s="90"/>
      <c r="Z116" s="90"/>
      <c r="AA116" s="103">
        <v>371008423</v>
      </c>
      <c r="AB116" s="79" t="s">
        <v>122</v>
      </c>
      <c r="AC116" s="94" t="s">
        <v>1561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66</v>
      </c>
      <c r="AK116" s="39" t="s">
        <v>10151</v>
      </c>
      <c r="AL116" s="39" t="s">
        <v>10152</v>
      </c>
      <c r="AM116" s="39" t="s">
        <v>10153</v>
      </c>
      <c r="AN116" s="39" t="s">
        <v>10153</v>
      </c>
      <c r="AO116" s="75">
        <f t="shared" si="7"/>
        <v>56</v>
      </c>
      <c r="AP116" s="18" t="s">
        <v>2538</v>
      </c>
      <c r="AQ116" s="113" t="s">
        <v>2538</v>
      </c>
    </row>
    <row r="117" spans="1:43" s="6" customFormat="1" ht="11.5" hidden="1">
      <c r="A117" s="74" t="s">
        <v>10154</v>
      </c>
      <c r="B117" s="56" t="s">
        <v>67</v>
      </c>
      <c r="C117" s="56" t="s">
        <v>63</v>
      </c>
      <c r="D117" s="56" t="s">
        <v>9822</v>
      </c>
      <c r="E117" s="56"/>
      <c r="F117" s="56"/>
      <c r="G117" s="39"/>
      <c r="H117" s="56"/>
      <c r="I117" s="56" t="s">
        <v>9816</v>
      </c>
      <c r="J117" s="56" t="s">
        <v>170</v>
      </c>
      <c r="K117" s="75">
        <v>552045</v>
      </c>
      <c r="L117" s="56" t="s">
        <v>172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75</v>
      </c>
      <c r="S117" s="56"/>
      <c r="T117" s="56" t="s">
        <v>2525</v>
      </c>
      <c r="U117" s="56" t="s">
        <v>2525</v>
      </c>
      <c r="V117" s="56"/>
      <c r="W117" s="39" t="s">
        <v>9971</v>
      </c>
      <c r="X117" s="78">
        <v>45762</v>
      </c>
      <c r="Y117" s="78"/>
      <c r="Z117" s="78"/>
      <c r="AA117" s="107">
        <v>371008425</v>
      </c>
      <c r="AB117" s="79" t="s">
        <v>122</v>
      </c>
      <c r="AC117" s="80" t="s">
        <v>105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66</v>
      </c>
      <c r="AK117" s="39" t="s">
        <v>10155</v>
      </c>
      <c r="AL117" s="39" t="s">
        <v>10156</v>
      </c>
      <c r="AM117" s="39" t="s">
        <v>10157</v>
      </c>
      <c r="AN117" s="39" t="s">
        <v>10157</v>
      </c>
      <c r="AO117" s="75">
        <f t="shared" si="7"/>
        <v>37</v>
      </c>
      <c r="AP117" s="39" t="s">
        <v>2538</v>
      </c>
      <c r="AQ117" s="75" t="s">
        <v>2538</v>
      </c>
    </row>
    <row r="118" spans="1:43" s="6" customFormat="1" ht="11.5" hidden="1">
      <c r="A118" s="74" t="s">
        <v>10158</v>
      </c>
      <c r="B118" s="56" t="s">
        <v>67</v>
      </c>
      <c r="C118" s="56" t="s">
        <v>63</v>
      </c>
      <c r="D118" s="56" t="s">
        <v>9822</v>
      </c>
      <c r="E118" s="56"/>
      <c r="F118" s="56" t="s">
        <v>96</v>
      </c>
      <c r="G118" s="39"/>
      <c r="H118" s="56"/>
      <c r="I118" s="56" t="s">
        <v>9816</v>
      </c>
      <c r="J118" s="56" t="s">
        <v>170</v>
      </c>
      <c r="K118" s="75">
        <v>552045</v>
      </c>
      <c r="L118" s="56" t="s">
        <v>172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75</v>
      </c>
      <c r="S118" s="56"/>
      <c r="T118" s="56" t="s">
        <v>2525</v>
      </c>
      <c r="U118" s="56" t="s">
        <v>2525</v>
      </c>
      <c r="V118" s="56"/>
      <c r="W118" s="39" t="s">
        <v>9971</v>
      </c>
      <c r="X118" s="90">
        <v>45760</v>
      </c>
      <c r="Y118" s="90"/>
      <c r="Z118" s="90"/>
      <c r="AA118" s="103">
        <v>371008503</v>
      </c>
      <c r="AB118" s="79" t="s">
        <v>122</v>
      </c>
      <c r="AC118" s="104" t="s">
        <v>78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66</v>
      </c>
      <c r="AK118" s="39" t="s">
        <v>10159</v>
      </c>
      <c r="AL118" s="39" t="s">
        <v>10160</v>
      </c>
      <c r="AM118" s="39" t="s">
        <v>10161</v>
      </c>
      <c r="AN118" s="39" t="s">
        <v>10161</v>
      </c>
      <c r="AO118" s="75">
        <f t="shared" si="7"/>
        <v>56</v>
      </c>
      <c r="AP118" s="18" t="s">
        <v>2538</v>
      </c>
      <c r="AQ118" s="113" t="s">
        <v>2538</v>
      </c>
    </row>
    <row r="119" spans="1:43" s="6" customFormat="1" ht="11.5">
      <c r="A119" s="74" t="s">
        <v>10162</v>
      </c>
      <c r="B119" s="56" t="s">
        <v>67</v>
      </c>
      <c r="C119" s="56" t="s">
        <v>63</v>
      </c>
      <c r="D119" s="56" t="s">
        <v>9822</v>
      </c>
      <c r="E119" s="56"/>
      <c r="F119" s="56" t="s">
        <v>96</v>
      </c>
      <c r="G119" s="39"/>
      <c r="H119" s="56"/>
      <c r="I119" s="56" t="s">
        <v>9816</v>
      </c>
      <c r="J119" s="56" t="s">
        <v>170</v>
      </c>
      <c r="K119" s="75">
        <v>552045</v>
      </c>
      <c r="L119" s="56" t="s">
        <v>172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75</v>
      </c>
      <c r="S119" s="56"/>
      <c r="T119" s="56" t="s">
        <v>2525</v>
      </c>
      <c r="U119" s="56" t="s">
        <v>2525</v>
      </c>
      <c r="V119" s="56"/>
      <c r="W119" s="39" t="s">
        <v>9971</v>
      </c>
      <c r="X119" s="90">
        <v>45759</v>
      </c>
      <c r="Y119" s="90"/>
      <c r="Z119" s="90"/>
      <c r="AA119" s="103">
        <v>371008422</v>
      </c>
      <c r="AB119" s="79" t="s">
        <v>122</v>
      </c>
      <c r="AC119" s="94" t="s">
        <v>314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66</v>
      </c>
      <c r="AK119" s="39" t="s">
        <v>10151</v>
      </c>
      <c r="AL119" s="39" t="s">
        <v>10163</v>
      </c>
      <c r="AM119" s="39" t="s">
        <v>10164</v>
      </c>
      <c r="AN119" s="39" t="s">
        <v>10165</v>
      </c>
      <c r="AO119" s="75">
        <f t="shared" si="7"/>
        <v>59</v>
      </c>
      <c r="AP119" s="18" t="s">
        <v>2538</v>
      </c>
      <c r="AQ119" s="113" t="s">
        <v>2538</v>
      </c>
    </row>
    <row r="120" spans="1:43" s="6" customFormat="1" ht="11.5">
      <c r="A120" s="74" t="s">
        <v>10166</v>
      </c>
      <c r="B120" s="56" t="s">
        <v>67</v>
      </c>
      <c r="C120" s="56" t="s">
        <v>63</v>
      </c>
      <c r="D120" s="56" t="s">
        <v>9822</v>
      </c>
      <c r="E120" s="56"/>
      <c r="F120" s="56" t="s">
        <v>96</v>
      </c>
      <c r="G120" s="39"/>
      <c r="H120" s="56"/>
      <c r="I120" s="56" t="s">
        <v>9816</v>
      </c>
      <c r="J120" s="56" t="s">
        <v>550</v>
      </c>
      <c r="K120" s="75">
        <v>553118</v>
      </c>
      <c r="L120" s="56" t="s">
        <v>552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75</v>
      </c>
      <c r="S120" s="56"/>
      <c r="T120" s="56" t="s">
        <v>2525</v>
      </c>
      <c r="U120" s="56" t="s">
        <v>2525</v>
      </c>
      <c r="V120" s="56"/>
      <c r="W120" s="39" t="s">
        <v>9971</v>
      </c>
      <c r="X120" s="90">
        <v>45759</v>
      </c>
      <c r="Y120" s="90"/>
      <c r="Z120" s="90"/>
      <c r="AA120" s="103">
        <v>371008429</v>
      </c>
      <c r="AB120" s="79" t="s">
        <v>122</v>
      </c>
      <c r="AC120" s="94" t="s">
        <v>314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66</v>
      </c>
      <c r="AK120" s="39" t="s">
        <v>10151</v>
      </c>
      <c r="AL120" s="39" t="s">
        <v>10163</v>
      </c>
      <c r="AM120" s="39" t="s">
        <v>10164</v>
      </c>
      <c r="AN120" s="39" t="s">
        <v>10164</v>
      </c>
      <c r="AO120" s="75">
        <f t="shared" si="7"/>
        <v>59</v>
      </c>
      <c r="AP120" s="18" t="s">
        <v>2538</v>
      </c>
      <c r="AQ120" s="113" t="s">
        <v>2538</v>
      </c>
    </row>
    <row r="121" spans="1:43" s="6" customFormat="1" ht="11.5">
      <c r="A121" s="74" t="s">
        <v>10167</v>
      </c>
      <c r="B121" s="56" t="s">
        <v>67</v>
      </c>
      <c r="C121" s="56" t="s">
        <v>63</v>
      </c>
      <c r="D121" s="56" t="s">
        <v>9822</v>
      </c>
      <c r="E121" s="56"/>
      <c r="F121" s="56" t="s">
        <v>96</v>
      </c>
      <c r="G121" s="39"/>
      <c r="H121" s="56"/>
      <c r="I121" s="56" t="s">
        <v>9816</v>
      </c>
      <c r="J121" s="56" t="s">
        <v>473</v>
      </c>
      <c r="K121" s="75">
        <v>553145</v>
      </c>
      <c r="L121" s="56" t="s">
        <v>530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75</v>
      </c>
      <c r="S121" s="56"/>
      <c r="T121" s="56" t="s">
        <v>2525</v>
      </c>
      <c r="U121" s="56" t="s">
        <v>2525</v>
      </c>
      <c r="V121" s="56"/>
      <c r="W121" s="39" t="s">
        <v>9971</v>
      </c>
      <c r="X121" s="90">
        <v>45759</v>
      </c>
      <c r="Y121" s="90"/>
      <c r="Z121" s="90"/>
      <c r="AA121" s="103">
        <v>371008427</v>
      </c>
      <c r="AB121" s="79" t="s">
        <v>122</v>
      </c>
      <c r="AC121" s="94" t="s">
        <v>314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66</v>
      </c>
      <c r="AK121" s="39" t="s">
        <v>10151</v>
      </c>
      <c r="AL121" s="39" t="s">
        <v>10163</v>
      </c>
      <c r="AM121" s="39" t="s">
        <v>10164</v>
      </c>
      <c r="AN121" s="39" t="s">
        <v>10164</v>
      </c>
      <c r="AO121" s="75">
        <f t="shared" si="7"/>
        <v>59</v>
      </c>
      <c r="AP121" s="18" t="s">
        <v>2538</v>
      </c>
      <c r="AQ121" s="113" t="s">
        <v>2538</v>
      </c>
    </row>
    <row r="122" spans="1:43" s="6" customFormat="1" ht="11.5" hidden="1">
      <c r="A122" s="74" t="s">
        <v>10168</v>
      </c>
      <c r="B122" s="56" t="s">
        <v>67</v>
      </c>
      <c r="C122" s="56" t="s">
        <v>63</v>
      </c>
      <c r="D122" s="56" t="s">
        <v>9822</v>
      </c>
      <c r="E122" s="56"/>
      <c r="F122" s="56" t="s">
        <v>96</v>
      </c>
      <c r="G122" s="39"/>
      <c r="H122" s="56"/>
      <c r="I122" s="56" t="s">
        <v>9816</v>
      </c>
      <c r="J122" s="56" t="s">
        <v>170</v>
      </c>
      <c r="K122" s="75">
        <v>552045</v>
      </c>
      <c r="L122" s="56" t="s">
        <v>172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75</v>
      </c>
      <c r="S122" s="56"/>
      <c r="T122" s="56" t="s">
        <v>2525</v>
      </c>
      <c r="U122" s="56" t="s">
        <v>2525</v>
      </c>
      <c r="V122" s="56"/>
      <c r="W122" s="39" t="s">
        <v>10012</v>
      </c>
      <c r="X122" s="90">
        <v>45767</v>
      </c>
      <c r="Y122" s="90"/>
      <c r="Z122" s="90"/>
      <c r="AA122" s="103">
        <v>371008441</v>
      </c>
      <c r="AB122" s="79" t="s">
        <v>122</v>
      </c>
      <c r="AC122" s="94" t="s">
        <v>78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66</v>
      </c>
      <c r="AK122" s="39" t="s">
        <v>10169</v>
      </c>
      <c r="AL122" s="39" t="s">
        <v>10170</v>
      </c>
      <c r="AM122" s="39" t="s">
        <v>10171</v>
      </c>
      <c r="AN122" s="39" t="s">
        <v>10171</v>
      </c>
      <c r="AO122" s="75">
        <f t="shared" si="7"/>
        <v>48</v>
      </c>
      <c r="AP122" s="18" t="s">
        <v>2538</v>
      </c>
      <c r="AQ122" s="113" t="s">
        <v>2538</v>
      </c>
    </row>
    <row r="123" spans="1:43" s="6" customFormat="1" ht="11.5">
      <c r="A123" s="74" t="s">
        <v>10172</v>
      </c>
      <c r="B123" s="56" t="s">
        <v>67</v>
      </c>
      <c r="C123" s="56" t="s">
        <v>63</v>
      </c>
      <c r="D123" s="56" t="s">
        <v>9822</v>
      </c>
      <c r="E123" s="56"/>
      <c r="F123" s="56" t="s">
        <v>96</v>
      </c>
      <c r="G123" s="39"/>
      <c r="H123" s="56"/>
      <c r="I123" s="56" t="s">
        <v>9816</v>
      </c>
      <c r="J123" s="56" t="s">
        <v>170</v>
      </c>
      <c r="K123" s="75">
        <v>552045</v>
      </c>
      <c r="L123" s="56" t="s">
        <v>172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75</v>
      </c>
      <c r="S123" s="111"/>
      <c r="T123" s="56" t="s">
        <v>2525</v>
      </c>
      <c r="U123" s="56" t="s">
        <v>2525</v>
      </c>
      <c r="V123" s="56"/>
      <c r="W123" s="18" t="s">
        <v>9971</v>
      </c>
      <c r="X123" s="90">
        <v>45764</v>
      </c>
      <c r="Y123" s="90"/>
      <c r="Z123" s="90"/>
      <c r="AA123" s="103">
        <v>371008422</v>
      </c>
      <c r="AB123" s="79" t="s">
        <v>122</v>
      </c>
      <c r="AC123" s="94" t="s">
        <v>314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66</v>
      </c>
      <c r="AK123" s="18" t="s">
        <v>10173</v>
      </c>
      <c r="AL123" s="18" t="s">
        <v>10174</v>
      </c>
      <c r="AM123" s="18" t="s">
        <v>10175</v>
      </c>
      <c r="AN123" s="18" t="s">
        <v>10175</v>
      </c>
      <c r="AO123" s="91">
        <f t="shared" si="7"/>
        <v>61</v>
      </c>
      <c r="AP123" s="18" t="s">
        <v>2538</v>
      </c>
      <c r="AQ123" s="113" t="s">
        <v>2538</v>
      </c>
    </row>
    <row r="124" spans="1:43" s="6" customFormat="1" ht="11.5" hidden="1">
      <c r="A124" s="74" t="s">
        <v>10176</v>
      </c>
      <c r="B124" s="56" t="s">
        <v>67</v>
      </c>
      <c r="C124" s="56" t="s">
        <v>63</v>
      </c>
      <c r="D124" s="56" t="s">
        <v>9822</v>
      </c>
      <c r="E124" s="56"/>
      <c r="F124" s="56"/>
      <c r="G124" s="39"/>
      <c r="H124" s="56"/>
      <c r="I124" s="56" t="s">
        <v>9816</v>
      </c>
      <c r="J124" s="56" t="s">
        <v>170</v>
      </c>
      <c r="K124" s="75">
        <v>552045</v>
      </c>
      <c r="L124" s="56" t="s">
        <v>172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75</v>
      </c>
      <c r="S124" s="56"/>
      <c r="T124" s="56" t="s">
        <v>2525</v>
      </c>
      <c r="U124" s="56" t="s">
        <v>2525</v>
      </c>
      <c r="V124" s="56"/>
      <c r="W124" s="39" t="s">
        <v>9971</v>
      </c>
      <c r="X124" s="78">
        <v>45764</v>
      </c>
      <c r="Y124" s="78"/>
      <c r="Z124" s="78"/>
      <c r="AA124" s="107">
        <v>371008424</v>
      </c>
      <c r="AB124" s="79" t="s">
        <v>122</v>
      </c>
      <c r="AC124" s="80" t="s">
        <v>124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66</v>
      </c>
      <c r="AK124" s="39" t="s">
        <v>10177</v>
      </c>
      <c r="AL124" s="39" t="s">
        <v>10178</v>
      </c>
      <c r="AM124" s="39" t="s">
        <v>10179</v>
      </c>
      <c r="AN124" s="39">
        <v>252585338</v>
      </c>
      <c r="AO124" s="75">
        <f t="shared" si="7"/>
        <v>41</v>
      </c>
      <c r="AP124" s="39" t="s">
        <v>10180</v>
      </c>
      <c r="AQ124" s="75" t="s">
        <v>2538</v>
      </c>
    </row>
    <row r="125" spans="1:43" s="6" customFormat="1" ht="11.5">
      <c r="A125" s="74" t="s">
        <v>10181</v>
      </c>
      <c r="B125" s="56" t="s">
        <v>67</v>
      </c>
      <c r="C125" s="56" t="s">
        <v>63</v>
      </c>
      <c r="D125" s="56" t="s">
        <v>9822</v>
      </c>
      <c r="E125" s="56"/>
      <c r="F125" s="56" t="s">
        <v>96</v>
      </c>
      <c r="G125" s="39"/>
      <c r="H125" s="56"/>
      <c r="I125" s="56" t="s">
        <v>9816</v>
      </c>
      <c r="J125" s="56" t="s">
        <v>473</v>
      </c>
      <c r="K125" s="75">
        <v>553145</v>
      </c>
      <c r="L125" s="56" t="s">
        <v>530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75</v>
      </c>
      <c r="S125" s="111"/>
      <c r="T125" s="56" t="s">
        <v>2525</v>
      </c>
      <c r="U125" s="56" t="s">
        <v>2525</v>
      </c>
      <c r="V125" s="56"/>
      <c r="W125" s="18" t="s">
        <v>9971</v>
      </c>
      <c r="X125" s="90">
        <v>45764</v>
      </c>
      <c r="Y125" s="90"/>
      <c r="Z125" s="90"/>
      <c r="AA125" s="103">
        <v>371008427</v>
      </c>
      <c r="AB125" s="79" t="s">
        <v>122</v>
      </c>
      <c r="AC125" s="94" t="s">
        <v>314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66</v>
      </c>
      <c r="AK125" s="18" t="s">
        <v>10173</v>
      </c>
      <c r="AL125" s="18" t="s">
        <v>10174</v>
      </c>
      <c r="AM125" s="18" t="s">
        <v>10175</v>
      </c>
      <c r="AN125" s="18" t="s">
        <v>10182</v>
      </c>
      <c r="AO125" s="91">
        <f t="shared" si="7"/>
        <v>61</v>
      </c>
      <c r="AP125" s="18" t="s">
        <v>2538</v>
      </c>
      <c r="AQ125" s="113" t="s">
        <v>2538</v>
      </c>
    </row>
    <row r="126" spans="1:43" s="6" customFormat="1" ht="11.5" hidden="1">
      <c r="A126" s="74" t="s">
        <v>10183</v>
      </c>
      <c r="B126" s="56" t="s">
        <v>67</v>
      </c>
      <c r="C126" s="56" t="s">
        <v>63</v>
      </c>
      <c r="D126" s="56" t="s">
        <v>9822</v>
      </c>
      <c r="E126" s="56"/>
      <c r="F126" s="56" t="s">
        <v>96</v>
      </c>
      <c r="G126" s="39"/>
      <c r="H126" s="56"/>
      <c r="I126" s="56" t="s">
        <v>9816</v>
      </c>
      <c r="J126" s="56" t="s">
        <v>170</v>
      </c>
      <c r="K126" s="75">
        <v>552026</v>
      </c>
      <c r="L126" s="56" t="s">
        <v>463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75</v>
      </c>
      <c r="S126" s="56"/>
      <c r="T126" s="56" t="s">
        <v>2525</v>
      </c>
      <c r="U126" s="56" t="s">
        <v>2525</v>
      </c>
      <c r="V126" s="56"/>
      <c r="W126" s="18" t="s">
        <v>10012</v>
      </c>
      <c r="X126" s="90">
        <v>45759</v>
      </c>
      <c r="Y126" s="90"/>
      <c r="Z126" s="90"/>
      <c r="AA126" s="103">
        <v>371008431</v>
      </c>
      <c r="AB126" s="79" t="s">
        <v>122</v>
      </c>
      <c r="AC126" s="94" t="s">
        <v>78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66</v>
      </c>
      <c r="AK126" s="39" t="s">
        <v>10151</v>
      </c>
      <c r="AL126" s="39" t="s">
        <v>10184</v>
      </c>
      <c r="AM126" s="39" t="s">
        <v>10185</v>
      </c>
      <c r="AN126" s="39" t="s">
        <v>10185</v>
      </c>
      <c r="AO126" s="91">
        <f t="shared" si="7"/>
        <v>63</v>
      </c>
      <c r="AP126" s="18" t="s">
        <v>2538</v>
      </c>
      <c r="AQ126" s="113" t="s">
        <v>2538</v>
      </c>
    </row>
    <row r="127" spans="1:43" s="6" customFormat="1" ht="11.5" hidden="1">
      <c r="A127" s="74" t="s">
        <v>10186</v>
      </c>
      <c r="B127" s="56" t="s">
        <v>67</v>
      </c>
      <c r="C127" s="56" t="s">
        <v>63</v>
      </c>
      <c r="D127" s="56" t="s">
        <v>9822</v>
      </c>
      <c r="E127" s="56"/>
      <c r="F127" s="56" t="s">
        <v>96</v>
      </c>
      <c r="G127" s="39"/>
      <c r="H127" s="56"/>
      <c r="I127" s="56" t="s">
        <v>9816</v>
      </c>
      <c r="J127" s="56" t="s">
        <v>170</v>
      </c>
      <c r="K127" s="75">
        <v>552026</v>
      </c>
      <c r="L127" s="56" t="s">
        <v>463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75</v>
      </c>
      <c r="S127" s="56"/>
      <c r="T127" s="56" t="s">
        <v>2525</v>
      </c>
      <c r="U127" s="56" t="s">
        <v>2525</v>
      </c>
      <c r="V127" s="56"/>
      <c r="W127" s="18" t="s">
        <v>10012</v>
      </c>
      <c r="X127" s="90">
        <v>45770</v>
      </c>
      <c r="Y127" s="90"/>
      <c r="Z127" s="90"/>
      <c r="AA127" s="116">
        <v>371008433</v>
      </c>
      <c r="AB127" s="117" t="s">
        <v>122</v>
      </c>
      <c r="AC127" s="94" t="s">
        <v>105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66</v>
      </c>
      <c r="AK127" s="39" t="s">
        <v>10187</v>
      </c>
      <c r="AL127" s="39" t="s">
        <v>10188</v>
      </c>
      <c r="AM127" s="39" t="s">
        <v>10189</v>
      </c>
      <c r="AN127" s="39" t="s">
        <v>10190</v>
      </c>
      <c r="AO127" s="91">
        <f t="shared" si="7"/>
        <v>65</v>
      </c>
      <c r="AP127" s="18" t="s">
        <v>2538</v>
      </c>
      <c r="AQ127" s="91" t="s">
        <v>2538</v>
      </c>
    </row>
    <row r="128" spans="1:43" s="6" customFormat="1" ht="11.5" hidden="1">
      <c r="A128" s="74" t="s">
        <v>10191</v>
      </c>
      <c r="B128" s="56" t="s">
        <v>67</v>
      </c>
      <c r="C128" s="56" t="s">
        <v>63</v>
      </c>
      <c r="D128" s="56" t="s">
        <v>9822</v>
      </c>
      <c r="E128" s="56"/>
      <c r="F128" s="56" t="s">
        <v>96</v>
      </c>
      <c r="G128" s="39"/>
      <c r="H128" s="56"/>
      <c r="I128" s="56" t="s">
        <v>9816</v>
      </c>
      <c r="J128" s="56" t="s">
        <v>170</v>
      </c>
      <c r="K128" s="75">
        <v>552045</v>
      </c>
      <c r="L128" s="56" t="s">
        <v>172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75</v>
      </c>
      <c r="S128" s="56"/>
      <c r="T128" s="56" t="s">
        <v>2525</v>
      </c>
      <c r="U128" s="56" t="s">
        <v>2525</v>
      </c>
      <c r="V128" s="56"/>
      <c r="W128" s="18" t="s">
        <v>10012</v>
      </c>
      <c r="X128" s="90">
        <v>45770</v>
      </c>
      <c r="Y128" s="90"/>
      <c r="Z128" s="90"/>
      <c r="AA128" s="116">
        <v>371008440</v>
      </c>
      <c r="AB128" s="117" t="s">
        <v>122</v>
      </c>
      <c r="AC128" s="94" t="s">
        <v>105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66</v>
      </c>
      <c r="AK128" s="39" t="s">
        <v>10187</v>
      </c>
      <c r="AL128" s="39" t="s">
        <v>10188</v>
      </c>
      <c r="AM128" s="39" t="s">
        <v>10189</v>
      </c>
      <c r="AN128" s="39" t="s">
        <v>10190</v>
      </c>
      <c r="AO128" s="91">
        <f t="shared" si="7"/>
        <v>65</v>
      </c>
      <c r="AP128" s="18" t="s">
        <v>2538</v>
      </c>
      <c r="AQ128" s="91" t="s">
        <v>2538</v>
      </c>
    </row>
    <row r="129" spans="1:43" s="6" customFormat="1" ht="11.5" hidden="1">
      <c r="A129" s="74" t="s">
        <v>10192</v>
      </c>
      <c r="B129" s="56" t="s">
        <v>67</v>
      </c>
      <c r="C129" s="56" t="s">
        <v>63</v>
      </c>
      <c r="D129" s="56" t="s">
        <v>9822</v>
      </c>
      <c r="E129" s="56"/>
      <c r="F129" s="56" t="s">
        <v>96</v>
      </c>
      <c r="G129" s="39"/>
      <c r="H129" s="56"/>
      <c r="I129" s="56" t="s">
        <v>9816</v>
      </c>
      <c r="J129" s="56" t="s">
        <v>170</v>
      </c>
      <c r="K129" s="75">
        <v>552045</v>
      </c>
      <c r="L129" s="56" t="s">
        <v>172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75</v>
      </c>
      <c r="S129" s="56"/>
      <c r="T129" s="56" t="s">
        <v>2525</v>
      </c>
      <c r="U129" s="56" t="s">
        <v>2525</v>
      </c>
      <c r="V129" s="56"/>
      <c r="W129" s="18" t="s">
        <v>9971</v>
      </c>
      <c r="X129" s="90">
        <v>45759</v>
      </c>
      <c r="Y129" s="90"/>
      <c r="Z129" s="90"/>
      <c r="AA129" s="103">
        <v>371008421</v>
      </c>
      <c r="AB129" s="79" t="s">
        <v>122</v>
      </c>
      <c r="AC129" s="94" t="s">
        <v>78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66</v>
      </c>
      <c r="AK129" s="39" t="s">
        <v>10151</v>
      </c>
      <c r="AL129" s="39" t="s">
        <v>10184</v>
      </c>
      <c r="AM129" s="39" t="s">
        <v>10185</v>
      </c>
      <c r="AN129" s="39" t="s">
        <v>10185</v>
      </c>
      <c r="AO129" s="91">
        <f t="shared" si="7"/>
        <v>63</v>
      </c>
      <c r="AP129" s="18" t="s">
        <v>2538</v>
      </c>
      <c r="AQ129" s="113" t="s">
        <v>2538</v>
      </c>
    </row>
    <row r="130" spans="1:43" s="6" customFormat="1" ht="11.5">
      <c r="A130" s="74" t="s">
        <v>10193</v>
      </c>
      <c r="B130" s="56" t="s">
        <v>67</v>
      </c>
      <c r="C130" s="56" t="s">
        <v>63</v>
      </c>
      <c r="D130" s="56" t="s">
        <v>9822</v>
      </c>
      <c r="E130" s="56"/>
      <c r="F130" s="56" t="s">
        <v>96</v>
      </c>
      <c r="G130" s="39"/>
      <c r="H130" s="56"/>
      <c r="I130" s="56" t="s">
        <v>9816</v>
      </c>
      <c r="J130" s="56" t="s">
        <v>170</v>
      </c>
      <c r="K130" s="75">
        <v>552045</v>
      </c>
      <c r="L130" s="56" t="s">
        <v>172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75</v>
      </c>
      <c r="S130" s="56"/>
      <c r="T130" s="56" t="s">
        <v>2525</v>
      </c>
      <c r="U130" s="56" t="s">
        <v>2525</v>
      </c>
      <c r="V130" s="56"/>
      <c r="W130" s="18" t="s">
        <v>10012</v>
      </c>
      <c r="X130" s="90">
        <v>45768</v>
      </c>
      <c r="Y130" s="90"/>
      <c r="Z130" s="90"/>
      <c r="AA130" s="103">
        <v>371008443</v>
      </c>
      <c r="AB130" s="79" t="s">
        <v>122</v>
      </c>
      <c r="AC130" s="94" t="s">
        <v>1561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66</v>
      </c>
      <c r="AK130" s="39" t="s">
        <v>10194</v>
      </c>
      <c r="AL130" s="39" t="s">
        <v>10195</v>
      </c>
      <c r="AM130" s="39" t="s">
        <v>10196</v>
      </c>
      <c r="AN130" s="39" t="s">
        <v>10196</v>
      </c>
      <c r="AO130" s="91">
        <f t="shared" si="7"/>
        <v>55</v>
      </c>
      <c r="AP130" s="18" t="s">
        <v>2538</v>
      </c>
      <c r="AQ130" s="113" t="s">
        <v>2538</v>
      </c>
    </row>
    <row r="131" spans="1:43" s="6" customFormat="1" ht="11.5" hidden="1">
      <c r="A131" s="74" t="s">
        <v>10197</v>
      </c>
      <c r="B131" s="56" t="s">
        <v>67</v>
      </c>
      <c r="C131" s="56" t="s">
        <v>63</v>
      </c>
      <c r="D131" s="56" t="s">
        <v>146</v>
      </c>
      <c r="E131" s="118" t="s">
        <v>111</v>
      </c>
      <c r="F131" s="56" t="s">
        <v>2710</v>
      </c>
      <c r="G131" s="39"/>
      <c r="H131" s="56"/>
      <c r="I131" s="82" t="s">
        <v>9816</v>
      </c>
      <c r="J131" s="56" t="s">
        <v>550</v>
      </c>
      <c r="K131" s="75">
        <v>553120</v>
      </c>
      <c r="L131" s="56" t="s">
        <v>2745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75</v>
      </c>
      <c r="S131" s="99"/>
      <c r="T131" s="56" t="s">
        <v>2525</v>
      </c>
      <c r="U131" s="56" t="s">
        <v>2525</v>
      </c>
      <c r="V131" s="56"/>
      <c r="W131" s="18" t="s">
        <v>9971</v>
      </c>
      <c r="X131" s="78">
        <v>45776</v>
      </c>
      <c r="Y131" s="78"/>
      <c r="Z131" s="78"/>
      <c r="AA131" s="119">
        <v>371008490</v>
      </c>
      <c r="AB131" s="79" t="s">
        <v>122</v>
      </c>
      <c r="AC131" s="80" t="s">
        <v>78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146</v>
      </c>
      <c r="AK131" s="39" t="s">
        <v>10198</v>
      </c>
      <c r="AL131" s="39" t="s">
        <v>10199</v>
      </c>
      <c r="AM131" s="39" t="s">
        <v>10200</v>
      </c>
      <c r="AN131" s="39" t="s">
        <v>10200</v>
      </c>
      <c r="AO131" s="91">
        <f t="shared" si="7"/>
        <v>48</v>
      </c>
      <c r="AP131" s="18" t="s">
        <v>10201</v>
      </c>
      <c r="AQ131" s="91" t="s">
        <v>2538</v>
      </c>
    </row>
    <row r="132" spans="1:43" s="6" customFormat="1" ht="11.5">
      <c r="A132" s="74" t="s">
        <v>10202</v>
      </c>
      <c r="B132" s="56" t="s">
        <v>67</v>
      </c>
      <c r="C132" s="56" t="s">
        <v>63</v>
      </c>
      <c r="D132" s="56" t="s">
        <v>9822</v>
      </c>
      <c r="E132" s="56"/>
      <c r="F132" s="56" t="s">
        <v>96</v>
      </c>
      <c r="G132" s="39"/>
      <c r="H132" s="56"/>
      <c r="I132" s="56" t="s">
        <v>9816</v>
      </c>
      <c r="J132" s="56" t="s">
        <v>170</v>
      </c>
      <c r="K132" s="75">
        <v>552045</v>
      </c>
      <c r="L132" s="56" t="s">
        <v>172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75</v>
      </c>
      <c r="S132" s="56"/>
      <c r="T132" s="56" t="s">
        <v>2525</v>
      </c>
      <c r="U132" s="56" t="s">
        <v>2525</v>
      </c>
      <c r="V132" s="56"/>
      <c r="W132" s="18" t="s">
        <v>9971</v>
      </c>
      <c r="X132" s="90">
        <v>45764</v>
      </c>
      <c r="Y132" s="90"/>
      <c r="Z132" s="90"/>
      <c r="AA132" s="103">
        <v>371008423</v>
      </c>
      <c r="AB132" s="79" t="s">
        <v>122</v>
      </c>
      <c r="AC132" s="94" t="s">
        <v>1561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66</v>
      </c>
      <c r="AK132" s="39" t="s">
        <v>10173</v>
      </c>
      <c r="AL132" s="39" t="s">
        <v>10203</v>
      </c>
      <c r="AM132" s="39" t="s">
        <v>10204</v>
      </c>
      <c r="AN132" s="39" t="s">
        <v>10205</v>
      </c>
      <c r="AO132" s="91">
        <f t="shared" ref="AO132:AO168" si="10">DATEDIF(AD132,AG132,"d")+1</f>
        <v>61</v>
      </c>
      <c r="AP132" s="18" t="s">
        <v>2538</v>
      </c>
      <c r="AQ132" s="91" t="s">
        <v>2538</v>
      </c>
    </row>
    <row r="133" spans="1:43" s="6" customFormat="1" ht="11.5">
      <c r="A133" s="74" t="s">
        <v>10206</v>
      </c>
      <c r="B133" s="56" t="s">
        <v>67</v>
      </c>
      <c r="C133" s="56" t="s">
        <v>63</v>
      </c>
      <c r="D133" s="56" t="s">
        <v>9822</v>
      </c>
      <c r="E133" s="56"/>
      <c r="F133" s="56" t="s">
        <v>96</v>
      </c>
      <c r="G133" s="39"/>
      <c r="H133" s="56"/>
      <c r="I133" s="56" t="s">
        <v>9816</v>
      </c>
      <c r="J133" s="56" t="s">
        <v>170</v>
      </c>
      <c r="K133" s="75">
        <v>552045</v>
      </c>
      <c r="L133" s="56" t="s">
        <v>172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75</v>
      </c>
      <c r="S133" s="56"/>
      <c r="T133" s="56" t="s">
        <v>2525</v>
      </c>
      <c r="U133" s="56" t="s">
        <v>2525</v>
      </c>
      <c r="V133" s="56"/>
      <c r="W133" s="18" t="s">
        <v>10012</v>
      </c>
      <c r="X133" s="90">
        <v>45768</v>
      </c>
      <c r="Y133" s="90"/>
      <c r="Z133" s="90"/>
      <c r="AA133" s="116">
        <v>371008442</v>
      </c>
      <c r="AB133" s="79" t="s">
        <v>122</v>
      </c>
      <c r="AC133" s="94" t="s">
        <v>314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66</v>
      </c>
      <c r="AK133" s="39" t="s">
        <v>10194</v>
      </c>
      <c r="AL133" s="39" t="s">
        <v>10207</v>
      </c>
      <c r="AM133" s="39" t="s">
        <v>10208</v>
      </c>
      <c r="AN133" s="39" t="s">
        <v>10208</v>
      </c>
      <c r="AO133" s="91">
        <f t="shared" si="10"/>
        <v>63</v>
      </c>
      <c r="AP133" s="18" t="s">
        <v>2538</v>
      </c>
      <c r="AQ133" s="91" t="s">
        <v>2538</v>
      </c>
    </row>
    <row r="134" spans="1:43" s="6" customFormat="1" ht="11.5">
      <c r="A134" s="74" t="s">
        <v>10209</v>
      </c>
      <c r="B134" s="56" t="s">
        <v>67</v>
      </c>
      <c r="C134" s="56" t="s">
        <v>63</v>
      </c>
      <c r="D134" s="56" t="s">
        <v>9822</v>
      </c>
      <c r="E134" s="56"/>
      <c r="F134" s="56" t="s">
        <v>96</v>
      </c>
      <c r="G134" s="39"/>
      <c r="H134" s="56"/>
      <c r="I134" s="56" t="s">
        <v>9816</v>
      </c>
      <c r="J134" s="56" t="s">
        <v>550</v>
      </c>
      <c r="K134" s="75">
        <v>553118</v>
      </c>
      <c r="L134" s="56" t="s">
        <v>552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75</v>
      </c>
      <c r="S134" s="56"/>
      <c r="T134" s="56" t="s">
        <v>2525</v>
      </c>
      <c r="U134" s="56" t="s">
        <v>2525</v>
      </c>
      <c r="V134" s="56"/>
      <c r="W134" s="18" t="s">
        <v>9971</v>
      </c>
      <c r="X134" s="90">
        <v>45776</v>
      </c>
      <c r="Y134" s="90"/>
      <c r="Z134" s="90"/>
      <c r="AA134" s="116">
        <v>371008474</v>
      </c>
      <c r="AB134" s="79" t="s">
        <v>122</v>
      </c>
      <c r="AC134" s="94" t="s">
        <v>314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66</v>
      </c>
      <c r="AK134" s="39" t="s">
        <v>10210</v>
      </c>
      <c r="AL134" s="39" t="s">
        <v>10211</v>
      </c>
      <c r="AM134" s="39" t="s">
        <v>10212</v>
      </c>
      <c r="AN134" s="39" t="s">
        <v>10212</v>
      </c>
      <c r="AO134" s="91">
        <f t="shared" si="10"/>
        <v>66</v>
      </c>
      <c r="AP134" s="18" t="s">
        <v>2538</v>
      </c>
      <c r="AQ134" s="91" t="s">
        <v>2538</v>
      </c>
    </row>
    <row r="135" spans="1:43" s="6" customFormat="1" ht="11.5" hidden="1">
      <c r="A135" s="74" t="s">
        <v>10213</v>
      </c>
      <c r="B135" s="56" t="s">
        <v>67</v>
      </c>
      <c r="C135" s="56" t="s">
        <v>63</v>
      </c>
      <c r="D135" s="56" t="s">
        <v>9822</v>
      </c>
      <c r="E135" s="56"/>
      <c r="F135" s="56" t="s">
        <v>96</v>
      </c>
      <c r="G135" s="39"/>
      <c r="H135" s="56"/>
      <c r="I135" s="56" t="s">
        <v>9816</v>
      </c>
      <c r="J135" s="56" t="s">
        <v>170</v>
      </c>
      <c r="K135" s="75">
        <v>552045</v>
      </c>
      <c r="L135" s="56" t="s">
        <v>172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75</v>
      </c>
      <c r="S135" s="56"/>
      <c r="T135" s="56" t="s">
        <v>2525</v>
      </c>
      <c r="U135" s="56" t="s">
        <v>2525</v>
      </c>
      <c r="V135" s="56"/>
      <c r="W135" s="18" t="s">
        <v>10214</v>
      </c>
      <c r="X135" s="90">
        <v>45785</v>
      </c>
      <c r="Y135" s="90"/>
      <c r="Z135" s="90"/>
      <c r="AA135" s="121">
        <v>371008522</v>
      </c>
      <c r="AB135" s="79" t="s">
        <v>122</v>
      </c>
      <c r="AC135" s="94" t="s">
        <v>124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66</v>
      </c>
      <c r="AK135" s="39" t="s">
        <v>10215</v>
      </c>
      <c r="AL135" s="39" t="s">
        <v>10216</v>
      </c>
      <c r="AM135" s="39" t="s">
        <v>10217</v>
      </c>
      <c r="AN135" s="39" t="s">
        <v>10217</v>
      </c>
      <c r="AO135" s="91">
        <f t="shared" si="10"/>
        <v>46</v>
      </c>
      <c r="AP135" s="18" t="s">
        <v>2538</v>
      </c>
      <c r="AQ135" s="91" t="s">
        <v>2538</v>
      </c>
    </row>
    <row r="136" spans="1:43" s="6" customFormat="1" ht="11.5" hidden="1">
      <c r="A136" s="74" t="s">
        <v>10218</v>
      </c>
      <c r="B136" s="56" t="s">
        <v>67</v>
      </c>
      <c r="C136" s="56" t="s">
        <v>63</v>
      </c>
      <c r="D136" s="56" t="s">
        <v>9822</v>
      </c>
      <c r="E136" s="56"/>
      <c r="F136" s="56" t="s">
        <v>96</v>
      </c>
      <c r="G136" s="39"/>
      <c r="H136" s="56"/>
      <c r="I136" s="56" t="s">
        <v>9816</v>
      </c>
      <c r="J136" s="56" t="s">
        <v>170</v>
      </c>
      <c r="K136" s="75">
        <v>552026</v>
      </c>
      <c r="L136" s="56" t="s">
        <v>463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75</v>
      </c>
      <c r="S136" s="56"/>
      <c r="T136" s="56" t="s">
        <v>2525</v>
      </c>
      <c r="U136" s="56" t="s">
        <v>2525</v>
      </c>
      <c r="V136" s="56"/>
      <c r="W136" s="18" t="s">
        <v>10012</v>
      </c>
      <c r="X136" s="90">
        <v>45767</v>
      </c>
      <c r="Y136" s="90"/>
      <c r="Z136" s="90"/>
      <c r="AA136" s="121">
        <v>371008431</v>
      </c>
      <c r="AB136" s="79" t="s">
        <v>122</v>
      </c>
      <c r="AC136" s="94" t="s">
        <v>78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66</v>
      </c>
      <c r="AK136" s="39" t="s">
        <v>10194</v>
      </c>
      <c r="AL136" s="39" t="s">
        <v>10219</v>
      </c>
      <c r="AM136" s="39" t="s">
        <v>10220</v>
      </c>
      <c r="AN136" s="39" t="s">
        <v>10220</v>
      </c>
      <c r="AO136" s="91">
        <f t="shared" si="10"/>
        <v>68</v>
      </c>
      <c r="AP136" s="18" t="s">
        <v>2538</v>
      </c>
      <c r="AQ136" s="91" t="s">
        <v>2538</v>
      </c>
    </row>
    <row r="137" spans="1:43" s="6" customFormat="1" ht="11.5">
      <c r="A137" s="74" t="s">
        <v>10221</v>
      </c>
      <c r="B137" s="122" t="s">
        <v>67</v>
      </c>
      <c r="C137" s="122" t="s">
        <v>63</v>
      </c>
      <c r="D137" s="122" t="s">
        <v>9822</v>
      </c>
      <c r="E137" s="122"/>
      <c r="F137" s="56" t="s">
        <v>96</v>
      </c>
      <c r="G137" s="39"/>
      <c r="H137" s="56"/>
      <c r="I137" s="56" t="s">
        <v>9816</v>
      </c>
      <c r="J137" s="122" t="s">
        <v>170</v>
      </c>
      <c r="K137" s="123">
        <v>552045</v>
      </c>
      <c r="L137" s="122" t="s">
        <v>172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75</v>
      </c>
      <c r="S137" s="56"/>
      <c r="T137" s="56" t="s">
        <v>2525</v>
      </c>
      <c r="U137" s="56" t="s">
        <v>2525</v>
      </c>
      <c r="V137" s="56"/>
      <c r="W137" s="18" t="s">
        <v>10214</v>
      </c>
      <c r="X137" s="90">
        <v>45785</v>
      </c>
      <c r="Y137" s="90"/>
      <c r="Z137" s="90"/>
      <c r="AA137" s="116">
        <v>371008520</v>
      </c>
      <c r="AB137" s="117" t="s">
        <v>122</v>
      </c>
      <c r="AC137" s="94" t="s">
        <v>314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66</v>
      </c>
      <c r="AK137" s="39" t="s">
        <v>10222</v>
      </c>
      <c r="AL137" s="39" t="s">
        <v>10223</v>
      </c>
      <c r="AM137" s="39" t="s">
        <v>10224</v>
      </c>
      <c r="AN137" s="39" t="s">
        <v>10224</v>
      </c>
      <c r="AO137" s="91">
        <f t="shared" si="10"/>
        <v>56</v>
      </c>
      <c r="AP137" s="18" t="s">
        <v>2538</v>
      </c>
      <c r="AQ137" s="91" t="s">
        <v>2538</v>
      </c>
    </row>
    <row r="138" spans="1:43" s="6" customFormat="1" ht="11.5" hidden="1">
      <c r="A138" s="124" t="s">
        <v>10225</v>
      </c>
      <c r="B138" s="39" t="s">
        <v>67</v>
      </c>
      <c r="C138" s="39" t="s">
        <v>63</v>
      </c>
      <c r="D138" s="39" t="s">
        <v>9822</v>
      </c>
      <c r="E138" s="39"/>
      <c r="F138" s="56" t="s">
        <v>96</v>
      </c>
      <c r="G138" s="39"/>
      <c r="H138" s="56"/>
      <c r="I138" s="56" t="s">
        <v>9816</v>
      </c>
      <c r="J138" s="39" t="s">
        <v>170</v>
      </c>
      <c r="K138" s="75">
        <v>552045</v>
      </c>
      <c r="L138" s="39" t="s">
        <v>172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75</v>
      </c>
      <c r="S138" s="75"/>
      <c r="T138" s="56" t="s">
        <v>2525</v>
      </c>
      <c r="U138" s="56" t="s">
        <v>2525</v>
      </c>
      <c r="V138" s="56"/>
      <c r="W138" s="125" t="s">
        <v>10214</v>
      </c>
      <c r="X138" s="90">
        <v>45792</v>
      </c>
      <c r="Y138" s="90"/>
      <c r="Z138" s="90"/>
      <c r="AA138" s="116">
        <v>371008527</v>
      </c>
      <c r="AB138" s="117" t="s">
        <v>122</v>
      </c>
      <c r="AC138" s="19" t="s">
        <v>124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66</v>
      </c>
      <c r="AK138" s="39" t="s">
        <v>10226</v>
      </c>
      <c r="AL138" s="39" t="s">
        <v>10227</v>
      </c>
      <c r="AM138" s="39" t="s">
        <v>10228</v>
      </c>
      <c r="AN138" s="39" t="s">
        <v>10228</v>
      </c>
      <c r="AO138" s="91">
        <f t="shared" si="10"/>
        <v>43</v>
      </c>
      <c r="AP138" s="18" t="s">
        <v>2538</v>
      </c>
      <c r="AQ138" s="91" t="s">
        <v>2538</v>
      </c>
    </row>
    <row r="139" spans="1:43" s="6" customFormat="1" ht="11.5" hidden="1">
      <c r="A139" s="124" t="s">
        <v>10229</v>
      </c>
      <c r="B139" s="56" t="s">
        <v>67</v>
      </c>
      <c r="C139" s="56" t="s">
        <v>63</v>
      </c>
      <c r="D139" s="56" t="s">
        <v>9822</v>
      </c>
      <c r="E139" s="56"/>
      <c r="F139" s="56" t="s">
        <v>96</v>
      </c>
      <c r="G139" s="39"/>
      <c r="H139" s="56"/>
      <c r="I139" s="56" t="s">
        <v>9816</v>
      </c>
      <c r="J139" s="56" t="s">
        <v>170</v>
      </c>
      <c r="K139" s="75">
        <v>552026</v>
      </c>
      <c r="L139" s="56" t="s">
        <v>463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75</v>
      </c>
      <c r="S139" s="56"/>
      <c r="T139" s="56" t="s">
        <v>2525</v>
      </c>
      <c r="U139" s="56" t="s">
        <v>2525</v>
      </c>
      <c r="V139" s="56"/>
      <c r="W139" s="39" t="s">
        <v>10214</v>
      </c>
      <c r="X139" s="78">
        <v>45795</v>
      </c>
      <c r="Y139" s="90"/>
      <c r="Z139" s="90"/>
      <c r="AA139" s="121">
        <v>371008512</v>
      </c>
      <c r="AB139" s="79" t="s">
        <v>122</v>
      </c>
      <c r="AC139" s="38" t="s">
        <v>78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66</v>
      </c>
      <c r="AK139" s="39" t="s">
        <v>10230</v>
      </c>
      <c r="AL139" s="39" t="s">
        <v>10231</v>
      </c>
      <c r="AM139" s="39" t="s">
        <v>10232</v>
      </c>
      <c r="AN139" s="39" t="s">
        <v>10232</v>
      </c>
      <c r="AO139" s="75">
        <f t="shared" si="10"/>
        <v>50</v>
      </c>
      <c r="AP139" s="39" t="s">
        <v>2538</v>
      </c>
      <c r="AQ139" s="75" t="s">
        <v>2538</v>
      </c>
    </row>
    <row r="140" spans="1:43" s="6" customFormat="1" ht="11.5">
      <c r="A140" s="74" t="s">
        <v>10233</v>
      </c>
      <c r="B140" s="56" t="s">
        <v>67</v>
      </c>
      <c r="C140" s="56" t="s">
        <v>63</v>
      </c>
      <c r="D140" s="56" t="s">
        <v>9822</v>
      </c>
      <c r="E140" s="56"/>
      <c r="F140" s="56" t="s">
        <v>96</v>
      </c>
      <c r="G140" s="39"/>
      <c r="H140" s="56"/>
      <c r="I140" s="56" t="s">
        <v>9816</v>
      </c>
      <c r="J140" s="56" t="s">
        <v>170</v>
      </c>
      <c r="K140" s="75">
        <v>552045</v>
      </c>
      <c r="L140" s="56" t="s">
        <v>172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75</v>
      </c>
      <c r="S140" s="56"/>
      <c r="T140" s="56" t="s">
        <v>2525</v>
      </c>
      <c r="U140" s="56" t="s">
        <v>2525</v>
      </c>
      <c r="V140" s="56"/>
      <c r="W140" s="39" t="s">
        <v>10214</v>
      </c>
      <c r="X140" s="78">
        <v>45785</v>
      </c>
      <c r="Y140" s="90"/>
      <c r="Z140" s="90"/>
      <c r="AA140" s="121">
        <v>371008521</v>
      </c>
      <c r="AB140" s="79" t="s">
        <v>122</v>
      </c>
      <c r="AC140" s="80" t="s">
        <v>1561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66</v>
      </c>
      <c r="AK140" s="39" t="s">
        <v>10222</v>
      </c>
      <c r="AL140" s="39" t="s">
        <v>10234</v>
      </c>
      <c r="AM140" s="39" t="s">
        <v>10235</v>
      </c>
      <c r="AN140" s="39" t="s">
        <v>10235</v>
      </c>
      <c r="AO140" s="75">
        <f t="shared" si="10"/>
        <v>50</v>
      </c>
      <c r="AP140" s="39" t="s">
        <v>2538</v>
      </c>
      <c r="AQ140" s="75" t="s">
        <v>2538</v>
      </c>
    </row>
    <row r="141" spans="1:43" s="6" customFormat="1" ht="11.5" hidden="1">
      <c r="A141" s="74" t="s">
        <v>10236</v>
      </c>
      <c r="B141" s="56" t="s">
        <v>67</v>
      </c>
      <c r="C141" s="56" t="s">
        <v>63</v>
      </c>
      <c r="D141" s="56" t="s">
        <v>9822</v>
      </c>
      <c r="E141" s="56"/>
      <c r="F141" s="56"/>
      <c r="G141" s="39"/>
      <c r="H141" s="56"/>
      <c r="I141" s="56" t="s">
        <v>9816</v>
      </c>
      <c r="J141" s="56" t="s">
        <v>550</v>
      </c>
      <c r="K141" s="75">
        <v>553120</v>
      </c>
      <c r="L141" s="56" t="s">
        <v>2745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75</v>
      </c>
      <c r="S141" s="56"/>
      <c r="T141" s="56" t="s">
        <v>2525</v>
      </c>
      <c r="U141" s="56" t="s">
        <v>2525</v>
      </c>
      <c r="V141" s="56"/>
      <c r="W141" s="39" t="s">
        <v>9971</v>
      </c>
      <c r="X141" s="78">
        <v>45776</v>
      </c>
      <c r="Y141" s="78"/>
      <c r="Z141" s="78"/>
      <c r="AA141" s="121">
        <v>371008491</v>
      </c>
      <c r="AB141" s="79" t="s">
        <v>122</v>
      </c>
      <c r="AC141" s="80" t="s">
        <v>78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146</v>
      </c>
      <c r="AK141" s="39" t="s">
        <v>10210</v>
      </c>
      <c r="AL141" s="39">
        <v>46010504</v>
      </c>
      <c r="AM141" s="39" t="s">
        <v>10237</v>
      </c>
      <c r="AN141" s="39" t="s">
        <v>10237</v>
      </c>
      <c r="AO141" s="75">
        <f t="shared" si="10"/>
        <v>51</v>
      </c>
      <c r="AP141" s="39" t="s">
        <v>10201</v>
      </c>
      <c r="AQ141" s="75" t="s">
        <v>2538</v>
      </c>
    </row>
    <row r="142" spans="1:43" s="6" customFormat="1" ht="11.5" hidden="1">
      <c r="A142" s="124" t="s">
        <v>10238</v>
      </c>
      <c r="B142" s="39" t="s">
        <v>67</v>
      </c>
      <c r="C142" s="39" t="s">
        <v>63</v>
      </c>
      <c r="D142" s="39" t="s">
        <v>9822</v>
      </c>
      <c r="E142" s="39"/>
      <c r="F142" s="79" t="s">
        <v>2533</v>
      </c>
      <c r="G142" s="39"/>
      <c r="H142" s="39"/>
      <c r="I142" s="82" t="s">
        <v>9816</v>
      </c>
      <c r="J142" s="79" t="s">
        <v>170</v>
      </c>
      <c r="K142" s="83">
        <v>552045</v>
      </c>
      <c r="L142" s="39" t="s">
        <v>172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75</v>
      </c>
      <c r="S142" s="75"/>
      <c r="T142" s="56" t="s">
        <v>2525</v>
      </c>
      <c r="U142" s="56" t="s">
        <v>2525</v>
      </c>
      <c r="V142" s="56"/>
      <c r="W142" s="126" t="s">
        <v>10214</v>
      </c>
      <c r="X142" s="1118">
        <v>45789</v>
      </c>
      <c r="Y142" s="90"/>
      <c r="Z142" s="90"/>
      <c r="AA142" s="119">
        <v>371008528</v>
      </c>
      <c r="AB142" s="79" t="s">
        <v>122</v>
      </c>
      <c r="AC142" s="1119" t="s">
        <v>159</v>
      </c>
      <c r="AD142" s="1118">
        <v>45794</v>
      </c>
      <c r="AE142" s="1118">
        <v>45794</v>
      </c>
      <c r="AF142" s="1118">
        <v>45794</v>
      </c>
      <c r="AG142" s="1118">
        <v>45843</v>
      </c>
      <c r="AH142" s="1118">
        <v>45843</v>
      </c>
      <c r="AI142" s="1118">
        <v>45843</v>
      </c>
      <c r="AJ142" s="1120" t="s">
        <v>146</v>
      </c>
      <c r="AK142" s="1121" t="s">
        <v>10239</v>
      </c>
      <c r="AL142" s="39">
        <v>46010580</v>
      </c>
      <c r="AM142" s="1121" t="s">
        <v>10240</v>
      </c>
      <c r="AN142" s="1121" t="s">
        <v>10241</v>
      </c>
      <c r="AO142" s="75">
        <f t="shared" si="10"/>
        <v>50</v>
      </c>
      <c r="AP142" s="39" t="s">
        <v>2538</v>
      </c>
      <c r="AQ142" s="75" t="s">
        <v>2538</v>
      </c>
    </row>
    <row r="143" spans="1:43" s="6" customFormat="1" ht="11.5" hidden="1">
      <c r="A143" s="1122" t="s">
        <v>10242</v>
      </c>
      <c r="B143" s="1122" t="s">
        <v>67</v>
      </c>
      <c r="C143" s="1122" t="s">
        <v>63</v>
      </c>
      <c r="D143" s="1122" t="s">
        <v>9822</v>
      </c>
      <c r="E143" s="1122"/>
      <c r="F143" s="118"/>
      <c r="G143" s="39"/>
      <c r="H143" s="56"/>
      <c r="I143" s="56" t="s">
        <v>9816</v>
      </c>
      <c r="J143" s="118" t="s">
        <v>550</v>
      </c>
      <c r="K143" s="1123">
        <v>553120</v>
      </c>
      <c r="L143" s="1122" t="s">
        <v>2745</v>
      </c>
      <c r="M143" s="1124">
        <v>500</v>
      </c>
      <c r="N143" s="1124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75</v>
      </c>
      <c r="S143" s="1122"/>
      <c r="T143" s="56" t="s">
        <v>2525</v>
      </c>
      <c r="U143" s="56" t="s">
        <v>2525</v>
      </c>
      <c r="V143" s="56"/>
      <c r="W143" s="1121" t="s">
        <v>9971</v>
      </c>
      <c r="X143" s="1118">
        <v>45786</v>
      </c>
      <c r="Y143" s="78"/>
      <c r="Z143" s="78"/>
      <c r="AA143" s="127">
        <v>371008492</v>
      </c>
      <c r="AB143" s="79" t="s">
        <v>122</v>
      </c>
      <c r="AC143" s="1125" t="s">
        <v>78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120" t="s">
        <v>146</v>
      </c>
      <c r="AK143" s="1121" t="s">
        <v>10222</v>
      </c>
      <c r="AL143" s="39">
        <v>46010565</v>
      </c>
      <c r="AM143" s="1121" t="s">
        <v>10243</v>
      </c>
      <c r="AN143" s="1012" t="s">
        <v>10243</v>
      </c>
      <c r="AO143" s="75">
        <f t="shared" si="10"/>
        <v>61</v>
      </c>
      <c r="AP143" s="39" t="s">
        <v>10201</v>
      </c>
      <c r="AQ143" s="75" t="s">
        <v>2538</v>
      </c>
    </row>
    <row r="144" spans="1:43" s="6" customFormat="1" ht="11.5" hidden="1">
      <c r="A144" s="74" t="s">
        <v>10244</v>
      </c>
      <c r="B144" s="56" t="s">
        <v>67</v>
      </c>
      <c r="C144" s="56" t="s">
        <v>63</v>
      </c>
      <c r="D144" s="56" t="s">
        <v>9822</v>
      </c>
      <c r="E144" s="56"/>
      <c r="F144" s="118" t="s">
        <v>96</v>
      </c>
      <c r="G144" s="39"/>
      <c r="H144" s="56"/>
      <c r="I144" s="56" t="s">
        <v>9816</v>
      </c>
      <c r="J144" s="118" t="s">
        <v>550</v>
      </c>
      <c r="K144" s="83">
        <v>553118</v>
      </c>
      <c r="L144" s="56" t="s">
        <v>552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75</v>
      </c>
      <c r="S144" s="56"/>
      <c r="T144" s="56" t="s">
        <v>2525</v>
      </c>
      <c r="U144" s="56" t="s">
        <v>2525</v>
      </c>
      <c r="V144" s="56"/>
      <c r="W144" s="39" t="s">
        <v>9971</v>
      </c>
      <c r="X144" s="1118">
        <v>45786</v>
      </c>
      <c r="Y144" s="78"/>
      <c r="Z144" s="78"/>
      <c r="AA144" s="119">
        <v>371008475</v>
      </c>
      <c r="AB144" s="79" t="s">
        <v>122</v>
      </c>
      <c r="AC144" s="1125" t="s">
        <v>78</v>
      </c>
      <c r="AD144" s="1118">
        <v>45792</v>
      </c>
      <c r="AE144" s="1118">
        <v>45792</v>
      </c>
      <c r="AF144" s="1118">
        <v>45792</v>
      </c>
      <c r="AG144" s="90">
        <v>45852</v>
      </c>
      <c r="AH144" s="90">
        <v>45852</v>
      </c>
      <c r="AI144" s="90">
        <v>45852</v>
      </c>
      <c r="AJ144" s="1124" t="s">
        <v>66</v>
      </c>
      <c r="AK144" s="1121" t="s">
        <v>10222</v>
      </c>
      <c r="AL144" s="39" t="s">
        <v>10245</v>
      </c>
      <c r="AM144" s="1121" t="s">
        <v>10246</v>
      </c>
      <c r="AN144" s="128" t="s">
        <v>10246</v>
      </c>
      <c r="AO144" s="75">
        <f t="shared" si="10"/>
        <v>61</v>
      </c>
      <c r="AP144" s="39" t="s">
        <v>2538</v>
      </c>
      <c r="AQ144" s="75" t="s">
        <v>2538</v>
      </c>
    </row>
    <row r="145" spans="1:43" s="6" customFormat="1" ht="11.5">
      <c r="A145" s="1121" t="s">
        <v>10247</v>
      </c>
      <c r="B145" s="1122" t="s">
        <v>67</v>
      </c>
      <c r="C145" s="1122" t="s">
        <v>63</v>
      </c>
      <c r="D145" s="1122" t="s">
        <v>9822</v>
      </c>
      <c r="E145" s="1122"/>
      <c r="F145" s="118" t="s">
        <v>96</v>
      </c>
      <c r="G145" s="39"/>
      <c r="H145" s="56"/>
      <c r="I145" s="56" t="s">
        <v>9816</v>
      </c>
      <c r="J145" s="118" t="s">
        <v>170</v>
      </c>
      <c r="K145" s="1123">
        <v>552026</v>
      </c>
      <c r="L145" s="1122" t="s">
        <v>463</v>
      </c>
      <c r="M145" s="1124">
        <v>550</v>
      </c>
      <c r="N145" s="1124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75</v>
      </c>
      <c r="S145" s="1122"/>
      <c r="T145" s="56" t="s">
        <v>2525</v>
      </c>
      <c r="U145" s="56" t="s">
        <v>2525</v>
      </c>
      <c r="V145" s="56"/>
      <c r="W145" s="1121" t="s">
        <v>10214</v>
      </c>
      <c r="X145" s="1118">
        <v>45792</v>
      </c>
      <c r="Y145" s="90"/>
      <c r="Z145" s="90"/>
      <c r="AA145" s="121">
        <v>371008513</v>
      </c>
      <c r="AB145" s="79" t="s">
        <v>122</v>
      </c>
      <c r="AC145" s="1119" t="s">
        <v>314</v>
      </c>
      <c r="AD145" s="1118">
        <v>45798</v>
      </c>
      <c r="AE145" s="1118">
        <v>45798</v>
      </c>
      <c r="AF145" s="1118">
        <v>45798</v>
      </c>
      <c r="AG145" s="1118">
        <v>45849</v>
      </c>
      <c r="AH145" s="1118">
        <v>45849</v>
      </c>
      <c r="AI145" s="1118">
        <v>45849</v>
      </c>
      <c r="AJ145" s="1124" t="s">
        <v>66</v>
      </c>
      <c r="AK145" s="1121" t="s">
        <v>10248</v>
      </c>
      <c r="AL145" s="39" t="s">
        <v>10249</v>
      </c>
      <c r="AM145" s="1121">
        <v>253719696</v>
      </c>
      <c r="AN145" s="1121">
        <v>253719696</v>
      </c>
      <c r="AO145" s="75">
        <f t="shared" si="10"/>
        <v>52</v>
      </c>
      <c r="AP145" s="39" t="s">
        <v>2538</v>
      </c>
      <c r="AQ145" s="75" t="s">
        <v>2538</v>
      </c>
    </row>
    <row r="146" spans="1:43" s="6" customFormat="1" ht="11.5">
      <c r="A146" s="124" t="s">
        <v>10250</v>
      </c>
      <c r="B146" s="39" t="s">
        <v>67</v>
      </c>
      <c r="C146" s="39" t="s">
        <v>63</v>
      </c>
      <c r="D146" s="39" t="s">
        <v>9822</v>
      </c>
      <c r="E146" s="39"/>
      <c r="F146" s="118" t="s">
        <v>96</v>
      </c>
      <c r="G146" s="79"/>
      <c r="H146" s="118"/>
      <c r="I146" s="118" t="s">
        <v>9816</v>
      </c>
      <c r="J146" s="79" t="s">
        <v>170</v>
      </c>
      <c r="K146" s="83">
        <v>552045</v>
      </c>
      <c r="L146" s="39" t="s">
        <v>172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75</v>
      </c>
      <c r="S146" s="75"/>
      <c r="T146" s="56" t="s">
        <v>2525</v>
      </c>
      <c r="U146" s="56" t="s">
        <v>2525</v>
      </c>
      <c r="V146" s="56"/>
      <c r="W146" s="126" t="s">
        <v>10214</v>
      </c>
      <c r="X146" s="129">
        <v>45792</v>
      </c>
      <c r="Y146" s="90"/>
      <c r="Z146" s="90"/>
      <c r="AA146" s="130">
        <v>371008525</v>
      </c>
      <c r="AB146" s="79" t="s">
        <v>122</v>
      </c>
      <c r="AC146" s="38" t="s">
        <v>314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124" t="s">
        <v>66</v>
      </c>
      <c r="AK146" s="1121" t="s">
        <v>10248</v>
      </c>
      <c r="AL146" s="39" t="s">
        <v>10249</v>
      </c>
      <c r="AM146" s="39">
        <v>253719696</v>
      </c>
      <c r="AN146" s="39">
        <v>253719696</v>
      </c>
      <c r="AO146" s="75">
        <f t="shared" si="10"/>
        <v>52</v>
      </c>
      <c r="AP146" s="39" t="s">
        <v>2538</v>
      </c>
      <c r="AQ146" s="75" t="s">
        <v>2538</v>
      </c>
    </row>
    <row r="147" spans="1:43" s="6" customFormat="1" ht="11.5" hidden="1">
      <c r="A147" s="124" t="s">
        <v>10251</v>
      </c>
      <c r="B147" s="39" t="s">
        <v>67</v>
      </c>
      <c r="C147" s="39" t="s">
        <v>63</v>
      </c>
      <c r="D147" s="39" t="s">
        <v>9822</v>
      </c>
      <c r="E147" s="39"/>
      <c r="F147" s="118" t="s">
        <v>96</v>
      </c>
      <c r="G147" s="39"/>
      <c r="H147" s="56"/>
      <c r="I147" s="56" t="s">
        <v>9816</v>
      </c>
      <c r="J147" s="79" t="s">
        <v>170</v>
      </c>
      <c r="K147" s="83">
        <v>552045</v>
      </c>
      <c r="L147" s="39" t="s">
        <v>172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75</v>
      </c>
      <c r="S147" s="75"/>
      <c r="T147" s="56" t="s">
        <v>2525</v>
      </c>
      <c r="U147" s="56" t="s">
        <v>2525</v>
      </c>
      <c r="V147" s="56"/>
      <c r="W147" s="126" t="s">
        <v>10214</v>
      </c>
      <c r="X147" s="131">
        <v>45800</v>
      </c>
      <c r="Y147" s="90"/>
      <c r="Z147" s="90"/>
      <c r="AA147" s="119">
        <v>371008532</v>
      </c>
      <c r="AB147" s="79" t="s">
        <v>122</v>
      </c>
      <c r="AC147" s="1119" t="s">
        <v>124</v>
      </c>
      <c r="AD147" s="78">
        <v>45809</v>
      </c>
      <c r="AE147" s="78">
        <v>45809</v>
      </c>
      <c r="AF147" s="78">
        <v>45809</v>
      </c>
      <c r="AG147" s="1118">
        <v>45851</v>
      </c>
      <c r="AH147" s="1118">
        <v>45851</v>
      </c>
      <c r="AI147" s="1118">
        <v>45851</v>
      </c>
      <c r="AJ147" s="1124" t="s">
        <v>66</v>
      </c>
      <c r="AK147" s="1121" t="s">
        <v>10252</v>
      </c>
      <c r="AL147" s="39" t="s">
        <v>10253</v>
      </c>
      <c r="AM147" s="1121" t="s">
        <v>10254</v>
      </c>
      <c r="AN147" s="1121" t="s">
        <v>10254</v>
      </c>
      <c r="AO147" s="75">
        <f t="shared" si="10"/>
        <v>43</v>
      </c>
      <c r="AP147" s="39" t="s">
        <v>2538</v>
      </c>
      <c r="AQ147" s="75" t="s">
        <v>2538</v>
      </c>
    </row>
    <row r="148" spans="1:43" s="6" customFormat="1" ht="11.5">
      <c r="A148" s="1121" t="s">
        <v>10255</v>
      </c>
      <c r="B148" s="1122" t="s">
        <v>67</v>
      </c>
      <c r="C148" s="1122" t="s">
        <v>63</v>
      </c>
      <c r="D148" s="1122" t="s">
        <v>66</v>
      </c>
      <c r="E148" s="1122" t="s">
        <v>111</v>
      </c>
      <c r="F148" s="118" t="s">
        <v>2701</v>
      </c>
      <c r="G148" s="39"/>
      <c r="H148" s="56"/>
      <c r="I148" s="56" t="s">
        <v>10256</v>
      </c>
      <c r="J148" s="118" t="s">
        <v>10257</v>
      </c>
      <c r="K148" s="1123">
        <v>554471</v>
      </c>
      <c r="L148" s="1126" t="s">
        <v>1348</v>
      </c>
      <c r="M148" s="1127">
        <v>710</v>
      </c>
      <c r="N148" s="1127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75</v>
      </c>
      <c r="S148" s="1128"/>
      <c r="T148" s="56" t="s">
        <v>2703</v>
      </c>
      <c r="U148" s="132" t="s">
        <v>10258</v>
      </c>
      <c r="V148" s="133"/>
      <c r="W148" s="1129" t="s">
        <v>10259</v>
      </c>
      <c r="X148" s="1130">
        <v>45790</v>
      </c>
      <c r="Y148" s="64"/>
      <c r="Z148" s="64"/>
      <c r="AA148" s="127">
        <v>371008541</v>
      </c>
      <c r="AB148" s="117" t="s">
        <v>122</v>
      </c>
      <c r="AC148" s="1131" t="s">
        <v>314</v>
      </c>
      <c r="AD148" s="90">
        <v>45805</v>
      </c>
      <c r="AE148" s="90">
        <v>45805</v>
      </c>
      <c r="AF148" s="90">
        <v>45805</v>
      </c>
      <c r="AG148" s="1130">
        <v>45859</v>
      </c>
      <c r="AH148" s="1130">
        <v>45859</v>
      </c>
      <c r="AI148" s="1130">
        <v>45859</v>
      </c>
      <c r="AJ148" s="1127" t="s">
        <v>66</v>
      </c>
      <c r="AK148" s="1121" t="s">
        <v>10260</v>
      </c>
      <c r="AL148" s="39" t="s">
        <v>10261</v>
      </c>
      <c r="AM148" s="1121" t="s">
        <v>10262</v>
      </c>
      <c r="AN148" s="1121" t="s">
        <v>10263</v>
      </c>
      <c r="AO148" s="91">
        <f t="shared" si="10"/>
        <v>55</v>
      </c>
      <c r="AP148" s="39" t="s">
        <v>2538</v>
      </c>
      <c r="AQ148" s="115" t="s">
        <v>2538</v>
      </c>
    </row>
    <row r="149" spans="1:43" s="6" customFormat="1" ht="11.5">
      <c r="A149" s="1121" t="s">
        <v>10264</v>
      </c>
      <c r="B149" s="1122" t="s">
        <v>67</v>
      </c>
      <c r="C149" s="1122" t="s">
        <v>63</v>
      </c>
      <c r="D149" s="1122" t="s">
        <v>9822</v>
      </c>
      <c r="E149" s="1122"/>
      <c r="F149" s="118" t="s">
        <v>96</v>
      </c>
      <c r="G149" s="39"/>
      <c r="H149" s="56"/>
      <c r="I149" s="56" t="s">
        <v>9816</v>
      </c>
      <c r="J149" s="118" t="s">
        <v>170</v>
      </c>
      <c r="K149" s="1123">
        <v>552026</v>
      </c>
      <c r="L149" s="1122" t="s">
        <v>463</v>
      </c>
      <c r="M149" s="1127">
        <v>550</v>
      </c>
      <c r="N149" s="1127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75</v>
      </c>
      <c r="S149" s="1124"/>
      <c r="T149" s="56" t="s">
        <v>2525</v>
      </c>
      <c r="U149" s="56" t="s">
        <v>2525</v>
      </c>
      <c r="V149" s="56"/>
      <c r="W149" s="1132" t="s">
        <v>10214</v>
      </c>
      <c r="X149" s="1130">
        <v>45800</v>
      </c>
      <c r="Y149" s="90"/>
      <c r="Z149" s="90"/>
      <c r="AA149" s="127">
        <v>371008517</v>
      </c>
      <c r="AB149" s="117" t="s">
        <v>122</v>
      </c>
      <c r="AC149" s="1133" t="s">
        <v>1561</v>
      </c>
      <c r="AD149" s="1130">
        <v>45807</v>
      </c>
      <c r="AE149" s="1130">
        <v>45807</v>
      </c>
      <c r="AF149" s="1130">
        <v>45807</v>
      </c>
      <c r="AG149" s="1130">
        <v>45862</v>
      </c>
      <c r="AH149" s="1130">
        <v>45862</v>
      </c>
      <c r="AI149" s="1130">
        <v>45862</v>
      </c>
      <c r="AJ149" s="1127" t="s">
        <v>66</v>
      </c>
      <c r="AK149" s="1121" t="s">
        <v>10265</v>
      </c>
      <c r="AL149" s="39" t="s">
        <v>10266</v>
      </c>
      <c r="AM149" s="1121" t="s">
        <v>10267</v>
      </c>
      <c r="AN149" s="1121" t="s">
        <v>10267</v>
      </c>
      <c r="AO149" s="91">
        <f t="shared" si="10"/>
        <v>56</v>
      </c>
      <c r="AP149" s="18" t="s">
        <v>2538</v>
      </c>
      <c r="AQ149" s="113" t="s">
        <v>2538</v>
      </c>
    </row>
    <row r="150" spans="1:43" s="6" customFormat="1" ht="11.5">
      <c r="A150" s="1121" t="s">
        <v>10268</v>
      </c>
      <c r="B150" s="1121" t="s">
        <v>67</v>
      </c>
      <c r="C150" s="1121" t="s">
        <v>63</v>
      </c>
      <c r="D150" s="1121" t="s">
        <v>9822</v>
      </c>
      <c r="E150" s="1121"/>
      <c r="F150" s="118" t="s">
        <v>96</v>
      </c>
      <c r="G150" s="39"/>
      <c r="H150" s="56"/>
      <c r="I150" s="56" t="s">
        <v>9816</v>
      </c>
      <c r="J150" s="79" t="s">
        <v>170</v>
      </c>
      <c r="K150" s="1123">
        <v>552045</v>
      </c>
      <c r="L150" s="1121" t="s">
        <v>172</v>
      </c>
      <c r="M150" s="1127">
        <v>555</v>
      </c>
      <c r="N150" s="1127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75</v>
      </c>
      <c r="S150" s="1124"/>
      <c r="T150" s="56" t="s">
        <v>2525</v>
      </c>
      <c r="U150" s="56" t="s">
        <v>2525</v>
      </c>
      <c r="V150" s="56"/>
      <c r="W150" s="1132" t="s">
        <v>10214</v>
      </c>
      <c r="X150" s="1130">
        <v>45800</v>
      </c>
      <c r="Y150" s="90"/>
      <c r="Z150" s="90"/>
      <c r="AA150" s="127">
        <v>371008531</v>
      </c>
      <c r="AB150" s="117" t="s">
        <v>122</v>
      </c>
      <c r="AC150" s="1133" t="s">
        <v>1561</v>
      </c>
      <c r="AD150" s="1130">
        <v>45807</v>
      </c>
      <c r="AE150" s="1130">
        <v>45807</v>
      </c>
      <c r="AF150" s="1130">
        <v>45807</v>
      </c>
      <c r="AG150" s="1130">
        <v>45862</v>
      </c>
      <c r="AH150" s="1130">
        <v>45862</v>
      </c>
      <c r="AI150" s="1130">
        <v>45862</v>
      </c>
      <c r="AJ150" s="1127" t="s">
        <v>66</v>
      </c>
      <c r="AK150" s="1121" t="s">
        <v>10265</v>
      </c>
      <c r="AL150" s="39" t="s">
        <v>10266</v>
      </c>
      <c r="AM150" s="1121" t="s">
        <v>10267</v>
      </c>
      <c r="AN150" s="1121" t="s">
        <v>10267</v>
      </c>
      <c r="AO150" s="91">
        <f t="shared" si="10"/>
        <v>56</v>
      </c>
      <c r="AP150" s="18" t="s">
        <v>2538</v>
      </c>
      <c r="AQ150" s="113" t="s">
        <v>2538</v>
      </c>
    </row>
    <row r="151" spans="1:43" s="6" customFormat="1" ht="11.5">
      <c r="A151" s="1121" t="s">
        <v>10269</v>
      </c>
      <c r="B151" s="1121" t="s">
        <v>67</v>
      </c>
      <c r="C151" s="1121" t="s">
        <v>63</v>
      </c>
      <c r="D151" s="1121" t="s">
        <v>9822</v>
      </c>
      <c r="E151" s="1121"/>
      <c r="F151" s="118" t="s">
        <v>96</v>
      </c>
      <c r="G151" s="39"/>
      <c r="H151" s="56"/>
      <c r="I151" s="56" t="s">
        <v>9816</v>
      </c>
      <c r="J151" s="79" t="s">
        <v>170</v>
      </c>
      <c r="K151" s="1123">
        <v>552026</v>
      </c>
      <c r="L151" s="1121" t="s">
        <v>463</v>
      </c>
      <c r="M151" s="1127">
        <v>550</v>
      </c>
      <c r="N151" s="1127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75</v>
      </c>
      <c r="S151" s="1134"/>
      <c r="T151" s="56" t="s">
        <v>2525</v>
      </c>
      <c r="U151" s="56" t="s">
        <v>2525</v>
      </c>
      <c r="V151" s="56"/>
      <c r="W151" s="1135" t="s">
        <v>10214</v>
      </c>
      <c r="X151" s="1130">
        <v>45799</v>
      </c>
      <c r="Y151" s="90"/>
      <c r="Z151" s="90"/>
      <c r="AA151" s="116">
        <v>371008516</v>
      </c>
      <c r="AB151" s="117" t="s">
        <v>122</v>
      </c>
      <c r="AC151" s="1133" t="s">
        <v>314</v>
      </c>
      <c r="AD151" s="1130">
        <v>45807</v>
      </c>
      <c r="AE151" s="1130">
        <v>45807</v>
      </c>
      <c r="AF151" s="1130">
        <v>45807</v>
      </c>
      <c r="AG151" s="1130">
        <v>45861</v>
      </c>
      <c r="AH151" s="1130">
        <v>45861</v>
      </c>
      <c r="AI151" s="1130">
        <v>45861</v>
      </c>
      <c r="AJ151" s="1127" t="s">
        <v>66</v>
      </c>
      <c r="AK151" s="1121" t="s">
        <v>10265</v>
      </c>
      <c r="AL151" s="39" t="s">
        <v>10270</v>
      </c>
      <c r="AM151" s="1121" t="s">
        <v>10271</v>
      </c>
      <c r="AN151" s="1121" t="s">
        <v>10271</v>
      </c>
      <c r="AO151" s="91">
        <f t="shared" si="10"/>
        <v>55</v>
      </c>
      <c r="AP151" s="39" t="s">
        <v>2538</v>
      </c>
      <c r="AQ151" s="115" t="s">
        <v>2538</v>
      </c>
    </row>
    <row r="152" spans="1:43" s="6" customFormat="1" ht="11.5">
      <c r="A152" s="1121" t="s">
        <v>10272</v>
      </c>
      <c r="B152" s="1121" t="s">
        <v>67</v>
      </c>
      <c r="C152" s="1121" t="s">
        <v>63</v>
      </c>
      <c r="D152" s="1121" t="s">
        <v>9822</v>
      </c>
      <c r="E152" s="1121"/>
      <c r="F152" s="118" t="s">
        <v>96</v>
      </c>
      <c r="G152" s="39"/>
      <c r="H152" s="56"/>
      <c r="I152" s="56" t="s">
        <v>9816</v>
      </c>
      <c r="J152" s="79" t="s">
        <v>170</v>
      </c>
      <c r="K152" s="1123">
        <v>552045</v>
      </c>
      <c r="L152" s="1121" t="s">
        <v>172</v>
      </c>
      <c r="M152" s="1127">
        <v>555</v>
      </c>
      <c r="N152" s="1127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75</v>
      </c>
      <c r="S152" s="1134"/>
      <c r="T152" s="56" t="s">
        <v>2525</v>
      </c>
      <c r="U152" s="56" t="s">
        <v>2525</v>
      </c>
      <c r="V152" s="56"/>
      <c r="W152" s="1135" t="s">
        <v>10214</v>
      </c>
      <c r="X152" s="1130">
        <v>45799</v>
      </c>
      <c r="Y152" s="90"/>
      <c r="Z152" s="90"/>
      <c r="AA152" s="127">
        <v>371008530</v>
      </c>
      <c r="AB152" s="117" t="s">
        <v>122</v>
      </c>
      <c r="AC152" s="1133" t="s">
        <v>314</v>
      </c>
      <c r="AD152" s="1130">
        <v>45807</v>
      </c>
      <c r="AE152" s="1130">
        <v>45807</v>
      </c>
      <c r="AF152" s="1130">
        <v>45807</v>
      </c>
      <c r="AG152" s="1130">
        <v>45861</v>
      </c>
      <c r="AH152" s="1130">
        <v>45861</v>
      </c>
      <c r="AI152" s="1130">
        <v>45861</v>
      </c>
      <c r="AJ152" s="1127" t="s">
        <v>66</v>
      </c>
      <c r="AK152" s="1121" t="s">
        <v>10265</v>
      </c>
      <c r="AL152" s="39" t="s">
        <v>10270</v>
      </c>
      <c r="AM152" s="1121" t="s">
        <v>10271</v>
      </c>
      <c r="AN152" s="1121" t="s">
        <v>10271</v>
      </c>
      <c r="AO152" s="91">
        <f t="shared" si="10"/>
        <v>55</v>
      </c>
      <c r="AP152" s="39" t="s">
        <v>2538</v>
      </c>
      <c r="AQ152" s="115" t="s">
        <v>2538</v>
      </c>
    </row>
    <row r="153" spans="1:43" s="6" customFormat="1" ht="11.5">
      <c r="A153" s="1122" t="s">
        <v>10273</v>
      </c>
      <c r="B153" s="1122" t="s">
        <v>67</v>
      </c>
      <c r="C153" s="1122" t="s">
        <v>63</v>
      </c>
      <c r="D153" s="1122" t="s">
        <v>66</v>
      </c>
      <c r="E153" s="1122" t="s">
        <v>111</v>
      </c>
      <c r="F153" s="118" t="s">
        <v>2701</v>
      </c>
      <c r="G153" s="39"/>
      <c r="H153" s="56"/>
      <c r="I153" s="56" t="s">
        <v>10256</v>
      </c>
      <c r="J153" s="118" t="s">
        <v>10257</v>
      </c>
      <c r="K153" s="1123">
        <v>554471</v>
      </c>
      <c r="L153" s="1126" t="s">
        <v>1348</v>
      </c>
      <c r="M153" s="1127">
        <v>710</v>
      </c>
      <c r="N153" s="1127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75</v>
      </c>
      <c r="S153" s="1128"/>
      <c r="T153" s="56" t="s">
        <v>2703</v>
      </c>
      <c r="U153" s="132" t="s">
        <v>10258</v>
      </c>
      <c r="V153" s="133"/>
      <c r="W153" s="1129" t="s">
        <v>10259</v>
      </c>
      <c r="X153" s="1130">
        <v>45799</v>
      </c>
      <c r="Y153" s="64"/>
      <c r="Z153" s="64"/>
      <c r="AA153" s="116">
        <v>371008539</v>
      </c>
      <c r="AB153" s="117" t="s">
        <v>122</v>
      </c>
      <c r="AC153" s="1133" t="s">
        <v>314</v>
      </c>
      <c r="AD153" s="1130">
        <v>45807</v>
      </c>
      <c r="AE153" s="1130">
        <v>45807</v>
      </c>
      <c r="AF153" s="1130">
        <v>45807</v>
      </c>
      <c r="AG153" s="1130">
        <v>45861</v>
      </c>
      <c r="AH153" s="1130">
        <v>45861</v>
      </c>
      <c r="AI153" s="1130">
        <v>45861</v>
      </c>
      <c r="AJ153" s="1127" t="s">
        <v>66</v>
      </c>
      <c r="AK153" s="1121" t="s">
        <v>10265</v>
      </c>
      <c r="AL153" s="39" t="s">
        <v>10274</v>
      </c>
      <c r="AM153" s="1121" t="s">
        <v>10275</v>
      </c>
      <c r="AN153" s="1121" t="s">
        <v>10275</v>
      </c>
      <c r="AO153" s="91">
        <f t="shared" si="10"/>
        <v>55</v>
      </c>
      <c r="AP153" s="39" t="s">
        <v>2538</v>
      </c>
      <c r="AQ153" s="115" t="s">
        <v>2538</v>
      </c>
    </row>
    <row r="154" spans="1:43" s="6" customFormat="1" ht="11.5" hidden="1">
      <c r="A154" s="1121" t="s">
        <v>10276</v>
      </c>
      <c r="B154" s="1121" t="s">
        <v>67</v>
      </c>
      <c r="C154" s="1121" t="s">
        <v>63</v>
      </c>
      <c r="D154" s="1121" t="s">
        <v>9822</v>
      </c>
      <c r="E154" s="1121"/>
      <c r="F154" s="118" t="s">
        <v>96</v>
      </c>
      <c r="G154" s="39"/>
      <c r="H154" s="56"/>
      <c r="I154" s="56" t="s">
        <v>9816</v>
      </c>
      <c r="J154" s="79" t="s">
        <v>170</v>
      </c>
      <c r="K154" s="1123">
        <v>552045</v>
      </c>
      <c r="L154" s="1121" t="s">
        <v>172</v>
      </c>
      <c r="M154" s="1127">
        <v>555</v>
      </c>
      <c r="N154" s="1127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75</v>
      </c>
      <c r="S154" s="1134"/>
      <c r="T154" s="56" t="s">
        <v>2525</v>
      </c>
      <c r="U154" s="56" t="s">
        <v>2525</v>
      </c>
      <c r="V154" s="56"/>
      <c r="W154" s="1135" t="s">
        <v>10214</v>
      </c>
      <c r="X154" s="1130">
        <v>45790</v>
      </c>
      <c r="Y154" s="90"/>
      <c r="Z154" s="90"/>
      <c r="AA154" s="127">
        <v>371008524</v>
      </c>
      <c r="AB154" s="117" t="s">
        <v>122</v>
      </c>
      <c r="AC154" s="1133" t="s">
        <v>78</v>
      </c>
      <c r="AD154" s="1130">
        <v>45804</v>
      </c>
      <c r="AE154" s="1130">
        <v>45804</v>
      </c>
      <c r="AF154" s="1130">
        <v>45804</v>
      </c>
      <c r="AG154" s="1130">
        <v>45862</v>
      </c>
      <c r="AH154" s="1130">
        <v>45862</v>
      </c>
      <c r="AI154" s="1130">
        <v>45862</v>
      </c>
      <c r="AJ154" s="1127" t="s">
        <v>66</v>
      </c>
      <c r="AK154" s="1121" t="s">
        <v>10277</v>
      </c>
      <c r="AL154" s="39" t="s">
        <v>10278</v>
      </c>
      <c r="AM154" s="1121" t="s">
        <v>10279</v>
      </c>
      <c r="AN154" s="1121" t="s">
        <v>10280</v>
      </c>
      <c r="AO154" s="91">
        <f t="shared" si="10"/>
        <v>59</v>
      </c>
      <c r="AP154" s="18" t="s">
        <v>2538</v>
      </c>
      <c r="AQ154" s="113" t="s">
        <v>2538</v>
      </c>
    </row>
    <row r="155" spans="1:43" s="6" customFormat="1" ht="11.5" hidden="1">
      <c r="A155" s="124" t="s">
        <v>10281</v>
      </c>
      <c r="B155" s="39" t="s">
        <v>67</v>
      </c>
      <c r="C155" s="39" t="s">
        <v>63</v>
      </c>
      <c r="D155" s="39" t="s">
        <v>9822</v>
      </c>
      <c r="E155" s="39"/>
      <c r="F155" s="118" t="s">
        <v>96</v>
      </c>
      <c r="G155" s="79"/>
      <c r="H155" s="118"/>
      <c r="I155" s="118" t="s">
        <v>9816</v>
      </c>
      <c r="J155" s="79" t="s">
        <v>170</v>
      </c>
      <c r="K155" s="83">
        <v>552026</v>
      </c>
      <c r="L155" s="39" t="s">
        <v>463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75</v>
      </c>
      <c r="S155" s="86"/>
      <c r="T155" s="56" t="s">
        <v>2525</v>
      </c>
      <c r="U155" s="56" t="s">
        <v>2525</v>
      </c>
      <c r="V155" s="56"/>
      <c r="W155" s="134" t="s">
        <v>10214</v>
      </c>
      <c r="X155" s="135">
        <v>45800</v>
      </c>
      <c r="Y155" s="90"/>
      <c r="Z155" s="90"/>
      <c r="AA155" s="136">
        <v>371008515</v>
      </c>
      <c r="AB155" s="117" t="s">
        <v>122</v>
      </c>
      <c r="AC155" s="1133" t="s">
        <v>78</v>
      </c>
      <c r="AD155" s="1130">
        <v>45809</v>
      </c>
      <c r="AE155" s="1130">
        <v>45809</v>
      </c>
      <c r="AF155" s="1130">
        <v>45809</v>
      </c>
      <c r="AG155" s="1130">
        <v>45858</v>
      </c>
      <c r="AH155" s="1130">
        <v>45858</v>
      </c>
      <c r="AI155" s="1130">
        <v>45858</v>
      </c>
      <c r="AJ155" s="1127" t="s">
        <v>66</v>
      </c>
      <c r="AK155" s="1121" t="s">
        <v>10252</v>
      </c>
      <c r="AL155" s="39" t="s">
        <v>10282</v>
      </c>
      <c r="AM155" s="1121" t="s">
        <v>10283</v>
      </c>
      <c r="AN155" s="1121" t="s">
        <v>10283</v>
      </c>
      <c r="AO155" s="91">
        <f t="shared" si="10"/>
        <v>50</v>
      </c>
      <c r="AP155" s="39" t="s">
        <v>2538</v>
      </c>
      <c r="AQ155" s="115" t="s">
        <v>2538</v>
      </c>
    </row>
    <row r="156" spans="1:43" s="6" customFormat="1" ht="11.5" hidden="1">
      <c r="A156" s="124" t="s">
        <v>10284</v>
      </c>
      <c r="B156" s="56" t="s">
        <v>67</v>
      </c>
      <c r="C156" s="56" t="s">
        <v>63</v>
      </c>
      <c r="D156" s="56" t="s">
        <v>9822</v>
      </c>
      <c r="E156" s="56"/>
      <c r="F156" s="118" t="s">
        <v>96</v>
      </c>
      <c r="G156" s="39"/>
      <c r="H156" s="56"/>
      <c r="I156" s="56" t="s">
        <v>9816</v>
      </c>
      <c r="J156" s="118" t="s">
        <v>170</v>
      </c>
      <c r="K156" s="83">
        <v>552026</v>
      </c>
      <c r="L156" s="56" t="s">
        <v>463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75</v>
      </c>
      <c r="S156" s="1124"/>
      <c r="T156" s="56" t="s">
        <v>2525</v>
      </c>
      <c r="U156" s="56" t="s">
        <v>2525</v>
      </c>
      <c r="V156" s="56"/>
      <c r="W156" s="1132" t="s">
        <v>10214</v>
      </c>
      <c r="X156" s="137">
        <v>45806</v>
      </c>
      <c r="Y156" s="90"/>
      <c r="Z156" s="90"/>
      <c r="AA156" s="116">
        <v>371008544</v>
      </c>
      <c r="AB156" s="117" t="s">
        <v>122</v>
      </c>
      <c r="AC156" s="1133" t="s">
        <v>78</v>
      </c>
      <c r="AD156" s="1130">
        <v>45815</v>
      </c>
      <c r="AE156" s="1130">
        <v>45815</v>
      </c>
      <c r="AF156" s="1130">
        <v>45815</v>
      </c>
      <c r="AG156" s="1130">
        <v>45866</v>
      </c>
      <c r="AH156" s="1130">
        <v>45865</v>
      </c>
      <c r="AI156" s="1130">
        <v>45866</v>
      </c>
      <c r="AJ156" s="1127" t="s">
        <v>66</v>
      </c>
      <c r="AK156" s="1121" t="s">
        <v>10285</v>
      </c>
      <c r="AL156" s="39" t="s">
        <v>10286</v>
      </c>
      <c r="AM156" s="1121" t="s">
        <v>10287</v>
      </c>
      <c r="AN156" s="1121" t="s">
        <v>10287</v>
      </c>
      <c r="AO156" s="91">
        <f t="shared" si="10"/>
        <v>52</v>
      </c>
      <c r="AP156" s="18" t="s">
        <v>2538</v>
      </c>
      <c r="AQ156" s="113" t="s">
        <v>2538</v>
      </c>
    </row>
    <row r="157" spans="1:43" s="6" customFormat="1" ht="11.5">
      <c r="A157" s="1121" t="s">
        <v>10288</v>
      </c>
      <c r="B157" s="1122" t="s">
        <v>67</v>
      </c>
      <c r="C157" s="1122" t="s">
        <v>63</v>
      </c>
      <c r="D157" s="1122" t="s">
        <v>9822</v>
      </c>
      <c r="E157" s="1122"/>
      <c r="F157" s="118" t="s">
        <v>96</v>
      </c>
      <c r="G157" s="39"/>
      <c r="H157" s="56"/>
      <c r="I157" s="56" t="s">
        <v>9816</v>
      </c>
      <c r="J157" s="118" t="s">
        <v>170</v>
      </c>
      <c r="K157" s="1123">
        <v>552026</v>
      </c>
      <c r="L157" s="1122" t="s">
        <v>463</v>
      </c>
      <c r="M157" s="1127">
        <v>550</v>
      </c>
      <c r="N157" s="1127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75</v>
      </c>
      <c r="S157" s="1128"/>
      <c r="T157" s="56" t="s">
        <v>2525</v>
      </c>
      <c r="U157" s="56" t="s">
        <v>2525</v>
      </c>
      <c r="V157" s="56"/>
      <c r="W157" s="1129" t="s">
        <v>10214</v>
      </c>
      <c r="X157" s="1130">
        <v>45790</v>
      </c>
      <c r="Y157" s="90"/>
      <c r="Z157" s="90"/>
      <c r="AA157" s="127">
        <v>371008514</v>
      </c>
      <c r="AB157" s="117" t="s">
        <v>122</v>
      </c>
      <c r="AC157" s="1133" t="s">
        <v>1561</v>
      </c>
      <c r="AD157" s="1130">
        <v>45801</v>
      </c>
      <c r="AE157" s="1130">
        <v>45801</v>
      </c>
      <c r="AF157" s="1130">
        <v>45801</v>
      </c>
      <c r="AG157" s="1130">
        <v>45870</v>
      </c>
      <c r="AH157" s="1130">
        <v>45870</v>
      </c>
      <c r="AI157" s="1130">
        <v>45870</v>
      </c>
      <c r="AJ157" s="1127" t="s">
        <v>66</v>
      </c>
      <c r="AK157" s="1121" t="s">
        <v>10289</v>
      </c>
      <c r="AL157" s="39" t="s">
        <v>10290</v>
      </c>
      <c r="AM157" s="1121" t="s">
        <v>10291</v>
      </c>
      <c r="AN157" s="1121" t="s">
        <v>10292</v>
      </c>
      <c r="AO157" s="91">
        <f t="shared" si="10"/>
        <v>70</v>
      </c>
      <c r="AP157" s="39" t="s">
        <v>2538</v>
      </c>
      <c r="AQ157" s="115" t="s">
        <v>2538</v>
      </c>
    </row>
    <row r="158" spans="1:43" s="6" customFormat="1" ht="11.5">
      <c r="A158" s="1121" t="s">
        <v>10293</v>
      </c>
      <c r="B158" s="1121" t="s">
        <v>67</v>
      </c>
      <c r="C158" s="1121" t="s">
        <v>63</v>
      </c>
      <c r="D158" s="1121" t="s">
        <v>9822</v>
      </c>
      <c r="E158" s="1121"/>
      <c r="F158" s="118" t="s">
        <v>96</v>
      </c>
      <c r="G158" s="39"/>
      <c r="H158" s="56"/>
      <c r="I158" s="56" t="s">
        <v>9816</v>
      </c>
      <c r="J158" s="79" t="s">
        <v>170</v>
      </c>
      <c r="K158" s="1123">
        <v>552045</v>
      </c>
      <c r="L158" s="1121" t="s">
        <v>172</v>
      </c>
      <c r="M158" s="1127">
        <v>555</v>
      </c>
      <c r="N158" s="1127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75</v>
      </c>
      <c r="S158" s="1134"/>
      <c r="T158" s="56" t="s">
        <v>2525</v>
      </c>
      <c r="U158" s="56" t="s">
        <v>2525</v>
      </c>
      <c r="V158" s="56"/>
      <c r="W158" s="1135" t="s">
        <v>10214</v>
      </c>
      <c r="X158" s="1130">
        <v>45790</v>
      </c>
      <c r="Y158" s="90"/>
      <c r="Z158" s="90"/>
      <c r="AA158" s="127">
        <v>371008526</v>
      </c>
      <c r="AB158" s="117" t="s">
        <v>122</v>
      </c>
      <c r="AC158" s="1133" t="s">
        <v>1561</v>
      </c>
      <c r="AD158" s="1130">
        <v>45801</v>
      </c>
      <c r="AE158" s="1130">
        <v>45801</v>
      </c>
      <c r="AF158" s="1130">
        <v>45801</v>
      </c>
      <c r="AG158" s="1130">
        <v>45870</v>
      </c>
      <c r="AH158" s="1130">
        <v>45870</v>
      </c>
      <c r="AI158" s="1130">
        <v>45870</v>
      </c>
      <c r="AJ158" s="1127" t="s">
        <v>66</v>
      </c>
      <c r="AK158" s="1121" t="s">
        <v>10289</v>
      </c>
      <c r="AL158" s="39" t="s">
        <v>10290</v>
      </c>
      <c r="AM158" s="1121" t="s">
        <v>10291</v>
      </c>
      <c r="AN158" s="1121" t="s">
        <v>10292</v>
      </c>
      <c r="AO158" s="91">
        <f t="shared" si="10"/>
        <v>70</v>
      </c>
      <c r="AP158" s="39" t="s">
        <v>2538</v>
      </c>
      <c r="AQ158" s="115" t="s">
        <v>2538</v>
      </c>
    </row>
    <row r="159" spans="1:43" s="6" customFormat="1" ht="11.5" hidden="1">
      <c r="A159" s="124" t="s">
        <v>10294</v>
      </c>
      <c r="B159" s="39" t="s">
        <v>67</v>
      </c>
      <c r="C159" s="39" t="s">
        <v>63</v>
      </c>
      <c r="D159" s="39" t="s">
        <v>9822</v>
      </c>
      <c r="E159" s="39"/>
      <c r="F159" s="118" t="s">
        <v>96</v>
      </c>
      <c r="G159" s="39"/>
      <c r="H159" s="56"/>
      <c r="I159" s="56" t="s">
        <v>9816</v>
      </c>
      <c r="J159" s="79" t="s">
        <v>170</v>
      </c>
      <c r="K159" s="83">
        <v>552045</v>
      </c>
      <c r="L159" s="39" t="s">
        <v>172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75</v>
      </c>
      <c r="S159" s="75"/>
      <c r="T159" s="56" t="s">
        <v>2525</v>
      </c>
      <c r="U159" s="56" t="s">
        <v>2525</v>
      </c>
      <c r="V159" s="56"/>
      <c r="W159" s="134" t="s">
        <v>10214</v>
      </c>
      <c r="X159" s="135">
        <v>45807</v>
      </c>
      <c r="Y159" s="90"/>
      <c r="Z159" s="90"/>
      <c r="AA159" s="136">
        <v>371008553</v>
      </c>
      <c r="AB159" s="117" t="s">
        <v>122</v>
      </c>
      <c r="AC159" s="1133" t="s">
        <v>124</v>
      </c>
      <c r="AD159" s="1130">
        <v>45819</v>
      </c>
      <c r="AE159" s="1130">
        <v>45819</v>
      </c>
      <c r="AF159" s="1130">
        <v>45819</v>
      </c>
      <c r="AG159" s="1130">
        <v>45858</v>
      </c>
      <c r="AH159" s="1130">
        <v>45858</v>
      </c>
      <c r="AI159" s="1130">
        <v>45858</v>
      </c>
      <c r="AJ159" s="1127" t="s">
        <v>66</v>
      </c>
      <c r="AK159" s="1121" t="s">
        <v>10295</v>
      </c>
      <c r="AL159" s="39" t="s">
        <v>10296</v>
      </c>
      <c r="AM159" s="1121" t="s">
        <v>10297</v>
      </c>
      <c r="AN159" s="1121" t="s">
        <v>10297</v>
      </c>
      <c r="AO159" s="91">
        <f t="shared" si="10"/>
        <v>40</v>
      </c>
      <c r="AP159" s="39" t="s">
        <v>2538</v>
      </c>
      <c r="AQ159" s="115" t="s">
        <v>2538</v>
      </c>
    </row>
    <row r="160" spans="1:43" s="6" customFormat="1" ht="11.5" hidden="1">
      <c r="A160" s="1121" t="s">
        <v>10298</v>
      </c>
      <c r="B160" s="1121" t="s">
        <v>67</v>
      </c>
      <c r="C160" s="1121" t="s">
        <v>63</v>
      </c>
      <c r="D160" s="1121" t="s">
        <v>9822</v>
      </c>
      <c r="E160" s="1121"/>
      <c r="F160" s="118" t="s">
        <v>96</v>
      </c>
      <c r="G160" s="39"/>
      <c r="H160" s="56"/>
      <c r="I160" s="56" t="s">
        <v>9816</v>
      </c>
      <c r="J160" s="79" t="s">
        <v>170</v>
      </c>
      <c r="K160" s="1123">
        <v>552045</v>
      </c>
      <c r="L160" s="1121" t="s">
        <v>172</v>
      </c>
      <c r="M160" s="1127">
        <v>555</v>
      </c>
      <c r="N160" s="1127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75</v>
      </c>
      <c r="S160" s="1134"/>
      <c r="T160" s="56" t="s">
        <v>2525</v>
      </c>
      <c r="U160" s="56" t="s">
        <v>2525</v>
      </c>
      <c r="V160" s="56"/>
      <c r="W160" s="1135" t="s">
        <v>10214</v>
      </c>
      <c r="X160" s="137">
        <v>45800</v>
      </c>
      <c r="Y160" s="90"/>
      <c r="Z160" s="90"/>
      <c r="AA160" s="127">
        <v>371008529</v>
      </c>
      <c r="AB160" s="117" t="s">
        <v>122</v>
      </c>
      <c r="AC160" s="1133" t="s">
        <v>78</v>
      </c>
      <c r="AD160" s="1130">
        <v>45807</v>
      </c>
      <c r="AE160" s="1130">
        <v>45807</v>
      </c>
      <c r="AF160" s="1130">
        <v>45807</v>
      </c>
      <c r="AG160" s="1130">
        <v>45869</v>
      </c>
      <c r="AH160" s="1130">
        <v>45867</v>
      </c>
      <c r="AI160" s="1130">
        <v>45869</v>
      </c>
      <c r="AJ160" s="1127" t="s">
        <v>66</v>
      </c>
      <c r="AK160" s="1121" t="s">
        <v>10265</v>
      </c>
      <c r="AL160" s="39" t="s">
        <v>10299</v>
      </c>
      <c r="AM160" s="1121" t="s">
        <v>10300</v>
      </c>
      <c r="AN160" s="1121" t="s">
        <v>10300</v>
      </c>
      <c r="AO160" s="138">
        <f t="shared" si="10"/>
        <v>63</v>
      </c>
      <c r="AP160" s="39" t="s">
        <v>2538</v>
      </c>
      <c r="AQ160" s="115" t="s">
        <v>2538</v>
      </c>
    </row>
    <row r="161" spans="1:43" s="6" customFormat="1" ht="11.5">
      <c r="A161" s="74" t="s">
        <v>10301</v>
      </c>
      <c r="B161" s="56" t="s">
        <v>67</v>
      </c>
      <c r="C161" s="56" t="s">
        <v>63</v>
      </c>
      <c r="D161" s="56" t="s">
        <v>9822</v>
      </c>
      <c r="E161" s="56"/>
      <c r="F161" s="118" t="s">
        <v>96</v>
      </c>
      <c r="G161" s="39"/>
      <c r="H161" s="56"/>
      <c r="I161" s="56" t="s">
        <v>9816</v>
      </c>
      <c r="J161" s="118" t="s">
        <v>550</v>
      </c>
      <c r="K161" s="83">
        <v>553118</v>
      </c>
      <c r="L161" s="56" t="s">
        <v>552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75</v>
      </c>
      <c r="S161" s="56"/>
      <c r="T161" s="56" t="s">
        <v>2525</v>
      </c>
      <c r="U161" s="56" t="s">
        <v>2525</v>
      </c>
      <c r="V161" s="139"/>
      <c r="W161" s="1129" t="s">
        <v>9971</v>
      </c>
      <c r="X161" s="1130">
        <v>45807</v>
      </c>
      <c r="Y161" s="64"/>
      <c r="Z161" s="64"/>
      <c r="AA161" s="116">
        <v>371008543</v>
      </c>
      <c r="AB161" s="117" t="s">
        <v>122</v>
      </c>
      <c r="AC161" s="1133" t="s">
        <v>314</v>
      </c>
      <c r="AD161" s="1130">
        <v>45814</v>
      </c>
      <c r="AE161" s="1130">
        <v>45814</v>
      </c>
      <c r="AF161" s="1130">
        <v>45814</v>
      </c>
      <c r="AG161" s="1130">
        <v>45870</v>
      </c>
      <c r="AH161" s="1130">
        <v>45874</v>
      </c>
      <c r="AI161" s="1130">
        <v>45870</v>
      </c>
      <c r="AJ161" s="1127" t="s">
        <v>66</v>
      </c>
      <c r="AK161" s="1121" t="s">
        <v>10302</v>
      </c>
      <c r="AL161" s="39" t="s">
        <v>10303</v>
      </c>
      <c r="AM161" s="1121" t="s">
        <v>10304</v>
      </c>
      <c r="AN161" s="1121" t="s">
        <v>10304</v>
      </c>
      <c r="AO161" s="91">
        <f t="shared" si="10"/>
        <v>57</v>
      </c>
      <c r="AP161" s="39" t="s">
        <v>2538</v>
      </c>
      <c r="AQ161" s="115" t="s">
        <v>2538</v>
      </c>
    </row>
    <row r="162" spans="1:43" s="6" customFormat="1" ht="11.5">
      <c r="A162" s="124" t="s">
        <v>10305</v>
      </c>
      <c r="B162" s="56" t="s">
        <v>67</v>
      </c>
      <c r="C162" s="56" t="s">
        <v>63</v>
      </c>
      <c r="D162" s="56" t="s">
        <v>9822</v>
      </c>
      <c r="E162" s="56"/>
      <c r="F162" s="118" t="s">
        <v>96</v>
      </c>
      <c r="G162" s="39"/>
      <c r="H162" s="56"/>
      <c r="I162" s="56" t="s">
        <v>9816</v>
      </c>
      <c r="J162" s="118" t="s">
        <v>170</v>
      </c>
      <c r="K162" s="83">
        <v>552026</v>
      </c>
      <c r="L162" s="56" t="s">
        <v>463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75</v>
      </c>
      <c r="S162" s="86"/>
      <c r="T162" s="56" t="s">
        <v>2525</v>
      </c>
      <c r="U162" s="56" t="s">
        <v>2525</v>
      </c>
      <c r="V162" s="56"/>
      <c r="W162" s="134" t="s">
        <v>10214</v>
      </c>
      <c r="X162" s="135">
        <v>45807</v>
      </c>
      <c r="Y162" s="90"/>
      <c r="Z162" s="90"/>
      <c r="AA162" s="136">
        <v>371008545</v>
      </c>
      <c r="AB162" s="117" t="s">
        <v>122</v>
      </c>
      <c r="AC162" s="1133" t="s">
        <v>314</v>
      </c>
      <c r="AD162" s="1130">
        <v>45814</v>
      </c>
      <c r="AE162" s="1130">
        <v>45814</v>
      </c>
      <c r="AF162" s="1130">
        <v>45814</v>
      </c>
      <c r="AG162" s="1130">
        <v>45870</v>
      </c>
      <c r="AH162" s="1130">
        <v>45874</v>
      </c>
      <c r="AI162" s="1130">
        <v>45870</v>
      </c>
      <c r="AJ162" s="1127" t="s">
        <v>66</v>
      </c>
      <c r="AK162" s="1121" t="s">
        <v>10302</v>
      </c>
      <c r="AL162" s="39" t="s">
        <v>10303</v>
      </c>
      <c r="AM162" s="39" t="s">
        <v>10304</v>
      </c>
      <c r="AN162" s="39" t="s">
        <v>10304</v>
      </c>
      <c r="AO162" s="91">
        <f t="shared" si="10"/>
        <v>57</v>
      </c>
      <c r="AP162" s="39" t="s">
        <v>2538</v>
      </c>
      <c r="AQ162" s="75" t="s">
        <v>2538</v>
      </c>
    </row>
    <row r="163" spans="1:43" s="6" customFormat="1" ht="11.5">
      <c r="A163" s="124" t="s">
        <v>10306</v>
      </c>
      <c r="B163" s="39" t="s">
        <v>67</v>
      </c>
      <c r="C163" s="39" t="s">
        <v>63</v>
      </c>
      <c r="D163" s="39" t="s">
        <v>9822</v>
      </c>
      <c r="E163" s="39"/>
      <c r="F163" s="118" t="s">
        <v>96</v>
      </c>
      <c r="G163" s="39"/>
      <c r="H163" s="56"/>
      <c r="I163" s="56" t="s">
        <v>9816</v>
      </c>
      <c r="J163" s="79" t="s">
        <v>170</v>
      </c>
      <c r="K163" s="83">
        <v>552045</v>
      </c>
      <c r="L163" s="39" t="s">
        <v>172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75</v>
      </c>
      <c r="S163" s="1134"/>
      <c r="T163" s="56" t="s">
        <v>2525</v>
      </c>
      <c r="U163" s="56" t="s">
        <v>2525</v>
      </c>
      <c r="V163" s="56"/>
      <c r="W163" s="1135" t="s">
        <v>10214</v>
      </c>
      <c r="X163" s="140">
        <v>45807</v>
      </c>
      <c r="Y163" s="90"/>
      <c r="Z163" s="90"/>
      <c r="AA163" s="116">
        <v>371008551</v>
      </c>
      <c r="AB163" s="117" t="s">
        <v>122</v>
      </c>
      <c r="AC163" s="1133" t="s">
        <v>314</v>
      </c>
      <c r="AD163" s="1130">
        <v>45814</v>
      </c>
      <c r="AE163" s="1130">
        <v>45814</v>
      </c>
      <c r="AF163" s="1130">
        <v>45814</v>
      </c>
      <c r="AG163" s="1130">
        <v>45870</v>
      </c>
      <c r="AH163" s="1130">
        <v>45874</v>
      </c>
      <c r="AI163" s="1130">
        <v>45870</v>
      </c>
      <c r="AJ163" s="1127" t="s">
        <v>66</v>
      </c>
      <c r="AK163" s="1121" t="s">
        <v>10302</v>
      </c>
      <c r="AL163" s="39" t="s">
        <v>10303</v>
      </c>
      <c r="AM163" s="39" t="s">
        <v>10304</v>
      </c>
      <c r="AN163" s="39" t="s">
        <v>10304</v>
      </c>
      <c r="AO163" s="91">
        <f t="shared" si="10"/>
        <v>57</v>
      </c>
      <c r="AP163" s="39" t="s">
        <v>2538</v>
      </c>
      <c r="AQ163" s="115" t="s">
        <v>2538</v>
      </c>
    </row>
    <row r="164" spans="1:43" s="6" customFormat="1" ht="11.5">
      <c r="A164" s="1121" t="s">
        <v>10307</v>
      </c>
      <c r="B164" s="1122" t="s">
        <v>67</v>
      </c>
      <c r="C164" s="1122" t="s">
        <v>63</v>
      </c>
      <c r="D164" s="1122" t="s">
        <v>9822</v>
      </c>
      <c r="E164" s="1122"/>
      <c r="F164" s="118" t="s">
        <v>96</v>
      </c>
      <c r="G164" s="39"/>
      <c r="H164" s="56"/>
      <c r="I164" s="56" t="s">
        <v>9816</v>
      </c>
      <c r="J164" s="118" t="s">
        <v>170</v>
      </c>
      <c r="K164" s="1123">
        <v>552026</v>
      </c>
      <c r="L164" s="1122" t="s">
        <v>463</v>
      </c>
      <c r="M164" s="1127">
        <v>550</v>
      </c>
      <c r="N164" s="1127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75</v>
      </c>
      <c r="S164" s="1134"/>
      <c r="T164" s="56" t="s">
        <v>2525</v>
      </c>
      <c r="U164" s="56" t="s">
        <v>2525</v>
      </c>
      <c r="V164" s="56"/>
      <c r="W164" s="1135" t="s">
        <v>10214</v>
      </c>
      <c r="X164" s="90">
        <v>45807</v>
      </c>
      <c r="Y164" s="90"/>
      <c r="Z164" s="90"/>
      <c r="AA164" s="127">
        <v>371008546</v>
      </c>
      <c r="AB164" s="117" t="s">
        <v>122</v>
      </c>
      <c r="AC164" s="1133" t="s">
        <v>1561</v>
      </c>
      <c r="AD164" s="1130">
        <v>45814</v>
      </c>
      <c r="AE164" s="1130">
        <v>45814</v>
      </c>
      <c r="AF164" s="1130">
        <v>45814</v>
      </c>
      <c r="AG164" s="1130">
        <v>45862</v>
      </c>
      <c r="AH164" s="1130">
        <v>45862</v>
      </c>
      <c r="AI164" s="1130">
        <v>45862</v>
      </c>
      <c r="AJ164" s="1127" t="s">
        <v>66</v>
      </c>
      <c r="AK164" s="1121" t="s">
        <v>10302</v>
      </c>
      <c r="AL164" s="39" t="s">
        <v>10308</v>
      </c>
      <c r="AM164" s="1121" t="s">
        <v>10309</v>
      </c>
      <c r="AN164" s="1121" t="s">
        <v>10309</v>
      </c>
      <c r="AO164" s="91">
        <f t="shared" si="10"/>
        <v>49</v>
      </c>
      <c r="AP164" s="18" t="s">
        <v>2538</v>
      </c>
      <c r="AQ164" s="91" t="s">
        <v>2538</v>
      </c>
    </row>
    <row r="165" spans="1:43" s="6" customFormat="1" ht="11.5">
      <c r="A165" s="1121" t="s">
        <v>10310</v>
      </c>
      <c r="B165" s="1121" t="s">
        <v>67</v>
      </c>
      <c r="C165" s="1121" t="s">
        <v>63</v>
      </c>
      <c r="D165" s="1121" t="s">
        <v>9822</v>
      </c>
      <c r="E165" s="1121"/>
      <c r="F165" s="118" t="s">
        <v>96</v>
      </c>
      <c r="G165" s="39"/>
      <c r="H165" s="56"/>
      <c r="I165" s="56" t="s">
        <v>9816</v>
      </c>
      <c r="J165" s="79" t="s">
        <v>170</v>
      </c>
      <c r="K165" s="1123">
        <v>552045</v>
      </c>
      <c r="L165" s="1121" t="s">
        <v>172</v>
      </c>
      <c r="M165" s="1127">
        <v>555</v>
      </c>
      <c r="N165" s="1127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75</v>
      </c>
      <c r="S165" s="1134"/>
      <c r="T165" s="56" t="s">
        <v>2525</v>
      </c>
      <c r="U165" s="56" t="s">
        <v>2525</v>
      </c>
      <c r="V165" s="56"/>
      <c r="W165" s="1135" t="s">
        <v>10214</v>
      </c>
      <c r="X165" s="90">
        <v>45807</v>
      </c>
      <c r="Y165" s="90"/>
      <c r="Z165" s="90"/>
      <c r="AA165" s="127">
        <v>371008552</v>
      </c>
      <c r="AB165" s="117" t="s">
        <v>122</v>
      </c>
      <c r="AC165" s="1133" t="s">
        <v>1561</v>
      </c>
      <c r="AD165" s="1130">
        <v>45814</v>
      </c>
      <c r="AE165" s="1130">
        <v>45814</v>
      </c>
      <c r="AF165" s="1130">
        <v>45814</v>
      </c>
      <c r="AG165" s="1130">
        <v>45862</v>
      </c>
      <c r="AH165" s="1130">
        <v>45862</v>
      </c>
      <c r="AI165" s="1130">
        <v>45862</v>
      </c>
      <c r="AJ165" s="1127" t="s">
        <v>66</v>
      </c>
      <c r="AK165" s="1121" t="s">
        <v>10302</v>
      </c>
      <c r="AL165" s="39" t="s">
        <v>10308</v>
      </c>
      <c r="AM165" s="1121" t="s">
        <v>10309</v>
      </c>
      <c r="AN165" s="1121" t="s">
        <v>10309</v>
      </c>
      <c r="AO165" s="91">
        <f t="shared" si="10"/>
        <v>49</v>
      </c>
      <c r="AP165" s="18" t="s">
        <v>2538</v>
      </c>
      <c r="AQ165" s="91" t="s">
        <v>2538</v>
      </c>
    </row>
    <row r="166" spans="1:43" s="6" customFormat="1" ht="11.5" hidden="1">
      <c r="A166" s="1122" t="s">
        <v>10311</v>
      </c>
      <c r="B166" s="1122" t="s">
        <v>67</v>
      </c>
      <c r="C166" s="1122" t="s">
        <v>63</v>
      </c>
      <c r="D166" s="1122" t="s">
        <v>9822</v>
      </c>
      <c r="E166" s="1122"/>
      <c r="F166" s="118" t="s">
        <v>96</v>
      </c>
      <c r="G166" s="39"/>
      <c r="H166" s="56"/>
      <c r="I166" s="56" t="s">
        <v>9816</v>
      </c>
      <c r="J166" s="118" t="s">
        <v>550</v>
      </c>
      <c r="K166" s="1123">
        <v>553118</v>
      </c>
      <c r="L166" s="1122" t="s">
        <v>552</v>
      </c>
      <c r="M166" s="1124">
        <v>510</v>
      </c>
      <c r="N166" s="1124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75</v>
      </c>
      <c r="S166" s="1122"/>
      <c r="T166" s="56" t="s">
        <v>2525</v>
      </c>
      <c r="U166" s="56" t="s">
        <v>2525</v>
      </c>
      <c r="V166" s="56"/>
      <c r="W166" s="1121" t="s">
        <v>9971</v>
      </c>
      <c r="X166" s="1118">
        <v>45806</v>
      </c>
      <c r="Y166" s="78"/>
      <c r="Z166" s="78"/>
      <c r="AA166" s="121">
        <v>371008542</v>
      </c>
      <c r="AB166" s="79" t="s">
        <v>122</v>
      </c>
      <c r="AC166" s="1119" t="s">
        <v>78</v>
      </c>
      <c r="AD166" s="1118">
        <v>45814</v>
      </c>
      <c r="AE166" s="1118">
        <v>45814</v>
      </c>
      <c r="AF166" s="1118">
        <v>45814</v>
      </c>
      <c r="AG166" s="1118">
        <v>45875</v>
      </c>
      <c r="AH166" s="1118">
        <v>45870</v>
      </c>
      <c r="AI166" s="1118">
        <v>45875</v>
      </c>
      <c r="AJ166" s="1124" t="s">
        <v>66</v>
      </c>
      <c r="AK166" s="1121" t="s">
        <v>10302</v>
      </c>
      <c r="AL166" s="39" t="s">
        <v>10312</v>
      </c>
      <c r="AM166" s="1121" t="s">
        <v>10313</v>
      </c>
      <c r="AN166" s="1121" t="s">
        <v>10313</v>
      </c>
      <c r="AO166" s="75">
        <f t="shared" si="10"/>
        <v>62</v>
      </c>
      <c r="AP166" s="39" t="s">
        <v>2538</v>
      </c>
      <c r="AQ166" s="75" t="s">
        <v>2538</v>
      </c>
    </row>
    <row r="167" spans="1:43" s="6" customFormat="1" ht="11.5" hidden="1">
      <c r="A167" s="124" t="s">
        <v>10314</v>
      </c>
      <c r="B167" s="39" t="s">
        <v>67</v>
      </c>
      <c r="C167" s="39" t="s">
        <v>63</v>
      </c>
      <c r="D167" s="39" t="s">
        <v>9822</v>
      </c>
      <c r="E167" s="39"/>
      <c r="F167" s="118" t="s">
        <v>96</v>
      </c>
      <c r="G167" s="79"/>
      <c r="H167" s="118"/>
      <c r="I167" s="118" t="s">
        <v>9816</v>
      </c>
      <c r="J167" s="79" t="s">
        <v>170</v>
      </c>
      <c r="K167" s="83">
        <v>552045</v>
      </c>
      <c r="L167" s="39" t="s">
        <v>172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75</v>
      </c>
      <c r="S167" s="1124"/>
      <c r="T167" s="56" t="s">
        <v>2525</v>
      </c>
      <c r="U167" s="56" t="s">
        <v>2525</v>
      </c>
      <c r="V167" s="56"/>
      <c r="W167" s="1132" t="s">
        <v>10214</v>
      </c>
      <c r="X167" s="1118">
        <v>45806</v>
      </c>
      <c r="Y167" s="90"/>
      <c r="Z167" s="90"/>
      <c r="AA167" s="121">
        <v>371008550</v>
      </c>
      <c r="AB167" s="79" t="s">
        <v>122</v>
      </c>
      <c r="AC167" s="1119" t="s">
        <v>78</v>
      </c>
      <c r="AD167" s="1118">
        <v>45814</v>
      </c>
      <c r="AE167" s="1118">
        <v>45814</v>
      </c>
      <c r="AF167" s="1118">
        <v>45814</v>
      </c>
      <c r="AG167" s="1118">
        <v>45875</v>
      </c>
      <c r="AH167" s="1118">
        <v>45870</v>
      </c>
      <c r="AI167" s="1118">
        <v>45875</v>
      </c>
      <c r="AJ167" s="1124" t="s">
        <v>66</v>
      </c>
      <c r="AK167" s="1121" t="s">
        <v>10302</v>
      </c>
      <c r="AL167" s="39" t="s">
        <v>10312</v>
      </c>
      <c r="AM167" s="1121" t="s">
        <v>10313</v>
      </c>
      <c r="AN167" s="1121" t="s">
        <v>10313</v>
      </c>
      <c r="AO167" s="75">
        <f t="shared" si="10"/>
        <v>62</v>
      </c>
      <c r="AP167" s="39" t="s">
        <v>2538</v>
      </c>
      <c r="AQ167" s="75" t="s">
        <v>2538</v>
      </c>
    </row>
    <row r="168" spans="1:43" s="6" customFormat="1" ht="11.5" hidden="1">
      <c r="A168" s="118" t="s">
        <v>2786</v>
      </c>
      <c r="B168" s="118" t="s">
        <v>67</v>
      </c>
      <c r="C168" s="118" t="s">
        <v>63</v>
      </c>
      <c r="D168" s="118" t="s">
        <v>66</v>
      </c>
      <c r="E168" s="118" t="s">
        <v>111</v>
      </c>
      <c r="F168" s="79" t="s">
        <v>96</v>
      </c>
      <c r="G168" s="79"/>
      <c r="H168" s="79"/>
      <c r="I168" s="79" t="s">
        <v>9816</v>
      </c>
      <c r="J168" s="118" t="s">
        <v>170</v>
      </c>
      <c r="K168" s="141">
        <v>552026</v>
      </c>
      <c r="L168" s="142" t="s">
        <v>463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75</v>
      </c>
      <c r="S168" s="144">
        <f>$M168*$N168/1000000</f>
        <v>0.36299999999999999</v>
      </c>
      <c r="T168" s="56" t="s">
        <v>2525</v>
      </c>
      <c r="U168" s="56" t="s">
        <v>2525</v>
      </c>
      <c r="V168" s="56"/>
      <c r="W168" s="1132" t="s">
        <v>10315</v>
      </c>
      <c r="X168" s="118" t="s">
        <v>951</v>
      </c>
      <c r="Y168" s="118"/>
      <c r="Z168" s="118"/>
      <c r="AA168" s="146">
        <v>371008686</v>
      </c>
      <c r="AB168" s="79" t="s">
        <v>122</v>
      </c>
      <c r="AC168" s="79" t="s">
        <v>78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66</v>
      </c>
      <c r="AK168" s="79" t="s">
        <v>2687</v>
      </c>
      <c r="AL168" s="79" t="s">
        <v>2739</v>
      </c>
      <c r="AM168" s="79" t="s">
        <v>2740</v>
      </c>
      <c r="AN168" s="79" t="s">
        <v>2740</v>
      </c>
      <c r="AO168" s="75">
        <f t="shared" si="10"/>
        <v>61</v>
      </c>
      <c r="AP168" s="39" t="s">
        <v>83</v>
      </c>
      <c r="AQ168" s="75" t="s">
        <v>2538</v>
      </c>
    </row>
    <row r="169" spans="1:43" ht="11.25" hidden="1" customHeight="1">
      <c r="A169" s="82"/>
      <c r="B169" s="118" t="s">
        <v>67</v>
      </c>
      <c r="C169" s="118" t="s">
        <v>63</v>
      </c>
      <c r="D169" s="117"/>
      <c r="E169" s="117" t="s">
        <v>61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47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1"/>
  <sheetViews>
    <sheetView topLeftCell="D1" zoomScale="70" zoomScaleNormal="70" workbookViewId="0">
      <pane ySplit="1" topLeftCell="A49" activePane="bottomLeft" state="frozen"/>
      <selection activeCell="F1" sqref="F1"/>
      <selection pane="bottomLeft" activeCell="S68" sqref="S68"/>
    </sheetView>
  </sheetViews>
  <sheetFormatPr defaultColWidth="9.09765625" defaultRowHeight="12.5"/>
  <cols>
    <col min="1" max="1" width="9.09765625" style="762" customWidth="1"/>
    <col min="2" max="2" width="21.3984375" style="848" customWidth="1"/>
    <col min="3" max="3" width="13" style="849" customWidth="1"/>
    <col min="4" max="4" width="19" style="850" customWidth="1"/>
    <col min="5" max="5" width="26.8984375" style="762" customWidth="1"/>
    <col min="6" max="6" width="23.09765625" style="762" customWidth="1"/>
    <col min="7" max="7" width="9.09765625" style="762" customWidth="1"/>
    <col min="8" max="8" width="10.09765625" style="762" customWidth="1"/>
    <col min="9" max="9" width="9.09765625" style="762" customWidth="1"/>
    <col min="10" max="10" width="13.59765625" style="762" customWidth="1"/>
    <col min="11" max="12" width="16.8984375" style="762" customWidth="1"/>
    <col min="13" max="13" width="18.8984375" style="762" customWidth="1"/>
    <col min="14" max="14" width="25.3984375" style="762" customWidth="1"/>
    <col min="15" max="15" width="16.09765625" style="762" customWidth="1"/>
    <col min="16" max="16" width="19.09765625" style="762" customWidth="1"/>
    <col min="17" max="17" width="11.3984375" style="762" customWidth="1"/>
    <col min="18" max="18" width="11.09765625" style="762" customWidth="1"/>
    <col min="19" max="19" width="20.8984375" style="762" customWidth="1"/>
    <col min="20" max="20" width="13" style="762" customWidth="1"/>
    <col min="21" max="16384" width="9.09765625" style="762"/>
  </cols>
  <sheetData>
    <row r="1" spans="1:20" ht="31.5">
      <c r="A1" s="760" t="s">
        <v>2498</v>
      </c>
      <c r="B1" s="1305" t="s">
        <v>10316</v>
      </c>
      <c r="C1" s="761" t="s">
        <v>10317</v>
      </c>
      <c r="D1" s="904" t="s">
        <v>10318</v>
      </c>
      <c r="E1" s="905" t="s">
        <v>10319</v>
      </c>
      <c r="F1" s="905" t="s">
        <v>16</v>
      </c>
      <c r="G1" s="905" t="s">
        <v>10320</v>
      </c>
      <c r="H1" s="905" t="s">
        <v>10321</v>
      </c>
      <c r="I1" s="905" t="s">
        <v>10322</v>
      </c>
      <c r="J1" s="905" t="s">
        <v>32</v>
      </c>
      <c r="K1" s="905" t="s">
        <v>10323</v>
      </c>
      <c r="L1" s="906" t="s">
        <v>10324</v>
      </c>
      <c r="M1" s="905" t="s">
        <v>10325</v>
      </c>
      <c r="N1" s="905" t="s">
        <v>10326</v>
      </c>
      <c r="O1" s="905" t="s">
        <v>10327</v>
      </c>
      <c r="P1" s="905" t="s">
        <v>10328</v>
      </c>
      <c r="Q1" s="905" t="s">
        <v>10329</v>
      </c>
      <c r="R1" s="907" t="s">
        <v>4</v>
      </c>
      <c r="S1" s="907" t="s">
        <v>5</v>
      </c>
      <c r="T1" s="907" t="s">
        <v>6</v>
      </c>
    </row>
    <row r="2" spans="1:20" s="772" customFormat="1" ht="18.75" customHeight="1">
      <c r="A2" s="763" t="s">
        <v>10330</v>
      </c>
      <c r="B2" s="764" t="s">
        <v>8786</v>
      </c>
      <c r="C2" s="765">
        <v>202604</v>
      </c>
      <c r="D2" s="766" t="s">
        <v>10331</v>
      </c>
      <c r="E2" s="767" t="s">
        <v>10332</v>
      </c>
      <c r="F2" s="768" t="s">
        <v>10333</v>
      </c>
      <c r="G2" s="769">
        <v>3</v>
      </c>
      <c r="H2" s="769" t="s">
        <v>402</v>
      </c>
      <c r="I2" s="769" t="s">
        <v>10334</v>
      </c>
      <c r="J2" s="769" t="s">
        <v>123</v>
      </c>
      <c r="K2" s="769" t="s">
        <v>9646</v>
      </c>
      <c r="L2" s="770" t="s">
        <v>8941</v>
      </c>
      <c r="M2" s="770" t="s">
        <v>10335</v>
      </c>
      <c r="N2" s="769">
        <v>269583800</v>
      </c>
      <c r="O2" s="771">
        <v>46132</v>
      </c>
      <c r="P2" s="771">
        <v>46135</v>
      </c>
      <c r="Q2" s="771">
        <v>46174</v>
      </c>
      <c r="R2" s="772" t="s">
        <v>64</v>
      </c>
      <c r="S2" s="772" t="s">
        <v>100</v>
      </c>
      <c r="T2" s="772" t="s">
        <v>402</v>
      </c>
    </row>
    <row r="3" spans="1:20" s="772" customFormat="1">
      <c r="A3" s="763" t="s">
        <v>10330</v>
      </c>
      <c r="B3" s="764" t="s">
        <v>8786</v>
      </c>
      <c r="C3" s="765">
        <v>202604</v>
      </c>
      <c r="D3" s="766" t="s">
        <v>10336</v>
      </c>
      <c r="E3" s="767" t="s">
        <v>10337</v>
      </c>
      <c r="F3" s="768" t="s">
        <v>10338</v>
      </c>
      <c r="G3" s="769">
        <v>2</v>
      </c>
      <c r="H3" s="769" t="s">
        <v>402</v>
      </c>
      <c r="I3" s="769" t="s">
        <v>10334</v>
      </c>
      <c r="J3" s="769" t="s">
        <v>123</v>
      </c>
      <c r="K3" s="769" t="s">
        <v>9646</v>
      </c>
      <c r="L3" s="769" t="s">
        <v>10339</v>
      </c>
      <c r="M3" s="770" t="s">
        <v>10335</v>
      </c>
      <c r="N3" s="769">
        <v>269583800</v>
      </c>
      <c r="O3" s="771">
        <v>46132</v>
      </c>
      <c r="P3" s="771">
        <v>46135</v>
      </c>
      <c r="Q3" s="771">
        <v>46174</v>
      </c>
      <c r="R3" s="772" t="s">
        <v>64</v>
      </c>
      <c r="S3" s="772" t="s">
        <v>100</v>
      </c>
      <c r="T3" s="772" t="s">
        <v>402</v>
      </c>
    </row>
    <row r="4" spans="1:20" s="772" customFormat="1">
      <c r="A4" s="763" t="s">
        <v>10330</v>
      </c>
      <c r="B4" s="764" t="s">
        <v>8786</v>
      </c>
      <c r="C4" s="765">
        <v>202604</v>
      </c>
      <c r="D4" s="766" t="s">
        <v>5555</v>
      </c>
      <c r="E4" s="767" t="s">
        <v>10340</v>
      </c>
      <c r="F4" s="768" t="s">
        <v>5556</v>
      </c>
      <c r="G4" s="769">
        <v>2</v>
      </c>
      <c r="H4" s="769" t="s">
        <v>402</v>
      </c>
      <c r="I4" s="769" t="s">
        <v>10334</v>
      </c>
      <c r="J4" s="769" t="s">
        <v>123</v>
      </c>
      <c r="K4" s="769" t="s">
        <v>9646</v>
      </c>
      <c r="L4" s="769" t="s">
        <v>10339</v>
      </c>
      <c r="M4" s="770" t="s">
        <v>10335</v>
      </c>
      <c r="N4" s="769">
        <v>269583800</v>
      </c>
      <c r="O4" s="771">
        <v>46132</v>
      </c>
      <c r="P4" s="771">
        <v>46135</v>
      </c>
      <c r="Q4" s="771">
        <v>46174</v>
      </c>
      <c r="R4" s="772" t="s">
        <v>64</v>
      </c>
      <c r="S4" s="772" t="s">
        <v>100</v>
      </c>
      <c r="T4" s="772" t="s">
        <v>402</v>
      </c>
    </row>
    <row r="5" spans="1:20" s="772" customFormat="1">
      <c r="A5" s="763" t="s">
        <v>10330</v>
      </c>
      <c r="B5" s="764" t="s">
        <v>8786</v>
      </c>
      <c r="C5" s="765">
        <v>202604</v>
      </c>
      <c r="D5" s="766" t="s">
        <v>10341</v>
      </c>
      <c r="E5" s="767" t="s">
        <v>10342</v>
      </c>
      <c r="F5" s="768" t="s">
        <v>10343</v>
      </c>
      <c r="G5" s="769">
        <v>15</v>
      </c>
      <c r="H5" s="769" t="s">
        <v>402</v>
      </c>
      <c r="I5" s="769" t="s">
        <v>10334</v>
      </c>
      <c r="J5" s="769" t="s">
        <v>123</v>
      </c>
      <c r="K5" s="769" t="s">
        <v>9646</v>
      </c>
      <c r="L5" s="769" t="s">
        <v>10339</v>
      </c>
      <c r="M5" s="770" t="s">
        <v>10335</v>
      </c>
      <c r="N5" s="769">
        <v>269583800</v>
      </c>
      <c r="O5" s="771">
        <v>46132</v>
      </c>
      <c r="P5" s="771">
        <v>46135</v>
      </c>
      <c r="Q5" s="771">
        <v>46174</v>
      </c>
      <c r="R5" s="772" t="s">
        <v>64</v>
      </c>
      <c r="S5" s="772" t="s">
        <v>100</v>
      </c>
      <c r="T5" s="772" t="s">
        <v>402</v>
      </c>
    </row>
    <row r="6" spans="1:20" s="772" customFormat="1">
      <c r="A6" s="763" t="s">
        <v>10330</v>
      </c>
      <c r="B6" s="764" t="s">
        <v>8786</v>
      </c>
      <c r="C6" s="765">
        <v>202604</v>
      </c>
      <c r="D6" s="766" t="s">
        <v>10344</v>
      </c>
      <c r="E6" s="767" t="s">
        <v>10345</v>
      </c>
      <c r="F6" s="768" t="s">
        <v>10346</v>
      </c>
      <c r="G6" s="769">
        <v>10</v>
      </c>
      <c r="H6" s="769" t="s">
        <v>402</v>
      </c>
      <c r="I6" s="769" t="s">
        <v>10334</v>
      </c>
      <c r="J6" s="769" t="s">
        <v>123</v>
      </c>
      <c r="K6" s="769" t="s">
        <v>9646</v>
      </c>
      <c r="L6" s="769" t="s">
        <v>10339</v>
      </c>
      <c r="M6" s="770" t="s">
        <v>10335</v>
      </c>
      <c r="N6" s="769">
        <v>269583800</v>
      </c>
      <c r="O6" s="771">
        <v>46132</v>
      </c>
      <c r="P6" s="771">
        <v>46135</v>
      </c>
      <c r="Q6" s="771">
        <v>46174</v>
      </c>
      <c r="R6" s="772" t="s">
        <v>64</v>
      </c>
      <c r="S6" s="772" t="s">
        <v>100</v>
      </c>
      <c r="T6" s="772" t="s">
        <v>402</v>
      </c>
    </row>
    <row r="7" spans="1:20" s="772" customFormat="1">
      <c r="A7" s="763" t="s">
        <v>10330</v>
      </c>
      <c r="B7" s="773" t="s">
        <v>8786</v>
      </c>
      <c r="C7" s="774">
        <v>202604</v>
      </c>
      <c r="D7" s="775" t="s">
        <v>6678</v>
      </c>
      <c r="E7" s="776" t="s">
        <v>10347</v>
      </c>
      <c r="F7" s="777" t="s">
        <v>6679</v>
      </c>
      <c r="G7" s="778">
        <v>6</v>
      </c>
      <c r="H7" s="778" t="s">
        <v>402</v>
      </c>
      <c r="I7" s="778" t="s">
        <v>10334</v>
      </c>
      <c r="J7" s="778" t="s">
        <v>123</v>
      </c>
      <c r="K7" s="778" t="s">
        <v>9646</v>
      </c>
      <c r="L7" s="778" t="s">
        <v>10339</v>
      </c>
      <c r="M7" s="770" t="s">
        <v>10335</v>
      </c>
      <c r="N7" s="769">
        <v>269583800</v>
      </c>
      <c r="O7" s="771">
        <v>46132</v>
      </c>
      <c r="P7" s="771">
        <v>46135</v>
      </c>
      <c r="Q7" s="771">
        <v>46174</v>
      </c>
      <c r="R7" s="772" t="s">
        <v>64</v>
      </c>
      <c r="S7" s="772" t="s">
        <v>100</v>
      </c>
      <c r="T7" s="772" t="s">
        <v>402</v>
      </c>
    </row>
    <row r="8" spans="1:20" s="786" customFormat="1">
      <c r="A8" s="779" t="s">
        <v>10330</v>
      </c>
      <c r="B8" s="780" t="s">
        <v>10348</v>
      </c>
      <c r="C8" s="781">
        <v>202604</v>
      </c>
      <c r="D8" s="782" t="s">
        <v>10349</v>
      </c>
      <c r="E8" s="783" t="s">
        <v>10350</v>
      </c>
      <c r="F8" s="784" t="s">
        <v>10351</v>
      </c>
      <c r="G8" s="782">
        <v>1</v>
      </c>
      <c r="H8" s="781" t="s">
        <v>66</v>
      </c>
      <c r="I8" s="781" t="s">
        <v>10334</v>
      </c>
      <c r="J8" s="781" t="s">
        <v>10352</v>
      </c>
      <c r="K8" s="781" t="s">
        <v>9646</v>
      </c>
      <c r="L8" s="781" t="s">
        <v>8938</v>
      </c>
      <c r="M8" s="781" t="s">
        <v>10353</v>
      </c>
      <c r="N8" s="781" t="s">
        <v>10354</v>
      </c>
      <c r="O8" s="785">
        <v>46134</v>
      </c>
      <c r="P8" s="785">
        <v>46143</v>
      </c>
      <c r="Q8" s="785">
        <v>46188</v>
      </c>
      <c r="R8" s="786" t="s">
        <v>64</v>
      </c>
      <c r="S8" s="786" t="s">
        <v>100</v>
      </c>
      <c r="T8" s="786" t="s">
        <v>402</v>
      </c>
    </row>
    <row r="9" spans="1:20" s="786" customFormat="1">
      <c r="A9" s="779" t="s">
        <v>10330</v>
      </c>
      <c r="B9" s="780" t="s">
        <v>10348</v>
      </c>
      <c r="C9" s="781">
        <v>202604</v>
      </c>
      <c r="D9" s="782" t="s">
        <v>10355</v>
      </c>
      <c r="E9" s="783" t="s">
        <v>10356</v>
      </c>
      <c r="F9" s="784" t="s">
        <v>10357</v>
      </c>
      <c r="G9" s="782">
        <v>1</v>
      </c>
      <c r="H9" s="781" t="s">
        <v>66</v>
      </c>
      <c r="I9" s="781" t="s">
        <v>10334</v>
      </c>
      <c r="J9" s="781" t="s">
        <v>10352</v>
      </c>
      <c r="K9" s="781" t="s">
        <v>9646</v>
      </c>
      <c r="L9" s="781" t="s">
        <v>8938</v>
      </c>
      <c r="M9" s="781" t="s">
        <v>10353</v>
      </c>
      <c r="N9" s="781" t="s">
        <v>10354</v>
      </c>
      <c r="O9" s="785">
        <v>46134</v>
      </c>
      <c r="P9" s="785">
        <v>46143</v>
      </c>
      <c r="Q9" s="785">
        <v>46188</v>
      </c>
      <c r="R9" s="786" t="s">
        <v>64</v>
      </c>
      <c r="S9" s="786" t="s">
        <v>100</v>
      </c>
      <c r="T9" s="786" t="s">
        <v>402</v>
      </c>
    </row>
    <row r="10" spans="1:20" s="786" customFormat="1">
      <c r="A10" s="779" t="s">
        <v>10330</v>
      </c>
      <c r="B10" s="780" t="s">
        <v>10348</v>
      </c>
      <c r="C10" s="781">
        <v>202604</v>
      </c>
      <c r="D10" s="782" t="s">
        <v>10358</v>
      </c>
      <c r="E10" s="783" t="s">
        <v>10359</v>
      </c>
      <c r="F10" s="784" t="s">
        <v>10360</v>
      </c>
      <c r="G10" s="782">
        <v>1</v>
      </c>
      <c r="H10" s="781" t="s">
        <v>66</v>
      </c>
      <c r="I10" s="781" t="s">
        <v>10334</v>
      </c>
      <c r="J10" s="781" t="s">
        <v>10352</v>
      </c>
      <c r="K10" s="781" t="s">
        <v>9646</v>
      </c>
      <c r="L10" s="781" t="s">
        <v>8938</v>
      </c>
      <c r="M10" s="781" t="s">
        <v>10353</v>
      </c>
      <c r="N10" s="781" t="s">
        <v>10354</v>
      </c>
      <c r="O10" s="785">
        <v>46134</v>
      </c>
      <c r="P10" s="785">
        <v>46143</v>
      </c>
      <c r="Q10" s="785">
        <v>46188</v>
      </c>
      <c r="R10" s="786" t="s">
        <v>64</v>
      </c>
      <c r="S10" s="786" t="s">
        <v>100</v>
      </c>
      <c r="T10" s="786" t="s">
        <v>402</v>
      </c>
    </row>
    <row r="11" spans="1:20" s="786" customFormat="1">
      <c r="A11" s="779" t="s">
        <v>10330</v>
      </c>
      <c r="B11" s="780" t="s">
        <v>10348</v>
      </c>
      <c r="C11" s="781">
        <v>202604</v>
      </c>
      <c r="D11" s="782" t="s">
        <v>10361</v>
      </c>
      <c r="E11" s="783" t="s">
        <v>7438</v>
      </c>
      <c r="F11" s="784" t="s">
        <v>10362</v>
      </c>
      <c r="G11" s="782">
        <v>1</v>
      </c>
      <c r="H11" s="781" t="s">
        <v>66</v>
      </c>
      <c r="I11" s="781" t="s">
        <v>10334</v>
      </c>
      <c r="J11" s="781" t="s">
        <v>10352</v>
      </c>
      <c r="K11" s="781" t="s">
        <v>9646</v>
      </c>
      <c r="L11" s="781" t="s">
        <v>8938</v>
      </c>
      <c r="M11" s="781" t="s">
        <v>10353</v>
      </c>
      <c r="N11" s="781" t="s">
        <v>10354</v>
      </c>
      <c r="O11" s="785">
        <v>46134</v>
      </c>
      <c r="P11" s="785">
        <v>46143</v>
      </c>
      <c r="Q11" s="785">
        <v>46188</v>
      </c>
      <c r="R11" s="786" t="s">
        <v>64</v>
      </c>
      <c r="S11" s="786" t="s">
        <v>100</v>
      </c>
      <c r="T11" s="786" t="s">
        <v>402</v>
      </c>
    </row>
    <row r="12" spans="1:20" s="786" customFormat="1">
      <c r="A12" s="779" t="s">
        <v>10330</v>
      </c>
      <c r="B12" s="780" t="s">
        <v>10348</v>
      </c>
      <c r="C12" s="781">
        <v>202604</v>
      </c>
      <c r="D12" s="782" t="s">
        <v>10363</v>
      </c>
      <c r="E12" s="783" t="s">
        <v>10364</v>
      </c>
      <c r="F12" s="784" t="s">
        <v>10365</v>
      </c>
      <c r="G12" s="782">
        <v>1</v>
      </c>
      <c r="H12" s="781" t="s">
        <v>66</v>
      </c>
      <c r="I12" s="781" t="s">
        <v>10334</v>
      </c>
      <c r="J12" s="781" t="s">
        <v>10352</v>
      </c>
      <c r="K12" s="781" t="s">
        <v>9646</v>
      </c>
      <c r="L12" s="781" t="s">
        <v>8938</v>
      </c>
      <c r="M12" s="781" t="s">
        <v>10353</v>
      </c>
      <c r="N12" s="781" t="s">
        <v>10354</v>
      </c>
      <c r="O12" s="785">
        <v>46134</v>
      </c>
      <c r="P12" s="785">
        <v>46143</v>
      </c>
      <c r="Q12" s="785">
        <v>46188</v>
      </c>
      <c r="R12" s="786" t="s">
        <v>64</v>
      </c>
      <c r="S12" s="786" t="s">
        <v>100</v>
      </c>
      <c r="T12" s="786" t="s">
        <v>402</v>
      </c>
    </row>
    <row r="13" spans="1:20" s="786" customFormat="1">
      <c r="A13" s="779" t="s">
        <v>10330</v>
      </c>
      <c r="B13" s="780" t="s">
        <v>10348</v>
      </c>
      <c r="C13" s="781">
        <v>202604</v>
      </c>
      <c r="D13" s="782" t="s">
        <v>10366</v>
      </c>
      <c r="E13" s="783" t="s">
        <v>10367</v>
      </c>
      <c r="F13" s="784" t="s">
        <v>10368</v>
      </c>
      <c r="G13" s="782">
        <v>1</v>
      </c>
      <c r="H13" s="781" t="s">
        <v>66</v>
      </c>
      <c r="I13" s="781" t="s">
        <v>10334</v>
      </c>
      <c r="J13" s="781" t="s">
        <v>10352</v>
      </c>
      <c r="K13" s="781" t="s">
        <v>9646</v>
      </c>
      <c r="L13" s="781" t="s">
        <v>8938</v>
      </c>
      <c r="M13" s="781" t="s">
        <v>10353</v>
      </c>
      <c r="N13" s="781" t="s">
        <v>10354</v>
      </c>
      <c r="O13" s="785">
        <v>46134</v>
      </c>
      <c r="P13" s="785">
        <v>46143</v>
      </c>
      <c r="Q13" s="785">
        <v>46188</v>
      </c>
      <c r="R13" s="786" t="s">
        <v>64</v>
      </c>
      <c r="S13" s="786" t="s">
        <v>100</v>
      </c>
      <c r="T13" s="786" t="s">
        <v>402</v>
      </c>
    </row>
    <row r="14" spans="1:20" s="772" customFormat="1">
      <c r="A14" s="763" t="s">
        <v>10330</v>
      </c>
      <c r="B14" s="764" t="s">
        <v>10348</v>
      </c>
      <c r="C14" s="765">
        <v>202604</v>
      </c>
      <c r="D14" s="769" t="s">
        <v>10369</v>
      </c>
      <c r="E14" s="787" t="s">
        <v>10370</v>
      </c>
      <c r="F14" s="767" t="s">
        <v>10371</v>
      </c>
      <c r="G14" s="908">
        <v>2</v>
      </c>
      <c r="H14" s="765" t="s">
        <v>66</v>
      </c>
      <c r="I14" s="765" t="s">
        <v>10372</v>
      </c>
      <c r="J14" s="765" t="s">
        <v>289</v>
      </c>
      <c r="K14" s="765" t="s">
        <v>9646</v>
      </c>
      <c r="L14" s="765" t="s">
        <v>8892</v>
      </c>
      <c r="M14" s="787"/>
      <c r="N14" s="787" t="s">
        <v>10373</v>
      </c>
      <c r="O14" s="788">
        <v>46138</v>
      </c>
      <c r="P14" s="788">
        <v>46139</v>
      </c>
      <c r="Q14" s="788">
        <v>46141</v>
      </c>
      <c r="R14" s="772" t="s">
        <v>64</v>
      </c>
      <c r="S14" s="772" t="s">
        <v>100</v>
      </c>
      <c r="T14" s="772" t="s">
        <v>402</v>
      </c>
    </row>
    <row r="15" spans="1:20" s="772" customFormat="1">
      <c r="A15" s="763" t="s">
        <v>10330</v>
      </c>
      <c r="B15" s="764" t="s">
        <v>10348</v>
      </c>
      <c r="C15" s="765">
        <v>202604</v>
      </c>
      <c r="D15" s="769" t="s">
        <v>10374</v>
      </c>
      <c r="E15" s="787" t="s">
        <v>10370</v>
      </c>
      <c r="F15" s="767" t="s">
        <v>10375</v>
      </c>
      <c r="G15" s="908">
        <v>1</v>
      </c>
      <c r="H15" s="765" t="s">
        <v>66</v>
      </c>
      <c r="I15" s="765" t="s">
        <v>10372</v>
      </c>
      <c r="J15" s="765" t="s">
        <v>289</v>
      </c>
      <c r="K15" s="765" t="s">
        <v>9646</v>
      </c>
      <c r="L15" s="765" t="s">
        <v>8892</v>
      </c>
      <c r="M15" s="787"/>
      <c r="N15" s="787" t="s">
        <v>10373</v>
      </c>
      <c r="O15" s="788">
        <v>46138</v>
      </c>
      <c r="P15" s="788">
        <v>46139</v>
      </c>
      <c r="Q15" s="788">
        <v>46141</v>
      </c>
      <c r="R15" s="772" t="s">
        <v>64</v>
      </c>
      <c r="S15" s="772" t="s">
        <v>100</v>
      </c>
      <c r="T15" s="772" t="s">
        <v>402</v>
      </c>
    </row>
    <row r="16" spans="1:20" s="772" customFormat="1">
      <c r="A16" s="763" t="s">
        <v>10330</v>
      </c>
      <c r="B16" s="764" t="s">
        <v>10348</v>
      </c>
      <c r="C16" s="765">
        <v>202604</v>
      </c>
      <c r="D16" s="769" t="s">
        <v>10376</v>
      </c>
      <c r="E16" s="787" t="s">
        <v>10377</v>
      </c>
      <c r="F16" s="767" t="s">
        <v>10378</v>
      </c>
      <c r="G16" s="908">
        <v>1</v>
      </c>
      <c r="H16" s="765" t="s">
        <v>66</v>
      </c>
      <c r="I16" s="765" t="s">
        <v>10372</v>
      </c>
      <c r="J16" s="765" t="s">
        <v>289</v>
      </c>
      <c r="K16" s="765" t="s">
        <v>9646</v>
      </c>
      <c r="L16" s="765" t="s">
        <v>8892</v>
      </c>
      <c r="M16" s="787"/>
      <c r="N16" s="787" t="s">
        <v>10373</v>
      </c>
      <c r="O16" s="788">
        <v>46138</v>
      </c>
      <c r="P16" s="788">
        <v>46139</v>
      </c>
      <c r="Q16" s="788">
        <v>46141</v>
      </c>
      <c r="R16" s="772" t="s">
        <v>64</v>
      </c>
      <c r="S16" s="772" t="s">
        <v>100</v>
      </c>
      <c r="T16" s="772" t="s">
        <v>402</v>
      </c>
    </row>
    <row r="17" spans="1:20" s="772" customFormat="1">
      <c r="A17" s="763" t="s">
        <v>10330</v>
      </c>
      <c r="B17" s="764" t="s">
        <v>10348</v>
      </c>
      <c r="C17" s="765">
        <v>202604</v>
      </c>
      <c r="D17" s="769" t="s">
        <v>10379</v>
      </c>
      <c r="E17" s="787" t="s">
        <v>10380</v>
      </c>
      <c r="F17" s="767" t="s">
        <v>10381</v>
      </c>
      <c r="G17" s="908">
        <v>1</v>
      </c>
      <c r="H17" s="765" t="s">
        <v>66</v>
      </c>
      <c r="I17" s="765" t="s">
        <v>10372</v>
      </c>
      <c r="J17" s="765" t="s">
        <v>289</v>
      </c>
      <c r="K17" s="765" t="s">
        <v>9646</v>
      </c>
      <c r="L17" s="765" t="s">
        <v>8892</v>
      </c>
      <c r="M17" s="787"/>
      <c r="N17" s="787" t="s">
        <v>10373</v>
      </c>
      <c r="O17" s="788">
        <v>46138</v>
      </c>
      <c r="P17" s="788">
        <v>46139</v>
      </c>
      <c r="Q17" s="788">
        <v>46141</v>
      </c>
      <c r="R17" s="772" t="s">
        <v>64</v>
      </c>
      <c r="S17" s="772" t="s">
        <v>100</v>
      </c>
      <c r="T17" s="772" t="s">
        <v>402</v>
      </c>
    </row>
    <row r="18" spans="1:20" s="772" customFormat="1">
      <c r="A18" s="763" t="s">
        <v>10330</v>
      </c>
      <c r="B18" s="764" t="s">
        <v>10348</v>
      </c>
      <c r="C18" s="765">
        <v>202604</v>
      </c>
      <c r="D18" s="769" t="s">
        <v>10382</v>
      </c>
      <c r="E18" s="787" t="s">
        <v>10383</v>
      </c>
      <c r="F18" s="767" t="s">
        <v>10384</v>
      </c>
      <c r="G18" s="908">
        <v>2</v>
      </c>
      <c r="H18" s="765" t="s">
        <v>66</v>
      </c>
      <c r="I18" s="765" t="s">
        <v>10372</v>
      </c>
      <c r="J18" s="765" t="s">
        <v>289</v>
      </c>
      <c r="K18" s="765" t="s">
        <v>9646</v>
      </c>
      <c r="L18" s="765" t="s">
        <v>8892</v>
      </c>
      <c r="M18" s="787"/>
      <c r="N18" s="787" t="s">
        <v>10373</v>
      </c>
      <c r="O18" s="788">
        <v>46138</v>
      </c>
      <c r="P18" s="788">
        <v>46139</v>
      </c>
      <c r="Q18" s="788">
        <v>46141</v>
      </c>
      <c r="R18" s="772" t="s">
        <v>64</v>
      </c>
      <c r="S18" s="772" t="s">
        <v>100</v>
      </c>
      <c r="T18" s="772" t="s">
        <v>402</v>
      </c>
    </row>
    <row r="19" spans="1:20" s="772" customFormat="1">
      <c r="A19" s="763" t="s">
        <v>10330</v>
      </c>
      <c r="B19" s="764" t="s">
        <v>10348</v>
      </c>
      <c r="C19" s="765">
        <v>202604</v>
      </c>
      <c r="D19" s="769" t="s">
        <v>10385</v>
      </c>
      <c r="E19" s="787" t="s">
        <v>10386</v>
      </c>
      <c r="F19" s="767" t="s">
        <v>10387</v>
      </c>
      <c r="G19" s="908">
        <v>2</v>
      </c>
      <c r="H19" s="765" t="s">
        <v>66</v>
      </c>
      <c r="I19" s="765" t="s">
        <v>10372</v>
      </c>
      <c r="J19" s="765" t="s">
        <v>289</v>
      </c>
      <c r="K19" s="765" t="s">
        <v>9646</v>
      </c>
      <c r="L19" s="765" t="s">
        <v>8892</v>
      </c>
      <c r="M19" s="787"/>
      <c r="N19" s="787" t="s">
        <v>10373</v>
      </c>
      <c r="O19" s="788">
        <v>46138</v>
      </c>
      <c r="P19" s="788">
        <v>46139</v>
      </c>
      <c r="Q19" s="788">
        <v>46141</v>
      </c>
      <c r="R19" s="772" t="s">
        <v>64</v>
      </c>
      <c r="S19" s="772" t="s">
        <v>100</v>
      </c>
      <c r="T19" s="772" t="s">
        <v>402</v>
      </c>
    </row>
    <row r="20" spans="1:20" s="772" customFormat="1">
      <c r="A20" s="763" t="s">
        <v>10330</v>
      </c>
      <c r="B20" s="764" t="s">
        <v>10348</v>
      </c>
      <c r="C20" s="765">
        <v>202604</v>
      </c>
      <c r="D20" s="769" t="s">
        <v>10388</v>
      </c>
      <c r="E20" s="787" t="s">
        <v>10389</v>
      </c>
      <c r="F20" s="767" t="s">
        <v>10390</v>
      </c>
      <c r="G20" s="908">
        <v>1</v>
      </c>
      <c r="H20" s="765" t="s">
        <v>66</v>
      </c>
      <c r="I20" s="765" t="s">
        <v>10372</v>
      </c>
      <c r="J20" s="765" t="s">
        <v>289</v>
      </c>
      <c r="K20" s="765" t="s">
        <v>9646</v>
      </c>
      <c r="L20" s="765" t="s">
        <v>8892</v>
      </c>
      <c r="M20" s="787"/>
      <c r="N20" s="787" t="s">
        <v>10373</v>
      </c>
      <c r="O20" s="788">
        <v>46138</v>
      </c>
      <c r="P20" s="788">
        <v>46139</v>
      </c>
      <c r="Q20" s="788">
        <v>46141</v>
      </c>
      <c r="R20" s="772" t="s">
        <v>64</v>
      </c>
      <c r="S20" s="772" t="s">
        <v>100</v>
      </c>
      <c r="T20" s="772" t="s">
        <v>402</v>
      </c>
    </row>
    <row r="21" spans="1:20" s="772" customFormat="1">
      <c r="A21" s="763" t="s">
        <v>10330</v>
      </c>
      <c r="B21" s="764" t="s">
        <v>10348</v>
      </c>
      <c r="C21" s="765">
        <v>202604</v>
      </c>
      <c r="D21" s="769" t="s">
        <v>10391</v>
      </c>
      <c r="E21" s="787" t="s">
        <v>10392</v>
      </c>
      <c r="F21" s="767" t="s">
        <v>10393</v>
      </c>
      <c r="G21" s="908">
        <v>1</v>
      </c>
      <c r="H21" s="765" t="s">
        <v>66</v>
      </c>
      <c r="I21" s="765" t="s">
        <v>10372</v>
      </c>
      <c r="J21" s="765" t="s">
        <v>289</v>
      </c>
      <c r="K21" s="765" t="s">
        <v>9646</v>
      </c>
      <c r="L21" s="765" t="s">
        <v>8892</v>
      </c>
      <c r="M21" s="787"/>
      <c r="N21" s="787" t="s">
        <v>10373</v>
      </c>
      <c r="O21" s="788">
        <v>46138</v>
      </c>
      <c r="P21" s="788">
        <v>46139</v>
      </c>
      <c r="Q21" s="788">
        <v>46141</v>
      </c>
      <c r="R21" s="772" t="s">
        <v>64</v>
      </c>
      <c r="S21" s="772" t="s">
        <v>100</v>
      </c>
      <c r="T21" s="772" t="s">
        <v>402</v>
      </c>
    </row>
    <row r="22" spans="1:20" s="772" customFormat="1">
      <c r="A22" s="763" t="s">
        <v>10330</v>
      </c>
      <c r="B22" s="764" t="s">
        <v>10348</v>
      </c>
      <c r="C22" s="765">
        <v>202604</v>
      </c>
      <c r="D22" s="769" t="s">
        <v>10394</v>
      </c>
      <c r="E22" s="787" t="s">
        <v>10386</v>
      </c>
      <c r="F22" s="767" t="s">
        <v>10395</v>
      </c>
      <c r="G22" s="908">
        <v>2</v>
      </c>
      <c r="H22" s="765" t="s">
        <v>66</v>
      </c>
      <c r="I22" s="765" t="s">
        <v>10372</v>
      </c>
      <c r="J22" s="765" t="s">
        <v>289</v>
      </c>
      <c r="K22" s="765" t="s">
        <v>9646</v>
      </c>
      <c r="L22" s="765" t="s">
        <v>8892</v>
      </c>
      <c r="M22" s="787"/>
      <c r="N22" s="787" t="s">
        <v>10373</v>
      </c>
      <c r="O22" s="788">
        <v>46138</v>
      </c>
      <c r="P22" s="788">
        <v>46139</v>
      </c>
      <c r="Q22" s="788">
        <v>46141</v>
      </c>
      <c r="R22" s="772" t="s">
        <v>64</v>
      </c>
      <c r="S22" s="772" t="s">
        <v>100</v>
      </c>
      <c r="T22" s="772" t="s">
        <v>402</v>
      </c>
    </row>
    <row r="23" spans="1:20" s="772" customFormat="1">
      <c r="A23" s="763" t="s">
        <v>10330</v>
      </c>
      <c r="B23" s="764" t="s">
        <v>10348</v>
      </c>
      <c r="C23" s="765">
        <v>202604</v>
      </c>
      <c r="D23" s="769" t="s">
        <v>10396</v>
      </c>
      <c r="E23" s="787" t="s">
        <v>10386</v>
      </c>
      <c r="F23" s="767" t="s">
        <v>10397</v>
      </c>
      <c r="G23" s="908">
        <v>1</v>
      </c>
      <c r="H23" s="765" t="s">
        <v>66</v>
      </c>
      <c r="I23" s="765" t="s">
        <v>10372</v>
      </c>
      <c r="J23" s="765" t="s">
        <v>289</v>
      </c>
      <c r="K23" s="765" t="s">
        <v>9646</v>
      </c>
      <c r="L23" s="765" t="s">
        <v>8892</v>
      </c>
      <c r="M23" s="787"/>
      <c r="N23" s="787" t="s">
        <v>10373</v>
      </c>
      <c r="O23" s="788">
        <v>46138</v>
      </c>
      <c r="P23" s="788">
        <v>46139</v>
      </c>
      <c r="Q23" s="788">
        <v>46141</v>
      </c>
      <c r="R23" s="772" t="s">
        <v>64</v>
      </c>
      <c r="S23" s="772" t="s">
        <v>100</v>
      </c>
      <c r="T23" s="772" t="s">
        <v>402</v>
      </c>
    </row>
    <row r="24" spans="1:20" s="772" customFormat="1">
      <c r="A24" s="763" t="s">
        <v>10330</v>
      </c>
      <c r="B24" s="764" t="s">
        <v>10348</v>
      </c>
      <c r="C24" s="765">
        <v>202604</v>
      </c>
      <c r="D24" s="769" t="s">
        <v>10398</v>
      </c>
      <c r="E24" s="787" t="s">
        <v>10399</v>
      </c>
      <c r="F24" s="767" t="s">
        <v>10400</v>
      </c>
      <c r="G24" s="908">
        <v>1</v>
      </c>
      <c r="H24" s="765" t="s">
        <v>66</v>
      </c>
      <c r="I24" s="765" t="s">
        <v>10372</v>
      </c>
      <c r="J24" s="765" t="s">
        <v>289</v>
      </c>
      <c r="K24" s="765" t="s">
        <v>9646</v>
      </c>
      <c r="L24" s="765" t="s">
        <v>8892</v>
      </c>
      <c r="M24" s="787"/>
      <c r="N24" s="787" t="s">
        <v>10373</v>
      </c>
      <c r="O24" s="788">
        <v>46138</v>
      </c>
      <c r="P24" s="788">
        <v>46139</v>
      </c>
      <c r="Q24" s="788">
        <v>46141</v>
      </c>
      <c r="R24" s="772" t="s">
        <v>64</v>
      </c>
      <c r="S24" s="772" t="s">
        <v>100</v>
      </c>
      <c r="T24" s="772" t="s">
        <v>402</v>
      </c>
    </row>
    <row r="25" spans="1:20" s="772" customFormat="1">
      <c r="A25" s="763" t="s">
        <v>10330</v>
      </c>
      <c r="B25" s="764" t="s">
        <v>10348</v>
      </c>
      <c r="C25" s="765">
        <v>202604</v>
      </c>
      <c r="D25" s="769" t="s">
        <v>10401</v>
      </c>
      <c r="E25" s="787" t="s">
        <v>10402</v>
      </c>
      <c r="F25" s="767" t="s">
        <v>10403</v>
      </c>
      <c r="G25" s="908">
        <v>2</v>
      </c>
      <c r="H25" s="765" t="s">
        <v>66</v>
      </c>
      <c r="I25" s="765" t="s">
        <v>10372</v>
      </c>
      <c r="J25" s="765" t="s">
        <v>289</v>
      </c>
      <c r="K25" s="765" t="s">
        <v>9646</v>
      </c>
      <c r="L25" s="765" t="s">
        <v>8892</v>
      </c>
      <c r="M25" s="787"/>
      <c r="N25" s="787" t="s">
        <v>10373</v>
      </c>
      <c r="O25" s="788">
        <v>46138</v>
      </c>
      <c r="P25" s="788">
        <v>46139</v>
      </c>
      <c r="Q25" s="788">
        <v>46141</v>
      </c>
      <c r="R25" s="772" t="s">
        <v>64</v>
      </c>
      <c r="S25" s="772" t="s">
        <v>100</v>
      </c>
      <c r="T25" s="772" t="s">
        <v>402</v>
      </c>
    </row>
    <row r="26" spans="1:20" s="772" customFormat="1">
      <c r="A26" s="763" t="s">
        <v>10330</v>
      </c>
      <c r="B26" s="764" t="s">
        <v>10348</v>
      </c>
      <c r="C26" s="765">
        <v>202604</v>
      </c>
      <c r="D26" s="769" t="s">
        <v>10404</v>
      </c>
      <c r="E26" s="787" t="s">
        <v>10405</v>
      </c>
      <c r="F26" s="767" t="s">
        <v>10406</v>
      </c>
      <c r="G26" s="908">
        <v>1</v>
      </c>
      <c r="H26" s="765" t="s">
        <v>66</v>
      </c>
      <c r="I26" s="765" t="s">
        <v>10372</v>
      </c>
      <c r="J26" s="765" t="s">
        <v>289</v>
      </c>
      <c r="K26" s="765" t="s">
        <v>9646</v>
      </c>
      <c r="L26" s="765" t="s">
        <v>8892</v>
      </c>
      <c r="M26" s="787"/>
      <c r="N26" s="787" t="s">
        <v>10373</v>
      </c>
      <c r="O26" s="788">
        <v>46138</v>
      </c>
      <c r="P26" s="788">
        <v>46139</v>
      </c>
      <c r="Q26" s="788">
        <v>46141</v>
      </c>
      <c r="R26" s="772" t="s">
        <v>64</v>
      </c>
      <c r="S26" s="772" t="s">
        <v>100</v>
      </c>
      <c r="T26" s="772" t="s">
        <v>402</v>
      </c>
    </row>
    <row r="27" spans="1:20" s="772" customFormat="1">
      <c r="A27" s="763" t="s">
        <v>10330</v>
      </c>
      <c r="B27" s="764" t="s">
        <v>10348</v>
      </c>
      <c r="C27" s="765">
        <v>202604</v>
      </c>
      <c r="D27" s="769" t="s">
        <v>10407</v>
      </c>
      <c r="E27" s="787" t="s">
        <v>10377</v>
      </c>
      <c r="F27" s="767" t="s">
        <v>10408</v>
      </c>
      <c r="G27" s="908">
        <v>2</v>
      </c>
      <c r="H27" s="765" t="s">
        <v>66</v>
      </c>
      <c r="I27" s="765" t="s">
        <v>10372</v>
      </c>
      <c r="J27" s="765" t="s">
        <v>289</v>
      </c>
      <c r="K27" s="765" t="s">
        <v>9646</v>
      </c>
      <c r="L27" s="765" t="s">
        <v>8892</v>
      </c>
      <c r="M27" s="787"/>
      <c r="N27" s="787" t="s">
        <v>10373</v>
      </c>
      <c r="O27" s="788">
        <v>46138</v>
      </c>
      <c r="P27" s="788">
        <v>46139</v>
      </c>
      <c r="Q27" s="788">
        <v>46141</v>
      </c>
      <c r="R27" s="772" t="s">
        <v>64</v>
      </c>
      <c r="S27" s="772" t="s">
        <v>100</v>
      </c>
      <c r="T27" s="772" t="s">
        <v>402</v>
      </c>
    </row>
    <row r="28" spans="1:20" s="772" customFormat="1">
      <c r="A28" s="763" t="s">
        <v>10330</v>
      </c>
      <c r="B28" s="764" t="s">
        <v>10348</v>
      </c>
      <c r="C28" s="765">
        <v>202604</v>
      </c>
      <c r="D28" s="769" t="s">
        <v>10409</v>
      </c>
      <c r="E28" s="787" t="s">
        <v>10410</v>
      </c>
      <c r="F28" s="767" t="s">
        <v>10411</v>
      </c>
      <c r="G28" s="908">
        <v>1</v>
      </c>
      <c r="H28" s="765" t="s">
        <v>66</v>
      </c>
      <c r="I28" s="765" t="s">
        <v>10372</v>
      </c>
      <c r="J28" s="765" t="s">
        <v>289</v>
      </c>
      <c r="K28" s="765" t="s">
        <v>9646</v>
      </c>
      <c r="L28" s="765" t="s">
        <v>8892</v>
      </c>
      <c r="M28" s="789"/>
      <c r="N28" s="787" t="s">
        <v>10373</v>
      </c>
      <c r="O28" s="790">
        <v>46138</v>
      </c>
      <c r="P28" s="790">
        <v>46139</v>
      </c>
      <c r="Q28" s="790">
        <v>46141</v>
      </c>
      <c r="R28" s="772" t="s">
        <v>64</v>
      </c>
      <c r="S28" s="772" t="s">
        <v>100</v>
      </c>
      <c r="T28" s="772" t="s">
        <v>402</v>
      </c>
    </row>
    <row r="29" spans="1:20" s="772" customFormat="1">
      <c r="A29" s="763" t="s">
        <v>10330</v>
      </c>
      <c r="B29" s="764" t="s">
        <v>10348</v>
      </c>
      <c r="C29" s="765">
        <v>202604</v>
      </c>
      <c r="D29" s="770" t="s">
        <v>10412</v>
      </c>
      <c r="E29" s="768" t="s">
        <v>10413</v>
      </c>
      <c r="F29" s="768" t="s">
        <v>10414</v>
      </c>
      <c r="G29" s="769">
        <v>1</v>
      </c>
      <c r="H29" s="765" t="s">
        <v>66</v>
      </c>
      <c r="I29" s="765" t="s">
        <v>10372</v>
      </c>
      <c r="J29" s="765" t="s">
        <v>289</v>
      </c>
      <c r="K29" s="791" t="s">
        <v>9646</v>
      </c>
      <c r="L29" s="765" t="s">
        <v>8892</v>
      </c>
      <c r="M29" s="787" t="s">
        <v>10415</v>
      </c>
      <c r="N29" s="787" t="s">
        <v>10416</v>
      </c>
      <c r="O29" s="788">
        <v>46142</v>
      </c>
      <c r="P29" s="790">
        <v>46164</v>
      </c>
      <c r="Q29" s="790">
        <v>46165</v>
      </c>
      <c r="R29" s="772" t="s">
        <v>64</v>
      </c>
      <c r="S29" s="772" t="s">
        <v>100</v>
      </c>
      <c r="T29" s="772" t="s">
        <v>402</v>
      </c>
    </row>
    <row r="30" spans="1:20" s="772" customFormat="1">
      <c r="A30" s="763" t="s">
        <v>10330</v>
      </c>
      <c r="B30" s="764" t="s">
        <v>10348</v>
      </c>
      <c r="C30" s="765">
        <v>202604</v>
      </c>
      <c r="D30" s="770" t="s">
        <v>10417</v>
      </c>
      <c r="E30" s="768" t="s">
        <v>10418</v>
      </c>
      <c r="F30" s="768" t="s">
        <v>10419</v>
      </c>
      <c r="G30" s="769">
        <v>1</v>
      </c>
      <c r="H30" s="765" t="s">
        <v>66</v>
      </c>
      <c r="I30" s="765" t="s">
        <v>10372</v>
      </c>
      <c r="J30" s="765" t="s">
        <v>289</v>
      </c>
      <c r="K30" s="791" t="s">
        <v>9646</v>
      </c>
      <c r="L30" s="765" t="s">
        <v>8892</v>
      </c>
      <c r="M30" s="787" t="s">
        <v>10415</v>
      </c>
      <c r="N30" s="787" t="s">
        <v>10416</v>
      </c>
      <c r="O30" s="788">
        <v>46142</v>
      </c>
      <c r="P30" s="790">
        <v>46164</v>
      </c>
      <c r="Q30" s="790">
        <v>46165</v>
      </c>
      <c r="R30" s="772" t="s">
        <v>64</v>
      </c>
      <c r="S30" s="772" t="s">
        <v>100</v>
      </c>
      <c r="T30" s="772" t="s">
        <v>402</v>
      </c>
    </row>
    <row r="31" spans="1:20" s="772" customFormat="1">
      <c r="A31" s="763" t="s">
        <v>10330</v>
      </c>
      <c r="B31" s="764" t="s">
        <v>10348</v>
      </c>
      <c r="C31" s="765">
        <v>202604</v>
      </c>
      <c r="D31" s="770" t="s">
        <v>10420</v>
      </c>
      <c r="E31" s="768" t="s">
        <v>10421</v>
      </c>
      <c r="F31" s="768" t="s">
        <v>10422</v>
      </c>
      <c r="G31" s="769">
        <v>1</v>
      </c>
      <c r="H31" s="765" t="s">
        <v>66</v>
      </c>
      <c r="I31" s="765" t="s">
        <v>10372</v>
      </c>
      <c r="J31" s="765" t="s">
        <v>289</v>
      </c>
      <c r="K31" s="791" t="s">
        <v>9646</v>
      </c>
      <c r="L31" s="765" t="s">
        <v>8892</v>
      </c>
      <c r="M31" s="787" t="s">
        <v>10415</v>
      </c>
      <c r="N31" s="787" t="s">
        <v>10416</v>
      </c>
      <c r="O31" s="788">
        <v>46142</v>
      </c>
      <c r="P31" s="790">
        <v>46164</v>
      </c>
      <c r="Q31" s="790">
        <v>46165</v>
      </c>
      <c r="R31" s="772" t="s">
        <v>64</v>
      </c>
      <c r="S31" s="772" t="s">
        <v>100</v>
      </c>
      <c r="T31" s="772" t="s">
        <v>402</v>
      </c>
    </row>
    <row r="32" spans="1:20" s="772" customFormat="1">
      <c r="A32" s="763" t="s">
        <v>10330</v>
      </c>
      <c r="B32" s="764" t="s">
        <v>10348</v>
      </c>
      <c r="C32" s="765">
        <v>202604</v>
      </c>
      <c r="D32" s="770" t="s">
        <v>10423</v>
      </c>
      <c r="E32" s="768" t="s">
        <v>10418</v>
      </c>
      <c r="F32" s="768" t="s">
        <v>10424</v>
      </c>
      <c r="G32" s="769">
        <v>1</v>
      </c>
      <c r="H32" s="765" t="s">
        <v>66</v>
      </c>
      <c r="I32" s="765" t="s">
        <v>10372</v>
      </c>
      <c r="J32" s="765" t="s">
        <v>289</v>
      </c>
      <c r="K32" s="791" t="s">
        <v>9646</v>
      </c>
      <c r="L32" s="765" t="s">
        <v>8892</v>
      </c>
      <c r="M32" s="787" t="s">
        <v>10415</v>
      </c>
      <c r="N32" s="787" t="s">
        <v>10416</v>
      </c>
      <c r="O32" s="788">
        <v>46142</v>
      </c>
      <c r="P32" s="790">
        <v>46164</v>
      </c>
      <c r="Q32" s="790">
        <v>46165</v>
      </c>
      <c r="R32" s="772" t="s">
        <v>64</v>
      </c>
      <c r="S32" s="772" t="s">
        <v>100</v>
      </c>
      <c r="T32" s="772" t="s">
        <v>402</v>
      </c>
    </row>
    <row r="33" spans="1:20" s="772" customFormat="1">
      <c r="A33" s="763" t="s">
        <v>10330</v>
      </c>
      <c r="B33" s="764" t="s">
        <v>10348</v>
      </c>
      <c r="C33" s="765">
        <v>202604</v>
      </c>
      <c r="D33" s="770" t="s">
        <v>10425</v>
      </c>
      <c r="E33" s="768" t="s">
        <v>10426</v>
      </c>
      <c r="F33" s="768" t="s">
        <v>10427</v>
      </c>
      <c r="G33" s="769">
        <v>1</v>
      </c>
      <c r="H33" s="765" t="s">
        <v>66</v>
      </c>
      <c r="I33" s="765" t="s">
        <v>10372</v>
      </c>
      <c r="J33" s="765" t="s">
        <v>289</v>
      </c>
      <c r="K33" s="791" t="s">
        <v>9646</v>
      </c>
      <c r="L33" s="765" t="s">
        <v>8892</v>
      </c>
      <c r="M33" s="787" t="s">
        <v>10415</v>
      </c>
      <c r="N33" s="787" t="s">
        <v>10416</v>
      </c>
      <c r="O33" s="788">
        <v>46142</v>
      </c>
      <c r="P33" s="790">
        <v>46164</v>
      </c>
      <c r="Q33" s="790">
        <v>46165</v>
      </c>
      <c r="R33" s="772" t="s">
        <v>64</v>
      </c>
      <c r="S33" s="772" t="s">
        <v>100</v>
      </c>
      <c r="T33" s="772" t="s">
        <v>402</v>
      </c>
    </row>
    <row r="34" spans="1:20" s="772" customFormat="1">
      <c r="A34" s="763" t="s">
        <v>10330</v>
      </c>
      <c r="B34" s="764" t="s">
        <v>10348</v>
      </c>
      <c r="C34" s="765">
        <v>202604</v>
      </c>
      <c r="D34" s="770" t="s">
        <v>10428</v>
      </c>
      <c r="E34" s="768" t="s">
        <v>10429</v>
      </c>
      <c r="F34" s="768" t="s">
        <v>10430</v>
      </c>
      <c r="G34" s="769">
        <v>1</v>
      </c>
      <c r="H34" s="765" t="s">
        <v>66</v>
      </c>
      <c r="I34" s="765" t="s">
        <v>10372</v>
      </c>
      <c r="J34" s="765" t="s">
        <v>289</v>
      </c>
      <c r="K34" s="791" t="s">
        <v>9646</v>
      </c>
      <c r="L34" s="765" t="s">
        <v>8892</v>
      </c>
      <c r="M34" s="787" t="s">
        <v>10415</v>
      </c>
      <c r="N34" s="787" t="s">
        <v>10416</v>
      </c>
      <c r="O34" s="788">
        <v>46142</v>
      </c>
      <c r="P34" s="790">
        <v>46164</v>
      </c>
      <c r="Q34" s="790">
        <v>46165</v>
      </c>
      <c r="R34" s="772" t="s">
        <v>64</v>
      </c>
      <c r="S34" s="772" t="s">
        <v>100</v>
      </c>
      <c r="T34" s="772" t="s">
        <v>402</v>
      </c>
    </row>
    <row r="35" spans="1:20" s="772" customFormat="1">
      <c r="A35" s="763" t="s">
        <v>10330</v>
      </c>
      <c r="B35" s="764" t="s">
        <v>10348</v>
      </c>
      <c r="C35" s="765">
        <v>202604</v>
      </c>
      <c r="D35" s="770" t="s">
        <v>10431</v>
      </c>
      <c r="E35" s="768" t="s">
        <v>10432</v>
      </c>
      <c r="F35" s="768" t="s">
        <v>10433</v>
      </c>
      <c r="G35" s="769">
        <v>1</v>
      </c>
      <c r="H35" s="765" t="s">
        <v>66</v>
      </c>
      <c r="I35" s="765" t="s">
        <v>10372</v>
      </c>
      <c r="J35" s="765" t="s">
        <v>289</v>
      </c>
      <c r="K35" s="791" t="s">
        <v>9646</v>
      </c>
      <c r="L35" s="765" t="s">
        <v>8892</v>
      </c>
      <c r="M35" s="787" t="s">
        <v>10415</v>
      </c>
      <c r="N35" s="787" t="s">
        <v>10416</v>
      </c>
      <c r="O35" s="788">
        <v>46142</v>
      </c>
      <c r="P35" s="790">
        <v>46164</v>
      </c>
      <c r="Q35" s="790">
        <v>46165</v>
      </c>
      <c r="R35" s="772" t="s">
        <v>64</v>
      </c>
      <c r="S35" s="772" t="s">
        <v>100</v>
      </c>
      <c r="T35" s="772" t="s">
        <v>402</v>
      </c>
    </row>
    <row r="36" spans="1:20" s="772" customFormat="1">
      <c r="A36" s="763" t="s">
        <v>10330</v>
      </c>
      <c r="B36" s="764" t="s">
        <v>10348</v>
      </c>
      <c r="C36" s="765">
        <v>202604</v>
      </c>
      <c r="D36" s="770" t="s">
        <v>10434</v>
      </c>
      <c r="E36" s="768" t="s">
        <v>10435</v>
      </c>
      <c r="F36" s="768" t="s">
        <v>10436</v>
      </c>
      <c r="G36" s="769">
        <v>1</v>
      </c>
      <c r="H36" s="765" t="s">
        <v>66</v>
      </c>
      <c r="I36" s="765" t="s">
        <v>10372</v>
      </c>
      <c r="J36" s="765" t="s">
        <v>289</v>
      </c>
      <c r="K36" s="791" t="s">
        <v>9646</v>
      </c>
      <c r="L36" s="765" t="s">
        <v>8892</v>
      </c>
      <c r="M36" s="787" t="s">
        <v>10415</v>
      </c>
      <c r="N36" s="787" t="s">
        <v>10416</v>
      </c>
      <c r="O36" s="788">
        <v>46142</v>
      </c>
      <c r="P36" s="790">
        <v>46164</v>
      </c>
      <c r="Q36" s="790">
        <v>46165</v>
      </c>
      <c r="R36" s="772" t="s">
        <v>64</v>
      </c>
      <c r="S36" s="772" t="s">
        <v>100</v>
      </c>
      <c r="T36" s="772" t="s">
        <v>402</v>
      </c>
    </row>
    <row r="37" spans="1:20" s="772" customFormat="1">
      <c r="A37" s="763" t="s">
        <v>10330</v>
      </c>
      <c r="B37" s="764" t="s">
        <v>10348</v>
      </c>
      <c r="C37" s="765">
        <v>202604</v>
      </c>
      <c r="D37" s="770" t="s">
        <v>10437</v>
      </c>
      <c r="E37" s="768" t="s">
        <v>10435</v>
      </c>
      <c r="F37" s="768" t="s">
        <v>10438</v>
      </c>
      <c r="G37" s="769">
        <v>1</v>
      </c>
      <c r="H37" s="765" t="s">
        <v>66</v>
      </c>
      <c r="I37" s="765" t="s">
        <v>10372</v>
      </c>
      <c r="J37" s="765" t="s">
        <v>289</v>
      </c>
      <c r="K37" s="791" t="s">
        <v>9646</v>
      </c>
      <c r="L37" s="765" t="s">
        <v>8892</v>
      </c>
      <c r="M37" s="787" t="s">
        <v>10415</v>
      </c>
      <c r="N37" s="787" t="s">
        <v>10416</v>
      </c>
      <c r="O37" s="788">
        <v>46142</v>
      </c>
      <c r="P37" s="790">
        <v>46164</v>
      </c>
      <c r="Q37" s="790">
        <v>46165</v>
      </c>
      <c r="R37" s="772" t="s">
        <v>64</v>
      </c>
      <c r="S37" s="772" t="s">
        <v>100</v>
      </c>
      <c r="T37" s="772" t="s">
        <v>402</v>
      </c>
    </row>
    <row r="38" spans="1:20" s="772" customFormat="1">
      <c r="A38" s="763" t="s">
        <v>10330</v>
      </c>
      <c r="B38" s="764" t="s">
        <v>10348</v>
      </c>
      <c r="C38" s="765">
        <v>202604</v>
      </c>
      <c r="D38" s="770" t="s">
        <v>10439</v>
      </c>
      <c r="E38" s="768" t="s">
        <v>10383</v>
      </c>
      <c r="F38" s="768" t="s">
        <v>10440</v>
      </c>
      <c r="G38" s="769">
        <v>1</v>
      </c>
      <c r="H38" s="765" t="s">
        <v>66</v>
      </c>
      <c r="I38" s="765" t="s">
        <v>10372</v>
      </c>
      <c r="J38" s="765" t="s">
        <v>289</v>
      </c>
      <c r="K38" s="791" t="s">
        <v>9646</v>
      </c>
      <c r="L38" s="765" t="s">
        <v>8892</v>
      </c>
      <c r="M38" s="787" t="s">
        <v>10415</v>
      </c>
      <c r="N38" s="787" t="s">
        <v>10416</v>
      </c>
      <c r="O38" s="788">
        <v>46142</v>
      </c>
      <c r="P38" s="790">
        <v>46164</v>
      </c>
      <c r="Q38" s="790">
        <v>46165</v>
      </c>
      <c r="R38" s="772" t="s">
        <v>64</v>
      </c>
      <c r="S38" s="772" t="s">
        <v>100</v>
      </c>
      <c r="T38" s="772" t="s">
        <v>402</v>
      </c>
    </row>
    <row r="39" spans="1:20" s="772" customFormat="1">
      <c r="A39" s="763" t="s">
        <v>10330</v>
      </c>
      <c r="B39" s="764" t="s">
        <v>10348</v>
      </c>
      <c r="C39" s="765">
        <v>202604</v>
      </c>
      <c r="D39" s="770" t="s">
        <v>10441</v>
      </c>
      <c r="E39" s="768" t="s">
        <v>10442</v>
      </c>
      <c r="F39" s="768" t="s">
        <v>10443</v>
      </c>
      <c r="G39" s="769">
        <v>1</v>
      </c>
      <c r="H39" s="765" t="s">
        <v>66</v>
      </c>
      <c r="I39" s="765" t="s">
        <v>10372</v>
      </c>
      <c r="J39" s="765" t="s">
        <v>289</v>
      </c>
      <c r="K39" s="791" t="s">
        <v>9646</v>
      </c>
      <c r="L39" s="765" t="s">
        <v>8892</v>
      </c>
      <c r="M39" s="787" t="s">
        <v>10415</v>
      </c>
      <c r="N39" s="787" t="s">
        <v>10416</v>
      </c>
      <c r="O39" s="788">
        <v>46142</v>
      </c>
      <c r="P39" s="790">
        <v>46164</v>
      </c>
      <c r="Q39" s="790">
        <v>46165</v>
      </c>
      <c r="R39" s="772" t="s">
        <v>64</v>
      </c>
      <c r="S39" s="772" t="s">
        <v>100</v>
      </c>
      <c r="T39" s="772" t="s">
        <v>402</v>
      </c>
    </row>
    <row r="40" spans="1:20" s="772" customFormat="1">
      <c r="A40" s="763" t="s">
        <v>10330</v>
      </c>
      <c r="B40" s="764" t="s">
        <v>10348</v>
      </c>
      <c r="C40" s="765">
        <v>202604</v>
      </c>
      <c r="D40" s="770" t="s">
        <v>10444</v>
      </c>
      <c r="E40" s="768" t="s">
        <v>10445</v>
      </c>
      <c r="F40" s="768" t="s">
        <v>10446</v>
      </c>
      <c r="G40" s="769">
        <v>1</v>
      </c>
      <c r="H40" s="765" t="s">
        <v>66</v>
      </c>
      <c r="I40" s="765" t="s">
        <v>10372</v>
      </c>
      <c r="J40" s="765" t="s">
        <v>289</v>
      </c>
      <c r="K40" s="791" t="s">
        <v>9646</v>
      </c>
      <c r="L40" s="765" t="s">
        <v>8892</v>
      </c>
      <c r="M40" s="787" t="s">
        <v>10415</v>
      </c>
      <c r="N40" s="787" t="s">
        <v>10416</v>
      </c>
      <c r="O40" s="788">
        <v>46142</v>
      </c>
      <c r="P40" s="790">
        <v>46164</v>
      </c>
      <c r="Q40" s="790">
        <v>46165</v>
      </c>
      <c r="R40" s="772" t="s">
        <v>64</v>
      </c>
      <c r="S40" s="772" t="s">
        <v>100</v>
      </c>
      <c r="T40" s="772" t="s">
        <v>402</v>
      </c>
    </row>
    <row r="41" spans="1:20" s="772" customFormat="1">
      <c r="A41" s="763" t="s">
        <v>10330</v>
      </c>
      <c r="B41" s="764" t="s">
        <v>10348</v>
      </c>
      <c r="C41" s="765">
        <v>202604</v>
      </c>
      <c r="D41" s="770" t="s">
        <v>10447</v>
      </c>
      <c r="E41" s="768" t="s">
        <v>10448</v>
      </c>
      <c r="F41" s="768" t="s">
        <v>10449</v>
      </c>
      <c r="G41" s="769">
        <v>1</v>
      </c>
      <c r="H41" s="765" t="s">
        <v>66</v>
      </c>
      <c r="I41" s="765" t="s">
        <v>10372</v>
      </c>
      <c r="J41" s="765" t="s">
        <v>289</v>
      </c>
      <c r="K41" s="791" t="s">
        <v>9646</v>
      </c>
      <c r="L41" s="765" t="s">
        <v>8892</v>
      </c>
      <c r="M41" s="787" t="s">
        <v>10415</v>
      </c>
      <c r="N41" s="787" t="s">
        <v>10416</v>
      </c>
      <c r="O41" s="788">
        <v>46142</v>
      </c>
      <c r="P41" s="790">
        <v>46164</v>
      </c>
      <c r="Q41" s="790">
        <v>46165</v>
      </c>
      <c r="R41" s="772" t="s">
        <v>64</v>
      </c>
      <c r="S41" s="772" t="s">
        <v>100</v>
      </c>
      <c r="T41" s="772" t="s">
        <v>402</v>
      </c>
    </row>
    <row r="42" spans="1:20" s="772" customFormat="1">
      <c r="A42" s="763" t="s">
        <v>10330</v>
      </c>
      <c r="B42" s="764" t="s">
        <v>10348</v>
      </c>
      <c r="C42" s="765">
        <v>202604</v>
      </c>
      <c r="D42" s="770" t="s">
        <v>10450</v>
      </c>
      <c r="E42" s="768" t="s">
        <v>10451</v>
      </c>
      <c r="F42" s="768" t="s">
        <v>10452</v>
      </c>
      <c r="G42" s="769">
        <v>1</v>
      </c>
      <c r="H42" s="765" t="s">
        <v>66</v>
      </c>
      <c r="I42" s="765" t="s">
        <v>10372</v>
      </c>
      <c r="J42" s="765" t="s">
        <v>289</v>
      </c>
      <c r="K42" s="791" t="s">
        <v>9646</v>
      </c>
      <c r="L42" s="765" t="s">
        <v>8892</v>
      </c>
      <c r="M42" s="787" t="s">
        <v>10415</v>
      </c>
      <c r="N42" s="787" t="s">
        <v>10416</v>
      </c>
      <c r="O42" s="788">
        <v>46142</v>
      </c>
      <c r="P42" s="790">
        <v>46164</v>
      </c>
      <c r="Q42" s="790">
        <v>46165</v>
      </c>
      <c r="R42" s="772" t="s">
        <v>64</v>
      </c>
      <c r="S42" s="772" t="s">
        <v>100</v>
      </c>
      <c r="T42" s="772" t="s">
        <v>402</v>
      </c>
    </row>
    <row r="43" spans="1:20" s="772" customFormat="1">
      <c r="A43" s="792" t="s">
        <v>10330</v>
      </c>
      <c r="B43" s="793" t="s">
        <v>10348</v>
      </c>
      <c r="C43" s="794">
        <v>202604</v>
      </c>
      <c r="D43" s="795" t="s">
        <v>10453</v>
      </c>
      <c r="E43" s="796" t="s">
        <v>10454</v>
      </c>
      <c r="F43" s="796" t="s">
        <v>10455</v>
      </c>
      <c r="G43" s="797">
        <v>1</v>
      </c>
      <c r="H43" s="794" t="s">
        <v>66</v>
      </c>
      <c r="I43" s="794" t="s">
        <v>10372</v>
      </c>
      <c r="J43" s="794" t="s">
        <v>289</v>
      </c>
      <c r="K43" s="798" t="s">
        <v>9646</v>
      </c>
      <c r="L43" s="794" t="s">
        <v>8892</v>
      </c>
      <c r="M43" s="799" t="s">
        <v>10415</v>
      </c>
      <c r="N43" s="799" t="s">
        <v>10416</v>
      </c>
      <c r="O43" s="800">
        <v>46142</v>
      </c>
      <c r="P43" s="801">
        <v>46164</v>
      </c>
      <c r="Q43" s="801">
        <v>46165</v>
      </c>
      <c r="R43" s="772" t="s">
        <v>64</v>
      </c>
      <c r="S43" s="772" t="s">
        <v>100</v>
      </c>
      <c r="T43" s="772" t="s">
        <v>402</v>
      </c>
    </row>
    <row r="44" spans="1:20" s="772" customFormat="1" ht="13.5" customHeight="1">
      <c r="A44" s="763" t="s">
        <v>10330</v>
      </c>
      <c r="B44" s="764" t="s">
        <v>10348</v>
      </c>
      <c r="C44" s="765">
        <v>202604</v>
      </c>
      <c r="D44" s="770" t="s">
        <v>10456</v>
      </c>
      <c r="E44" s="768" t="s">
        <v>10457</v>
      </c>
      <c r="F44" s="768" t="s">
        <v>10458</v>
      </c>
      <c r="G44" s="802">
        <v>1</v>
      </c>
      <c r="H44" s="765" t="s">
        <v>66</v>
      </c>
      <c r="I44" s="765" t="s">
        <v>10372</v>
      </c>
      <c r="J44" s="765" t="s">
        <v>289</v>
      </c>
      <c r="K44" s="791" t="s">
        <v>9646</v>
      </c>
      <c r="L44" s="765" t="s">
        <v>8892</v>
      </c>
      <c r="M44" s="787" t="s">
        <v>10415</v>
      </c>
      <c r="N44" s="787" t="s">
        <v>10416</v>
      </c>
      <c r="O44" s="788">
        <v>46142</v>
      </c>
      <c r="P44" s="790">
        <v>46164</v>
      </c>
      <c r="Q44" s="790">
        <v>46165</v>
      </c>
      <c r="R44" s="772" t="s">
        <v>64</v>
      </c>
      <c r="S44" s="772" t="s">
        <v>100</v>
      </c>
      <c r="T44" s="772" t="s">
        <v>402</v>
      </c>
    </row>
    <row r="45" spans="1:20" s="772" customFormat="1" ht="14.25" customHeight="1">
      <c r="A45" s="763" t="s">
        <v>10330</v>
      </c>
      <c r="B45" s="764" t="s">
        <v>10348</v>
      </c>
      <c r="C45" s="765">
        <v>202604</v>
      </c>
      <c r="D45" s="770" t="s">
        <v>10459</v>
      </c>
      <c r="E45" s="768" t="s">
        <v>10460</v>
      </c>
      <c r="F45" s="768" t="s">
        <v>10461</v>
      </c>
      <c r="G45" s="802">
        <v>1</v>
      </c>
      <c r="H45" s="765" t="s">
        <v>66</v>
      </c>
      <c r="I45" s="765" t="s">
        <v>10372</v>
      </c>
      <c r="J45" s="765" t="s">
        <v>289</v>
      </c>
      <c r="K45" s="791" t="s">
        <v>9646</v>
      </c>
      <c r="L45" s="765" t="s">
        <v>8892</v>
      </c>
      <c r="M45" s="787" t="s">
        <v>10415</v>
      </c>
      <c r="N45" s="787" t="s">
        <v>10416</v>
      </c>
      <c r="O45" s="788">
        <v>46142</v>
      </c>
      <c r="P45" s="790">
        <v>46164</v>
      </c>
      <c r="Q45" s="790">
        <v>46165</v>
      </c>
      <c r="R45" s="772" t="s">
        <v>64</v>
      </c>
      <c r="S45" s="772" t="s">
        <v>100</v>
      </c>
      <c r="T45" s="772" t="s">
        <v>402</v>
      </c>
    </row>
    <row r="46" spans="1:20" s="772" customFormat="1">
      <c r="A46" s="763" t="s">
        <v>10330</v>
      </c>
      <c r="B46" s="764" t="s">
        <v>10348</v>
      </c>
      <c r="C46" s="765">
        <v>202604</v>
      </c>
      <c r="D46" s="770" t="s">
        <v>10462</v>
      </c>
      <c r="E46" s="768" t="s">
        <v>10463</v>
      </c>
      <c r="F46" s="768" t="s">
        <v>10464</v>
      </c>
      <c r="G46" s="769">
        <v>1</v>
      </c>
      <c r="H46" s="765" t="s">
        <v>66</v>
      </c>
      <c r="I46" s="765" t="s">
        <v>10372</v>
      </c>
      <c r="J46" s="765" t="s">
        <v>289</v>
      </c>
      <c r="K46" s="791" t="s">
        <v>9646</v>
      </c>
      <c r="L46" s="765" t="s">
        <v>8892</v>
      </c>
      <c r="M46" s="787" t="s">
        <v>10415</v>
      </c>
      <c r="N46" s="787" t="s">
        <v>10416</v>
      </c>
      <c r="O46" s="788">
        <v>46142</v>
      </c>
      <c r="P46" s="790">
        <v>46164</v>
      </c>
      <c r="Q46" s="790">
        <v>46165</v>
      </c>
      <c r="R46" s="772" t="s">
        <v>64</v>
      </c>
      <c r="S46" s="772" t="s">
        <v>100</v>
      </c>
      <c r="T46" s="772" t="s">
        <v>402</v>
      </c>
    </row>
    <row r="47" spans="1:20" s="772" customFormat="1">
      <c r="A47" s="763" t="s">
        <v>10330</v>
      </c>
      <c r="B47" s="764" t="s">
        <v>10348</v>
      </c>
      <c r="C47" s="765">
        <v>202604</v>
      </c>
      <c r="D47" s="770" t="s">
        <v>10465</v>
      </c>
      <c r="E47" s="768" t="s">
        <v>10466</v>
      </c>
      <c r="F47" s="768" t="s">
        <v>10467</v>
      </c>
      <c r="G47" s="769">
        <v>1</v>
      </c>
      <c r="H47" s="765" t="s">
        <v>66</v>
      </c>
      <c r="I47" s="765" t="s">
        <v>10372</v>
      </c>
      <c r="J47" s="765" t="s">
        <v>289</v>
      </c>
      <c r="K47" s="791" t="s">
        <v>9646</v>
      </c>
      <c r="L47" s="765" t="s">
        <v>8892</v>
      </c>
      <c r="M47" s="787" t="s">
        <v>10415</v>
      </c>
      <c r="N47" s="787" t="s">
        <v>10416</v>
      </c>
      <c r="O47" s="788">
        <v>46142</v>
      </c>
      <c r="P47" s="790">
        <v>46164</v>
      </c>
      <c r="Q47" s="790">
        <v>46165</v>
      </c>
      <c r="R47" s="772" t="s">
        <v>64</v>
      </c>
      <c r="S47" s="772" t="s">
        <v>100</v>
      </c>
      <c r="T47" s="772" t="s">
        <v>402</v>
      </c>
    </row>
    <row r="48" spans="1:20" s="772" customFormat="1">
      <c r="A48" s="763" t="s">
        <v>10330</v>
      </c>
      <c r="B48" s="764" t="s">
        <v>10348</v>
      </c>
      <c r="C48" s="765">
        <v>202604</v>
      </c>
      <c r="D48" s="770" t="s">
        <v>10468</v>
      </c>
      <c r="E48" s="768" t="s">
        <v>10469</v>
      </c>
      <c r="F48" s="768" t="s">
        <v>10470</v>
      </c>
      <c r="G48" s="769">
        <v>1</v>
      </c>
      <c r="H48" s="765" t="s">
        <v>66</v>
      </c>
      <c r="I48" s="765" t="s">
        <v>10372</v>
      </c>
      <c r="J48" s="765" t="s">
        <v>289</v>
      </c>
      <c r="K48" s="791" t="s">
        <v>9646</v>
      </c>
      <c r="L48" s="765" t="s">
        <v>8892</v>
      </c>
      <c r="M48" s="787" t="s">
        <v>10415</v>
      </c>
      <c r="N48" s="787" t="s">
        <v>10416</v>
      </c>
      <c r="O48" s="788">
        <v>46142</v>
      </c>
      <c r="P48" s="790">
        <v>46164</v>
      </c>
      <c r="Q48" s="790">
        <v>46165</v>
      </c>
      <c r="R48" s="772" t="s">
        <v>64</v>
      </c>
      <c r="S48" s="772" t="s">
        <v>100</v>
      </c>
      <c r="T48" s="772" t="s">
        <v>402</v>
      </c>
    </row>
    <row r="49" spans="1:20" s="772" customFormat="1">
      <c r="A49" s="763" t="s">
        <v>10330</v>
      </c>
      <c r="B49" s="764" t="s">
        <v>10348</v>
      </c>
      <c r="C49" s="765">
        <v>202604</v>
      </c>
      <c r="D49" s="770" t="s">
        <v>10471</v>
      </c>
      <c r="E49" s="768" t="s">
        <v>10472</v>
      </c>
      <c r="F49" s="768" t="s">
        <v>10473</v>
      </c>
      <c r="G49" s="769">
        <v>1</v>
      </c>
      <c r="H49" s="765" t="s">
        <v>66</v>
      </c>
      <c r="I49" s="765" t="s">
        <v>10372</v>
      </c>
      <c r="J49" s="765" t="s">
        <v>289</v>
      </c>
      <c r="K49" s="791" t="s">
        <v>9646</v>
      </c>
      <c r="L49" s="765" t="s">
        <v>8892</v>
      </c>
      <c r="M49" s="787" t="s">
        <v>10415</v>
      </c>
      <c r="N49" s="787" t="s">
        <v>10416</v>
      </c>
      <c r="O49" s="788">
        <v>46142</v>
      </c>
      <c r="P49" s="790">
        <v>46164</v>
      </c>
      <c r="Q49" s="790">
        <v>46165</v>
      </c>
      <c r="R49" s="772" t="s">
        <v>64</v>
      </c>
      <c r="S49" s="772" t="s">
        <v>100</v>
      </c>
      <c r="T49" s="772" t="s">
        <v>402</v>
      </c>
    </row>
    <row r="50" spans="1:20" s="772" customFormat="1">
      <c r="A50" s="763" t="s">
        <v>10330</v>
      </c>
      <c r="B50" s="764" t="s">
        <v>10348</v>
      </c>
      <c r="C50" s="765">
        <v>202604</v>
      </c>
      <c r="D50" s="770" t="s">
        <v>10474</v>
      </c>
      <c r="E50" s="768" t="s">
        <v>10475</v>
      </c>
      <c r="F50" s="768" t="s">
        <v>10476</v>
      </c>
      <c r="G50" s="769">
        <v>1</v>
      </c>
      <c r="H50" s="765" t="s">
        <v>66</v>
      </c>
      <c r="I50" s="765" t="s">
        <v>10372</v>
      </c>
      <c r="J50" s="765" t="s">
        <v>289</v>
      </c>
      <c r="K50" s="791" t="s">
        <v>9646</v>
      </c>
      <c r="L50" s="765" t="s">
        <v>8892</v>
      </c>
      <c r="M50" s="787" t="s">
        <v>10415</v>
      </c>
      <c r="N50" s="787" t="s">
        <v>10416</v>
      </c>
      <c r="O50" s="788">
        <v>46142</v>
      </c>
      <c r="P50" s="790">
        <v>46164</v>
      </c>
      <c r="Q50" s="790">
        <v>46165</v>
      </c>
      <c r="R50" s="772" t="s">
        <v>64</v>
      </c>
      <c r="S50" s="772" t="s">
        <v>100</v>
      </c>
      <c r="T50" s="772" t="s">
        <v>402</v>
      </c>
    </row>
    <row r="51" spans="1:20" s="772" customFormat="1">
      <c r="A51" s="803" t="s">
        <v>10330</v>
      </c>
      <c r="B51" s="773" t="s">
        <v>10348</v>
      </c>
      <c r="C51" s="774">
        <v>202604</v>
      </c>
      <c r="D51" s="804" t="s">
        <v>10477</v>
      </c>
      <c r="E51" s="777" t="s">
        <v>10405</v>
      </c>
      <c r="F51" s="777" t="s">
        <v>10478</v>
      </c>
      <c r="G51" s="778">
        <v>2</v>
      </c>
      <c r="H51" s="774" t="s">
        <v>66</v>
      </c>
      <c r="I51" s="774" t="s">
        <v>10372</v>
      </c>
      <c r="J51" s="774" t="s">
        <v>289</v>
      </c>
      <c r="K51" s="805" t="s">
        <v>9646</v>
      </c>
      <c r="L51" s="774" t="s">
        <v>8892</v>
      </c>
      <c r="M51" s="787" t="s">
        <v>10415</v>
      </c>
      <c r="N51" s="787" t="s">
        <v>10416</v>
      </c>
      <c r="O51" s="790">
        <v>46142</v>
      </c>
      <c r="P51" s="790">
        <v>46164</v>
      </c>
      <c r="Q51" s="790">
        <v>46165</v>
      </c>
      <c r="R51" s="772" t="s">
        <v>64</v>
      </c>
      <c r="S51" s="772" t="s">
        <v>100</v>
      </c>
      <c r="T51" s="772" t="s">
        <v>402</v>
      </c>
    </row>
    <row r="52" spans="1:20" s="812" customFormat="1" ht="17.25" customHeight="1">
      <c r="A52" s="806" t="s">
        <v>10479</v>
      </c>
      <c r="B52" s="807" t="s">
        <v>8782</v>
      </c>
      <c r="C52" s="806">
        <v>202604</v>
      </c>
      <c r="D52" s="806" t="s">
        <v>8089</v>
      </c>
      <c r="E52" s="808" t="s">
        <v>10480</v>
      </c>
      <c r="F52" s="809" t="s">
        <v>10481</v>
      </c>
      <c r="G52" s="806">
        <v>1</v>
      </c>
      <c r="H52" s="806" t="s">
        <v>146</v>
      </c>
      <c r="I52" s="806" t="s">
        <v>10372</v>
      </c>
      <c r="J52" s="806" t="s">
        <v>289</v>
      </c>
      <c r="K52" s="806" t="s">
        <v>8070</v>
      </c>
      <c r="L52" s="806" t="s">
        <v>10482</v>
      </c>
      <c r="M52" s="810" t="s">
        <v>10482</v>
      </c>
      <c r="N52" s="810" t="s">
        <v>10483</v>
      </c>
      <c r="O52" s="811">
        <v>46151</v>
      </c>
      <c r="P52" s="811">
        <v>46153</v>
      </c>
      <c r="Q52" s="811">
        <v>46153</v>
      </c>
    </row>
    <row r="53" spans="1:20" s="812" customFormat="1" ht="17.25" customHeight="1">
      <c r="A53" s="806" t="s">
        <v>10479</v>
      </c>
      <c r="B53" s="807" t="s">
        <v>8782</v>
      </c>
      <c r="C53" s="806">
        <v>202604</v>
      </c>
      <c r="D53" s="806" t="s">
        <v>8093</v>
      </c>
      <c r="E53" s="808" t="s">
        <v>10484</v>
      </c>
      <c r="F53" s="809" t="s">
        <v>10485</v>
      </c>
      <c r="G53" s="806">
        <v>1</v>
      </c>
      <c r="H53" s="806" t="s">
        <v>146</v>
      </c>
      <c r="I53" s="806" t="s">
        <v>10372</v>
      </c>
      <c r="J53" s="806" t="s">
        <v>289</v>
      </c>
      <c r="K53" s="806" t="s">
        <v>8070</v>
      </c>
      <c r="L53" s="806" t="s">
        <v>10482</v>
      </c>
      <c r="M53" s="810" t="s">
        <v>10482</v>
      </c>
      <c r="N53" s="810" t="s">
        <v>10483</v>
      </c>
      <c r="O53" s="811">
        <v>46151</v>
      </c>
      <c r="P53" s="811">
        <v>46153</v>
      </c>
      <c r="Q53" s="811">
        <v>46153</v>
      </c>
    </row>
    <row r="54" spans="1:20" s="812" customFormat="1" ht="17.25" customHeight="1">
      <c r="A54" s="813" t="s">
        <v>10479</v>
      </c>
      <c r="B54" s="814" t="s">
        <v>8782</v>
      </c>
      <c r="C54" s="813">
        <v>202604</v>
      </c>
      <c r="D54" s="813" t="s">
        <v>8097</v>
      </c>
      <c r="E54" s="815" t="s">
        <v>10484</v>
      </c>
      <c r="F54" s="815" t="s">
        <v>10486</v>
      </c>
      <c r="G54" s="813">
        <v>1</v>
      </c>
      <c r="H54" s="813" t="s">
        <v>146</v>
      </c>
      <c r="I54" s="813" t="s">
        <v>10372</v>
      </c>
      <c r="J54" s="813" t="s">
        <v>289</v>
      </c>
      <c r="K54" s="813" t="s">
        <v>8070</v>
      </c>
      <c r="L54" s="806" t="s">
        <v>10482</v>
      </c>
      <c r="M54" s="810" t="s">
        <v>10482</v>
      </c>
      <c r="N54" s="810" t="s">
        <v>10483</v>
      </c>
      <c r="O54" s="816">
        <v>46151</v>
      </c>
      <c r="P54" s="816">
        <v>46153</v>
      </c>
      <c r="Q54" s="816">
        <v>46153</v>
      </c>
    </row>
    <row r="55" spans="1:20" s="823" customFormat="1" ht="18" customHeight="1">
      <c r="A55" s="817" t="s">
        <v>10330</v>
      </c>
      <c r="B55" s="818" t="s">
        <v>10487</v>
      </c>
      <c r="C55" s="817"/>
      <c r="D55" s="819" t="s">
        <v>10488</v>
      </c>
      <c r="E55" s="820" t="s">
        <v>10489</v>
      </c>
      <c r="F55" s="820" t="s">
        <v>10489</v>
      </c>
      <c r="G55" s="819">
        <v>3</v>
      </c>
      <c r="H55" s="817" t="s">
        <v>66</v>
      </c>
      <c r="I55" s="817" t="s">
        <v>10372</v>
      </c>
      <c r="J55" s="817" t="s">
        <v>123</v>
      </c>
      <c r="K55" s="817" t="s">
        <v>9646</v>
      </c>
      <c r="L55" s="817" t="s">
        <v>8783</v>
      </c>
      <c r="M55" s="821" t="s">
        <v>10490</v>
      </c>
      <c r="N55" s="821" t="s">
        <v>10491</v>
      </c>
      <c r="O55" s="822">
        <v>46163</v>
      </c>
      <c r="P55" s="822">
        <v>46166</v>
      </c>
      <c r="Q55" s="822">
        <v>46174</v>
      </c>
    </row>
    <row r="56" spans="1:20" s="823" customFormat="1" ht="15.75" customHeight="1">
      <c r="A56" s="824" t="s">
        <v>10330</v>
      </c>
      <c r="B56" s="825" t="s">
        <v>8786</v>
      </c>
      <c r="C56" s="824"/>
      <c r="D56" s="826" t="s">
        <v>10492</v>
      </c>
      <c r="E56" s="827" t="s">
        <v>10493</v>
      </c>
      <c r="F56" s="827" t="s">
        <v>10493</v>
      </c>
      <c r="G56" s="826">
        <v>20</v>
      </c>
      <c r="H56" s="824" t="s">
        <v>66</v>
      </c>
      <c r="I56" s="824" t="s">
        <v>10372</v>
      </c>
      <c r="J56" s="824" t="s">
        <v>123</v>
      </c>
      <c r="K56" s="824" t="s">
        <v>9646</v>
      </c>
      <c r="L56" s="824" t="s">
        <v>8783</v>
      </c>
      <c r="M56" s="821" t="s">
        <v>10490</v>
      </c>
      <c r="N56" s="828" t="s">
        <v>10491</v>
      </c>
      <c r="O56" s="822">
        <v>46163</v>
      </c>
      <c r="P56" s="822">
        <v>46166</v>
      </c>
      <c r="Q56" s="822">
        <v>46174</v>
      </c>
    </row>
    <row r="57" spans="1:20" s="823" customFormat="1" ht="16.5" customHeight="1">
      <c r="A57" s="806" t="s">
        <v>10479</v>
      </c>
      <c r="B57" s="807" t="s">
        <v>8782</v>
      </c>
      <c r="C57" s="806">
        <v>202604</v>
      </c>
      <c r="D57" s="806" t="s">
        <v>8089</v>
      </c>
      <c r="E57" s="808" t="s">
        <v>10480</v>
      </c>
      <c r="F57" s="809" t="s">
        <v>10481</v>
      </c>
      <c r="G57" s="806">
        <v>2</v>
      </c>
      <c r="H57" s="806" t="s">
        <v>146</v>
      </c>
      <c r="I57" s="806" t="s">
        <v>10372</v>
      </c>
      <c r="J57" s="806" t="s">
        <v>289</v>
      </c>
      <c r="K57" s="806" t="s">
        <v>8085</v>
      </c>
      <c r="L57" s="806" t="s">
        <v>10494</v>
      </c>
      <c r="M57" s="810" t="s">
        <v>10494</v>
      </c>
      <c r="N57" s="810" t="s">
        <v>10495</v>
      </c>
      <c r="O57" s="829">
        <v>46168</v>
      </c>
      <c r="P57" s="816">
        <v>46170</v>
      </c>
      <c r="Q57" s="816">
        <v>46170</v>
      </c>
    </row>
    <row r="58" spans="1:20" s="823" customFormat="1" ht="15" customHeight="1">
      <c r="A58" s="806" t="s">
        <v>10479</v>
      </c>
      <c r="B58" s="807" t="s">
        <v>8782</v>
      </c>
      <c r="C58" s="806">
        <v>202604</v>
      </c>
      <c r="D58" s="806" t="s">
        <v>8093</v>
      </c>
      <c r="E58" s="808" t="s">
        <v>10484</v>
      </c>
      <c r="F58" s="809" t="s">
        <v>10485</v>
      </c>
      <c r="G58" s="806">
        <v>2</v>
      </c>
      <c r="H58" s="813" t="s">
        <v>146</v>
      </c>
      <c r="I58" s="813" t="s">
        <v>10372</v>
      </c>
      <c r="J58" s="806" t="s">
        <v>289</v>
      </c>
      <c r="K58" s="806" t="s">
        <v>8085</v>
      </c>
      <c r="L58" s="806" t="s">
        <v>10494</v>
      </c>
      <c r="M58" s="810" t="s">
        <v>10494</v>
      </c>
      <c r="N58" s="810" t="s">
        <v>10495</v>
      </c>
      <c r="O58" s="829">
        <v>46168</v>
      </c>
      <c r="P58" s="816">
        <v>46170</v>
      </c>
      <c r="Q58" s="816">
        <v>46170</v>
      </c>
    </row>
    <row r="59" spans="1:20" s="823" customFormat="1" ht="19.5" customHeight="1">
      <c r="A59" s="813" t="s">
        <v>10479</v>
      </c>
      <c r="B59" s="814" t="s">
        <v>8782</v>
      </c>
      <c r="C59" s="813">
        <v>202604</v>
      </c>
      <c r="D59" s="813" t="s">
        <v>8097</v>
      </c>
      <c r="E59" s="815" t="s">
        <v>10484</v>
      </c>
      <c r="F59" s="815" t="s">
        <v>10486</v>
      </c>
      <c r="G59" s="830">
        <v>2</v>
      </c>
      <c r="H59" s="813" t="s">
        <v>146</v>
      </c>
      <c r="I59" s="813" t="s">
        <v>10372</v>
      </c>
      <c r="J59" s="813" t="s">
        <v>289</v>
      </c>
      <c r="K59" s="813" t="s">
        <v>8085</v>
      </c>
      <c r="L59" s="813" t="s">
        <v>10494</v>
      </c>
      <c r="M59" s="810" t="s">
        <v>10494</v>
      </c>
      <c r="N59" s="810" t="s">
        <v>10495</v>
      </c>
      <c r="O59" s="829">
        <v>46168</v>
      </c>
      <c r="P59" s="816">
        <v>46170</v>
      </c>
      <c r="Q59" s="816">
        <v>46170</v>
      </c>
    </row>
    <row r="60" spans="1:20" s="812" customFormat="1" ht="21" customHeight="1">
      <c r="A60" s="763" t="s">
        <v>10330</v>
      </c>
      <c r="B60" s="550" t="s">
        <v>8782</v>
      </c>
      <c r="C60" s="763"/>
      <c r="D60" s="769" t="s">
        <v>10496</v>
      </c>
      <c r="E60" s="909" t="s">
        <v>10497</v>
      </c>
      <c r="F60" s="831" t="s">
        <v>10498</v>
      </c>
      <c r="G60" s="910">
        <v>1</v>
      </c>
      <c r="H60" s="765" t="s">
        <v>66</v>
      </c>
      <c r="I60" s="765" t="s">
        <v>10372</v>
      </c>
      <c r="J60" s="765" t="s">
        <v>289</v>
      </c>
      <c r="K60" s="911" t="s">
        <v>10499</v>
      </c>
      <c r="L60" s="765" t="s">
        <v>8780</v>
      </c>
      <c r="M60" s="851" t="s">
        <v>10500</v>
      </c>
      <c r="N60" s="851" t="s">
        <v>10501</v>
      </c>
      <c r="O60" s="832">
        <v>46165</v>
      </c>
      <c r="P60" s="832">
        <v>46166</v>
      </c>
      <c r="Q60" s="832">
        <v>46174</v>
      </c>
    </row>
    <row r="61" spans="1:20" s="812" customFormat="1" ht="16.5" customHeight="1">
      <c r="A61" s="763" t="s">
        <v>10330</v>
      </c>
      <c r="B61" s="550" t="s">
        <v>8782</v>
      </c>
      <c r="C61" s="763"/>
      <c r="D61" s="769" t="s">
        <v>8089</v>
      </c>
      <c r="E61" s="909" t="s">
        <v>10502</v>
      </c>
      <c r="F61" s="831" t="s">
        <v>8091</v>
      </c>
      <c r="G61" s="910">
        <v>5</v>
      </c>
      <c r="H61" s="765" t="s">
        <v>66</v>
      </c>
      <c r="I61" s="765" t="s">
        <v>10372</v>
      </c>
      <c r="J61" s="765" t="s">
        <v>289</v>
      </c>
      <c r="K61" s="911" t="s">
        <v>10499</v>
      </c>
      <c r="L61" s="765" t="s">
        <v>8780</v>
      </c>
      <c r="M61" s="851" t="s">
        <v>10500</v>
      </c>
      <c r="N61" s="851" t="s">
        <v>10501</v>
      </c>
      <c r="O61" s="832">
        <v>46165</v>
      </c>
      <c r="P61" s="832">
        <v>46166</v>
      </c>
      <c r="Q61" s="832">
        <v>46174</v>
      </c>
    </row>
    <row r="62" spans="1:20" s="812" customFormat="1" ht="18.75" customHeight="1">
      <c r="A62" s="763" t="s">
        <v>10330</v>
      </c>
      <c r="B62" s="550" t="s">
        <v>8782</v>
      </c>
      <c r="C62" s="763"/>
      <c r="D62" s="769" t="s">
        <v>8093</v>
      </c>
      <c r="E62" s="909" t="s">
        <v>10503</v>
      </c>
      <c r="F62" s="831" t="s">
        <v>8095</v>
      </c>
      <c r="G62" s="910">
        <v>7</v>
      </c>
      <c r="H62" s="765" t="s">
        <v>66</v>
      </c>
      <c r="I62" s="765" t="s">
        <v>10372</v>
      </c>
      <c r="J62" s="765" t="s">
        <v>289</v>
      </c>
      <c r="K62" s="911" t="s">
        <v>10499</v>
      </c>
      <c r="L62" s="765" t="s">
        <v>8780</v>
      </c>
      <c r="M62" s="851" t="s">
        <v>10500</v>
      </c>
      <c r="N62" s="851" t="s">
        <v>10501</v>
      </c>
      <c r="O62" s="832">
        <v>46165</v>
      </c>
      <c r="P62" s="832">
        <v>46166</v>
      </c>
      <c r="Q62" s="832">
        <v>46174</v>
      </c>
    </row>
    <row r="63" spans="1:20" s="812" customFormat="1" ht="19.5" customHeight="1">
      <c r="A63" s="763" t="s">
        <v>10330</v>
      </c>
      <c r="B63" s="550" t="s">
        <v>8782</v>
      </c>
      <c r="C63" s="763"/>
      <c r="D63" s="769" t="s">
        <v>8097</v>
      </c>
      <c r="E63" s="912" t="s">
        <v>10504</v>
      </c>
      <c r="F63" s="831" t="s">
        <v>8098</v>
      </c>
      <c r="G63" s="910">
        <v>7</v>
      </c>
      <c r="H63" s="765" t="s">
        <v>66</v>
      </c>
      <c r="I63" s="765" t="s">
        <v>10372</v>
      </c>
      <c r="J63" s="765" t="s">
        <v>289</v>
      </c>
      <c r="K63" s="911" t="s">
        <v>10499</v>
      </c>
      <c r="L63" s="765" t="s">
        <v>8780</v>
      </c>
      <c r="M63" s="851" t="s">
        <v>10500</v>
      </c>
      <c r="N63" s="851" t="s">
        <v>10501</v>
      </c>
      <c r="O63" s="832">
        <v>46165</v>
      </c>
      <c r="P63" s="832">
        <v>46166</v>
      </c>
      <c r="Q63" s="832">
        <v>46174</v>
      </c>
    </row>
    <row r="64" spans="1:20" s="812" customFormat="1" ht="20.25" customHeight="1">
      <c r="A64" s="763" t="s">
        <v>10330</v>
      </c>
      <c r="B64" s="561" t="s">
        <v>8782</v>
      </c>
      <c r="C64" s="803"/>
      <c r="D64" s="778" t="s">
        <v>10505</v>
      </c>
      <c r="E64" s="913" t="s">
        <v>10506</v>
      </c>
      <c r="F64" s="833" t="s">
        <v>10507</v>
      </c>
      <c r="G64" s="914">
        <v>1</v>
      </c>
      <c r="H64" s="774" t="s">
        <v>66</v>
      </c>
      <c r="I64" s="774" t="s">
        <v>10372</v>
      </c>
      <c r="J64" s="774" t="s">
        <v>289</v>
      </c>
      <c r="K64" s="915" t="s">
        <v>10499</v>
      </c>
      <c r="L64" s="774" t="s">
        <v>8780</v>
      </c>
      <c r="M64" s="852" t="s">
        <v>10500</v>
      </c>
      <c r="N64" s="852" t="s">
        <v>10501</v>
      </c>
      <c r="O64" s="834">
        <v>46165</v>
      </c>
      <c r="P64" s="834">
        <v>46166</v>
      </c>
      <c r="Q64" s="834">
        <v>46174</v>
      </c>
    </row>
    <row r="65" spans="1:18" ht="15.75" customHeight="1">
      <c r="A65" s="835" t="s">
        <v>10479</v>
      </c>
      <c r="B65" s="807" t="s">
        <v>10508</v>
      </c>
      <c r="C65" s="837"/>
      <c r="D65" s="806" t="s">
        <v>7914</v>
      </c>
      <c r="E65" s="836" t="s">
        <v>10481</v>
      </c>
      <c r="F65" s="836" t="s">
        <v>10481</v>
      </c>
      <c r="G65" s="837">
        <v>2</v>
      </c>
      <c r="H65" s="838" t="s">
        <v>402</v>
      </c>
      <c r="I65" s="838" t="s">
        <v>10372</v>
      </c>
      <c r="J65" s="806" t="s">
        <v>122</v>
      </c>
      <c r="K65" s="835" t="s">
        <v>10509</v>
      </c>
      <c r="L65" s="806" t="s">
        <v>10494</v>
      </c>
      <c r="M65" s="807" t="s">
        <v>10510</v>
      </c>
      <c r="N65" s="1058" t="s">
        <v>10511</v>
      </c>
      <c r="O65" s="1059">
        <v>46218</v>
      </c>
      <c r="P65" s="1059">
        <v>46226</v>
      </c>
      <c r="Q65" s="1059">
        <v>46234</v>
      </c>
    </row>
    <row r="66" spans="1:18" ht="16.5" customHeight="1">
      <c r="A66" s="830" t="s">
        <v>10479</v>
      </c>
      <c r="B66" s="807" t="s">
        <v>10508</v>
      </c>
      <c r="C66" s="837"/>
      <c r="D66" s="806" t="s">
        <v>7923</v>
      </c>
      <c r="E66" s="836" t="s">
        <v>10485</v>
      </c>
      <c r="F66" s="836" t="s">
        <v>10485</v>
      </c>
      <c r="G66" s="837">
        <v>2</v>
      </c>
      <c r="H66" s="838" t="s">
        <v>402</v>
      </c>
      <c r="I66" s="838" t="s">
        <v>10372</v>
      </c>
      <c r="J66" s="806" t="s">
        <v>122</v>
      </c>
      <c r="K66" s="835" t="s">
        <v>10509</v>
      </c>
      <c r="L66" s="806" t="s">
        <v>10494</v>
      </c>
      <c r="M66" s="807" t="s">
        <v>10510</v>
      </c>
      <c r="N66" s="1058" t="s">
        <v>10511</v>
      </c>
      <c r="O66" s="1059">
        <v>46218</v>
      </c>
      <c r="P66" s="1059">
        <v>46226</v>
      </c>
      <c r="Q66" s="1059">
        <v>46234</v>
      </c>
    </row>
    <row r="67" spans="1:18" ht="15.75" customHeight="1">
      <c r="A67" s="806" t="s">
        <v>10479</v>
      </c>
      <c r="B67" s="839" t="s">
        <v>10508</v>
      </c>
      <c r="C67" s="837"/>
      <c r="D67" s="806" t="s">
        <v>7927</v>
      </c>
      <c r="E67" s="836" t="s">
        <v>10486</v>
      </c>
      <c r="F67" s="836" t="s">
        <v>10486</v>
      </c>
      <c r="G67" s="840">
        <v>2</v>
      </c>
      <c r="H67" s="841" t="s">
        <v>402</v>
      </c>
      <c r="I67" s="841" t="s">
        <v>10372</v>
      </c>
      <c r="J67" s="806" t="s">
        <v>122</v>
      </c>
      <c r="K67" s="830" t="s">
        <v>10509</v>
      </c>
      <c r="L67" s="813" t="s">
        <v>10494</v>
      </c>
      <c r="M67" s="807" t="s">
        <v>10510</v>
      </c>
      <c r="N67" s="1058" t="s">
        <v>10511</v>
      </c>
      <c r="O67" s="1059">
        <v>46218</v>
      </c>
      <c r="P67" s="1059">
        <v>46226</v>
      </c>
      <c r="Q67" s="1059">
        <v>46234</v>
      </c>
    </row>
    <row r="68" spans="1:18" ht="15.75" customHeight="1">
      <c r="A68" s="835" t="s">
        <v>10479</v>
      </c>
      <c r="B68" s="807" t="s">
        <v>10508</v>
      </c>
      <c r="C68" s="837"/>
      <c r="D68" s="806" t="s">
        <v>7914</v>
      </c>
      <c r="E68" s="836" t="s">
        <v>10481</v>
      </c>
      <c r="F68" s="842" t="s">
        <v>10481</v>
      </c>
      <c r="G68" s="838">
        <v>1</v>
      </c>
      <c r="H68" s="838" t="s">
        <v>10512</v>
      </c>
      <c r="I68" s="838" t="s">
        <v>10334</v>
      </c>
      <c r="J68" s="838" t="s">
        <v>10513</v>
      </c>
      <c r="K68" s="838" t="s">
        <v>10514</v>
      </c>
      <c r="L68" s="843" t="s">
        <v>10515</v>
      </c>
      <c r="M68" s="853" t="s">
        <v>10515</v>
      </c>
      <c r="N68" s="1058" t="s">
        <v>10516</v>
      </c>
      <c r="O68" s="1059">
        <v>46219</v>
      </c>
      <c r="P68" s="1059"/>
      <c r="Q68" s="1059"/>
    </row>
    <row r="69" spans="1:18" ht="15.75" customHeight="1">
      <c r="A69" s="830" t="s">
        <v>10479</v>
      </c>
      <c r="B69" s="807" t="s">
        <v>10508</v>
      </c>
      <c r="C69" s="837"/>
      <c r="D69" s="806" t="s">
        <v>7923</v>
      </c>
      <c r="E69" s="836" t="s">
        <v>10485</v>
      </c>
      <c r="F69" s="842" t="s">
        <v>10485</v>
      </c>
      <c r="G69" s="838">
        <v>1</v>
      </c>
      <c r="H69" s="838" t="s">
        <v>10512</v>
      </c>
      <c r="I69" s="838" t="s">
        <v>10334</v>
      </c>
      <c r="J69" s="838" t="s">
        <v>10513</v>
      </c>
      <c r="K69" s="838" t="s">
        <v>10514</v>
      </c>
      <c r="L69" s="843" t="s">
        <v>10515</v>
      </c>
      <c r="M69" s="853" t="s">
        <v>10515</v>
      </c>
      <c r="N69" s="1058" t="s">
        <v>10516</v>
      </c>
      <c r="O69" s="1059">
        <v>46219</v>
      </c>
      <c r="P69" s="1059"/>
      <c r="Q69" s="1059"/>
    </row>
    <row r="70" spans="1:18" ht="15.75" customHeight="1">
      <c r="A70" s="806" t="s">
        <v>10479</v>
      </c>
      <c r="B70" s="839" t="s">
        <v>10508</v>
      </c>
      <c r="C70" s="837"/>
      <c r="D70" s="806" t="s">
        <v>7927</v>
      </c>
      <c r="E70" s="836" t="s">
        <v>10486</v>
      </c>
      <c r="F70" s="842" t="s">
        <v>10486</v>
      </c>
      <c r="G70" s="841">
        <v>1</v>
      </c>
      <c r="H70" s="841" t="s">
        <v>10512</v>
      </c>
      <c r="I70" s="841" t="s">
        <v>10334</v>
      </c>
      <c r="J70" s="841" t="s">
        <v>10513</v>
      </c>
      <c r="K70" s="841" t="s">
        <v>10514</v>
      </c>
      <c r="L70" s="844" t="s">
        <v>10515</v>
      </c>
      <c r="M70" s="854" t="s">
        <v>10515</v>
      </c>
      <c r="N70" s="1058" t="s">
        <v>10516</v>
      </c>
      <c r="O70" s="1059">
        <v>46219</v>
      </c>
      <c r="P70" s="1060"/>
      <c r="Q70" s="1060"/>
    </row>
    <row r="71" spans="1:18" ht="15" customHeight="1">
      <c r="A71" s="806" t="s">
        <v>10479</v>
      </c>
      <c r="B71" s="807" t="s">
        <v>8782</v>
      </c>
      <c r="C71" s="806">
        <v>202604</v>
      </c>
      <c r="D71" s="806" t="s">
        <v>8089</v>
      </c>
      <c r="E71" s="808" t="s">
        <v>10480</v>
      </c>
      <c r="F71" s="845" t="s">
        <v>10481</v>
      </c>
      <c r="G71" s="838">
        <v>4</v>
      </c>
      <c r="H71" s="838" t="s">
        <v>10512</v>
      </c>
      <c r="I71" s="838" t="s">
        <v>10334</v>
      </c>
      <c r="J71" s="838" t="s">
        <v>10517</v>
      </c>
      <c r="K71" s="838" t="s">
        <v>7919</v>
      </c>
      <c r="L71" s="843" t="s">
        <v>10518</v>
      </c>
      <c r="M71" s="853" t="s">
        <v>10518</v>
      </c>
      <c r="N71" s="1058"/>
      <c r="O71" s="1059">
        <v>46219</v>
      </c>
      <c r="P71" s="1059"/>
      <c r="Q71" s="1059"/>
    </row>
    <row r="72" spans="1:18" ht="17.25" customHeight="1">
      <c r="A72" s="806" t="s">
        <v>10479</v>
      </c>
      <c r="B72" s="814" t="s">
        <v>8782</v>
      </c>
      <c r="C72" s="813">
        <v>202604</v>
      </c>
      <c r="D72" s="813" t="s">
        <v>8093</v>
      </c>
      <c r="E72" s="846" t="s">
        <v>10484</v>
      </c>
      <c r="F72" s="847" t="s">
        <v>10485</v>
      </c>
      <c r="G72" s="838">
        <v>4</v>
      </c>
      <c r="H72" s="838" t="s">
        <v>10512</v>
      </c>
      <c r="I72" s="838" t="s">
        <v>10334</v>
      </c>
      <c r="J72" s="838" t="s">
        <v>10517</v>
      </c>
      <c r="K72" s="838" t="s">
        <v>7919</v>
      </c>
      <c r="L72" s="843" t="s">
        <v>10518</v>
      </c>
      <c r="M72" s="853" t="s">
        <v>10518</v>
      </c>
      <c r="N72" s="1058"/>
      <c r="O72" s="1059">
        <v>46219</v>
      </c>
      <c r="P72" s="1059"/>
      <c r="Q72" s="1059"/>
    </row>
    <row r="73" spans="1:18" ht="16.5" customHeight="1">
      <c r="A73" s="830" t="s">
        <v>10479</v>
      </c>
      <c r="B73" s="814" t="s">
        <v>8782</v>
      </c>
      <c r="C73" s="813">
        <v>202604</v>
      </c>
      <c r="D73" s="813" t="s">
        <v>8097</v>
      </c>
      <c r="E73" s="932" t="s">
        <v>10484</v>
      </c>
      <c r="F73" s="815" t="s">
        <v>10486</v>
      </c>
      <c r="G73" s="933">
        <v>4</v>
      </c>
      <c r="H73" s="841" t="s">
        <v>10512</v>
      </c>
      <c r="I73" s="841" t="s">
        <v>10334</v>
      </c>
      <c r="J73" s="841" t="s">
        <v>10517</v>
      </c>
      <c r="K73" s="841" t="s">
        <v>7919</v>
      </c>
      <c r="L73" s="844" t="s">
        <v>10518</v>
      </c>
      <c r="M73" s="854" t="s">
        <v>10518</v>
      </c>
      <c r="N73" s="1061"/>
      <c r="O73" s="1060">
        <v>46219</v>
      </c>
      <c r="P73" s="1060"/>
      <c r="Q73" s="1060"/>
    </row>
    <row r="74" spans="1:18" ht="13">
      <c r="A74" s="765" t="s">
        <v>10330</v>
      </c>
      <c r="B74" s="1263" t="s">
        <v>10519</v>
      </c>
      <c r="C74" s="937">
        <v>202608</v>
      </c>
      <c r="D74" s="941" t="s">
        <v>10520</v>
      </c>
      <c r="E74" s="939" t="s">
        <v>10521</v>
      </c>
      <c r="F74" s="939" t="s">
        <v>10522</v>
      </c>
      <c r="G74" s="937">
        <v>4</v>
      </c>
      <c r="H74" s="937" t="s">
        <v>66</v>
      </c>
      <c r="I74" s="937" t="s">
        <v>10372</v>
      </c>
      <c r="J74" s="937" t="s">
        <v>10523</v>
      </c>
      <c r="K74" s="1052" t="s">
        <v>10499</v>
      </c>
      <c r="L74" s="1264" t="s">
        <v>10524</v>
      </c>
      <c r="M74" s="1265" t="s">
        <v>10525</v>
      </c>
      <c r="N74" s="1265" t="s">
        <v>10526</v>
      </c>
      <c r="O74" s="1006">
        <v>46251</v>
      </c>
      <c r="P74" s="1006">
        <v>46254</v>
      </c>
      <c r="Q74" s="1006">
        <v>46262</v>
      </c>
    </row>
    <row r="75" spans="1:18" ht="13">
      <c r="A75" s="774" t="s">
        <v>10330</v>
      </c>
      <c r="B75" s="1266" t="s">
        <v>10519</v>
      </c>
      <c r="C75" s="938">
        <v>202608</v>
      </c>
      <c r="D75" s="942" t="s">
        <v>10527</v>
      </c>
      <c r="E75" s="940" t="s">
        <v>10521</v>
      </c>
      <c r="F75" s="940" t="s">
        <v>10528</v>
      </c>
      <c r="G75" s="938">
        <v>4</v>
      </c>
      <c r="H75" s="938" t="s">
        <v>66</v>
      </c>
      <c r="I75" s="938" t="s">
        <v>10372</v>
      </c>
      <c r="J75" s="938" t="s">
        <v>10523</v>
      </c>
      <c r="K75" s="1052" t="s">
        <v>10499</v>
      </c>
      <c r="L75" s="1267" t="s">
        <v>10524</v>
      </c>
      <c r="M75" s="1268" t="s">
        <v>10525</v>
      </c>
      <c r="N75" s="1268" t="s">
        <v>10526</v>
      </c>
      <c r="O75" s="1007">
        <v>46251</v>
      </c>
      <c r="P75" s="1006">
        <v>46254</v>
      </c>
      <c r="Q75" s="1006">
        <v>46262</v>
      </c>
    </row>
    <row r="76" spans="1:18" ht="15.75" customHeight="1">
      <c r="A76" s="938" t="s">
        <v>10330</v>
      </c>
      <c r="B76" s="1266" t="s">
        <v>10529</v>
      </c>
      <c r="C76" s="938">
        <v>202608</v>
      </c>
      <c r="D76" s="942" t="s">
        <v>10530</v>
      </c>
      <c r="E76" s="1181" t="s">
        <v>10531</v>
      </c>
      <c r="F76" s="1181" t="s">
        <v>10531</v>
      </c>
      <c r="G76" s="938">
        <v>2000</v>
      </c>
      <c r="H76" s="938" t="s">
        <v>9613</v>
      </c>
      <c r="I76" s="938" t="s">
        <v>10372</v>
      </c>
      <c r="J76" s="938" t="s">
        <v>10532</v>
      </c>
      <c r="K76" s="938" t="s">
        <v>10533</v>
      </c>
      <c r="L76" s="938" t="s">
        <v>8240</v>
      </c>
      <c r="M76" s="938" t="s">
        <v>10534</v>
      </c>
      <c r="N76" s="1266" t="s">
        <v>10535</v>
      </c>
      <c r="O76" s="1007">
        <v>46260</v>
      </c>
      <c r="P76" s="1007">
        <v>46262</v>
      </c>
      <c r="Q76" s="1007">
        <v>46266</v>
      </c>
    </row>
    <row r="77" spans="1:18" s="1182" customFormat="1">
      <c r="A77" s="1254" t="s">
        <v>10330</v>
      </c>
      <c r="B77" s="1255" t="s">
        <v>10536</v>
      </c>
      <c r="C77" s="1254">
        <v>202609</v>
      </c>
      <c r="D77" s="1256" t="s">
        <v>10471</v>
      </c>
      <c r="E77" s="1257" t="s">
        <v>10537</v>
      </c>
      <c r="F77" s="1219" t="s">
        <v>10473</v>
      </c>
      <c r="G77" s="1254">
        <v>15</v>
      </c>
      <c r="H77" s="1254" t="s">
        <v>9613</v>
      </c>
      <c r="I77" s="1254" t="s">
        <v>10372</v>
      </c>
      <c r="J77" s="1254" t="s">
        <v>289</v>
      </c>
      <c r="K77" s="1254" t="s">
        <v>10538</v>
      </c>
      <c r="L77" s="1254" t="s">
        <v>10539</v>
      </c>
      <c r="M77" s="1254" t="s">
        <v>10540</v>
      </c>
      <c r="N77" s="1255" t="s">
        <v>10541</v>
      </c>
      <c r="O77" s="1258">
        <v>46281</v>
      </c>
      <c r="P77" s="1258">
        <v>46283</v>
      </c>
      <c r="Q77" s="1258">
        <v>46286</v>
      </c>
      <c r="R77" s="1259"/>
    </row>
    <row r="78" spans="1:18">
      <c r="A78" s="765" t="s">
        <v>10330</v>
      </c>
      <c r="B78" s="1263" t="s">
        <v>10529</v>
      </c>
      <c r="C78" s="937">
        <v>202609</v>
      </c>
      <c r="D78" s="941" t="s">
        <v>10542</v>
      </c>
      <c r="E78" s="939" t="s">
        <v>8040</v>
      </c>
      <c r="F78" s="1278" t="s">
        <v>10543</v>
      </c>
      <c r="G78" s="937">
        <v>1</v>
      </c>
      <c r="H78" s="937" t="s">
        <v>66</v>
      </c>
      <c r="I78" s="937" t="s">
        <v>10372</v>
      </c>
      <c r="J78" s="937" t="s">
        <v>10544</v>
      </c>
      <c r="K78" s="937" t="s">
        <v>10545</v>
      </c>
      <c r="L78" s="1265"/>
      <c r="M78" s="1265"/>
      <c r="N78" s="1269"/>
      <c r="O78" s="934"/>
      <c r="P78" s="934"/>
      <c r="Q78" s="934"/>
    </row>
    <row r="79" spans="1:18">
      <c r="A79" s="765" t="s">
        <v>10330</v>
      </c>
      <c r="B79" s="1263" t="s">
        <v>10529</v>
      </c>
      <c r="C79" s="937">
        <v>202609</v>
      </c>
      <c r="D79" s="941" t="s">
        <v>10546</v>
      </c>
      <c r="E79" s="939" t="s">
        <v>8040</v>
      </c>
      <c r="F79" s="1278" t="s">
        <v>10547</v>
      </c>
      <c r="G79" s="937">
        <v>1</v>
      </c>
      <c r="H79" s="937" t="s">
        <v>66</v>
      </c>
      <c r="I79" s="937" t="s">
        <v>10372</v>
      </c>
      <c r="J79" s="937" t="s">
        <v>10544</v>
      </c>
      <c r="K79" s="937" t="s">
        <v>10545</v>
      </c>
      <c r="L79" s="1265"/>
      <c r="M79" s="1265"/>
      <c r="N79" s="1269"/>
      <c r="O79" s="934"/>
      <c r="P79" s="934"/>
      <c r="Q79" s="934"/>
    </row>
    <row r="80" spans="1:18">
      <c r="A80" s="937" t="s">
        <v>10330</v>
      </c>
      <c r="B80" s="1263" t="s">
        <v>10529</v>
      </c>
      <c r="C80" s="937">
        <v>202609</v>
      </c>
      <c r="D80" s="941" t="s">
        <v>10548</v>
      </c>
      <c r="E80" s="939" t="s">
        <v>8065</v>
      </c>
      <c r="F80" s="1279" t="s">
        <v>10549</v>
      </c>
      <c r="G80" s="938">
        <v>1</v>
      </c>
      <c r="H80" s="937" t="s">
        <v>66</v>
      </c>
      <c r="I80" s="937" t="s">
        <v>10372</v>
      </c>
      <c r="J80" s="937" t="s">
        <v>10544</v>
      </c>
      <c r="K80" s="938" t="s">
        <v>10545</v>
      </c>
      <c r="L80" s="1268"/>
      <c r="M80" s="1268"/>
      <c r="N80" s="1270"/>
      <c r="O80" s="936"/>
      <c r="P80" s="1262"/>
      <c r="Q80" s="936"/>
    </row>
    <row r="81" spans="1:17">
      <c r="A81" s="937" t="s">
        <v>10330</v>
      </c>
      <c r="B81" s="1263" t="s">
        <v>10550</v>
      </c>
      <c r="C81" s="937">
        <v>202609</v>
      </c>
      <c r="D81" s="941" t="s">
        <v>10551</v>
      </c>
      <c r="E81" s="1280" t="s">
        <v>10552</v>
      </c>
      <c r="F81" s="939" t="s">
        <v>10552</v>
      </c>
      <c r="G81" s="937">
        <v>1500</v>
      </c>
      <c r="H81" s="937" t="s">
        <v>66</v>
      </c>
      <c r="I81" s="937" t="s">
        <v>10372</v>
      </c>
      <c r="J81" s="937" t="s">
        <v>111</v>
      </c>
      <c r="K81" s="937" t="s">
        <v>10553</v>
      </c>
      <c r="L81" s="1265" t="s">
        <v>10554</v>
      </c>
      <c r="M81" s="1265" t="s">
        <v>10555</v>
      </c>
      <c r="N81" s="1265"/>
      <c r="O81" s="934"/>
      <c r="P81" s="934"/>
      <c r="Q81" s="934"/>
    </row>
  </sheetData>
  <phoneticPr fontId="64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ColWidth="9" defaultRowHeight="13"/>
  <sheetData/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3"/>
  <sheetViews>
    <sheetView workbookViewId="0">
      <selection activeCell="F22" sqref="F22"/>
    </sheetView>
  </sheetViews>
  <sheetFormatPr defaultColWidth="9" defaultRowHeight="13"/>
  <cols>
    <col min="1" max="1" width="18.59765625" customWidth="1"/>
    <col min="2" max="2" width="27" customWidth="1"/>
    <col min="3" max="3" width="25.8984375" bestFit="1" customWidth="1"/>
    <col min="4" max="4" width="18.59765625" bestFit="1" customWidth="1"/>
    <col min="5" max="5" width="17.3984375" bestFit="1" customWidth="1"/>
    <col min="6" max="13" width="32.59765625" bestFit="1" customWidth="1"/>
    <col min="14" max="14" width="13.8984375" bestFit="1" customWidth="1"/>
    <col min="15" max="18" width="10.09765625" bestFit="1" customWidth="1"/>
    <col min="19" max="19" width="11.3984375" bestFit="1" customWidth="1"/>
    <col min="20" max="20" width="10.09765625" customWidth="1"/>
    <col min="21" max="21" width="6.8984375" bestFit="1" customWidth="1"/>
    <col min="22" max="23" width="10.09765625" bestFit="1" customWidth="1"/>
    <col min="24" max="25" width="9.09765625" bestFit="1" customWidth="1"/>
    <col min="26" max="41" width="10.09765625" bestFit="1" customWidth="1"/>
    <col min="42" max="42" width="11.3984375" bestFit="1" customWidth="1"/>
    <col min="43" max="45" width="9.09765625" bestFit="1" customWidth="1"/>
    <col min="46" max="50" width="10.09765625" bestFit="1" customWidth="1"/>
    <col min="51" max="52" width="9.09765625" bestFit="1" customWidth="1"/>
    <col min="53" max="57" width="10.09765625" bestFit="1" customWidth="1"/>
    <col min="58" max="58" width="11.3984375" bestFit="1" customWidth="1"/>
    <col min="59" max="59" width="10.09765625" bestFit="1" customWidth="1"/>
    <col min="60" max="62" width="9.09765625" bestFit="1" customWidth="1"/>
    <col min="63" max="68" width="10.09765625" bestFit="1" customWidth="1"/>
    <col min="69" max="70" width="9.09765625" bestFit="1" customWidth="1"/>
    <col min="71" max="75" width="10.09765625" bestFit="1" customWidth="1"/>
    <col min="76" max="76" width="11.3984375" bestFit="1" customWidth="1"/>
    <col min="77" max="85" width="11.09765625" bestFit="1" customWidth="1"/>
    <col min="91" max="105" width="10.09765625" bestFit="1" customWidth="1"/>
    <col min="113" max="128" width="10.09765625" bestFit="1" customWidth="1"/>
    <col min="137" max="156" width="10.09765625" bestFit="1" customWidth="1"/>
    <col min="164" max="174" width="10.09765625" bestFit="1" customWidth="1"/>
    <col min="177" max="180" width="10.09765625" bestFit="1" customWidth="1"/>
    <col min="182" max="184" width="10.09765625" bestFit="1" customWidth="1"/>
    <col min="185" max="185" width="11.09765625" bestFit="1" customWidth="1"/>
    <col min="186" max="186" width="11.3984375" bestFit="1" customWidth="1"/>
  </cols>
  <sheetData>
    <row r="2" spans="1:4">
      <c r="A2" s="171" t="s">
        <v>7</v>
      </c>
      <c r="B2" t="s">
        <v>9793</v>
      </c>
    </row>
    <row r="3" spans="1:4">
      <c r="A3" s="171" t="s">
        <v>24</v>
      </c>
      <c r="B3" t="s">
        <v>9793</v>
      </c>
    </row>
    <row r="5" spans="1:4">
      <c r="A5" s="171" t="s">
        <v>15</v>
      </c>
      <c r="B5" s="171" t="s">
        <v>33</v>
      </c>
      <c r="C5" s="171" t="s">
        <v>9</v>
      </c>
      <c r="D5" t="s">
        <v>9797</v>
      </c>
    </row>
    <row r="6" spans="1:4">
      <c r="A6" t="s">
        <v>71</v>
      </c>
      <c r="B6" t="s">
        <v>78</v>
      </c>
      <c r="C6" t="s">
        <v>96</v>
      </c>
      <c r="D6" s="1400">
        <v>6048</v>
      </c>
    </row>
    <row r="7" spans="1:4">
      <c r="B7" t="s">
        <v>105</v>
      </c>
      <c r="C7" t="s">
        <v>96</v>
      </c>
      <c r="D7" s="1400">
        <v>8640</v>
      </c>
    </row>
    <row r="8" spans="1:4">
      <c r="A8" t="s">
        <v>1151</v>
      </c>
      <c r="B8" t="s">
        <v>78</v>
      </c>
      <c r="C8" t="s">
        <v>96</v>
      </c>
      <c r="D8" s="1400">
        <v>6048</v>
      </c>
    </row>
    <row r="9" spans="1:4">
      <c r="B9" t="s">
        <v>105</v>
      </c>
      <c r="C9" t="s">
        <v>96</v>
      </c>
      <c r="D9" s="1400">
        <v>16416</v>
      </c>
    </row>
    <row r="10" spans="1:4">
      <c r="A10" t="s">
        <v>965</v>
      </c>
      <c r="B10" t="s">
        <v>105</v>
      </c>
      <c r="C10" t="s">
        <v>96</v>
      </c>
      <c r="D10" s="1400">
        <v>1872</v>
      </c>
    </row>
    <row r="11" spans="1:4">
      <c r="A11" t="s">
        <v>195</v>
      </c>
      <c r="B11" t="s">
        <v>456</v>
      </c>
      <c r="C11" t="s">
        <v>96</v>
      </c>
      <c r="D11" s="1400">
        <v>1872</v>
      </c>
    </row>
    <row r="12" spans="1:4">
      <c r="B12" t="s">
        <v>105</v>
      </c>
      <c r="C12" t="s">
        <v>96</v>
      </c>
      <c r="D12" s="1400">
        <v>18720</v>
      </c>
    </row>
    <row r="13" spans="1:4">
      <c r="A13" t="s">
        <v>91</v>
      </c>
      <c r="B13" t="s">
        <v>78</v>
      </c>
      <c r="C13" t="s">
        <v>96</v>
      </c>
      <c r="D13" s="1400">
        <v>2808</v>
      </c>
    </row>
    <row r="14" spans="1:4">
      <c r="B14" t="s">
        <v>356</v>
      </c>
      <c r="C14" t="s">
        <v>96</v>
      </c>
      <c r="D14" s="1400">
        <v>20592</v>
      </c>
    </row>
    <row r="15" spans="1:4">
      <c r="A15" t="s">
        <v>1977</v>
      </c>
      <c r="B15" t="s">
        <v>78</v>
      </c>
      <c r="C15" t="s">
        <v>96</v>
      </c>
      <c r="D15" s="1400">
        <v>1320</v>
      </c>
    </row>
    <row r="16" spans="1:4">
      <c r="B16" t="s">
        <v>314</v>
      </c>
      <c r="C16" t="s">
        <v>96</v>
      </c>
      <c r="D16" s="1400">
        <v>18480</v>
      </c>
    </row>
    <row r="17" spans="1:4">
      <c r="B17" t="s">
        <v>1561</v>
      </c>
      <c r="C17" t="s">
        <v>96</v>
      </c>
      <c r="D17" s="1400">
        <v>5940</v>
      </c>
    </row>
    <row r="18" spans="1:4">
      <c r="B18" t="s">
        <v>105</v>
      </c>
      <c r="C18" t="s">
        <v>96</v>
      </c>
      <c r="D18" s="1400">
        <v>5280</v>
      </c>
    </row>
    <row r="19" spans="1:4">
      <c r="B19" t="s">
        <v>124</v>
      </c>
      <c r="C19" t="s">
        <v>96</v>
      </c>
      <c r="D19" s="1400">
        <v>5280</v>
      </c>
    </row>
    <row r="20" spans="1:4">
      <c r="A20" t="s">
        <v>171</v>
      </c>
      <c r="B20" t="s">
        <v>314</v>
      </c>
      <c r="C20" t="s">
        <v>96</v>
      </c>
      <c r="D20" s="1400">
        <v>15840</v>
      </c>
    </row>
    <row r="21" spans="1:4">
      <c r="B21" t="s">
        <v>1561</v>
      </c>
      <c r="C21" t="s">
        <v>96</v>
      </c>
      <c r="D21" s="1400">
        <v>5280</v>
      </c>
    </row>
    <row r="22" spans="1:4">
      <c r="B22" t="s">
        <v>105</v>
      </c>
      <c r="C22" t="s">
        <v>96</v>
      </c>
      <c r="D22" s="1400">
        <v>3960</v>
      </c>
    </row>
    <row r="23" spans="1:4">
      <c r="A23" t="s">
        <v>551</v>
      </c>
      <c r="B23" t="s">
        <v>78</v>
      </c>
      <c r="C23" t="s">
        <v>96</v>
      </c>
      <c r="D23" s="1400">
        <v>6336</v>
      </c>
    </row>
    <row r="24" spans="1:4">
      <c r="B24" t="s">
        <v>314</v>
      </c>
      <c r="C24" t="s">
        <v>96</v>
      </c>
      <c r="D24" s="1400">
        <v>3168</v>
      </c>
    </row>
    <row r="25" spans="1:4">
      <c r="B25" t="s">
        <v>356</v>
      </c>
      <c r="C25" t="s">
        <v>96</v>
      </c>
      <c r="D25" s="1400">
        <v>7128</v>
      </c>
    </row>
    <row r="26" spans="1:4">
      <c r="B26" t="s">
        <v>1561</v>
      </c>
      <c r="C26" t="s">
        <v>96</v>
      </c>
      <c r="D26" s="1400">
        <v>1584</v>
      </c>
    </row>
    <row r="27" spans="1:4">
      <c r="B27" t="s">
        <v>105</v>
      </c>
      <c r="C27" t="s">
        <v>96</v>
      </c>
      <c r="D27" s="1400">
        <v>1584</v>
      </c>
    </row>
    <row r="28" spans="1:4">
      <c r="B28" t="s">
        <v>124</v>
      </c>
      <c r="C28" t="s">
        <v>96</v>
      </c>
      <c r="D28" s="1400">
        <v>1584</v>
      </c>
    </row>
    <row r="29" spans="1:4">
      <c r="A29" t="s">
        <v>474</v>
      </c>
      <c r="B29" t="s">
        <v>456</v>
      </c>
      <c r="C29" t="s">
        <v>96</v>
      </c>
      <c r="D29" s="1400">
        <v>1728</v>
      </c>
    </row>
    <row r="30" spans="1:4">
      <c r="B30" t="s">
        <v>105</v>
      </c>
      <c r="C30" t="s">
        <v>96</v>
      </c>
      <c r="D30" s="1400">
        <v>12960</v>
      </c>
    </row>
    <row r="31" spans="1:4">
      <c r="B31" t="s">
        <v>124</v>
      </c>
      <c r="C31" t="s">
        <v>96</v>
      </c>
      <c r="D31" s="1400">
        <v>1728</v>
      </c>
    </row>
    <row r="32" spans="1:4">
      <c r="A32" t="s">
        <v>529</v>
      </c>
      <c r="B32" t="s">
        <v>314</v>
      </c>
      <c r="C32" t="s">
        <v>96</v>
      </c>
      <c r="D32" s="1400">
        <v>6048</v>
      </c>
    </row>
    <row r="33" spans="1:4">
      <c r="A33" t="s">
        <v>706</v>
      </c>
      <c r="B33" t="s">
        <v>78</v>
      </c>
      <c r="C33" t="s">
        <v>96</v>
      </c>
      <c r="D33" s="1400">
        <v>3456</v>
      </c>
    </row>
    <row r="34" spans="1:4">
      <c r="B34" t="s">
        <v>356</v>
      </c>
      <c r="C34" t="s">
        <v>96</v>
      </c>
      <c r="D34" s="1400">
        <v>1728</v>
      </c>
    </row>
    <row r="35" spans="1:4">
      <c r="A35" t="s">
        <v>691</v>
      </c>
      <c r="B35" t="s">
        <v>78</v>
      </c>
      <c r="C35" t="s">
        <v>96</v>
      </c>
      <c r="D35" s="1400">
        <v>5184</v>
      </c>
    </row>
    <row r="36" spans="1:4">
      <c r="A36" t="s">
        <v>189</v>
      </c>
      <c r="B36" t="s">
        <v>78</v>
      </c>
      <c r="C36" t="s">
        <v>96</v>
      </c>
      <c r="D36" s="1400">
        <v>5184</v>
      </c>
    </row>
    <row r="37" spans="1:4">
      <c r="A37" t="s">
        <v>1062</v>
      </c>
      <c r="B37" t="s">
        <v>456</v>
      </c>
      <c r="C37" t="s">
        <v>96</v>
      </c>
      <c r="D37" s="1400">
        <v>4320</v>
      </c>
    </row>
    <row r="38" spans="1:4">
      <c r="B38" t="s">
        <v>78</v>
      </c>
      <c r="C38" t="s">
        <v>96</v>
      </c>
      <c r="D38" s="1400">
        <v>14688</v>
      </c>
    </row>
    <row r="39" spans="1:4">
      <c r="B39" t="s">
        <v>105</v>
      </c>
      <c r="C39" t="s">
        <v>96</v>
      </c>
      <c r="D39" s="1400">
        <v>21600</v>
      </c>
    </row>
    <row r="40" spans="1:4">
      <c r="B40" t="s">
        <v>124</v>
      </c>
      <c r="C40" t="s">
        <v>96</v>
      </c>
      <c r="D40" s="1400">
        <v>1728</v>
      </c>
    </row>
    <row r="41" spans="1:4">
      <c r="A41" t="s">
        <v>204</v>
      </c>
      <c r="B41" t="s">
        <v>78</v>
      </c>
      <c r="C41" t="s">
        <v>96</v>
      </c>
      <c r="D41" s="1400">
        <v>4680</v>
      </c>
    </row>
    <row r="42" spans="1:4">
      <c r="B42" t="s">
        <v>356</v>
      </c>
      <c r="C42" t="s">
        <v>96</v>
      </c>
      <c r="D42" s="1400">
        <v>9360</v>
      </c>
    </row>
    <row r="43" spans="1:4">
      <c r="A43" t="s">
        <v>4487</v>
      </c>
      <c r="B43" t="s">
        <v>105</v>
      </c>
      <c r="C43" t="s">
        <v>96</v>
      </c>
      <c r="D43" s="1400">
        <v>3600</v>
      </c>
    </row>
    <row r="44" spans="1:4">
      <c r="B44" t="s">
        <v>124</v>
      </c>
      <c r="C44" t="s">
        <v>96</v>
      </c>
      <c r="D44" s="1400">
        <v>2880</v>
      </c>
    </row>
    <row r="45" spans="1:4">
      <c r="A45" t="s">
        <v>4520</v>
      </c>
      <c r="B45" t="s">
        <v>105</v>
      </c>
      <c r="C45" t="s">
        <v>96</v>
      </c>
      <c r="D45" s="1400">
        <v>4320</v>
      </c>
    </row>
    <row r="46" spans="1:4">
      <c r="A46" t="s">
        <v>2134</v>
      </c>
      <c r="B46" t="s">
        <v>456</v>
      </c>
      <c r="C46" t="s">
        <v>96</v>
      </c>
      <c r="D46" s="1400">
        <v>5544</v>
      </c>
    </row>
    <row r="47" spans="1:4">
      <c r="B47" t="s">
        <v>78</v>
      </c>
      <c r="C47" t="s">
        <v>96</v>
      </c>
      <c r="D47" s="1400">
        <v>3960</v>
      </c>
    </row>
    <row r="48" spans="1:4">
      <c r="B48" t="s">
        <v>314</v>
      </c>
      <c r="C48" t="s">
        <v>96</v>
      </c>
      <c r="D48" s="1400">
        <v>10296</v>
      </c>
    </row>
    <row r="49" spans="1:4">
      <c r="B49" t="s">
        <v>1561</v>
      </c>
      <c r="C49" t="s">
        <v>96</v>
      </c>
      <c r="D49" s="1400">
        <v>2376</v>
      </c>
    </row>
    <row r="50" spans="1:4">
      <c r="B50" t="s">
        <v>105</v>
      </c>
      <c r="C50" t="s">
        <v>96</v>
      </c>
      <c r="D50" s="1400">
        <v>5544</v>
      </c>
    </row>
    <row r="51" spans="1:4">
      <c r="B51" t="s">
        <v>124</v>
      </c>
      <c r="C51" t="s">
        <v>96</v>
      </c>
      <c r="D51" s="1400">
        <v>1584</v>
      </c>
    </row>
    <row r="52" spans="1:4">
      <c r="A52" t="s">
        <v>6235</v>
      </c>
      <c r="B52" t="s">
        <v>68</v>
      </c>
      <c r="C52" t="s">
        <v>96</v>
      </c>
      <c r="D52" s="1400">
        <v>2880</v>
      </c>
    </row>
    <row r="53" spans="1:4">
      <c r="A53" t="s">
        <v>9763</v>
      </c>
      <c r="D53" s="1400">
        <v>303156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984375" defaultRowHeight="13"/>
  <cols>
    <col min="1" max="1" width="10.09765625" customWidth="1"/>
    <col min="2" max="2" width="25.8984375" customWidth="1"/>
    <col min="3" max="3" width="55.3984375" customWidth="1"/>
    <col min="4" max="8" width="17.59765625" customWidth="1"/>
  </cols>
  <sheetData>
    <row r="1" spans="1:8" ht="56">
      <c r="A1" s="227" t="s">
        <v>10556</v>
      </c>
      <c r="B1" s="227" t="s">
        <v>10319</v>
      </c>
      <c r="C1" s="227" t="s">
        <v>10557</v>
      </c>
      <c r="D1" s="1015" t="s">
        <v>10558</v>
      </c>
      <c r="E1" s="1015" t="s">
        <v>10559</v>
      </c>
      <c r="F1" s="1015" t="s">
        <v>10560</v>
      </c>
      <c r="G1" s="1015" t="s">
        <v>10561</v>
      </c>
      <c r="H1" s="1015" t="s">
        <v>10562</v>
      </c>
    </row>
    <row r="2" spans="1:8" s="226" customFormat="1" ht="14">
      <c r="A2" s="1016">
        <v>0</v>
      </c>
      <c r="B2" s="1017" t="s">
        <v>10563</v>
      </c>
      <c r="C2" s="1018" t="s">
        <v>10564</v>
      </c>
      <c r="D2" s="1019" t="s">
        <v>9667</v>
      </c>
      <c r="E2" s="1019" t="s">
        <v>9667</v>
      </c>
      <c r="F2" s="1016" t="s">
        <v>9667</v>
      </c>
      <c r="G2" s="1016" t="s">
        <v>840</v>
      </c>
      <c r="H2" s="1019" t="s">
        <v>9667</v>
      </c>
    </row>
    <row r="3" spans="1:8" s="226" customFormat="1" ht="14">
      <c r="A3" s="1016">
        <v>1</v>
      </c>
      <c r="B3" s="1017" t="s">
        <v>10565</v>
      </c>
      <c r="C3" s="1018" t="s">
        <v>10566</v>
      </c>
      <c r="D3" s="1016" t="s">
        <v>840</v>
      </c>
      <c r="E3" s="1019" t="s">
        <v>9667</v>
      </c>
      <c r="F3" s="1016" t="s">
        <v>9667</v>
      </c>
      <c r="G3" s="1016" t="s">
        <v>840</v>
      </c>
      <c r="H3" s="1019" t="s">
        <v>9667</v>
      </c>
    </row>
    <row r="4" spans="1:8" s="226" customFormat="1" ht="26">
      <c r="A4" s="1016">
        <v>2</v>
      </c>
      <c r="B4" s="1017" t="s">
        <v>10567</v>
      </c>
      <c r="C4" s="1018" t="s">
        <v>10568</v>
      </c>
      <c r="D4" s="1016" t="s">
        <v>840</v>
      </c>
      <c r="E4" s="1019" t="s">
        <v>9667</v>
      </c>
      <c r="F4" s="1019" t="s">
        <v>840</v>
      </c>
      <c r="G4" s="1016" t="s">
        <v>840</v>
      </c>
      <c r="H4" s="1016" t="s">
        <v>840</v>
      </c>
    </row>
    <row r="5" spans="1:8" s="226" customFormat="1" ht="39">
      <c r="A5" s="1016">
        <v>3</v>
      </c>
      <c r="B5" s="1017" t="s">
        <v>10569</v>
      </c>
      <c r="C5" s="1018" t="s">
        <v>10570</v>
      </c>
      <c r="D5" s="1016" t="s">
        <v>840</v>
      </c>
      <c r="E5" s="1019" t="s">
        <v>9667</v>
      </c>
      <c r="F5" s="1019" t="s">
        <v>840</v>
      </c>
      <c r="G5" s="1019" t="s">
        <v>9667</v>
      </c>
      <c r="H5" s="1019" t="s">
        <v>9667</v>
      </c>
    </row>
    <row r="6" spans="1:8" s="226" customFormat="1" ht="52">
      <c r="A6" s="1016">
        <v>4</v>
      </c>
      <c r="B6" s="1017" t="s">
        <v>10571</v>
      </c>
      <c r="C6" s="1018" t="s">
        <v>10572</v>
      </c>
      <c r="D6" s="1016" t="s">
        <v>840</v>
      </c>
      <c r="E6" s="1016" t="s">
        <v>840</v>
      </c>
      <c r="F6" s="1016" t="s">
        <v>9667</v>
      </c>
      <c r="G6" s="1016" t="s">
        <v>840</v>
      </c>
      <c r="H6" s="1016" t="s">
        <v>840</v>
      </c>
    </row>
    <row r="7" spans="1:8" s="226" customFormat="1" ht="36" customHeight="1">
      <c r="A7" s="1016">
        <v>5</v>
      </c>
      <c r="B7" s="1017" t="s">
        <v>10573</v>
      </c>
      <c r="C7" s="1018" t="s">
        <v>10574</v>
      </c>
      <c r="D7" s="1016" t="s">
        <v>840</v>
      </c>
      <c r="E7" s="1016" t="s">
        <v>840</v>
      </c>
      <c r="F7" s="1019" t="s">
        <v>840</v>
      </c>
      <c r="G7" s="1019" t="s">
        <v>9667</v>
      </c>
      <c r="H7" s="1019" t="s">
        <v>9667</v>
      </c>
    </row>
    <row r="8" spans="1:8" s="226" customFormat="1" ht="33.75" customHeight="1">
      <c r="A8" s="1016">
        <v>6</v>
      </c>
      <c r="B8" s="1017" t="s">
        <v>10575</v>
      </c>
      <c r="C8" s="1018" t="s">
        <v>10576</v>
      </c>
      <c r="D8" s="1016" t="s">
        <v>840</v>
      </c>
      <c r="E8" s="1016" t="s">
        <v>840</v>
      </c>
      <c r="F8" s="1019" t="s">
        <v>840</v>
      </c>
      <c r="G8" s="1019" t="s">
        <v>9667</v>
      </c>
      <c r="H8" s="1016" t="s">
        <v>840</v>
      </c>
    </row>
    <row r="9" spans="1:8" ht="27.75" customHeight="1"/>
    <row r="10" spans="1:8">
      <c r="A10" s="302" t="s">
        <v>10577</v>
      </c>
      <c r="B10" s="302"/>
      <c r="C10" s="302"/>
    </row>
    <row r="11" spans="1:8">
      <c r="A11" s="303" t="s">
        <v>10578</v>
      </c>
      <c r="B11" s="303"/>
      <c r="C11" s="303"/>
    </row>
    <row r="12" spans="1:8">
      <c r="A12" s="304" t="s">
        <v>10579</v>
      </c>
      <c r="B12" s="304"/>
      <c r="C12" s="304"/>
    </row>
    <row r="13" spans="1:8">
      <c r="A13" s="305" t="s">
        <v>10580</v>
      </c>
      <c r="B13" s="305"/>
      <c r="C13" s="305"/>
    </row>
    <row r="14" spans="1:8">
      <c r="A14" s="306" t="s">
        <v>10581</v>
      </c>
      <c r="B14" s="306"/>
      <c r="C14" s="306"/>
    </row>
    <row r="15" spans="1:8">
      <c r="A15" s="307" t="s">
        <v>10582</v>
      </c>
      <c r="B15" s="307"/>
      <c r="C15" s="307"/>
    </row>
    <row r="18" spans="2:2">
      <c r="B18" s="1017"/>
    </row>
    <row r="19" spans="2:2">
      <c r="B19" s="1017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53"/>
  <sheetViews>
    <sheetView topLeftCell="A127" zoomScale="85" zoomScaleNormal="85" workbookViewId="0">
      <selection activeCell="D148" sqref="D148"/>
    </sheetView>
  </sheetViews>
  <sheetFormatPr defaultColWidth="9"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89843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09765625" customWidth="1"/>
    <col min="16" max="23" width="15.09765625" customWidth="1"/>
    <col min="24" max="24" width="9" bestFit="1" customWidth="1"/>
    <col min="25" max="25" width="12.89843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898" customFormat="1" ht="28">
      <c r="A1" s="897" t="s">
        <v>15</v>
      </c>
      <c r="B1" s="897" t="s">
        <v>10583</v>
      </c>
      <c r="C1" s="897" t="s">
        <v>10584</v>
      </c>
      <c r="D1" s="897" t="s">
        <v>17</v>
      </c>
      <c r="E1" s="897" t="s">
        <v>58</v>
      </c>
      <c r="F1" s="897" t="s">
        <v>10585</v>
      </c>
      <c r="G1" s="897" t="s">
        <v>10586</v>
      </c>
      <c r="H1" s="897" t="s">
        <v>10587</v>
      </c>
      <c r="I1" s="897" t="s">
        <v>10588</v>
      </c>
    </row>
    <row r="2" spans="1:9" ht="14">
      <c r="A2" s="899" t="s">
        <v>943</v>
      </c>
      <c r="B2" s="899" t="s">
        <v>886</v>
      </c>
      <c r="C2" s="899" t="s">
        <v>967</v>
      </c>
      <c r="D2" t="s">
        <v>73</v>
      </c>
      <c r="E2" s="901" t="s">
        <v>108</v>
      </c>
      <c r="F2" s="901" t="s">
        <v>10589</v>
      </c>
      <c r="G2">
        <v>36</v>
      </c>
      <c r="H2">
        <v>720</v>
      </c>
      <c r="I2" t="s">
        <v>10590</v>
      </c>
    </row>
    <row r="3" spans="1:9" ht="14">
      <c r="A3" s="899" t="s">
        <v>102</v>
      </c>
      <c r="B3" s="899" t="s">
        <v>103</v>
      </c>
      <c r="C3" s="899" t="s">
        <v>967</v>
      </c>
      <c r="D3" t="s">
        <v>73</v>
      </c>
      <c r="E3" s="901" t="s">
        <v>108</v>
      </c>
      <c r="F3" s="901" t="s">
        <v>10589</v>
      </c>
      <c r="G3">
        <v>36</v>
      </c>
      <c r="H3">
        <v>720</v>
      </c>
      <c r="I3" t="s">
        <v>10590</v>
      </c>
    </row>
    <row r="4" spans="1:9" ht="14">
      <c r="A4" s="899" t="s">
        <v>1002</v>
      </c>
      <c r="B4" s="899" t="s">
        <v>330</v>
      </c>
      <c r="C4" s="899" t="s">
        <v>992</v>
      </c>
      <c r="D4" t="s">
        <v>73</v>
      </c>
      <c r="E4" s="901" t="s">
        <v>128</v>
      </c>
      <c r="F4" s="901" t="s">
        <v>10591</v>
      </c>
      <c r="G4">
        <v>36</v>
      </c>
      <c r="H4">
        <v>720</v>
      </c>
      <c r="I4" t="s">
        <v>10592</v>
      </c>
    </row>
    <row r="5" spans="1:9" ht="14">
      <c r="A5" s="899" t="s">
        <v>2765</v>
      </c>
      <c r="B5" s="899" t="s">
        <v>2766</v>
      </c>
      <c r="C5" s="899" t="s">
        <v>992</v>
      </c>
      <c r="D5" t="s">
        <v>73</v>
      </c>
      <c r="E5" s="901" t="s">
        <v>108</v>
      </c>
      <c r="F5" s="901" t="s">
        <v>10591</v>
      </c>
      <c r="G5">
        <v>36</v>
      </c>
      <c r="H5">
        <v>936</v>
      </c>
      <c r="I5" t="s">
        <v>10593</v>
      </c>
    </row>
    <row r="6" spans="1:9" ht="14">
      <c r="A6" s="899" t="s">
        <v>1355</v>
      </c>
      <c r="B6" s="899" t="s">
        <v>1348</v>
      </c>
      <c r="C6" s="899" t="s">
        <v>992</v>
      </c>
      <c r="D6" t="s">
        <v>73</v>
      </c>
      <c r="E6" s="901" t="s">
        <v>128</v>
      </c>
      <c r="F6" s="901" t="s">
        <v>10591</v>
      </c>
      <c r="G6">
        <v>33</v>
      </c>
      <c r="H6">
        <v>594</v>
      </c>
    </row>
    <row r="7" spans="1:9" ht="14">
      <c r="A7" s="899" t="s">
        <v>2656</v>
      </c>
      <c r="B7" s="899" t="s">
        <v>10594</v>
      </c>
      <c r="C7" s="899" t="s">
        <v>992</v>
      </c>
      <c r="D7" t="s">
        <v>73</v>
      </c>
      <c r="E7" s="901" t="s">
        <v>108</v>
      </c>
      <c r="F7" s="901" t="s">
        <v>10591</v>
      </c>
      <c r="G7">
        <v>33</v>
      </c>
      <c r="H7">
        <v>660</v>
      </c>
      <c r="I7" t="s">
        <v>10595</v>
      </c>
    </row>
    <row r="8" spans="1:9" ht="14">
      <c r="A8" s="899" t="s">
        <v>2663</v>
      </c>
      <c r="B8" s="899" t="s">
        <v>10596</v>
      </c>
      <c r="C8" s="899" t="s">
        <v>992</v>
      </c>
      <c r="D8" t="s">
        <v>73</v>
      </c>
      <c r="E8" s="901" t="s">
        <v>108</v>
      </c>
      <c r="F8" s="901" t="s">
        <v>10591</v>
      </c>
      <c r="G8">
        <v>33</v>
      </c>
      <c r="H8">
        <v>660</v>
      </c>
      <c r="I8" t="s">
        <v>10595</v>
      </c>
    </row>
    <row r="9" spans="1:9" ht="14">
      <c r="A9" s="899" t="s">
        <v>1347</v>
      </c>
      <c r="B9" s="899" t="s">
        <v>1348</v>
      </c>
      <c r="C9" s="899" t="s">
        <v>992</v>
      </c>
      <c r="D9" t="s">
        <v>73</v>
      </c>
      <c r="E9" s="901" t="s">
        <v>128</v>
      </c>
      <c r="F9" s="901" t="s">
        <v>10591</v>
      </c>
      <c r="G9">
        <v>33</v>
      </c>
      <c r="H9">
        <v>594</v>
      </c>
      <c r="I9" t="s">
        <v>10592</v>
      </c>
    </row>
    <row r="10" spans="1:9" ht="14">
      <c r="A10" s="899" t="s">
        <v>2702</v>
      </c>
      <c r="B10" s="899" t="s">
        <v>571</v>
      </c>
      <c r="C10" s="899" t="s">
        <v>967</v>
      </c>
      <c r="D10" t="s">
        <v>73</v>
      </c>
      <c r="E10" s="901" t="s">
        <v>85</v>
      </c>
      <c r="F10" s="901" t="s">
        <v>10589</v>
      </c>
      <c r="G10">
        <v>36</v>
      </c>
      <c r="H10">
        <v>936</v>
      </c>
    </row>
    <row r="11" spans="1:9" ht="14">
      <c r="A11" s="899" t="s">
        <v>3125</v>
      </c>
      <c r="B11" s="899" t="s">
        <v>1235</v>
      </c>
      <c r="C11" s="899" t="s">
        <v>967</v>
      </c>
      <c r="D11" t="s">
        <v>73</v>
      </c>
      <c r="E11" s="901" t="s">
        <v>85</v>
      </c>
      <c r="F11" s="901" t="s">
        <v>10589</v>
      </c>
      <c r="G11">
        <v>36</v>
      </c>
      <c r="H11">
        <v>936</v>
      </c>
      <c r="I11" t="s">
        <v>10597</v>
      </c>
    </row>
    <row r="12" spans="1:9" ht="14">
      <c r="A12" s="899" t="s">
        <v>1905</v>
      </c>
      <c r="B12" s="899" t="s">
        <v>1906</v>
      </c>
      <c r="C12" s="899" t="s">
        <v>992</v>
      </c>
      <c r="D12" t="s">
        <v>73</v>
      </c>
      <c r="E12" s="901" t="s">
        <v>108</v>
      </c>
      <c r="F12" s="901" t="s">
        <v>10591</v>
      </c>
      <c r="G12">
        <v>33</v>
      </c>
      <c r="H12">
        <v>660</v>
      </c>
      <c r="I12" t="s">
        <v>10595</v>
      </c>
    </row>
    <row r="13" spans="1:9" ht="14">
      <c r="A13" s="899" t="s">
        <v>841</v>
      </c>
      <c r="B13" s="899" t="s">
        <v>842</v>
      </c>
      <c r="C13" s="899" t="s">
        <v>992</v>
      </c>
      <c r="D13" t="s">
        <v>73</v>
      </c>
      <c r="E13" s="901" t="s">
        <v>108</v>
      </c>
      <c r="F13" s="901" t="s">
        <v>10589</v>
      </c>
      <c r="G13">
        <v>36</v>
      </c>
      <c r="H13">
        <v>792</v>
      </c>
      <c r="I13" t="s">
        <v>10598</v>
      </c>
    </row>
    <row r="14" spans="1:9" ht="14">
      <c r="A14" s="899" t="s">
        <v>405</v>
      </c>
      <c r="B14" s="899" t="s">
        <v>406</v>
      </c>
      <c r="C14" s="899" t="s">
        <v>992</v>
      </c>
      <c r="D14" t="s">
        <v>73</v>
      </c>
      <c r="E14" s="901" t="s">
        <v>108</v>
      </c>
      <c r="F14" s="901" t="s">
        <v>10589</v>
      </c>
      <c r="G14">
        <v>36</v>
      </c>
      <c r="H14">
        <v>792</v>
      </c>
    </row>
    <row r="15" spans="1:9" ht="14">
      <c r="A15" s="899" t="s">
        <v>453</v>
      </c>
      <c r="B15" s="899" t="s">
        <v>454</v>
      </c>
      <c r="C15" s="899" t="s">
        <v>967</v>
      </c>
      <c r="D15" t="s">
        <v>73</v>
      </c>
      <c r="E15" s="901" t="s">
        <v>108</v>
      </c>
      <c r="F15" s="901" t="s">
        <v>10589</v>
      </c>
      <c r="G15">
        <v>36</v>
      </c>
      <c r="H15">
        <v>864</v>
      </c>
      <c r="I15" t="s">
        <v>10599</v>
      </c>
    </row>
    <row r="16" spans="1:9" ht="14">
      <c r="A16" s="899" t="s">
        <v>3997</v>
      </c>
      <c r="B16" s="899" t="s">
        <v>1105</v>
      </c>
      <c r="C16" s="899" t="s">
        <v>967</v>
      </c>
      <c r="D16" t="s">
        <v>73</v>
      </c>
      <c r="E16" s="901" t="s">
        <v>108</v>
      </c>
      <c r="F16" s="901" t="s">
        <v>10589</v>
      </c>
      <c r="G16">
        <v>36</v>
      </c>
      <c r="H16">
        <v>864</v>
      </c>
      <c r="I16" t="s">
        <v>10599</v>
      </c>
    </row>
    <row r="17" spans="1:9" ht="14">
      <c r="A17" s="899" t="s">
        <v>71</v>
      </c>
      <c r="B17" s="899" t="s">
        <v>72</v>
      </c>
      <c r="C17" s="899" t="s">
        <v>967</v>
      </c>
      <c r="D17" t="s">
        <v>73</v>
      </c>
      <c r="E17" s="901" t="s">
        <v>85</v>
      </c>
      <c r="F17" s="901" t="s">
        <v>10589</v>
      </c>
      <c r="G17">
        <v>36</v>
      </c>
      <c r="H17">
        <v>864</v>
      </c>
      <c r="I17" t="s">
        <v>10597</v>
      </c>
    </row>
    <row r="18" spans="1:9" ht="14">
      <c r="A18" s="899" t="s">
        <v>285</v>
      </c>
      <c r="B18" s="899" t="s">
        <v>286</v>
      </c>
      <c r="C18" s="899" t="s">
        <v>992</v>
      </c>
      <c r="D18" t="s">
        <v>73</v>
      </c>
      <c r="E18" s="901" t="s">
        <v>85</v>
      </c>
      <c r="F18" s="901" t="s">
        <v>10589</v>
      </c>
      <c r="G18">
        <v>37</v>
      </c>
      <c r="H18">
        <v>962</v>
      </c>
      <c r="I18" t="s">
        <v>10600</v>
      </c>
    </row>
    <row r="19" spans="1:9" ht="14">
      <c r="A19" s="899" t="s">
        <v>1151</v>
      </c>
      <c r="B19" s="899" t="s">
        <v>421</v>
      </c>
      <c r="C19" s="899" t="s">
        <v>967</v>
      </c>
      <c r="D19" t="s">
        <v>73</v>
      </c>
      <c r="E19" s="901" t="s">
        <v>85</v>
      </c>
      <c r="F19" s="901" t="s">
        <v>10589</v>
      </c>
      <c r="G19">
        <v>36</v>
      </c>
      <c r="H19">
        <v>864</v>
      </c>
      <c r="I19" t="s">
        <v>10597</v>
      </c>
    </row>
    <row r="20" spans="1:9" ht="14">
      <c r="A20" s="899" t="s">
        <v>965</v>
      </c>
      <c r="B20" s="899" t="s">
        <v>966</v>
      </c>
      <c r="C20" s="899" t="s">
        <v>967</v>
      </c>
      <c r="D20" t="s">
        <v>73</v>
      </c>
      <c r="E20" s="901" t="s">
        <v>85</v>
      </c>
      <c r="F20" s="901" t="s">
        <v>10589</v>
      </c>
      <c r="G20">
        <v>36</v>
      </c>
      <c r="H20">
        <v>936</v>
      </c>
      <c r="I20" t="s">
        <v>10597</v>
      </c>
    </row>
    <row r="21" spans="1:9" ht="14">
      <c r="A21" s="899" t="s">
        <v>195</v>
      </c>
      <c r="B21" s="899" t="s">
        <v>196</v>
      </c>
      <c r="C21" s="899" t="s">
        <v>967</v>
      </c>
      <c r="D21" t="s">
        <v>73</v>
      </c>
      <c r="E21" s="901" t="s">
        <v>85</v>
      </c>
      <c r="F21" s="901" t="s">
        <v>10589</v>
      </c>
      <c r="G21">
        <v>36</v>
      </c>
      <c r="H21">
        <v>936</v>
      </c>
      <c r="I21" t="s">
        <v>10597</v>
      </c>
    </row>
    <row r="22" spans="1:9" ht="14">
      <c r="A22" s="899" t="s">
        <v>91</v>
      </c>
      <c r="B22" s="899" t="s">
        <v>10601</v>
      </c>
      <c r="C22" s="899" t="s">
        <v>967</v>
      </c>
      <c r="D22" t="s">
        <v>73</v>
      </c>
      <c r="E22" s="901" t="s">
        <v>94</v>
      </c>
      <c r="F22" s="901" t="s">
        <v>10589</v>
      </c>
      <c r="G22">
        <v>36</v>
      </c>
      <c r="H22">
        <v>936</v>
      </c>
      <c r="I22" t="s">
        <v>10602</v>
      </c>
    </row>
    <row r="23" spans="1:9" ht="14">
      <c r="A23" s="899" t="s">
        <v>860</v>
      </c>
      <c r="B23" s="899" t="s">
        <v>10603</v>
      </c>
      <c r="C23" s="899" t="s">
        <v>967</v>
      </c>
      <c r="D23" t="s">
        <v>73</v>
      </c>
      <c r="E23" s="901" t="s">
        <v>94</v>
      </c>
      <c r="F23" s="901" t="s">
        <v>10589</v>
      </c>
      <c r="G23">
        <v>36</v>
      </c>
      <c r="H23">
        <v>936</v>
      </c>
      <c r="I23" t="s">
        <v>10602</v>
      </c>
    </row>
    <row r="24" spans="1:9" ht="14">
      <c r="A24" s="899" t="s">
        <v>3593</v>
      </c>
      <c r="B24" s="899" t="s">
        <v>3594</v>
      </c>
      <c r="C24" s="899" t="s">
        <v>992</v>
      </c>
      <c r="D24" t="s">
        <v>73</v>
      </c>
      <c r="E24" s="901" t="s">
        <v>128</v>
      </c>
      <c r="F24" s="901" t="s">
        <v>10591</v>
      </c>
      <c r="G24">
        <v>33</v>
      </c>
      <c r="H24">
        <v>594</v>
      </c>
      <c r="I24" t="s">
        <v>10592</v>
      </c>
    </row>
    <row r="25" spans="1:9" ht="14">
      <c r="A25" s="899" t="s">
        <v>2822</v>
      </c>
      <c r="B25" s="899" t="s">
        <v>2823</v>
      </c>
      <c r="C25" s="899" t="s">
        <v>967</v>
      </c>
      <c r="D25" t="s">
        <v>73</v>
      </c>
      <c r="E25" s="901" t="s">
        <v>85</v>
      </c>
      <c r="F25" s="901" t="s">
        <v>10589</v>
      </c>
      <c r="G25">
        <v>37</v>
      </c>
      <c r="H25">
        <v>962</v>
      </c>
      <c r="I25" t="s">
        <v>10600</v>
      </c>
    </row>
    <row r="26" spans="1:9" ht="14">
      <c r="A26" s="899" t="s">
        <v>3488</v>
      </c>
      <c r="B26" s="899" t="s">
        <v>3489</v>
      </c>
      <c r="C26" s="899" t="s">
        <v>967</v>
      </c>
      <c r="D26" t="s">
        <v>73</v>
      </c>
      <c r="E26" s="901" t="s">
        <v>85</v>
      </c>
      <c r="F26" s="901" t="s">
        <v>10589</v>
      </c>
      <c r="G26">
        <v>37</v>
      </c>
      <c r="H26">
        <v>962</v>
      </c>
      <c r="I26" t="s">
        <v>10604</v>
      </c>
    </row>
    <row r="27" spans="1:9" ht="14">
      <c r="A27" s="899" t="s">
        <v>3452</v>
      </c>
      <c r="B27" s="899" t="s">
        <v>3453</v>
      </c>
      <c r="C27" s="899" t="s">
        <v>967</v>
      </c>
      <c r="D27" t="s">
        <v>73</v>
      </c>
      <c r="E27" s="901" t="s">
        <v>85</v>
      </c>
      <c r="F27" s="901" t="s">
        <v>10589</v>
      </c>
      <c r="G27">
        <v>37</v>
      </c>
      <c r="H27">
        <v>962</v>
      </c>
      <c r="I27" t="s">
        <v>10604</v>
      </c>
    </row>
    <row r="28" spans="1:9" ht="14">
      <c r="A28" s="899" t="s">
        <v>218</v>
      </c>
      <c r="B28" s="899" t="s">
        <v>10605</v>
      </c>
      <c r="C28" s="899" t="s">
        <v>992</v>
      </c>
      <c r="D28" t="s">
        <v>73</v>
      </c>
      <c r="E28" s="901" t="s">
        <v>128</v>
      </c>
      <c r="F28" s="901" t="s">
        <v>10591</v>
      </c>
      <c r="G28">
        <v>36</v>
      </c>
      <c r="H28">
        <v>720</v>
      </c>
      <c r="I28" t="s">
        <v>10592</v>
      </c>
    </row>
    <row r="29" spans="1:9" ht="14">
      <c r="A29" s="899" t="s">
        <v>1185</v>
      </c>
      <c r="B29" s="899" t="s">
        <v>1186</v>
      </c>
      <c r="C29" s="899" t="s">
        <v>1187</v>
      </c>
      <c r="D29" t="s">
        <v>73</v>
      </c>
      <c r="E29" s="901" t="s">
        <v>108</v>
      </c>
      <c r="F29" s="901" t="s">
        <v>10591</v>
      </c>
      <c r="G29">
        <v>36</v>
      </c>
      <c r="H29">
        <v>720</v>
      </c>
      <c r="I29" t="s">
        <v>10606</v>
      </c>
    </row>
    <row r="30" spans="1:9" ht="14">
      <c r="A30" s="899" t="s">
        <v>714</v>
      </c>
      <c r="B30" s="899" t="s">
        <v>1173</v>
      </c>
      <c r="C30" s="899" t="s">
        <v>1166</v>
      </c>
      <c r="D30" t="s">
        <v>73</v>
      </c>
      <c r="E30" s="901" t="s">
        <v>108</v>
      </c>
      <c r="F30" s="901" t="s">
        <v>10591</v>
      </c>
      <c r="G30">
        <v>36</v>
      </c>
      <c r="H30">
        <v>576</v>
      </c>
      <c r="I30" t="s">
        <v>10607</v>
      </c>
    </row>
    <row r="31" spans="1:9" ht="14">
      <c r="A31" s="899" t="s">
        <v>1977</v>
      </c>
      <c r="B31" s="899" t="s">
        <v>1978</v>
      </c>
      <c r="C31" s="899" t="s">
        <v>992</v>
      </c>
      <c r="D31" t="s">
        <v>73</v>
      </c>
      <c r="E31" s="901" t="s">
        <v>108</v>
      </c>
      <c r="F31" s="901" t="s">
        <v>10591</v>
      </c>
      <c r="G31">
        <v>33</v>
      </c>
      <c r="H31">
        <v>660</v>
      </c>
      <c r="I31" t="s">
        <v>10595</v>
      </c>
    </row>
    <row r="32" spans="1:9" ht="14">
      <c r="A32" s="899" t="s">
        <v>329</v>
      </c>
      <c r="B32" s="899" t="s">
        <v>330</v>
      </c>
      <c r="C32" s="899" t="s">
        <v>992</v>
      </c>
      <c r="D32" t="s">
        <v>331</v>
      </c>
      <c r="E32" s="901" t="s">
        <v>128</v>
      </c>
      <c r="F32" s="901" t="s">
        <v>10591</v>
      </c>
      <c r="G32">
        <v>36</v>
      </c>
      <c r="H32">
        <v>720</v>
      </c>
      <c r="I32" t="s">
        <v>10592</v>
      </c>
    </row>
    <row r="33" spans="1:9" ht="14">
      <c r="A33" s="899" t="s">
        <v>585</v>
      </c>
      <c r="B33" s="899" t="s">
        <v>103</v>
      </c>
      <c r="C33" s="899" t="s">
        <v>992</v>
      </c>
      <c r="D33" t="s">
        <v>331</v>
      </c>
      <c r="E33" s="901" t="s">
        <v>128</v>
      </c>
      <c r="F33" s="901" t="s">
        <v>10591</v>
      </c>
      <c r="G33">
        <v>36</v>
      </c>
      <c r="H33">
        <v>720</v>
      </c>
      <c r="I33" t="s">
        <v>10592</v>
      </c>
    </row>
    <row r="34" spans="1:9" ht="14">
      <c r="A34" s="899" t="s">
        <v>462</v>
      </c>
      <c r="B34" s="899" t="s">
        <v>1229</v>
      </c>
      <c r="C34" s="899" t="s">
        <v>1187</v>
      </c>
      <c r="D34" t="s">
        <v>73</v>
      </c>
      <c r="E34" s="901" t="s">
        <v>108</v>
      </c>
      <c r="F34" s="901" t="s">
        <v>10591</v>
      </c>
      <c r="G34">
        <v>33</v>
      </c>
      <c r="H34">
        <v>660</v>
      </c>
      <c r="I34" t="s">
        <v>10606</v>
      </c>
    </row>
    <row r="35" spans="1:9" ht="14">
      <c r="A35" s="899" t="s">
        <v>171</v>
      </c>
      <c r="B35" s="899" t="s">
        <v>1731</v>
      </c>
      <c r="C35" s="899" t="s">
        <v>992</v>
      </c>
      <c r="D35" t="s">
        <v>73</v>
      </c>
      <c r="E35" s="901" t="s">
        <v>108</v>
      </c>
      <c r="F35" s="901" t="s">
        <v>10591</v>
      </c>
      <c r="G35">
        <v>33</v>
      </c>
      <c r="H35">
        <v>660</v>
      </c>
      <c r="I35" t="s">
        <v>10595</v>
      </c>
    </row>
    <row r="36" spans="1:9" ht="14">
      <c r="A36" s="899" t="s">
        <v>551</v>
      </c>
      <c r="B36" s="899" t="s">
        <v>2151</v>
      </c>
      <c r="C36" s="899" t="s">
        <v>2136</v>
      </c>
      <c r="D36" t="s">
        <v>73</v>
      </c>
      <c r="E36" s="901" t="s">
        <v>85</v>
      </c>
      <c r="F36" s="901" t="s">
        <v>10589</v>
      </c>
      <c r="G36">
        <v>36</v>
      </c>
      <c r="H36">
        <v>792</v>
      </c>
      <c r="I36" t="s">
        <v>10608</v>
      </c>
    </row>
    <row r="37" spans="1:9" ht="14">
      <c r="A37" s="899" t="s">
        <v>2744</v>
      </c>
      <c r="B37" s="899" t="s">
        <v>10609</v>
      </c>
      <c r="C37" s="899" t="s">
        <v>2136</v>
      </c>
      <c r="D37" t="s">
        <v>73</v>
      </c>
      <c r="E37" s="901" t="s">
        <v>85</v>
      </c>
      <c r="F37" s="901" t="s">
        <v>10589</v>
      </c>
      <c r="G37">
        <v>36</v>
      </c>
      <c r="H37">
        <v>792</v>
      </c>
      <c r="I37" t="s">
        <v>10608</v>
      </c>
    </row>
    <row r="38" spans="1:9" ht="14">
      <c r="A38" s="899" t="s">
        <v>474</v>
      </c>
      <c r="B38" s="899" t="s">
        <v>10610</v>
      </c>
      <c r="C38" s="899" t="s">
        <v>967</v>
      </c>
      <c r="D38" t="s">
        <v>73</v>
      </c>
      <c r="E38" s="901" t="s">
        <v>85</v>
      </c>
      <c r="F38" s="901" t="s">
        <v>10589</v>
      </c>
      <c r="G38">
        <v>36</v>
      </c>
      <c r="H38">
        <v>864</v>
      </c>
      <c r="I38" t="s">
        <v>10611</v>
      </c>
    </row>
    <row r="39" spans="1:9" ht="14">
      <c r="A39" s="899" t="s">
        <v>529</v>
      </c>
      <c r="B39" s="899" t="s">
        <v>10612</v>
      </c>
      <c r="C39" s="899" t="s">
        <v>967</v>
      </c>
      <c r="D39" t="s">
        <v>73</v>
      </c>
      <c r="E39" s="901" t="s">
        <v>85</v>
      </c>
      <c r="F39" s="901" t="s">
        <v>10589</v>
      </c>
      <c r="G39">
        <v>36</v>
      </c>
      <c r="H39">
        <v>864</v>
      </c>
      <c r="I39" t="s">
        <v>10611</v>
      </c>
    </row>
    <row r="40" spans="1:9" ht="14">
      <c r="A40" s="899" t="s">
        <v>763</v>
      </c>
      <c r="B40" s="899" t="s">
        <v>10613</v>
      </c>
      <c r="C40" s="899" t="s">
        <v>967</v>
      </c>
      <c r="D40" t="s">
        <v>73</v>
      </c>
      <c r="E40" s="901" t="s">
        <v>85</v>
      </c>
      <c r="F40" s="901" t="s">
        <v>10589</v>
      </c>
      <c r="G40">
        <v>36</v>
      </c>
      <c r="H40">
        <v>864</v>
      </c>
      <c r="I40" t="s">
        <v>10611</v>
      </c>
    </row>
    <row r="41" spans="1:9" ht="14">
      <c r="A41" s="899" t="s">
        <v>1429</v>
      </c>
      <c r="B41" s="899" t="s">
        <v>1430</v>
      </c>
      <c r="C41" s="899" t="s">
        <v>1187</v>
      </c>
      <c r="D41" t="s">
        <v>73</v>
      </c>
      <c r="E41" s="901" t="s">
        <v>108</v>
      </c>
      <c r="F41" s="901" t="s">
        <v>10591</v>
      </c>
      <c r="G41">
        <v>36</v>
      </c>
      <c r="H41">
        <v>720</v>
      </c>
      <c r="I41" t="s">
        <v>10606</v>
      </c>
    </row>
    <row r="42" spans="1:9" ht="14">
      <c r="A42" s="899" t="s">
        <v>299</v>
      </c>
      <c r="B42" s="899" t="s">
        <v>300</v>
      </c>
      <c r="C42" s="899" t="s">
        <v>967</v>
      </c>
      <c r="D42" t="s">
        <v>73</v>
      </c>
      <c r="E42" s="901" t="s">
        <v>85</v>
      </c>
      <c r="F42" s="901" t="s">
        <v>10589</v>
      </c>
      <c r="G42">
        <v>37</v>
      </c>
      <c r="H42">
        <v>962</v>
      </c>
      <c r="I42" t="s">
        <v>10604</v>
      </c>
    </row>
    <row r="43" spans="1:9" ht="14">
      <c r="A43" s="899" t="s">
        <v>306</v>
      </c>
      <c r="B43" s="899" t="s">
        <v>307</v>
      </c>
      <c r="C43" s="899" t="s">
        <v>967</v>
      </c>
      <c r="D43" t="s">
        <v>73</v>
      </c>
      <c r="E43" s="901" t="s">
        <v>85</v>
      </c>
      <c r="F43" s="901" t="s">
        <v>10589</v>
      </c>
      <c r="G43">
        <v>37</v>
      </c>
      <c r="H43">
        <v>962</v>
      </c>
      <c r="I43" t="s">
        <v>10604</v>
      </c>
    </row>
    <row r="44" spans="1:9" ht="14">
      <c r="A44" s="899" t="s">
        <v>133</v>
      </c>
      <c r="B44" s="899" t="s">
        <v>134</v>
      </c>
      <c r="C44" s="899" t="s">
        <v>992</v>
      </c>
      <c r="D44" t="s">
        <v>73</v>
      </c>
      <c r="E44" s="901" t="s">
        <v>108</v>
      </c>
      <c r="F44" s="901" t="s">
        <v>10591</v>
      </c>
      <c r="G44">
        <v>33</v>
      </c>
      <c r="H44">
        <v>594</v>
      </c>
      <c r="I44" t="s">
        <v>10595</v>
      </c>
    </row>
    <row r="45" spans="1:9" ht="14">
      <c r="A45" s="899" t="s">
        <v>4083</v>
      </c>
      <c r="B45" s="899" t="s">
        <v>4084</v>
      </c>
      <c r="C45" s="899" t="s">
        <v>992</v>
      </c>
      <c r="D45" t="s">
        <v>73</v>
      </c>
      <c r="E45" s="901" t="s">
        <v>108</v>
      </c>
      <c r="F45" s="901" t="s">
        <v>10591</v>
      </c>
      <c r="G45">
        <v>36</v>
      </c>
      <c r="H45">
        <v>720</v>
      </c>
      <c r="I45" t="s">
        <v>10614</v>
      </c>
    </row>
    <row r="46" spans="1:9" ht="14">
      <c r="A46" s="899" t="s">
        <v>4074</v>
      </c>
      <c r="B46" s="899" t="s">
        <v>4075</v>
      </c>
      <c r="C46" s="899" t="s">
        <v>992</v>
      </c>
      <c r="D46" t="s">
        <v>73</v>
      </c>
      <c r="E46" s="901" t="s">
        <v>108</v>
      </c>
      <c r="F46" s="901" t="s">
        <v>10591</v>
      </c>
      <c r="G46">
        <v>36</v>
      </c>
      <c r="H46">
        <v>720</v>
      </c>
      <c r="I46" t="s">
        <v>10614</v>
      </c>
    </row>
    <row r="47" spans="1:9" ht="14">
      <c r="A47" s="899" t="s">
        <v>602</v>
      </c>
      <c r="B47" s="899" t="s">
        <v>603</v>
      </c>
      <c r="C47" s="899" t="s">
        <v>992</v>
      </c>
      <c r="D47" t="s">
        <v>73</v>
      </c>
      <c r="E47" s="901" t="s">
        <v>108</v>
      </c>
      <c r="F47" s="901" t="s">
        <v>10589</v>
      </c>
      <c r="G47">
        <v>37</v>
      </c>
      <c r="H47">
        <v>962</v>
      </c>
    </row>
    <row r="48" spans="1:9" ht="14">
      <c r="A48" s="899" t="s">
        <v>2929</v>
      </c>
      <c r="B48" s="899" t="s">
        <v>1300</v>
      </c>
      <c r="C48" s="899" t="s">
        <v>992</v>
      </c>
      <c r="D48" t="s">
        <v>73</v>
      </c>
      <c r="E48" s="901" t="s">
        <v>108</v>
      </c>
      <c r="F48" s="901" t="s">
        <v>10591</v>
      </c>
      <c r="G48">
        <v>33</v>
      </c>
      <c r="H48">
        <v>594</v>
      </c>
      <c r="I48" t="s">
        <v>10595</v>
      </c>
    </row>
    <row r="49" spans="1:9" ht="14">
      <c r="A49" s="899" t="s">
        <v>706</v>
      </c>
      <c r="B49" s="899" t="s">
        <v>10615</v>
      </c>
      <c r="C49" s="899" t="s">
        <v>967</v>
      </c>
      <c r="D49" t="s">
        <v>73</v>
      </c>
      <c r="E49" s="901" t="s">
        <v>85</v>
      </c>
      <c r="F49" s="901" t="s">
        <v>10589</v>
      </c>
      <c r="G49">
        <v>36</v>
      </c>
      <c r="H49">
        <v>864</v>
      </c>
      <c r="I49" t="s">
        <v>10597</v>
      </c>
    </row>
    <row r="50" spans="1:9" ht="14">
      <c r="A50" s="899" t="s">
        <v>691</v>
      </c>
      <c r="B50" s="899" t="s">
        <v>10616</v>
      </c>
      <c r="C50" s="899" t="s">
        <v>967</v>
      </c>
      <c r="D50" t="s">
        <v>73</v>
      </c>
      <c r="E50" s="901" t="s">
        <v>85</v>
      </c>
      <c r="F50" s="901" t="s">
        <v>10589</v>
      </c>
      <c r="G50">
        <v>36</v>
      </c>
      <c r="H50">
        <v>864</v>
      </c>
      <c r="I50" t="s">
        <v>10597</v>
      </c>
    </row>
    <row r="51" spans="1:9" ht="14">
      <c r="A51" s="899" t="s">
        <v>378</v>
      </c>
      <c r="B51" s="899" t="s">
        <v>10617</v>
      </c>
      <c r="C51" s="899" t="s">
        <v>992</v>
      </c>
      <c r="D51" t="s">
        <v>73</v>
      </c>
      <c r="E51" s="901" t="s">
        <v>128</v>
      </c>
      <c r="F51" s="901" t="s">
        <v>10591</v>
      </c>
      <c r="G51">
        <v>36</v>
      </c>
      <c r="H51">
        <v>720</v>
      </c>
      <c r="I51" t="s">
        <v>10592</v>
      </c>
    </row>
    <row r="52" spans="1:9" ht="14">
      <c r="A52" s="899" t="s">
        <v>118</v>
      </c>
      <c r="B52" s="899" t="s">
        <v>119</v>
      </c>
      <c r="C52" s="899" t="s">
        <v>992</v>
      </c>
      <c r="D52" t="s">
        <v>73</v>
      </c>
      <c r="E52" s="901" t="s">
        <v>128</v>
      </c>
      <c r="F52" s="901" t="s">
        <v>10591</v>
      </c>
      <c r="G52">
        <v>36</v>
      </c>
      <c r="H52">
        <v>576</v>
      </c>
      <c r="I52" t="s">
        <v>10618</v>
      </c>
    </row>
    <row r="53" spans="1:9" ht="14">
      <c r="A53" s="899" t="s">
        <v>189</v>
      </c>
      <c r="B53" s="899" t="s">
        <v>190</v>
      </c>
      <c r="C53" s="899" t="s">
        <v>967</v>
      </c>
      <c r="D53" t="s">
        <v>73</v>
      </c>
      <c r="E53" s="901" t="s">
        <v>108</v>
      </c>
      <c r="F53" s="901" t="s">
        <v>10589</v>
      </c>
      <c r="G53">
        <v>36</v>
      </c>
      <c r="H53">
        <v>864</v>
      </c>
      <c r="I53" t="s">
        <v>10599</v>
      </c>
    </row>
    <row r="54" spans="1:9" ht="14">
      <c r="A54" s="899" t="s">
        <v>560</v>
      </c>
      <c r="B54" s="899" t="s">
        <v>196</v>
      </c>
      <c r="C54" s="899" t="s">
        <v>992</v>
      </c>
      <c r="D54" t="s">
        <v>73</v>
      </c>
      <c r="E54" s="901" t="s">
        <v>94</v>
      </c>
      <c r="F54" s="901" t="s">
        <v>10589</v>
      </c>
      <c r="G54">
        <v>36</v>
      </c>
      <c r="H54">
        <v>936</v>
      </c>
      <c r="I54" t="s">
        <v>10619</v>
      </c>
    </row>
    <row r="55" spans="1:9" ht="14">
      <c r="A55" s="899" t="s">
        <v>570</v>
      </c>
      <c r="B55" s="899" t="s">
        <v>571</v>
      </c>
      <c r="C55" s="899" t="s">
        <v>992</v>
      </c>
      <c r="D55" t="s">
        <v>73</v>
      </c>
      <c r="E55" s="901" t="s">
        <v>94</v>
      </c>
      <c r="F55" s="901" t="s">
        <v>10589</v>
      </c>
      <c r="G55">
        <v>36</v>
      </c>
      <c r="H55">
        <v>936</v>
      </c>
      <c r="I55" t="s">
        <v>10619</v>
      </c>
    </row>
    <row r="56" spans="1:9" ht="14">
      <c r="A56" s="899" t="s">
        <v>1062</v>
      </c>
      <c r="B56" s="899" t="s">
        <v>1063</v>
      </c>
      <c r="C56" s="899" t="s">
        <v>967</v>
      </c>
      <c r="D56" t="s">
        <v>73</v>
      </c>
      <c r="E56" s="901" t="s">
        <v>108</v>
      </c>
      <c r="F56" s="901" t="s">
        <v>10589</v>
      </c>
      <c r="G56">
        <v>36</v>
      </c>
      <c r="H56">
        <v>864</v>
      </c>
      <c r="I56" t="s">
        <v>10599</v>
      </c>
    </row>
    <row r="57" spans="1:9" ht="14">
      <c r="A57" s="899" t="s">
        <v>204</v>
      </c>
      <c r="B57" s="899" t="s">
        <v>10620</v>
      </c>
      <c r="C57" s="899" t="s">
        <v>967</v>
      </c>
      <c r="D57" t="s">
        <v>73</v>
      </c>
      <c r="E57" s="901" t="s">
        <v>94</v>
      </c>
      <c r="F57" s="901" t="s">
        <v>10589</v>
      </c>
      <c r="G57">
        <v>36</v>
      </c>
      <c r="H57">
        <v>936</v>
      </c>
      <c r="I57" t="s">
        <v>10602</v>
      </c>
    </row>
    <row r="58" spans="1:9" ht="14">
      <c r="A58" s="899" t="s">
        <v>1043</v>
      </c>
      <c r="B58" s="899" t="s">
        <v>330</v>
      </c>
      <c r="C58" s="899" t="s">
        <v>967</v>
      </c>
      <c r="D58" t="s">
        <v>73</v>
      </c>
      <c r="E58" s="901" t="s">
        <v>108</v>
      </c>
      <c r="F58" s="901" t="s">
        <v>10589</v>
      </c>
      <c r="G58">
        <v>36</v>
      </c>
      <c r="H58">
        <v>720</v>
      </c>
      <c r="I58" t="s">
        <v>10590</v>
      </c>
    </row>
    <row r="59" spans="1:9" ht="14">
      <c r="A59" s="899" t="s">
        <v>1033</v>
      </c>
      <c r="B59" s="899" t="s">
        <v>886</v>
      </c>
      <c r="C59" s="899" t="s">
        <v>992</v>
      </c>
      <c r="D59" t="s">
        <v>73</v>
      </c>
      <c r="E59" s="901" t="s">
        <v>108</v>
      </c>
      <c r="F59" s="901" t="s">
        <v>10589</v>
      </c>
      <c r="G59">
        <v>36</v>
      </c>
      <c r="H59">
        <v>720</v>
      </c>
      <c r="I59" t="s">
        <v>10621</v>
      </c>
    </row>
    <row r="60" spans="1:9" ht="14">
      <c r="A60" s="899" t="s">
        <v>1077</v>
      </c>
      <c r="B60" s="899" t="s">
        <v>103</v>
      </c>
      <c r="C60" s="899" t="s">
        <v>992</v>
      </c>
      <c r="D60" t="s">
        <v>73</v>
      </c>
      <c r="E60" s="901" t="s">
        <v>108</v>
      </c>
      <c r="F60" s="901" t="s">
        <v>10591</v>
      </c>
      <c r="G60">
        <v>36</v>
      </c>
      <c r="H60">
        <v>720</v>
      </c>
      <c r="I60" t="s">
        <v>10622</v>
      </c>
    </row>
    <row r="61" spans="1:9" ht="14">
      <c r="A61" s="899" t="s">
        <v>885</v>
      </c>
      <c r="B61" s="899" t="s">
        <v>886</v>
      </c>
      <c r="C61" s="899" t="s">
        <v>992</v>
      </c>
      <c r="D61" t="s">
        <v>73</v>
      </c>
      <c r="E61" s="901" t="s">
        <v>108</v>
      </c>
      <c r="F61" s="901" t="s">
        <v>10591</v>
      </c>
      <c r="G61">
        <v>36</v>
      </c>
      <c r="H61">
        <v>720</v>
      </c>
      <c r="I61" t="s">
        <v>10622</v>
      </c>
    </row>
    <row r="62" spans="1:9" ht="14">
      <c r="A62" s="899" t="s">
        <v>1299</v>
      </c>
      <c r="B62" s="899" t="s">
        <v>1300</v>
      </c>
      <c r="C62" s="899" t="s">
        <v>967</v>
      </c>
      <c r="D62" t="s">
        <v>73</v>
      </c>
      <c r="E62" s="901" t="s">
        <v>108</v>
      </c>
      <c r="F62" s="901" t="s">
        <v>10591</v>
      </c>
      <c r="G62">
        <v>33</v>
      </c>
      <c r="H62">
        <v>594</v>
      </c>
      <c r="I62" t="s">
        <v>10623</v>
      </c>
    </row>
    <row r="63" spans="1:9" ht="14">
      <c r="A63" s="899" t="s">
        <v>1104</v>
      </c>
      <c r="B63" s="899" t="s">
        <v>1105</v>
      </c>
      <c r="C63" s="899" t="s">
        <v>992</v>
      </c>
      <c r="D63" t="s">
        <v>73</v>
      </c>
      <c r="E63" s="901" t="s">
        <v>108</v>
      </c>
      <c r="F63" s="901" t="s">
        <v>10589</v>
      </c>
      <c r="G63">
        <v>36</v>
      </c>
      <c r="H63">
        <v>864</v>
      </c>
      <c r="I63" t="s">
        <v>10598</v>
      </c>
    </row>
    <row r="64" spans="1:9" ht="14">
      <c r="A64" s="899" t="s">
        <v>1521</v>
      </c>
      <c r="B64" s="899" t="s">
        <v>1522</v>
      </c>
      <c r="C64" s="899" t="s">
        <v>967</v>
      </c>
      <c r="D64" t="s">
        <v>73</v>
      </c>
      <c r="E64" s="901" t="s">
        <v>85</v>
      </c>
      <c r="F64" s="901" t="s">
        <v>10589</v>
      </c>
      <c r="G64">
        <v>36</v>
      </c>
      <c r="H64">
        <v>864</v>
      </c>
      <c r="I64" t="s">
        <v>10604</v>
      </c>
    </row>
    <row r="65" spans="1:9" ht="14">
      <c r="A65" s="899" t="s">
        <v>1532</v>
      </c>
      <c r="B65" s="899" t="s">
        <v>1533</v>
      </c>
      <c r="C65" s="899" t="s">
        <v>967</v>
      </c>
      <c r="D65" t="s">
        <v>73</v>
      </c>
      <c r="E65" s="901" t="s">
        <v>85</v>
      </c>
      <c r="F65" s="901" t="s">
        <v>10589</v>
      </c>
      <c r="G65">
        <v>36</v>
      </c>
      <c r="H65">
        <v>864</v>
      </c>
      <c r="I65" t="s">
        <v>10604</v>
      </c>
    </row>
    <row r="66" spans="1:9" ht="14">
      <c r="A66" s="899" t="s">
        <v>1584</v>
      </c>
      <c r="B66" s="899" t="s">
        <v>1585</v>
      </c>
      <c r="C66" s="899" t="s">
        <v>992</v>
      </c>
      <c r="D66" t="s">
        <v>73</v>
      </c>
      <c r="E66" s="901" t="s">
        <v>108</v>
      </c>
      <c r="F66" s="901" t="s">
        <v>10591</v>
      </c>
      <c r="G66">
        <v>36</v>
      </c>
      <c r="H66">
        <v>720</v>
      </c>
      <c r="I66" t="s">
        <v>10624</v>
      </c>
    </row>
    <row r="67" spans="1:9" ht="14">
      <c r="A67" s="899" t="s">
        <v>1569</v>
      </c>
      <c r="B67" s="899" t="s">
        <v>1570</v>
      </c>
      <c r="C67" s="899" t="s">
        <v>992</v>
      </c>
      <c r="D67" t="s">
        <v>73</v>
      </c>
      <c r="E67" s="901" t="s">
        <v>108</v>
      </c>
      <c r="F67" s="901" t="s">
        <v>10591</v>
      </c>
      <c r="G67">
        <v>36</v>
      </c>
      <c r="H67">
        <v>720</v>
      </c>
      <c r="I67" t="s">
        <v>10624</v>
      </c>
    </row>
    <row r="68" spans="1:9" ht="14">
      <c r="A68" s="899" t="s">
        <v>1461</v>
      </c>
      <c r="B68" s="899" t="s">
        <v>103</v>
      </c>
      <c r="C68" s="899" t="s">
        <v>992</v>
      </c>
      <c r="D68" t="s">
        <v>73</v>
      </c>
      <c r="E68" s="901" t="s">
        <v>128</v>
      </c>
      <c r="F68" s="901" t="s">
        <v>10591</v>
      </c>
      <c r="G68">
        <v>36</v>
      </c>
      <c r="H68">
        <v>720</v>
      </c>
      <c r="I68" t="s">
        <v>10592</v>
      </c>
    </row>
    <row r="69" spans="1:9" ht="14">
      <c r="A69" s="899" t="s">
        <v>1894</v>
      </c>
      <c r="B69" s="899" t="s">
        <v>1895</v>
      </c>
      <c r="C69" s="899" t="s">
        <v>992</v>
      </c>
      <c r="D69" t="s">
        <v>73</v>
      </c>
      <c r="E69" s="901" t="s">
        <v>108</v>
      </c>
      <c r="F69" s="901" t="s">
        <v>10591</v>
      </c>
      <c r="G69">
        <v>33</v>
      </c>
      <c r="H69">
        <v>660</v>
      </c>
      <c r="I69" t="s">
        <v>10595</v>
      </c>
    </row>
    <row r="70" spans="1:9" ht="14">
      <c r="A70" s="899" t="s">
        <v>10625</v>
      </c>
      <c r="B70" s="899" t="s">
        <v>10626</v>
      </c>
      <c r="C70" s="899" t="s">
        <v>967</v>
      </c>
      <c r="D70" t="s">
        <v>73</v>
      </c>
      <c r="E70" s="901" t="s">
        <v>94</v>
      </c>
      <c r="F70" s="901" t="s">
        <v>10589</v>
      </c>
      <c r="G70">
        <v>36</v>
      </c>
      <c r="H70">
        <v>936</v>
      </c>
      <c r="I70" t="s">
        <v>10627</v>
      </c>
    </row>
    <row r="71" spans="1:9" ht="14">
      <c r="A71" s="899" t="s">
        <v>10628</v>
      </c>
      <c r="B71" s="899" t="s">
        <v>10629</v>
      </c>
      <c r="C71" s="899" t="s">
        <v>967</v>
      </c>
      <c r="D71" t="s">
        <v>73</v>
      </c>
      <c r="E71" s="901" t="s">
        <v>94</v>
      </c>
      <c r="F71" s="901" t="s">
        <v>10589</v>
      </c>
      <c r="G71">
        <v>37</v>
      </c>
      <c r="H71">
        <v>962</v>
      </c>
      <c r="I71" t="s">
        <v>10627</v>
      </c>
    </row>
    <row r="72" spans="1:9" ht="14">
      <c r="A72" s="899" t="s">
        <v>5102</v>
      </c>
      <c r="B72" s="899" t="s">
        <v>103</v>
      </c>
      <c r="C72" s="899" t="s">
        <v>992</v>
      </c>
      <c r="D72" t="s">
        <v>331</v>
      </c>
      <c r="E72" s="901" t="s">
        <v>94</v>
      </c>
      <c r="F72" s="901" t="s">
        <v>10591</v>
      </c>
      <c r="G72">
        <v>36</v>
      </c>
      <c r="H72">
        <v>720</v>
      </c>
      <c r="I72" t="s">
        <v>10630</v>
      </c>
    </row>
    <row r="73" spans="1:9" ht="14">
      <c r="A73" s="899" t="s">
        <v>5090</v>
      </c>
      <c r="B73" s="899" t="s">
        <v>330</v>
      </c>
      <c r="C73" s="899" t="s">
        <v>992</v>
      </c>
      <c r="D73" t="s">
        <v>331</v>
      </c>
      <c r="E73" s="901" t="s">
        <v>94</v>
      </c>
      <c r="F73" s="901" t="s">
        <v>10591</v>
      </c>
      <c r="G73">
        <v>36</v>
      </c>
      <c r="H73">
        <v>720</v>
      </c>
      <c r="I73" t="s">
        <v>10592</v>
      </c>
    </row>
    <row r="74" spans="1:9" ht="14.5">
      <c r="A74" s="899" t="s">
        <v>5041</v>
      </c>
      <c r="B74" s="899" t="s">
        <v>1807</v>
      </c>
      <c r="C74" s="899" t="s">
        <v>10631</v>
      </c>
      <c r="D74" t="s">
        <v>331</v>
      </c>
      <c r="E74" s="901" t="s">
        <v>94</v>
      </c>
      <c r="F74" s="901" t="s">
        <v>10591</v>
      </c>
      <c r="G74">
        <v>33</v>
      </c>
      <c r="H74">
        <v>594</v>
      </c>
      <c r="I74" t="s">
        <v>10632</v>
      </c>
    </row>
    <row r="75" spans="1:9" ht="14.5">
      <c r="A75" s="899" t="s">
        <v>5057</v>
      </c>
      <c r="B75" s="899" t="s">
        <v>1484</v>
      </c>
      <c r="C75" s="899" t="s">
        <v>10631</v>
      </c>
      <c r="D75" t="s">
        <v>331</v>
      </c>
      <c r="E75" s="901" t="s">
        <v>94</v>
      </c>
      <c r="F75" s="901" t="s">
        <v>10591</v>
      </c>
      <c r="G75">
        <v>33</v>
      </c>
      <c r="H75">
        <v>594</v>
      </c>
      <c r="I75" t="s">
        <v>10632</v>
      </c>
    </row>
    <row r="76" spans="1:9" ht="14">
      <c r="A76" s="899" t="s">
        <v>10633</v>
      </c>
      <c r="B76" s="899" t="s">
        <v>10634</v>
      </c>
      <c r="C76" s="899" t="s">
        <v>1166</v>
      </c>
      <c r="D76" t="s">
        <v>73</v>
      </c>
      <c r="E76" s="901" t="s">
        <v>94</v>
      </c>
      <c r="F76" s="901" t="s">
        <v>10591</v>
      </c>
      <c r="G76">
        <v>36</v>
      </c>
      <c r="H76">
        <v>720</v>
      </c>
      <c r="I76" t="s">
        <v>10635</v>
      </c>
    </row>
    <row r="77" spans="1:9" ht="14">
      <c r="A77" s="899" t="s">
        <v>10636</v>
      </c>
      <c r="B77" s="899" t="s">
        <v>10637</v>
      </c>
      <c r="C77" s="899" t="s">
        <v>992</v>
      </c>
      <c r="D77" t="s">
        <v>73</v>
      </c>
      <c r="E77" s="901" t="s">
        <v>85</v>
      </c>
      <c r="F77" s="901" t="s">
        <v>10589</v>
      </c>
      <c r="G77">
        <v>37</v>
      </c>
      <c r="H77">
        <v>962</v>
      </c>
      <c r="I77" t="s">
        <v>10600</v>
      </c>
    </row>
    <row r="78" spans="1:9" ht="14">
      <c r="A78" s="899" t="s">
        <v>10638</v>
      </c>
      <c r="B78" s="899" t="s">
        <v>10639</v>
      </c>
      <c r="C78" s="899" t="s">
        <v>992</v>
      </c>
      <c r="D78" t="s">
        <v>73</v>
      </c>
      <c r="E78" s="901" t="s">
        <v>108</v>
      </c>
      <c r="F78" s="901" t="s">
        <v>10591</v>
      </c>
      <c r="G78">
        <v>36</v>
      </c>
      <c r="H78">
        <v>936</v>
      </c>
      <c r="I78" t="s">
        <v>10593</v>
      </c>
    </row>
    <row r="79" spans="1:9" ht="14.5">
      <c r="A79" s="899" t="s">
        <v>4597</v>
      </c>
      <c r="B79" s="899" t="s">
        <v>4598</v>
      </c>
      <c r="C79" s="899" t="s">
        <v>10631</v>
      </c>
      <c r="D79" t="s">
        <v>331</v>
      </c>
      <c r="E79" s="901" t="s">
        <v>94</v>
      </c>
      <c r="F79" s="901" t="s">
        <v>10591</v>
      </c>
      <c r="G79">
        <v>36</v>
      </c>
      <c r="H79">
        <v>720</v>
      </c>
      <c r="I79" t="s">
        <v>10632</v>
      </c>
    </row>
    <row r="80" spans="1:9" ht="14.5">
      <c r="A80" s="899" t="s">
        <v>4592</v>
      </c>
      <c r="B80" s="899" t="s">
        <v>330</v>
      </c>
      <c r="C80" s="899" t="s">
        <v>10631</v>
      </c>
      <c r="D80" t="s">
        <v>331</v>
      </c>
      <c r="E80" s="901" t="s">
        <v>94</v>
      </c>
      <c r="F80" s="901" t="s">
        <v>10591</v>
      </c>
      <c r="G80">
        <v>36</v>
      </c>
      <c r="H80">
        <v>720</v>
      </c>
      <c r="I80" t="s">
        <v>10632</v>
      </c>
    </row>
    <row r="81" spans="1:12" ht="14">
      <c r="A81" s="899" t="s">
        <v>10640</v>
      </c>
      <c r="B81" s="899" t="s">
        <v>10641</v>
      </c>
      <c r="C81" s="899" t="s">
        <v>992</v>
      </c>
      <c r="D81" t="s">
        <v>73</v>
      </c>
      <c r="E81" s="901" t="s">
        <v>94</v>
      </c>
      <c r="F81" s="901" t="s">
        <v>10591</v>
      </c>
      <c r="G81">
        <v>33</v>
      </c>
      <c r="H81">
        <v>594</v>
      </c>
      <c r="I81" t="s">
        <v>10592</v>
      </c>
    </row>
    <row r="82" spans="1:12" ht="14">
      <c r="A82" s="899" t="s">
        <v>10642</v>
      </c>
      <c r="B82" s="899" t="s">
        <v>10643</v>
      </c>
      <c r="C82" s="899" t="s">
        <v>992</v>
      </c>
      <c r="D82" t="s">
        <v>73</v>
      </c>
      <c r="E82" s="901" t="s">
        <v>108</v>
      </c>
      <c r="F82" s="901" t="s">
        <v>10589</v>
      </c>
      <c r="G82">
        <v>37</v>
      </c>
      <c r="H82">
        <v>962</v>
      </c>
      <c r="I82" t="s">
        <v>10644</v>
      </c>
    </row>
    <row r="83" spans="1:12" ht="14.5">
      <c r="A83" s="899" t="s">
        <v>2308</v>
      </c>
      <c r="B83" s="899" t="s">
        <v>1484</v>
      </c>
      <c r="C83" s="899" t="s">
        <v>10631</v>
      </c>
      <c r="D83" t="s">
        <v>73</v>
      </c>
      <c r="E83" s="901" t="s">
        <v>94</v>
      </c>
      <c r="F83" s="901" t="s">
        <v>10591</v>
      </c>
      <c r="G83">
        <v>33</v>
      </c>
      <c r="H83">
        <v>594</v>
      </c>
      <c r="I83" t="s">
        <v>10632</v>
      </c>
    </row>
    <row r="84" spans="1:12" ht="14.5">
      <c r="A84" s="899" t="s">
        <v>2299</v>
      </c>
      <c r="B84" s="899" t="s">
        <v>1682</v>
      </c>
      <c r="C84" s="899" t="s">
        <v>10631</v>
      </c>
      <c r="D84" t="s">
        <v>73</v>
      </c>
      <c r="E84" s="901" t="s">
        <v>94</v>
      </c>
      <c r="F84" s="901" t="s">
        <v>10591</v>
      </c>
      <c r="G84">
        <v>33</v>
      </c>
      <c r="H84">
        <v>594</v>
      </c>
      <c r="I84" t="s">
        <v>10645</v>
      </c>
    </row>
    <row r="85" spans="1:12" ht="14">
      <c r="A85" s="899" t="s">
        <v>10646</v>
      </c>
      <c r="B85" s="899" t="s">
        <v>330</v>
      </c>
      <c r="C85" s="899" t="s">
        <v>992</v>
      </c>
      <c r="D85" t="s">
        <v>73</v>
      </c>
      <c r="E85" s="901" t="s">
        <v>94</v>
      </c>
      <c r="F85" s="901" t="s">
        <v>10591</v>
      </c>
      <c r="G85">
        <v>36</v>
      </c>
      <c r="H85">
        <v>720</v>
      </c>
      <c r="I85" t="s">
        <v>10592</v>
      </c>
    </row>
    <row r="86" spans="1:12" ht="14">
      <c r="A86" s="899" t="s">
        <v>10647</v>
      </c>
      <c r="B86" s="899" t="s">
        <v>1356</v>
      </c>
      <c r="C86" s="899" t="s">
        <v>992</v>
      </c>
      <c r="D86" t="s">
        <v>73</v>
      </c>
      <c r="E86" s="901" t="s">
        <v>94</v>
      </c>
      <c r="F86" s="901" t="s">
        <v>10591</v>
      </c>
      <c r="G86">
        <v>33</v>
      </c>
      <c r="H86">
        <v>594</v>
      </c>
      <c r="I86" t="s">
        <v>10592</v>
      </c>
    </row>
    <row r="87" spans="1:12" ht="14">
      <c r="A87" s="899" t="s">
        <v>10648</v>
      </c>
      <c r="B87" s="899" t="s">
        <v>4084</v>
      </c>
      <c r="C87" s="899" t="s">
        <v>992</v>
      </c>
      <c r="D87" t="s">
        <v>73</v>
      </c>
      <c r="E87" s="901" t="s">
        <v>108</v>
      </c>
      <c r="F87" s="901" t="s">
        <v>10591</v>
      </c>
      <c r="G87">
        <v>36</v>
      </c>
      <c r="H87">
        <v>720</v>
      </c>
      <c r="I87" t="s">
        <v>10614</v>
      </c>
    </row>
    <row r="88" spans="1:12" ht="14">
      <c r="A88" s="899" t="s">
        <v>10649</v>
      </c>
      <c r="B88" s="899" t="s">
        <v>886</v>
      </c>
      <c r="C88" s="899" t="s">
        <v>992</v>
      </c>
      <c r="D88" t="s">
        <v>331</v>
      </c>
      <c r="E88" s="901" t="s">
        <v>94</v>
      </c>
      <c r="F88" s="901" t="s">
        <v>10591</v>
      </c>
      <c r="G88">
        <v>36</v>
      </c>
      <c r="H88">
        <v>720</v>
      </c>
      <c r="I88" t="s">
        <v>10592</v>
      </c>
    </row>
    <row r="89" spans="1:12" ht="14">
      <c r="A89" s="899" t="s">
        <v>5749</v>
      </c>
      <c r="B89" s="899" t="s">
        <v>1484</v>
      </c>
      <c r="C89" s="899" t="s">
        <v>992</v>
      </c>
      <c r="D89" t="s">
        <v>73</v>
      </c>
      <c r="E89" s="901" t="s">
        <v>94</v>
      </c>
      <c r="F89" s="901" t="s">
        <v>10591</v>
      </c>
      <c r="G89">
        <v>33</v>
      </c>
      <c r="H89">
        <v>594</v>
      </c>
      <c r="I89" t="s">
        <v>10592</v>
      </c>
    </row>
    <row r="90" spans="1:12" ht="14">
      <c r="A90" s="899" t="s">
        <v>10650</v>
      </c>
      <c r="B90" s="899" t="s">
        <v>4075</v>
      </c>
      <c r="C90" s="899" t="s">
        <v>992</v>
      </c>
      <c r="D90" t="s">
        <v>73</v>
      </c>
      <c r="E90" s="901" t="s">
        <v>108</v>
      </c>
      <c r="F90" s="901" t="s">
        <v>10591</v>
      </c>
      <c r="G90">
        <v>36</v>
      </c>
      <c r="H90">
        <v>720</v>
      </c>
      <c r="I90" t="s">
        <v>10614</v>
      </c>
    </row>
    <row r="91" spans="1:12" ht="14.5">
      <c r="A91" s="899" t="s">
        <v>1806</v>
      </c>
      <c r="B91" s="899" t="s">
        <v>1807</v>
      </c>
      <c r="C91" s="899" t="s">
        <v>10631</v>
      </c>
      <c r="D91" t="s">
        <v>331</v>
      </c>
      <c r="E91" s="901" t="s">
        <v>94</v>
      </c>
      <c r="F91" s="901" t="s">
        <v>10591</v>
      </c>
      <c r="G91">
        <v>33</v>
      </c>
      <c r="H91">
        <v>594</v>
      </c>
      <c r="I91" t="s">
        <v>10632</v>
      </c>
    </row>
    <row r="92" spans="1:12" ht="14">
      <c r="A92" s="899" t="s">
        <v>1334</v>
      </c>
      <c r="B92" s="899" t="s">
        <v>10651</v>
      </c>
      <c r="C92" s="899" t="s">
        <v>992</v>
      </c>
      <c r="D92" t="s">
        <v>73</v>
      </c>
      <c r="E92" s="901" t="s">
        <v>94</v>
      </c>
      <c r="F92" s="901" t="s">
        <v>10591</v>
      </c>
      <c r="G92">
        <v>36</v>
      </c>
      <c r="H92">
        <v>720</v>
      </c>
      <c r="I92" t="s">
        <v>10592</v>
      </c>
    </row>
    <row r="93" spans="1:12" ht="14">
      <c r="A93" s="899" t="s">
        <v>2134</v>
      </c>
      <c r="B93" s="899" t="s">
        <v>2135</v>
      </c>
      <c r="C93" s="899" t="s">
        <v>2136</v>
      </c>
      <c r="D93" t="s">
        <v>73</v>
      </c>
      <c r="E93" s="901" t="s">
        <v>85</v>
      </c>
      <c r="F93" s="901" t="s">
        <v>10589</v>
      </c>
      <c r="G93">
        <v>36</v>
      </c>
      <c r="H93">
        <v>792</v>
      </c>
      <c r="I93" t="s">
        <v>10608</v>
      </c>
    </row>
    <row r="94" spans="1:12" ht="14.5">
      <c r="A94" s="899" t="s">
        <v>1681</v>
      </c>
      <c r="B94" s="899" t="s">
        <v>1682</v>
      </c>
      <c r="C94" s="899" t="s">
        <v>992</v>
      </c>
      <c r="D94" t="s">
        <v>73</v>
      </c>
      <c r="E94" s="901" t="s">
        <v>94</v>
      </c>
      <c r="F94" s="901" t="s">
        <v>10591</v>
      </c>
      <c r="G94">
        <v>33</v>
      </c>
      <c r="H94">
        <f>18*33</f>
        <v>594</v>
      </c>
      <c r="I94" t="s">
        <v>10592</v>
      </c>
      <c r="L94" s="900"/>
    </row>
    <row r="95" spans="1:12" ht="14.5">
      <c r="A95" s="899" t="s">
        <v>1164</v>
      </c>
      <c r="B95" s="899" t="s">
        <v>1165</v>
      </c>
      <c r="C95" s="899" t="s">
        <v>1166</v>
      </c>
      <c r="D95" t="s">
        <v>73</v>
      </c>
      <c r="E95" s="901" t="s">
        <v>108</v>
      </c>
      <c r="F95" s="901" t="s">
        <v>10591</v>
      </c>
      <c r="G95">
        <v>36</v>
      </c>
      <c r="H95">
        <f>16*36</f>
        <v>576</v>
      </c>
      <c r="I95" t="s">
        <v>10607</v>
      </c>
      <c r="K95" s="900"/>
    </row>
    <row r="96" spans="1:12" ht="14.5">
      <c r="A96" s="899" t="s">
        <v>1628</v>
      </c>
      <c r="B96" s="899" t="s">
        <v>1629</v>
      </c>
      <c r="C96" s="899" t="s">
        <v>1166</v>
      </c>
      <c r="D96" t="s">
        <v>73</v>
      </c>
      <c r="E96" s="901" t="s">
        <v>108</v>
      </c>
      <c r="F96" s="901" t="s">
        <v>10591</v>
      </c>
      <c r="G96">
        <v>36</v>
      </c>
      <c r="H96">
        <f>16*36</f>
        <v>576</v>
      </c>
      <c r="I96" t="s">
        <v>10607</v>
      </c>
      <c r="K96" s="900"/>
    </row>
    <row r="97" spans="1:10" ht="14.5">
      <c r="A97" s="899" t="s">
        <v>1234</v>
      </c>
      <c r="B97" s="899" t="s">
        <v>1235</v>
      </c>
      <c r="C97" s="899" t="s">
        <v>992</v>
      </c>
      <c r="D97" t="s">
        <v>73</v>
      </c>
      <c r="E97" s="901" t="s">
        <v>85</v>
      </c>
      <c r="F97" s="901" t="s">
        <v>10589</v>
      </c>
      <c r="G97">
        <v>36</v>
      </c>
      <c r="H97">
        <f>26*36</f>
        <v>936</v>
      </c>
      <c r="I97" t="s">
        <v>10619</v>
      </c>
      <c r="J97" s="900"/>
    </row>
    <row r="98" spans="1:10" ht="14.5">
      <c r="A98" s="899" t="s">
        <v>1250</v>
      </c>
      <c r="B98" s="899" t="s">
        <v>1251</v>
      </c>
      <c r="C98" s="899" t="s">
        <v>992</v>
      </c>
      <c r="D98" t="s">
        <v>73</v>
      </c>
      <c r="E98" s="901" t="s">
        <v>85</v>
      </c>
      <c r="F98" s="901" t="s">
        <v>10589</v>
      </c>
      <c r="G98">
        <v>36</v>
      </c>
      <c r="H98">
        <f>26*36</f>
        <v>936</v>
      </c>
      <c r="I98" t="s">
        <v>10619</v>
      </c>
      <c r="J98" s="900"/>
    </row>
    <row r="99" spans="1:10" ht="14.5">
      <c r="A99" s="899" t="s">
        <v>1255</v>
      </c>
      <c r="B99" s="899" t="s">
        <v>72</v>
      </c>
      <c r="C99" s="899" t="s">
        <v>992</v>
      </c>
      <c r="D99" t="s">
        <v>73</v>
      </c>
      <c r="E99" s="901" t="s">
        <v>85</v>
      </c>
      <c r="F99" s="901" t="s">
        <v>10589</v>
      </c>
      <c r="G99">
        <v>36</v>
      </c>
      <c r="H99">
        <f>24*36</f>
        <v>864</v>
      </c>
      <c r="I99" t="s">
        <v>10619</v>
      </c>
      <c r="J99" s="900"/>
    </row>
    <row r="100" spans="1:10" ht="14.5">
      <c r="A100" s="899" t="s">
        <v>1259</v>
      </c>
      <c r="B100" s="899" t="s">
        <v>421</v>
      </c>
      <c r="C100" s="899" t="s">
        <v>992</v>
      </c>
      <c r="D100" t="s">
        <v>73</v>
      </c>
      <c r="E100" s="901" t="s">
        <v>85</v>
      </c>
      <c r="F100" s="901" t="s">
        <v>10589</v>
      </c>
      <c r="G100">
        <v>36</v>
      </c>
      <c r="H100">
        <f>24*36</f>
        <v>864</v>
      </c>
      <c r="I100" t="s">
        <v>10619</v>
      </c>
      <c r="J100" s="900"/>
    </row>
    <row r="101" spans="1:10" ht="14.5">
      <c r="A101" s="899" t="s">
        <v>10652</v>
      </c>
      <c r="B101" s="899" t="s">
        <v>10653</v>
      </c>
      <c r="C101" s="899" t="s">
        <v>967</v>
      </c>
      <c r="D101" t="s">
        <v>73</v>
      </c>
      <c r="E101" s="901" t="s">
        <v>85</v>
      </c>
      <c r="F101" s="901" t="s">
        <v>10589</v>
      </c>
      <c r="G101">
        <v>36</v>
      </c>
      <c r="H101">
        <f t="shared" ref="H101:H102" si="0">24*36</f>
        <v>864</v>
      </c>
      <c r="I101" t="s">
        <v>10654</v>
      </c>
      <c r="J101" s="900"/>
    </row>
    <row r="102" spans="1:10" ht="14.5">
      <c r="A102" s="899" t="s">
        <v>7037</v>
      </c>
      <c r="B102" s="899" t="s">
        <v>7038</v>
      </c>
      <c r="C102" s="899" t="s">
        <v>967</v>
      </c>
      <c r="D102" t="s">
        <v>73</v>
      </c>
      <c r="E102" s="901" t="s">
        <v>85</v>
      </c>
      <c r="F102" s="901" t="s">
        <v>10589</v>
      </c>
      <c r="G102">
        <v>36</v>
      </c>
      <c r="H102">
        <f t="shared" si="0"/>
        <v>864</v>
      </c>
      <c r="I102" t="s">
        <v>10654</v>
      </c>
      <c r="J102" s="900"/>
    </row>
    <row r="103" spans="1:10" ht="14.5">
      <c r="A103" s="899" t="s">
        <v>791</v>
      </c>
      <c r="B103" s="899" t="s">
        <v>571</v>
      </c>
      <c r="C103" s="899" t="s">
        <v>992</v>
      </c>
      <c r="D103" t="s">
        <v>73</v>
      </c>
      <c r="E103" s="901" t="s">
        <v>85</v>
      </c>
      <c r="F103" s="901" t="s">
        <v>10589</v>
      </c>
      <c r="G103">
        <v>36</v>
      </c>
      <c r="H103">
        <f>26*36</f>
        <v>936</v>
      </c>
      <c r="I103" t="s">
        <v>10655</v>
      </c>
      <c r="J103" s="900"/>
    </row>
    <row r="104" spans="1:10" ht="14.5">
      <c r="A104" s="899" t="s">
        <v>1247</v>
      </c>
      <c r="B104" s="899" t="s">
        <v>196</v>
      </c>
      <c r="C104" s="899" t="s">
        <v>992</v>
      </c>
      <c r="D104" t="s">
        <v>73</v>
      </c>
      <c r="E104" s="901" t="s">
        <v>85</v>
      </c>
      <c r="F104" s="901" t="s">
        <v>10589</v>
      </c>
      <c r="G104">
        <v>36</v>
      </c>
      <c r="H104">
        <f>26*36</f>
        <v>936</v>
      </c>
      <c r="I104" t="s">
        <v>10655</v>
      </c>
      <c r="J104" s="900"/>
    </row>
    <row r="105" spans="1:10" ht="14.5">
      <c r="A105" s="899" t="s">
        <v>1109</v>
      </c>
      <c r="B105" s="899" t="s">
        <v>454</v>
      </c>
      <c r="C105" s="899" t="s">
        <v>992</v>
      </c>
      <c r="D105" t="s">
        <v>73</v>
      </c>
      <c r="E105" s="901" t="s">
        <v>108</v>
      </c>
      <c r="F105" s="901" t="s">
        <v>10589</v>
      </c>
      <c r="G105">
        <v>36</v>
      </c>
      <c r="H105">
        <f>24*36</f>
        <v>864</v>
      </c>
      <c r="I105" t="s">
        <v>10598</v>
      </c>
      <c r="J105" s="900"/>
    </row>
    <row r="106" spans="1:10" ht="14.5">
      <c r="A106" s="899" t="s">
        <v>4520</v>
      </c>
      <c r="B106" s="899" t="s">
        <v>4521</v>
      </c>
      <c r="C106" s="899" t="s">
        <v>992</v>
      </c>
      <c r="D106" t="s">
        <v>73</v>
      </c>
      <c r="E106" s="901" t="s">
        <v>94</v>
      </c>
      <c r="F106" s="901" t="s">
        <v>10591</v>
      </c>
      <c r="G106">
        <v>36</v>
      </c>
      <c r="H106">
        <f>20*36</f>
        <v>720</v>
      </c>
      <c r="I106" t="s">
        <v>10656</v>
      </c>
      <c r="J106" s="900"/>
    </row>
    <row r="107" spans="1:10" ht="14.5">
      <c r="A107" s="899" t="s">
        <v>4487</v>
      </c>
      <c r="B107" s="899" t="s">
        <v>4488</v>
      </c>
      <c r="C107" s="899" t="s">
        <v>992</v>
      </c>
      <c r="D107" t="s">
        <v>73</v>
      </c>
      <c r="E107" s="901" t="s">
        <v>94</v>
      </c>
      <c r="F107" s="901" t="s">
        <v>10591</v>
      </c>
      <c r="G107">
        <v>36</v>
      </c>
      <c r="H107">
        <f>20*36</f>
        <v>720</v>
      </c>
      <c r="J107" s="900"/>
    </row>
    <row r="108" spans="1:10" ht="14.5">
      <c r="A108" s="899" t="s">
        <v>420</v>
      </c>
      <c r="B108" s="899" t="s">
        <v>421</v>
      </c>
      <c r="C108" s="899" t="s">
        <v>992</v>
      </c>
      <c r="D108" t="s">
        <v>73</v>
      </c>
      <c r="E108" s="901" t="s">
        <v>85</v>
      </c>
      <c r="F108" s="901" t="s">
        <v>10589</v>
      </c>
      <c r="G108">
        <v>36</v>
      </c>
      <c r="H108">
        <f>24*36</f>
        <v>864</v>
      </c>
      <c r="J108" s="900"/>
    </row>
    <row r="109" spans="1:10" ht="14.5">
      <c r="A109" s="899" t="s">
        <v>1221</v>
      </c>
      <c r="B109" s="899" t="s">
        <v>1222</v>
      </c>
      <c r="C109" s="899" t="s">
        <v>1187</v>
      </c>
      <c r="D109" t="s">
        <v>73</v>
      </c>
      <c r="E109" s="901" t="s">
        <v>108</v>
      </c>
      <c r="F109" s="901" t="s">
        <v>10591</v>
      </c>
      <c r="G109">
        <v>33</v>
      </c>
      <c r="H109">
        <f>20*33</f>
        <v>660</v>
      </c>
      <c r="I109" t="s">
        <v>10606</v>
      </c>
      <c r="J109" s="900"/>
    </row>
    <row r="110" spans="1:10" ht="14.5">
      <c r="A110" s="899" t="s">
        <v>5027</v>
      </c>
      <c r="B110" s="899" t="s">
        <v>886</v>
      </c>
      <c r="C110" s="899" t="s">
        <v>992</v>
      </c>
      <c r="D110" t="s">
        <v>73</v>
      </c>
      <c r="E110" s="901" t="s">
        <v>94</v>
      </c>
      <c r="F110" s="901" t="s">
        <v>10591</v>
      </c>
      <c r="G110">
        <v>36</v>
      </c>
      <c r="H110">
        <f>20*36</f>
        <v>720</v>
      </c>
      <c r="I110" t="s">
        <v>10592</v>
      </c>
      <c r="J110" s="900"/>
    </row>
    <row r="111" spans="1:10" ht="14.5">
      <c r="A111" s="899" t="s">
        <v>6678</v>
      </c>
      <c r="B111" s="899" t="s">
        <v>6679</v>
      </c>
      <c r="C111" s="899" t="s">
        <v>967</v>
      </c>
      <c r="D111" t="s">
        <v>73</v>
      </c>
      <c r="E111" s="901" t="s">
        <v>85</v>
      </c>
      <c r="F111" s="901" t="s">
        <v>10589</v>
      </c>
      <c r="G111">
        <v>36</v>
      </c>
      <c r="H111">
        <v>936</v>
      </c>
      <c r="I111" t="s">
        <v>10657</v>
      </c>
      <c r="J111" s="900"/>
    </row>
    <row r="112" spans="1:10" ht="14.5">
      <c r="A112" s="899" t="s">
        <v>6772</v>
      </c>
      <c r="B112" s="899" t="s">
        <v>6773</v>
      </c>
      <c r="C112" s="899" t="s">
        <v>967</v>
      </c>
      <c r="D112" t="s">
        <v>73</v>
      </c>
      <c r="E112" s="901" t="s">
        <v>85</v>
      </c>
      <c r="F112" s="901" t="s">
        <v>10589</v>
      </c>
      <c r="G112">
        <v>36</v>
      </c>
      <c r="H112">
        <v>936</v>
      </c>
      <c r="I112" t="s">
        <v>10657</v>
      </c>
      <c r="J112" s="900"/>
    </row>
    <row r="113" spans="1:9" ht="14">
      <c r="A113" s="899" t="s">
        <v>5380</v>
      </c>
      <c r="B113" s="899" t="s">
        <v>5381</v>
      </c>
      <c r="C113" s="899" t="s">
        <v>967</v>
      </c>
      <c r="D113" t="s">
        <v>73</v>
      </c>
      <c r="E113" s="901" t="s">
        <v>85</v>
      </c>
      <c r="F113" s="901" t="s">
        <v>10589</v>
      </c>
      <c r="G113">
        <v>36</v>
      </c>
      <c r="H113">
        <v>936</v>
      </c>
      <c r="I113" t="s">
        <v>10657</v>
      </c>
    </row>
    <row r="114" spans="1:9" ht="14">
      <c r="A114" s="899" t="s">
        <v>5400</v>
      </c>
      <c r="B114" s="899" t="s">
        <v>5401</v>
      </c>
      <c r="C114" s="899" t="s">
        <v>967</v>
      </c>
      <c r="D114" t="s">
        <v>73</v>
      </c>
      <c r="E114" s="901" t="s">
        <v>85</v>
      </c>
      <c r="F114" s="901" t="s">
        <v>10589</v>
      </c>
      <c r="G114">
        <v>36</v>
      </c>
      <c r="H114">
        <v>936</v>
      </c>
      <c r="I114" t="s">
        <v>10657</v>
      </c>
    </row>
    <row r="115" spans="1:9" ht="14">
      <c r="A115" s="899" t="s">
        <v>10658</v>
      </c>
      <c r="B115" s="899" t="s">
        <v>330</v>
      </c>
      <c r="C115" s="899" t="s">
        <v>992</v>
      </c>
      <c r="D115" t="s">
        <v>331</v>
      </c>
      <c r="E115" s="901" t="s">
        <v>108</v>
      </c>
      <c r="F115" s="901" t="s">
        <v>10591</v>
      </c>
      <c r="G115">
        <v>36</v>
      </c>
      <c r="H115">
        <v>720</v>
      </c>
      <c r="I115" t="s">
        <v>10659</v>
      </c>
    </row>
    <row r="116" spans="1:9" ht="14">
      <c r="A116" s="899" t="s">
        <v>7283</v>
      </c>
      <c r="B116" s="899" t="s">
        <v>103</v>
      </c>
      <c r="C116" s="899" t="s">
        <v>992</v>
      </c>
      <c r="D116" t="s">
        <v>331</v>
      </c>
      <c r="E116" s="901" t="s">
        <v>108</v>
      </c>
      <c r="F116" s="901" t="s">
        <v>10591</v>
      </c>
      <c r="G116">
        <v>36</v>
      </c>
      <c r="H116">
        <v>720</v>
      </c>
      <c r="I116" t="s">
        <v>10659</v>
      </c>
    </row>
    <row r="117" spans="1:9" ht="14">
      <c r="A117" s="901" t="s">
        <v>10660</v>
      </c>
      <c r="B117" s="899" t="s">
        <v>10661</v>
      </c>
      <c r="C117" s="899" t="s">
        <v>992</v>
      </c>
      <c r="D117" t="s">
        <v>73</v>
      </c>
      <c r="E117" s="901" t="s">
        <v>94</v>
      </c>
      <c r="F117" s="901" t="s">
        <v>10591</v>
      </c>
      <c r="G117">
        <v>33</v>
      </c>
      <c r="H117">
        <v>594</v>
      </c>
      <c r="I117" t="s">
        <v>10662</v>
      </c>
    </row>
    <row r="118" spans="1:9" ht="14">
      <c r="A118" s="901" t="s">
        <v>10663</v>
      </c>
      <c r="B118" s="899" t="s">
        <v>10664</v>
      </c>
      <c r="C118" s="899" t="s">
        <v>992</v>
      </c>
      <c r="D118" t="s">
        <v>73</v>
      </c>
      <c r="E118" s="901" t="s">
        <v>94</v>
      </c>
      <c r="F118" s="901" t="s">
        <v>10591</v>
      </c>
      <c r="G118">
        <v>33</v>
      </c>
      <c r="H118">
        <v>594</v>
      </c>
      <c r="I118" t="s">
        <v>10662</v>
      </c>
    </row>
    <row r="119" spans="1:9" ht="14">
      <c r="A119" s="899" t="s">
        <v>6159</v>
      </c>
      <c r="B119" s="899" t="s">
        <v>1570</v>
      </c>
      <c r="C119" s="899" t="s">
        <v>992</v>
      </c>
      <c r="D119" t="s">
        <v>73</v>
      </c>
      <c r="E119" s="901" t="s">
        <v>108</v>
      </c>
      <c r="F119" s="901" t="s">
        <v>10591</v>
      </c>
      <c r="G119">
        <v>36</v>
      </c>
      <c r="H119">
        <v>720</v>
      </c>
      <c r="I119" t="s">
        <v>10665</v>
      </c>
    </row>
    <row r="120" spans="1:9" ht="14">
      <c r="A120" s="899" t="s">
        <v>5583</v>
      </c>
      <c r="B120" s="899" t="s">
        <v>1570</v>
      </c>
      <c r="C120" s="899" t="s">
        <v>992</v>
      </c>
      <c r="D120" t="s">
        <v>331</v>
      </c>
      <c r="E120" s="901" t="s">
        <v>108</v>
      </c>
      <c r="F120" s="901" t="s">
        <v>10591</v>
      </c>
      <c r="G120">
        <v>36</v>
      </c>
      <c r="H120">
        <v>720</v>
      </c>
      <c r="I120" t="s">
        <v>10665</v>
      </c>
    </row>
    <row r="121" spans="1:9" ht="14">
      <c r="A121" s="899" t="s">
        <v>5543</v>
      </c>
      <c r="B121" s="899" t="s">
        <v>5544</v>
      </c>
      <c r="C121" s="899" t="s">
        <v>992</v>
      </c>
      <c r="D121" t="s">
        <v>73</v>
      </c>
      <c r="E121" s="901" t="s">
        <v>108</v>
      </c>
      <c r="F121" s="901" t="s">
        <v>10591</v>
      </c>
      <c r="G121">
        <v>33</v>
      </c>
      <c r="H121">
        <v>660</v>
      </c>
    </row>
    <row r="122" spans="1:9" ht="14">
      <c r="A122" s="901" t="s">
        <v>5873</v>
      </c>
      <c r="B122" s="899" t="s">
        <v>5874</v>
      </c>
      <c r="C122" s="899" t="s">
        <v>992</v>
      </c>
      <c r="D122" t="s">
        <v>73</v>
      </c>
      <c r="E122" s="901" t="s">
        <v>108</v>
      </c>
      <c r="F122" s="901" t="s">
        <v>10591</v>
      </c>
      <c r="G122">
        <v>33</v>
      </c>
      <c r="H122">
        <v>594</v>
      </c>
    </row>
    <row r="123" spans="1:9" ht="14">
      <c r="A123" s="901" t="s">
        <v>10666</v>
      </c>
      <c r="B123" s="899" t="s">
        <v>134</v>
      </c>
      <c r="C123" s="899" t="s">
        <v>992</v>
      </c>
      <c r="D123" t="s">
        <v>73</v>
      </c>
      <c r="E123" s="901" t="s">
        <v>108</v>
      </c>
      <c r="F123" s="901" t="s">
        <v>10591</v>
      </c>
      <c r="G123">
        <v>33</v>
      </c>
      <c r="H123">
        <v>594</v>
      </c>
    </row>
    <row r="124" spans="1:9" ht="14">
      <c r="A124" s="901" t="s">
        <v>5915</v>
      </c>
      <c r="B124" s="899" t="s">
        <v>1807</v>
      </c>
      <c r="C124" s="899" t="s">
        <v>992</v>
      </c>
      <c r="D124" t="s">
        <v>73</v>
      </c>
      <c r="E124" s="901" t="s">
        <v>128</v>
      </c>
      <c r="F124" s="901" t="s">
        <v>10591</v>
      </c>
      <c r="G124">
        <v>33</v>
      </c>
      <c r="H124">
        <v>594</v>
      </c>
    </row>
    <row r="125" spans="1:9" ht="14">
      <c r="A125" s="901" t="s">
        <v>5337</v>
      </c>
      <c r="B125" s="899" t="s">
        <v>5338</v>
      </c>
      <c r="C125" s="899" t="s">
        <v>992</v>
      </c>
      <c r="D125" t="s">
        <v>73</v>
      </c>
      <c r="E125" s="901" t="s">
        <v>94</v>
      </c>
      <c r="F125" s="901" t="s">
        <v>10591</v>
      </c>
      <c r="G125">
        <v>36</v>
      </c>
      <c r="H125">
        <v>720</v>
      </c>
    </row>
    <row r="126" spans="1:9" ht="14">
      <c r="A126" s="901" t="s">
        <v>5555</v>
      </c>
      <c r="B126" s="899" t="s">
        <v>5556</v>
      </c>
      <c r="C126" s="899" t="s">
        <v>992</v>
      </c>
      <c r="D126" t="s">
        <v>73</v>
      </c>
      <c r="E126" s="901" t="s">
        <v>94</v>
      </c>
      <c r="F126" s="901" t="s">
        <v>10591</v>
      </c>
      <c r="G126">
        <v>36</v>
      </c>
      <c r="H126">
        <v>720</v>
      </c>
    </row>
    <row r="127" spans="1:9" ht="14">
      <c r="A127" s="899" t="s">
        <v>5496</v>
      </c>
      <c r="B127" s="899" t="s">
        <v>5346</v>
      </c>
      <c r="C127" s="899" t="s">
        <v>992</v>
      </c>
      <c r="D127" t="s">
        <v>331</v>
      </c>
      <c r="E127" s="901" t="s">
        <v>108</v>
      </c>
      <c r="F127" s="901" t="s">
        <v>10591</v>
      </c>
      <c r="G127">
        <v>36</v>
      </c>
      <c r="H127">
        <v>720</v>
      </c>
      <c r="I127" t="s">
        <v>10665</v>
      </c>
    </row>
    <row r="128" spans="1:9" ht="14">
      <c r="A128" s="899" t="s">
        <v>10666</v>
      </c>
      <c r="B128" s="899" t="s">
        <v>10667</v>
      </c>
      <c r="C128" s="899"/>
      <c r="E128" s="901"/>
      <c r="F128" s="901"/>
      <c r="G128">
        <v>37</v>
      </c>
      <c r="H128">
        <v>962</v>
      </c>
    </row>
    <row r="129" spans="1:9" ht="14">
      <c r="A129" s="899" t="s">
        <v>5851</v>
      </c>
      <c r="B129" s="899" t="s">
        <v>5852</v>
      </c>
      <c r="C129" s="899" t="s">
        <v>967</v>
      </c>
      <c r="D129" t="s">
        <v>73</v>
      </c>
      <c r="E129" s="901" t="s">
        <v>85</v>
      </c>
      <c r="F129" s="901" t="s">
        <v>10589</v>
      </c>
      <c r="G129">
        <v>36</v>
      </c>
      <c r="H129">
        <v>936</v>
      </c>
      <c r="I129" t="s">
        <v>10604</v>
      </c>
    </row>
    <row r="130" spans="1:9" ht="14">
      <c r="A130" s="901" t="s">
        <v>10668</v>
      </c>
      <c r="B130" s="899" t="s">
        <v>10669</v>
      </c>
      <c r="C130" s="899" t="s">
        <v>967</v>
      </c>
      <c r="D130" t="s">
        <v>73</v>
      </c>
      <c r="E130" s="901" t="s">
        <v>108</v>
      </c>
      <c r="F130" s="901" t="s">
        <v>10589</v>
      </c>
      <c r="G130">
        <v>36</v>
      </c>
      <c r="H130">
        <v>936</v>
      </c>
    </row>
    <row r="131" spans="1:9" ht="14">
      <c r="A131" s="901" t="s">
        <v>5943</v>
      </c>
      <c r="B131" s="899" t="s">
        <v>5944</v>
      </c>
      <c r="C131" s="899" t="s">
        <v>967</v>
      </c>
      <c r="D131" t="s">
        <v>73</v>
      </c>
      <c r="E131" s="901" t="s">
        <v>108</v>
      </c>
      <c r="F131" s="901" t="s">
        <v>10589</v>
      </c>
      <c r="G131">
        <v>36</v>
      </c>
      <c r="H131">
        <v>936</v>
      </c>
    </row>
    <row r="132" spans="1:9" ht="14">
      <c r="A132" s="901" t="s">
        <v>5735</v>
      </c>
      <c r="B132" s="899" t="s">
        <v>5736</v>
      </c>
      <c r="C132" s="899" t="s">
        <v>967</v>
      </c>
      <c r="D132" t="s">
        <v>73</v>
      </c>
      <c r="E132" s="901" t="s">
        <v>108</v>
      </c>
      <c r="F132" s="901" t="s">
        <v>10589</v>
      </c>
      <c r="G132">
        <v>36</v>
      </c>
      <c r="H132">
        <v>936</v>
      </c>
    </row>
    <row r="133" spans="1:9" ht="14">
      <c r="A133" s="901" t="s">
        <v>6281</v>
      </c>
      <c r="B133" s="899" t="s">
        <v>6282</v>
      </c>
      <c r="C133" s="899" t="s">
        <v>967</v>
      </c>
      <c r="D133" t="s">
        <v>73</v>
      </c>
      <c r="E133" s="901" t="s">
        <v>108</v>
      </c>
      <c r="F133" s="901" t="s">
        <v>10589</v>
      </c>
      <c r="G133">
        <v>36</v>
      </c>
      <c r="H133">
        <v>936</v>
      </c>
    </row>
    <row r="134" spans="1:9" ht="14.5">
      <c r="A134" s="901" t="s">
        <v>7273</v>
      </c>
      <c r="B134" s="899" t="s">
        <v>1300</v>
      </c>
      <c r="C134" s="899" t="s">
        <v>10670</v>
      </c>
      <c r="D134" t="s">
        <v>73</v>
      </c>
      <c r="E134" s="901" t="s">
        <v>108</v>
      </c>
      <c r="F134" s="901" t="s">
        <v>10591</v>
      </c>
      <c r="G134">
        <v>33</v>
      </c>
      <c r="H134">
        <v>594</v>
      </c>
    </row>
    <row r="135" spans="1:9" ht="14">
      <c r="A135" s="901" t="s">
        <v>5345</v>
      </c>
      <c r="B135" s="899" t="s">
        <v>5346</v>
      </c>
      <c r="C135" s="899" t="s">
        <v>992</v>
      </c>
      <c r="D135" t="s">
        <v>73</v>
      </c>
      <c r="E135" s="901" t="s">
        <v>108</v>
      </c>
      <c r="F135" s="901" t="s">
        <v>10591</v>
      </c>
      <c r="G135">
        <v>36</v>
      </c>
      <c r="H135">
        <v>720</v>
      </c>
      <c r="I135" t="s">
        <v>10665</v>
      </c>
    </row>
    <row r="136" spans="1:9" ht="14">
      <c r="A136" s="899" t="s">
        <v>1483</v>
      </c>
      <c r="B136" s="899" t="s">
        <v>1484</v>
      </c>
      <c r="C136" s="899" t="s">
        <v>992</v>
      </c>
      <c r="D136" t="s">
        <v>73</v>
      </c>
      <c r="E136" s="901" t="s">
        <v>128</v>
      </c>
      <c r="F136" s="901" t="s">
        <v>10591</v>
      </c>
      <c r="G136">
        <v>33</v>
      </c>
      <c r="H136">
        <v>594</v>
      </c>
      <c r="I136" t="s">
        <v>10592</v>
      </c>
    </row>
    <row r="137" spans="1:9" ht="14">
      <c r="A137" s="901" t="s">
        <v>6209</v>
      </c>
      <c r="B137" s="899" t="s">
        <v>6210</v>
      </c>
      <c r="C137" s="899" t="s">
        <v>967</v>
      </c>
      <c r="D137" t="s">
        <v>73</v>
      </c>
      <c r="E137" s="901" t="s">
        <v>85</v>
      </c>
      <c r="F137" s="901" t="s">
        <v>10589</v>
      </c>
      <c r="G137">
        <v>36</v>
      </c>
      <c r="H137">
        <v>936</v>
      </c>
      <c r="I137" t="s">
        <v>10604</v>
      </c>
    </row>
    <row r="138" spans="1:9" ht="14.5">
      <c r="A138" s="901" t="s">
        <v>6483</v>
      </c>
      <c r="B138" s="899" t="s">
        <v>103</v>
      </c>
      <c r="C138" s="899" t="s">
        <v>10631</v>
      </c>
      <c r="D138" t="s">
        <v>331</v>
      </c>
      <c r="E138" s="901" t="s">
        <v>128</v>
      </c>
      <c r="F138" s="901" t="s">
        <v>10591</v>
      </c>
      <c r="G138">
        <v>36</v>
      </c>
      <c r="H138">
        <v>720</v>
      </c>
      <c r="I138" t="s">
        <v>10671</v>
      </c>
    </row>
    <row r="139" spans="1:9" ht="14.5">
      <c r="A139" s="916" t="s">
        <v>6235</v>
      </c>
      <c r="B139" s="899" t="s">
        <v>330</v>
      </c>
      <c r="C139" s="899" t="s">
        <v>10631</v>
      </c>
      <c r="D139" t="s">
        <v>331</v>
      </c>
      <c r="E139" s="901" t="s">
        <v>128</v>
      </c>
      <c r="F139" s="901" t="s">
        <v>10591</v>
      </c>
      <c r="G139">
        <v>36</v>
      </c>
      <c r="H139">
        <v>720</v>
      </c>
      <c r="I139" t="s">
        <v>10671</v>
      </c>
    </row>
    <row r="140" spans="1:9" ht="14.5">
      <c r="A140" s="916" t="s">
        <v>6461</v>
      </c>
      <c r="B140" s="899" t="s">
        <v>4598</v>
      </c>
      <c r="C140" s="899" t="s">
        <v>10631</v>
      </c>
      <c r="D140" t="s">
        <v>331</v>
      </c>
      <c r="E140" s="901" t="s">
        <v>128</v>
      </c>
      <c r="F140" s="901" t="s">
        <v>10591</v>
      </c>
      <c r="G140">
        <v>36</v>
      </c>
      <c r="H140">
        <v>720</v>
      </c>
      <c r="I140" t="s">
        <v>10671</v>
      </c>
    </row>
    <row r="141" spans="1:9" ht="14">
      <c r="A141" s="916" t="s">
        <v>6840</v>
      </c>
      <c r="B141" s="899" t="s">
        <v>6841</v>
      </c>
      <c r="C141" s="899" t="s">
        <v>967</v>
      </c>
      <c r="D141" t="s">
        <v>73</v>
      </c>
      <c r="E141" s="901" t="s">
        <v>85</v>
      </c>
      <c r="F141" s="901" t="s">
        <v>10589</v>
      </c>
      <c r="G141">
        <v>36</v>
      </c>
      <c r="H141">
        <v>936</v>
      </c>
      <c r="I141" t="s">
        <v>10672</v>
      </c>
    </row>
    <row r="142" spans="1:9" ht="14">
      <c r="A142" s="916" t="s">
        <v>6847</v>
      </c>
      <c r="B142" s="899" t="s">
        <v>6848</v>
      </c>
      <c r="C142" s="899" t="s">
        <v>967</v>
      </c>
      <c r="D142" t="s">
        <v>73</v>
      </c>
      <c r="E142" s="901" t="s">
        <v>85</v>
      </c>
      <c r="F142" s="901" t="s">
        <v>10589</v>
      </c>
      <c r="G142">
        <v>36</v>
      </c>
      <c r="H142">
        <v>936</v>
      </c>
      <c r="I142" t="s">
        <v>10672</v>
      </c>
    </row>
    <row r="143" spans="1:9" ht="14.5">
      <c r="A143" s="916" t="s">
        <v>6721</v>
      </c>
      <c r="B143" s="899" t="s">
        <v>1570</v>
      </c>
      <c r="C143" s="899" t="s">
        <v>10631</v>
      </c>
      <c r="D143" t="s">
        <v>331</v>
      </c>
      <c r="E143" s="901" t="s">
        <v>108</v>
      </c>
      <c r="F143" s="901" t="s">
        <v>10591</v>
      </c>
      <c r="G143">
        <v>36</v>
      </c>
      <c r="H143">
        <v>720</v>
      </c>
      <c r="I143" t="s">
        <v>10673</v>
      </c>
    </row>
    <row r="144" spans="1:9" ht="14.5">
      <c r="A144" s="916" t="s">
        <v>6728</v>
      </c>
      <c r="B144" s="899" t="s">
        <v>5346</v>
      </c>
      <c r="C144" s="899" t="s">
        <v>10631</v>
      </c>
      <c r="D144" t="s">
        <v>331</v>
      </c>
      <c r="E144" s="901" t="s">
        <v>108</v>
      </c>
      <c r="F144" s="901" t="s">
        <v>10591</v>
      </c>
      <c r="G144">
        <v>36</v>
      </c>
      <c r="H144">
        <v>720</v>
      </c>
      <c r="I144" t="s">
        <v>10673</v>
      </c>
    </row>
    <row r="145" spans="1:9" ht="14">
      <c r="A145" s="916" t="s">
        <v>7191</v>
      </c>
      <c r="B145" s="899" t="s">
        <v>7192</v>
      </c>
      <c r="C145" s="899" t="s">
        <v>967</v>
      </c>
      <c r="D145" t="s">
        <v>73</v>
      </c>
      <c r="E145" s="901" t="s">
        <v>85</v>
      </c>
      <c r="F145" s="901" t="s">
        <v>10589</v>
      </c>
      <c r="G145">
        <v>36</v>
      </c>
      <c r="H145">
        <v>936</v>
      </c>
      <c r="I145" t="s">
        <v>10674</v>
      </c>
    </row>
    <row r="146" spans="1:9" ht="14">
      <c r="A146" s="916" t="s">
        <v>7217</v>
      </c>
      <c r="B146" s="899" t="s">
        <v>7218</v>
      </c>
      <c r="C146" s="899" t="s">
        <v>967</v>
      </c>
      <c r="D146" t="s">
        <v>73</v>
      </c>
      <c r="E146" s="901" t="s">
        <v>108</v>
      </c>
      <c r="F146" s="901" t="s">
        <v>10591</v>
      </c>
      <c r="G146">
        <v>36</v>
      </c>
      <c r="H146">
        <v>936</v>
      </c>
      <c r="I146" t="s">
        <v>10675</v>
      </c>
    </row>
    <row r="147" spans="1:9" ht="14">
      <c r="A147" s="916" t="s">
        <v>7355</v>
      </c>
      <c r="B147" s="899" t="s">
        <v>4598</v>
      </c>
      <c r="C147" s="899" t="s">
        <v>992</v>
      </c>
      <c r="D147" t="s">
        <v>331</v>
      </c>
      <c r="E147" s="901" t="s">
        <v>108</v>
      </c>
      <c r="F147" s="901" t="s">
        <v>10591</v>
      </c>
      <c r="G147">
        <v>36</v>
      </c>
      <c r="H147">
        <v>720</v>
      </c>
      <c r="I147" t="s">
        <v>10676</v>
      </c>
    </row>
    <row r="148" spans="1:9" ht="14">
      <c r="A148" s="916" t="s">
        <v>7357</v>
      </c>
      <c r="B148" s="899" t="s">
        <v>7358</v>
      </c>
      <c r="C148" s="899" t="s">
        <v>992</v>
      </c>
      <c r="D148" t="s">
        <v>331</v>
      </c>
      <c r="E148" s="901" t="s">
        <v>108</v>
      </c>
      <c r="F148" s="901" t="s">
        <v>10591</v>
      </c>
      <c r="G148">
        <v>36</v>
      </c>
      <c r="H148">
        <v>720</v>
      </c>
      <c r="I148" t="s">
        <v>10676</v>
      </c>
    </row>
    <row r="149" spans="1:9" ht="14">
      <c r="A149" s="916" t="s">
        <v>7360</v>
      </c>
      <c r="B149" s="899" t="s">
        <v>1484</v>
      </c>
      <c r="C149" s="899" t="s">
        <v>992</v>
      </c>
      <c r="D149" t="s">
        <v>331</v>
      </c>
      <c r="E149" s="901" t="s">
        <v>128</v>
      </c>
      <c r="F149" s="901" t="s">
        <v>10591</v>
      </c>
      <c r="G149">
        <v>36</v>
      </c>
      <c r="H149">
        <v>720</v>
      </c>
      <c r="I149" t="s">
        <v>10677</v>
      </c>
    </row>
    <row r="150" spans="1:9" ht="14">
      <c r="A150" s="916" t="s">
        <v>7372</v>
      </c>
      <c r="B150" s="899" t="s">
        <v>1682</v>
      </c>
      <c r="C150" s="899" t="s">
        <v>992</v>
      </c>
      <c r="D150" t="s">
        <v>331</v>
      </c>
      <c r="E150" s="901" t="s">
        <v>128</v>
      </c>
      <c r="F150" s="901" t="s">
        <v>10591</v>
      </c>
      <c r="G150">
        <v>36</v>
      </c>
      <c r="H150">
        <v>720</v>
      </c>
      <c r="I150" t="s">
        <v>10677</v>
      </c>
    </row>
    <row r="151" spans="1:9" ht="14">
      <c r="A151" s="916" t="s">
        <v>7403</v>
      </c>
      <c r="B151" s="899" t="s">
        <v>7404</v>
      </c>
      <c r="C151" s="899" t="s">
        <v>967</v>
      </c>
      <c r="D151" t="s">
        <v>73</v>
      </c>
      <c r="E151" s="901" t="s">
        <v>85</v>
      </c>
      <c r="F151" s="901" t="s">
        <v>10589</v>
      </c>
      <c r="G151">
        <v>36</v>
      </c>
      <c r="H151">
        <v>936</v>
      </c>
      <c r="I151" t="s">
        <v>10678</v>
      </c>
    </row>
    <row r="152" spans="1:9" ht="14">
      <c r="A152" s="916" t="s">
        <v>7411</v>
      </c>
      <c r="B152" s="899" t="s">
        <v>7412</v>
      </c>
      <c r="C152" s="899" t="s">
        <v>967</v>
      </c>
      <c r="D152" t="s">
        <v>73</v>
      </c>
      <c r="E152" s="901" t="s">
        <v>108</v>
      </c>
      <c r="F152" s="901" t="s">
        <v>10591</v>
      </c>
      <c r="G152">
        <v>36</v>
      </c>
      <c r="H152">
        <v>936</v>
      </c>
      <c r="I152" t="s">
        <v>10679</v>
      </c>
    </row>
    <row r="153" spans="1:9" ht="14">
      <c r="A153" s="916" t="s">
        <v>7208</v>
      </c>
      <c r="B153" s="899" t="s">
        <v>7209</v>
      </c>
      <c r="C153" s="899" t="s">
        <v>10680</v>
      </c>
      <c r="D153" t="s">
        <v>73</v>
      </c>
      <c r="E153" s="901" t="s">
        <v>128</v>
      </c>
      <c r="F153" s="901" t="s">
        <v>10591</v>
      </c>
      <c r="G153">
        <v>36</v>
      </c>
      <c r="H153">
        <v>720</v>
      </c>
      <c r="I153" t="s">
        <v>10681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 A143:B153">
    <cfRule type="cellIs" dxfId="46" priority="81" operator="equal">
      <formula>"No"</formula>
    </cfRule>
    <cfRule type="cellIs" dxfId="45" priority="82" operator="equal">
      <formula>"Yes"</formula>
    </cfRule>
  </conditionalFormatting>
  <conditionalFormatting sqref="A122:A126">
    <cfRule type="cellIs" dxfId="44" priority="73" operator="equal">
      <formula>"No"</formula>
    </cfRule>
    <cfRule type="cellIs" dxfId="43" priority="74" operator="equal">
      <formula>"Yes"</formula>
    </cfRule>
  </conditionalFormatting>
  <conditionalFormatting sqref="A130:A135">
    <cfRule type="cellIs" dxfId="42" priority="65" operator="equal">
      <formula>"No"</formula>
    </cfRule>
    <cfRule type="cellIs" dxfId="41" priority="66" operator="equal">
      <formula>"Yes"</formula>
    </cfRule>
  </conditionalFormatting>
  <conditionalFormatting sqref="A137:A138">
    <cfRule type="cellIs" dxfId="40" priority="75" operator="equal">
      <formula>"No"</formula>
    </cfRule>
    <cfRule type="cellIs" dxfId="39" priority="76" operator="equal">
      <formula>"Yes"</formula>
    </cfRule>
  </conditionalFormatting>
  <conditionalFormatting sqref="B117:F118">
    <cfRule type="cellIs" dxfId="38" priority="49" operator="equal">
      <formula>"No"</formula>
    </cfRule>
    <cfRule type="cellIs" dxfId="37" priority="50" operator="equal">
      <formula>"Yes"</formula>
    </cfRule>
  </conditionalFormatting>
  <conditionalFormatting sqref="B122:F126">
    <cfRule type="cellIs" dxfId="36" priority="45" operator="equal">
      <formula>"No"</formula>
    </cfRule>
    <cfRule type="cellIs" dxfId="35" priority="46" operator="equal">
      <formula>"Yes"</formula>
    </cfRule>
  </conditionalFormatting>
  <conditionalFormatting sqref="B137:F138">
    <cfRule type="cellIs" dxfId="34" priority="47" operator="equal">
      <formula>"No"</formula>
    </cfRule>
    <cfRule type="cellIs" dxfId="33" priority="48" operator="equal">
      <formula>"Yes"</formula>
    </cfRule>
  </conditionalFormatting>
  <conditionalFormatting sqref="C146">
    <cfRule type="cellIs" dxfId="32" priority="21" operator="equal">
      <formula>"No"</formula>
    </cfRule>
    <cfRule type="cellIs" dxfId="31" priority="22" operator="equal">
      <formula>"Yes"</formula>
    </cfRule>
  </conditionalFormatting>
  <conditionalFormatting sqref="C151:C152">
    <cfRule type="cellIs" dxfId="30" priority="23" operator="equal">
      <formula>"No"</formula>
    </cfRule>
    <cfRule type="cellIs" dxfId="29" priority="24" operator="equal">
      <formula>"Yes"</formula>
    </cfRule>
  </conditionalFormatting>
  <conditionalFormatting sqref="C141:F145">
    <cfRule type="cellIs" dxfId="28" priority="37" operator="equal">
      <formula>"No"</formula>
    </cfRule>
    <cfRule type="cellIs" dxfId="27" priority="38" operator="equal">
      <formula>"Yes"</formula>
    </cfRule>
  </conditionalFormatting>
  <conditionalFormatting sqref="D123:D138 B130:F135">
    <cfRule type="cellIs" dxfId="26" priority="43" operator="equal">
      <formula>"No"</formula>
    </cfRule>
    <cfRule type="cellIs" dxfId="25" priority="44" operator="equal">
      <formula>"Yes"</formula>
    </cfRule>
  </conditionalFormatting>
  <conditionalFormatting sqref="D141:D153">
    <cfRule type="cellIs" dxfId="24" priority="1" operator="equal">
      <formula>"No"</formula>
    </cfRule>
    <cfRule type="cellIs" dxfId="23" priority="2" operator="equal">
      <formula>"Yes"</formula>
    </cfRule>
  </conditionalFormatting>
  <conditionalFormatting sqref="E146:E148">
    <cfRule type="cellIs" dxfId="22" priority="3" operator="equal">
      <formula>"No"</formula>
    </cfRule>
    <cfRule type="cellIs" dxfId="21" priority="4" operator="equal">
      <formula>"Yes"</formula>
    </cfRule>
  </conditionalFormatting>
  <conditionalFormatting sqref="E152">
    <cfRule type="cellIs" dxfId="20" priority="5" operator="equal">
      <formula>"No"</formula>
    </cfRule>
    <cfRule type="cellIs" dxfId="19" priority="6" operator="equal">
      <formula>"Yes"</formula>
    </cfRule>
  </conditionalFormatting>
  <conditionalFormatting sqref="E151:F151">
    <cfRule type="cellIs" dxfId="18" priority="7" operator="equal">
      <formula>"No"</formula>
    </cfRule>
    <cfRule type="cellIs" dxfId="17" priority="8" operator="equal">
      <formula>"Yes"</formula>
    </cfRule>
  </conditionalFormatting>
  <conditionalFormatting sqref="F146:F150 F152:F153">
    <cfRule type="cellIs" dxfId="16" priority="15" operator="equal">
      <formula>"No"</formula>
    </cfRule>
    <cfRule type="cellIs" dxfId="15" priority="16" operator="equal">
      <formula>"Yes"</formula>
    </cfRule>
  </conditionalFormatting>
  <dataValidations count="1">
    <dataValidation allowBlank="1" showInputMessage="1" showErrorMessage="1" sqref="B136 A138:B138 A145:B146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Q1332"/>
  <sheetViews>
    <sheetView zoomScale="55" zoomScaleNormal="55" workbookViewId="0">
      <selection sqref="A1:Q1332"/>
    </sheetView>
  </sheetViews>
  <sheetFormatPr defaultColWidth="9" defaultRowHeight="13"/>
  <cols>
    <col min="1" max="1" width="37" bestFit="1" customWidth="1"/>
    <col min="2" max="2" width="27.19921875" bestFit="1" customWidth="1"/>
    <col min="3" max="3" width="34.5" bestFit="1" customWidth="1"/>
    <col min="4" max="4" width="23.19921875" bestFit="1" customWidth="1"/>
    <col min="5" max="5" width="33.19921875" bestFit="1" customWidth="1"/>
    <col min="6" max="6" width="75.69921875" bestFit="1" customWidth="1"/>
    <col min="7" max="7" width="17" bestFit="1" customWidth="1"/>
    <col min="8" max="8" width="38.796875" bestFit="1" customWidth="1"/>
    <col min="9" max="9" width="24.296875" bestFit="1" customWidth="1"/>
    <col min="10" max="10" width="35.8984375" bestFit="1" customWidth="1"/>
    <col min="11" max="13" width="19.8984375" bestFit="1" customWidth="1"/>
    <col min="14" max="14" width="17" bestFit="1" customWidth="1"/>
    <col min="15" max="15" width="30.09765625" bestFit="1" customWidth="1"/>
    <col min="16" max="16" width="24.296875" bestFit="1" customWidth="1"/>
    <col min="17" max="17" width="37.3984375" bestFit="1" customWidth="1"/>
    <col min="18" max="18" width="13.09765625" bestFit="1" customWidth="1"/>
    <col min="19" max="19" width="15.8984375" bestFit="1" customWidth="1"/>
    <col min="20" max="21" width="30.8984375" bestFit="1" customWidth="1"/>
    <col min="22" max="22" width="18.09765625" bestFit="1" customWidth="1"/>
  </cols>
  <sheetData>
    <row r="1" spans="1:17">
      <c r="A1" t="s">
        <v>0</v>
      </c>
      <c r="B1" t="s">
        <v>4</v>
      </c>
      <c r="C1" t="s">
        <v>5</v>
      </c>
      <c r="D1" t="s">
        <v>14</v>
      </c>
      <c r="E1" t="s">
        <v>15</v>
      </c>
      <c r="F1" t="s">
        <v>16</v>
      </c>
      <c r="G1" t="s">
        <v>20</v>
      </c>
      <c r="H1" t="s">
        <v>7419</v>
      </c>
      <c r="I1" t="s">
        <v>4408</v>
      </c>
      <c r="J1" t="s">
        <v>29</v>
      </c>
      <c r="K1" t="s">
        <v>10682</v>
      </c>
      <c r="L1" t="s">
        <v>37</v>
      </c>
      <c r="M1" t="s">
        <v>38</v>
      </c>
      <c r="N1" t="s">
        <v>39</v>
      </c>
      <c r="O1" t="s">
        <v>2511</v>
      </c>
      <c r="P1" t="s">
        <v>50</v>
      </c>
      <c r="Q1" t="s">
        <v>52</v>
      </c>
    </row>
    <row r="2" spans="1:17">
      <c r="A2" t="s">
        <v>4985</v>
      </c>
      <c r="B2" t="s">
        <v>64</v>
      </c>
      <c r="C2" t="s">
        <v>310</v>
      </c>
      <c r="D2" t="s">
        <v>4531</v>
      </c>
      <c r="E2" t="s">
        <v>4592</v>
      </c>
      <c r="F2" t="s">
        <v>330</v>
      </c>
      <c r="G2">
        <v>720</v>
      </c>
      <c r="H2" t="s">
        <v>75</v>
      </c>
      <c r="I2">
        <v>46182</v>
      </c>
      <c r="J2" t="s">
        <v>4986</v>
      </c>
      <c r="K2" s="1401">
        <v>46189</v>
      </c>
      <c r="L2" s="1401">
        <v>46248</v>
      </c>
      <c r="M2" s="1401">
        <v>46254.75</v>
      </c>
      <c r="N2" s="1401">
        <v>46254</v>
      </c>
      <c r="O2" t="s">
        <v>10683</v>
      </c>
      <c r="P2" s="1401" t="s">
        <v>2525</v>
      </c>
      <c r="Q2" s="1401">
        <v>46264</v>
      </c>
    </row>
    <row r="3" spans="1:17">
      <c r="A3" t="s">
        <v>5901</v>
      </c>
      <c r="B3" t="s">
        <v>144</v>
      </c>
      <c r="C3" t="s">
        <v>145</v>
      </c>
      <c r="D3" t="s">
        <v>4531</v>
      </c>
      <c r="E3" t="s">
        <v>4597</v>
      </c>
      <c r="F3" t="s">
        <v>4598</v>
      </c>
      <c r="G3">
        <v>2160</v>
      </c>
      <c r="H3" t="s">
        <v>75</v>
      </c>
      <c r="I3">
        <v>46238</v>
      </c>
      <c r="J3" t="s">
        <v>5902</v>
      </c>
      <c r="K3" s="1401">
        <v>46237</v>
      </c>
      <c r="L3" s="1401">
        <v>46274</v>
      </c>
      <c r="M3" s="1401">
        <v>46284</v>
      </c>
      <c r="N3" s="1401">
        <v>46287</v>
      </c>
      <c r="O3" t="s">
        <v>10683</v>
      </c>
      <c r="P3" s="1401" t="s">
        <v>2525</v>
      </c>
      <c r="Q3" s="1401">
        <v>46287</v>
      </c>
    </row>
    <row r="4" spans="1:17">
      <c r="A4" t="s">
        <v>5903</v>
      </c>
      <c r="B4" t="s">
        <v>144</v>
      </c>
      <c r="C4" t="s">
        <v>145</v>
      </c>
      <c r="D4" t="s">
        <v>4531</v>
      </c>
      <c r="E4" t="s">
        <v>4597</v>
      </c>
      <c r="F4" t="s">
        <v>4598</v>
      </c>
      <c r="G4">
        <v>1440</v>
      </c>
      <c r="H4" t="s">
        <v>951</v>
      </c>
      <c r="I4">
        <v>46238</v>
      </c>
      <c r="J4" t="s">
        <v>5904</v>
      </c>
      <c r="K4" s="1401">
        <v>46237</v>
      </c>
      <c r="L4" s="1401">
        <v>46274</v>
      </c>
      <c r="M4" s="1401">
        <v>46305</v>
      </c>
      <c r="N4" s="1401"/>
      <c r="O4" t="s">
        <v>10683</v>
      </c>
      <c r="P4" s="1401" t="s">
        <v>2525</v>
      </c>
      <c r="Q4" s="1401">
        <v>46305</v>
      </c>
    </row>
    <row r="5" spans="1:17">
      <c r="A5" t="s">
        <v>155</v>
      </c>
      <c r="B5" t="s">
        <v>144</v>
      </c>
      <c r="C5" t="s">
        <v>145</v>
      </c>
      <c r="D5" t="s">
        <v>70</v>
      </c>
      <c r="E5" t="s">
        <v>71</v>
      </c>
      <c r="F5" t="s">
        <v>72</v>
      </c>
      <c r="G5">
        <v>2592</v>
      </c>
      <c r="H5" t="s">
        <v>75</v>
      </c>
      <c r="I5">
        <v>46011</v>
      </c>
      <c r="J5" t="s">
        <v>158</v>
      </c>
      <c r="K5" s="1401">
        <v>46020</v>
      </c>
      <c r="L5" s="1401">
        <v>46088</v>
      </c>
      <c r="M5" s="1401">
        <v>46106</v>
      </c>
      <c r="N5" s="1401">
        <v>46106</v>
      </c>
      <c r="O5" t="s">
        <v>84</v>
      </c>
      <c r="P5" s="1401">
        <v>46026</v>
      </c>
      <c r="Q5" s="1401">
        <v>46106</v>
      </c>
    </row>
    <row r="6" spans="1:17">
      <c r="A6" t="s">
        <v>153</v>
      </c>
      <c r="B6" t="s">
        <v>144</v>
      </c>
      <c r="C6" t="s">
        <v>145</v>
      </c>
      <c r="D6" t="s">
        <v>70</v>
      </c>
      <c r="E6" t="s">
        <v>91</v>
      </c>
      <c r="F6" t="s">
        <v>92</v>
      </c>
      <c r="G6">
        <v>936</v>
      </c>
      <c r="H6" t="s">
        <v>75</v>
      </c>
      <c r="I6">
        <v>46009</v>
      </c>
      <c r="J6" t="s">
        <v>154</v>
      </c>
      <c r="K6" s="1401">
        <v>46017</v>
      </c>
      <c r="L6" s="1401">
        <v>46077</v>
      </c>
      <c r="M6" s="1401">
        <v>46090</v>
      </c>
      <c r="N6" s="1401">
        <v>46090</v>
      </c>
      <c r="O6" t="s">
        <v>84</v>
      </c>
      <c r="P6" s="1401">
        <v>46026</v>
      </c>
      <c r="Q6" s="1401">
        <v>46090</v>
      </c>
    </row>
    <row r="7" spans="1:17">
      <c r="A7" t="s">
        <v>143</v>
      </c>
      <c r="B7" t="s">
        <v>144</v>
      </c>
      <c r="C7" t="s">
        <v>145</v>
      </c>
      <c r="D7" t="s">
        <v>70</v>
      </c>
      <c r="E7" t="s">
        <v>91</v>
      </c>
      <c r="F7" t="s">
        <v>92</v>
      </c>
      <c r="G7">
        <v>936</v>
      </c>
      <c r="H7" t="s">
        <v>75</v>
      </c>
      <c r="I7">
        <v>46009</v>
      </c>
      <c r="J7" t="s">
        <v>148</v>
      </c>
      <c r="K7" s="1401">
        <v>46017</v>
      </c>
      <c r="L7" s="1401">
        <v>46077</v>
      </c>
      <c r="M7" s="1401">
        <v>46090</v>
      </c>
      <c r="N7" s="1401">
        <v>46090</v>
      </c>
      <c r="O7" t="s">
        <v>84</v>
      </c>
      <c r="P7" s="1401">
        <v>46026</v>
      </c>
      <c r="Q7" s="1401">
        <v>46090</v>
      </c>
    </row>
    <row r="8" spans="1:17">
      <c r="A8" t="s">
        <v>87</v>
      </c>
      <c r="B8" t="s">
        <v>64</v>
      </c>
      <c r="C8" t="s">
        <v>65</v>
      </c>
      <c r="D8" t="s">
        <v>70</v>
      </c>
      <c r="E8" t="s">
        <v>91</v>
      </c>
      <c r="F8" t="s">
        <v>92</v>
      </c>
      <c r="G8">
        <v>936</v>
      </c>
      <c r="H8" t="s">
        <v>75</v>
      </c>
      <c r="I8">
        <v>46003</v>
      </c>
      <c r="J8" t="s">
        <v>93</v>
      </c>
      <c r="K8" s="1401">
        <v>46009</v>
      </c>
      <c r="L8" s="1401">
        <v>46076</v>
      </c>
      <c r="M8" s="1401">
        <v>46098</v>
      </c>
      <c r="N8" s="1401">
        <v>46099</v>
      </c>
      <c r="O8" t="s">
        <v>84</v>
      </c>
      <c r="P8" s="1401">
        <v>46112</v>
      </c>
      <c r="Q8" s="1401">
        <v>46107</v>
      </c>
    </row>
    <row r="9" spans="1:17">
      <c r="A9" t="s">
        <v>95</v>
      </c>
      <c r="B9" t="s">
        <v>64</v>
      </c>
      <c r="C9" t="s">
        <v>65</v>
      </c>
      <c r="D9" t="s">
        <v>70</v>
      </c>
      <c r="E9" t="s">
        <v>91</v>
      </c>
      <c r="F9" t="s">
        <v>92</v>
      </c>
      <c r="G9">
        <v>2808</v>
      </c>
      <c r="H9" t="s">
        <v>75</v>
      </c>
      <c r="I9">
        <v>46003</v>
      </c>
      <c r="J9" t="s">
        <v>97</v>
      </c>
      <c r="K9" s="1401">
        <v>46009</v>
      </c>
      <c r="L9" s="1401">
        <v>46076</v>
      </c>
      <c r="M9" s="1401">
        <v>46098</v>
      </c>
      <c r="N9" s="1401">
        <v>46099</v>
      </c>
      <c r="O9" t="s">
        <v>84</v>
      </c>
      <c r="P9" s="1401">
        <v>46112</v>
      </c>
      <c r="Q9" s="1401">
        <v>46107</v>
      </c>
    </row>
    <row r="10" spans="1:17">
      <c r="A10" t="s">
        <v>60</v>
      </c>
      <c r="B10" t="s">
        <v>64</v>
      </c>
      <c r="C10" t="s">
        <v>65</v>
      </c>
      <c r="D10" t="s">
        <v>70</v>
      </c>
      <c r="E10" t="s">
        <v>71</v>
      </c>
      <c r="F10" t="s">
        <v>72</v>
      </c>
      <c r="G10">
        <v>2592</v>
      </c>
      <c r="H10" t="s">
        <v>75</v>
      </c>
      <c r="I10">
        <v>46003</v>
      </c>
      <c r="J10" t="s">
        <v>76</v>
      </c>
      <c r="K10" s="1401">
        <v>46009</v>
      </c>
      <c r="L10" s="1401">
        <v>46076</v>
      </c>
      <c r="M10" s="1401">
        <v>46098</v>
      </c>
      <c r="N10" s="1401">
        <v>46099</v>
      </c>
      <c r="O10" t="s">
        <v>84</v>
      </c>
      <c r="P10" s="1401">
        <v>46112</v>
      </c>
      <c r="Q10" s="1401">
        <v>46107</v>
      </c>
    </row>
    <row r="11" spans="1:17">
      <c r="A11" t="s">
        <v>192</v>
      </c>
      <c r="B11" t="s">
        <v>64</v>
      </c>
      <c r="C11" t="s">
        <v>100</v>
      </c>
      <c r="D11" t="s">
        <v>70</v>
      </c>
      <c r="E11" t="s">
        <v>195</v>
      </c>
      <c r="F11" t="s">
        <v>196</v>
      </c>
      <c r="G11">
        <v>1872</v>
      </c>
      <c r="H11" t="s">
        <v>75</v>
      </c>
      <c r="I11">
        <v>46016</v>
      </c>
      <c r="J11" t="s">
        <v>198</v>
      </c>
      <c r="K11" s="1401">
        <v>46027</v>
      </c>
      <c r="L11" s="1401">
        <v>46081</v>
      </c>
      <c r="M11" s="1401">
        <v>46094</v>
      </c>
      <c r="N11" s="1401">
        <v>46094</v>
      </c>
      <c r="O11" t="s">
        <v>84</v>
      </c>
      <c r="P11" s="1401">
        <v>46097</v>
      </c>
      <c r="Q11" s="1401">
        <v>46101</v>
      </c>
    </row>
    <row r="12" spans="1:17">
      <c r="A12" t="s">
        <v>110</v>
      </c>
      <c r="B12" t="s">
        <v>64</v>
      </c>
      <c r="C12" t="s">
        <v>114</v>
      </c>
      <c r="D12" t="s">
        <v>70</v>
      </c>
      <c r="E12" t="s">
        <v>118</v>
      </c>
      <c r="F12" t="s">
        <v>119</v>
      </c>
      <c r="G12">
        <v>2304</v>
      </c>
      <c r="H12" t="s">
        <v>75</v>
      </c>
      <c r="I12">
        <v>46015</v>
      </c>
      <c r="J12" t="s">
        <v>121</v>
      </c>
      <c r="K12" s="1401">
        <v>46020</v>
      </c>
      <c r="L12" s="1401">
        <v>46072</v>
      </c>
      <c r="M12" s="1401">
        <v>46092</v>
      </c>
      <c r="N12" s="1401">
        <v>46094</v>
      </c>
      <c r="O12" t="s">
        <v>84</v>
      </c>
      <c r="P12" s="1401">
        <v>46104</v>
      </c>
      <c r="Q12" s="1401">
        <v>46103</v>
      </c>
    </row>
    <row r="13" spans="1:17">
      <c r="A13" t="s">
        <v>177</v>
      </c>
      <c r="B13" t="s">
        <v>64</v>
      </c>
      <c r="C13" t="s">
        <v>114</v>
      </c>
      <c r="D13" t="s">
        <v>70</v>
      </c>
      <c r="E13" t="s">
        <v>118</v>
      </c>
      <c r="F13" t="s">
        <v>119</v>
      </c>
      <c r="G13">
        <v>1152</v>
      </c>
      <c r="H13" t="s">
        <v>75</v>
      </c>
      <c r="I13">
        <v>46018</v>
      </c>
      <c r="J13" t="s">
        <v>178</v>
      </c>
      <c r="K13" s="1401">
        <v>46021</v>
      </c>
      <c r="L13" s="1401">
        <v>46065</v>
      </c>
      <c r="M13" s="1401">
        <v>46088</v>
      </c>
      <c r="N13" s="1401">
        <v>46089</v>
      </c>
      <c r="O13" t="s">
        <v>84</v>
      </c>
      <c r="P13" s="1401">
        <v>46100</v>
      </c>
      <c r="Q13" s="1401">
        <v>46098</v>
      </c>
    </row>
    <row r="14" spans="1:17">
      <c r="A14" t="s">
        <v>547</v>
      </c>
      <c r="B14" t="s">
        <v>144</v>
      </c>
      <c r="C14" t="s">
        <v>145</v>
      </c>
      <c r="D14" t="s">
        <v>550</v>
      </c>
      <c r="E14" t="s">
        <v>551</v>
      </c>
      <c r="F14" t="s">
        <v>552</v>
      </c>
      <c r="G14">
        <v>2376</v>
      </c>
      <c r="H14" t="s">
        <v>75</v>
      </c>
      <c r="I14">
        <v>46040</v>
      </c>
      <c r="J14" t="s">
        <v>554</v>
      </c>
      <c r="K14" s="1401">
        <v>46047</v>
      </c>
      <c r="L14" s="1401">
        <v>46093</v>
      </c>
      <c r="M14" s="1401">
        <v>46107</v>
      </c>
      <c r="N14" s="1401">
        <v>46107</v>
      </c>
      <c r="O14" t="s">
        <v>84</v>
      </c>
      <c r="P14" s="1401">
        <v>46104</v>
      </c>
      <c r="Q14" s="1401">
        <v>46107</v>
      </c>
    </row>
    <row r="15" spans="1:17">
      <c r="A15" t="s">
        <v>400</v>
      </c>
      <c r="B15" t="s">
        <v>144</v>
      </c>
      <c r="C15" t="s">
        <v>145</v>
      </c>
      <c r="D15" t="s">
        <v>132</v>
      </c>
      <c r="E15" t="s">
        <v>405</v>
      </c>
      <c r="F15" t="s">
        <v>406</v>
      </c>
      <c r="G15">
        <v>2376</v>
      </c>
      <c r="H15" t="s">
        <v>75</v>
      </c>
      <c r="I15">
        <v>46035</v>
      </c>
      <c r="J15" t="s">
        <v>407</v>
      </c>
      <c r="K15" s="1401">
        <v>46042</v>
      </c>
      <c r="L15" s="1401">
        <v>46086</v>
      </c>
      <c r="M15" s="1401">
        <v>46079</v>
      </c>
      <c r="N15" s="1401">
        <v>46079</v>
      </c>
      <c r="O15" t="s">
        <v>84</v>
      </c>
      <c r="P15" s="1401">
        <v>46086</v>
      </c>
      <c r="Q15" s="1401">
        <v>46079</v>
      </c>
    </row>
    <row r="16" spans="1:17">
      <c r="A16" t="s">
        <v>537</v>
      </c>
      <c r="B16" t="s">
        <v>144</v>
      </c>
      <c r="C16" t="s">
        <v>145</v>
      </c>
      <c r="D16" t="s">
        <v>473</v>
      </c>
      <c r="E16" t="s">
        <v>529</v>
      </c>
      <c r="F16" t="s">
        <v>530</v>
      </c>
      <c r="G16">
        <v>1728</v>
      </c>
      <c r="H16" t="s">
        <v>75</v>
      </c>
      <c r="I16">
        <v>46040</v>
      </c>
      <c r="J16" t="s">
        <v>540</v>
      </c>
      <c r="K16" s="1401">
        <v>46047</v>
      </c>
      <c r="L16" s="1401">
        <v>46093</v>
      </c>
      <c r="M16" s="1401">
        <v>46107</v>
      </c>
      <c r="N16" s="1401">
        <v>46107</v>
      </c>
      <c r="O16" t="s">
        <v>84</v>
      </c>
      <c r="P16" s="1401">
        <v>46104</v>
      </c>
      <c r="Q16" s="1401">
        <v>46107</v>
      </c>
    </row>
    <row r="17" spans="1:17">
      <c r="A17" t="s">
        <v>555</v>
      </c>
      <c r="B17" t="s">
        <v>144</v>
      </c>
      <c r="C17" t="s">
        <v>145</v>
      </c>
      <c r="D17" t="s">
        <v>473</v>
      </c>
      <c r="E17" t="s">
        <v>529</v>
      </c>
      <c r="F17" t="s">
        <v>530</v>
      </c>
      <c r="G17">
        <v>5184</v>
      </c>
      <c r="H17" t="s">
        <v>75</v>
      </c>
      <c r="I17">
        <v>46040</v>
      </c>
      <c r="J17" t="s">
        <v>556</v>
      </c>
      <c r="K17" s="1401">
        <v>46047</v>
      </c>
      <c r="L17" s="1401">
        <v>46093</v>
      </c>
      <c r="M17" s="1401">
        <v>46107</v>
      </c>
      <c r="N17" s="1401">
        <v>46107</v>
      </c>
      <c r="O17" t="s">
        <v>84</v>
      </c>
      <c r="P17" s="1401">
        <v>46104</v>
      </c>
      <c r="Q17" s="1401">
        <v>46107</v>
      </c>
    </row>
    <row r="18" spans="1:17">
      <c r="A18" t="s">
        <v>545</v>
      </c>
      <c r="B18" t="s">
        <v>144</v>
      </c>
      <c r="C18" t="s">
        <v>145</v>
      </c>
      <c r="D18" t="s">
        <v>473</v>
      </c>
      <c r="E18" t="s">
        <v>529</v>
      </c>
      <c r="F18" t="s">
        <v>530</v>
      </c>
      <c r="G18">
        <v>2592</v>
      </c>
      <c r="H18" t="s">
        <v>75</v>
      </c>
      <c r="I18">
        <v>46040</v>
      </c>
      <c r="J18" t="s">
        <v>546</v>
      </c>
      <c r="K18" s="1401">
        <v>46047</v>
      </c>
      <c r="L18" s="1401">
        <v>46093</v>
      </c>
      <c r="M18" s="1401">
        <v>46107</v>
      </c>
      <c r="N18" s="1401">
        <v>46107</v>
      </c>
      <c r="O18" t="s">
        <v>84</v>
      </c>
      <c r="P18" s="1401">
        <v>46104</v>
      </c>
      <c r="Q18" s="1401">
        <v>46107</v>
      </c>
    </row>
    <row r="19" spans="1:17">
      <c r="A19" t="s">
        <v>573</v>
      </c>
      <c r="B19" t="s">
        <v>144</v>
      </c>
      <c r="C19" t="s">
        <v>145</v>
      </c>
      <c r="D19" t="s">
        <v>70</v>
      </c>
      <c r="E19" t="s">
        <v>570</v>
      </c>
      <c r="F19" t="s">
        <v>571</v>
      </c>
      <c r="G19">
        <v>4680</v>
      </c>
      <c r="H19" t="s">
        <v>75</v>
      </c>
      <c r="I19">
        <v>46044</v>
      </c>
      <c r="J19" t="s">
        <v>575</v>
      </c>
      <c r="K19" s="1401">
        <v>46050</v>
      </c>
      <c r="L19" s="1401">
        <v>46119</v>
      </c>
      <c r="M19" s="1401">
        <v>46128</v>
      </c>
      <c r="N19" s="1401">
        <v>46128</v>
      </c>
      <c r="O19" t="s">
        <v>84</v>
      </c>
      <c r="P19" s="1401">
        <v>46118</v>
      </c>
      <c r="Q19" s="1401">
        <v>46128</v>
      </c>
    </row>
    <row r="20" spans="1:17">
      <c r="A20" t="s">
        <v>557</v>
      </c>
      <c r="B20" t="s">
        <v>144</v>
      </c>
      <c r="C20" t="s">
        <v>145</v>
      </c>
      <c r="D20" t="s">
        <v>70</v>
      </c>
      <c r="E20" t="s">
        <v>560</v>
      </c>
      <c r="F20" t="s">
        <v>196</v>
      </c>
      <c r="G20">
        <v>1872</v>
      </c>
      <c r="H20" t="s">
        <v>75</v>
      </c>
      <c r="I20">
        <v>46044</v>
      </c>
      <c r="J20" t="s">
        <v>561</v>
      </c>
      <c r="K20" s="1401">
        <v>46050</v>
      </c>
      <c r="L20" s="1401">
        <v>46119</v>
      </c>
      <c r="M20" s="1401">
        <v>46128</v>
      </c>
      <c r="N20" s="1401">
        <v>46128</v>
      </c>
      <c r="O20" t="s">
        <v>84</v>
      </c>
      <c r="P20" s="1401">
        <v>46118</v>
      </c>
      <c r="Q20" s="1401">
        <v>46128</v>
      </c>
    </row>
    <row r="21" spans="1:17">
      <c r="A21" t="s">
        <v>565</v>
      </c>
      <c r="B21" t="s">
        <v>144</v>
      </c>
      <c r="C21" t="s">
        <v>145</v>
      </c>
      <c r="D21" t="s">
        <v>70</v>
      </c>
      <c r="E21" t="s">
        <v>560</v>
      </c>
      <c r="F21" t="s">
        <v>196</v>
      </c>
      <c r="G21">
        <v>1872</v>
      </c>
      <c r="H21" t="s">
        <v>75</v>
      </c>
      <c r="I21">
        <v>46044</v>
      </c>
      <c r="J21" t="s">
        <v>567</v>
      </c>
      <c r="K21" s="1401">
        <v>46050</v>
      </c>
      <c r="L21" s="1401">
        <v>46119</v>
      </c>
      <c r="M21" s="1401">
        <v>46128</v>
      </c>
      <c r="N21" s="1401">
        <v>46128</v>
      </c>
      <c r="O21" t="s">
        <v>84</v>
      </c>
      <c r="P21" s="1401">
        <v>46118</v>
      </c>
      <c r="Q21" s="1401">
        <v>46128</v>
      </c>
    </row>
    <row r="22" spans="1:17">
      <c r="A22" t="s">
        <v>568</v>
      </c>
      <c r="B22" t="s">
        <v>144</v>
      </c>
      <c r="C22" t="s">
        <v>145</v>
      </c>
      <c r="D22" t="s">
        <v>70</v>
      </c>
      <c r="E22" t="s">
        <v>570</v>
      </c>
      <c r="F22" t="s">
        <v>571</v>
      </c>
      <c r="G22">
        <v>3744</v>
      </c>
      <c r="H22" t="s">
        <v>75</v>
      </c>
      <c r="I22">
        <v>46044</v>
      </c>
      <c r="J22" t="s">
        <v>572</v>
      </c>
      <c r="K22" s="1401">
        <v>46050</v>
      </c>
      <c r="L22" s="1401">
        <v>46119</v>
      </c>
      <c r="M22" s="1401">
        <v>46128</v>
      </c>
      <c r="N22" s="1401">
        <v>46128</v>
      </c>
      <c r="O22" t="s">
        <v>84</v>
      </c>
      <c r="P22" s="1401">
        <v>46118</v>
      </c>
      <c r="Q22" s="1401">
        <v>46128</v>
      </c>
    </row>
    <row r="23" spans="1:17">
      <c r="A23" t="s">
        <v>592</v>
      </c>
      <c r="B23" t="s">
        <v>144</v>
      </c>
      <c r="C23" t="s">
        <v>145</v>
      </c>
      <c r="D23" t="s">
        <v>70</v>
      </c>
      <c r="E23" t="s">
        <v>195</v>
      </c>
      <c r="F23" t="s">
        <v>196</v>
      </c>
      <c r="G23">
        <v>1872</v>
      </c>
      <c r="H23" t="s">
        <v>75</v>
      </c>
      <c r="I23">
        <v>46041</v>
      </c>
      <c r="J23" t="s">
        <v>596</v>
      </c>
      <c r="K23" s="1401">
        <v>46048</v>
      </c>
      <c r="L23" s="1401">
        <v>46114</v>
      </c>
      <c r="M23" s="1401"/>
      <c r="N23" s="1401">
        <v>46112</v>
      </c>
      <c r="O23" t="s">
        <v>84</v>
      </c>
      <c r="P23" s="1401">
        <v>46114</v>
      </c>
      <c r="Q23" s="1401">
        <v>46112</v>
      </c>
    </row>
    <row r="24" spans="1:17">
      <c r="A24" t="s">
        <v>341</v>
      </c>
      <c r="B24" t="s">
        <v>64</v>
      </c>
      <c r="C24" t="s">
        <v>100</v>
      </c>
      <c r="D24" t="s">
        <v>70</v>
      </c>
      <c r="E24" t="s">
        <v>329</v>
      </c>
      <c r="F24" t="s">
        <v>330</v>
      </c>
      <c r="G24">
        <v>7200</v>
      </c>
      <c r="H24" t="s">
        <v>75</v>
      </c>
      <c r="I24">
        <v>46026</v>
      </c>
      <c r="J24" t="s">
        <v>342</v>
      </c>
      <c r="K24" s="1401">
        <v>46036</v>
      </c>
      <c r="L24" s="1401">
        <v>46077</v>
      </c>
      <c r="M24" s="1401">
        <v>46094</v>
      </c>
      <c r="N24" s="1401">
        <v>46094</v>
      </c>
      <c r="O24" t="s">
        <v>84</v>
      </c>
      <c r="P24" s="1401">
        <v>46107</v>
      </c>
      <c r="Q24" s="1401">
        <v>46101</v>
      </c>
    </row>
    <row r="25" spans="1:17">
      <c r="A25" t="s">
        <v>336</v>
      </c>
      <c r="B25" t="s">
        <v>64</v>
      </c>
      <c r="C25" t="s">
        <v>100</v>
      </c>
      <c r="D25" t="s">
        <v>70</v>
      </c>
      <c r="E25" t="s">
        <v>195</v>
      </c>
      <c r="F25" t="s">
        <v>196</v>
      </c>
      <c r="G25">
        <v>936</v>
      </c>
      <c r="H25" t="s">
        <v>75</v>
      </c>
      <c r="I25">
        <v>46030</v>
      </c>
      <c r="J25" t="s">
        <v>337</v>
      </c>
      <c r="K25" s="1401">
        <v>46036</v>
      </c>
      <c r="L25" s="1401">
        <v>46077</v>
      </c>
      <c r="M25" s="1401">
        <v>46094</v>
      </c>
      <c r="N25" s="1401">
        <v>46094</v>
      </c>
      <c r="O25" t="s">
        <v>84</v>
      </c>
      <c r="P25" s="1401">
        <v>46107</v>
      </c>
      <c r="Q25" s="1401">
        <v>46101</v>
      </c>
    </row>
    <row r="26" spans="1:17">
      <c r="A26" t="s">
        <v>292</v>
      </c>
      <c r="B26" t="s">
        <v>64</v>
      </c>
      <c r="C26" t="s">
        <v>100</v>
      </c>
      <c r="D26" t="s">
        <v>284</v>
      </c>
      <c r="E26" t="s">
        <v>285</v>
      </c>
      <c r="F26" t="s">
        <v>286</v>
      </c>
      <c r="G26">
        <v>4810</v>
      </c>
      <c r="H26" t="s">
        <v>75</v>
      </c>
      <c r="I26">
        <v>46030</v>
      </c>
      <c r="J26" t="s">
        <v>294</v>
      </c>
      <c r="K26" s="1401">
        <v>46038</v>
      </c>
      <c r="L26" s="1401">
        <v>46069</v>
      </c>
      <c r="M26" s="1401">
        <v>46087</v>
      </c>
      <c r="N26" s="1401">
        <v>46087</v>
      </c>
      <c r="O26" t="s">
        <v>84</v>
      </c>
      <c r="P26" s="1401">
        <v>46094</v>
      </c>
      <c r="Q26" s="1401">
        <v>46094</v>
      </c>
    </row>
    <row r="27" spans="1:17">
      <c r="A27" t="s">
        <v>295</v>
      </c>
      <c r="B27" t="s">
        <v>64</v>
      </c>
      <c r="C27" t="s">
        <v>100</v>
      </c>
      <c r="D27" t="s">
        <v>298</v>
      </c>
      <c r="E27" t="s">
        <v>299</v>
      </c>
      <c r="F27" t="s">
        <v>300</v>
      </c>
      <c r="G27">
        <v>1924</v>
      </c>
      <c r="H27" t="s">
        <v>75</v>
      </c>
      <c r="I27">
        <v>46031</v>
      </c>
      <c r="J27" t="s">
        <v>301</v>
      </c>
      <c r="K27" s="1401">
        <v>46038</v>
      </c>
      <c r="L27" s="1401">
        <v>46069</v>
      </c>
      <c r="M27" s="1401">
        <v>46087</v>
      </c>
      <c r="N27" s="1401">
        <v>46087</v>
      </c>
      <c r="O27" t="s">
        <v>84</v>
      </c>
      <c r="P27" s="1401">
        <v>46101</v>
      </c>
      <c r="Q27" s="1401">
        <v>46094</v>
      </c>
    </row>
    <row r="28" spans="1:17">
      <c r="A28" t="s">
        <v>280</v>
      </c>
      <c r="B28" t="s">
        <v>64</v>
      </c>
      <c r="C28" t="s">
        <v>100</v>
      </c>
      <c r="D28" t="s">
        <v>284</v>
      </c>
      <c r="E28" t="s">
        <v>285</v>
      </c>
      <c r="F28" t="s">
        <v>286</v>
      </c>
      <c r="G28">
        <v>962</v>
      </c>
      <c r="H28" t="s">
        <v>75</v>
      </c>
      <c r="I28">
        <v>46030</v>
      </c>
      <c r="J28" t="s">
        <v>287</v>
      </c>
      <c r="K28" s="1401">
        <v>46038</v>
      </c>
      <c r="L28" s="1401">
        <v>46069</v>
      </c>
      <c r="M28" s="1401">
        <v>46087</v>
      </c>
      <c r="N28" s="1401">
        <v>46087</v>
      </c>
      <c r="O28" t="s">
        <v>84</v>
      </c>
      <c r="P28" s="1401">
        <v>46094</v>
      </c>
      <c r="Q28" s="1401">
        <v>46094</v>
      </c>
    </row>
    <row r="29" spans="1:17">
      <c r="A29" t="s">
        <v>209</v>
      </c>
      <c r="B29" t="s">
        <v>64</v>
      </c>
      <c r="C29" t="s">
        <v>100</v>
      </c>
      <c r="D29" t="s">
        <v>170</v>
      </c>
      <c r="E29" t="s">
        <v>171</v>
      </c>
      <c r="F29" t="s">
        <v>172</v>
      </c>
      <c r="G29">
        <v>660</v>
      </c>
      <c r="H29" t="s">
        <v>75</v>
      </c>
      <c r="I29">
        <v>46028</v>
      </c>
      <c r="J29" t="s">
        <v>210</v>
      </c>
      <c r="K29" s="1401">
        <v>46031</v>
      </c>
      <c r="L29" s="1401">
        <v>46069</v>
      </c>
      <c r="M29" s="1401">
        <v>46087</v>
      </c>
      <c r="N29" s="1401">
        <v>46087</v>
      </c>
      <c r="O29" t="s">
        <v>84</v>
      </c>
      <c r="P29" s="1401">
        <v>46101</v>
      </c>
      <c r="Q29" s="1401">
        <v>46094</v>
      </c>
    </row>
    <row r="30" spans="1:17">
      <c r="A30" t="s">
        <v>304</v>
      </c>
      <c r="B30" t="s">
        <v>64</v>
      </c>
      <c r="C30" t="s">
        <v>100</v>
      </c>
      <c r="D30" t="s">
        <v>298</v>
      </c>
      <c r="E30" t="s">
        <v>306</v>
      </c>
      <c r="F30" t="s">
        <v>307</v>
      </c>
      <c r="G30">
        <v>2886</v>
      </c>
      <c r="H30" t="s">
        <v>75</v>
      </c>
      <c r="I30">
        <v>46031</v>
      </c>
      <c r="J30" t="s">
        <v>308</v>
      </c>
      <c r="K30" s="1401">
        <v>46038</v>
      </c>
      <c r="L30" s="1401">
        <v>46069</v>
      </c>
      <c r="M30" s="1401">
        <v>46087</v>
      </c>
      <c r="N30" s="1401">
        <v>46087</v>
      </c>
      <c r="O30" t="s">
        <v>84</v>
      </c>
      <c r="P30" s="1401">
        <v>46101</v>
      </c>
      <c r="Q30" s="1401">
        <v>46094</v>
      </c>
    </row>
    <row r="31" spans="1:17">
      <c r="A31" t="s">
        <v>214</v>
      </c>
      <c r="B31" t="s">
        <v>64</v>
      </c>
      <c r="C31" t="s">
        <v>100</v>
      </c>
      <c r="D31" t="s">
        <v>70</v>
      </c>
      <c r="E31" t="s">
        <v>218</v>
      </c>
      <c r="F31" t="s">
        <v>219</v>
      </c>
      <c r="G31">
        <v>2880</v>
      </c>
      <c r="H31" t="s">
        <v>75</v>
      </c>
      <c r="I31">
        <v>46028</v>
      </c>
      <c r="J31" t="s">
        <v>220</v>
      </c>
      <c r="K31" s="1401">
        <v>46033</v>
      </c>
      <c r="L31" s="1401">
        <v>46070</v>
      </c>
      <c r="M31" s="1401">
        <v>46074</v>
      </c>
      <c r="N31" s="1401">
        <v>46078</v>
      </c>
      <c r="O31" t="s">
        <v>84</v>
      </c>
      <c r="P31" s="1401">
        <v>46090</v>
      </c>
      <c r="Q31" s="1401">
        <v>46085</v>
      </c>
    </row>
    <row r="32" spans="1:17">
      <c r="A32" t="s">
        <v>224</v>
      </c>
      <c r="B32" t="s">
        <v>64</v>
      </c>
      <c r="C32" t="s">
        <v>100</v>
      </c>
      <c r="D32" t="s">
        <v>70</v>
      </c>
      <c r="E32" t="s">
        <v>218</v>
      </c>
      <c r="F32" t="s">
        <v>219</v>
      </c>
      <c r="G32">
        <v>5040</v>
      </c>
      <c r="H32" t="s">
        <v>75</v>
      </c>
      <c r="I32">
        <v>46028</v>
      </c>
      <c r="J32" t="s">
        <v>225</v>
      </c>
      <c r="K32" s="1401">
        <v>46033</v>
      </c>
      <c r="L32" s="1401">
        <v>46070</v>
      </c>
      <c r="M32" s="1401">
        <v>46074</v>
      </c>
      <c r="N32" s="1401">
        <v>46078</v>
      </c>
      <c r="O32" t="s">
        <v>84</v>
      </c>
      <c r="P32" s="1401">
        <v>46090</v>
      </c>
      <c r="Q32" s="1401">
        <v>46085</v>
      </c>
    </row>
    <row r="33" spans="1:17">
      <c r="A33" t="s">
        <v>235</v>
      </c>
      <c r="B33" t="s">
        <v>64</v>
      </c>
      <c r="C33" t="s">
        <v>114</v>
      </c>
      <c r="D33" t="s">
        <v>70</v>
      </c>
      <c r="E33" t="s">
        <v>118</v>
      </c>
      <c r="F33" t="s">
        <v>119</v>
      </c>
      <c r="G33">
        <v>1152</v>
      </c>
      <c r="H33" t="s">
        <v>75</v>
      </c>
      <c r="I33">
        <v>46024</v>
      </c>
      <c r="J33" t="s">
        <v>236</v>
      </c>
      <c r="K33" s="1401">
        <v>46028</v>
      </c>
      <c r="L33" s="1401">
        <v>46072</v>
      </c>
      <c r="M33" s="1401">
        <v>46072</v>
      </c>
      <c r="N33" s="1401">
        <v>46075</v>
      </c>
      <c r="O33" t="s">
        <v>84</v>
      </c>
      <c r="P33" s="1401">
        <v>46086</v>
      </c>
      <c r="Q33" s="1401">
        <v>46084</v>
      </c>
    </row>
    <row r="34" spans="1:17">
      <c r="A34" t="s">
        <v>260</v>
      </c>
      <c r="B34" t="s">
        <v>64</v>
      </c>
      <c r="C34" t="s">
        <v>100</v>
      </c>
      <c r="D34" t="s">
        <v>170</v>
      </c>
      <c r="E34" t="s">
        <v>171</v>
      </c>
      <c r="F34" t="s">
        <v>172</v>
      </c>
      <c r="G34">
        <v>1320</v>
      </c>
      <c r="H34" t="s">
        <v>75</v>
      </c>
      <c r="I34">
        <v>46029</v>
      </c>
      <c r="J34" t="s">
        <v>261</v>
      </c>
      <c r="K34" s="1401">
        <v>46035</v>
      </c>
      <c r="L34" s="1401">
        <v>46071</v>
      </c>
      <c r="M34" s="1401">
        <v>46083</v>
      </c>
      <c r="N34" s="1401">
        <v>46083</v>
      </c>
      <c r="O34" t="s">
        <v>84</v>
      </c>
      <c r="P34" s="1401">
        <v>46097</v>
      </c>
      <c r="Q34" s="1401">
        <v>46090</v>
      </c>
    </row>
    <row r="35" spans="1:17">
      <c r="A35" t="s">
        <v>239</v>
      </c>
      <c r="B35" t="s">
        <v>64</v>
      </c>
      <c r="C35" t="s">
        <v>114</v>
      </c>
      <c r="D35" t="s">
        <v>70</v>
      </c>
      <c r="E35" t="s">
        <v>118</v>
      </c>
      <c r="F35" t="s">
        <v>119</v>
      </c>
      <c r="G35">
        <v>967</v>
      </c>
      <c r="H35" t="s">
        <v>75</v>
      </c>
      <c r="I35">
        <v>46027</v>
      </c>
      <c r="J35" t="s">
        <v>240</v>
      </c>
      <c r="K35" s="1401">
        <v>46032</v>
      </c>
      <c r="L35" s="1401">
        <v>46072</v>
      </c>
      <c r="M35" s="1401">
        <v>46076</v>
      </c>
      <c r="N35" s="1401">
        <v>46078</v>
      </c>
      <c r="O35" t="s">
        <v>84</v>
      </c>
      <c r="P35" s="1401">
        <v>46092</v>
      </c>
      <c r="Q35" s="1401">
        <v>46087</v>
      </c>
    </row>
    <row r="36" spans="1:17">
      <c r="A36" t="s">
        <v>244</v>
      </c>
      <c r="B36" t="s">
        <v>64</v>
      </c>
      <c r="C36" t="s">
        <v>114</v>
      </c>
      <c r="D36" t="s">
        <v>70</v>
      </c>
      <c r="E36" t="s">
        <v>118</v>
      </c>
      <c r="F36" t="s">
        <v>119</v>
      </c>
      <c r="G36">
        <v>761</v>
      </c>
      <c r="H36" t="s">
        <v>75</v>
      </c>
      <c r="I36">
        <v>46027</v>
      </c>
      <c r="J36" t="s">
        <v>240</v>
      </c>
      <c r="K36" s="1401">
        <v>46032</v>
      </c>
      <c r="L36" s="1401">
        <v>46072</v>
      </c>
      <c r="M36" s="1401">
        <v>46076</v>
      </c>
      <c r="N36" s="1401">
        <v>46078</v>
      </c>
      <c r="O36" t="s">
        <v>84</v>
      </c>
      <c r="P36" s="1401">
        <v>46092</v>
      </c>
      <c r="Q36" s="1401">
        <v>46087</v>
      </c>
    </row>
    <row r="37" spans="1:17">
      <c r="A37" t="s">
        <v>226</v>
      </c>
      <c r="B37" t="s">
        <v>64</v>
      </c>
      <c r="C37" t="s">
        <v>65</v>
      </c>
      <c r="D37" t="s">
        <v>170</v>
      </c>
      <c r="E37" t="s">
        <v>171</v>
      </c>
      <c r="F37" t="s">
        <v>172</v>
      </c>
      <c r="G37">
        <v>1320</v>
      </c>
      <c r="H37" t="s">
        <v>75</v>
      </c>
      <c r="I37">
        <v>46024</v>
      </c>
      <c r="J37" t="s">
        <v>227</v>
      </c>
      <c r="K37" s="1401">
        <v>46028</v>
      </c>
      <c r="L37" s="1401">
        <v>46077</v>
      </c>
      <c r="M37" s="1401">
        <v>46083</v>
      </c>
      <c r="N37" s="1401">
        <v>46083</v>
      </c>
      <c r="O37" t="s">
        <v>84</v>
      </c>
      <c r="P37" s="1401">
        <v>46097</v>
      </c>
      <c r="Q37" s="1401">
        <v>46091</v>
      </c>
    </row>
    <row r="38" spans="1:17">
      <c r="A38" t="s">
        <v>325</v>
      </c>
      <c r="B38" t="s">
        <v>64</v>
      </c>
      <c r="C38" t="s">
        <v>100</v>
      </c>
      <c r="D38" t="s">
        <v>70</v>
      </c>
      <c r="E38" t="s">
        <v>329</v>
      </c>
      <c r="F38" t="s">
        <v>330</v>
      </c>
      <c r="G38">
        <v>7200</v>
      </c>
      <c r="H38" t="s">
        <v>75</v>
      </c>
      <c r="I38">
        <v>46030</v>
      </c>
      <c r="J38" t="s">
        <v>332</v>
      </c>
      <c r="K38" s="1401">
        <v>46036</v>
      </c>
      <c r="L38" s="1401">
        <v>46077</v>
      </c>
      <c r="M38" s="1401">
        <v>46094</v>
      </c>
      <c r="N38" s="1401">
        <v>46094</v>
      </c>
      <c r="O38" t="s">
        <v>84</v>
      </c>
      <c r="P38" s="1401">
        <v>46104</v>
      </c>
      <c r="Q38" s="1401">
        <v>46101</v>
      </c>
    </row>
    <row r="39" spans="1:17">
      <c r="A39" t="s">
        <v>231</v>
      </c>
      <c r="B39" t="s">
        <v>64</v>
      </c>
      <c r="C39" t="s">
        <v>65</v>
      </c>
      <c r="D39" t="s">
        <v>170</v>
      </c>
      <c r="E39" t="s">
        <v>171</v>
      </c>
      <c r="F39" t="s">
        <v>172</v>
      </c>
      <c r="G39">
        <v>1320</v>
      </c>
      <c r="H39" t="s">
        <v>75</v>
      </c>
      <c r="I39">
        <v>46024</v>
      </c>
      <c r="J39" t="s">
        <v>233</v>
      </c>
      <c r="K39" s="1401">
        <v>46028</v>
      </c>
      <c r="L39" s="1401">
        <v>46077</v>
      </c>
      <c r="M39" s="1401">
        <v>46083</v>
      </c>
      <c r="N39" s="1401">
        <v>46083</v>
      </c>
      <c r="O39" t="s">
        <v>84</v>
      </c>
      <c r="P39" s="1401">
        <v>46097</v>
      </c>
      <c r="Q39" s="1401">
        <v>46091</v>
      </c>
    </row>
    <row r="40" spans="1:17">
      <c r="A40" t="s">
        <v>669</v>
      </c>
      <c r="B40" t="s">
        <v>144</v>
      </c>
      <c r="C40" t="s">
        <v>145</v>
      </c>
      <c r="D40" t="s">
        <v>284</v>
      </c>
      <c r="E40" t="s">
        <v>602</v>
      </c>
      <c r="F40" t="s">
        <v>603</v>
      </c>
      <c r="G40">
        <v>13468</v>
      </c>
      <c r="H40" t="s">
        <v>75</v>
      </c>
      <c r="I40">
        <v>46041</v>
      </c>
      <c r="J40" t="s">
        <v>673</v>
      </c>
      <c r="K40" s="1401">
        <v>46045</v>
      </c>
      <c r="L40" s="1401">
        <v>46071</v>
      </c>
      <c r="M40" s="1401">
        <v>46080</v>
      </c>
      <c r="N40" s="1401">
        <v>46084</v>
      </c>
      <c r="O40" t="s">
        <v>84</v>
      </c>
      <c r="P40" s="1401">
        <v>46085</v>
      </c>
      <c r="Q40" s="1401">
        <v>46084</v>
      </c>
    </row>
    <row r="41" spans="1:17">
      <c r="A41" t="s">
        <v>276</v>
      </c>
      <c r="B41" t="s">
        <v>64</v>
      </c>
      <c r="C41" t="s">
        <v>114</v>
      </c>
      <c r="D41" t="s">
        <v>70</v>
      </c>
      <c r="E41" t="s">
        <v>118</v>
      </c>
      <c r="F41" t="s">
        <v>119</v>
      </c>
      <c r="G41">
        <v>180</v>
      </c>
      <c r="H41" t="s">
        <v>75</v>
      </c>
      <c r="I41">
        <v>46029</v>
      </c>
      <c r="J41" t="s">
        <v>277</v>
      </c>
      <c r="K41" s="1401">
        <v>46035</v>
      </c>
      <c r="L41" s="1401">
        <v>46079</v>
      </c>
      <c r="M41" s="1401">
        <v>46079</v>
      </c>
      <c r="N41" s="1401">
        <v>46079</v>
      </c>
      <c r="O41" t="s">
        <v>84</v>
      </c>
      <c r="P41" s="1401">
        <v>46093</v>
      </c>
      <c r="Q41" s="1401">
        <v>46088</v>
      </c>
    </row>
    <row r="42" spans="1:17">
      <c r="A42" t="s">
        <v>271</v>
      </c>
      <c r="B42" t="s">
        <v>64</v>
      </c>
      <c r="C42" t="s">
        <v>114</v>
      </c>
      <c r="D42" t="s">
        <v>70</v>
      </c>
      <c r="E42" t="s">
        <v>118</v>
      </c>
      <c r="F42" t="s">
        <v>119</v>
      </c>
      <c r="G42">
        <v>2124</v>
      </c>
      <c r="H42" t="s">
        <v>75</v>
      </c>
      <c r="I42">
        <v>46029</v>
      </c>
      <c r="J42" t="s">
        <v>272</v>
      </c>
      <c r="K42" s="1401">
        <v>46035</v>
      </c>
      <c r="L42" s="1401">
        <v>46079</v>
      </c>
      <c r="M42" s="1401">
        <v>46079</v>
      </c>
      <c r="N42" s="1401">
        <v>46079</v>
      </c>
      <c r="O42" t="s">
        <v>84</v>
      </c>
      <c r="P42" s="1401">
        <v>46093</v>
      </c>
      <c r="Q42" s="1401">
        <v>46088</v>
      </c>
    </row>
    <row r="43" spans="1:17">
      <c r="A43" t="s">
        <v>345</v>
      </c>
      <c r="B43" t="s">
        <v>144</v>
      </c>
      <c r="C43" t="s">
        <v>145</v>
      </c>
      <c r="D43" t="s">
        <v>70</v>
      </c>
      <c r="E43" t="s">
        <v>71</v>
      </c>
      <c r="F43" t="s">
        <v>72</v>
      </c>
      <c r="G43">
        <v>864</v>
      </c>
      <c r="H43" t="s">
        <v>75</v>
      </c>
      <c r="I43">
        <v>46027</v>
      </c>
      <c r="J43" t="s">
        <v>347</v>
      </c>
      <c r="K43" s="1401">
        <v>46032</v>
      </c>
      <c r="L43" s="1401">
        <v>46091</v>
      </c>
      <c r="M43" s="1401">
        <v>46095</v>
      </c>
      <c r="N43" s="1401">
        <v>46096</v>
      </c>
      <c r="O43" t="s">
        <v>84</v>
      </c>
      <c r="P43" s="1401">
        <v>46105</v>
      </c>
      <c r="Q43" s="1401">
        <v>46096</v>
      </c>
    </row>
    <row r="44" spans="1:17">
      <c r="A44" t="s">
        <v>396</v>
      </c>
      <c r="B44" t="s">
        <v>64</v>
      </c>
      <c r="C44" t="s">
        <v>114</v>
      </c>
      <c r="D44" t="s">
        <v>70</v>
      </c>
      <c r="E44" t="s">
        <v>118</v>
      </c>
      <c r="F44" t="s">
        <v>119</v>
      </c>
      <c r="G44">
        <v>1152</v>
      </c>
      <c r="H44" t="s">
        <v>75</v>
      </c>
      <c r="I44">
        <v>46039</v>
      </c>
      <c r="J44" t="s">
        <v>397</v>
      </c>
      <c r="K44" s="1401">
        <v>46043</v>
      </c>
      <c r="L44" s="1401">
        <v>46081</v>
      </c>
      <c r="M44" s="1401">
        <v>46091</v>
      </c>
      <c r="N44" s="1401">
        <v>46092</v>
      </c>
      <c r="O44" t="s">
        <v>84</v>
      </c>
      <c r="P44" s="1401">
        <v>46097</v>
      </c>
      <c r="Q44" s="1401">
        <v>46101</v>
      </c>
    </row>
    <row r="45" spans="1:17">
      <c r="A45" t="s">
        <v>309</v>
      </c>
      <c r="B45" t="s">
        <v>64</v>
      </c>
      <c r="C45" t="s">
        <v>310</v>
      </c>
      <c r="D45" t="s">
        <v>298</v>
      </c>
      <c r="E45" t="s">
        <v>299</v>
      </c>
      <c r="F45" t="s">
        <v>300</v>
      </c>
      <c r="G45">
        <v>1924</v>
      </c>
      <c r="H45" t="s">
        <v>75</v>
      </c>
      <c r="I45">
        <v>46034</v>
      </c>
      <c r="J45" t="s">
        <v>313</v>
      </c>
      <c r="K45" s="1401">
        <v>46037</v>
      </c>
      <c r="L45" s="1401">
        <v>46078</v>
      </c>
      <c r="M45" s="1401">
        <v>46078</v>
      </c>
      <c r="N45" s="1401">
        <v>46078</v>
      </c>
      <c r="O45" t="s">
        <v>84</v>
      </c>
      <c r="P45" s="1401">
        <v>46092</v>
      </c>
      <c r="Q45" s="1401">
        <v>46091</v>
      </c>
    </row>
    <row r="46" spans="1:17">
      <c r="A46" t="s">
        <v>278</v>
      </c>
      <c r="B46" t="s">
        <v>64</v>
      </c>
      <c r="C46" t="s">
        <v>114</v>
      </c>
      <c r="D46" t="s">
        <v>70</v>
      </c>
      <c r="E46" t="s">
        <v>118</v>
      </c>
      <c r="F46" t="s">
        <v>119</v>
      </c>
      <c r="G46">
        <v>1152</v>
      </c>
      <c r="H46" t="s">
        <v>75</v>
      </c>
      <c r="I46">
        <v>46029</v>
      </c>
      <c r="J46" t="s">
        <v>279</v>
      </c>
      <c r="K46" s="1401">
        <v>46035</v>
      </c>
      <c r="L46" s="1401">
        <v>46079</v>
      </c>
      <c r="M46" s="1401">
        <v>46079</v>
      </c>
      <c r="N46" s="1401">
        <v>46079</v>
      </c>
      <c r="O46" t="s">
        <v>84</v>
      </c>
      <c r="P46" s="1401">
        <v>46093</v>
      </c>
      <c r="Q46" s="1401">
        <v>46088</v>
      </c>
    </row>
    <row r="47" spans="1:17">
      <c r="A47" t="s">
        <v>351</v>
      </c>
      <c r="B47" t="s">
        <v>64</v>
      </c>
      <c r="C47" t="s">
        <v>65</v>
      </c>
      <c r="D47" t="s">
        <v>70</v>
      </c>
      <c r="E47" t="s">
        <v>218</v>
      </c>
      <c r="F47" t="s">
        <v>219</v>
      </c>
      <c r="G47">
        <v>2880</v>
      </c>
      <c r="H47" t="s">
        <v>75</v>
      </c>
      <c r="I47">
        <v>46035</v>
      </c>
      <c r="J47" t="s">
        <v>355</v>
      </c>
      <c r="K47" s="1401">
        <v>46040</v>
      </c>
      <c r="L47" s="1401">
        <v>46077</v>
      </c>
      <c r="M47" s="1401">
        <v>46077</v>
      </c>
      <c r="N47" s="1401">
        <v>46079</v>
      </c>
      <c r="O47" t="s">
        <v>84</v>
      </c>
      <c r="P47" s="1401">
        <v>46091</v>
      </c>
      <c r="Q47" s="1401">
        <v>46087</v>
      </c>
    </row>
    <row r="48" spans="1:17">
      <c r="A48" t="s">
        <v>360</v>
      </c>
      <c r="B48" t="s">
        <v>64</v>
      </c>
      <c r="C48" t="s">
        <v>65</v>
      </c>
      <c r="D48" t="s">
        <v>70</v>
      </c>
      <c r="E48" t="s">
        <v>218</v>
      </c>
      <c r="F48" t="s">
        <v>219</v>
      </c>
      <c r="G48">
        <v>1440</v>
      </c>
      <c r="H48" t="s">
        <v>75</v>
      </c>
      <c r="I48">
        <v>46035</v>
      </c>
      <c r="J48" t="s">
        <v>361</v>
      </c>
      <c r="K48" s="1401">
        <v>46040</v>
      </c>
      <c r="L48" s="1401">
        <v>46077</v>
      </c>
      <c r="M48" s="1401">
        <v>46077</v>
      </c>
      <c r="N48" s="1401">
        <v>46079</v>
      </c>
      <c r="O48" t="s">
        <v>84</v>
      </c>
      <c r="P48" s="1401">
        <v>46091</v>
      </c>
      <c r="Q48" s="1401">
        <v>46087</v>
      </c>
    </row>
    <row r="49" spans="1:17">
      <c r="A49" t="s">
        <v>366</v>
      </c>
      <c r="B49" t="s">
        <v>64</v>
      </c>
      <c r="C49" t="s">
        <v>65</v>
      </c>
      <c r="D49" t="s">
        <v>70</v>
      </c>
      <c r="E49" t="s">
        <v>218</v>
      </c>
      <c r="F49" t="s">
        <v>219</v>
      </c>
      <c r="G49">
        <v>1440</v>
      </c>
      <c r="H49" t="s">
        <v>75</v>
      </c>
      <c r="I49">
        <v>46035</v>
      </c>
      <c r="J49" t="s">
        <v>367</v>
      </c>
      <c r="K49" s="1401">
        <v>46040</v>
      </c>
      <c r="L49" s="1401">
        <v>46077</v>
      </c>
      <c r="M49" s="1401">
        <v>46077</v>
      </c>
      <c r="N49" s="1401">
        <v>46079</v>
      </c>
      <c r="O49" t="s">
        <v>84</v>
      </c>
      <c r="P49" s="1401">
        <v>46091</v>
      </c>
      <c r="Q49" s="1401">
        <v>46087</v>
      </c>
    </row>
    <row r="50" spans="1:17">
      <c r="A50" t="s">
        <v>362</v>
      </c>
      <c r="B50" t="s">
        <v>64</v>
      </c>
      <c r="C50" t="s">
        <v>65</v>
      </c>
      <c r="D50" t="s">
        <v>70</v>
      </c>
      <c r="E50" t="s">
        <v>218</v>
      </c>
      <c r="F50" t="s">
        <v>219</v>
      </c>
      <c r="G50">
        <v>2880</v>
      </c>
      <c r="H50" t="s">
        <v>75</v>
      </c>
      <c r="I50">
        <v>46035</v>
      </c>
      <c r="J50" t="s">
        <v>365</v>
      </c>
      <c r="K50" s="1401">
        <v>46040</v>
      </c>
      <c r="L50" s="1401">
        <v>46077</v>
      </c>
      <c r="M50" s="1401">
        <v>46077</v>
      </c>
      <c r="N50" s="1401">
        <v>46079</v>
      </c>
      <c r="O50" t="s">
        <v>84</v>
      </c>
      <c r="P50" s="1401">
        <v>46091</v>
      </c>
      <c r="Q50" s="1401">
        <v>46087</v>
      </c>
    </row>
    <row r="51" spans="1:17">
      <c r="A51" t="s">
        <v>368</v>
      </c>
      <c r="B51" t="s">
        <v>64</v>
      </c>
      <c r="C51" t="s">
        <v>65</v>
      </c>
      <c r="D51" t="s">
        <v>70</v>
      </c>
      <c r="E51" t="s">
        <v>218</v>
      </c>
      <c r="F51" t="s">
        <v>219</v>
      </c>
      <c r="G51">
        <v>72</v>
      </c>
      <c r="H51" t="s">
        <v>75</v>
      </c>
      <c r="I51">
        <v>46035</v>
      </c>
      <c r="J51" t="s">
        <v>369</v>
      </c>
      <c r="K51" s="1401">
        <v>46040</v>
      </c>
      <c r="L51" s="1401">
        <v>46077</v>
      </c>
      <c r="M51" s="1401">
        <v>46077</v>
      </c>
      <c r="N51" s="1401">
        <v>46078</v>
      </c>
      <c r="O51" t="s">
        <v>84</v>
      </c>
      <c r="P51" s="1401">
        <v>46091</v>
      </c>
      <c r="Q51" s="1401">
        <v>46086</v>
      </c>
    </row>
    <row r="52" spans="1:17">
      <c r="A52" t="s">
        <v>373</v>
      </c>
      <c r="B52" t="s">
        <v>64</v>
      </c>
      <c r="C52" t="s">
        <v>65</v>
      </c>
      <c r="D52" t="s">
        <v>70</v>
      </c>
      <c r="E52" t="s">
        <v>218</v>
      </c>
      <c r="F52" t="s">
        <v>219</v>
      </c>
      <c r="G52">
        <v>324</v>
      </c>
      <c r="H52" t="s">
        <v>75</v>
      </c>
      <c r="I52">
        <v>46035</v>
      </c>
      <c r="J52" t="s">
        <v>374</v>
      </c>
      <c r="K52" s="1401">
        <v>46040</v>
      </c>
      <c r="L52" s="1401">
        <v>46077</v>
      </c>
      <c r="M52" s="1401">
        <v>46077</v>
      </c>
      <c r="N52" s="1401">
        <v>46078</v>
      </c>
      <c r="O52" t="s">
        <v>84</v>
      </c>
      <c r="P52" s="1401">
        <v>46091</v>
      </c>
      <c r="Q52" s="1401">
        <v>46086</v>
      </c>
    </row>
    <row r="53" spans="1:17">
      <c r="A53" t="s">
        <v>375</v>
      </c>
      <c r="B53" t="s">
        <v>64</v>
      </c>
      <c r="C53" t="s">
        <v>65</v>
      </c>
      <c r="D53" t="s">
        <v>70</v>
      </c>
      <c r="E53" t="s">
        <v>378</v>
      </c>
      <c r="F53" t="s">
        <v>379</v>
      </c>
      <c r="G53">
        <v>324</v>
      </c>
      <c r="H53" t="s">
        <v>75</v>
      </c>
      <c r="I53">
        <v>46035</v>
      </c>
      <c r="J53" t="s">
        <v>380</v>
      </c>
      <c r="K53" s="1401">
        <v>46040</v>
      </c>
      <c r="L53" s="1401">
        <v>46077</v>
      </c>
      <c r="M53" s="1401">
        <v>46077</v>
      </c>
      <c r="N53" s="1401">
        <v>46078</v>
      </c>
      <c r="O53" t="s">
        <v>84</v>
      </c>
      <c r="P53" s="1401">
        <v>46091</v>
      </c>
      <c r="Q53" s="1401">
        <v>46086</v>
      </c>
    </row>
    <row r="54" spans="1:17">
      <c r="A54" t="s">
        <v>417</v>
      </c>
      <c r="B54" t="s">
        <v>64</v>
      </c>
      <c r="C54" t="s">
        <v>100</v>
      </c>
      <c r="D54" t="s">
        <v>70</v>
      </c>
      <c r="E54" t="s">
        <v>420</v>
      </c>
      <c r="F54" t="s">
        <v>421</v>
      </c>
      <c r="G54">
        <v>1728</v>
      </c>
      <c r="H54" t="s">
        <v>75</v>
      </c>
      <c r="I54">
        <v>46031</v>
      </c>
      <c r="J54" t="s">
        <v>422</v>
      </c>
      <c r="K54" s="1401">
        <v>46036</v>
      </c>
      <c r="L54" s="1401">
        <v>46077</v>
      </c>
      <c r="M54" s="1401">
        <v>46094</v>
      </c>
      <c r="N54" s="1401">
        <v>46094</v>
      </c>
      <c r="O54" t="s">
        <v>84</v>
      </c>
      <c r="P54" s="1401">
        <v>46104</v>
      </c>
      <c r="Q54" s="1401">
        <v>46101</v>
      </c>
    </row>
    <row r="55" spans="1:17">
      <c r="A55" t="s">
        <v>317</v>
      </c>
      <c r="B55" t="s">
        <v>64</v>
      </c>
      <c r="C55" t="s">
        <v>310</v>
      </c>
      <c r="D55" t="s">
        <v>298</v>
      </c>
      <c r="E55" t="s">
        <v>306</v>
      </c>
      <c r="F55" t="s">
        <v>307</v>
      </c>
      <c r="G55">
        <v>1924</v>
      </c>
      <c r="H55" t="s">
        <v>75</v>
      </c>
      <c r="I55">
        <v>46034</v>
      </c>
      <c r="J55" t="s">
        <v>318</v>
      </c>
      <c r="K55" s="1401">
        <v>46037</v>
      </c>
      <c r="L55" s="1401">
        <v>46078</v>
      </c>
      <c r="M55" s="1401">
        <v>46078</v>
      </c>
      <c r="N55" s="1401">
        <v>46078</v>
      </c>
      <c r="O55" t="s">
        <v>84</v>
      </c>
      <c r="P55" s="1401">
        <v>46092</v>
      </c>
      <c r="Q55" s="1401">
        <v>46091</v>
      </c>
    </row>
    <row r="56" spans="1:17">
      <c r="A56" t="s">
        <v>681</v>
      </c>
      <c r="B56" t="s">
        <v>144</v>
      </c>
      <c r="C56" t="s">
        <v>145</v>
      </c>
      <c r="D56" t="s">
        <v>284</v>
      </c>
      <c r="E56" t="s">
        <v>602</v>
      </c>
      <c r="F56" t="s">
        <v>603</v>
      </c>
      <c r="G56">
        <v>1924</v>
      </c>
      <c r="H56" t="s">
        <v>75</v>
      </c>
      <c r="I56">
        <v>46048</v>
      </c>
      <c r="J56" t="s">
        <v>682</v>
      </c>
      <c r="K56" s="1401">
        <v>46053</v>
      </c>
      <c r="L56" s="1401">
        <v>46087</v>
      </c>
      <c r="M56" s="1401">
        <v>46113</v>
      </c>
      <c r="N56" s="1401">
        <v>46114</v>
      </c>
      <c r="O56" t="s">
        <v>84</v>
      </c>
      <c r="P56" s="1401">
        <v>46101</v>
      </c>
      <c r="Q56" s="1401">
        <v>46114</v>
      </c>
    </row>
    <row r="57" spans="1:17">
      <c r="A57" t="s">
        <v>676</v>
      </c>
      <c r="B57" t="s">
        <v>144</v>
      </c>
      <c r="C57" t="s">
        <v>145</v>
      </c>
      <c r="D57" t="s">
        <v>284</v>
      </c>
      <c r="E57" t="s">
        <v>602</v>
      </c>
      <c r="F57" t="s">
        <v>603</v>
      </c>
      <c r="G57">
        <v>10582</v>
      </c>
      <c r="H57" t="s">
        <v>75</v>
      </c>
      <c r="I57">
        <v>46051</v>
      </c>
      <c r="J57" t="s">
        <v>678</v>
      </c>
      <c r="K57" s="1401">
        <v>46056</v>
      </c>
      <c r="L57" s="1401">
        <v>46090</v>
      </c>
      <c r="M57" s="1401">
        <v>46091</v>
      </c>
      <c r="N57" s="1401">
        <v>46092</v>
      </c>
      <c r="O57" t="s">
        <v>84</v>
      </c>
      <c r="P57" s="1401">
        <v>46104</v>
      </c>
      <c r="Q57" s="1401">
        <v>46092</v>
      </c>
    </row>
    <row r="58" spans="1:17">
      <c r="A58" t="s">
        <v>962</v>
      </c>
      <c r="B58" t="s">
        <v>144</v>
      </c>
      <c r="C58" t="s">
        <v>145</v>
      </c>
      <c r="D58" t="s">
        <v>70</v>
      </c>
      <c r="E58" t="s">
        <v>965</v>
      </c>
      <c r="F58" t="s">
        <v>966</v>
      </c>
      <c r="G58">
        <v>9360</v>
      </c>
      <c r="H58" t="s">
        <v>75</v>
      </c>
      <c r="I58">
        <v>46047</v>
      </c>
      <c r="J58" t="s">
        <v>968</v>
      </c>
      <c r="K58" s="1401">
        <v>46053</v>
      </c>
      <c r="L58" s="1401">
        <v>46120</v>
      </c>
      <c r="M58" s="1401">
        <v>46127</v>
      </c>
      <c r="N58" s="1401">
        <v>46127</v>
      </c>
      <c r="O58" t="s">
        <v>973</v>
      </c>
      <c r="P58" s="1401">
        <v>46134</v>
      </c>
      <c r="Q58" s="1401">
        <v>46127</v>
      </c>
    </row>
    <row r="59" spans="1:17">
      <c r="A59" t="s">
        <v>524</v>
      </c>
      <c r="B59" t="s">
        <v>144</v>
      </c>
      <c r="C59" t="s">
        <v>145</v>
      </c>
      <c r="D59" t="s">
        <v>473</v>
      </c>
      <c r="E59" t="s">
        <v>529</v>
      </c>
      <c r="F59" t="s">
        <v>530</v>
      </c>
      <c r="G59">
        <v>4320</v>
      </c>
      <c r="H59" t="s">
        <v>75</v>
      </c>
      <c r="I59">
        <v>46049</v>
      </c>
      <c r="J59" t="s">
        <v>531</v>
      </c>
      <c r="K59" s="1401">
        <v>46055</v>
      </c>
      <c r="L59" s="1401">
        <v>46106</v>
      </c>
      <c r="M59" s="1401">
        <v>46121</v>
      </c>
      <c r="N59" s="1401">
        <v>46122</v>
      </c>
      <c r="O59" t="s">
        <v>84</v>
      </c>
      <c r="P59" s="1401">
        <v>46120</v>
      </c>
      <c r="Q59" s="1401">
        <v>46122</v>
      </c>
    </row>
    <row r="60" spans="1:17">
      <c r="A60" t="s">
        <v>352</v>
      </c>
      <c r="B60" t="s">
        <v>64</v>
      </c>
      <c r="C60" t="s">
        <v>65</v>
      </c>
      <c r="D60" t="s">
        <v>70</v>
      </c>
      <c r="E60" t="s">
        <v>218</v>
      </c>
      <c r="F60" t="s">
        <v>219</v>
      </c>
      <c r="G60">
        <v>720</v>
      </c>
      <c r="H60" t="s">
        <v>75</v>
      </c>
      <c r="I60">
        <v>46041</v>
      </c>
      <c r="J60" t="s">
        <v>445</v>
      </c>
      <c r="K60" s="1401">
        <v>45682</v>
      </c>
      <c r="L60" s="1401">
        <v>46084</v>
      </c>
      <c r="M60" s="1401">
        <v>46086</v>
      </c>
      <c r="N60" s="1401">
        <v>46086</v>
      </c>
      <c r="O60" t="s">
        <v>84</v>
      </c>
      <c r="P60" s="1401">
        <v>46099</v>
      </c>
      <c r="Q60" s="1401">
        <v>46094</v>
      </c>
    </row>
    <row r="61" spans="1:17">
      <c r="A61" t="s">
        <v>425</v>
      </c>
      <c r="B61" t="s">
        <v>64</v>
      </c>
      <c r="C61" t="s">
        <v>100</v>
      </c>
      <c r="D61" t="s">
        <v>70</v>
      </c>
      <c r="E61" t="s">
        <v>329</v>
      </c>
      <c r="F61" t="s">
        <v>330</v>
      </c>
      <c r="G61">
        <v>7200</v>
      </c>
      <c r="H61" t="s">
        <v>75</v>
      </c>
      <c r="I61">
        <v>46034</v>
      </c>
      <c r="J61" t="s">
        <v>426</v>
      </c>
      <c r="K61" s="1401">
        <v>46040</v>
      </c>
      <c r="L61" s="1401">
        <v>46084</v>
      </c>
      <c r="M61" s="1401">
        <v>46103</v>
      </c>
      <c r="N61" s="1401">
        <v>46103</v>
      </c>
      <c r="O61" t="s">
        <v>84</v>
      </c>
      <c r="P61" s="1401">
        <v>46118</v>
      </c>
      <c r="Q61" s="1401">
        <v>46110</v>
      </c>
    </row>
    <row r="62" spans="1:17">
      <c r="A62" t="s">
        <v>430</v>
      </c>
      <c r="B62" t="s">
        <v>64</v>
      </c>
      <c r="C62" t="s">
        <v>65</v>
      </c>
      <c r="D62" t="s">
        <v>70</v>
      </c>
      <c r="E62" t="s">
        <v>218</v>
      </c>
      <c r="F62" t="s">
        <v>219</v>
      </c>
      <c r="G62">
        <v>2880</v>
      </c>
      <c r="H62" t="s">
        <v>75</v>
      </c>
      <c r="I62">
        <v>46041</v>
      </c>
      <c r="J62" t="s">
        <v>431</v>
      </c>
      <c r="K62" s="1401">
        <v>46047</v>
      </c>
      <c r="L62" s="1401">
        <v>46084</v>
      </c>
      <c r="M62" s="1401">
        <v>46092</v>
      </c>
      <c r="N62" s="1401">
        <v>46092</v>
      </c>
      <c r="O62" t="s">
        <v>84</v>
      </c>
      <c r="P62" s="1401">
        <v>46105</v>
      </c>
      <c r="Q62" s="1401">
        <v>46100</v>
      </c>
    </row>
    <row r="63" spans="1:17">
      <c r="A63" t="s">
        <v>437</v>
      </c>
      <c r="B63" t="s">
        <v>64</v>
      </c>
      <c r="C63" t="s">
        <v>65</v>
      </c>
      <c r="D63" t="s">
        <v>70</v>
      </c>
      <c r="E63" t="s">
        <v>218</v>
      </c>
      <c r="F63" t="s">
        <v>219</v>
      </c>
      <c r="G63">
        <v>2592</v>
      </c>
      <c r="H63" t="s">
        <v>75</v>
      </c>
      <c r="I63">
        <v>46041</v>
      </c>
      <c r="J63" t="s">
        <v>439</v>
      </c>
      <c r="K63" s="1401">
        <v>46047</v>
      </c>
      <c r="L63" s="1401">
        <v>46084</v>
      </c>
      <c r="M63" s="1401">
        <v>46092</v>
      </c>
      <c r="N63" s="1401">
        <v>46092</v>
      </c>
      <c r="O63" t="s">
        <v>84</v>
      </c>
      <c r="P63" s="1401">
        <v>46105</v>
      </c>
      <c r="Q63" s="1401">
        <v>46100</v>
      </c>
    </row>
    <row r="64" spans="1:17">
      <c r="A64" t="s">
        <v>435</v>
      </c>
      <c r="B64" t="s">
        <v>64</v>
      </c>
      <c r="C64" t="s">
        <v>65</v>
      </c>
      <c r="D64" t="s">
        <v>70</v>
      </c>
      <c r="E64" t="s">
        <v>218</v>
      </c>
      <c r="F64" t="s">
        <v>219</v>
      </c>
      <c r="G64">
        <v>1440</v>
      </c>
      <c r="H64" t="s">
        <v>75</v>
      </c>
      <c r="I64">
        <v>46041</v>
      </c>
      <c r="J64" t="s">
        <v>436</v>
      </c>
      <c r="K64" s="1401">
        <v>46047</v>
      </c>
      <c r="L64" s="1401">
        <v>46084</v>
      </c>
      <c r="M64" s="1401">
        <v>46092</v>
      </c>
      <c r="N64" s="1401">
        <v>46092</v>
      </c>
      <c r="O64" t="s">
        <v>84</v>
      </c>
      <c r="P64" s="1401">
        <v>46105</v>
      </c>
      <c r="Q64" s="1401">
        <v>46100</v>
      </c>
    </row>
    <row r="65" spans="1:17">
      <c r="A65" t="s">
        <v>440</v>
      </c>
      <c r="B65" t="s">
        <v>64</v>
      </c>
      <c r="C65" t="s">
        <v>65</v>
      </c>
      <c r="D65" t="s">
        <v>70</v>
      </c>
      <c r="E65" t="s">
        <v>218</v>
      </c>
      <c r="F65" t="s">
        <v>219</v>
      </c>
      <c r="G65">
        <v>72</v>
      </c>
      <c r="H65" t="s">
        <v>75</v>
      </c>
      <c r="I65">
        <v>46041</v>
      </c>
      <c r="J65" t="s">
        <v>441</v>
      </c>
      <c r="K65" s="1401">
        <v>45682</v>
      </c>
      <c r="L65" s="1401">
        <v>46084</v>
      </c>
      <c r="M65" s="1401">
        <v>46092</v>
      </c>
      <c r="N65" s="1401">
        <v>46092</v>
      </c>
      <c r="O65" t="s">
        <v>84</v>
      </c>
      <c r="P65" s="1401">
        <v>46105</v>
      </c>
      <c r="Q65" s="1401">
        <v>46100</v>
      </c>
    </row>
    <row r="66" spans="1:17">
      <c r="A66" t="s">
        <v>443</v>
      </c>
      <c r="B66" t="s">
        <v>64</v>
      </c>
      <c r="C66" t="s">
        <v>65</v>
      </c>
      <c r="D66" t="s">
        <v>70</v>
      </c>
      <c r="E66" t="s">
        <v>378</v>
      </c>
      <c r="F66" t="s">
        <v>379</v>
      </c>
      <c r="G66">
        <v>216</v>
      </c>
      <c r="H66" t="s">
        <v>75</v>
      </c>
      <c r="I66">
        <v>46041</v>
      </c>
      <c r="J66" t="s">
        <v>444</v>
      </c>
      <c r="K66" s="1401">
        <v>45682</v>
      </c>
      <c r="L66" s="1401">
        <v>46084</v>
      </c>
      <c r="M66" s="1401">
        <v>46092</v>
      </c>
      <c r="N66" s="1401">
        <v>46092</v>
      </c>
      <c r="O66" t="s">
        <v>84</v>
      </c>
      <c r="P66" s="1401">
        <v>46105</v>
      </c>
      <c r="Q66" s="1401">
        <v>46100</v>
      </c>
    </row>
    <row r="67" spans="1:17">
      <c r="A67" t="s">
        <v>202</v>
      </c>
      <c r="B67" t="s">
        <v>64</v>
      </c>
      <c r="C67" t="s">
        <v>65</v>
      </c>
      <c r="D67" t="s">
        <v>70</v>
      </c>
      <c r="E67" t="s">
        <v>204</v>
      </c>
      <c r="F67" t="s">
        <v>205</v>
      </c>
      <c r="G67">
        <v>5616</v>
      </c>
      <c r="H67" t="s">
        <v>75</v>
      </c>
      <c r="I67">
        <v>46016</v>
      </c>
      <c r="J67" t="s">
        <v>206</v>
      </c>
      <c r="K67" s="1401">
        <v>46027</v>
      </c>
      <c r="L67" s="1401">
        <v>46090</v>
      </c>
      <c r="M67" s="1401">
        <v>46101</v>
      </c>
      <c r="N67" s="1401">
        <v>46102</v>
      </c>
      <c r="O67" t="s">
        <v>84</v>
      </c>
      <c r="P67" s="1401">
        <v>46115</v>
      </c>
      <c r="Q67" s="1401">
        <v>46110</v>
      </c>
    </row>
    <row r="68" spans="1:17">
      <c r="A68" t="s">
        <v>415</v>
      </c>
      <c r="B68" t="s">
        <v>64</v>
      </c>
      <c r="C68" t="s">
        <v>65</v>
      </c>
      <c r="D68" t="s">
        <v>170</v>
      </c>
      <c r="E68" t="s">
        <v>171</v>
      </c>
      <c r="F68" t="s">
        <v>172</v>
      </c>
      <c r="G68">
        <v>1320</v>
      </c>
      <c r="H68" t="s">
        <v>75</v>
      </c>
      <c r="I68">
        <v>46035</v>
      </c>
      <c r="J68" t="s">
        <v>416</v>
      </c>
      <c r="K68" s="1401">
        <v>46042</v>
      </c>
      <c r="L68" s="1401">
        <v>46091</v>
      </c>
      <c r="M68" s="1401">
        <v>46090</v>
      </c>
      <c r="N68" s="1401">
        <v>46090</v>
      </c>
      <c r="O68" t="s">
        <v>84</v>
      </c>
      <c r="P68" s="1401">
        <v>46104</v>
      </c>
      <c r="Q68" s="1401">
        <v>46098</v>
      </c>
    </row>
    <row r="69" spans="1:17">
      <c r="A69" t="s">
        <v>615</v>
      </c>
      <c r="B69" t="s">
        <v>64</v>
      </c>
      <c r="C69" t="s">
        <v>100</v>
      </c>
      <c r="D69" t="s">
        <v>284</v>
      </c>
      <c r="E69" t="s">
        <v>602</v>
      </c>
      <c r="F69" t="s">
        <v>603</v>
      </c>
      <c r="G69">
        <v>4810</v>
      </c>
      <c r="H69" t="s">
        <v>75</v>
      </c>
      <c r="I69">
        <v>46042</v>
      </c>
      <c r="J69" t="s">
        <v>616</v>
      </c>
      <c r="K69" s="1401">
        <v>46048</v>
      </c>
      <c r="L69" s="1401">
        <v>46090</v>
      </c>
      <c r="M69" s="1401">
        <v>46091</v>
      </c>
      <c r="N69" s="1401">
        <v>46089</v>
      </c>
      <c r="O69" t="s">
        <v>84</v>
      </c>
      <c r="P69" s="1401">
        <v>46105</v>
      </c>
      <c r="Q69" s="1401">
        <v>46096</v>
      </c>
    </row>
    <row r="70" spans="1:17">
      <c r="A70" t="s">
        <v>411</v>
      </c>
      <c r="B70" t="s">
        <v>64</v>
      </c>
      <c r="C70" t="s">
        <v>65</v>
      </c>
      <c r="D70" t="s">
        <v>170</v>
      </c>
      <c r="E70" t="s">
        <v>171</v>
      </c>
      <c r="F70" t="s">
        <v>172</v>
      </c>
      <c r="G70">
        <v>660</v>
      </c>
      <c r="H70" t="s">
        <v>75</v>
      </c>
      <c r="I70">
        <v>46035</v>
      </c>
      <c r="J70" t="s">
        <v>412</v>
      </c>
      <c r="K70" s="1401">
        <v>46042</v>
      </c>
      <c r="L70" s="1401">
        <v>46091</v>
      </c>
      <c r="M70" s="1401">
        <v>46090</v>
      </c>
      <c r="N70" s="1401">
        <v>46090</v>
      </c>
      <c r="O70" t="s">
        <v>84</v>
      </c>
      <c r="P70" s="1401">
        <v>46104</v>
      </c>
      <c r="Q70" s="1401">
        <v>46098</v>
      </c>
    </row>
    <row r="71" spans="1:17">
      <c r="A71" t="s">
        <v>448</v>
      </c>
      <c r="B71" t="s">
        <v>64</v>
      </c>
      <c r="C71" t="s">
        <v>450</v>
      </c>
      <c r="D71" t="s">
        <v>132</v>
      </c>
      <c r="E71" t="s">
        <v>453</v>
      </c>
      <c r="F71" t="s">
        <v>454</v>
      </c>
      <c r="G71">
        <v>1728</v>
      </c>
      <c r="H71" t="s">
        <v>75</v>
      </c>
      <c r="I71">
        <v>46042</v>
      </c>
      <c r="J71" t="s">
        <v>455</v>
      </c>
      <c r="K71" s="1401">
        <v>46050</v>
      </c>
      <c r="L71" s="1401">
        <v>46089</v>
      </c>
      <c r="M71" s="1401">
        <v>46108</v>
      </c>
      <c r="N71" s="1401">
        <v>46108</v>
      </c>
      <c r="O71" t="s">
        <v>84</v>
      </c>
      <c r="P71" s="1401">
        <v>46120</v>
      </c>
      <c r="Q71" s="1401">
        <v>46115</v>
      </c>
    </row>
    <row r="72" spans="1:17">
      <c r="A72" t="s">
        <v>282</v>
      </c>
      <c r="B72" t="s">
        <v>64</v>
      </c>
      <c r="C72" t="s">
        <v>100</v>
      </c>
      <c r="D72" t="s">
        <v>284</v>
      </c>
      <c r="E72" t="s">
        <v>285</v>
      </c>
      <c r="F72" t="s">
        <v>286</v>
      </c>
      <c r="G72">
        <v>1924</v>
      </c>
      <c r="H72" t="s">
        <v>75</v>
      </c>
      <c r="I72">
        <v>46051</v>
      </c>
      <c r="J72" t="s">
        <v>666</v>
      </c>
      <c r="K72" s="1401">
        <v>46057</v>
      </c>
      <c r="L72" s="1401">
        <v>46087</v>
      </c>
      <c r="M72" s="1401">
        <v>46097</v>
      </c>
      <c r="N72" s="1401">
        <v>46099</v>
      </c>
      <c r="O72" t="s">
        <v>84</v>
      </c>
      <c r="P72" s="1401">
        <v>46111</v>
      </c>
      <c r="Q72" s="1401">
        <v>46106</v>
      </c>
    </row>
    <row r="73" spans="1:17">
      <c r="A73" t="s">
        <v>600</v>
      </c>
      <c r="B73" t="s">
        <v>64</v>
      </c>
      <c r="C73" t="s">
        <v>100</v>
      </c>
      <c r="D73" t="s">
        <v>284</v>
      </c>
      <c r="E73" t="s">
        <v>602</v>
      </c>
      <c r="F73" t="s">
        <v>603</v>
      </c>
      <c r="G73">
        <v>14430</v>
      </c>
      <c r="H73" t="s">
        <v>75</v>
      </c>
      <c r="I73">
        <v>46043</v>
      </c>
      <c r="J73" t="s">
        <v>604</v>
      </c>
      <c r="K73" s="1401">
        <v>46050</v>
      </c>
      <c r="L73" s="1401">
        <v>46087</v>
      </c>
      <c r="M73" s="1401">
        <v>46102</v>
      </c>
      <c r="N73" s="1401">
        <v>46102</v>
      </c>
      <c r="O73" t="s">
        <v>84</v>
      </c>
      <c r="P73" s="1401">
        <v>46114</v>
      </c>
      <c r="Q73" s="1401">
        <v>46109</v>
      </c>
    </row>
    <row r="74" spans="1:17">
      <c r="A74" t="s">
        <v>609</v>
      </c>
      <c r="B74" t="s">
        <v>64</v>
      </c>
      <c r="C74" t="s">
        <v>100</v>
      </c>
      <c r="D74" t="s">
        <v>284</v>
      </c>
      <c r="E74" t="s">
        <v>602</v>
      </c>
      <c r="F74" t="s">
        <v>603</v>
      </c>
      <c r="G74">
        <v>4810</v>
      </c>
      <c r="H74" t="s">
        <v>75</v>
      </c>
      <c r="I74">
        <v>46038</v>
      </c>
      <c r="J74" t="s">
        <v>610</v>
      </c>
      <c r="K74" s="1401">
        <v>46045</v>
      </c>
      <c r="L74" s="1401">
        <v>46087</v>
      </c>
      <c r="M74" s="1401">
        <v>46097</v>
      </c>
      <c r="N74" s="1401">
        <v>46100</v>
      </c>
      <c r="O74" t="s">
        <v>84</v>
      </c>
      <c r="P74" s="1401">
        <v>46104</v>
      </c>
      <c r="Q74" s="1401">
        <v>46107</v>
      </c>
    </row>
    <row r="75" spans="1:17">
      <c r="A75" t="s">
        <v>697</v>
      </c>
      <c r="B75" t="s">
        <v>64</v>
      </c>
      <c r="C75" t="s">
        <v>65</v>
      </c>
      <c r="D75" t="s">
        <v>70</v>
      </c>
      <c r="E75" t="s">
        <v>691</v>
      </c>
      <c r="F75" t="s">
        <v>692</v>
      </c>
      <c r="G75">
        <v>1728</v>
      </c>
      <c r="H75" t="s">
        <v>75</v>
      </c>
      <c r="I75">
        <v>46050</v>
      </c>
      <c r="J75" t="s">
        <v>698</v>
      </c>
      <c r="K75" s="1401">
        <v>46057</v>
      </c>
      <c r="L75" s="1401">
        <v>46112</v>
      </c>
      <c r="M75" s="1401">
        <v>46132</v>
      </c>
      <c r="N75" s="1401">
        <v>46132</v>
      </c>
      <c r="O75" t="s">
        <v>84</v>
      </c>
      <c r="P75" s="1401">
        <v>46146</v>
      </c>
      <c r="Q75" s="1401">
        <v>46140</v>
      </c>
    </row>
    <row r="76" spans="1:17">
      <c r="A76" t="s">
        <v>687</v>
      </c>
      <c r="B76" t="s">
        <v>64</v>
      </c>
      <c r="C76" t="s">
        <v>65</v>
      </c>
      <c r="D76" t="s">
        <v>70</v>
      </c>
      <c r="E76" t="s">
        <v>691</v>
      </c>
      <c r="F76" t="s">
        <v>692</v>
      </c>
      <c r="G76">
        <v>1728</v>
      </c>
      <c r="H76" t="s">
        <v>75</v>
      </c>
      <c r="I76">
        <v>46050</v>
      </c>
      <c r="J76" t="s">
        <v>693</v>
      </c>
      <c r="K76" s="1401">
        <v>46057</v>
      </c>
      <c r="L76" s="1401">
        <v>46112</v>
      </c>
      <c r="M76" s="1401">
        <v>46132</v>
      </c>
      <c r="N76" s="1401">
        <v>46132</v>
      </c>
      <c r="O76" t="s">
        <v>84</v>
      </c>
      <c r="P76" s="1401">
        <v>46146</v>
      </c>
      <c r="Q76" s="1401">
        <v>46140</v>
      </c>
    </row>
    <row r="77" spans="1:17">
      <c r="A77" t="s">
        <v>651</v>
      </c>
      <c r="B77" t="s">
        <v>64</v>
      </c>
      <c r="C77" t="s">
        <v>65</v>
      </c>
      <c r="D77" t="s">
        <v>473</v>
      </c>
      <c r="E77" t="s">
        <v>474</v>
      </c>
      <c r="F77" t="s">
        <v>475</v>
      </c>
      <c r="G77">
        <v>2592</v>
      </c>
      <c r="H77" t="s">
        <v>75</v>
      </c>
      <c r="I77">
        <v>46050</v>
      </c>
      <c r="J77" t="s">
        <v>652</v>
      </c>
      <c r="K77" s="1401">
        <v>46055</v>
      </c>
      <c r="L77" s="1401">
        <v>46098</v>
      </c>
      <c r="M77" s="1401">
        <v>46101</v>
      </c>
      <c r="N77" s="1401">
        <v>46103</v>
      </c>
      <c r="O77" t="s">
        <v>84</v>
      </c>
      <c r="P77" s="1401">
        <v>46115</v>
      </c>
      <c r="Q77" s="1401">
        <v>46111</v>
      </c>
    </row>
    <row r="78" spans="1:17">
      <c r="A78" t="s">
        <v>471</v>
      </c>
      <c r="B78" t="s">
        <v>64</v>
      </c>
      <c r="C78" t="s">
        <v>65</v>
      </c>
      <c r="D78" t="s">
        <v>473</v>
      </c>
      <c r="E78" t="s">
        <v>474</v>
      </c>
      <c r="F78" t="s">
        <v>475</v>
      </c>
      <c r="G78">
        <v>2592</v>
      </c>
      <c r="H78" t="s">
        <v>75</v>
      </c>
      <c r="I78">
        <v>46044</v>
      </c>
      <c r="J78" t="s">
        <v>476</v>
      </c>
      <c r="K78" s="1401">
        <v>46049</v>
      </c>
      <c r="L78" s="1401">
        <v>46098</v>
      </c>
      <c r="M78" s="1401">
        <v>46101</v>
      </c>
      <c r="N78" s="1401">
        <v>46103</v>
      </c>
      <c r="O78" t="s">
        <v>84</v>
      </c>
      <c r="P78" s="1401">
        <v>46115</v>
      </c>
      <c r="Q78" s="1401">
        <v>46111</v>
      </c>
    </row>
    <row r="79" spans="1:17">
      <c r="A79" t="s">
        <v>621</v>
      </c>
      <c r="B79" t="s">
        <v>64</v>
      </c>
      <c r="C79" t="s">
        <v>100</v>
      </c>
      <c r="D79" t="s">
        <v>284</v>
      </c>
      <c r="E79" t="s">
        <v>602</v>
      </c>
      <c r="F79" t="s">
        <v>603</v>
      </c>
      <c r="G79">
        <v>9620</v>
      </c>
      <c r="H79" t="s">
        <v>75</v>
      </c>
      <c r="I79">
        <v>46049</v>
      </c>
      <c r="J79" t="s">
        <v>622</v>
      </c>
      <c r="K79" s="1401">
        <v>46057</v>
      </c>
      <c r="L79" s="1401">
        <v>46094</v>
      </c>
      <c r="M79" s="1401">
        <v>46106</v>
      </c>
      <c r="N79" s="1401">
        <v>46107</v>
      </c>
      <c r="O79" t="s">
        <v>84</v>
      </c>
      <c r="P79" s="1401">
        <v>46120</v>
      </c>
      <c r="Q79" s="1401">
        <v>46114</v>
      </c>
    </row>
    <row r="80" spans="1:17">
      <c r="A80" t="s">
        <v>469</v>
      </c>
      <c r="B80" t="s">
        <v>64</v>
      </c>
      <c r="C80" t="s">
        <v>65</v>
      </c>
      <c r="D80" t="s">
        <v>170</v>
      </c>
      <c r="E80" t="s">
        <v>462</v>
      </c>
      <c r="F80" t="s">
        <v>463</v>
      </c>
      <c r="G80">
        <v>1320</v>
      </c>
      <c r="H80" t="s">
        <v>75</v>
      </c>
      <c r="I80">
        <v>46044</v>
      </c>
      <c r="J80" t="s">
        <v>470</v>
      </c>
      <c r="K80" s="1401">
        <v>46049</v>
      </c>
      <c r="L80" s="1401">
        <v>46098</v>
      </c>
      <c r="M80" s="1401">
        <v>46101</v>
      </c>
      <c r="N80" s="1401">
        <v>46103</v>
      </c>
      <c r="O80" t="s">
        <v>84</v>
      </c>
      <c r="P80" s="1401">
        <v>46115</v>
      </c>
      <c r="Q80" s="1401">
        <v>46111</v>
      </c>
    </row>
    <row r="81" spans="1:17">
      <c r="A81" t="s">
        <v>460</v>
      </c>
      <c r="B81" t="s">
        <v>64</v>
      </c>
      <c r="C81" t="s">
        <v>65</v>
      </c>
      <c r="D81" t="s">
        <v>170</v>
      </c>
      <c r="E81" t="s">
        <v>462</v>
      </c>
      <c r="F81" t="s">
        <v>463</v>
      </c>
      <c r="G81">
        <v>660</v>
      </c>
      <c r="H81" t="s">
        <v>75</v>
      </c>
      <c r="I81">
        <v>46044</v>
      </c>
      <c r="J81" t="s">
        <v>465</v>
      </c>
      <c r="K81" s="1401">
        <v>46049</v>
      </c>
      <c r="L81" s="1401">
        <v>46098</v>
      </c>
      <c r="M81" s="1401">
        <v>46101</v>
      </c>
      <c r="N81" s="1401">
        <v>46103</v>
      </c>
      <c r="O81" t="s">
        <v>84</v>
      </c>
      <c r="P81" s="1401">
        <v>46115</v>
      </c>
      <c r="Q81" s="1401">
        <v>46111</v>
      </c>
    </row>
    <row r="82" spans="1:17">
      <c r="A82" t="s">
        <v>477</v>
      </c>
      <c r="B82" t="s">
        <v>64</v>
      </c>
      <c r="C82" t="s">
        <v>65</v>
      </c>
      <c r="D82" t="s">
        <v>170</v>
      </c>
      <c r="E82" t="s">
        <v>462</v>
      </c>
      <c r="F82" t="s">
        <v>463</v>
      </c>
      <c r="G82">
        <v>660</v>
      </c>
      <c r="H82" t="s">
        <v>75</v>
      </c>
      <c r="I82">
        <v>46040</v>
      </c>
      <c r="J82" t="s">
        <v>478</v>
      </c>
      <c r="K82" s="1401">
        <v>46045</v>
      </c>
      <c r="L82" s="1401">
        <v>46097</v>
      </c>
      <c r="M82" s="1401">
        <v>46111</v>
      </c>
      <c r="N82" s="1401">
        <v>46111</v>
      </c>
      <c r="O82" t="s">
        <v>84</v>
      </c>
      <c r="P82" s="1401">
        <v>46120</v>
      </c>
      <c r="Q82" s="1401">
        <v>46119</v>
      </c>
    </row>
    <row r="83" spans="1:17">
      <c r="A83" t="s">
        <v>699</v>
      </c>
      <c r="B83" t="s">
        <v>64</v>
      </c>
      <c r="C83" t="s">
        <v>100</v>
      </c>
      <c r="D83" t="s">
        <v>70</v>
      </c>
      <c r="E83" t="s">
        <v>329</v>
      </c>
      <c r="F83" t="s">
        <v>330</v>
      </c>
      <c r="G83">
        <v>2880</v>
      </c>
      <c r="H83" t="s">
        <v>75</v>
      </c>
      <c r="I83">
        <v>46048</v>
      </c>
      <c r="J83" t="s">
        <v>700</v>
      </c>
      <c r="K83" s="1401">
        <v>46054</v>
      </c>
      <c r="L83" s="1401">
        <v>46094</v>
      </c>
      <c r="M83" s="1401">
        <v>46116</v>
      </c>
      <c r="N83" s="1401">
        <v>46118</v>
      </c>
      <c r="O83" t="s">
        <v>84</v>
      </c>
      <c r="P83" s="1401">
        <v>46129</v>
      </c>
      <c r="Q83" s="1401">
        <v>46125</v>
      </c>
    </row>
    <row r="84" spans="1:17">
      <c r="A84" t="s">
        <v>645</v>
      </c>
      <c r="B84" t="s">
        <v>64</v>
      </c>
      <c r="C84" t="s">
        <v>114</v>
      </c>
      <c r="D84" t="s">
        <v>473</v>
      </c>
      <c r="E84" t="s">
        <v>529</v>
      </c>
      <c r="F84" t="s">
        <v>530</v>
      </c>
      <c r="G84">
        <v>2592</v>
      </c>
      <c r="H84" t="s">
        <v>75</v>
      </c>
      <c r="I84">
        <v>46050</v>
      </c>
      <c r="J84" t="s">
        <v>647</v>
      </c>
      <c r="K84" s="1401">
        <v>46055</v>
      </c>
      <c r="L84" s="1401">
        <v>46093</v>
      </c>
      <c r="M84" s="1401">
        <v>46095</v>
      </c>
      <c r="N84" s="1401">
        <v>46095</v>
      </c>
      <c r="O84" t="s">
        <v>84</v>
      </c>
      <c r="P84" s="1401">
        <v>46111</v>
      </c>
      <c r="Q84" s="1401">
        <v>46104</v>
      </c>
    </row>
    <row r="85" spans="1:17">
      <c r="A85" t="s">
        <v>640</v>
      </c>
      <c r="B85" t="s">
        <v>64</v>
      </c>
      <c r="C85" t="s">
        <v>100</v>
      </c>
      <c r="D85" t="s">
        <v>473</v>
      </c>
      <c r="E85" t="s">
        <v>474</v>
      </c>
      <c r="F85" t="s">
        <v>475</v>
      </c>
      <c r="G85">
        <v>2592</v>
      </c>
      <c r="H85" t="s">
        <v>75</v>
      </c>
      <c r="I85">
        <v>46050</v>
      </c>
      <c r="J85" t="s">
        <v>641</v>
      </c>
      <c r="K85" s="1401">
        <v>46055</v>
      </c>
      <c r="L85" s="1401">
        <v>46092</v>
      </c>
      <c r="M85" s="1401">
        <v>46102</v>
      </c>
      <c r="N85" s="1401">
        <v>46103</v>
      </c>
      <c r="O85" t="s">
        <v>84</v>
      </c>
      <c r="P85" s="1401">
        <v>46115</v>
      </c>
      <c r="Q85" s="1401">
        <v>46110</v>
      </c>
    </row>
    <row r="86" spans="1:17">
      <c r="A86" t="s">
        <v>626</v>
      </c>
      <c r="B86" t="s">
        <v>64</v>
      </c>
      <c r="C86" t="s">
        <v>100</v>
      </c>
      <c r="D86" t="s">
        <v>284</v>
      </c>
      <c r="E86" t="s">
        <v>602</v>
      </c>
      <c r="F86" t="s">
        <v>603</v>
      </c>
      <c r="G86">
        <v>9620</v>
      </c>
      <c r="H86" t="s">
        <v>75</v>
      </c>
      <c r="I86">
        <v>46050</v>
      </c>
      <c r="J86" t="s">
        <v>627</v>
      </c>
      <c r="K86" s="1401">
        <v>46057</v>
      </c>
      <c r="L86" s="1401">
        <v>46094</v>
      </c>
      <c r="M86" s="1401">
        <v>46106</v>
      </c>
      <c r="N86" s="1401">
        <v>46107</v>
      </c>
      <c r="O86" t="s">
        <v>84</v>
      </c>
      <c r="P86" s="1401">
        <v>46120</v>
      </c>
      <c r="Q86" s="1401">
        <v>46114</v>
      </c>
    </row>
    <row r="87" spans="1:17">
      <c r="A87" t="s">
        <v>576</v>
      </c>
      <c r="B87" t="s">
        <v>64</v>
      </c>
      <c r="C87" t="s">
        <v>100</v>
      </c>
      <c r="D87" t="s">
        <v>70</v>
      </c>
      <c r="E87" t="s">
        <v>71</v>
      </c>
      <c r="F87" t="s">
        <v>72</v>
      </c>
      <c r="G87">
        <v>8640</v>
      </c>
      <c r="H87" t="s">
        <v>75</v>
      </c>
      <c r="I87">
        <v>46045</v>
      </c>
      <c r="J87" t="s">
        <v>579</v>
      </c>
      <c r="K87" s="1401">
        <v>46054</v>
      </c>
      <c r="L87" s="1401">
        <v>46094</v>
      </c>
      <c r="M87" s="1401">
        <v>46116</v>
      </c>
      <c r="N87" s="1401">
        <v>46118</v>
      </c>
      <c r="O87" t="s">
        <v>84</v>
      </c>
      <c r="P87" s="1401">
        <v>46129</v>
      </c>
      <c r="Q87" s="1401">
        <v>46125</v>
      </c>
    </row>
    <row r="88" spans="1:17">
      <c r="A88" t="s">
        <v>637</v>
      </c>
      <c r="B88" t="s">
        <v>64</v>
      </c>
      <c r="C88" t="s">
        <v>65</v>
      </c>
      <c r="D88" t="s">
        <v>473</v>
      </c>
      <c r="E88" t="s">
        <v>474</v>
      </c>
      <c r="F88" t="s">
        <v>475</v>
      </c>
      <c r="G88">
        <v>2592</v>
      </c>
      <c r="H88" t="s">
        <v>75</v>
      </c>
      <c r="I88">
        <v>46048</v>
      </c>
      <c r="J88" t="s">
        <v>639</v>
      </c>
      <c r="K88" s="1401">
        <v>46054</v>
      </c>
      <c r="L88" s="1401">
        <v>46091</v>
      </c>
      <c r="M88" s="1401">
        <v>46109</v>
      </c>
      <c r="N88" s="1401">
        <v>46110</v>
      </c>
      <c r="O88" t="s">
        <v>84</v>
      </c>
      <c r="P88" s="1401">
        <v>46121</v>
      </c>
      <c r="Q88" s="1401">
        <v>46118</v>
      </c>
    </row>
    <row r="89" spans="1:17">
      <c r="A89" t="s">
        <v>984</v>
      </c>
      <c r="B89" t="s">
        <v>64</v>
      </c>
      <c r="C89" t="s">
        <v>100</v>
      </c>
      <c r="D89" t="s">
        <v>70</v>
      </c>
      <c r="E89" t="s">
        <v>195</v>
      </c>
      <c r="F89" t="s">
        <v>196</v>
      </c>
      <c r="G89">
        <v>1872</v>
      </c>
      <c r="H89" t="s">
        <v>75</v>
      </c>
      <c r="I89">
        <v>46043</v>
      </c>
      <c r="J89" t="s">
        <v>987</v>
      </c>
      <c r="K89" s="1401">
        <v>46054</v>
      </c>
      <c r="L89" s="1401">
        <v>46094</v>
      </c>
      <c r="M89" s="1401">
        <v>46116</v>
      </c>
      <c r="N89" s="1401">
        <v>46118</v>
      </c>
      <c r="O89" t="s">
        <v>973</v>
      </c>
      <c r="P89" s="1401">
        <v>46129</v>
      </c>
      <c r="Q89" s="1401">
        <v>46125</v>
      </c>
    </row>
    <row r="90" spans="1:17">
      <c r="A90" t="s">
        <v>630</v>
      </c>
      <c r="B90" t="s">
        <v>64</v>
      </c>
      <c r="C90" t="s">
        <v>65</v>
      </c>
      <c r="D90" t="s">
        <v>170</v>
      </c>
      <c r="E90" t="s">
        <v>171</v>
      </c>
      <c r="F90" t="s">
        <v>172</v>
      </c>
      <c r="G90">
        <v>3300</v>
      </c>
      <c r="H90" t="s">
        <v>75</v>
      </c>
      <c r="I90">
        <v>46048</v>
      </c>
      <c r="J90" t="s">
        <v>631</v>
      </c>
      <c r="K90" s="1401">
        <v>46054</v>
      </c>
      <c r="L90" s="1401">
        <v>46091</v>
      </c>
      <c r="M90" s="1401">
        <v>46109</v>
      </c>
      <c r="N90" s="1401">
        <v>46110</v>
      </c>
      <c r="O90" t="s">
        <v>84</v>
      </c>
      <c r="P90" s="1401">
        <v>46121</v>
      </c>
      <c r="Q90" s="1401">
        <v>46118</v>
      </c>
    </row>
    <row r="91" spans="1:17">
      <c r="A91" t="s">
        <v>635</v>
      </c>
      <c r="B91" t="s">
        <v>64</v>
      </c>
      <c r="C91" t="s">
        <v>65</v>
      </c>
      <c r="D91" t="s">
        <v>170</v>
      </c>
      <c r="E91" t="s">
        <v>462</v>
      </c>
      <c r="F91" t="s">
        <v>463</v>
      </c>
      <c r="G91">
        <v>1320</v>
      </c>
      <c r="H91" t="s">
        <v>75</v>
      </c>
      <c r="I91">
        <v>46048</v>
      </c>
      <c r="J91" t="s">
        <v>636</v>
      </c>
      <c r="K91" s="1401">
        <v>46054</v>
      </c>
      <c r="L91" s="1401">
        <v>46091</v>
      </c>
      <c r="M91" s="1401">
        <v>46109</v>
      </c>
      <c r="N91" s="1401">
        <v>46110</v>
      </c>
      <c r="O91" t="s">
        <v>84</v>
      </c>
      <c r="P91" s="1401">
        <v>46121</v>
      </c>
      <c r="Q91" s="1401">
        <v>46118</v>
      </c>
    </row>
    <row r="92" spans="1:17">
      <c r="A92" t="s">
        <v>974</v>
      </c>
      <c r="B92" t="s">
        <v>64</v>
      </c>
      <c r="C92" t="s">
        <v>100</v>
      </c>
      <c r="D92" t="s">
        <v>70</v>
      </c>
      <c r="E92" t="s">
        <v>965</v>
      </c>
      <c r="F92" t="s">
        <v>966</v>
      </c>
      <c r="G92">
        <v>3744</v>
      </c>
      <c r="H92" t="s">
        <v>75</v>
      </c>
      <c r="I92">
        <v>46043</v>
      </c>
      <c r="J92" t="s">
        <v>975</v>
      </c>
      <c r="K92" s="1401">
        <v>46054</v>
      </c>
      <c r="L92" s="1401">
        <v>46094</v>
      </c>
      <c r="M92" s="1401">
        <v>46109</v>
      </c>
      <c r="N92" s="1401">
        <v>46118</v>
      </c>
      <c r="O92" t="s">
        <v>973</v>
      </c>
      <c r="P92" s="1401">
        <v>46125</v>
      </c>
      <c r="Q92" s="1401">
        <v>46125</v>
      </c>
    </row>
    <row r="93" spans="1:17">
      <c r="A93" t="s">
        <v>978</v>
      </c>
      <c r="B93" t="s">
        <v>64</v>
      </c>
      <c r="C93" t="s">
        <v>100</v>
      </c>
      <c r="D93" t="s">
        <v>70</v>
      </c>
      <c r="E93" t="s">
        <v>965</v>
      </c>
      <c r="F93" t="s">
        <v>966</v>
      </c>
      <c r="G93">
        <v>2808</v>
      </c>
      <c r="H93" t="s">
        <v>75</v>
      </c>
      <c r="I93">
        <v>46043</v>
      </c>
      <c r="J93" t="s">
        <v>981</v>
      </c>
      <c r="K93" s="1401">
        <v>46054</v>
      </c>
      <c r="L93" s="1401">
        <v>46094</v>
      </c>
      <c r="M93" s="1401">
        <v>46109</v>
      </c>
      <c r="N93" s="1401">
        <v>46118</v>
      </c>
      <c r="O93" t="s">
        <v>973</v>
      </c>
      <c r="P93" s="1401">
        <v>46129</v>
      </c>
      <c r="Q93" s="1401">
        <v>46125</v>
      </c>
    </row>
    <row r="94" spans="1:17">
      <c r="A94" t="s">
        <v>88</v>
      </c>
      <c r="B94" t="s">
        <v>64</v>
      </c>
      <c r="C94" t="s">
        <v>65</v>
      </c>
      <c r="D94" t="s">
        <v>70</v>
      </c>
      <c r="E94" t="s">
        <v>91</v>
      </c>
      <c r="F94" t="s">
        <v>92</v>
      </c>
      <c r="G94">
        <v>936</v>
      </c>
      <c r="H94" t="s">
        <v>75</v>
      </c>
      <c r="I94">
        <v>46051</v>
      </c>
      <c r="J94" t="s">
        <v>722</v>
      </c>
      <c r="K94" s="1401">
        <v>46057</v>
      </c>
      <c r="L94" s="1401">
        <v>46125</v>
      </c>
      <c r="M94" s="1401">
        <v>46136</v>
      </c>
      <c r="N94" s="1401">
        <v>46137</v>
      </c>
      <c r="O94" t="s">
        <v>84</v>
      </c>
      <c r="P94" s="1401">
        <v>46150</v>
      </c>
      <c r="Q94" s="1401">
        <v>46145</v>
      </c>
    </row>
    <row r="95" spans="1:17">
      <c r="A95" t="s">
        <v>720</v>
      </c>
      <c r="B95" t="s">
        <v>64</v>
      </c>
      <c r="C95" t="s">
        <v>65</v>
      </c>
      <c r="D95" t="s">
        <v>70</v>
      </c>
      <c r="E95" t="s">
        <v>691</v>
      </c>
      <c r="F95" t="s">
        <v>692</v>
      </c>
      <c r="G95">
        <v>684</v>
      </c>
      <c r="H95" t="s">
        <v>75</v>
      </c>
      <c r="I95">
        <v>46051</v>
      </c>
      <c r="J95" t="s">
        <v>721</v>
      </c>
      <c r="K95" s="1401">
        <v>46057</v>
      </c>
      <c r="L95" s="1401">
        <v>46125</v>
      </c>
      <c r="M95" s="1401">
        <v>46136</v>
      </c>
      <c r="N95" s="1401">
        <v>46137</v>
      </c>
      <c r="O95" t="s">
        <v>84</v>
      </c>
      <c r="P95" s="1401">
        <v>46150</v>
      </c>
      <c r="Q95" s="1401">
        <v>46145</v>
      </c>
    </row>
    <row r="96" spans="1:17">
      <c r="A96" t="s">
        <v>704</v>
      </c>
      <c r="B96" t="s">
        <v>64</v>
      </c>
      <c r="C96" t="s">
        <v>65</v>
      </c>
      <c r="D96" t="s">
        <v>70</v>
      </c>
      <c r="E96" t="s">
        <v>706</v>
      </c>
      <c r="F96" t="s">
        <v>707</v>
      </c>
      <c r="G96">
        <v>1728</v>
      </c>
      <c r="H96" t="s">
        <v>75</v>
      </c>
      <c r="I96">
        <v>46050</v>
      </c>
      <c r="J96" t="s">
        <v>708</v>
      </c>
      <c r="K96" s="1401">
        <v>46057</v>
      </c>
      <c r="L96" s="1401">
        <v>46119</v>
      </c>
      <c r="M96" s="1401">
        <v>46125</v>
      </c>
      <c r="N96" s="1401">
        <v>46125</v>
      </c>
      <c r="O96" t="s">
        <v>84</v>
      </c>
      <c r="P96" s="1401">
        <v>46139</v>
      </c>
      <c r="Q96" s="1401">
        <v>46133</v>
      </c>
    </row>
    <row r="97" spans="1:17">
      <c r="A97" t="s">
        <v>711</v>
      </c>
      <c r="B97" t="s">
        <v>64</v>
      </c>
      <c r="C97" t="s">
        <v>65</v>
      </c>
      <c r="D97" t="s">
        <v>713</v>
      </c>
      <c r="E97" t="s">
        <v>714</v>
      </c>
      <c r="F97" t="s">
        <v>715</v>
      </c>
      <c r="G97">
        <v>108</v>
      </c>
      <c r="H97" t="s">
        <v>75</v>
      </c>
      <c r="I97">
        <v>46051</v>
      </c>
      <c r="J97" t="s">
        <v>717</v>
      </c>
      <c r="K97" s="1401">
        <v>46057</v>
      </c>
      <c r="L97" s="1401">
        <v>46125</v>
      </c>
      <c r="M97" s="1401">
        <v>46136</v>
      </c>
      <c r="N97" s="1401">
        <v>46137</v>
      </c>
      <c r="O97" t="s">
        <v>84</v>
      </c>
      <c r="P97" s="1401">
        <v>46150</v>
      </c>
      <c r="Q97" s="1401">
        <v>46145</v>
      </c>
    </row>
    <row r="98" spans="1:17">
      <c r="A98" t="s">
        <v>514</v>
      </c>
      <c r="B98" t="s">
        <v>64</v>
      </c>
      <c r="C98" t="s">
        <v>114</v>
      </c>
      <c r="D98" t="s">
        <v>70</v>
      </c>
      <c r="E98" t="s">
        <v>118</v>
      </c>
      <c r="F98" t="s">
        <v>119</v>
      </c>
      <c r="G98" t="s">
        <v>197</v>
      </c>
      <c r="H98" t="s">
        <v>75</v>
      </c>
      <c r="I98">
        <v>46040</v>
      </c>
      <c r="J98" t="s">
        <v>517</v>
      </c>
      <c r="K98" s="1401">
        <v>46045</v>
      </c>
      <c r="L98" s="1401">
        <v>46100</v>
      </c>
      <c r="M98" s="1401">
        <v>46114</v>
      </c>
      <c r="N98" s="1401">
        <v>46117</v>
      </c>
      <c r="O98" t="s">
        <v>84</v>
      </c>
      <c r="P98" s="1401">
        <v>46120</v>
      </c>
      <c r="Q98" s="1401">
        <v>46126</v>
      </c>
    </row>
    <row r="99" spans="1:17">
      <c r="A99" t="s">
        <v>520</v>
      </c>
      <c r="B99" t="s">
        <v>64</v>
      </c>
      <c r="C99" t="s">
        <v>114</v>
      </c>
      <c r="D99" t="s">
        <v>70</v>
      </c>
      <c r="E99" t="s">
        <v>118</v>
      </c>
      <c r="F99" t="s">
        <v>119</v>
      </c>
      <c r="G99">
        <v>1152</v>
      </c>
      <c r="H99" t="s">
        <v>75</v>
      </c>
      <c r="I99">
        <v>46042</v>
      </c>
      <c r="J99" t="s">
        <v>521</v>
      </c>
      <c r="K99" s="1401">
        <v>46051</v>
      </c>
      <c r="L99" s="1401">
        <v>46093</v>
      </c>
      <c r="M99" s="1401">
        <v>46095</v>
      </c>
      <c r="N99" s="1401">
        <v>46095</v>
      </c>
      <c r="O99" t="s">
        <v>84</v>
      </c>
      <c r="P99" s="1401">
        <v>46107</v>
      </c>
      <c r="Q99" s="1401">
        <v>46104</v>
      </c>
    </row>
    <row r="100" spans="1:17">
      <c r="A100" t="s">
        <v>265</v>
      </c>
      <c r="B100" t="s">
        <v>64</v>
      </c>
      <c r="C100" t="s">
        <v>114</v>
      </c>
      <c r="D100" t="s">
        <v>70</v>
      </c>
      <c r="E100" t="s">
        <v>118</v>
      </c>
      <c r="F100" t="s">
        <v>119</v>
      </c>
      <c r="G100">
        <v>1152</v>
      </c>
      <c r="H100" t="s">
        <v>75</v>
      </c>
      <c r="I100">
        <v>46034</v>
      </c>
      <c r="J100" t="s">
        <v>267</v>
      </c>
      <c r="K100" s="1401">
        <v>46042</v>
      </c>
      <c r="L100" s="1401">
        <v>46081</v>
      </c>
      <c r="M100" s="1401">
        <v>46083</v>
      </c>
      <c r="N100" s="1401">
        <v>46084</v>
      </c>
      <c r="O100" t="s">
        <v>84</v>
      </c>
      <c r="P100" s="1401">
        <v>46095</v>
      </c>
      <c r="Q100" s="1401">
        <v>46093</v>
      </c>
    </row>
    <row r="101" spans="1:17">
      <c r="A101" t="s">
        <v>245</v>
      </c>
      <c r="B101" t="s">
        <v>64</v>
      </c>
      <c r="C101" t="s">
        <v>114</v>
      </c>
      <c r="D101" t="s">
        <v>70</v>
      </c>
      <c r="E101" t="s">
        <v>118</v>
      </c>
      <c r="F101" t="s">
        <v>119</v>
      </c>
      <c r="G101">
        <v>1728</v>
      </c>
      <c r="H101" t="s">
        <v>75</v>
      </c>
      <c r="I101">
        <v>46026</v>
      </c>
      <c r="J101" t="s">
        <v>246</v>
      </c>
      <c r="K101" s="1401">
        <v>46031</v>
      </c>
      <c r="L101" s="1401">
        <v>46086</v>
      </c>
      <c r="M101" s="1401">
        <v>46088</v>
      </c>
      <c r="N101" s="1401">
        <v>46089</v>
      </c>
      <c r="O101" t="s">
        <v>84</v>
      </c>
      <c r="P101" s="1401">
        <v>46100</v>
      </c>
      <c r="Q101" s="1401">
        <v>46098</v>
      </c>
    </row>
    <row r="102" spans="1:17">
      <c r="A102" t="s">
        <v>811</v>
      </c>
      <c r="B102" t="s">
        <v>64</v>
      </c>
      <c r="C102" t="s">
        <v>450</v>
      </c>
      <c r="D102" t="s">
        <v>70</v>
      </c>
      <c r="E102" t="s">
        <v>420</v>
      </c>
      <c r="F102" t="s">
        <v>421</v>
      </c>
      <c r="G102">
        <v>864</v>
      </c>
      <c r="H102" t="s">
        <v>75</v>
      </c>
      <c r="I102">
        <v>46061</v>
      </c>
      <c r="J102" t="s">
        <v>813</v>
      </c>
      <c r="K102" s="1401">
        <v>46070</v>
      </c>
      <c r="L102" s="1401">
        <v>46131</v>
      </c>
      <c r="M102" s="1401">
        <v>46138</v>
      </c>
      <c r="N102" s="1401">
        <v>46138</v>
      </c>
      <c r="O102" t="s">
        <v>84</v>
      </c>
      <c r="P102" s="1401">
        <v>46153</v>
      </c>
      <c r="Q102" s="1401">
        <v>46145</v>
      </c>
    </row>
    <row r="103" spans="1:17">
      <c r="A103" t="s">
        <v>801</v>
      </c>
      <c r="B103" t="s">
        <v>64</v>
      </c>
      <c r="C103" t="s">
        <v>100</v>
      </c>
      <c r="D103" t="s">
        <v>70</v>
      </c>
      <c r="E103" t="s">
        <v>420</v>
      </c>
      <c r="F103" t="s">
        <v>421</v>
      </c>
      <c r="G103">
        <v>4320</v>
      </c>
      <c r="H103" t="s">
        <v>75</v>
      </c>
      <c r="I103">
        <v>46060</v>
      </c>
      <c r="J103" t="s">
        <v>808</v>
      </c>
      <c r="K103" s="1401">
        <v>46066</v>
      </c>
      <c r="L103" s="1401">
        <v>46119</v>
      </c>
      <c r="M103" s="1401">
        <v>46141</v>
      </c>
      <c r="N103" s="1401">
        <v>46137</v>
      </c>
      <c r="O103" t="s">
        <v>84</v>
      </c>
      <c r="P103" s="1401">
        <v>46150</v>
      </c>
      <c r="Q103" s="1401">
        <v>46144</v>
      </c>
    </row>
    <row r="104" spans="1:17">
      <c r="A104" t="s">
        <v>1026</v>
      </c>
      <c r="B104" t="s">
        <v>64</v>
      </c>
      <c r="C104" t="s">
        <v>100</v>
      </c>
      <c r="D104" t="s">
        <v>70</v>
      </c>
      <c r="E104" t="s">
        <v>965</v>
      </c>
      <c r="F104" t="s">
        <v>966</v>
      </c>
      <c r="G104">
        <v>3744</v>
      </c>
      <c r="H104" t="s">
        <v>75</v>
      </c>
      <c r="I104">
        <v>46060</v>
      </c>
      <c r="J104" t="s">
        <v>1027</v>
      </c>
      <c r="K104" s="1401">
        <v>46066</v>
      </c>
      <c r="L104" s="1401">
        <v>46119</v>
      </c>
      <c r="M104" s="1401">
        <v>46141</v>
      </c>
      <c r="N104" s="1401">
        <v>46137</v>
      </c>
      <c r="O104" t="s">
        <v>973</v>
      </c>
      <c r="P104" s="1401">
        <v>46150</v>
      </c>
      <c r="Q104" s="1401">
        <v>46144</v>
      </c>
    </row>
    <row r="105" spans="1:17">
      <c r="A105" t="s">
        <v>1023</v>
      </c>
      <c r="B105" t="s">
        <v>64</v>
      </c>
      <c r="C105" t="s">
        <v>100</v>
      </c>
      <c r="D105" t="s">
        <v>70</v>
      </c>
      <c r="E105" t="s">
        <v>965</v>
      </c>
      <c r="F105" t="s">
        <v>966</v>
      </c>
      <c r="G105">
        <v>3744</v>
      </c>
      <c r="H105" t="s">
        <v>75</v>
      </c>
      <c r="I105">
        <v>46060</v>
      </c>
      <c r="J105" t="s">
        <v>1025</v>
      </c>
      <c r="K105" s="1401">
        <v>46066</v>
      </c>
      <c r="L105" s="1401">
        <v>46119</v>
      </c>
      <c r="M105" s="1401">
        <v>46141</v>
      </c>
      <c r="N105" s="1401">
        <v>46137</v>
      </c>
      <c r="O105" t="s">
        <v>973</v>
      </c>
      <c r="P105" s="1401">
        <v>46150</v>
      </c>
      <c r="Q105" s="1401">
        <v>46144</v>
      </c>
    </row>
    <row r="106" spans="1:17">
      <c r="A106" t="s">
        <v>1020</v>
      </c>
      <c r="B106" t="s">
        <v>64</v>
      </c>
      <c r="C106" t="s">
        <v>100</v>
      </c>
      <c r="D106" t="s">
        <v>70</v>
      </c>
      <c r="E106" t="s">
        <v>965</v>
      </c>
      <c r="F106" t="s">
        <v>966</v>
      </c>
      <c r="G106">
        <v>7488</v>
      </c>
      <c r="H106" t="s">
        <v>75</v>
      </c>
      <c r="I106">
        <v>46059</v>
      </c>
      <c r="J106" t="s">
        <v>1022</v>
      </c>
      <c r="K106" s="1401">
        <v>46066</v>
      </c>
      <c r="L106" s="1401">
        <v>46119</v>
      </c>
      <c r="M106" s="1401">
        <v>46141</v>
      </c>
      <c r="N106" s="1401">
        <v>46137</v>
      </c>
      <c r="O106" t="s">
        <v>973</v>
      </c>
      <c r="P106" s="1401">
        <v>46150</v>
      </c>
      <c r="Q106" s="1401">
        <v>46144</v>
      </c>
    </row>
    <row r="107" spans="1:17">
      <c r="A107" t="s">
        <v>805</v>
      </c>
      <c r="B107" t="s">
        <v>64</v>
      </c>
      <c r="C107" t="s">
        <v>100</v>
      </c>
      <c r="D107" t="s">
        <v>70</v>
      </c>
      <c r="E107" t="s">
        <v>420</v>
      </c>
      <c r="F107" t="s">
        <v>421</v>
      </c>
      <c r="G107">
        <v>3456</v>
      </c>
      <c r="H107" t="s">
        <v>75</v>
      </c>
      <c r="I107">
        <v>46058</v>
      </c>
      <c r="J107" t="s">
        <v>806</v>
      </c>
      <c r="K107" s="1401">
        <v>46066</v>
      </c>
      <c r="L107" s="1401">
        <v>46119</v>
      </c>
      <c r="M107" s="1401">
        <v>46141</v>
      </c>
      <c r="N107" s="1401">
        <v>46137</v>
      </c>
      <c r="O107" t="s">
        <v>84</v>
      </c>
      <c r="P107" s="1401">
        <v>46150</v>
      </c>
      <c r="Q107" s="1401">
        <v>46144</v>
      </c>
    </row>
    <row r="108" spans="1:17">
      <c r="A108" t="s">
        <v>1015</v>
      </c>
      <c r="B108" t="s">
        <v>64</v>
      </c>
      <c r="C108" t="s">
        <v>100</v>
      </c>
      <c r="D108" t="s">
        <v>70</v>
      </c>
      <c r="E108" t="s">
        <v>195</v>
      </c>
      <c r="F108" t="s">
        <v>196</v>
      </c>
      <c r="G108">
        <v>1872</v>
      </c>
      <c r="H108" t="s">
        <v>75</v>
      </c>
      <c r="I108">
        <v>46059</v>
      </c>
      <c r="J108" t="s">
        <v>1017</v>
      </c>
      <c r="K108" s="1401">
        <v>46066</v>
      </c>
      <c r="L108" s="1401">
        <v>46119</v>
      </c>
      <c r="M108" s="1401">
        <v>46141</v>
      </c>
      <c r="N108" s="1401">
        <v>46137</v>
      </c>
      <c r="O108" t="s">
        <v>973</v>
      </c>
      <c r="P108" s="1401">
        <v>46150</v>
      </c>
      <c r="Q108" s="1401">
        <v>46144</v>
      </c>
    </row>
    <row r="109" spans="1:17">
      <c r="A109" t="s">
        <v>799</v>
      </c>
      <c r="B109" t="s">
        <v>64</v>
      </c>
      <c r="C109" t="s">
        <v>100</v>
      </c>
      <c r="D109" t="s">
        <v>70</v>
      </c>
      <c r="E109" t="s">
        <v>420</v>
      </c>
      <c r="F109" t="s">
        <v>421</v>
      </c>
      <c r="G109">
        <v>864</v>
      </c>
      <c r="H109" t="s">
        <v>75</v>
      </c>
      <c r="I109">
        <v>46058</v>
      </c>
      <c r="J109" t="s">
        <v>802</v>
      </c>
      <c r="K109" s="1401">
        <v>46066</v>
      </c>
      <c r="L109" s="1401">
        <v>46119</v>
      </c>
      <c r="M109" s="1401">
        <v>46141</v>
      </c>
      <c r="N109" s="1401">
        <v>46137</v>
      </c>
      <c r="O109" t="s">
        <v>84</v>
      </c>
      <c r="P109" s="1401">
        <v>46150</v>
      </c>
      <c r="Q109" s="1401">
        <v>46144</v>
      </c>
    </row>
    <row r="110" spans="1:17">
      <c r="A110" t="s">
        <v>1013</v>
      </c>
      <c r="B110" t="s">
        <v>64</v>
      </c>
      <c r="C110" t="s">
        <v>100</v>
      </c>
      <c r="D110" t="s">
        <v>70</v>
      </c>
      <c r="E110" t="s">
        <v>965</v>
      </c>
      <c r="F110" t="s">
        <v>966</v>
      </c>
      <c r="G110">
        <v>2808</v>
      </c>
      <c r="H110" t="s">
        <v>75</v>
      </c>
      <c r="I110">
        <v>46058</v>
      </c>
      <c r="J110" t="s">
        <v>1014</v>
      </c>
      <c r="K110" s="1401">
        <v>46066</v>
      </c>
      <c r="L110" s="1401">
        <v>46119</v>
      </c>
      <c r="M110" s="1401">
        <v>46141</v>
      </c>
      <c r="N110" s="1401">
        <v>46137</v>
      </c>
      <c r="O110" t="s">
        <v>973</v>
      </c>
      <c r="P110" s="1401">
        <v>46150</v>
      </c>
      <c r="Q110" s="1401">
        <v>46144</v>
      </c>
    </row>
    <row r="111" spans="1:17">
      <c r="A111" t="s">
        <v>193</v>
      </c>
      <c r="B111" t="s">
        <v>64</v>
      </c>
      <c r="C111" t="s">
        <v>100</v>
      </c>
      <c r="D111" t="s">
        <v>70</v>
      </c>
      <c r="E111" t="s">
        <v>195</v>
      </c>
      <c r="F111" t="s">
        <v>196</v>
      </c>
      <c r="G111">
        <v>4680</v>
      </c>
      <c r="H111" t="s">
        <v>75</v>
      </c>
      <c r="I111">
        <v>46057</v>
      </c>
      <c r="J111" t="s">
        <v>798</v>
      </c>
      <c r="K111" s="1401">
        <v>46066</v>
      </c>
      <c r="L111" s="1401">
        <v>46119</v>
      </c>
      <c r="M111" s="1401">
        <v>46141</v>
      </c>
      <c r="N111" s="1401">
        <v>46137</v>
      </c>
      <c r="O111" t="s">
        <v>84</v>
      </c>
      <c r="P111" s="1401">
        <v>46150</v>
      </c>
      <c r="Q111" s="1401">
        <v>46144</v>
      </c>
    </row>
    <row r="112" spans="1:17">
      <c r="A112" t="s">
        <v>817</v>
      </c>
      <c r="B112" t="s">
        <v>64</v>
      </c>
      <c r="C112" t="s">
        <v>100</v>
      </c>
      <c r="D112" t="s">
        <v>70</v>
      </c>
      <c r="E112" t="s">
        <v>570</v>
      </c>
      <c r="F112" t="s">
        <v>571</v>
      </c>
      <c r="G112">
        <v>4680</v>
      </c>
      <c r="H112" t="s">
        <v>75</v>
      </c>
      <c r="I112">
        <v>46061</v>
      </c>
      <c r="J112" t="s">
        <v>818</v>
      </c>
      <c r="K112" s="1401">
        <v>46066</v>
      </c>
      <c r="L112" s="1401">
        <v>46119</v>
      </c>
      <c r="M112" s="1401">
        <v>46133</v>
      </c>
      <c r="N112" s="1401">
        <v>46133</v>
      </c>
      <c r="O112" t="s">
        <v>84</v>
      </c>
      <c r="P112" s="1401">
        <v>46147</v>
      </c>
      <c r="Q112" s="1401">
        <v>46140</v>
      </c>
    </row>
    <row r="113" spans="1:17">
      <c r="A113" t="s">
        <v>795</v>
      </c>
      <c r="B113" t="s">
        <v>64</v>
      </c>
      <c r="C113" t="s">
        <v>100</v>
      </c>
      <c r="D113" t="s">
        <v>70</v>
      </c>
      <c r="E113" t="s">
        <v>570</v>
      </c>
      <c r="F113" t="s">
        <v>571</v>
      </c>
      <c r="G113">
        <v>3744</v>
      </c>
      <c r="H113" t="s">
        <v>75</v>
      </c>
      <c r="I113">
        <v>46057</v>
      </c>
      <c r="J113" t="s">
        <v>797</v>
      </c>
      <c r="K113" s="1401">
        <v>46066</v>
      </c>
      <c r="L113" s="1401">
        <v>46119</v>
      </c>
      <c r="M113" s="1401">
        <v>46141</v>
      </c>
      <c r="N113" s="1401">
        <v>46137</v>
      </c>
      <c r="O113" t="s">
        <v>84</v>
      </c>
      <c r="P113" s="1401">
        <v>46150</v>
      </c>
      <c r="Q113" s="1401">
        <v>46144</v>
      </c>
    </row>
    <row r="114" spans="1:17">
      <c r="A114" t="s">
        <v>790</v>
      </c>
      <c r="B114" t="s">
        <v>64</v>
      </c>
      <c r="C114" t="s">
        <v>100</v>
      </c>
      <c r="D114" t="s">
        <v>70</v>
      </c>
      <c r="E114" t="s">
        <v>791</v>
      </c>
      <c r="F114" t="s">
        <v>571</v>
      </c>
      <c r="G114">
        <v>4680</v>
      </c>
      <c r="H114" t="s">
        <v>75</v>
      </c>
      <c r="I114">
        <v>46057</v>
      </c>
      <c r="J114" t="s">
        <v>792</v>
      </c>
      <c r="K114" s="1401">
        <v>46066</v>
      </c>
      <c r="L114" s="1401">
        <v>46119</v>
      </c>
      <c r="M114" s="1401">
        <v>46141</v>
      </c>
      <c r="N114" s="1401">
        <v>46137</v>
      </c>
      <c r="O114" t="s">
        <v>84</v>
      </c>
      <c r="P114" s="1401">
        <v>46150</v>
      </c>
      <c r="Q114" s="1401">
        <v>46144</v>
      </c>
    </row>
    <row r="115" spans="1:17">
      <c r="A115" t="s">
        <v>786</v>
      </c>
      <c r="B115" t="s">
        <v>64</v>
      </c>
      <c r="C115" t="s">
        <v>65</v>
      </c>
      <c r="D115" t="s">
        <v>70</v>
      </c>
      <c r="E115" t="s">
        <v>691</v>
      </c>
      <c r="F115" t="s">
        <v>692</v>
      </c>
      <c r="G115">
        <v>2592</v>
      </c>
      <c r="H115" t="s">
        <v>75</v>
      </c>
      <c r="I115">
        <v>46058</v>
      </c>
      <c r="J115" t="s">
        <v>787</v>
      </c>
      <c r="K115" s="1401">
        <v>46066</v>
      </c>
      <c r="L115" s="1401">
        <v>46139</v>
      </c>
      <c r="M115" s="1401">
        <v>46146</v>
      </c>
      <c r="N115" s="1401">
        <v>46144</v>
      </c>
      <c r="O115" t="s">
        <v>84</v>
      </c>
      <c r="P115" s="1401">
        <v>46160</v>
      </c>
      <c r="Q115" s="1401">
        <v>46152</v>
      </c>
    </row>
    <row r="116" spans="1:17">
      <c r="A116" t="s">
        <v>784</v>
      </c>
      <c r="B116" t="s">
        <v>64</v>
      </c>
      <c r="C116" t="s">
        <v>65</v>
      </c>
      <c r="D116" t="s">
        <v>70</v>
      </c>
      <c r="E116" t="s">
        <v>691</v>
      </c>
      <c r="F116" t="s">
        <v>692</v>
      </c>
      <c r="G116">
        <v>864</v>
      </c>
      <c r="H116" t="s">
        <v>75</v>
      </c>
      <c r="I116">
        <v>46056</v>
      </c>
      <c r="J116" t="s">
        <v>785</v>
      </c>
      <c r="K116" s="1401">
        <v>46066</v>
      </c>
      <c r="L116" s="1401">
        <v>46139</v>
      </c>
      <c r="M116" s="1401">
        <v>46146</v>
      </c>
      <c r="N116" s="1401">
        <v>46144</v>
      </c>
      <c r="O116" t="s">
        <v>84</v>
      </c>
      <c r="P116" s="1401">
        <v>46160</v>
      </c>
      <c r="Q116" s="1401">
        <v>46152</v>
      </c>
    </row>
    <row r="117" spans="1:17">
      <c r="A117" t="s">
        <v>782</v>
      </c>
      <c r="B117" t="s">
        <v>64</v>
      </c>
      <c r="C117" t="s">
        <v>65</v>
      </c>
      <c r="D117" t="s">
        <v>70</v>
      </c>
      <c r="E117" t="s">
        <v>691</v>
      </c>
      <c r="F117" t="s">
        <v>692</v>
      </c>
      <c r="G117">
        <v>864</v>
      </c>
      <c r="H117" t="s">
        <v>75</v>
      </c>
      <c r="I117">
        <v>46056</v>
      </c>
      <c r="J117" t="s">
        <v>783</v>
      </c>
      <c r="K117" s="1401">
        <v>46066</v>
      </c>
      <c r="L117" s="1401">
        <v>46139</v>
      </c>
      <c r="M117" s="1401">
        <v>46146</v>
      </c>
      <c r="N117" s="1401">
        <v>46144</v>
      </c>
      <c r="O117" t="s">
        <v>84</v>
      </c>
      <c r="P117" s="1401">
        <v>46160</v>
      </c>
      <c r="Q117" s="1401">
        <v>46152</v>
      </c>
    </row>
    <row r="118" spans="1:17">
      <c r="A118" t="s">
        <v>779</v>
      </c>
      <c r="B118" t="s">
        <v>64</v>
      </c>
      <c r="C118" t="s">
        <v>65</v>
      </c>
      <c r="D118" t="s">
        <v>70</v>
      </c>
      <c r="E118" t="s">
        <v>204</v>
      </c>
      <c r="F118" t="s">
        <v>205</v>
      </c>
      <c r="G118">
        <v>5868</v>
      </c>
      <c r="H118" t="s">
        <v>75</v>
      </c>
      <c r="I118">
        <v>46056</v>
      </c>
      <c r="J118" t="s">
        <v>781</v>
      </c>
      <c r="K118" s="1401">
        <v>46066</v>
      </c>
      <c r="L118" s="1401">
        <v>46139</v>
      </c>
      <c r="M118" s="1401">
        <v>46146</v>
      </c>
      <c r="N118" s="1401">
        <v>46144</v>
      </c>
      <c r="O118" t="s">
        <v>84</v>
      </c>
      <c r="P118" s="1401">
        <v>46160</v>
      </c>
      <c r="Q118" s="1401">
        <v>46152</v>
      </c>
    </row>
    <row r="119" spans="1:17">
      <c r="A119" t="s">
        <v>775</v>
      </c>
      <c r="B119" t="s">
        <v>64</v>
      </c>
      <c r="C119" t="s">
        <v>65</v>
      </c>
      <c r="D119" t="s">
        <v>70</v>
      </c>
      <c r="E119" t="s">
        <v>91</v>
      </c>
      <c r="F119" t="s">
        <v>92</v>
      </c>
      <c r="G119">
        <v>4428</v>
      </c>
      <c r="H119" t="s">
        <v>75</v>
      </c>
      <c r="I119">
        <v>46056</v>
      </c>
      <c r="J119" t="s">
        <v>776</v>
      </c>
      <c r="K119" s="1401">
        <v>46066</v>
      </c>
      <c r="L119" s="1401">
        <v>46139</v>
      </c>
      <c r="M119" s="1401">
        <v>46146</v>
      </c>
      <c r="N119" s="1401">
        <v>46144</v>
      </c>
      <c r="O119" t="s">
        <v>84</v>
      </c>
      <c r="P119" s="1401">
        <v>46160</v>
      </c>
      <c r="Q119" s="1401">
        <v>46152</v>
      </c>
    </row>
    <row r="120" spans="1:17">
      <c r="A120" t="s">
        <v>774</v>
      </c>
      <c r="B120" t="s">
        <v>64</v>
      </c>
      <c r="C120" t="s">
        <v>65</v>
      </c>
      <c r="D120" t="s">
        <v>70</v>
      </c>
      <c r="E120" t="s">
        <v>91</v>
      </c>
      <c r="F120" t="s">
        <v>92</v>
      </c>
      <c r="G120">
        <v>1872</v>
      </c>
      <c r="H120" t="s">
        <v>75</v>
      </c>
      <c r="I120">
        <v>46056</v>
      </c>
      <c r="J120" t="s">
        <v>776</v>
      </c>
      <c r="K120" s="1401">
        <v>46066</v>
      </c>
      <c r="L120" s="1401">
        <v>46139</v>
      </c>
      <c r="M120" s="1401">
        <v>46146</v>
      </c>
      <c r="N120" s="1401">
        <v>46144</v>
      </c>
      <c r="O120" t="s">
        <v>84</v>
      </c>
      <c r="P120" s="1401">
        <v>46160</v>
      </c>
      <c r="Q120" s="1401">
        <v>46152</v>
      </c>
    </row>
    <row r="121" spans="1:17">
      <c r="A121" t="s">
        <v>1011</v>
      </c>
      <c r="B121" t="s">
        <v>64</v>
      </c>
      <c r="C121" t="s">
        <v>100</v>
      </c>
      <c r="D121" t="s">
        <v>70</v>
      </c>
      <c r="E121" t="s">
        <v>965</v>
      </c>
      <c r="F121" t="s">
        <v>966</v>
      </c>
      <c r="G121">
        <v>936</v>
      </c>
      <c r="H121" t="s">
        <v>75</v>
      </c>
      <c r="I121">
        <v>46055</v>
      </c>
      <c r="J121" t="s">
        <v>1012</v>
      </c>
      <c r="K121" s="1401">
        <v>46066</v>
      </c>
      <c r="L121" s="1401">
        <v>46119</v>
      </c>
      <c r="M121" s="1401">
        <v>46141</v>
      </c>
      <c r="N121" s="1401">
        <v>46137</v>
      </c>
      <c r="O121" t="s">
        <v>973</v>
      </c>
      <c r="P121" s="1401">
        <v>46148</v>
      </c>
      <c r="Q121" s="1401">
        <v>46144</v>
      </c>
    </row>
    <row r="122" spans="1:17">
      <c r="A122" t="s">
        <v>768</v>
      </c>
      <c r="B122" t="s">
        <v>64</v>
      </c>
      <c r="C122" t="s">
        <v>100</v>
      </c>
      <c r="D122" t="s">
        <v>70</v>
      </c>
      <c r="E122" t="s">
        <v>560</v>
      </c>
      <c r="F122" t="s">
        <v>196</v>
      </c>
      <c r="G122">
        <v>2736</v>
      </c>
      <c r="H122" t="s">
        <v>75</v>
      </c>
      <c r="I122">
        <v>46055</v>
      </c>
      <c r="J122" t="s">
        <v>770</v>
      </c>
      <c r="K122" s="1401">
        <v>46066</v>
      </c>
      <c r="L122" s="1401">
        <v>46119</v>
      </c>
      <c r="M122" s="1401">
        <v>46141</v>
      </c>
      <c r="N122" s="1401">
        <v>46137</v>
      </c>
      <c r="O122" t="s">
        <v>84</v>
      </c>
      <c r="P122" s="1401">
        <v>46150</v>
      </c>
      <c r="Q122" s="1401">
        <v>46144</v>
      </c>
    </row>
    <row r="123" spans="1:17">
      <c r="A123" t="s">
        <v>985</v>
      </c>
      <c r="B123" t="s">
        <v>64</v>
      </c>
      <c r="C123" t="s">
        <v>100</v>
      </c>
      <c r="D123" t="s">
        <v>70</v>
      </c>
      <c r="E123" t="s">
        <v>195</v>
      </c>
      <c r="F123" t="s">
        <v>196</v>
      </c>
      <c r="G123">
        <v>936</v>
      </c>
      <c r="H123" t="s">
        <v>75</v>
      </c>
      <c r="I123">
        <v>46055</v>
      </c>
      <c r="J123" t="s">
        <v>1010</v>
      </c>
      <c r="K123" s="1401">
        <v>46066</v>
      </c>
      <c r="L123" s="1401">
        <v>46119</v>
      </c>
      <c r="M123" s="1401">
        <v>46141</v>
      </c>
      <c r="N123" s="1401">
        <v>46137</v>
      </c>
      <c r="O123" t="s">
        <v>973</v>
      </c>
      <c r="P123" s="1401">
        <v>46150</v>
      </c>
      <c r="Q123" s="1401">
        <v>46144</v>
      </c>
    </row>
    <row r="124" spans="1:17">
      <c r="A124" t="s">
        <v>762</v>
      </c>
      <c r="B124" t="s">
        <v>64</v>
      </c>
      <c r="C124" t="s">
        <v>65</v>
      </c>
      <c r="D124" t="s">
        <v>473</v>
      </c>
      <c r="E124" t="s">
        <v>763</v>
      </c>
      <c r="F124" t="s">
        <v>764</v>
      </c>
      <c r="G124">
        <v>864</v>
      </c>
      <c r="H124" t="s">
        <v>75</v>
      </c>
      <c r="I124">
        <v>46058</v>
      </c>
      <c r="J124" t="s">
        <v>765</v>
      </c>
      <c r="K124" s="1401">
        <v>46063</v>
      </c>
      <c r="L124" s="1401">
        <v>46092</v>
      </c>
      <c r="M124" s="1401">
        <v>46115</v>
      </c>
      <c r="N124" s="1401">
        <v>46119</v>
      </c>
      <c r="O124" t="s">
        <v>84</v>
      </c>
      <c r="P124" s="1401">
        <v>46129</v>
      </c>
      <c r="Q124" s="1401">
        <v>46127</v>
      </c>
    </row>
    <row r="125" spans="1:17">
      <c r="A125" t="s">
        <v>112</v>
      </c>
      <c r="B125" t="s">
        <v>64</v>
      </c>
      <c r="C125" t="s">
        <v>114</v>
      </c>
      <c r="D125" t="s">
        <v>70</v>
      </c>
      <c r="E125" t="s">
        <v>118</v>
      </c>
      <c r="F125" t="s">
        <v>119</v>
      </c>
      <c r="G125">
        <v>2787</v>
      </c>
      <c r="H125" t="s">
        <v>75</v>
      </c>
      <c r="I125">
        <v>46059</v>
      </c>
      <c r="J125" t="s">
        <v>761</v>
      </c>
      <c r="K125" s="1401">
        <v>46063</v>
      </c>
      <c r="L125" s="1401">
        <v>46114</v>
      </c>
      <c r="M125" s="1401">
        <v>46125</v>
      </c>
      <c r="N125" s="1401">
        <v>46126</v>
      </c>
      <c r="O125" t="s">
        <v>84</v>
      </c>
      <c r="P125" s="1401">
        <v>46135</v>
      </c>
      <c r="Q125" s="1401">
        <v>46135</v>
      </c>
    </row>
    <row r="126" spans="1:17">
      <c r="A126" t="s">
        <v>757</v>
      </c>
      <c r="B126" t="s">
        <v>64</v>
      </c>
      <c r="C126" t="s">
        <v>114</v>
      </c>
      <c r="D126" t="s">
        <v>70</v>
      </c>
      <c r="E126" t="s">
        <v>118</v>
      </c>
      <c r="F126" t="s">
        <v>119</v>
      </c>
      <c r="G126">
        <v>5760</v>
      </c>
      <c r="H126" t="s">
        <v>75</v>
      </c>
      <c r="I126">
        <v>46059</v>
      </c>
      <c r="J126" t="s">
        <v>758</v>
      </c>
      <c r="K126" s="1401">
        <v>46063</v>
      </c>
      <c r="L126" s="1401">
        <v>46114</v>
      </c>
      <c r="M126" s="1401">
        <v>46125</v>
      </c>
      <c r="N126" s="1401">
        <v>46126</v>
      </c>
      <c r="O126" t="s">
        <v>84</v>
      </c>
      <c r="P126" s="1401">
        <v>46135</v>
      </c>
      <c r="Q126" s="1401">
        <v>46135</v>
      </c>
    </row>
    <row r="127" spans="1:17">
      <c r="A127" t="s">
        <v>755</v>
      </c>
      <c r="B127" t="s">
        <v>64</v>
      </c>
      <c r="C127" t="s">
        <v>114</v>
      </c>
      <c r="D127" t="s">
        <v>70</v>
      </c>
      <c r="E127" t="s">
        <v>118</v>
      </c>
      <c r="F127" t="s">
        <v>119</v>
      </c>
      <c r="G127">
        <v>4032</v>
      </c>
      <c r="H127" t="s">
        <v>75</v>
      </c>
      <c r="I127">
        <v>46058</v>
      </c>
      <c r="J127" t="s">
        <v>756</v>
      </c>
      <c r="K127" s="1401">
        <v>46063</v>
      </c>
      <c r="L127" s="1401">
        <v>46114</v>
      </c>
      <c r="M127" s="1401">
        <v>46125</v>
      </c>
      <c r="N127" s="1401">
        <v>46126</v>
      </c>
      <c r="O127" t="s">
        <v>84</v>
      </c>
      <c r="P127" s="1401">
        <v>46135</v>
      </c>
      <c r="Q127" s="1401">
        <v>46135</v>
      </c>
    </row>
    <row r="128" spans="1:17">
      <c r="A128" t="s">
        <v>751</v>
      </c>
      <c r="B128" t="s">
        <v>64</v>
      </c>
      <c r="C128" t="s">
        <v>114</v>
      </c>
      <c r="D128" t="s">
        <v>70</v>
      </c>
      <c r="E128" t="s">
        <v>118</v>
      </c>
      <c r="F128" t="s">
        <v>119</v>
      </c>
      <c r="G128">
        <v>1152</v>
      </c>
      <c r="H128" t="s">
        <v>75</v>
      </c>
      <c r="I128">
        <v>46058</v>
      </c>
      <c r="J128" t="s">
        <v>752</v>
      </c>
      <c r="K128" s="1401">
        <v>46063</v>
      </c>
      <c r="L128" s="1401">
        <v>46114</v>
      </c>
      <c r="M128" s="1401">
        <v>46125</v>
      </c>
      <c r="N128" s="1401">
        <v>46126</v>
      </c>
      <c r="O128" t="s">
        <v>84</v>
      </c>
      <c r="P128" s="1401">
        <v>46135</v>
      </c>
      <c r="Q128" s="1401">
        <v>46135</v>
      </c>
    </row>
    <row r="129" spans="1:17">
      <c r="A129" t="s">
        <v>746</v>
      </c>
      <c r="B129" t="s">
        <v>64</v>
      </c>
      <c r="C129" t="s">
        <v>114</v>
      </c>
      <c r="D129" t="s">
        <v>70</v>
      </c>
      <c r="E129" t="s">
        <v>118</v>
      </c>
      <c r="F129" t="s">
        <v>119</v>
      </c>
      <c r="G129">
        <v>3456</v>
      </c>
      <c r="H129" t="s">
        <v>75</v>
      </c>
      <c r="I129">
        <v>46057</v>
      </c>
      <c r="J129" t="s">
        <v>747</v>
      </c>
      <c r="K129" s="1401">
        <v>46063</v>
      </c>
      <c r="L129" s="1401">
        <v>46107</v>
      </c>
      <c r="M129" s="1401">
        <v>46112</v>
      </c>
      <c r="N129" s="1401">
        <v>46112</v>
      </c>
      <c r="O129" t="s">
        <v>84</v>
      </c>
      <c r="P129" s="1401">
        <v>46121</v>
      </c>
      <c r="Q129" s="1401">
        <v>46121</v>
      </c>
    </row>
    <row r="130" spans="1:17">
      <c r="A130" t="s">
        <v>744</v>
      </c>
      <c r="B130" t="s">
        <v>64</v>
      </c>
      <c r="C130" t="s">
        <v>65</v>
      </c>
      <c r="D130" t="s">
        <v>170</v>
      </c>
      <c r="E130" t="s">
        <v>171</v>
      </c>
      <c r="F130" t="s">
        <v>172</v>
      </c>
      <c r="G130">
        <v>660</v>
      </c>
      <c r="H130" t="s">
        <v>75</v>
      </c>
      <c r="I130">
        <v>46054</v>
      </c>
      <c r="J130" t="s">
        <v>745</v>
      </c>
      <c r="K130" s="1401">
        <v>46063</v>
      </c>
      <c r="L130" s="1401">
        <v>46108</v>
      </c>
      <c r="M130" s="1401">
        <v>46136</v>
      </c>
      <c r="N130" s="1401">
        <v>46137</v>
      </c>
      <c r="O130" t="s">
        <v>84</v>
      </c>
      <c r="P130" s="1401">
        <v>46150</v>
      </c>
      <c r="Q130" s="1401">
        <v>46145</v>
      </c>
    </row>
    <row r="131" spans="1:17">
      <c r="A131" t="s">
        <v>1006</v>
      </c>
      <c r="B131" t="s">
        <v>64</v>
      </c>
      <c r="C131" t="s">
        <v>65</v>
      </c>
      <c r="D131" t="s">
        <v>70</v>
      </c>
      <c r="E131" t="s">
        <v>102</v>
      </c>
      <c r="F131" t="s">
        <v>103</v>
      </c>
      <c r="G131">
        <v>1440</v>
      </c>
      <c r="H131" t="s">
        <v>75</v>
      </c>
      <c r="I131">
        <v>46054</v>
      </c>
      <c r="J131" t="s">
        <v>1009</v>
      </c>
      <c r="K131" s="1401">
        <v>46063</v>
      </c>
      <c r="L131" s="1401">
        <v>46101</v>
      </c>
      <c r="M131" s="1401">
        <v>46136</v>
      </c>
      <c r="N131" s="1401">
        <v>46137</v>
      </c>
      <c r="O131" t="s">
        <v>973</v>
      </c>
      <c r="P131" s="1401">
        <v>46150</v>
      </c>
      <c r="Q131" s="1401">
        <v>46145</v>
      </c>
    </row>
    <row r="132" spans="1:17">
      <c r="A132" t="s">
        <v>742</v>
      </c>
      <c r="B132" t="s">
        <v>64</v>
      </c>
      <c r="C132" t="s">
        <v>65</v>
      </c>
      <c r="D132" t="s">
        <v>170</v>
      </c>
      <c r="E132" t="s">
        <v>171</v>
      </c>
      <c r="F132" t="s">
        <v>172</v>
      </c>
      <c r="G132">
        <v>660</v>
      </c>
      <c r="H132" t="s">
        <v>75</v>
      </c>
      <c r="I132">
        <v>46054</v>
      </c>
      <c r="J132" t="s">
        <v>743</v>
      </c>
      <c r="K132" s="1401">
        <v>46063</v>
      </c>
      <c r="L132" s="1401">
        <v>46101</v>
      </c>
      <c r="M132" s="1401">
        <v>46136</v>
      </c>
      <c r="N132" s="1401">
        <v>46137</v>
      </c>
      <c r="O132" t="s">
        <v>84</v>
      </c>
      <c r="P132" s="1401">
        <v>46150</v>
      </c>
      <c r="Q132" s="1401">
        <v>46145</v>
      </c>
    </row>
    <row r="133" spans="1:17">
      <c r="A133" t="s">
        <v>736</v>
      </c>
      <c r="B133" t="s">
        <v>64</v>
      </c>
      <c r="C133" t="s">
        <v>65</v>
      </c>
      <c r="D133" t="s">
        <v>170</v>
      </c>
      <c r="E133" t="s">
        <v>171</v>
      </c>
      <c r="F133" t="s">
        <v>172</v>
      </c>
      <c r="G133">
        <v>3960</v>
      </c>
      <c r="H133" t="s">
        <v>75</v>
      </c>
      <c r="I133">
        <v>46054</v>
      </c>
      <c r="J133" t="s">
        <v>738</v>
      </c>
      <c r="K133" s="1401">
        <v>46063</v>
      </c>
      <c r="L133" s="1401">
        <v>46111</v>
      </c>
      <c r="M133" s="1401">
        <v>46136</v>
      </c>
      <c r="N133" s="1401">
        <v>46137</v>
      </c>
      <c r="O133" t="s">
        <v>84</v>
      </c>
      <c r="P133" s="1401">
        <v>46150</v>
      </c>
      <c r="Q133" s="1401">
        <v>46145</v>
      </c>
    </row>
    <row r="134" spans="1:17">
      <c r="A134" t="s">
        <v>1000</v>
      </c>
      <c r="B134" t="s">
        <v>64</v>
      </c>
      <c r="C134" t="s">
        <v>100</v>
      </c>
      <c r="D134" t="s">
        <v>70</v>
      </c>
      <c r="E134" t="s">
        <v>1002</v>
      </c>
      <c r="F134" t="s">
        <v>330</v>
      </c>
      <c r="G134">
        <v>7920</v>
      </c>
      <c r="H134" t="s">
        <v>75</v>
      </c>
      <c r="I134">
        <v>46054</v>
      </c>
      <c r="J134" t="s">
        <v>1003</v>
      </c>
      <c r="K134" s="1401">
        <v>46063</v>
      </c>
      <c r="L134" s="1401">
        <v>46098</v>
      </c>
      <c r="M134" s="1401">
        <v>46109</v>
      </c>
      <c r="N134" s="1401">
        <v>46109</v>
      </c>
      <c r="O134" t="s">
        <v>973</v>
      </c>
      <c r="P134" s="1401">
        <v>46125</v>
      </c>
      <c r="Q134" s="1401">
        <v>46116</v>
      </c>
    </row>
    <row r="135" spans="1:17">
      <c r="A135" t="s">
        <v>994</v>
      </c>
      <c r="B135" t="s">
        <v>64</v>
      </c>
      <c r="C135" t="s">
        <v>100</v>
      </c>
      <c r="D135" t="s">
        <v>132</v>
      </c>
      <c r="E135" t="s">
        <v>133</v>
      </c>
      <c r="F135" t="s">
        <v>134</v>
      </c>
      <c r="G135">
        <v>5940</v>
      </c>
      <c r="H135" t="s">
        <v>75</v>
      </c>
      <c r="I135">
        <v>46055</v>
      </c>
      <c r="J135" t="s">
        <v>996</v>
      </c>
      <c r="K135" s="1401">
        <v>46063</v>
      </c>
      <c r="L135" s="1401">
        <v>46102</v>
      </c>
      <c r="M135" s="1401">
        <v>46126</v>
      </c>
      <c r="N135" s="1401">
        <v>46127</v>
      </c>
      <c r="O135" t="s">
        <v>973</v>
      </c>
      <c r="P135" s="1401">
        <v>46134</v>
      </c>
      <c r="Q135" s="1401">
        <v>46134</v>
      </c>
    </row>
    <row r="136" spans="1:17">
      <c r="A136" t="s">
        <v>990</v>
      </c>
      <c r="B136" t="s">
        <v>64</v>
      </c>
      <c r="C136" t="s">
        <v>100</v>
      </c>
      <c r="D136" t="s">
        <v>132</v>
      </c>
      <c r="E136" t="s">
        <v>133</v>
      </c>
      <c r="F136" t="s">
        <v>134</v>
      </c>
      <c r="G136">
        <v>2376</v>
      </c>
      <c r="H136" t="s">
        <v>75</v>
      </c>
      <c r="I136">
        <v>46057</v>
      </c>
      <c r="J136" t="s">
        <v>993</v>
      </c>
      <c r="K136" s="1401">
        <v>46062</v>
      </c>
      <c r="L136" s="1401">
        <v>46099</v>
      </c>
      <c r="M136" s="1401">
        <v>46126</v>
      </c>
      <c r="N136" s="1401">
        <v>46127</v>
      </c>
      <c r="O136" t="s">
        <v>973</v>
      </c>
      <c r="P136" s="1401">
        <v>46134</v>
      </c>
      <c r="Q136" s="1401">
        <v>46134</v>
      </c>
    </row>
    <row r="137" spans="1:17">
      <c r="A137" t="s">
        <v>734</v>
      </c>
      <c r="B137" t="s">
        <v>64</v>
      </c>
      <c r="C137" t="s">
        <v>100</v>
      </c>
      <c r="D137" t="s">
        <v>132</v>
      </c>
      <c r="E137" t="s">
        <v>189</v>
      </c>
      <c r="F137" t="s">
        <v>190</v>
      </c>
      <c r="G137">
        <v>2592</v>
      </c>
      <c r="H137" t="s">
        <v>75</v>
      </c>
      <c r="I137">
        <v>46057</v>
      </c>
      <c r="J137" t="s">
        <v>735</v>
      </c>
      <c r="K137" s="1401">
        <v>46062</v>
      </c>
      <c r="L137" s="1401">
        <v>46099</v>
      </c>
      <c r="M137" s="1401">
        <v>46126</v>
      </c>
      <c r="N137" s="1401">
        <v>46127</v>
      </c>
      <c r="O137" t="s">
        <v>84</v>
      </c>
      <c r="P137" s="1401">
        <v>46134</v>
      </c>
      <c r="Q137" s="1401">
        <v>46134</v>
      </c>
    </row>
    <row r="138" spans="1:17">
      <c r="A138" t="s">
        <v>525</v>
      </c>
      <c r="B138" t="s">
        <v>64</v>
      </c>
      <c r="C138" t="s">
        <v>100</v>
      </c>
      <c r="D138" t="s">
        <v>473</v>
      </c>
      <c r="E138" t="s">
        <v>529</v>
      </c>
      <c r="F138" t="s">
        <v>530</v>
      </c>
      <c r="G138">
        <v>1728</v>
      </c>
      <c r="H138" t="s">
        <v>75</v>
      </c>
      <c r="I138">
        <v>46056</v>
      </c>
      <c r="J138" t="s">
        <v>729</v>
      </c>
      <c r="K138" s="1401">
        <v>46062</v>
      </c>
      <c r="L138" s="1401">
        <v>46102</v>
      </c>
      <c r="M138" s="1401">
        <v>46111</v>
      </c>
      <c r="N138" s="1401">
        <v>46113</v>
      </c>
      <c r="O138" t="s">
        <v>84</v>
      </c>
      <c r="P138" s="1401">
        <v>46125</v>
      </c>
      <c r="Q138" s="1401">
        <v>46120</v>
      </c>
    </row>
    <row r="139" spans="1:17">
      <c r="A139" t="s">
        <v>638</v>
      </c>
      <c r="B139" t="s">
        <v>64</v>
      </c>
      <c r="C139" t="s">
        <v>100</v>
      </c>
      <c r="D139" t="s">
        <v>473</v>
      </c>
      <c r="E139" t="s">
        <v>474</v>
      </c>
      <c r="F139" t="s">
        <v>475</v>
      </c>
      <c r="G139">
        <v>864</v>
      </c>
      <c r="H139" t="s">
        <v>75</v>
      </c>
      <c r="I139">
        <v>46057</v>
      </c>
      <c r="J139" t="s">
        <v>730</v>
      </c>
      <c r="K139" s="1401">
        <v>46062</v>
      </c>
      <c r="L139" s="1401">
        <v>46099</v>
      </c>
      <c r="M139" s="1401">
        <v>46126</v>
      </c>
      <c r="N139" s="1401">
        <v>46127</v>
      </c>
      <c r="O139" t="s">
        <v>84</v>
      </c>
      <c r="P139" s="1401">
        <v>46134</v>
      </c>
      <c r="Q139" s="1401">
        <v>46134</v>
      </c>
    </row>
    <row r="140" spans="1:17">
      <c r="A140" t="s">
        <v>727</v>
      </c>
      <c r="B140" t="s">
        <v>64</v>
      </c>
      <c r="C140" t="s">
        <v>100</v>
      </c>
      <c r="D140" t="s">
        <v>170</v>
      </c>
      <c r="E140" t="s">
        <v>171</v>
      </c>
      <c r="F140" t="s">
        <v>172</v>
      </c>
      <c r="G140">
        <v>3300</v>
      </c>
      <c r="H140" t="s">
        <v>75</v>
      </c>
      <c r="I140">
        <v>46056</v>
      </c>
      <c r="J140" t="s">
        <v>728</v>
      </c>
      <c r="K140" s="1401">
        <v>46062</v>
      </c>
      <c r="L140" s="1401">
        <v>46102</v>
      </c>
      <c r="M140" s="1401">
        <v>46111</v>
      </c>
      <c r="N140" s="1401">
        <v>46113</v>
      </c>
      <c r="O140" t="s">
        <v>84</v>
      </c>
      <c r="P140" s="1401">
        <v>46125</v>
      </c>
      <c r="Q140" s="1401">
        <v>46120</v>
      </c>
    </row>
    <row r="141" spans="1:17">
      <c r="A141" t="s">
        <v>723</v>
      </c>
      <c r="B141" t="s">
        <v>64</v>
      </c>
      <c r="C141" t="s">
        <v>100</v>
      </c>
      <c r="D141" t="s">
        <v>170</v>
      </c>
      <c r="E141" t="s">
        <v>171</v>
      </c>
      <c r="F141" t="s">
        <v>172</v>
      </c>
      <c r="G141">
        <v>1980</v>
      </c>
      <c r="H141" t="s">
        <v>75</v>
      </c>
      <c r="I141">
        <v>46056</v>
      </c>
      <c r="J141" t="s">
        <v>724</v>
      </c>
      <c r="K141" s="1401">
        <v>46062</v>
      </c>
      <c r="L141" s="1401">
        <v>46102</v>
      </c>
      <c r="M141" s="1401">
        <v>46111</v>
      </c>
      <c r="N141" s="1401">
        <v>46113</v>
      </c>
      <c r="O141" t="s">
        <v>84</v>
      </c>
      <c r="P141" s="1401">
        <v>46125</v>
      </c>
      <c r="Q141" s="1401">
        <v>46120</v>
      </c>
    </row>
    <row r="142" spans="1:17">
      <c r="A142" t="s">
        <v>319</v>
      </c>
      <c r="B142" t="s">
        <v>64</v>
      </c>
      <c r="C142" t="s">
        <v>100</v>
      </c>
      <c r="D142" t="s">
        <v>298</v>
      </c>
      <c r="E142" t="s">
        <v>306</v>
      </c>
      <c r="F142" t="s">
        <v>307</v>
      </c>
      <c r="G142">
        <v>962</v>
      </c>
      <c r="H142" t="s">
        <v>75</v>
      </c>
      <c r="I142">
        <v>46031</v>
      </c>
      <c r="J142" t="s">
        <v>320</v>
      </c>
      <c r="K142" s="1401">
        <v>46041</v>
      </c>
      <c r="L142" s="1401">
        <v>46090</v>
      </c>
      <c r="M142" s="1401">
        <v>46111</v>
      </c>
      <c r="N142" s="1401">
        <v>46111</v>
      </c>
      <c r="O142" t="s">
        <v>84</v>
      </c>
      <c r="P142" s="1401">
        <v>46125</v>
      </c>
      <c r="Q142" s="1401">
        <v>46118</v>
      </c>
    </row>
    <row r="143" spans="1:17">
      <c r="A143" t="s">
        <v>664</v>
      </c>
      <c r="B143" t="s">
        <v>64</v>
      </c>
      <c r="C143" t="s">
        <v>100</v>
      </c>
      <c r="D143" t="s">
        <v>170</v>
      </c>
      <c r="E143" t="s">
        <v>171</v>
      </c>
      <c r="F143" t="s">
        <v>172</v>
      </c>
      <c r="G143">
        <v>1320</v>
      </c>
      <c r="H143" t="s">
        <v>75</v>
      </c>
      <c r="I143">
        <v>46049</v>
      </c>
      <c r="J143" t="s">
        <v>665</v>
      </c>
      <c r="K143" s="1401">
        <v>46055</v>
      </c>
      <c r="L143" s="1401">
        <v>46101</v>
      </c>
      <c r="M143" s="1401">
        <v>46111</v>
      </c>
      <c r="N143" s="1401">
        <v>46118</v>
      </c>
      <c r="O143" t="s">
        <v>84</v>
      </c>
      <c r="P143" s="1401">
        <v>46133</v>
      </c>
      <c r="Q143" s="1401">
        <v>46125</v>
      </c>
    </row>
    <row r="144" spans="1:17">
      <c r="A144" t="s">
        <v>660</v>
      </c>
      <c r="B144" t="s">
        <v>64</v>
      </c>
      <c r="C144" t="s">
        <v>100</v>
      </c>
      <c r="D144" t="s">
        <v>170</v>
      </c>
      <c r="E144" t="s">
        <v>462</v>
      </c>
      <c r="F144" t="s">
        <v>463</v>
      </c>
      <c r="G144">
        <v>660</v>
      </c>
      <c r="H144" t="s">
        <v>75</v>
      </c>
      <c r="I144">
        <v>46049</v>
      </c>
      <c r="J144" t="s">
        <v>661</v>
      </c>
      <c r="K144" s="1401">
        <v>46055</v>
      </c>
      <c r="L144" s="1401">
        <v>46101</v>
      </c>
      <c r="M144" s="1401">
        <v>46111</v>
      </c>
      <c r="N144" s="1401">
        <v>46118</v>
      </c>
      <c r="O144" t="s">
        <v>84</v>
      </c>
      <c r="P144" s="1401">
        <v>46133</v>
      </c>
      <c r="Q144" s="1401">
        <v>46125</v>
      </c>
    </row>
    <row r="145" spans="1:17">
      <c r="A145" t="s">
        <v>498</v>
      </c>
      <c r="B145" t="s">
        <v>64</v>
      </c>
      <c r="C145" t="s">
        <v>100</v>
      </c>
      <c r="D145" t="s">
        <v>170</v>
      </c>
      <c r="E145" t="s">
        <v>462</v>
      </c>
      <c r="F145" t="s">
        <v>463</v>
      </c>
      <c r="G145">
        <v>660</v>
      </c>
      <c r="H145" t="s">
        <v>75</v>
      </c>
      <c r="I145">
        <v>46040</v>
      </c>
      <c r="J145" t="s">
        <v>499</v>
      </c>
      <c r="K145" s="1401">
        <v>46045</v>
      </c>
      <c r="L145" s="1401">
        <v>46089</v>
      </c>
      <c r="M145" s="1401">
        <v>46111</v>
      </c>
      <c r="N145" s="1401">
        <v>46111</v>
      </c>
      <c r="O145" t="s">
        <v>84</v>
      </c>
      <c r="P145" s="1401">
        <v>46125</v>
      </c>
      <c r="Q145" s="1401">
        <v>46118</v>
      </c>
    </row>
    <row r="146" spans="1:17">
      <c r="A146" t="s">
        <v>496</v>
      </c>
      <c r="B146" t="s">
        <v>64</v>
      </c>
      <c r="C146" t="s">
        <v>100</v>
      </c>
      <c r="D146" t="s">
        <v>170</v>
      </c>
      <c r="E146" t="s">
        <v>462</v>
      </c>
      <c r="F146" t="s">
        <v>463</v>
      </c>
      <c r="G146">
        <v>660</v>
      </c>
      <c r="H146" t="s">
        <v>75</v>
      </c>
      <c r="I146">
        <v>46040</v>
      </c>
      <c r="J146" t="s">
        <v>497</v>
      </c>
      <c r="K146" s="1401">
        <v>46045</v>
      </c>
      <c r="L146" s="1401">
        <v>46089</v>
      </c>
      <c r="M146" s="1401">
        <v>46111</v>
      </c>
      <c r="N146" s="1401">
        <v>46111</v>
      </c>
      <c r="O146" t="s">
        <v>84</v>
      </c>
      <c r="P146" s="1401">
        <v>46125</v>
      </c>
      <c r="Q146" s="1401">
        <v>46118</v>
      </c>
    </row>
    <row r="147" spans="1:17">
      <c r="A147" t="s">
        <v>488</v>
      </c>
      <c r="B147" t="s">
        <v>64</v>
      </c>
      <c r="C147" t="s">
        <v>100</v>
      </c>
      <c r="D147" t="s">
        <v>132</v>
      </c>
      <c r="E147" t="s">
        <v>189</v>
      </c>
      <c r="F147" t="s">
        <v>190</v>
      </c>
      <c r="G147">
        <v>1728</v>
      </c>
      <c r="H147" t="s">
        <v>75</v>
      </c>
      <c r="I147">
        <v>46042</v>
      </c>
      <c r="J147" t="s">
        <v>489</v>
      </c>
      <c r="K147" s="1401">
        <v>46050</v>
      </c>
      <c r="L147" s="1401">
        <v>46101</v>
      </c>
      <c r="M147" s="1401">
        <v>46116</v>
      </c>
      <c r="N147" s="1401">
        <v>46118</v>
      </c>
      <c r="O147" t="s">
        <v>84</v>
      </c>
      <c r="P147" s="1401">
        <v>46132</v>
      </c>
      <c r="Q147" s="1401">
        <v>46125</v>
      </c>
    </row>
    <row r="148" spans="1:17">
      <c r="A148" t="s">
        <v>494</v>
      </c>
      <c r="B148" t="s">
        <v>64</v>
      </c>
      <c r="C148" t="s">
        <v>100</v>
      </c>
      <c r="D148" t="s">
        <v>132</v>
      </c>
      <c r="E148" t="s">
        <v>189</v>
      </c>
      <c r="F148" t="s">
        <v>190</v>
      </c>
      <c r="G148">
        <v>864</v>
      </c>
      <c r="H148" t="s">
        <v>75</v>
      </c>
      <c r="I148">
        <v>46040</v>
      </c>
      <c r="J148" t="s">
        <v>495</v>
      </c>
      <c r="K148" s="1401">
        <v>46045</v>
      </c>
      <c r="L148" s="1401">
        <v>46089</v>
      </c>
      <c r="M148" s="1401">
        <v>46111</v>
      </c>
      <c r="N148" s="1401">
        <v>46111</v>
      </c>
      <c r="O148" t="s">
        <v>84</v>
      </c>
      <c r="P148" s="1401">
        <v>46125</v>
      </c>
      <c r="Q148" s="1401">
        <v>46118</v>
      </c>
    </row>
    <row r="149" spans="1:17">
      <c r="A149" t="s">
        <v>490</v>
      </c>
      <c r="B149" t="s">
        <v>64</v>
      </c>
      <c r="C149" t="s">
        <v>100</v>
      </c>
      <c r="D149" t="s">
        <v>132</v>
      </c>
      <c r="E149" t="s">
        <v>189</v>
      </c>
      <c r="F149" t="s">
        <v>190</v>
      </c>
      <c r="G149">
        <v>1728</v>
      </c>
      <c r="H149" t="s">
        <v>75</v>
      </c>
      <c r="I149">
        <v>46040</v>
      </c>
      <c r="J149" t="s">
        <v>491</v>
      </c>
      <c r="K149" s="1401">
        <v>46045</v>
      </c>
      <c r="L149" s="1401">
        <v>46089</v>
      </c>
      <c r="M149" s="1401">
        <v>46111</v>
      </c>
      <c r="N149" s="1401">
        <v>46111</v>
      </c>
      <c r="O149" t="s">
        <v>84</v>
      </c>
      <c r="P149" s="1401">
        <v>46125</v>
      </c>
      <c r="Q149" s="1401">
        <v>46118</v>
      </c>
    </row>
    <row r="150" spans="1:17">
      <c r="A150" t="s">
        <v>482</v>
      </c>
      <c r="B150" t="s">
        <v>64</v>
      </c>
      <c r="C150" t="s">
        <v>100</v>
      </c>
      <c r="D150" t="s">
        <v>132</v>
      </c>
      <c r="E150" t="s">
        <v>189</v>
      </c>
      <c r="F150" t="s">
        <v>190</v>
      </c>
      <c r="G150">
        <v>864</v>
      </c>
      <c r="H150" t="s">
        <v>75</v>
      </c>
      <c r="I150">
        <v>46042</v>
      </c>
      <c r="J150" t="s">
        <v>484</v>
      </c>
      <c r="K150" s="1401">
        <v>46050</v>
      </c>
      <c r="L150" s="1401">
        <v>46101</v>
      </c>
      <c r="M150" s="1401">
        <v>46116</v>
      </c>
      <c r="N150" s="1401">
        <v>46118</v>
      </c>
      <c r="O150" t="s">
        <v>84</v>
      </c>
      <c r="P150" s="1401">
        <v>46132</v>
      </c>
      <c r="Q150" s="1401">
        <v>46125</v>
      </c>
    </row>
    <row r="151" spans="1:17">
      <c r="A151" t="s">
        <v>391</v>
      </c>
      <c r="B151" t="s">
        <v>64</v>
      </c>
      <c r="C151" t="s">
        <v>100</v>
      </c>
      <c r="D151" t="s">
        <v>132</v>
      </c>
      <c r="E151" t="s">
        <v>189</v>
      </c>
      <c r="F151" t="s">
        <v>190</v>
      </c>
      <c r="G151">
        <v>1728</v>
      </c>
      <c r="H151" t="s">
        <v>75</v>
      </c>
      <c r="I151">
        <v>46039</v>
      </c>
      <c r="J151" t="s">
        <v>392</v>
      </c>
      <c r="K151" s="1401">
        <v>46045</v>
      </c>
      <c r="L151" s="1401">
        <v>46096</v>
      </c>
      <c r="M151" s="1401">
        <v>46111</v>
      </c>
      <c r="N151" s="1401">
        <v>46116</v>
      </c>
      <c r="O151" t="s">
        <v>84</v>
      </c>
      <c r="P151" s="1401">
        <v>46129</v>
      </c>
      <c r="Q151" s="1401">
        <v>46123</v>
      </c>
    </row>
    <row r="152" spans="1:17">
      <c r="A152" t="s">
        <v>323</v>
      </c>
      <c r="B152" t="s">
        <v>64</v>
      </c>
      <c r="C152" t="s">
        <v>100</v>
      </c>
      <c r="D152" t="s">
        <v>298</v>
      </c>
      <c r="E152" t="s">
        <v>299</v>
      </c>
      <c r="F152" t="s">
        <v>300</v>
      </c>
      <c r="G152">
        <v>962</v>
      </c>
      <c r="H152" t="s">
        <v>75</v>
      </c>
      <c r="I152">
        <v>46031</v>
      </c>
      <c r="J152" t="s">
        <v>324</v>
      </c>
      <c r="K152" s="1401">
        <v>46041</v>
      </c>
      <c r="L152" s="1401">
        <v>46090</v>
      </c>
      <c r="M152" s="1401">
        <v>46111</v>
      </c>
      <c r="N152" s="1401">
        <v>46111</v>
      </c>
      <c r="O152" t="s">
        <v>84</v>
      </c>
      <c r="P152" s="1401">
        <v>46125</v>
      </c>
      <c r="Q152" s="1401">
        <v>46118</v>
      </c>
    </row>
    <row r="153" spans="1:17">
      <c r="A153" t="s">
        <v>167</v>
      </c>
      <c r="B153" t="s">
        <v>64</v>
      </c>
      <c r="C153" t="s">
        <v>100</v>
      </c>
      <c r="D153" t="s">
        <v>170</v>
      </c>
      <c r="E153" t="s">
        <v>171</v>
      </c>
      <c r="F153" t="s">
        <v>172</v>
      </c>
      <c r="G153">
        <v>1320</v>
      </c>
      <c r="H153" t="s">
        <v>75</v>
      </c>
      <c r="I153">
        <v>46013</v>
      </c>
      <c r="J153" t="s">
        <v>173</v>
      </c>
      <c r="K153" s="1401">
        <v>46021</v>
      </c>
      <c r="L153" s="1401">
        <v>46075</v>
      </c>
      <c r="M153" s="1401">
        <v>46111</v>
      </c>
      <c r="N153" s="1401">
        <v>46111</v>
      </c>
      <c r="O153" t="s">
        <v>84</v>
      </c>
      <c r="P153" s="1401">
        <v>46125</v>
      </c>
      <c r="Q153" s="1401">
        <v>46118</v>
      </c>
    </row>
    <row r="154" spans="1:17">
      <c r="A154" t="s">
        <v>258</v>
      </c>
      <c r="B154" t="s">
        <v>64</v>
      </c>
      <c r="C154" t="s">
        <v>100</v>
      </c>
      <c r="D154" t="s">
        <v>170</v>
      </c>
      <c r="E154" t="s">
        <v>171</v>
      </c>
      <c r="F154" t="s">
        <v>172</v>
      </c>
      <c r="G154">
        <v>660</v>
      </c>
      <c r="H154" t="s">
        <v>75</v>
      </c>
      <c r="I154">
        <v>46026</v>
      </c>
      <c r="J154" t="s">
        <v>259</v>
      </c>
      <c r="K154" s="1401">
        <v>46031</v>
      </c>
      <c r="L154" s="1401">
        <v>46080</v>
      </c>
      <c r="M154" s="1401">
        <v>46111</v>
      </c>
      <c r="N154" s="1401">
        <v>46111</v>
      </c>
      <c r="O154" t="s">
        <v>84</v>
      </c>
      <c r="P154" s="1401">
        <v>46125</v>
      </c>
      <c r="Q154" s="1401">
        <v>46118</v>
      </c>
    </row>
    <row r="155" spans="1:17">
      <c r="A155" t="s">
        <v>138</v>
      </c>
      <c r="B155" t="s">
        <v>64</v>
      </c>
      <c r="C155" t="s">
        <v>100</v>
      </c>
      <c r="D155" t="s">
        <v>132</v>
      </c>
      <c r="E155" t="s">
        <v>133</v>
      </c>
      <c r="F155" t="s">
        <v>134</v>
      </c>
      <c r="G155">
        <v>1782</v>
      </c>
      <c r="H155" t="s">
        <v>75</v>
      </c>
      <c r="I155">
        <v>46008</v>
      </c>
      <c r="J155" t="s">
        <v>139</v>
      </c>
      <c r="K155" s="1401">
        <v>46014</v>
      </c>
      <c r="L155" s="1401">
        <v>46073</v>
      </c>
      <c r="M155" s="1401">
        <v>46090</v>
      </c>
      <c r="N155" s="1401">
        <v>46090</v>
      </c>
      <c r="O155" t="s">
        <v>84</v>
      </c>
      <c r="P155" s="1401">
        <v>46104</v>
      </c>
      <c r="Q155" s="1401">
        <v>46097</v>
      </c>
    </row>
    <row r="156" spans="1:17">
      <c r="A156" t="s">
        <v>98</v>
      </c>
      <c r="B156" t="s">
        <v>64</v>
      </c>
      <c r="C156" t="s">
        <v>100</v>
      </c>
      <c r="D156" t="s">
        <v>70</v>
      </c>
      <c r="E156" t="s">
        <v>102</v>
      </c>
      <c r="F156" t="s">
        <v>103</v>
      </c>
      <c r="G156">
        <v>4320</v>
      </c>
      <c r="H156" t="s">
        <v>75</v>
      </c>
      <c r="I156">
        <v>46000</v>
      </c>
      <c r="J156" t="s">
        <v>104</v>
      </c>
      <c r="K156" s="1401">
        <v>46009</v>
      </c>
      <c r="L156" s="1401">
        <v>46061</v>
      </c>
      <c r="M156" s="1401">
        <v>46111</v>
      </c>
      <c r="N156" s="1401">
        <v>46111</v>
      </c>
      <c r="O156" t="s">
        <v>84</v>
      </c>
      <c r="P156" s="1401">
        <v>46125</v>
      </c>
      <c r="Q156" s="1401">
        <v>46118</v>
      </c>
    </row>
    <row r="157" spans="1:17">
      <c r="A157" t="s">
        <v>163</v>
      </c>
      <c r="B157" t="s">
        <v>64</v>
      </c>
      <c r="C157" t="s">
        <v>100</v>
      </c>
      <c r="D157" t="s">
        <v>70</v>
      </c>
      <c r="E157" t="s">
        <v>102</v>
      </c>
      <c r="F157" t="s">
        <v>103</v>
      </c>
      <c r="G157">
        <v>4320</v>
      </c>
      <c r="H157" t="s">
        <v>75</v>
      </c>
      <c r="I157">
        <v>46009</v>
      </c>
      <c r="J157" t="s">
        <v>164</v>
      </c>
      <c r="K157" s="1401">
        <v>46017</v>
      </c>
      <c r="L157" s="1401">
        <v>46078</v>
      </c>
      <c r="M157" s="1401">
        <v>46111</v>
      </c>
      <c r="N157" s="1401">
        <v>46111</v>
      </c>
      <c r="O157" t="s">
        <v>84</v>
      </c>
      <c r="P157" s="1401">
        <v>46125</v>
      </c>
      <c r="Q157" s="1401">
        <v>46118</v>
      </c>
    </row>
    <row r="158" spans="1:17">
      <c r="A158" t="s">
        <v>250</v>
      </c>
      <c r="B158" t="s">
        <v>64</v>
      </c>
      <c r="C158" t="s">
        <v>65</v>
      </c>
      <c r="D158" t="s">
        <v>132</v>
      </c>
      <c r="E158" t="s">
        <v>189</v>
      </c>
      <c r="F158" t="s">
        <v>190</v>
      </c>
      <c r="G158">
        <v>1728</v>
      </c>
      <c r="H158" t="s">
        <v>75</v>
      </c>
      <c r="I158">
        <v>46026</v>
      </c>
      <c r="J158" t="s">
        <v>251</v>
      </c>
      <c r="K158" s="1401">
        <v>46031</v>
      </c>
      <c r="L158" s="1401">
        <v>46078</v>
      </c>
      <c r="M158" s="1401">
        <v>46083</v>
      </c>
      <c r="N158" s="1401">
        <v>46084</v>
      </c>
      <c r="O158" t="s">
        <v>84</v>
      </c>
      <c r="P158" s="1401">
        <v>46097</v>
      </c>
      <c r="Q158" s="1401">
        <v>46092</v>
      </c>
    </row>
    <row r="159" spans="1:17">
      <c r="A159" t="s">
        <v>181</v>
      </c>
      <c r="B159" t="s">
        <v>64</v>
      </c>
      <c r="C159" t="s">
        <v>65</v>
      </c>
      <c r="D159" t="s">
        <v>132</v>
      </c>
      <c r="E159" t="s">
        <v>133</v>
      </c>
      <c r="F159" t="s">
        <v>134</v>
      </c>
      <c r="G159">
        <v>4752</v>
      </c>
      <c r="H159" t="s">
        <v>75</v>
      </c>
      <c r="I159">
        <v>46021</v>
      </c>
      <c r="J159" t="s">
        <v>182</v>
      </c>
      <c r="K159" s="1401">
        <v>46027</v>
      </c>
      <c r="L159" s="1401">
        <v>46073</v>
      </c>
      <c r="M159" s="1401">
        <v>46098</v>
      </c>
      <c r="N159" s="1401">
        <v>46099</v>
      </c>
      <c r="O159" t="s">
        <v>84</v>
      </c>
      <c r="P159" s="1401">
        <v>46112</v>
      </c>
      <c r="Q159" s="1401">
        <v>46107</v>
      </c>
    </row>
    <row r="160" spans="1:17">
      <c r="A160" t="s">
        <v>186</v>
      </c>
      <c r="B160" t="s">
        <v>64</v>
      </c>
      <c r="C160" t="s">
        <v>65</v>
      </c>
      <c r="D160" t="s">
        <v>132</v>
      </c>
      <c r="E160" t="s">
        <v>189</v>
      </c>
      <c r="F160" t="s">
        <v>190</v>
      </c>
      <c r="G160">
        <v>4320</v>
      </c>
      <c r="H160" t="s">
        <v>75</v>
      </c>
      <c r="I160">
        <v>46021</v>
      </c>
      <c r="J160" t="s">
        <v>191</v>
      </c>
      <c r="K160" s="1401">
        <v>46027</v>
      </c>
      <c r="L160" s="1401">
        <v>46073</v>
      </c>
      <c r="M160" s="1401">
        <v>46098</v>
      </c>
      <c r="N160" s="1401">
        <v>46099</v>
      </c>
      <c r="O160" t="s">
        <v>84</v>
      </c>
      <c r="P160" s="1401">
        <v>46112</v>
      </c>
      <c r="Q160" s="1401">
        <v>46107</v>
      </c>
    </row>
    <row r="161" spans="1:17">
      <c r="A161" t="s">
        <v>129</v>
      </c>
      <c r="B161" t="s">
        <v>64</v>
      </c>
      <c r="C161" t="s">
        <v>65</v>
      </c>
      <c r="D161" t="s">
        <v>132</v>
      </c>
      <c r="E161" t="s">
        <v>133</v>
      </c>
      <c r="F161" t="s">
        <v>134</v>
      </c>
      <c r="G161">
        <v>1782</v>
      </c>
      <c r="H161" t="s">
        <v>75</v>
      </c>
      <c r="I161">
        <v>46012</v>
      </c>
      <c r="J161" t="s">
        <v>135</v>
      </c>
      <c r="K161" s="1401">
        <v>46020</v>
      </c>
      <c r="L161" s="1401">
        <v>46064</v>
      </c>
      <c r="M161" s="1401">
        <v>46098</v>
      </c>
      <c r="N161" s="1401">
        <v>46099</v>
      </c>
      <c r="O161" t="s">
        <v>84</v>
      </c>
      <c r="P161" s="1401">
        <v>46112</v>
      </c>
      <c r="Q161" s="1401">
        <v>46107</v>
      </c>
    </row>
    <row r="162" spans="1:17">
      <c r="A162" t="s">
        <v>1040</v>
      </c>
      <c r="B162" t="s">
        <v>144</v>
      </c>
      <c r="C162" t="s">
        <v>145</v>
      </c>
      <c r="D162" t="s">
        <v>1032</v>
      </c>
      <c r="E162" t="s">
        <v>102</v>
      </c>
      <c r="F162" t="s">
        <v>103</v>
      </c>
      <c r="G162">
        <v>1584</v>
      </c>
      <c r="H162" t="s">
        <v>75</v>
      </c>
      <c r="I162">
        <v>46060</v>
      </c>
      <c r="J162" t="s">
        <v>1041</v>
      </c>
      <c r="K162" s="1401">
        <v>46070</v>
      </c>
      <c r="L162" s="1401">
        <v>46120</v>
      </c>
      <c r="M162" s="1401">
        <v>46126</v>
      </c>
      <c r="N162" s="1401">
        <v>46125</v>
      </c>
      <c r="O162" t="s">
        <v>973</v>
      </c>
      <c r="P162" s="1401">
        <v>46134</v>
      </c>
      <c r="Q162" s="1401">
        <v>46125</v>
      </c>
    </row>
    <row r="163" spans="1:17">
      <c r="A163" t="s">
        <v>1042</v>
      </c>
      <c r="B163" t="s">
        <v>144</v>
      </c>
      <c r="C163" t="s">
        <v>145</v>
      </c>
      <c r="D163" t="s">
        <v>1032</v>
      </c>
      <c r="E163" t="s">
        <v>1043</v>
      </c>
      <c r="F163" t="s">
        <v>330</v>
      </c>
      <c r="G163">
        <v>144</v>
      </c>
      <c r="H163" t="s">
        <v>75</v>
      </c>
      <c r="I163">
        <v>46060</v>
      </c>
      <c r="J163" t="s">
        <v>1044</v>
      </c>
      <c r="K163" s="1401">
        <v>46070</v>
      </c>
      <c r="L163" s="1401">
        <v>46120</v>
      </c>
      <c r="M163" s="1401">
        <v>46126</v>
      </c>
      <c r="N163" s="1401">
        <v>46125</v>
      </c>
      <c r="O163" t="s">
        <v>973</v>
      </c>
      <c r="P163" s="1401">
        <v>46134</v>
      </c>
      <c r="Q163" s="1401">
        <v>46125</v>
      </c>
    </row>
    <row r="164" spans="1:17">
      <c r="A164" t="s">
        <v>1038</v>
      </c>
      <c r="B164" t="s">
        <v>144</v>
      </c>
      <c r="C164" t="s">
        <v>145</v>
      </c>
      <c r="D164" t="s">
        <v>1032</v>
      </c>
      <c r="E164" t="s">
        <v>943</v>
      </c>
      <c r="F164" t="s">
        <v>886</v>
      </c>
      <c r="G164">
        <v>684</v>
      </c>
      <c r="H164" t="s">
        <v>75</v>
      </c>
      <c r="I164">
        <v>46060</v>
      </c>
      <c r="J164" t="s">
        <v>1039</v>
      </c>
      <c r="K164" s="1401">
        <v>46070</v>
      </c>
      <c r="L164" s="1401">
        <v>46120</v>
      </c>
      <c r="M164" s="1401">
        <v>46126</v>
      </c>
      <c r="N164" s="1401">
        <v>46125</v>
      </c>
      <c r="O164" t="s">
        <v>973</v>
      </c>
      <c r="P164" s="1401">
        <v>46134</v>
      </c>
      <c r="Q164" s="1401">
        <v>46125</v>
      </c>
    </row>
    <row r="165" spans="1:17">
      <c r="A165" t="s">
        <v>1052</v>
      </c>
      <c r="B165" t="s">
        <v>64</v>
      </c>
      <c r="C165" t="s">
        <v>100</v>
      </c>
      <c r="D165" t="s">
        <v>70</v>
      </c>
      <c r="E165" t="s">
        <v>1002</v>
      </c>
      <c r="F165" t="s">
        <v>330</v>
      </c>
      <c r="G165">
        <v>3600</v>
      </c>
      <c r="H165" t="s">
        <v>75</v>
      </c>
      <c r="I165">
        <v>46065</v>
      </c>
      <c r="J165" t="s">
        <v>1053</v>
      </c>
      <c r="K165" s="1401">
        <v>46070</v>
      </c>
      <c r="L165" s="1401">
        <v>46109</v>
      </c>
      <c r="M165" s="1401">
        <v>46133</v>
      </c>
      <c r="N165" s="1401">
        <v>46133</v>
      </c>
      <c r="O165" t="s">
        <v>973</v>
      </c>
      <c r="P165" s="1401">
        <v>46147</v>
      </c>
      <c r="Q165" s="1401">
        <v>46140</v>
      </c>
    </row>
    <row r="166" spans="1:17">
      <c r="A166" t="s">
        <v>1045</v>
      </c>
      <c r="B166" t="s">
        <v>64</v>
      </c>
      <c r="C166" t="s">
        <v>100</v>
      </c>
      <c r="D166" t="s">
        <v>70</v>
      </c>
      <c r="E166" t="s">
        <v>1002</v>
      </c>
      <c r="F166" t="s">
        <v>330</v>
      </c>
      <c r="G166">
        <v>5040</v>
      </c>
      <c r="H166" t="s">
        <v>75</v>
      </c>
      <c r="I166">
        <v>46064</v>
      </c>
      <c r="J166" t="s">
        <v>1048</v>
      </c>
      <c r="K166" s="1401">
        <v>46070</v>
      </c>
      <c r="L166" s="1401">
        <v>46109</v>
      </c>
      <c r="M166" s="1401">
        <v>46126</v>
      </c>
      <c r="N166" s="1401">
        <v>46127</v>
      </c>
      <c r="O166" t="s">
        <v>973</v>
      </c>
      <c r="P166" s="1401">
        <v>46134</v>
      </c>
      <c r="Q166" s="1401">
        <v>46134</v>
      </c>
    </row>
    <row r="167" spans="1:17">
      <c r="A167" t="s">
        <v>1028</v>
      </c>
      <c r="B167" t="s">
        <v>144</v>
      </c>
      <c r="C167" t="s">
        <v>145</v>
      </c>
      <c r="D167" t="s">
        <v>1032</v>
      </c>
      <c r="E167" t="s">
        <v>1033</v>
      </c>
      <c r="F167" t="s">
        <v>886</v>
      </c>
      <c r="G167">
        <v>468</v>
      </c>
      <c r="H167" t="s">
        <v>75</v>
      </c>
      <c r="I167">
        <v>46060</v>
      </c>
      <c r="J167" t="s">
        <v>1034</v>
      </c>
      <c r="K167" s="1401">
        <v>46070</v>
      </c>
      <c r="L167" s="1401">
        <v>46120</v>
      </c>
      <c r="M167" s="1401">
        <v>46126</v>
      </c>
      <c r="N167" s="1401">
        <v>46125</v>
      </c>
      <c r="O167" t="s">
        <v>973</v>
      </c>
      <c r="P167" s="1401">
        <v>46134</v>
      </c>
      <c r="Q167" s="1401">
        <v>46125</v>
      </c>
    </row>
    <row r="168" spans="1:17">
      <c r="A168" t="s">
        <v>504</v>
      </c>
      <c r="B168" t="s">
        <v>64</v>
      </c>
      <c r="C168" t="s">
        <v>65</v>
      </c>
      <c r="D168" t="s">
        <v>132</v>
      </c>
      <c r="E168" t="s">
        <v>133</v>
      </c>
      <c r="F168" t="s">
        <v>134</v>
      </c>
      <c r="G168">
        <v>594</v>
      </c>
      <c r="H168" t="s">
        <v>75</v>
      </c>
      <c r="I168">
        <v>46038</v>
      </c>
      <c r="J168" t="s">
        <v>505</v>
      </c>
      <c r="K168" s="1401">
        <v>46045</v>
      </c>
      <c r="L168" s="1401">
        <v>46092</v>
      </c>
      <c r="M168" s="1401">
        <v>46111</v>
      </c>
      <c r="N168" s="1401">
        <v>46111</v>
      </c>
      <c r="O168" t="s">
        <v>84</v>
      </c>
      <c r="P168" s="1401">
        <v>46120</v>
      </c>
      <c r="Q168" s="1401">
        <v>46119</v>
      </c>
    </row>
    <row r="169" spans="1:17">
      <c r="A169" t="s">
        <v>821</v>
      </c>
      <c r="B169" t="s">
        <v>64</v>
      </c>
      <c r="C169" t="s">
        <v>65</v>
      </c>
      <c r="D169" t="s">
        <v>70</v>
      </c>
      <c r="E169" t="s">
        <v>378</v>
      </c>
      <c r="F169" t="s">
        <v>379</v>
      </c>
      <c r="G169">
        <v>10800</v>
      </c>
      <c r="H169" t="s">
        <v>75</v>
      </c>
      <c r="I169">
        <v>46063</v>
      </c>
      <c r="J169" t="s">
        <v>823</v>
      </c>
      <c r="K169" s="1401">
        <v>46068</v>
      </c>
      <c r="L169" s="1401">
        <v>46095</v>
      </c>
      <c r="M169" s="1401">
        <v>46112</v>
      </c>
      <c r="N169" s="1401">
        <v>46115</v>
      </c>
      <c r="O169" t="s">
        <v>84</v>
      </c>
      <c r="P169" s="1401">
        <v>46127</v>
      </c>
      <c r="Q169" s="1401">
        <v>46123</v>
      </c>
    </row>
    <row r="170" spans="1:17">
      <c r="A170" t="s">
        <v>1056</v>
      </c>
      <c r="B170" t="s">
        <v>64</v>
      </c>
      <c r="C170" t="s">
        <v>100</v>
      </c>
      <c r="D170" t="s">
        <v>70</v>
      </c>
      <c r="E170" t="s">
        <v>102</v>
      </c>
      <c r="F170" t="s">
        <v>103</v>
      </c>
      <c r="G170">
        <v>5040</v>
      </c>
      <c r="H170" t="s">
        <v>75</v>
      </c>
      <c r="I170">
        <v>46061</v>
      </c>
      <c r="J170" t="s">
        <v>1057</v>
      </c>
      <c r="K170" s="1401">
        <v>46067</v>
      </c>
      <c r="L170" s="1401">
        <v>46108</v>
      </c>
      <c r="M170" s="1401">
        <v>46133</v>
      </c>
      <c r="N170" s="1401">
        <v>46133</v>
      </c>
      <c r="O170" t="s">
        <v>973</v>
      </c>
      <c r="P170" s="1401">
        <v>46147</v>
      </c>
      <c r="Q170" s="1401">
        <v>46140</v>
      </c>
    </row>
    <row r="171" spans="1:17">
      <c r="A171" t="s">
        <v>506</v>
      </c>
      <c r="B171" t="s">
        <v>64</v>
      </c>
      <c r="C171" t="s">
        <v>65</v>
      </c>
      <c r="D171" t="s">
        <v>132</v>
      </c>
      <c r="E171" t="s">
        <v>189</v>
      </c>
      <c r="F171" t="s">
        <v>190</v>
      </c>
      <c r="G171">
        <v>3456</v>
      </c>
      <c r="H171" t="s">
        <v>75</v>
      </c>
      <c r="I171">
        <v>46038</v>
      </c>
      <c r="J171" t="s">
        <v>507</v>
      </c>
      <c r="K171" s="1401">
        <v>46045</v>
      </c>
      <c r="L171" s="1401">
        <v>46092</v>
      </c>
      <c r="M171" s="1401">
        <v>46111</v>
      </c>
      <c r="N171" s="1401">
        <v>46111</v>
      </c>
      <c r="O171" t="s">
        <v>84</v>
      </c>
      <c r="P171" s="1401">
        <v>46120</v>
      </c>
      <c r="Q171" s="1401">
        <v>46119</v>
      </c>
    </row>
    <row r="172" spans="1:17">
      <c r="A172" t="s">
        <v>500</v>
      </c>
      <c r="B172" t="s">
        <v>64</v>
      </c>
      <c r="C172" t="s">
        <v>65</v>
      </c>
      <c r="D172" t="s">
        <v>132</v>
      </c>
      <c r="E172" t="s">
        <v>189</v>
      </c>
      <c r="F172" t="s">
        <v>190</v>
      </c>
      <c r="G172">
        <v>1728</v>
      </c>
      <c r="H172" t="s">
        <v>75</v>
      </c>
      <c r="I172">
        <v>46038</v>
      </c>
      <c r="J172" t="s">
        <v>501</v>
      </c>
      <c r="K172" s="1401">
        <v>46045</v>
      </c>
      <c r="L172" s="1401">
        <v>46092</v>
      </c>
      <c r="M172" s="1401">
        <v>46111</v>
      </c>
      <c r="N172" s="1401">
        <v>46111</v>
      </c>
      <c r="O172" t="s">
        <v>84</v>
      </c>
      <c r="P172" s="1401">
        <v>46120</v>
      </c>
      <c r="Q172" s="1401">
        <v>46119</v>
      </c>
    </row>
    <row r="173" spans="1:17">
      <c r="A173" t="s">
        <v>827</v>
      </c>
      <c r="B173" t="s">
        <v>64</v>
      </c>
      <c r="C173" t="s">
        <v>100</v>
      </c>
      <c r="D173" t="s">
        <v>70</v>
      </c>
      <c r="E173" t="s">
        <v>171</v>
      </c>
      <c r="F173" t="s">
        <v>172</v>
      </c>
      <c r="G173">
        <v>1320</v>
      </c>
      <c r="H173" t="s">
        <v>75</v>
      </c>
      <c r="I173">
        <v>46061</v>
      </c>
      <c r="J173" t="s">
        <v>828</v>
      </c>
      <c r="K173" s="1401">
        <v>46067</v>
      </c>
      <c r="L173" s="1401">
        <v>46108</v>
      </c>
      <c r="M173" s="1401">
        <v>46133</v>
      </c>
      <c r="N173" s="1401">
        <v>46133</v>
      </c>
      <c r="O173" t="s">
        <v>84</v>
      </c>
      <c r="P173" s="1401">
        <v>46147</v>
      </c>
      <c r="Q173" s="1401">
        <v>46140</v>
      </c>
    </row>
    <row r="174" spans="1:17">
      <c r="A174" t="s">
        <v>389</v>
      </c>
      <c r="B174" t="s">
        <v>64</v>
      </c>
      <c r="C174" t="s">
        <v>65</v>
      </c>
      <c r="D174" t="s">
        <v>132</v>
      </c>
      <c r="E174" t="s">
        <v>189</v>
      </c>
      <c r="F174" t="s">
        <v>190</v>
      </c>
      <c r="G174">
        <v>1728</v>
      </c>
      <c r="H174" t="s">
        <v>75</v>
      </c>
      <c r="I174">
        <v>46033</v>
      </c>
      <c r="J174" t="s">
        <v>390</v>
      </c>
      <c r="K174" s="1401">
        <v>46042</v>
      </c>
      <c r="L174" s="1401">
        <v>46085</v>
      </c>
      <c r="M174" s="1401">
        <v>46101</v>
      </c>
      <c r="N174" s="1401">
        <v>46102</v>
      </c>
      <c r="O174" t="s">
        <v>84</v>
      </c>
      <c r="P174" s="1401">
        <v>46115</v>
      </c>
      <c r="Q174" s="1401">
        <v>46110</v>
      </c>
    </row>
    <row r="175" spans="1:17">
      <c r="A175" t="s">
        <v>386</v>
      </c>
      <c r="B175" t="s">
        <v>64</v>
      </c>
      <c r="C175" t="s">
        <v>65</v>
      </c>
      <c r="D175" t="s">
        <v>132</v>
      </c>
      <c r="E175" t="s">
        <v>189</v>
      </c>
      <c r="F175" t="s">
        <v>190</v>
      </c>
      <c r="G175">
        <v>2592</v>
      </c>
      <c r="H175" t="s">
        <v>75</v>
      </c>
      <c r="I175">
        <v>46033</v>
      </c>
      <c r="J175" t="s">
        <v>388</v>
      </c>
      <c r="K175" s="1401">
        <v>46042</v>
      </c>
      <c r="L175" s="1401">
        <v>46085</v>
      </c>
      <c r="M175" s="1401">
        <v>46101</v>
      </c>
      <c r="N175" s="1401">
        <v>46102</v>
      </c>
      <c r="O175" t="s">
        <v>84</v>
      </c>
      <c r="P175" s="1401">
        <v>46115</v>
      </c>
      <c r="Q175" s="1401">
        <v>46110</v>
      </c>
    </row>
    <row r="176" spans="1:17">
      <c r="A176" t="s">
        <v>381</v>
      </c>
      <c r="B176" t="s">
        <v>64</v>
      </c>
      <c r="C176" t="s">
        <v>65</v>
      </c>
      <c r="D176" t="s">
        <v>132</v>
      </c>
      <c r="E176" t="s">
        <v>189</v>
      </c>
      <c r="F176" t="s">
        <v>190</v>
      </c>
      <c r="G176">
        <v>1728</v>
      </c>
      <c r="H176" t="s">
        <v>75</v>
      </c>
      <c r="I176">
        <v>46033</v>
      </c>
      <c r="J176" t="s">
        <v>382</v>
      </c>
      <c r="K176" s="1401">
        <v>46042</v>
      </c>
      <c r="L176" s="1401">
        <v>46085</v>
      </c>
      <c r="M176" s="1401">
        <v>46101</v>
      </c>
      <c r="N176" s="1401">
        <v>46102</v>
      </c>
      <c r="O176" t="s">
        <v>84</v>
      </c>
      <c r="P176" s="1401">
        <v>46115</v>
      </c>
      <c r="Q176" s="1401">
        <v>46110</v>
      </c>
    </row>
    <row r="177" spans="1:17">
      <c r="A177" t="s">
        <v>855</v>
      </c>
      <c r="B177" t="s">
        <v>64</v>
      </c>
      <c r="C177" t="s">
        <v>100</v>
      </c>
      <c r="D177" t="s">
        <v>70</v>
      </c>
      <c r="E177" t="s">
        <v>585</v>
      </c>
      <c r="F177" t="s">
        <v>103</v>
      </c>
      <c r="G177">
        <v>612</v>
      </c>
      <c r="H177" t="s">
        <v>75</v>
      </c>
      <c r="I177">
        <v>46062</v>
      </c>
      <c r="J177" t="s">
        <v>857</v>
      </c>
      <c r="K177" s="1401">
        <v>46080</v>
      </c>
      <c r="L177" s="1401">
        <v>46139</v>
      </c>
      <c r="M177" s="1401">
        <v>46141</v>
      </c>
      <c r="N177" s="1401">
        <v>46137</v>
      </c>
      <c r="O177" t="s">
        <v>84</v>
      </c>
      <c r="P177" s="1401">
        <v>46150</v>
      </c>
      <c r="Q177" s="1401">
        <v>46144</v>
      </c>
    </row>
    <row r="178" spans="1:17">
      <c r="A178" t="s">
        <v>688</v>
      </c>
      <c r="B178" t="s">
        <v>64</v>
      </c>
      <c r="C178" t="s">
        <v>100</v>
      </c>
      <c r="D178" t="s">
        <v>70</v>
      </c>
      <c r="E178" t="s">
        <v>691</v>
      </c>
      <c r="F178" t="s">
        <v>692</v>
      </c>
      <c r="G178">
        <v>36</v>
      </c>
      <c r="H178" t="s">
        <v>75</v>
      </c>
      <c r="I178">
        <v>46062</v>
      </c>
      <c r="J178" t="s">
        <v>854</v>
      </c>
      <c r="K178" s="1401">
        <v>46080</v>
      </c>
      <c r="L178" s="1401">
        <v>46139</v>
      </c>
      <c r="M178" s="1401">
        <v>46141</v>
      </c>
      <c r="N178" s="1401">
        <v>46137</v>
      </c>
      <c r="O178" t="s">
        <v>84</v>
      </c>
      <c r="P178" s="1401">
        <v>46150</v>
      </c>
      <c r="Q178" s="1401">
        <v>46144</v>
      </c>
    </row>
    <row r="179" spans="1:17">
      <c r="A179" t="s">
        <v>847</v>
      </c>
      <c r="B179" t="s">
        <v>64</v>
      </c>
      <c r="C179" t="s">
        <v>100</v>
      </c>
      <c r="D179" t="s">
        <v>70</v>
      </c>
      <c r="E179" t="s">
        <v>706</v>
      </c>
      <c r="F179" t="s">
        <v>707</v>
      </c>
      <c r="G179">
        <v>72</v>
      </c>
      <c r="H179" t="s">
        <v>75</v>
      </c>
      <c r="I179">
        <v>46062</v>
      </c>
      <c r="J179" t="s">
        <v>849</v>
      </c>
      <c r="K179" s="1401">
        <v>46080</v>
      </c>
      <c r="L179" s="1401">
        <v>46139</v>
      </c>
      <c r="M179" s="1401">
        <v>46141</v>
      </c>
      <c r="N179" s="1401">
        <v>46137</v>
      </c>
      <c r="O179" t="s">
        <v>84</v>
      </c>
      <c r="P179" s="1401">
        <v>46150</v>
      </c>
      <c r="Q179" s="1401">
        <v>46144</v>
      </c>
    </row>
    <row r="180" spans="1:17">
      <c r="A180" t="s">
        <v>1072</v>
      </c>
      <c r="B180" t="s">
        <v>144</v>
      </c>
      <c r="C180" t="s">
        <v>145</v>
      </c>
      <c r="D180" t="s">
        <v>1032</v>
      </c>
      <c r="E180" t="s">
        <v>885</v>
      </c>
      <c r="F180" t="s">
        <v>886</v>
      </c>
      <c r="G180">
        <v>144</v>
      </c>
      <c r="H180" t="s">
        <v>75</v>
      </c>
      <c r="I180">
        <v>46062</v>
      </c>
      <c r="J180" t="s">
        <v>1073</v>
      </c>
      <c r="K180" s="1401">
        <v>46080</v>
      </c>
      <c r="L180" s="1401">
        <v>46141</v>
      </c>
      <c r="M180" s="1401">
        <v>46148</v>
      </c>
      <c r="N180" s="1401">
        <v>46147</v>
      </c>
      <c r="O180" t="s">
        <v>973</v>
      </c>
      <c r="P180" s="1401">
        <v>46155</v>
      </c>
      <c r="Q180" s="1401">
        <v>46147</v>
      </c>
    </row>
    <row r="181" spans="1:17">
      <c r="A181" t="s">
        <v>837</v>
      </c>
      <c r="B181" t="s">
        <v>144</v>
      </c>
      <c r="C181" t="s">
        <v>145</v>
      </c>
      <c r="D181" t="s">
        <v>132</v>
      </c>
      <c r="E181" t="s">
        <v>841</v>
      </c>
      <c r="F181" t="s">
        <v>842</v>
      </c>
      <c r="G181">
        <v>3168</v>
      </c>
      <c r="H181" t="s">
        <v>75</v>
      </c>
      <c r="I181">
        <v>46060</v>
      </c>
      <c r="J181" t="s">
        <v>843</v>
      </c>
      <c r="K181" s="1401">
        <v>46069</v>
      </c>
      <c r="L181" s="1401">
        <v>46121</v>
      </c>
      <c r="M181" s="1401">
        <v>46123</v>
      </c>
      <c r="N181" s="1401">
        <v>46127</v>
      </c>
      <c r="O181" t="s">
        <v>84</v>
      </c>
      <c r="P181" s="1401">
        <v>46135</v>
      </c>
      <c r="Q181" s="1401">
        <v>46127</v>
      </c>
    </row>
    <row r="182" spans="1:17">
      <c r="A182" t="s">
        <v>1076</v>
      </c>
      <c r="B182" t="s">
        <v>144</v>
      </c>
      <c r="C182" t="s">
        <v>145</v>
      </c>
      <c r="D182" t="s">
        <v>1032</v>
      </c>
      <c r="E182" t="s">
        <v>1077</v>
      </c>
      <c r="F182" t="s">
        <v>103</v>
      </c>
      <c r="G182">
        <v>2736</v>
      </c>
      <c r="H182" t="s">
        <v>75</v>
      </c>
      <c r="I182">
        <v>46062</v>
      </c>
      <c r="J182" t="s">
        <v>1078</v>
      </c>
      <c r="K182" s="1401">
        <v>46080</v>
      </c>
      <c r="L182" s="1401">
        <v>46141</v>
      </c>
      <c r="M182" s="1401">
        <v>46148</v>
      </c>
      <c r="N182" s="1401">
        <v>46147</v>
      </c>
      <c r="O182" t="s">
        <v>973</v>
      </c>
      <c r="P182" s="1401">
        <v>46155</v>
      </c>
      <c r="Q182" s="1401">
        <v>46147</v>
      </c>
    </row>
    <row r="183" spans="1:17">
      <c r="A183" t="s">
        <v>832</v>
      </c>
      <c r="B183" t="s">
        <v>64</v>
      </c>
      <c r="C183" t="s">
        <v>65</v>
      </c>
      <c r="D183" t="s">
        <v>70</v>
      </c>
      <c r="E183" t="s">
        <v>378</v>
      </c>
      <c r="F183" t="s">
        <v>379</v>
      </c>
      <c r="G183">
        <v>5040</v>
      </c>
      <c r="H183" t="s">
        <v>75</v>
      </c>
      <c r="I183">
        <v>46066</v>
      </c>
      <c r="J183" t="s">
        <v>833</v>
      </c>
      <c r="K183" s="1401">
        <v>46071</v>
      </c>
      <c r="L183" s="1401">
        <v>46119</v>
      </c>
      <c r="M183" s="1401">
        <v>46125</v>
      </c>
      <c r="N183" s="1401">
        <v>46125</v>
      </c>
      <c r="O183" t="s">
        <v>84</v>
      </c>
      <c r="P183" s="1401">
        <v>46133</v>
      </c>
      <c r="Q183" s="1401">
        <v>46133</v>
      </c>
    </row>
    <row r="184" spans="1:17">
      <c r="A184" t="s">
        <v>1068</v>
      </c>
      <c r="B184" t="s">
        <v>64</v>
      </c>
      <c r="C184" t="s">
        <v>450</v>
      </c>
      <c r="D184" t="s">
        <v>132</v>
      </c>
      <c r="E184" t="s">
        <v>1062</v>
      </c>
      <c r="F184" t="s">
        <v>1063</v>
      </c>
      <c r="G184">
        <v>864</v>
      </c>
      <c r="H184" t="s">
        <v>75</v>
      </c>
      <c r="I184">
        <v>46064</v>
      </c>
      <c r="J184" t="s">
        <v>1069</v>
      </c>
      <c r="K184" s="1401">
        <v>46070</v>
      </c>
      <c r="L184" s="1401">
        <v>46110</v>
      </c>
      <c r="M184" s="1401">
        <v>46124</v>
      </c>
      <c r="N184" s="1401">
        <v>46124</v>
      </c>
      <c r="O184" t="s">
        <v>973</v>
      </c>
      <c r="P184" s="1401">
        <v>46132</v>
      </c>
      <c r="Q184" s="1401">
        <v>46131</v>
      </c>
    </row>
    <row r="185" spans="1:17">
      <c r="A185" t="s">
        <v>1060</v>
      </c>
      <c r="B185" t="s">
        <v>64</v>
      </c>
      <c r="C185" t="s">
        <v>100</v>
      </c>
      <c r="D185" t="s">
        <v>132</v>
      </c>
      <c r="E185" t="s">
        <v>1062</v>
      </c>
      <c r="F185" t="s">
        <v>1063</v>
      </c>
      <c r="G185">
        <v>3456</v>
      </c>
      <c r="H185" t="s">
        <v>75</v>
      </c>
      <c r="I185">
        <v>46064</v>
      </c>
      <c r="J185" t="s">
        <v>1064</v>
      </c>
      <c r="K185" s="1401">
        <v>46071</v>
      </c>
      <c r="L185" s="1401">
        <v>46106</v>
      </c>
      <c r="M185" s="1401">
        <v>46114</v>
      </c>
      <c r="N185" s="1401">
        <v>46116</v>
      </c>
      <c r="O185" t="s">
        <v>973</v>
      </c>
      <c r="P185" s="1401">
        <v>46126</v>
      </c>
      <c r="Q185" s="1401">
        <v>46123</v>
      </c>
    </row>
    <row r="186" spans="1:17">
      <c r="A186" t="s">
        <v>1058</v>
      </c>
      <c r="B186" t="s">
        <v>64</v>
      </c>
      <c r="C186" t="s">
        <v>100</v>
      </c>
      <c r="D186" t="s">
        <v>132</v>
      </c>
      <c r="E186" t="s">
        <v>133</v>
      </c>
      <c r="F186" t="s">
        <v>134</v>
      </c>
      <c r="G186">
        <v>594</v>
      </c>
      <c r="H186" t="s">
        <v>75</v>
      </c>
      <c r="I186">
        <v>46061</v>
      </c>
      <c r="J186" t="s">
        <v>1059</v>
      </c>
      <c r="K186" s="1401">
        <v>46067</v>
      </c>
      <c r="L186" s="1401">
        <v>46108</v>
      </c>
      <c r="M186" s="1401">
        <v>46133</v>
      </c>
      <c r="N186" s="1401">
        <v>46133</v>
      </c>
      <c r="O186" t="s">
        <v>973</v>
      </c>
      <c r="P186" s="1401">
        <v>46147</v>
      </c>
      <c r="Q186" s="1401">
        <v>46140</v>
      </c>
    </row>
    <row r="187" spans="1:17">
      <c r="A187" t="s">
        <v>1088</v>
      </c>
      <c r="B187" t="s">
        <v>144</v>
      </c>
      <c r="C187" t="s">
        <v>145</v>
      </c>
      <c r="D187" t="s">
        <v>70</v>
      </c>
      <c r="E187" t="s">
        <v>965</v>
      </c>
      <c r="F187" t="s">
        <v>966</v>
      </c>
      <c r="G187">
        <v>1872</v>
      </c>
      <c r="H187" t="s">
        <v>75</v>
      </c>
      <c r="I187">
        <v>46061</v>
      </c>
      <c r="J187" t="s">
        <v>1089</v>
      </c>
      <c r="K187" s="1401">
        <v>46070</v>
      </c>
      <c r="L187" s="1401">
        <v>46131</v>
      </c>
      <c r="M187" s="1401">
        <v>46138</v>
      </c>
      <c r="N187" s="1401">
        <v>46139</v>
      </c>
      <c r="O187" t="s">
        <v>973</v>
      </c>
      <c r="P187" s="1401">
        <v>46153</v>
      </c>
      <c r="Q187" s="1401">
        <v>46139</v>
      </c>
    </row>
    <row r="188" spans="1:17">
      <c r="A188" t="s">
        <v>1079</v>
      </c>
      <c r="B188" t="s">
        <v>144</v>
      </c>
      <c r="C188" t="s">
        <v>145</v>
      </c>
      <c r="D188" t="s">
        <v>70</v>
      </c>
      <c r="E188" t="s">
        <v>965</v>
      </c>
      <c r="F188" t="s">
        <v>966</v>
      </c>
      <c r="G188">
        <v>1872</v>
      </c>
      <c r="H188" t="s">
        <v>75</v>
      </c>
      <c r="I188">
        <v>46061</v>
      </c>
      <c r="J188" t="s">
        <v>1083</v>
      </c>
      <c r="K188" s="1401">
        <v>46070</v>
      </c>
      <c r="L188" s="1401">
        <v>46131</v>
      </c>
      <c r="M188" s="1401">
        <v>46138</v>
      </c>
      <c r="N188" s="1401">
        <v>46139</v>
      </c>
      <c r="O188" t="s">
        <v>973</v>
      </c>
      <c r="P188" s="1401">
        <v>46153</v>
      </c>
      <c r="Q188" s="1401">
        <v>46139</v>
      </c>
    </row>
    <row r="189" spans="1:17">
      <c r="A189" t="s">
        <v>780</v>
      </c>
      <c r="B189" t="s">
        <v>64</v>
      </c>
      <c r="C189" t="s">
        <v>65</v>
      </c>
      <c r="D189" t="s">
        <v>70</v>
      </c>
      <c r="E189" t="s">
        <v>204</v>
      </c>
      <c r="F189" t="s">
        <v>205</v>
      </c>
      <c r="G189">
        <v>360</v>
      </c>
      <c r="H189" t="s">
        <v>75</v>
      </c>
      <c r="I189">
        <v>46062</v>
      </c>
      <c r="J189" t="s">
        <v>866</v>
      </c>
      <c r="K189" s="1401">
        <v>46070</v>
      </c>
      <c r="L189" s="1401">
        <v>46146</v>
      </c>
      <c r="M189" s="1401">
        <v>46153</v>
      </c>
      <c r="N189" s="1401">
        <v>46159</v>
      </c>
      <c r="O189" t="s">
        <v>84</v>
      </c>
      <c r="P189" s="1401">
        <v>46171</v>
      </c>
      <c r="Q189" s="1401">
        <v>46167</v>
      </c>
    </row>
    <row r="190" spans="1:17">
      <c r="A190" t="s">
        <v>858</v>
      </c>
      <c r="B190" t="s">
        <v>64</v>
      </c>
      <c r="C190" t="s">
        <v>65</v>
      </c>
      <c r="D190" t="s">
        <v>70</v>
      </c>
      <c r="E190" t="s">
        <v>860</v>
      </c>
      <c r="F190" t="s">
        <v>861</v>
      </c>
      <c r="G190">
        <v>576</v>
      </c>
      <c r="H190" t="s">
        <v>75</v>
      </c>
      <c r="I190">
        <v>46062</v>
      </c>
      <c r="J190" t="s">
        <v>862</v>
      </c>
      <c r="K190" s="1401">
        <v>46070</v>
      </c>
      <c r="L190" s="1401">
        <v>46146</v>
      </c>
      <c r="M190" s="1401">
        <v>46153</v>
      </c>
      <c r="N190" s="1401">
        <v>46159</v>
      </c>
      <c r="O190" t="s">
        <v>84</v>
      </c>
      <c r="P190" s="1401">
        <v>46171</v>
      </c>
      <c r="Q190" s="1401">
        <v>46167</v>
      </c>
    </row>
    <row r="191" spans="1:17">
      <c r="A191" t="s">
        <v>461</v>
      </c>
      <c r="B191" t="s">
        <v>64</v>
      </c>
      <c r="C191" t="s">
        <v>65</v>
      </c>
      <c r="D191" t="s">
        <v>170</v>
      </c>
      <c r="E191" t="s">
        <v>462</v>
      </c>
      <c r="F191" t="s">
        <v>463</v>
      </c>
      <c r="G191">
        <v>2640</v>
      </c>
      <c r="H191" t="s">
        <v>75</v>
      </c>
      <c r="I191">
        <v>46049</v>
      </c>
      <c r="J191" t="s">
        <v>656</v>
      </c>
      <c r="K191" s="1401">
        <v>46055</v>
      </c>
      <c r="L191" s="1401">
        <v>46099</v>
      </c>
      <c r="M191" s="1401">
        <v>46112</v>
      </c>
      <c r="N191" s="1401">
        <v>46120</v>
      </c>
      <c r="O191" t="s">
        <v>84</v>
      </c>
      <c r="P191" s="1401">
        <v>46132</v>
      </c>
      <c r="Q191" s="1401">
        <v>46128</v>
      </c>
    </row>
    <row r="192" spans="1:17">
      <c r="A192" t="s">
        <v>512</v>
      </c>
      <c r="B192" t="s">
        <v>64</v>
      </c>
      <c r="C192" t="s">
        <v>65</v>
      </c>
      <c r="D192" t="s">
        <v>132</v>
      </c>
      <c r="E192" t="s">
        <v>133</v>
      </c>
      <c r="F192" t="s">
        <v>134</v>
      </c>
      <c r="G192">
        <v>2376</v>
      </c>
      <c r="H192" t="s">
        <v>75</v>
      </c>
      <c r="I192">
        <v>46039</v>
      </c>
      <c r="J192" t="s">
        <v>513</v>
      </c>
      <c r="K192" s="1401">
        <v>46045</v>
      </c>
      <c r="L192" s="1401">
        <v>46092</v>
      </c>
      <c r="M192" s="1401">
        <v>46111</v>
      </c>
      <c r="N192" s="1401">
        <v>46111</v>
      </c>
      <c r="O192" t="s">
        <v>84</v>
      </c>
      <c r="P192" s="1401">
        <v>46120</v>
      </c>
      <c r="Q192" s="1401">
        <v>46119</v>
      </c>
    </row>
    <row r="193" spans="1:17">
      <c r="A193" t="s">
        <v>1119</v>
      </c>
      <c r="B193" t="s">
        <v>64</v>
      </c>
      <c r="C193" t="s">
        <v>65</v>
      </c>
      <c r="D193" t="s">
        <v>132</v>
      </c>
      <c r="E193" t="s">
        <v>1062</v>
      </c>
      <c r="F193" t="s">
        <v>1063</v>
      </c>
      <c r="G193">
        <v>6048</v>
      </c>
      <c r="H193" t="s">
        <v>75</v>
      </c>
      <c r="I193">
        <v>46072</v>
      </c>
      <c r="J193" t="s">
        <v>1120</v>
      </c>
      <c r="K193" s="1401">
        <v>46076</v>
      </c>
      <c r="L193" s="1401">
        <v>46125</v>
      </c>
      <c r="M193" s="1401">
        <v>46136</v>
      </c>
      <c r="N193" s="1401">
        <v>46137</v>
      </c>
      <c r="O193" t="s">
        <v>973</v>
      </c>
      <c r="P193" s="1401">
        <v>46150</v>
      </c>
      <c r="Q193" s="1401">
        <v>46145</v>
      </c>
    </row>
    <row r="194" spans="1:17">
      <c r="A194" t="s">
        <v>508</v>
      </c>
      <c r="B194" t="s">
        <v>64</v>
      </c>
      <c r="C194" t="s">
        <v>65</v>
      </c>
      <c r="D194" t="s">
        <v>132</v>
      </c>
      <c r="E194" t="s">
        <v>133</v>
      </c>
      <c r="F194" t="s">
        <v>134</v>
      </c>
      <c r="G194">
        <v>1782</v>
      </c>
      <c r="H194" t="s">
        <v>75</v>
      </c>
      <c r="I194">
        <v>46039</v>
      </c>
      <c r="J194" t="s">
        <v>509</v>
      </c>
      <c r="K194" s="1401">
        <v>46045</v>
      </c>
      <c r="L194" s="1401">
        <v>46092</v>
      </c>
      <c r="M194" s="1401">
        <v>46111</v>
      </c>
      <c r="N194" s="1401">
        <v>46111</v>
      </c>
      <c r="O194" t="s">
        <v>84</v>
      </c>
      <c r="P194" s="1401">
        <v>46120</v>
      </c>
      <c r="Q194" s="1401">
        <v>46119</v>
      </c>
    </row>
    <row r="195" spans="1:17">
      <c r="A195" t="s">
        <v>1117</v>
      </c>
      <c r="B195" t="s">
        <v>64</v>
      </c>
      <c r="C195" t="s">
        <v>450</v>
      </c>
      <c r="D195" t="s">
        <v>132</v>
      </c>
      <c r="E195" t="s">
        <v>1062</v>
      </c>
      <c r="F195" t="s">
        <v>1063</v>
      </c>
      <c r="G195">
        <v>2592</v>
      </c>
      <c r="H195" t="s">
        <v>75</v>
      </c>
      <c r="I195">
        <v>46073</v>
      </c>
      <c r="J195" t="s">
        <v>1118</v>
      </c>
      <c r="K195" s="1401">
        <v>46076</v>
      </c>
      <c r="L195" s="1401">
        <v>46117</v>
      </c>
      <c r="M195" s="1401">
        <v>46124</v>
      </c>
      <c r="N195" s="1401">
        <v>46124</v>
      </c>
      <c r="O195" t="s">
        <v>973</v>
      </c>
      <c r="P195" s="1401">
        <v>46139</v>
      </c>
      <c r="Q195" s="1401">
        <v>46131</v>
      </c>
    </row>
    <row r="196" spans="1:17">
      <c r="A196" t="s">
        <v>1111</v>
      </c>
      <c r="B196" t="s">
        <v>64</v>
      </c>
      <c r="C196" t="s">
        <v>450</v>
      </c>
      <c r="D196" t="s">
        <v>132</v>
      </c>
      <c r="E196" t="s">
        <v>189</v>
      </c>
      <c r="F196" t="s">
        <v>190</v>
      </c>
      <c r="G196">
        <v>1728</v>
      </c>
      <c r="H196" t="s">
        <v>75</v>
      </c>
      <c r="I196">
        <v>46073</v>
      </c>
      <c r="J196" t="s">
        <v>1114</v>
      </c>
      <c r="K196" s="1401">
        <v>46076</v>
      </c>
      <c r="L196" s="1401">
        <v>46117</v>
      </c>
      <c r="M196" s="1401">
        <v>46124</v>
      </c>
      <c r="N196" s="1401">
        <v>46124</v>
      </c>
      <c r="O196" t="s">
        <v>973</v>
      </c>
      <c r="P196" s="1401">
        <v>46132</v>
      </c>
      <c r="Q196" s="1401">
        <v>46131</v>
      </c>
    </row>
    <row r="197" spans="1:17">
      <c r="A197" t="s">
        <v>1107</v>
      </c>
      <c r="B197" t="s">
        <v>64</v>
      </c>
      <c r="C197" t="s">
        <v>100</v>
      </c>
      <c r="D197" t="s">
        <v>713</v>
      </c>
      <c r="E197" t="s">
        <v>1109</v>
      </c>
      <c r="F197" t="s">
        <v>454</v>
      </c>
      <c r="G197">
        <v>576</v>
      </c>
      <c r="H197" t="s">
        <v>75</v>
      </c>
      <c r="I197">
        <v>46066</v>
      </c>
      <c r="J197" t="s">
        <v>1110</v>
      </c>
      <c r="K197" s="1401">
        <v>46076</v>
      </c>
      <c r="L197" s="1401">
        <v>46113</v>
      </c>
      <c r="M197" s="1401">
        <v>46122</v>
      </c>
      <c r="N197" s="1401">
        <v>46122</v>
      </c>
      <c r="O197" t="s">
        <v>973</v>
      </c>
      <c r="P197" s="1401">
        <v>46132</v>
      </c>
      <c r="Q197" s="1401">
        <v>46129</v>
      </c>
    </row>
    <row r="198" spans="1:17">
      <c r="A198" t="s">
        <v>1098</v>
      </c>
      <c r="B198" t="s">
        <v>64</v>
      </c>
      <c r="C198" t="s">
        <v>100</v>
      </c>
      <c r="D198" t="s">
        <v>132</v>
      </c>
      <c r="E198" t="s">
        <v>1062</v>
      </c>
      <c r="F198" t="s">
        <v>1063</v>
      </c>
      <c r="G198">
        <v>3456</v>
      </c>
      <c r="H198" t="s">
        <v>75</v>
      </c>
      <c r="I198">
        <v>46066</v>
      </c>
      <c r="J198" t="s">
        <v>1099</v>
      </c>
      <c r="K198" s="1401">
        <v>46076</v>
      </c>
      <c r="L198" s="1401">
        <v>46113</v>
      </c>
      <c r="M198" s="1401">
        <v>46122</v>
      </c>
      <c r="N198" s="1401">
        <v>46122</v>
      </c>
      <c r="O198" t="s">
        <v>973</v>
      </c>
      <c r="P198" s="1401">
        <v>46132</v>
      </c>
      <c r="Q198" s="1401">
        <v>46129</v>
      </c>
    </row>
    <row r="199" spans="1:17">
      <c r="A199" t="s">
        <v>1102</v>
      </c>
      <c r="B199" t="s">
        <v>64</v>
      </c>
      <c r="C199" t="s">
        <v>100</v>
      </c>
      <c r="D199" t="s">
        <v>713</v>
      </c>
      <c r="E199" t="s">
        <v>1104</v>
      </c>
      <c r="F199" t="s">
        <v>1105</v>
      </c>
      <c r="G199">
        <v>288</v>
      </c>
      <c r="H199" t="s">
        <v>75</v>
      </c>
      <c r="I199">
        <v>46066</v>
      </c>
      <c r="J199" t="s">
        <v>1106</v>
      </c>
      <c r="K199" s="1401">
        <v>46076</v>
      </c>
      <c r="L199" s="1401">
        <v>46113</v>
      </c>
      <c r="M199" s="1401">
        <v>46122</v>
      </c>
      <c r="N199" s="1401">
        <v>46122</v>
      </c>
      <c r="O199" t="s">
        <v>973</v>
      </c>
      <c r="P199" s="1401">
        <v>46132</v>
      </c>
      <c r="Q199" s="1401">
        <v>46129</v>
      </c>
    </row>
    <row r="200" spans="1:17">
      <c r="A200" t="s">
        <v>1095</v>
      </c>
      <c r="B200" t="s">
        <v>64</v>
      </c>
      <c r="C200" t="s">
        <v>100</v>
      </c>
      <c r="D200" t="s">
        <v>132</v>
      </c>
      <c r="E200" t="s">
        <v>1062</v>
      </c>
      <c r="F200" t="s">
        <v>1063</v>
      </c>
      <c r="G200">
        <v>4320</v>
      </c>
      <c r="H200" t="s">
        <v>75</v>
      </c>
      <c r="I200">
        <v>46073</v>
      </c>
      <c r="J200" t="s">
        <v>1097</v>
      </c>
      <c r="K200" s="1401">
        <v>46076</v>
      </c>
      <c r="L200" s="1401">
        <v>46113</v>
      </c>
      <c r="M200" s="1401">
        <v>46122</v>
      </c>
      <c r="N200" s="1401">
        <v>46122</v>
      </c>
      <c r="O200" t="s">
        <v>973</v>
      </c>
      <c r="P200" s="1401">
        <v>46132</v>
      </c>
      <c r="Q200" s="1401">
        <v>46129</v>
      </c>
    </row>
    <row r="201" spans="1:17">
      <c r="A201" t="s">
        <v>1090</v>
      </c>
      <c r="B201" t="s">
        <v>64</v>
      </c>
      <c r="C201" t="s">
        <v>100</v>
      </c>
      <c r="D201" t="s">
        <v>132</v>
      </c>
      <c r="E201" t="s">
        <v>189</v>
      </c>
      <c r="F201" t="s">
        <v>190</v>
      </c>
      <c r="G201">
        <v>4320</v>
      </c>
      <c r="H201" t="s">
        <v>75</v>
      </c>
      <c r="I201">
        <v>46073</v>
      </c>
      <c r="J201" t="s">
        <v>1092</v>
      </c>
      <c r="K201" s="1401">
        <v>46076</v>
      </c>
      <c r="L201" s="1401">
        <v>46113</v>
      </c>
      <c r="M201" s="1401">
        <v>46122</v>
      </c>
      <c r="N201" s="1401">
        <v>46122</v>
      </c>
      <c r="O201" t="s">
        <v>973</v>
      </c>
      <c r="P201" s="1401">
        <v>46132</v>
      </c>
      <c r="Q201" s="1401">
        <v>46129</v>
      </c>
    </row>
    <row r="202" spans="1:17">
      <c r="A202" t="s">
        <v>1129</v>
      </c>
      <c r="B202" t="s">
        <v>144</v>
      </c>
      <c r="C202" t="s">
        <v>145</v>
      </c>
      <c r="D202" t="s">
        <v>132</v>
      </c>
      <c r="E202" t="s">
        <v>133</v>
      </c>
      <c r="F202" t="s">
        <v>134</v>
      </c>
      <c r="G202">
        <v>2970</v>
      </c>
      <c r="H202" t="s">
        <v>75</v>
      </c>
      <c r="I202">
        <v>46066</v>
      </c>
      <c r="J202" t="s">
        <v>1130</v>
      </c>
      <c r="K202" s="1401">
        <v>46076</v>
      </c>
      <c r="L202" s="1401">
        <v>46128</v>
      </c>
      <c r="M202" s="1401">
        <v>46134</v>
      </c>
      <c r="N202" s="1401">
        <v>46134</v>
      </c>
      <c r="O202" t="s">
        <v>973</v>
      </c>
      <c r="P202" s="1401">
        <v>46142</v>
      </c>
      <c r="Q202" s="1401">
        <v>46134</v>
      </c>
    </row>
    <row r="203" spans="1:17">
      <c r="A203" t="s">
        <v>1123</v>
      </c>
      <c r="B203" t="s">
        <v>144</v>
      </c>
      <c r="C203" t="s">
        <v>145</v>
      </c>
      <c r="D203" t="s">
        <v>70</v>
      </c>
      <c r="E203" t="s">
        <v>102</v>
      </c>
      <c r="F203" t="s">
        <v>103</v>
      </c>
      <c r="G203">
        <v>1440</v>
      </c>
      <c r="H203" t="s">
        <v>75</v>
      </c>
      <c r="I203">
        <v>46066</v>
      </c>
      <c r="J203" t="s">
        <v>1125</v>
      </c>
      <c r="K203" s="1401">
        <v>46076</v>
      </c>
      <c r="L203" s="1401">
        <v>46128</v>
      </c>
      <c r="M203" s="1401">
        <v>46134</v>
      </c>
      <c r="N203" s="1401">
        <v>46134</v>
      </c>
      <c r="O203" t="s">
        <v>973</v>
      </c>
      <c r="P203" s="1401">
        <v>46142</v>
      </c>
      <c r="Q203" s="1401">
        <v>46134</v>
      </c>
    </row>
    <row r="204" spans="1:17">
      <c r="A204" t="s">
        <v>62</v>
      </c>
      <c r="B204" t="s">
        <v>64</v>
      </c>
      <c r="C204" t="s">
        <v>65</v>
      </c>
      <c r="D204" t="s">
        <v>70</v>
      </c>
      <c r="E204" t="s">
        <v>71</v>
      </c>
      <c r="F204" t="s">
        <v>72</v>
      </c>
      <c r="G204">
        <v>1728</v>
      </c>
      <c r="H204" t="s">
        <v>75</v>
      </c>
      <c r="I204">
        <v>46079</v>
      </c>
      <c r="J204" t="s">
        <v>879</v>
      </c>
      <c r="K204" s="1401">
        <v>46084</v>
      </c>
      <c r="L204" s="1401">
        <v>46160</v>
      </c>
      <c r="M204" s="1401">
        <v>46169</v>
      </c>
      <c r="N204" s="1401">
        <v>46165</v>
      </c>
      <c r="O204" t="s">
        <v>84</v>
      </c>
      <c r="P204" s="1401">
        <v>46181</v>
      </c>
      <c r="Q204" s="1401">
        <v>46173</v>
      </c>
    </row>
    <row r="205" spans="1:17">
      <c r="A205" t="s">
        <v>1176</v>
      </c>
      <c r="B205" t="s">
        <v>64</v>
      </c>
      <c r="C205" t="s">
        <v>65</v>
      </c>
      <c r="D205" t="s">
        <v>713</v>
      </c>
      <c r="E205" t="s">
        <v>714</v>
      </c>
      <c r="F205" t="s">
        <v>1173</v>
      </c>
      <c r="G205">
        <v>4032</v>
      </c>
      <c r="H205" t="s">
        <v>75</v>
      </c>
      <c r="I205">
        <v>46078</v>
      </c>
      <c r="J205" t="s">
        <v>1179</v>
      </c>
      <c r="K205" s="1401">
        <v>46083</v>
      </c>
      <c r="L205" s="1401">
        <v>46133</v>
      </c>
      <c r="M205" s="1401">
        <v>46139</v>
      </c>
      <c r="N205" s="1401">
        <v>46140</v>
      </c>
      <c r="O205" t="s">
        <v>973</v>
      </c>
      <c r="P205" s="1401">
        <v>46153</v>
      </c>
      <c r="Q205" s="1401">
        <v>46150</v>
      </c>
    </row>
    <row r="206" spans="1:17">
      <c r="A206" t="s">
        <v>1175</v>
      </c>
      <c r="B206" t="s">
        <v>64</v>
      </c>
      <c r="C206" t="s">
        <v>65</v>
      </c>
      <c r="D206" t="s">
        <v>713</v>
      </c>
      <c r="E206" t="s">
        <v>714</v>
      </c>
      <c r="F206" t="s">
        <v>1173</v>
      </c>
      <c r="G206">
        <v>3600</v>
      </c>
      <c r="H206" t="s">
        <v>75</v>
      </c>
      <c r="I206">
        <v>46079</v>
      </c>
      <c r="J206" t="s">
        <v>1178</v>
      </c>
      <c r="K206" s="1401">
        <v>46083</v>
      </c>
      <c r="L206" s="1401">
        <v>46133</v>
      </c>
      <c r="M206" s="1401">
        <v>46139</v>
      </c>
      <c r="N206" s="1401">
        <v>46140</v>
      </c>
      <c r="O206" t="s">
        <v>973</v>
      </c>
      <c r="P206" s="1401">
        <v>46153</v>
      </c>
      <c r="Q206" s="1401">
        <v>46150</v>
      </c>
    </row>
    <row r="207" spans="1:17">
      <c r="A207" t="s">
        <v>1171</v>
      </c>
      <c r="B207" t="s">
        <v>64</v>
      </c>
      <c r="C207" t="s">
        <v>65</v>
      </c>
      <c r="D207" t="s">
        <v>713</v>
      </c>
      <c r="E207" t="s">
        <v>714</v>
      </c>
      <c r="F207" t="s">
        <v>1173</v>
      </c>
      <c r="G207">
        <v>288</v>
      </c>
      <c r="H207" t="s">
        <v>75</v>
      </c>
      <c r="I207">
        <v>46079</v>
      </c>
      <c r="J207" t="s">
        <v>1174</v>
      </c>
      <c r="K207" s="1401">
        <v>46083</v>
      </c>
      <c r="L207" s="1401">
        <v>46133</v>
      </c>
      <c r="M207" s="1401">
        <v>46139</v>
      </c>
      <c r="N207" s="1401">
        <v>46140</v>
      </c>
      <c r="O207" t="s">
        <v>973</v>
      </c>
      <c r="P207" s="1401">
        <v>46153</v>
      </c>
      <c r="Q207" s="1401">
        <v>46150</v>
      </c>
    </row>
    <row r="208" spans="1:17">
      <c r="A208" t="s">
        <v>1161</v>
      </c>
      <c r="B208" t="s">
        <v>64</v>
      </c>
      <c r="C208" t="s">
        <v>65</v>
      </c>
      <c r="D208" t="s">
        <v>713</v>
      </c>
      <c r="E208" t="s">
        <v>1164</v>
      </c>
      <c r="F208" t="s">
        <v>1165</v>
      </c>
      <c r="G208">
        <v>144</v>
      </c>
      <c r="H208" t="s">
        <v>75</v>
      </c>
      <c r="I208">
        <v>46079</v>
      </c>
      <c r="J208" t="s">
        <v>1167</v>
      </c>
      <c r="K208" s="1401">
        <v>46083</v>
      </c>
      <c r="L208" s="1401">
        <v>46133</v>
      </c>
      <c r="M208" s="1401">
        <v>46139</v>
      </c>
      <c r="N208" s="1401">
        <v>46140</v>
      </c>
      <c r="O208" t="s">
        <v>973</v>
      </c>
      <c r="P208" s="1401">
        <v>46153</v>
      </c>
      <c r="Q208" s="1401">
        <v>46150</v>
      </c>
    </row>
    <row r="209" spans="1:17">
      <c r="A209" t="s">
        <v>1143</v>
      </c>
      <c r="B209" t="s">
        <v>64</v>
      </c>
      <c r="C209" t="s">
        <v>100</v>
      </c>
      <c r="D209" t="s">
        <v>70</v>
      </c>
      <c r="E209" t="s">
        <v>195</v>
      </c>
      <c r="F209" t="s">
        <v>196</v>
      </c>
      <c r="G209">
        <v>1872</v>
      </c>
      <c r="H209" t="s">
        <v>75</v>
      </c>
      <c r="I209">
        <v>46080</v>
      </c>
      <c r="J209" t="s">
        <v>1145</v>
      </c>
      <c r="K209" s="1401">
        <v>46084</v>
      </c>
      <c r="L209" s="1401">
        <v>46126</v>
      </c>
      <c r="M209" s="1401">
        <v>46142</v>
      </c>
      <c r="N209" s="1401">
        <v>46141</v>
      </c>
      <c r="O209" t="s">
        <v>973</v>
      </c>
      <c r="P209" s="1401">
        <v>46163</v>
      </c>
      <c r="Q209" s="1401">
        <v>46148</v>
      </c>
    </row>
    <row r="210" spans="1:17">
      <c r="A210" t="s">
        <v>1136</v>
      </c>
      <c r="B210" t="s">
        <v>144</v>
      </c>
      <c r="C210" t="s">
        <v>145</v>
      </c>
      <c r="D210" t="s">
        <v>70</v>
      </c>
      <c r="E210" t="s">
        <v>965</v>
      </c>
      <c r="F210" t="s">
        <v>966</v>
      </c>
      <c r="G210">
        <v>3744</v>
      </c>
      <c r="H210" t="s">
        <v>75</v>
      </c>
      <c r="I210">
        <v>46077</v>
      </c>
      <c r="J210" t="s">
        <v>1140</v>
      </c>
      <c r="K210" s="1401">
        <v>46084</v>
      </c>
      <c r="L210" s="1401">
        <v>46126</v>
      </c>
      <c r="M210" s="1401">
        <v>46142</v>
      </c>
      <c r="N210" s="1401">
        <v>46141</v>
      </c>
      <c r="O210" t="s">
        <v>973</v>
      </c>
      <c r="P210" s="1401">
        <v>46140</v>
      </c>
      <c r="Q210" s="1401">
        <v>46141</v>
      </c>
    </row>
    <row r="211" spans="1:17">
      <c r="A211" t="s">
        <v>1131</v>
      </c>
      <c r="B211" t="s">
        <v>64</v>
      </c>
      <c r="C211" t="s">
        <v>100</v>
      </c>
      <c r="D211" t="s">
        <v>70</v>
      </c>
      <c r="E211" t="s">
        <v>195</v>
      </c>
      <c r="F211" t="s">
        <v>196</v>
      </c>
      <c r="G211">
        <v>4680</v>
      </c>
      <c r="H211" t="s">
        <v>75</v>
      </c>
      <c r="I211">
        <v>46077</v>
      </c>
      <c r="J211" t="s">
        <v>1133</v>
      </c>
      <c r="K211" s="1401">
        <v>46084</v>
      </c>
      <c r="L211" s="1401">
        <v>46126</v>
      </c>
      <c r="M211" s="1401">
        <v>46142</v>
      </c>
      <c r="N211" s="1401">
        <v>46142</v>
      </c>
      <c r="O211" t="s">
        <v>973</v>
      </c>
      <c r="P211" s="1401">
        <v>46163</v>
      </c>
      <c r="Q211" s="1401">
        <v>46149</v>
      </c>
    </row>
    <row r="212" spans="1:17">
      <c r="A212" t="s">
        <v>1257</v>
      </c>
      <c r="B212" t="s">
        <v>144</v>
      </c>
      <c r="C212" t="s">
        <v>145</v>
      </c>
      <c r="D212" t="s">
        <v>1032</v>
      </c>
      <c r="E212" t="s">
        <v>1259</v>
      </c>
      <c r="F212" t="s">
        <v>421</v>
      </c>
      <c r="G212">
        <v>684</v>
      </c>
      <c r="H212" t="s">
        <v>75</v>
      </c>
      <c r="I212">
        <v>46081</v>
      </c>
      <c r="J212" t="s">
        <v>1260</v>
      </c>
      <c r="K212" s="1401">
        <v>46088</v>
      </c>
      <c r="L212" s="1401">
        <v>46154</v>
      </c>
      <c r="M212" s="1401">
        <v>46168</v>
      </c>
      <c r="N212" s="1401">
        <v>46164</v>
      </c>
      <c r="O212" t="s">
        <v>973</v>
      </c>
      <c r="P212" s="1401">
        <v>46168</v>
      </c>
      <c r="Q212" s="1401">
        <v>46164</v>
      </c>
    </row>
    <row r="213" spans="1:17">
      <c r="A213" t="s">
        <v>1249</v>
      </c>
      <c r="B213" t="s">
        <v>144</v>
      </c>
      <c r="C213" t="s">
        <v>145</v>
      </c>
      <c r="D213" t="s">
        <v>1032</v>
      </c>
      <c r="E213" t="s">
        <v>1250</v>
      </c>
      <c r="F213" t="s">
        <v>1251</v>
      </c>
      <c r="G213">
        <v>108</v>
      </c>
      <c r="H213" t="s">
        <v>75</v>
      </c>
      <c r="I213">
        <v>46081</v>
      </c>
      <c r="J213" t="s">
        <v>1252</v>
      </c>
      <c r="K213" s="1401">
        <v>46088</v>
      </c>
      <c r="L213" s="1401">
        <v>46154</v>
      </c>
      <c r="M213" s="1401">
        <v>46168</v>
      </c>
      <c r="N213" s="1401">
        <v>46164</v>
      </c>
      <c r="O213" t="s">
        <v>973</v>
      </c>
      <c r="P213" s="1401">
        <v>46168</v>
      </c>
      <c r="Q213" s="1401">
        <v>46164</v>
      </c>
    </row>
    <row r="214" spans="1:17">
      <c r="A214" t="s">
        <v>1253</v>
      </c>
      <c r="B214" t="s">
        <v>144</v>
      </c>
      <c r="C214" t="s">
        <v>145</v>
      </c>
      <c r="D214" t="s">
        <v>1032</v>
      </c>
      <c r="E214" t="s">
        <v>1255</v>
      </c>
      <c r="F214" t="s">
        <v>72</v>
      </c>
      <c r="G214">
        <v>180</v>
      </c>
      <c r="H214" t="s">
        <v>75</v>
      </c>
      <c r="I214">
        <v>46081</v>
      </c>
      <c r="J214" t="s">
        <v>1256</v>
      </c>
      <c r="K214" s="1401">
        <v>46088</v>
      </c>
      <c r="L214" s="1401">
        <v>46154</v>
      </c>
      <c r="M214" s="1401">
        <v>46168</v>
      </c>
      <c r="N214" s="1401">
        <v>46164</v>
      </c>
      <c r="O214" t="s">
        <v>973</v>
      </c>
      <c r="P214" s="1401">
        <v>46168</v>
      </c>
      <c r="Q214" s="1401">
        <v>46164</v>
      </c>
    </row>
    <row r="215" spans="1:17">
      <c r="A215" t="s">
        <v>1246</v>
      </c>
      <c r="B215" t="s">
        <v>144</v>
      </c>
      <c r="C215" t="s">
        <v>145</v>
      </c>
      <c r="D215" t="s">
        <v>1032</v>
      </c>
      <c r="E215" t="s">
        <v>1247</v>
      </c>
      <c r="F215" t="s">
        <v>196</v>
      </c>
      <c r="G215">
        <v>360</v>
      </c>
      <c r="H215" t="s">
        <v>75</v>
      </c>
      <c r="I215">
        <v>46081</v>
      </c>
      <c r="J215" t="s">
        <v>1248</v>
      </c>
      <c r="K215" s="1401">
        <v>46088</v>
      </c>
      <c r="L215" s="1401">
        <v>46154</v>
      </c>
      <c r="M215" s="1401">
        <v>46168</v>
      </c>
      <c r="N215" s="1401">
        <v>46164</v>
      </c>
      <c r="O215" t="s">
        <v>973</v>
      </c>
      <c r="P215" s="1401">
        <v>46168</v>
      </c>
      <c r="Q215" s="1401">
        <v>46164</v>
      </c>
    </row>
    <row r="216" spans="1:17">
      <c r="A216" t="s">
        <v>1242</v>
      </c>
      <c r="B216" t="s">
        <v>144</v>
      </c>
      <c r="C216" t="s">
        <v>145</v>
      </c>
      <c r="D216" t="s">
        <v>1032</v>
      </c>
      <c r="E216" t="s">
        <v>791</v>
      </c>
      <c r="F216" t="s">
        <v>571</v>
      </c>
      <c r="G216">
        <v>720</v>
      </c>
      <c r="H216" t="s">
        <v>75</v>
      </c>
      <c r="I216">
        <v>46081</v>
      </c>
      <c r="J216" t="s">
        <v>1243</v>
      </c>
      <c r="K216" s="1401">
        <v>46088</v>
      </c>
      <c r="L216" s="1401">
        <v>46154</v>
      </c>
      <c r="M216" s="1401">
        <v>46168</v>
      </c>
      <c r="N216" s="1401">
        <v>46164</v>
      </c>
      <c r="O216" t="s">
        <v>973</v>
      </c>
      <c r="P216" s="1401">
        <v>46168</v>
      </c>
      <c r="Q216" s="1401">
        <v>46164</v>
      </c>
    </row>
    <row r="217" spans="1:17">
      <c r="A217" t="s">
        <v>1244</v>
      </c>
      <c r="B217" t="s">
        <v>144</v>
      </c>
      <c r="C217" t="s">
        <v>145</v>
      </c>
      <c r="D217" t="s">
        <v>1032</v>
      </c>
      <c r="E217" t="s">
        <v>560</v>
      </c>
      <c r="F217" t="s">
        <v>196</v>
      </c>
      <c r="G217">
        <v>1044</v>
      </c>
      <c r="H217" t="s">
        <v>75</v>
      </c>
      <c r="I217">
        <v>46081</v>
      </c>
      <c r="J217" t="s">
        <v>1245</v>
      </c>
      <c r="K217" s="1401">
        <v>46088</v>
      </c>
      <c r="L217" s="1401">
        <v>46154</v>
      </c>
      <c r="M217" s="1401">
        <v>46168</v>
      </c>
      <c r="N217" s="1401">
        <v>46164</v>
      </c>
      <c r="O217" t="s">
        <v>973</v>
      </c>
      <c r="P217" s="1401">
        <v>46168</v>
      </c>
      <c r="Q217" s="1401">
        <v>46164</v>
      </c>
    </row>
    <row r="218" spans="1:17">
      <c r="A218" t="s">
        <v>1231</v>
      </c>
      <c r="B218" t="s">
        <v>144</v>
      </c>
      <c r="C218" t="s">
        <v>145</v>
      </c>
      <c r="D218" t="s">
        <v>1032</v>
      </c>
      <c r="E218" t="s">
        <v>1234</v>
      </c>
      <c r="F218" t="s">
        <v>1235</v>
      </c>
      <c r="G218">
        <v>4392</v>
      </c>
      <c r="H218" t="s">
        <v>75</v>
      </c>
      <c r="I218">
        <v>46081</v>
      </c>
      <c r="J218" t="s">
        <v>1236</v>
      </c>
      <c r="K218" s="1401">
        <v>46088</v>
      </c>
      <c r="L218" s="1401">
        <v>46154</v>
      </c>
      <c r="M218" s="1401">
        <v>46168</v>
      </c>
      <c r="N218" s="1401">
        <v>46164</v>
      </c>
      <c r="O218" t="s">
        <v>973</v>
      </c>
      <c r="P218" s="1401">
        <v>46168</v>
      </c>
      <c r="Q218" s="1401">
        <v>46164</v>
      </c>
    </row>
    <row r="219" spans="1:17">
      <c r="A219" t="s">
        <v>1240</v>
      </c>
      <c r="B219" t="s">
        <v>144</v>
      </c>
      <c r="C219" t="s">
        <v>145</v>
      </c>
      <c r="D219" t="s">
        <v>1032</v>
      </c>
      <c r="E219" t="s">
        <v>570</v>
      </c>
      <c r="F219" t="s">
        <v>571</v>
      </c>
      <c r="G219">
        <v>8352</v>
      </c>
      <c r="H219" t="s">
        <v>75</v>
      </c>
      <c r="I219">
        <v>46081</v>
      </c>
      <c r="J219" t="s">
        <v>1241</v>
      </c>
      <c r="K219" s="1401">
        <v>46088</v>
      </c>
      <c r="L219" s="1401">
        <v>46154</v>
      </c>
      <c r="M219" s="1401">
        <v>46168</v>
      </c>
      <c r="N219" s="1401">
        <v>46164</v>
      </c>
      <c r="O219" t="s">
        <v>973</v>
      </c>
      <c r="P219" s="1401">
        <v>46168</v>
      </c>
      <c r="Q219" s="1401">
        <v>46164</v>
      </c>
    </row>
    <row r="220" spans="1:17">
      <c r="A220" t="s">
        <v>1208</v>
      </c>
      <c r="B220" t="s">
        <v>64</v>
      </c>
      <c r="C220" t="s">
        <v>65</v>
      </c>
      <c r="D220" t="s">
        <v>713</v>
      </c>
      <c r="E220" t="s">
        <v>1185</v>
      </c>
      <c r="F220" t="s">
        <v>1186</v>
      </c>
      <c r="G220">
        <v>720</v>
      </c>
      <c r="H220" t="s">
        <v>75</v>
      </c>
      <c r="I220">
        <v>46078</v>
      </c>
      <c r="J220" t="s">
        <v>1209</v>
      </c>
      <c r="K220" s="1401">
        <v>46089</v>
      </c>
      <c r="L220" s="1401">
        <v>46126</v>
      </c>
      <c r="M220" s="1401">
        <v>46126</v>
      </c>
      <c r="N220" s="1401">
        <v>46124</v>
      </c>
      <c r="O220" t="s">
        <v>973</v>
      </c>
      <c r="P220" s="1401">
        <v>46133</v>
      </c>
      <c r="Q220" s="1401">
        <v>46134</v>
      </c>
    </row>
    <row r="221" spans="1:17">
      <c r="A221" t="s">
        <v>897</v>
      </c>
      <c r="B221" t="s">
        <v>64</v>
      </c>
      <c r="C221" t="s">
        <v>65</v>
      </c>
      <c r="D221" t="s">
        <v>70</v>
      </c>
      <c r="E221" t="s">
        <v>378</v>
      </c>
      <c r="F221" t="s">
        <v>379</v>
      </c>
      <c r="G221">
        <v>648</v>
      </c>
      <c r="H221" t="s">
        <v>75</v>
      </c>
      <c r="I221">
        <v>46078</v>
      </c>
      <c r="J221" t="s">
        <v>898</v>
      </c>
      <c r="K221" s="1401">
        <v>46089</v>
      </c>
      <c r="L221" s="1401">
        <v>46126</v>
      </c>
      <c r="M221" s="1401">
        <v>46126</v>
      </c>
      <c r="N221" s="1401">
        <v>46124</v>
      </c>
      <c r="O221" t="s">
        <v>84</v>
      </c>
      <c r="P221" s="1401">
        <v>46133</v>
      </c>
      <c r="Q221" s="1401">
        <v>46132</v>
      </c>
    </row>
    <row r="222" spans="1:17">
      <c r="A222" t="s">
        <v>892</v>
      </c>
      <c r="B222" t="s">
        <v>64</v>
      </c>
      <c r="C222" t="s">
        <v>65</v>
      </c>
      <c r="D222" t="s">
        <v>70</v>
      </c>
      <c r="E222" t="s">
        <v>378</v>
      </c>
      <c r="F222" t="s">
        <v>379</v>
      </c>
      <c r="G222">
        <v>8640</v>
      </c>
      <c r="H222" t="s">
        <v>75</v>
      </c>
      <c r="I222">
        <v>46078</v>
      </c>
      <c r="J222" t="s">
        <v>893</v>
      </c>
      <c r="K222" s="1401">
        <v>46089</v>
      </c>
      <c r="L222" s="1401">
        <v>46126</v>
      </c>
      <c r="M222" s="1401">
        <v>46126</v>
      </c>
      <c r="N222" s="1401">
        <v>46124</v>
      </c>
      <c r="O222" t="s">
        <v>84</v>
      </c>
      <c r="P222" s="1401">
        <v>46139</v>
      </c>
      <c r="Q222" s="1401">
        <v>46132</v>
      </c>
    </row>
    <row r="223" spans="1:17">
      <c r="A223" t="s">
        <v>1202</v>
      </c>
      <c r="B223" t="s">
        <v>64</v>
      </c>
      <c r="C223" t="s">
        <v>450</v>
      </c>
      <c r="D223" t="s">
        <v>132</v>
      </c>
      <c r="E223" t="s">
        <v>189</v>
      </c>
      <c r="F223" t="s">
        <v>190</v>
      </c>
      <c r="G223">
        <v>864</v>
      </c>
      <c r="H223" t="s">
        <v>75</v>
      </c>
      <c r="I223">
        <v>46077</v>
      </c>
      <c r="J223" t="s">
        <v>1204</v>
      </c>
      <c r="K223" s="1401">
        <v>46083</v>
      </c>
      <c r="L223" s="1401">
        <v>46124</v>
      </c>
      <c r="M223" s="1401">
        <v>46131</v>
      </c>
      <c r="N223" s="1401">
        <v>46131</v>
      </c>
      <c r="O223" t="s">
        <v>973</v>
      </c>
      <c r="P223" s="1401">
        <v>46146</v>
      </c>
      <c r="Q223" s="1401">
        <v>46138</v>
      </c>
    </row>
    <row r="224" spans="1:17">
      <c r="A224" t="s">
        <v>1200</v>
      </c>
      <c r="B224" t="s">
        <v>64</v>
      </c>
      <c r="C224" t="s">
        <v>100</v>
      </c>
      <c r="D224" t="s">
        <v>132</v>
      </c>
      <c r="E224" t="s">
        <v>1062</v>
      </c>
      <c r="F224" t="s">
        <v>1063</v>
      </c>
      <c r="G224">
        <v>864</v>
      </c>
      <c r="H224" t="s">
        <v>75</v>
      </c>
      <c r="I224">
        <v>46079</v>
      </c>
      <c r="J224" t="s">
        <v>1201</v>
      </c>
      <c r="K224" s="1401">
        <v>46088</v>
      </c>
      <c r="L224" s="1401">
        <v>46122</v>
      </c>
      <c r="M224" s="1401">
        <v>46141</v>
      </c>
      <c r="N224" s="1401">
        <v>46137</v>
      </c>
      <c r="O224" t="s">
        <v>973</v>
      </c>
      <c r="P224" s="1401">
        <v>46150</v>
      </c>
      <c r="Q224" s="1401">
        <v>46144</v>
      </c>
    </row>
    <row r="225" spans="1:17">
      <c r="A225" t="s">
        <v>1196</v>
      </c>
      <c r="B225" t="s">
        <v>64</v>
      </c>
      <c r="C225" t="s">
        <v>100</v>
      </c>
      <c r="D225" t="s">
        <v>132</v>
      </c>
      <c r="E225" t="s">
        <v>189</v>
      </c>
      <c r="F225" t="s">
        <v>190</v>
      </c>
      <c r="G225">
        <v>5184</v>
      </c>
      <c r="H225" t="s">
        <v>75</v>
      </c>
      <c r="I225">
        <v>46079</v>
      </c>
      <c r="J225" t="s">
        <v>1198</v>
      </c>
      <c r="K225" s="1401">
        <v>46088</v>
      </c>
      <c r="L225" s="1401">
        <v>46122</v>
      </c>
      <c r="M225" s="1401">
        <v>46141</v>
      </c>
      <c r="N225" s="1401">
        <v>46137</v>
      </c>
      <c r="O225" t="s">
        <v>973</v>
      </c>
      <c r="P225" s="1401">
        <v>46150</v>
      </c>
      <c r="Q225" s="1401">
        <v>46144</v>
      </c>
    </row>
    <row r="226" spans="1:17">
      <c r="A226" t="s">
        <v>1192</v>
      </c>
      <c r="B226" t="s">
        <v>64</v>
      </c>
      <c r="C226" t="s">
        <v>100</v>
      </c>
      <c r="D226" t="s">
        <v>132</v>
      </c>
      <c r="E226" t="s">
        <v>189</v>
      </c>
      <c r="F226" t="s">
        <v>190</v>
      </c>
      <c r="G226">
        <v>4320</v>
      </c>
      <c r="H226" t="s">
        <v>75</v>
      </c>
      <c r="I226">
        <v>46077</v>
      </c>
      <c r="J226" t="s">
        <v>1193</v>
      </c>
      <c r="K226" s="1401">
        <v>46088</v>
      </c>
      <c r="L226" s="1401">
        <v>46122</v>
      </c>
      <c r="M226" s="1401">
        <v>46141</v>
      </c>
      <c r="N226" s="1401">
        <v>46137</v>
      </c>
      <c r="O226" t="s">
        <v>973</v>
      </c>
      <c r="P226" s="1401">
        <v>46150</v>
      </c>
      <c r="Q226" s="1401">
        <v>46144</v>
      </c>
    </row>
    <row r="227" spans="1:17">
      <c r="A227" t="s">
        <v>1182</v>
      </c>
      <c r="B227" t="s">
        <v>64</v>
      </c>
      <c r="C227" t="s">
        <v>65</v>
      </c>
      <c r="D227" t="s">
        <v>713</v>
      </c>
      <c r="E227" t="s">
        <v>1185</v>
      </c>
      <c r="F227" t="s">
        <v>1186</v>
      </c>
      <c r="G227">
        <v>1440</v>
      </c>
      <c r="H227" t="s">
        <v>75</v>
      </c>
      <c r="I227">
        <v>46076</v>
      </c>
      <c r="J227" t="s">
        <v>1188</v>
      </c>
      <c r="K227" s="1401">
        <v>46079</v>
      </c>
      <c r="L227" s="1401">
        <v>46132</v>
      </c>
      <c r="M227" s="1401">
        <v>46135</v>
      </c>
      <c r="N227" s="1401">
        <v>46135</v>
      </c>
      <c r="O227" t="s">
        <v>973</v>
      </c>
      <c r="P227" s="1401">
        <v>46149</v>
      </c>
      <c r="Q227" s="1401">
        <v>46145</v>
      </c>
    </row>
    <row r="228" spans="1:17">
      <c r="A228" t="s">
        <v>907</v>
      </c>
      <c r="B228" t="s">
        <v>64</v>
      </c>
      <c r="C228" t="s">
        <v>100</v>
      </c>
      <c r="D228" t="s">
        <v>70</v>
      </c>
      <c r="E228" t="s">
        <v>585</v>
      </c>
      <c r="F228" t="s">
        <v>103</v>
      </c>
      <c r="G228">
        <v>5760</v>
      </c>
      <c r="H228" t="s">
        <v>75</v>
      </c>
      <c r="I228">
        <v>46081</v>
      </c>
      <c r="J228" t="s">
        <v>908</v>
      </c>
      <c r="K228" s="1401">
        <v>46091</v>
      </c>
      <c r="L228" s="1401">
        <v>46126</v>
      </c>
      <c r="M228" s="1401">
        <v>46142</v>
      </c>
      <c r="N228" s="1401">
        <v>46141</v>
      </c>
      <c r="O228" t="s">
        <v>84</v>
      </c>
      <c r="P228" s="1401">
        <v>46163</v>
      </c>
      <c r="Q228" s="1401">
        <v>46148</v>
      </c>
    </row>
    <row r="229" spans="1:17">
      <c r="A229" t="s">
        <v>902</v>
      </c>
      <c r="B229" t="s">
        <v>64</v>
      </c>
      <c r="C229" t="s">
        <v>100</v>
      </c>
      <c r="D229" t="s">
        <v>70</v>
      </c>
      <c r="E229" t="s">
        <v>585</v>
      </c>
      <c r="F229" t="s">
        <v>103</v>
      </c>
      <c r="G229">
        <v>7200</v>
      </c>
      <c r="H229" t="s">
        <v>75</v>
      </c>
      <c r="I229">
        <v>46080</v>
      </c>
      <c r="J229" t="s">
        <v>904</v>
      </c>
      <c r="K229" s="1401">
        <v>46091</v>
      </c>
      <c r="L229" s="1401">
        <v>46126</v>
      </c>
      <c r="M229" s="1401">
        <v>46142</v>
      </c>
      <c r="N229" s="1401">
        <v>46141</v>
      </c>
      <c r="O229" t="s">
        <v>84</v>
      </c>
      <c r="P229" s="1401">
        <v>46163</v>
      </c>
      <c r="Q229" s="1401">
        <v>46148</v>
      </c>
    </row>
    <row r="230" spans="1:17">
      <c r="A230" t="s">
        <v>880</v>
      </c>
      <c r="B230" t="s">
        <v>144</v>
      </c>
      <c r="C230" t="s">
        <v>145</v>
      </c>
      <c r="D230" t="s">
        <v>70</v>
      </c>
      <c r="E230" t="s">
        <v>885</v>
      </c>
      <c r="F230" t="s">
        <v>886</v>
      </c>
      <c r="G230">
        <v>2880</v>
      </c>
      <c r="H230" t="s">
        <v>75</v>
      </c>
      <c r="I230">
        <v>46082</v>
      </c>
      <c r="J230" t="s">
        <v>887</v>
      </c>
      <c r="K230" s="1401">
        <v>46088</v>
      </c>
      <c r="L230" s="1401">
        <v>46148</v>
      </c>
      <c r="M230" s="1401">
        <v>46169</v>
      </c>
      <c r="N230" s="1401">
        <v>46169</v>
      </c>
      <c r="O230" t="s">
        <v>84</v>
      </c>
      <c r="P230" s="1401">
        <v>46162</v>
      </c>
      <c r="Q230" s="1401">
        <v>46169</v>
      </c>
    </row>
    <row r="231" spans="1:17">
      <c r="A231" t="s">
        <v>1394</v>
      </c>
      <c r="B231" t="s">
        <v>64</v>
      </c>
      <c r="C231" t="s">
        <v>65</v>
      </c>
      <c r="D231" t="s">
        <v>70</v>
      </c>
      <c r="E231" t="s">
        <v>1151</v>
      </c>
      <c r="F231" t="s">
        <v>421</v>
      </c>
      <c r="G231">
        <v>4320</v>
      </c>
      <c r="H231" t="s">
        <v>75</v>
      </c>
      <c r="I231">
        <v>46083</v>
      </c>
      <c r="J231" t="s">
        <v>1396</v>
      </c>
      <c r="K231" s="1401">
        <v>46088</v>
      </c>
      <c r="L231" s="1401">
        <v>46153</v>
      </c>
      <c r="M231" s="1401">
        <v>46184</v>
      </c>
      <c r="N231" s="1401">
        <v>46184</v>
      </c>
      <c r="O231" t="s">
        <v>973</v>
      </c>
      <c r="P231" s="1401">
        <v>46199</v>
      </c>
      <c r="Q231" s="1401">
        <v>46192</v>
      </c>
    </row>
    <row r="232" spans="1:17">
      <c r="A232" t="s">
        <v>1375</v>
      </c>
      <c r="B232" t="s">
        <v>64</v>
      </c>
      <c r="C232" t="s">
        <v>100</v>
      </c>
      <c r="D232" t="s">
        <v>70</v>
      </c>
      <c r="E232" t="s">
        <v>1151</v>
      </c>
      <c r="F232" t="s">
        <v>421</v>
      </c>
      <c r="G232">
        <v>6912</v>
      </c>
      <c r="H232" t="s">
        <v>75</v>
      </c>
      <c r="I232">
        <v>46083</v>
      </c>
      <c r="J232" t="s">
        <v>1377</v>
      </c>
      <c r="K232" s="1401">
        <v>46088</v>
      </c>
      <c r="L232" s="1401">
        <v>46133</v>
      </c>
      <c r="M232" s="1401">
        <v>46142</v>
      </c>
      <c r="N232" s="1401">
        <v>46141</v>
      </c>
      <c r="O232" t="s">
        <v>973</v>
      </c>
      <c r="P232" s="1401">
        <v>46163</v>
      </c>
      <c r="Q232" s="1401">
        <v>46148</v>
      </c>
    </row>
    <row r="233" spans="1:17">
      <c r="A233" t="s">
        <v>1373</v>
      </c>
      <c r="B233" t="s">
        <v>64</v>
      </c>
      <c r="C233" t="s">
        <v>100</v>
      </c>
      <c r="D233" t="s">
        <v>70</v>
      </c>
      <c r="E233" t="s">
        <v>1151</v>
      </c>
      <c r="F233" t="s">
        <v>421</v>
      </c>
      <c r="G233">
        <v>2592</v>
      </c>
      <c r="H233" t="s">
        <v>75</v>
      </c>
      <c r="I233">
        <v>46083</v>
      </c>
      <c r="J233" t="s">
        <v>1374</v>
      </c>
      <c r="K233" s="1401">
        <v>46088</v>
      </c>
      <c r="L233" s="1401">
        <v>46133</v>
      </c>
      <c r="M233" s="1401">
        <v>46142</v>
      </c>
      <c r="N233" s="1401">
        <v>46141</v>
      </c>
      <c r="O233" t="s">
        <v>973</v>
      </c>
      <c r="P233" s="1401">
        <v>46163</v>
      </c>
      <c r="Q233" s="1401">
        <v>46148</v>
      </c>
    </row>
    <row r="234" spans="1:17">
      <c r="A234" t="s">
        <v>1370</v>
      </c>
      <c r="B234" t="s">
        <v>64</v>
      </c>
      <c r="C234" t="s">
        <v>100</v>
      </c>
      <c r="D234" t="s">
        <v>70</v>
      </c>
      <c r="E234" t="s">
        <v>195</v>
      </c>
      <c r="F234" t="s">
        <v>196</v>
      </c>
      <c r="G234">
        <v>936</v>
      </c>
      <c r="H234" t="s">
        <v>75</v>
      </c>
      <c r="I234">
        <v>46083</v>
      </c>
      <c r="J234" t="s">
        <v>1372</v>
      </c>
      <c r="K234" s="1401">
        <v>46088</v>
      </c>
      <c r="L234" s="1401">
        <v>46133</v>
      </c>
      <c r="M234" s="1401">
        <v>46142</v>
      </c>
      <c r="N234" s="1401">
        <v>46141</v>
      </c>
      <c r="O234" t="s">
        <v>973</v>
      </c>
      <c r="P234" s="1401">
        <v>46163</v>
      </c>
      <c r="Q234" s="1401">
        <v>46148</v>
      </c>
    </row>
    <row r="235" spans="1:17">
      <c r="A235" t="s">
        <v>1367</v>
      </c>
      <c r="B235" t="s">
        <v>64</v>
      </c>
      <c r="C235" t="s">
        <v>100</v>
      </c>
      <c r="D235" t="s">
        <v>70</v>
      </c>
      <c r="E235" t="s">
        <v>195</v>
      </c>
      <c r="F235" t="s">
        <v>196</v>
      </c>
      <c r="G235">
        <v>1872</v>
      </c>
      <c r="H235" t="s">
        <v>75</v>
      </c>
      <c r="I235">
        <v>46083</v>
      </c>
      <c r="J235" t="s">
        <v>1369</v>
      </c>
      <c r="K235" s="1401">
        <v>46088</v>
      </c>
      <c r="L235" s="1401">
        <v>46133</v>
      </c>
      <c r="M235" s="1401">
        <v>46142</v>
      </c>
      <c r="N235" s="1401">
        <v>46141</v>
      </c>
      <c r="O235" t="s">
        <v>973</v>
      </c>
      <c r="P235" s="1401">
        <v>46163</v>
      </c>
      <c r="Q235" s="1401">
        <v>46148</v>
      </c>
    </row>
    <row r="236" spans="1:17">
      <c r="A236" t="s">
        <v>1362</v>
      </c>
      <c r="B236" t="s">
        <v>64</v>
      </c>
      <c r="C236" t="s">
        <v>100</v>
      </c>
      <c r="D236" t="s">
        <v>70</v>
      </c>
      <c r="E236" t="s">
        <v>195</v>
      </c>
      <c r="F236" t="s">
        <v>196</v>
      </c>
      <c r="G236">
        <v>1872</v>
      </c>
      <c r="H236" t="s">
        <v>75</v>
      </c>
      <c r="I236">
        <v>46083</v>
      </c>
      <c r="J236" t="s">
        <v>1364</v>
      </c>
      <c r="K236" s="1401">
        <v>46088</v>
      </c>
      <c r="L236" s="1401">
        <v>46133</v>
      </c>
      <c r="M236" s="1401">
        <v>46142</v>
      </c>
      <c r="N236" s="1401">
        <v>46141</v>
      </c>
      <c r="O236" t="s">
        <v>973</v>
      </c>
      <c r="P236" s="1401">
        <v>46163</v>
      </c>
      <c r="Q236" s="1401">
        <v>46148</v>
      </c>
    </row>
    <row r="237" spans="1:17">
      <c r="A237" t="s">
        <v>1358</v>
      </c>
      <c r="B237" t="s">
        <v>64</v>
      </c>
      <c r="C237" t="s">
        <v>100</v>
      </c>
      <c r="D237" t="s">
        <v>70</v>
      </c>
      <c r="E237" t="s">
        <v>195</v>
      </c>
      <c r="F237" t="s">
        <v>196</v>
      </c>
      <c r="G237">
        <v>4680</v>
      </c>
      <c r="H237" t="s">
        <v>75</v>
      </c>
      <c r="I237">
        <v>46084</v>
      </c>
      <c r="J237" t="s">
        <v>1359</v>
      </c>
      <c r="K237" s="1401">
        <v>46088</v>
      </c>
      <c r="L237" s="1401">
        <v>46141</v>
      </c>
      <c r="M237" s="1401">
        <v>46142</v>
      </c>
      <c r="N237" s="1401">
        <v>46141</v>
      </c>
      <c r="O237" t="s">
        <v>973</v>
      </c>
      <c r="P237" s="1401">
        <v>46163</v>
      </c>
      <c r="Q237" s="1401">
        <v>46148</v>
      </c>
    </row>
    <row r="238" spans="1:17">
      <c r="A238" t="s">
        <v>1321</v>
      </c>
      <c r="B238" t="s">
        <v>64</v>
      </c>
      <c r="C238" t="s">
        <v>100</v>
      </c>
      <c r="D238" t="s">
        <v>132</v>
      </c>
      <c r="E238" t="s">
        <v>1062</v>
      </c>
      <c r="F238" t="s">
        <v>1063</v>
      </c>
      <c r="G238">
        <v>1728</v>
      </c>
      <c r="H238" t="s">
        <v>75</v>
      </c>
      <c r="I238">
        <v>46083</v>
      </c>
      <c r="J238" t="s">
        <v>1322</v>
      </c>
      <c r="K238" s="1401">
        <v>46091</v>
      </c>
      <c r="L238" s="1401">
        <v>46122</v>
      </c>
      <c r="M238" s="1401">
        <v>46141</v>
      </c>
      <c r="N238" s="1401">
        <v>46137</v>
      </c>
      <c r="O238" t="s">
        <v>973</v>
      </c>
      <c r="P238" s="1401">
        <v>46150</v>
      </c>
      <c r="Q238" s="1401">
        <v>46144</v>
      </c>
    </row>
    <row r="239" spans="1:17">
      <c r="A239" t="s">
        <v>1317</v>
      </c>
      <c r="B239" t="s">
        <v>64</v>
      </c>
      <c r="C239" t="s">
        <v>100</v>
      </c>
      <c r="D239" t="s">
        <v>473</v>
      </c>
      <c r="E239" t="s">
        <v>474</v>
      </c>
      <c r="F239" t="s">
        <v>1319</v>
      </c>
      <c r="G239">
        <v>1728</v>
      </c>
      <c r="H239" t="s">
        <v>75</v>
      </c>
      <c r="I239">
        <v>46085</v>
      </c>
      <c r="J239" t="s">
        <v>1320</v>
      </c>
      <c r="K239" s="1401">
        <v>46091</v>
      </c>
      <c r="L239" s="1401">
        <v>46122</v>
      </c>
      <c r="M239" s="1401">
        <v>46141</v>
      </c>
      <c r="N239" s="1401">
        <v>46137</v>
      </c>
      <c r="O239" t="s">
        <v>973</v>
      </c>
      <c r="P239" s="1401">
        <v>46150</v>
      </c>
      <c r="Q239" s="1401">
        <v>46144</v>
      </c>
    </row>
    <row r="240" spans="1:17">
      <c r="A240" t="s">
        <v>1315</v>
      </c>
      <c r="B240" t="s">
        <v>64</v>
      </c>
      <c r="C240" t="s">
        <v>100</v>
      </c>
      <c r="D240" t="s">
        <v>132</v>
      </c>
      <c r="E240" t="s">
        <v>189</v>
      </c>
      <c r="F240" t="s">
        <v>190</v>
      </c>
      <c r="G240">
        <v>3456</v>
      </c>
      <c r="H240" t="s">
        <v>75</v>
      </c>
      <c r="I240">
        <v>46085</v>
      </c>
      <c r="J240" t="s">
        <v>1316</v>
      </c>
      <c r="K240" s="1401">
        <v>46091</v>
      </c>
      <c r="L240" s="1401">
        <v>46122</v>
      </c>
      <c r="M240" s="1401">
        <v>46141</v>
      </c>
      <c r="N240" s="1401">
        <v>46137</v>
      </c>
      <c r="O240" t="s">
        <v>973</v>
      </c>
      <c r="P240" s="1401">
        <v>46150</v>
      </c>
      <c r="Q240" s="1401">
        <v>46144</v>
      </c>
    </row>
    <row r="241" spans="1:17">
      <c r="A241" t="s">
        <v>1309</v>
      </c>
      <c r="B241" t="s">
        <v>64</v>
      </c>
      <c r="C241" t="s">
        <v>100</v>
      </c>
      <c r="D241" t="s">
        <v>473</v>
      </c>
      <c r="E241" t="s">
        <v>529</v>
      </c>
      <c r="F241" t="s">
        <v>1311</v>
      </c>
      <c r="G241">
        <v>3456</v>
      </c>
      <c r="H241" t="s">
        <v>75</v>
      </c>
      <c r="I241">
        <v>46085</v>
      </c>
      <c r="J241" t="s">
        <v>1312</v>
      </c>
      <c r="K241" s="1401">
        <v>46091</v>
      </c>
      <c r="L241" s="1401">
        <v>46122</v>
      </c>
      <c r="M241" s="1401">
        <v>46141</v>
      </c>
      <c r="N241" s="1401">
        <v>46137</v>
      </c>
      <c r="O241" t="s">
        <v>973</v>
      </c>
      <c r="P241" s="1401">
        <v>46150</v>
      </c>
      <c r="Q241" s="1401">
        <v>46144</v>
      </c>
    </row>
    <row r="242" spans="1:17">
      <c r="A242" t="s">
        <v>1294</v>
      </c>
      <c r="B242" t="s">
        <v>64</v>
      </c>
      <c r="C242" t="s">
        <v>450</v>
      </c>
      <c r="D242" t="s">
        <v>70</v>
      </c>
      <c r="E242" t="s">
        <v>1151</v>
      </c>
      <c r="F242" t="s">
        <v>421</v>
      </c>
      <c r="G242">
        <v>1728</v>
      </c>
      <c r="H242" t="s">
        <v>75</v>
      </c>
      <c r="I242">
        <v>46082</v>
      </c>
      <c r="J242" t="s">
        <v>1295</v>
      </c>
      <c r="K242" s="1401">
        <v>46088</v>
      </c>
      <c r="L242" s="1401">
        <v>46138</v>
      </c>
      <c r="M242" s="1401">
        <v>46160</v>
      </c>
      <c r="N242" s="1401">
        <v>46160</v>
      </c>
      <c r="O242" t="s">
        <v>973</v>
      </c>
      <c r="P242" s="1401">
        <v>46174</v>
      </c>
      <c r="Q242" s="1401">
        <v>46167</v>
      </c>
    </row>
    <row r="243" spans="1:17">
      <c r="A243" t="s">
        <v>1285</v>
      </c>
      <c r="B243" t="s">
        <v>64</v>
      </c>
      <c r="C243" t="s">
        <v>450</v>
      </c>
      <c r="D243" t="s">
        <v>70</v>
      </c>
      <c r="E243" t="s">
        <v>1151</v>
      </c>
      <c r="F243" t="s">
        <v>421</v>
      </c>
      <c r="G243">
        <v>864</v>
      </c>
      <c r="H243" t="s">
        <v>75</v>
      </c>
      <c r="I243">
        <v>46082</v>
      </c>
      <c r="J243" t="s">
        <v>1288</v>
      </c>
      <c r="K243" s="1401">
        <v>46088</v>
      </c>
      <c r="L243" s="1401">
        <v>46138</v>
      </c>
      <c r="M243" s="1401">
        <v>46160</v>
      </c>
      <c r="N243" s="1401">
        <v>46160</v>
      </c>
      <c r="O243" t="s">
        <v>973</v>
      </c>
      <c r="P243" s="1401">
        <v>46174</v>
      </c>
      <c r="Q243" s="1401">
        <v>46167</v>
      </c>
    </row>
    <row r="244" spans="1:17">
      <c r="A244" t="s">
        <v>1291</v>
      </c>
      <c r="B244" t="s">
        <v>64</v>
      </c>
      <c r="C244" t="s">
        <v>450</v>
      </c>
      <c r="D244" t="s">
        <v>70</v>
      </c>
      <c r="E244" t="s">
        <v>1151</v>
      </c>
      <c r="F244" t="s">
        <v>421</v>
      </c>
      <c r="G244">
        <v>1728</v>
      </c>
      <c r="H244" t="s">
        <v>75</v>
      </c>
      <c r="I244">
        <v>46082</v>
      </c>
      <c r="J244" t="s">
        <v>1293</v>
      </c>
      <c r="K244" s="1401">
        <v>46088</v>
      </c>
      <c r="L244" s="1401">
        <v>46138</v>
      </c>
      <c r="M244" s="1401">
        <v>46160</v>
      </c>
      <c r="N244" s="1401">
        <v>46160</v>
      </c>
      <c r="O244" t="s">
        <v>973</v>
      </c>
      <c r="P244" s="1401">
        <v>46174</v>
      </c>
      <c r="Q244" s="1401">
        <v>46167</v>
      </c>
    </row>
    <row r="245" spans="1:17">
      <c r="A245" t="s">
        <v>1217</v>
      </c>
      <c r="B245" t="s">
        <v>64</v>
      </c>
      <c r="C245" t="s">
        <v>100</v>
      </c>
      <c r="D245" t="s">
        <v>132</v>
      </c>
      <c r="E245" t="s">
        <v>133</v>
      </c>
      <c r="F245" t="s">
        <v>134</v>
      </c>
      <c r="G245">
        <v>1188</v>
      </c>
      <c r="H245" t="s">
        <v>75</v>
      </c>
      <c r="I245">
        <v>46082</v>
      </c>
      <c r="J245" t="s">
        <v>1218</v>
      </c>
      <c r="K245" s="1401">
        <v>46091</v>
      </c>
      <c r="L245" s="1401">
        <v>46126</v>
      </c>
      <c r="M245" s="1401">
        <v>46142</v>
      </c>
      <c r="N245" s="1401">
        <v>46141</v>
      </c>
      <c r="O245" t="s">
        <v>973</v>
      </c>
      <c r="P245" s="1401">
        <v>46163</v>
      </c>
      <c r="Q245" s="1401">
        <v>46148</v>
      </c>
    </row>
    <row r="246" spans="1:17">
      <c r="A246" t="s">
        <v>1215</v>
      </c>
      <c r="B246" t="s">
        <v>64</v>
      </c>
      <c r="C246" t="s">
        <v>100</v>
      </c>
      <c r="D246" t="s">
        <v>132</v>
      </c>
      <c r="E246" t="s">
        <v>1062</v>
      </c>
      <c r="F246" t="s">
        <v>1063</v>
      </c>
      <c r="G246">
        <v>3456</v>
      </c>
      <c r="H246" t="s">
        <v>75</v>
      </c>
      <c r="I246">
        <v>46082</v>
      </c>
      <c r="J246" t="s">
        <v>1216</v>
      </c>
      <c r="K246" s="1401">
        <v>46091</v>
      </c>
      <c r="L246" s="1401">
        <v>46126</v>
      </c>
      <c r="M246" s="1401">
        <v>46142</v>
      </c>
      <c r="N246" s="1401">
        <v>46141</v>
      </c>
      <c r="O246" t="s">
        <v>973</v>
      </c>
      <c r="P246" s="1401">
        <v>46163</v>
      </c>
      <c r="Q246" s="1401">
        <v>46148</v>
      </c>
    </row>
    <row r="247" spans="1:17">
      <c r="A247" t="s">
        <v>1210</v>
      </c>
      <c r="B247" t="s">
        <v>64</v>
      </c>
      <c r="C247" t="s">
        <v>100</v>
      </c>
      <c r="D247" t="s">
        <v>132</v>
      </c>
      <c r="E247" t="s">
        <v>133</v>
      </c>
      <c r="F247" t="s">
        <v>134</v>
      </c>
      <c r="G247">
        <v>2970</v>
      </c>
      <c r="H247" t="s">
        <v>75</v>
      </c>
      <c r="I247">
        <v>46082</v>
      </c>
      <c r="J247" t="s">
        <v>1211</v>
      </c>
      <c r="K247" s="1401">
        <v>46091</v>
      </c>
      <c r="L247" s="1401">
        <v>46127</v>
      </c>
      <c r="M247" s="1401">
        <v>46137</v>
      </c>
      <c r="N247" s="1401">
        <v>46137</v>
      </c>
      <c r="O247" t="s">
        <v>973</v>
      </c>
      <c r="P247" s="1401">
        <v>46150</v>
      </c>
      <c r="Q247" s="1401">
        <v>46144</v>
      </c>
    </row>
    <row r="248" spans="1:17">
      <c r="A248" t="s">
        <v>1390</v>
      </c>
      <c r="B248" t="s">
        <v>64</v>
      </c>
      <c r="C248" t="s">
        <v>65</v>
      </c>
      <c r="D248" t="s">
        <v>713</v>
      </c>
      <c r="E248" t="s">
        <v>714</v>
      </c>
      <c r="F248" t="s">
        <v>1173</v>
      </c>
      <c r="G248">
        <v>7488</v>
      </c>
      <c r="H248" t="s">
        <v>75</v>
      </c>
      <c r="I248">
        <v>46086</v>
      </c>
      <c r="J248" t="s">
        <v>1391</v>
      </c>
      <c r="K248" s="1401">
        <v>46091</v>
      </c>
      <c r="L248" s="1401">
        <v>46140</v>
      </c>
      <c r="M248" s="1401">
        <v>46140</v>
      </c>
      <c r="N248" s="1401">
        <v>46140</v>
      </c>
      <c r="O248" t="s">
        <v>973</v>
      </c>
      <c r="P248" s="1401">
        <v>46153</v>
      </c>
      <c r="Q248" s="1401">
        <v>46150</v>
      </c>
    </row>
    <row r="249" spans="1:17">
      <c r="A249" t="s">
        <v>1354</v>
      </c>
      <c r="B249" t="s">
        <v>144</v>
      </c>
      <c r="C249" t="s">
        <v>145</v>
      </c>
      <c r="D249" t="s">
        <v>1032</v>
      </c>
      <c r="E249" t="s">
        <v>1355</v>
      </c>
      <c r="F249" t="s">
        <v>1356</v>
      </c>
      <c r="G249">
        <v>462</v>
      </c>
      <c r="H249" t="s">
        <v>75</v>
      </c>
      <c r="I249">
        <v>46086</v>
      </c>
      <c r="J249" t="s">
        <v>1357</v>
      </c>
      <c r="K249" s="1401">
        <v>46091</v>
      </c>
      <c r="L249" s="1401">
        <v>46154</v>
      </c>
      <c r="M249" s="1401">
        <v>46161</v>
      </c>
      <c r="N249" s="1401">
        <v>46162</v>
      </c>
      <c r="O249" t="s">
        <v>973</v>
      </c>
      <c r="P249" s="1401">
        <v>46168</v>
      </c>
      <c r="Q249" s="1401">
        <v>46162</v>
      </c>
    </row>
    <row r="250" spans="1:17">
      <c r="A250" t="s">
        <v>1346</v>
      </c>
      <c r="B250" t="s">
        <v>144</v>
      </c>
      <c r="C250" t="s">
        <v>145</v>
      </c>
      <c r="D250" t="s">
        <v>1032</v>
      </c>
      <c r="E250" t="s">
        <v>1347</v>
      </c>
      <c r="F250" t="s">
        <v>1348</v>
      </c>
      <c r="G250">
        <v>132</v>
      </c>
      <c r="H250" t="s">
        <v>75</v>
      </c>
      <c r="I250">
        <v>46086</v>
      </c>
      <c r="J250" t="s">
        <v>1349</v>
      </c>
      <c r="K250" s="1401">
        <v>46091</v>
      </c>
      <c r="L250" s="1401">
        <v>46154</v>
      </c>
      <c r="M250" s="1401">
        <v>46161</v>
      </c>
      <c r="N250" s="1401">
        <v>46162</v>
      </c>
      <c r="O250" t="s">
        <v>973</v>
      </c>
      <c r="P250" s="1401">
        <v>46168</v>
      </c>
      <c r="Q250" s="1401">
        <v>46162</v>
      </c>
    </row>
    <row r="251" spans="1:17">
      <c r="A251" t="s">
        <v>1341</v>
      </c>
      <c r="B251" t="s">
        <v>64</v>
      </c>
      <c r="C251" t="s">
        <v>310</v>
      </c>
      <c r="D251" t="s">
        <v>473</v>
      </c>
      <c r="E251" t="s">
        <v>474</v>
      </c>
      <c r="F251" t="s">
        <v>1319</v>
      </c>
      <c r="G251">
        <v>3456</v>
      </c>
      <c r="H251" t="s">
        <v>75</v>
      </c>
      <c r="I251">
        <v>46083</v>
      </c>
      <c r="J251" t="s">
        <v>1343</v>
      </c>
      <c r="K251" s="1401">
        <v>46092</v>
      </c>
      <c r="L251" s="1401">
        <v>46138</v>
      </c>
      <c r="M251" s="1401">
        <v>46148</v>
      </c>
      <c r="N251" s="1401">
        <v>46148</v>
      </c>
      <c r="O251" t="s">
        <v>973</v>
      </c>
      <c r="P251" s="1401">
        <v>46162</v>
      </c>
      <c r="Q251" s="1401">
        <v>46158</v>
      </c>
    </row>
    <row r="252" spans="1:17">
      <c r="A252" t="s">
        <v>1337</v>
      </c>
      <c r="B252" t="s">
        <v>64</v>
      </c>
      <c r="C252" t="s">
        <v>65</v>
      </c>
      <c r="D252" t="s">
        <v>70</v>
      </c>
      <c r="E252" t="s">
        <v>1334</v>
      </c>
      <c r="F252" t="s">
        <v>1335</v>
      </c>
      <c r="G252">
        <v>5760</v>
      </c>
      <c r="H252" t="s">
        <v>75</v>
      </c>
      <c r="I252">
        <v>46084</v>
      </c>
      <c r="J252" t="s">
        <v>1338</v>
      </c>
      <c r="K252" s="1401">
        <v>46092</v>
      </c>
      <c r="L252" s="1401">
        <v>46143</v>
      </c>
      <c r="M252" s="1401">
        <v>46144</v>
      </c>
      <c r="N252" s="1401">
        <v>46144</v>
      </c>
      <c r="O252" t="s">
        <v>973</v>
      </c>
      <c r="P252" s="1401">
        <v>46160</v>
      </c>
      <c r="Q252" s="1401">
        <v>46152</v>
      </c>
    </row>
    <row r="253" spans="1:17">
      <c r="A253" t="s">
        <v>1325</v>
      </c>
      <c r="B253" t="s">
        <v>64</v>
      </c>
      <c r="C253" t="s">
        <v>65</v>
      </c>
      <c r="D253" t="s">
        <v>70</v>
      </c>
      <c r="E253" t="s">
        <v>218</v>
      </c>
      <c r="F253" t="s">
        <v>219</v>
      </c>
      <c r="G253">
        <v>1440</v>
      </c>
      <c r="H253" t="s">
        <v>75</v>
      </c>
      <c r="I253">
        <v>46084</v>
      </c>
      <c r="J253" t="s">
        <v>1328</v>
      </c>
      <c r="K253" s="1401">
        <v>46094</v>
      </c>
      <c r="L253" s="1401">
        <v>46140</v>
      </c>
      <c r="M253" s="1401">
        <v>46145</v>
      </c>
      <c r="N253" s="1401">
        <v>46148</v>
      </c>
      <c r="O253" t="s">
        <v>973</v>
      </c>
      <c r="P253" s="1401">
        <v>46160</v>
      </c>
      <c r="Q253" s="1401">
        <v>46156</v>
      </c>
    </row>
    <row r="254" spans="1:17">
      <c r="A254" t="s">
        <v>1305</v>
      </c>
      <c r="B254" t="s">
        <v>64</v>
      </c>
      <c r="C254" t="s">
        <v>100</v>
      </c>
      <c r="D254" t="s">
        <v>70</v>
      </c>
      <c r="E254" t="s">
        <v>1002</v>
      </c>
      <c r="F254" t="s">
        <v>330</v>
      </c>
      <c r="G254">
        <v>7920</v>
      </c>
      <c r="H254" t="s">
        <v>75</v>
      </c>
      <c r="I254">
        <v>46083</v>
      </c>
      <c r="J254" t="s">
        <v>1306</v>
      </c>
      <c r="K254" s="1401">
        <v>46091</v>
      </c>
      <c r="L254" s="1401">
        <v>46126</v>
      </c>
      <c r="M254" s="1401">
        <v>46142</v>
      </c>
      <c r="N254" s="1401">
        <v>46141</v>
      </c>
      <c r="O254" t="s">
        <v>973</v>
      </c>
      <c r="P254" s="1401">
        <v>46163</v>
      </c>
      <c r="Q254" s="1401">
        <v>46148</v>
      </c>
    </row>
    <row r="255" spans="1:17">
      <c r="A255" t="s">
        <v>1297</v>
      </c>
      <c r="B255" t="s">
        <v>144</v>
      </c>
      <c r="C255" t="s">
        <v>145</v>
      </c>
      <c r="D255" t="s">
        <v>713</v>
      </c>
      <c r="E255" t="s">
        <v>1299</v>
      </c>
      <c r="F255" t="s">
        <v>1300</v>
      </c>
      <c r="G255">
        <v>1782</v>
      </c>
      <c r="H255" t="s">
        <v>75</v>
      </c>
      <c r="I255">
        <v>46084</v>
      </c>
      <c r="J255" t="s">
        <v>1301</v>
      </c>
      <c r="K255" s="1401">
        <v>46091</v>
      </c>
      <c r="L255" s="1401">
        <v>46141</v>
      </c>
      <c r="M255" s="1401">
        <v>46140</v>
      </c>
      <c r="N255" s="1401">
        <v>46140</v>
      </c>
      <c r="O255" t="s">
        <v>973</v>
      </c>
      <c r="P255" s="1401">
        <v>46155</v>
      </c>
      <c r="Q255" s="1401">
        <v>46140</v>
      </c>
    </row>
    <row r="256" spans="1:17">
      <c r="A256" t="s">
        <v>1227</v>
      </c>
      <c r="B256" t="s">
        <v>64</v>
      </c>
      <c r="C256" t="s">
        <v>65</v>
      </c>
      <c r="D256" t="s">
        <v>713</v>
      </c>
      <c r="E256" t="s">
        <v>462</v>
      </c>
      <c r="F256" t="s">
        <v>1229</v>
      </c>
      <c r="G256">
        <v>462</v>
      </c>
      <c r="H256" t="s">
        <v>75</v>
      </c>
      <c r="I256">
        <v>46082</v>
      </c>
      <c r="J256" t="s">
        <v>1230</v>
      </c>
      <c r="K256" s="1401">
        <v>46092</v>
      </c>
      <c r="L256" s="1401">
        <v>46143</v>
      </c>
      <c r="M256" s="1401">
        <v>46144</v>
      </c>
      <c r="N256" s="1401">
        <v>46144</v>
      </c>
      <c r="O256" t="s">
        <v>973</v>
      </c>
      <c r="P256" s="1401">
        <v>46160</v>
      </c>
      <c r="Q256" s="1401">
        <v>46152</v>
      </c>
    </row>
    <row r="257" spans="1:17">
      <c r="A257" t="s">
        <v>1219</v>
      </c>
      <c r="B257" t="s">
        <v>64</v>
      </c>
      <c r="C257" t="s">
        <v>65</v>
      </c>
      <c r="D257" t="s">
        <v>713</v>
      </c>
      <c r="E257" t="s">
        <v>1221</v>
      </c>
      <c r="F257" t="s">
        <v>1222</v>
      </c>
      <c r="G257">
        <v>3498</v>
      </c>
      <c r="H257" t="s">
        <v>75</v>
      </c>
      <c r="I257">
        <v>46082</v>
      </c>
      <c r="J257" t="s">
        <v>1223</v>
      </c>
      <c r="K257" s="1401">
        <v>46092</v>
      </c>
      <c r="L257" s="1401">
        <v>46143</v>
      </c>
      <c r="M257" s="1401">
        <v>46144</v>
      </c>
      <c r="N257" s="1401">
        <v>46144</v>
      </c>
      <c r="O257" t="s">
        <v>973</v>
      </c>
      <c r="P257" s="1401">
        <v>46160</v>
      </c>
      <c r="Q257" s="1401">
        <v>46152</v>
      </c>
    </row>
    <row r="258" spans="1:17">
      <c r="A258" t="s">
        <v>1332</v>
      </c>
      <c r="B258" t="s">
        <v>64</v>
      </c>
      <c r="C258" t="s">
        <v>65</v>
      </c>
      <c r="D258" t="s">
        <v>70</v>
      </c>
      <c r="E258" t="s">
        <v>1334</v>
      </c>
      <c r="F258" t="s">
        <v>1335</v>
      </c>
      <c r="G258">
        <v>3600</v>
      </c>
      <c r="H258" t="s">
        <v>75</v>
      </c>
      <c r="I258">
        <v>46084</v>
      </c>
      <c r="J258" t="s">
        <v>1336</v>
      </c>
      <c r="K258" s="1401">
        <v>46094</v>
      </c>
      <c r="L258" s="1401">
        <v>46140</v>
      </c>
      <c r="M258" s="1401">
        <v>46145</v>
      </c>
      <c r="N258" s="1401">
        <v>46148</v>
      </c>
      <c r="O258" t="s">
        <v>973</v>
      </c>
      <c r="P258" s="1401">
        <v>46160</v>
      </c>
      <c r="Q258" s="1401">
        <v>46156</v>
      </c>
    </row>
    <row r="259" spans="1:17">
      <c r="A259" t="s">
        <v>1489</v>
      </c>
      <c r="B259" t="s">
        <v>64</v>
      </c>
      <c r="C259" t="s">
        <v>100</v>
      </c>
      <c r="D259" t="s">
        <v>473</v>
      </c>
      <c r="E259" t="s">
        <v>529</v>
      </c>
      <c r="F259" t="s">
        <v>1311</v>
      </c>
      <c r="G259">
        <v>4320</v>
      </c>
      <c r="H259" t="s">
        <v>75</v>
      </c>
      <c r="I259">
        <v>46093</v>
      </c>
      <c r="J259" t="s">
        <v>1492</v>
      </c>
      <c r="K259" s="1401">
        <v>46097</v>
      </c>
      <c r="L259" s="1401">
        <v>46134</v>
      </c>
      <c r="M259" s="1401">
        <v>46143</v>
      </c>
      <c r="N259" s="1401">
        <v>46144</v>
      </c>
      <c r="O259" t="s">
        <v>973</v>
      </c>
      <c r="P259" s="1401">
        <v>46156</v>
      </c>
      <c r="Q259" s="1401">
        <v>46151</v>
      </c>
    </row>
    <row r="260" spans="1:17">
      <c r="A260" t="s">
        <v>1513</v>
      </c>
      <c r="B260" t="s">
        <v>64</v>
      </c>
      <c r="C260" t="s">
        <v>114</v>
      </c>
      <c r="D260" t="s">
        <v>473</v>
      </c>
      <c r="E260" t="s">
        <v>474</v>
      </c>
      <c r="F260" t="s">
        <v>1319</v>
      </c>
      <c r="G260">
        <v>1728</v>
      </c>
      <c r="H260" t="s">
        <v>75</v>
      </c>
      <c r="I260">
        <v>46088</v>
      </c>
      <c r="J260" t="s">
        <v>1515</v>
      </c>
      <c r="K260" s="1401">
        <v>46096</v>
      </c>
      <c r="L260" s="1401">
        <v>46149</v>
      </c>
      <c r="M260" s="1401">
        <v>46162</v>
      </c>
      <c r="N260" s="1401">
        <v>46162</v>
      </c>
      <c r="O260" t="s">
        <v>973</v>
      </c>
      <c r="P260" s="1401">
        <v>46176</v>
      </c>
      <c r="Q260" s="1401">
        <v>46171</v>
      </c>
    </row>
    <row r="261" spans="1:17">
      <c r="A261" t="s">
        <v>1511</v>
      </c>
      <c r="B261" t="s">
        <v>64</v>
      </c>
      <c r="C261" t="s">
        <v>65</v>
      </c>
      <c r="D261" t="s">
        <v>70</v>
      </c>
      <c r="E261" t="s">
        <v>1334</v>
      </c>
      <c r="F261" t="s">
        <v>1335</v>
      </c>
      <c r="G261">
        <v>4320</v>
      </c>
      <c r="H261" t="s">
        <v>75</v>
      </c>
      <c r="I261">
        <v>46091</v>
      </c>
      <c r="J261" t="s">
        <v>1512</v>
      </c>
      <c r="K261" s="1401">
        <v>46096</v>
      </c>
      <c r="L261" s="1401">
        <v>46146</v>
      </c>
      <c r="M261" s="1401">
        <v>46153</v>
      </c>
      <c r="N261" s="1401">
        <v>46159</v>
      </c>
      <c r="O261" t="s">
        <v>973</v>
      </c>
      <c r="P261" s="1401">
        <v>46171</v>
      </c>
      <c r="Q261" s="1401">
        <v>46167</v>
      </c>
    </row>
    <row r="262" spans="1:17">
      <c r="A262" t="s">
        <v>1506</v>
      </c>
      <c r="B262" t="s">
        <v>64</v>
      </c>
      <c r="C262" t="s">
        <v>65</v>
      </c>
      <c r="D262" t="s">
        <v>70</v>
      </c>
      <c r="E262" t="s">
        <v>218</v>
      </c>
      <c r="F262" t="s">
        <v>219</v>
      </c>
      <c r="G262">
        <v>6480</v>
      </c>
      <c r="H262" t="s">
        <v>75</v>
      </c>
      <c r="I262">
        <v>46091</v>
      </c>
      <c r="J262" t="s">
        <v>1507</v>
      </c>
      <c r="K262" s="1401">
        <v>46096</v>
      </c>
      <c r="L262" s="1401">
        <v>46146</v>
      </c>
      <c r="M262" s="1401">
        <v>46153</v>
      </c>
      <c r="N262" s="1401">
        <v>46159</v>
      </c>
      <c r="O262" t="s">
        <v>973</v>
      </c>
      <c r="P262" s="1401">
        <v>46171</v>
      </c>
      <c r="Q262" s="1401">
        <v>46167</v>
      </c>
    </row>
    <row r="263" spans="1:17">
      <c r="A263" t="s">
        <v>1503</v>
      </c>
      <c r="B263" t="s">
        <v>64</v>
      </c>
      <c r="C263" t="s">
        <v>100</v>
      </c>
      <c r="D263" t="s">
        <v>473</v>
      </c>
      <c r="E263" t="s">
        <v>529</v>
      </c>
      <c r="F263" t="s">
        <v>1311</v>
      </c>
      <c r="G263">
        <v>6912</v>
      </c>
      <c r="H263" t="s">
        <v>75</v>
      </c>
      <c r="I263">
        <v>46093</v>
      </c>
      <c r="J263" t="s">
        <v>1505</v>
      </c>
      <c r="K263" s="1401">
        <v>46097</v>
      </c>
      <c r="L263" s="1401">
        <v>46134</v>
      </c>
      <c r="M263" s="1401">
        <v>46151</v>
      </c>
      <c r="N263" s="1401">
        <v>46153</v>
      </c>
      <c r="O263" t="s">
        <v>973</v>
      </c>
      <c r="P263" s="1401">
        <v>46160</v>
      </c>
      <c r="Q263" s="1401">
        <v>46160</v>
      </c>
    </row>
    <row r="264" spans="1:17">
      <c r="A264" t="s">
        <v>1482</v>
      </c>
      <c r="B264" t="s">
        <v>64</v>
      </c>
      <c r="C264" t="s">
        <v>100</v>
      </c>
      <c r="D264" t="s">
        <v>70</v>
      </c>
      <c r="E264" t="s">
        <v>1483</v>
      </c>
      <c r="F264" t="s">
        <v>1484</v>
      </c>
      <c r="G264">
        <v>594</v>
      </c>
      <c r="H264" t="s">
        <v>75</v>
      </c>
      <c r="I264">
        <v>46093</v>
      </c>
      <c r="J264" t="s">
        <v>1502</v>
      </c>
      <c r="K264" s="1401">
        <v>46097</v>
      </c>
      <c r="L264" s="1401">
        <v>46134</v>
      </c>
      <c r="M264" s="1401">
        <v>46151</v>
      </c>
      <c r="N264" s="1401">
        <v>46153</v>
      </c>
      <c r="O264" t="s">
        <v>973</v>
      </c>
      <c r="P264" s="1401">
        <v>46160</v>
      </c>
      <c r="Q264" s="1401">
        <v>46160</v>
      </c>
    </row>
    <row r="265" spans="1:17">
      <c r="A265" t="s">
        <v>1499</v>
      </c>
      <c r="B265" t="s">
        <v>64</v>
      </c>
      <c r="C265" t="s">
        <v>100</v>
      </c>
      <c r="D265" t="s">
        <v>473</v>
      </c>
      <c r="E265" t="s">
        <v>474</v>
      </c>
      <c r="F265" t="s">
        <v>1319</v>
      </c>
      <c r="G265">
        <v>864</v>
      </c>
      <c r="H265" t="s">
        <v>75</v>
      </c>
      <c r="I265">
        <v>46093</v>
      </c>
      <c r="J265" t="s">
        <v>1501</v>
      </c>
      <c r="K265" s="1401">
        <v>46097</v>
      </c>
      <c r="L265" s="1401">
        <v>46134</v>
      </c>
      <c r="M265" s="1401">
        <v>46151</v>
      </c>
      <c r="N265" s="1401">
        <v>46153</v>
      </c>
      <c r="O265" t="s">
        <v>973</v>
      </c>
      <c r="P265" s="1401">
        <v>46160</v>
      </c>
      <c r="Q265" s="1401">
        <v>46160</v>
      </c>
    </row>
    <row r="266" spans="1:17">
      <c r="A266" t="s">
        <v>1495</v>
      </c>
      <c r="B266" t="s">
        <v>64</v>
      </c>
      <c r="C266" t="s">
        <v>100</v>
      </c>
      <c r="D266" t="s">
        <v>70</v>
      </c>
      <c r="E266" t="s">
        <v>1002</v>
      </c>
      <c r="F266" t="s">
        <v>330</v>
      </c>
      <c r="G266">
        <v>720</v>
      </c>
      <c r="H266" t="s">
        <v>75</v>
      </c>
      <c r="I266">
        <v>46093</v>
      </c>
      <c r="J266" t="s">
        <v>1496</v>
      </c>
      <c r="K266" s="1401">
        <v>46096</v>
      </c>
      <c r="L266" s="1401">
        <v>46133</v>
      </c>
      <c r="M266" s="1401">
        <v>46151</v>
      </c>
      <c r="N266" s="1401">
        <v>46153</v>
      </c>
      <c r="O266" t="s">
        <v>973</v>
      </c>
      <c r="P266" s="1401">
        <v>46160</v>
      </c>
      <c r="Q266" s="1401">
        <v>46160</v>
      </c>
    </row>
    <row r="267" spans="1:17">
      <c r="A267" t="s">
        <v>1471</v>
      </c>
      <c r="B267" t="s">
        <v>64</v>
      </c>
      <c r="C267" t="s">
        <v>100</v>
      </c>
      <c r="D267" t="s">
        <v>70</v>
      </c>
      <c r="E267" t="s">
        <v>1002</v>
      </c>
      <c r="F267" t="s">
        <v>330</v>
      </c>
      <c r="G267">
        <v>7200</v>
      </c>
      <c r="H267" t="s">
        <v>75</v>
      </c>
      <c r="I267">
        <v>46090</v>
      </c>
      <c r="J267" t="s">
        <v>1473</v>
      </c>
      <c r="K267" s="1401">
        <v>46096</v>
      </c>
      <c r="L267" s="1401">
        <v>46133</v>
      </c>
      <c r="M267" s="1401">
        <v>46150</v>
      </c>
      <c r="N267" s="1401">
        <v>46148</v>
      </c>
      <c r="O267" t="s">
        <v>973</v>
      </c>
      <c r="P267" s="1401">
        <v>46164</v>
      </c>
      <c r="Q267" s="1401">
        <v>46155</v>
      </c>
    </row>
    <row r="268" spans="1:17">
      <c r="A268" t="s">
        <v>1476</v>
      </c>
      <c r="B268" t="s">
        <v>64</v>
      </c>
      <c r="C268" t="s">
        <v>100</v>
      </c>
      <c r="D268" t="s">
        <v>473</v>
      </c>
      <c r="E268" t="s">
        <v>474</v>
      </c>
      <c r="F268" t="s">
        <v>1319</v>
      </c>
      <c r="G268">
        <v>8640</v>
      </c>
      <c r="H268" t="s">
        <v>75</v>
      </c>
      <c r="I268">
        <v>46092</v>
      </c>
      <c r="J268" t="s">
        <v>1478</v>
      </c>
      <c r="K268" s="1401">
        <v>46096</v>
      </c>
      <c r="L268" s="1401">
        <v>46133</v>
      </c>
      <c r="M268" s="1401">
        <v>46150</v>
      </c>
      <c r="N268" s="1401">
        <v>46148</v>
      </c>
      <c r="O268" t="s">
        <v>973</v>
      </c>
      <c r="P268" s="1401">
        <v>46164</v>
      </c>
      <c r="Q268" s="1401">
        <v>46155</v>
      </c>
    </row>
    <row r="269" spans="1:17">
      <c r="A269" t="s">
        <v>1467</v>
      </c>
      <c r="B269" t="s">
        <v>64</v>
      </c>
      <c r="C269" t="s">
        <v>100</v>
      </c>
      <c r="D269" t="s">
        <v>70</v>
      </c>
      <c r="E269" t="s">
        <v>1461</v>
      </c>
      <c r="F269" t="s">
        <v>103</v>
      </c>
      <c r="G269">
        <v>2160</v>
      </c>
      <c r="H269" t="s">
        <v>75</v>
      </c>
      <c r="I269">
        <v>46092</v>
      </c>
      <c r="J269" t="s">
        <v>1468</v>
      </c>
      <c r="K269" s="1401">
        <v>46096</v>
      </c>
      <c r="L269" s="1401">
        <v>46133</v>
      </c>
      <c r="M269" s="1401">
        <v>46150</v>
      </c>
      <c r="N269" s="1401">
        <v>46148</v>
      </c>
      <c r="O269" t="s">
        <v>973</v>
      </c>
      <c r="P269" s="1401">
        <v>46164</v>
      </c>
      <c r="Q269" s="1401">
        <v>46155</v>
      </c>
    </row>
    <row r="270" spans="1:17">
      <c r="A270" t="s">
        <v>1469</v>
      </c>
      <c r="B270" t="s">
        <v>64</v>
      </c>
      <c r="C270" t="s">
        <v>100</v>
      </c>
      <c r="D270" t="s">
        <v>70</v>
      </c>
      <c r="E270" t="s">
        <v>1461</v>
      </c>
      <c r="F270" t="s">
        <v>103</v>
      </c>
      <c r="G270">
        <v>2880</v>
      </c>
      <c r="H270" t="s">
        <v>75</v>
      </c>
      <c r="I270">
        <v>46092</v>
      </c>
      <c r="J270" t="s">
        <v>1470</v>
      </c>
      <c r="K270" s="1401">
        <v>46096</v>
      </c>
      <c r="L270" s="1401">
        <v>46133</v>
      </c>
      <c r="M270" s="1401">
        <v>46150</v>
      </c>
      <c r="N270" s="1401">
        <v>46148</v>
      </c>
      <c r="O270" t="s">
        <v>973</v>
      </c>
      <c r="P270" s="1401">
        <v>46164</v>
      </c>
      <c r="Q270" s="1401">
        <v>46155</v>
      </c>
    </row>
    <row r="271" spans="1:17">
      <c r="A271" t="s">
        <v>1465</v>
      </c>
      <c r="B271" t="s">
        <v>64</v>
      </c>
      <c r="C271" t="s">
        <v>100</v>
      </c>
      <c r="D271" t="s">
        <v>132</v>
      </c>
      <c r="E271" t="s">
        <v>1062</v>
      </c>
      <c r="F271" t="s">
        <v>1063</v>
      </c>
      <c r="G271">
        <v>3456</v>
      </c>
      <c r="H271" t="s">
        <v>75</v>
      </c>
      <c r="I271">
        <v>46091</v>
      </c>
      <c r="J271" t="s">
        <v>1466</v>
      </c>
      <c r="K271" s="1401">
        <v>46096</v>
      </c>
      <c r="L271" s="1401">
        <v>46133</v>
      </c>
      <c r="M271" s="1401">
        <v>46150</v>
      </c>
      <c r="N271" s="1401">
        <v>46148</v>
      </c>
      <c r="O271" t="s">
        <v>973</v>
      </c>
      <c r="P271" s="1401">
        <v>46164</v>
      </c>
      <c r="Q271" s="1401">
        <v>46155</v>
      </c>
    </row>
    <row r="272" spans="1:17">
      <c r="A272" t="s">
        <v>916</v>
      </c>
      <c r="B272" t="s">
        <v>64</v>
      </c>
      <c r="C272" t="s">
        <v>100</v>
      </c>
      <c r="D272" t="s">
        <v>70</v>
      </c>
      <c r="E272" t="s">
        <v>585</v>
      </c>
      <c r="F272" t="s">
        <v>103</v>
      </c>
      <c r="G272">
        <v>5760</v>
      </c>
      <c r="H272" t="s">
        <v>75</v>
      </c>
      <c r="I272">
        <v>46092</v>
      </c>
      <c r="J272" t="s">
        <v>918</v>
      </c>
      <c r="K272" s="1401">
        <v>46096</v>
      </c>
      <c r="L272" s="1401">
        <v>46133</v>
      </c>
      <c r="M272" s="1401">
        <v>46150</v>
      </c>
      <c r="N272" s="1401">
        <v>46148</v>
      </c>
      <c r="O272" t="s">
        <v>84</v>
      </c>
      <c r="P272" s="1401">
        <v>46164</v>
      </c>
      <c r="Q272" s="1401">
        <v>46155</v>
      </c>
    </row>
    <row r="273" spans="1:17">
      <c r="A273" t="s">
        <v>1458</v>
      </c>
      <c r="B273" t="s">
        <v>64</v>
      </c>
      <c r="C273" t="s">
        <v>100</v>
      </c>
      <c r="D273" t="s">
        <v>70</v>
      </c>
      <c r="E273" t="s">
        <v>1461</v>
      </c>
      <c r="F273" t="s">
        <v>103</v>
      </c>
      <c r="G273">
        <v>7920</v>
      </c>
      <c r="H273" t="s">
        <v>75</v>
      </c>
      <c r="I273">
        <v>46090</v>
      </c>
      <c r="J273" t="s">
        <v>1462</v>
      </c>
      <c r="K273" s="1401">
        <v>46096</v>
      </c>
      <c r="L273" s="1401">
        <v>46133</v>
      </c>
      <c r="M273" s="1401">
        <v>46150</v>
      </c>
      <c r="N273" s="1401">
        <v>46148</v>
      </c>
      <c r="O273" t="s">
        <v>973</v>
      </c>
      <c r="P273" s="1401">
        <v>46164</v>
      </c>
      <c r="Q273" s="1401">
        <v>46155</v>
      </c>
    </row>
    <row r="274" spans="1:17">
      <c r="A274" t="s">
        <v>911</v>
      </c>
      <c r="B274" t="s">
        <v>64</v>
      </c>
      <c r="C274" t="s">
        <v>100</v>
      </c>
      <c r="D274" t="s">
        <v>70</v>
      </c>
      <c r="E274" t="s">
        <v>585</v>
      </c>
      <c r="F274" t="s">
        <v>103</v>
      </c>
      <c r="G274">
        <v>10800</v>
      </c>
      <c r="H274" t="s">
        <v>75</v>
      </c>
      <c r="I274">
        <v>46086</v>
      </c>
      <c r="J274" t="s">
        <v>913</v>
      </c>
      <c r="K274" s="1401">
        <v>46096</v>
      </c>
      <c r="L274" s="1401">
        <v>46133</v>
      </c>
      <c r="M274" s="1401">
        <v>46142</v>
      </c>
      <c r="N274" s="1401">
        <v>46141</v>
      </c>
      <c r="O274" t="s">
        <v>84</v>
      </c>
      <c r="P274" s="1401">
        <v>46163</v>
      </c>
      <c r="Q274" s="1401">
        <v>46148</v>
      </c>
    </row>
    <row r="275" spans="1:17">
      <c r="A275" t="s">
        <v>1444</v>
      </c>
      <c r="B275" t="s">
        <v>64</v>
      </c>
      <c r="C275" t="s">
        <v>100</v>
      </c>
      <c r="D275" t="s">
        <v>713</v>
      </c>
      <c r="E275" t="s">
        <v>1429</v>
      </c>
      <c r="F275" t="s">
        <v>1430</v>
      </c>
      <c r="G275">
        <v>3348</v>
      </c>
      <c r="H275" t="s">
        <v>75</v>
      </c>
      <c r="I275">
        <v>46085</v>
      </c>
      <c r="J275" t="s">
        <v>1447</v>
      </c>
      <c r="K275" s="1401">
        <v>46096</v>
      </c>
      <c r="L275" s="1401">
        <v>46133</v>
      </c>
      <c r="M275" s="1401">
        <v>46150</v>
      </c>
      <c r="N275" s="1401">
        <v>46148</v>
      </c>
      <c r="O275" t="s">
        <v>973</v>
      </c>
      <c r="P275" s="1401">
        <v>46164</v>
      </c>
      <c r="Q275" s="1401">
        <v>46155</v>
      </c>
    </row>
    <row r="276" spans="1:17">
      <c r="A276" t="s">
        <v>1439</v>
      </c>
      <c r="B276" t="s">
        <v>64</v>
      </c>
      <c r="C276" t="s">
        <v>100</v>
      </c>
      <c r="D276" t="s">
        <v>713</v>
      </c>
      <c r="E276" t="s">
        <v>1185</v>
      </c>
      <c r="F276" t="s">
        <v>1186</v>
      </c>
      <c r="G276">
        <v>3852</v>
      </c>
      <c r="H276" t="s">
        <v>75</v>
      </c>
      <c r="I276">
        <v>46085</v>
      </c>
      <c r="J276" t="s">
        <v>1441</v>
      </c>
      <c r="K276" s="1401">
        <v>46096</v>
      </c>
      <c r="L276" s="1401">
        <v>46133</v>
      </c>
      <c r="M276" s="1401">
        <v>46150</v>
      </c>
      <c r="N276" s="1401">
        <v>46148</v>
      </c>
      <c r="O276" t="s">
        <v>973</v>
      </c>
      <c r="P276" s="1401">
        <v>46164</v>
      </c>
      <c r="Q276" s="1401">
        <v>46155</v>
      </c>
    </row>
    <row r="277" spans="1:17">
      <c r="A277" t="s">
        <v>1437</v>
      </c>
      <c r="B277" t="s">
        <v>64</v>
      </c>
      <c r="C277" t="s">
        <v>65</v>
      </c>
      <c r="D277" t="s">
        <v>713</v>
      </c>
      <c r="E277" t="s">
        <v>1185</v>
      </c>
      <c r="F277" t="s">
        <v>1186</v>
      </c>
      <c r="G277">
        <v>3240</v>
      </c>
      <c r="H277" t="s">
        <v>75</v>
      </c>
      <c r="I277">
        <v>46087</v>
      </c>
      <c r="J277" t="s">
        <v>1438</v>
      </c>
      <c r="K277" s="1401">
        <v>46096</v>
      </c>
      <c r="L277" s="1401">
        <v>46133</v>
      </c>
      <c r="M277" s="1401">
        <v>46139</v>
      </c>
      <c r="N277" s="1401">
        <v>46141</v>
      </c>
      <c r="O277" t="s">
        <v>973</v>
      </c>
      <c r="P277" s="1401">
        <v>46153</v>
      </c>
      <c r="Q277" s="1401">
        <v>46151</v>
      </c>
    </row>
    <row r="278" spans="1:17">
      <c r="A278" t="s">
        <v>1435</v>
      </c>
      <c r="B278" t="s">
        <v>64</v>
      </c>
      <c r="C278" t="s">
        <v>65</v>
      </c>
      <c r="D278" t="s">
        <v>713</v>
      </c>
      <c r="E278" t="s">
        <v>1429</v>
      </c>
      <c r="F278" t="s">
        <v>1430</v>
      </c>
      <c r="G278">
        <v>3960</v>
      </c>
      <c r="H278" t="s">
        <v>75</v>
      </c>
      <c r="I278">
        <v>46087</v>
      </c>
      <c r="J278" t="s">
        <v>1436</v>
      </c>
      <c r="K278" s="1401">
        <v>46096</v>
      </c>
      <c r="L278" s="1401">
        <v>46133</v>
      </c>
      <c r="M278" s="1401">
        <v>46139</v>
      </c>
      <c r="N278" s="1401">
        <v>46141</v>
      </c>
      <c r="O278" t="s">
        <v>973</v>
      </c>
      <c r="P278" s="1401">
        <v>46153</v>
      </c>
      <c r="Q278" s="1401">
        <v>46151</v>
      </c>
    </row>
    <row r="279" spans="1:17">
      <c r="A279" t="s">
        <v>1426</v>
      </c>
      <c r="B279" t="s">
        <v>64</v>
      </c>
      <c r="C279" t="s">
        <v>65</v>
      </c>
      <c r="D279" t="s">
        <v>713</v>
      </c>
      <c r="E279" t="s">
        <v>1429</v>
      </c>
      <c r="F279" t="s">
        <v>1430</v>
      </c>
      <c r="G279">
        <v>4248</v>
      </c>
      <c r="H279" t="s">
        <v>75</v>
      </c>
      <c r="I279">
        <v>46087</v>
      </c>
      <c r="J279" t="s">
        <v>1431</v>
      </c>
      <c r="K279" s="1401">
        <v>46096</v>
      </c>
      <c r="L279" s="1401">
        <v>46133</v>
      </c>
      <c r="M279" s="1401">
        <v>46139</v>
      </c>
      <c r="N279" s="1401">
        <v>46141</v>
      </c>
      <c r="O279" t="s">
        <v>973</v>
      </c>
      <c r="P279" s="1401">
        <v>46153</v>
      </c>
      <c r="Q279" s="1401">
        <v>46151</v>
      </c>
    </row>
    <row r="280" spans="1:17">
      <c r="A280" t="s">
        <v>1614</v>
      </c>
      <c r="B280" t="s">
        <v>144</v>
      </c>
      <c r="C280" t="s">
        <v>145</v>
      </c>
      <c r="D280" t="s">
        <v>70</v>
      </c>
      <c r="E280" t="s">
        <v>195</v>
      </c>
      <c r="F280" t="s">
        <v>196</v>
      </c>
      <c r="G280">
        <v>8424</v>
      </c>
      <c r="H280" t="s">
        <v>75</v>
      </c>
      <c r="I280">
        <v>46093</v>
      </c>
      <c r="J280" t="s">
        <v>1616</v>
      </c>
      <c r="K280" s="1401">
        <v>46098</v>
      </c>
      <c r="L280" s="1401">
        <v>46168</v>
      </c>
      <c r="M280" s="1401">
        <v>46157</v>
      </c>
      <c r="N280" s="1401">
        <v>46158</v>
      </c>
      <c r="O280" t="s">
        <v>973</v>
      </c>
      <c r="P280" s="1401">
        <v>46182</v>
      </c>
      <c r="Q280" s="1401">
        <v>46158</v>
      </c>
    </row>
    <row r="281" spans="1:17">
      <c r="A281" t="s">
        <v>1547</v>
      </c>
      <c r="B281" t="s">
        <v>144</v>
      </c>
      <c r="C281" t="s">
        <v>145</v>
      </c>
      <c r="D281" t="s">
        <v>473</v>
      </c>
      <c r="E281" t="s">
        <v>474</v>
      </c>
      <c r="F281" t="s">
        <v>1319</v>
      </c>
      <c r="G281">
        <v>8640</v>
      </c>
      <c r="H281" t="s">
        <v>75</v>
      </c>
      <c r="I281">
        <v>46093</v>
      </c>
      <c r="J281" t="s">
        <v>1549</v>
      </c>
      <c r="K281" s="1401">
        <v>46103</v>
      </c>
      <c r="L281" s="1401">
        <v>46161</v>
      </c>
      <c r="M281" s="1401">
        <v>46163</v>
      </c>
      <c r="N281" s="1401">
        <v>46163</v>
      </c>
      <c r="O281" t="s">
        <v>973</v>
      </c>
      <c r="P281" s="1401">
        <v>46178</v>
      </c>
      <c r="Q281" s="1401">
        <v>46163</v>
      </c>
    </row>
    <row r="282" spans="1:17">
      <c r="A282" t="s">
        <v>1543</v>
      </c>
      <c r="B282" t="s">
        <v>144</v>
      </c>
      <c r="C282" t="s">
        <v>145</v>
      </c>
      <c r="D282" t="s">
        <v>284</v>
      </c>
      <c r="E282" t="s">
        <v>1521</v>
      </c>
      <c r="F282" t="s">
        <v>1522</v>
      </c>
      <c r="G282">
        <v>1728</v>
      </c>
      <c r="H282" t="s">
        <v>75</v>
      </c>
      <c r="I282">
        <v>46093</v>
      </c>
      <c r="J282" t="s">
        <v>1545</v>
      </c>
      <c r="K282" s="1401">
        <v>46101</v>
      </c>
      <c r="L282" s="1401">
        <v>46161</v>
      </c>
      <c r="M282" s="1401">
        <v>46171</v>
      </c>
      <c r="N282" s="1401">
        <v>46172</v>
      </c>
      <c r="O282" t="s">
        <v>973</v>
      </c>
      <c r="P282" s="1401">
        <v>46178</v>
      </c>
      <c r="Q282" s="1401">
        <v>46172</v>
      </c>
    </row>
    <row r="283" spans="1:17">
      <c r="A283" t="s">
        <v>1536</v>
      </c>
      <c r="B283" t="s">
        <v>144</v>
      </c>
      <c r="C283" t="s">
        <v>145</v>
      </c>
      <c r="D283" t="s">
        <v>284</v>
      </c>
      <c r="E283" t="s">
        <v>1532</v>
      </c>
      <c r="F283" t="s">
        <v>1533</v>
      </c>
      <c r="G283">
        <v>864</v>
      </c>
      <c r="H283" t="s">
        <v>75</v>
      </c>
      <c r="I283">
        <v>46093</v>
      </c>
      <c r="J283" t="s">
        <v>1539</v>
      </c>
      <c r="K283" s="1401">
        <v>46101</v>
      </c>
      <c r="L283" s="1401">
        <v>46161</v>
      </c>
      <c r="M283" s="1401">
        <v>46171</v>
      </c>
      <c r="N283" s="1401">
        <v>46172</v>
      </c>
      <c r="O283" t="s">
        <v>973</v>
      </c>
      <c r="P283" s="1401">
        <v>46178</v>
      </c>
      <c r="Q283" s="1401">
        <v>46172</v>
      </c>
    </row>
    <row r="284" spans="1:17">
      <c r="A284" t="s">
        <v>1607</v>
      </c>
      <c r="B284" t="s">
        <v>64</v>
      </c>
      <c r="C284" t="s">
        <v>65</v>
      </c>
      <c r="D284" t="s">
        <v>70</v>
      </c>
      <c r="E284" t="s">
        <v>71</v>
      </c>
      <c r="F284" t="s">
        <v>72</v>
      </c>
      <c r="G284">
        <v>5184</v>
      </c>
      <c r="H284" t="s">
        <v>75</v>
      </c>
      <c r="I284">
        <v>46092</v>
      </c>
      <c r="J284" t="s">
        <v>1609</v>
      </c>
      <c r="K284" s="1401">
        <v>46098</v>
      </c>
      <c r="L284" s="1401">
        <v>46147</v>
      </c>
      <c r="M284" s="1401">
        <v>46144</v>
      </c>
      <c r="N284" s="1401">
        <v>46144</v>
      </c>
      <c r="O284" t="s">
        <v>973</v>
      </c>
      <c r="P284" s="1401">
        <v>46158</v>
      </c>
      <c r="Q284" s="1401">
        <v>46154</v>
      </c>
    </row>
    <row r="285" spans="1:17">
      <c r="A285" t="s">
        <v>1610</v>
      </c>
      <c r="B285" t="s">
        <v>64</v>
      </c>
      <c r="C285" t="s">
        <v>100</v>
      </c>
      <c r="D285" t="s">
        <v>70</v>
      </c>
      <c r="E285" t="s">
        <v>1151</v>
      </c>
      <c r="F285" t="s">
        <v>421</v>
      </c>
      <c r="G285">
        <v>2592</v>
      </c>
      <c r="H285" t="s">
        <v>75</v>
      </c>
      <c r="I285">
        <v>46091</v>
      </c>
      <c r="J285" t="s">
        <v>1611</v>
      </c>
      <c r="K285" s="1401">
        <v>46095</v>
      </c>
      <c r="L285" s="1401">
        <v>46142</v>
      </c>
      <c r="M285" s="1401">
        <v>46150</v>
      </c>
      <c r="N285" s="1401">
        <v>46148</v>
      </c>
      <c r="O285" t="s">
        <v>973</v>
      </c>
      <c r="P285" s="1401">
        <v>46164</v>
      </c>
      <c r="Q285" s="1401">
        <v>46155</v>
      </c>
    </row>
    <row r="286" spans="1:17">
      <c r="A286" t="s">
        <v>1592</v>
      </c>
      <c r="B286" t="s">
        <v>64</v>
      </c>
      <c r="C286" t="s">
        <v>65</v>
      </c>
      <c r="D286" t="s">
        <v>70</v>
      </c>
      <c r="E286" t="s">
        <v>71</v>
      </c>
      <c r="F286" t="s">
        <v>72</v>
      </c>
      <c r="G286">
        <v>6912</v>
      </c>
      <c r="H286" t="s">
        <v>75</v>
      </c>
      <c r="I286">
        <v>46092</v>
      </c>
      <c r="J286" t="s">
        <v>1595</v>
      </c>
      <c r="K286" s="1401">
        <v>46098</v>
      </c>
      <c r="L286" s="1401">
        <v>46147</v>
      </c>
      <c r="M286" s="1401">
        <v>46144</v>
      </c>
      <c r="N286" s="1401">
        <v>46144</v>
      </c>
      <c r="O286" t="s">
        <v>973</v>
      </c>
      <c r="P286" s="1401">
        <v>46158</v>
      </c>
      <c r="Q286" s="1401">
        <v>46154</v>
      </c>
    </row>
    <row r="287" spans="1:17">
      <c r="A287" t="s">
        <v>1558</v>
      </c>
      <c r="B287" t="s">
        <v>64</v>
      </c>
      <c r="C287" t="s">
        <v>310</v>
      </c>
      <c r="D287" t="s">
        <v>284</v>
      </c>
      <c r="E287" t="s">
        <v>1521</v>
      </c>
      <c r="F287" t="s">
        <v>1522</v>
      </c>
      <c r="G287">
        <v>2592</v>
      </c>
      <c r="H287" t="s">
        <v>75</v>
      </c>
      <c r="I287">
        <v>46093</v>
      </c>
      <c r="J287" t="s">
        <v>1560</v>
      </c>
      <c r="K287" s="1401">
        <v>46099</v>
      </c>
      <c r="L287" s="1401">
        <v>46157</v>
      </c>
      <c r="M287" s="1401">
        <v>46159</v>
      </c>
      <c r="N287" s="1401">
        <v>46158</v>
      </c>
      <c r="O287" t="s">
        <v>973</v>
      </c>
      <c r="P287" s="1401">
        <v>46171</v>
      </c>
      <c r="Q287" s="1401">
        <v>46168</v>
      </c>
    </row>
    <row r="288" spans="1:17">
      <c r="A288" t="s">
        <v>1565</v>
      </c>
      <c r="B288" t="s">
        <v>64</v>
      </c>
      <c r="C288" t="s">
        <v>100</v>
      </c>
      <c r="D288" t="s">
        <v>284</v>
      </c>
      <c r="E288" t="s">
        <v>1569</v>
      </c>
      <c r="F288" t="s">
        <v>1570</v>
      </c>
      <c r="G288">
        <v>4320</v>
      </c>
      <c r="H288" t="s">
        <v>75</v>
      </c>
      <c r="I288">
        <v>46093</v>
      </c>
      <c r="J288" t="s">
        <v>1572</v>
      </c>
      <c r="K288" s="1401">
        <v>46100</v>
      </c>
      <c r="L288" s="1401">
        <v>46144</v>
      </c>
      <c r="M288" s="1401">
        <v>46159</v>
      </c>
      <c r="N288" s="1401">
        <v>46159</v>
      </c>
      <c r="O288" t="s">
        <v>973</v>
      </c>
      <c r="P288" s="1401">
        <v>46176</v>
      </c>
      <c r="Q288" s="1401">
        <v>46166</v>
      </c>
    </row>
    <row r="289" spans="1:17">
      <c r="A289" t="s">
        <v>1621</v>
      </c>
      <c r="B289" t="s">
        <v>64</v>
      </c>
      <c r="C289" t="s">
        <v>100</v>
      </c>
      <c r="D289" t="s">
        <v>70</v>
      </c>
      <c r="E289" t="s">
        <v>1151</v>
      </c>
      <c r="F289" t="s">
        <v>421</v>
      </c>
      <c r="G289">
        <v>8640</v>
      </c>
      <c r="H289" t="s">
        <v>75</v>
      </c>
      <c r="I289">
        <v>46091</v>
      </c>
      <c r="J289" t="s">
        <v>1623</v>
      </c>
      <c r="K289" s="1401">
        <v>46095</v>
      </c>
      <c r="L289" s="1401">
        <v>46142</v>
      </c>
      <c r="M289" s="1401">
        <v>46150</v>
      </c>
      <c r="N289" s="1401">
        <v>46148</v>
      </c>
      <c r="O289" t="s">
        <v>973</v>
      </c>
      <c r="P289" s="1401">
        <v>46164</v>
      </c>
      <c r="Q289" s="1401">
        <v>46155</v>
      </c>
    </row>
    <row r="290" spans="1:17">
      <c r="A290" t="s">
        <v>1554</v>
      </c>
      <c r="B290" t="s">
        <v>64</v>
      </c>
      <c r="C290" t="s">
        <v>310</v>
      </c>
      <c r="D290" t="s">
        <v>284</v>
      </c>
      <c r="E290" t="s">
        <v>1532</v>
      </c>
      <c r="F290" t="s">
        <v>1533</v>
      </c>
      <c r="G290">
        <v>5184</v>
      </c>
      <c r="H290" t="s">
        <v>75</v>
      </c>
      <c r="I290">
        <v>46091</v>
      </c>
      <c r="J290" t="s">
        <v>1555</v>
      </c>
      <c r="K290" s="1401">
        <v>46096</v>
      </c>
      <c r="L290" s="1401">
        <v>46141</v>
      </c>
      <c r="M290" s="1401">
        <v>46155</v>
      </c>
      <c r="N290" s="1401">
        <v>46155</v>
      </c>
      <c r="O290" t="s">
        <v>973</v>
      </c>
      <c r="P290" s="1401">
        <v>46169</v>
      </c>
      <c r="Q290" s="1401">
        <v>46165</v>
      </c>
    </row>
    <row r="291" spans="1:17">
      <c r="A291" t="s">
        <v>1626</v>
      </c>
      <c r="B291" t="s">
        <v>64</v>
      </c>
      <c r="C291" t="s">
        <v>100</v>
      </c>
      <c r="D291" t="s">
        <v>713</v>
      </c>
      <c r="E291" t="s">
        <v>1628</v>
      </c>
      <c r="F291" t="s">
        <v>1629</v>
      </c>
      <c r="G291">
        <v>108</v>
      </c>
      <c r="H291" t="s">
        <v>75</v>
      </c>
      <c r="I291">
        <v>46090</v>
      </c>
      <c r="J291" t="s">
        <v>1630</v>
      </c>
      <c r="K291" s="1401">
        <v>46096</v>
      </c>
      <c r="L291" s="1401">
        <v>46139</v>
      </c>
      <c r="M291" s="1401">
        <v>46147</v>
      </c>
      <c r="N291" s="1401">
        <v>46147</v>
      </c>
      <c r="O291" t="s">
        <v>973</v>
      </c>
      <c r="P291" s="1401">
        <v>46154</v>
      </c>
      <c r="Q291" s="1401">
        <v>46154</v>
      </c>
    </row>
    <row r="292" spans="1:17">
      <c r="A292" t="s">
        <v>1637</v>
      </c>
      <c r="B292" t="s">
        <v>64</v>
      </c>
      <c r="C292" t="s">
        <v>100</v>
      </c>
      <c r="D292" t="s">
        <v>713</v>
      </c>
      <c r="E292" t="s">
        <v>1164</v>
      </c>
      <c r="F292" t="s">
        <v>1165</v>
      </c>
      <c r="G292">
        <v>4608</v>
      </c>
      <c r="H292" t="s">
        <v>75</v>
      </c>
      <c r="I292">
        <v>46090</v>
      </c>
      <c r="J292" t="s">
        <v>1638</v>
      </c>
      <c r="K292" s="1401">
        <v>46096</v>
      </c>
      <c r="L292" s="1401">
        <v>46139</v>
      </c>
      <c r="M292" s="1401">
        <v>46147</v>
      </c>
      <c r="N292" s="1401">
        <v>46147</v>
      </c>
      <c r="O292" t="s">
        <v>973</v>
      </c>
      <c r="P292" s="1401">
        <v>46154</v>
      </c>
      <c r="Q292" s="1401">
        <v>46154</v>
      </c>
    </row>
    <row r="293" spans="1:17">
      <c r="A293" t="s">
        <v>1634</v>
      </c>
      <c r="B293" t="s">
        <v>64</v>
      </c>
      <c r="C293" t="s">
        <v>100</v>
      </c>
      <c r="D293" t="s">
        <v>713</v>
      </c>
      <c r="E293" t="s">
        <v>1164</v>
      </c>
      <c r="F293" t="s">
        <v>1165</v>
      </c>
      <c r="G293">
        <v>4500</v>
      </c>
      <c r="H293" t="s">
        <v>75</v>
      </c>
      <c r="I293">
        <v>46090</v>
      </c>
      <c r="J293" t="s">
        <v>1636</v>
      </c>
      <c r="K293" s="1401">
        <v>46096</v>
      </c>
      <c r="L293" s="1401">
        <v>46139</v>
      </c>
      <c r="M293" s="1401">
        <v>46147</v>
      </c>
      <c r="N293" s="1401">
        <v>46147</v>
      </c>
      <c r="O293" t="s">
        <v>973</v>
      </c>
      <c r="P293" s="1401">
        <v>46154</v>
      </c>
      <c r="Q293" s="1401">
        <v>46154</v>
      </c>
    </row>
    <row r="294" spans="1:17">
      <c r="A294" t="s">
        <v>1530</v>
      </c>
      <c r="B294" t="s">
        <v>64</v>
      </c>
      <c r="C294" t="s">
        <v>100</v>
      </c>
      <c r="D294" t="s">
        <v>284</v>
      </c>
      <c r="E294" t="s">
        <v>1532</v>
      </c>
      <c r="F294" t="s">
        <v>1533</v>
      </c>
      <c r="G294">
        <v>864</v>
      </c>
      <c r="H294" t="s">
        <v>75</v>
      </c>
      <c r="I294">
        <v>46091</v>
      </c>
      <c r="J294" t="s">
        <v>1535</v>
      </c>
      <c r="K294" s="1401">
        <v>46100</v>
      </c>
      <c r="L294" s="1401">
        <v>46143</v>
      </c>
      <c r="M294" s="1401">
        <v>46148</v>
      </c>
      <c r="N294" s="1401">
        <v>46161</v>
      </c>
      <c r="O294" t="s">
        <v>973</v>
      </c>
      <c r="P294" s="1401">
        <v>46175</v>
      </c>
      <c r="Q294" s="1401">
        <v>46168</v>
      </c>
    </row>
    <row r="295" spans="1:17">
      <c r="A295" t="s">
        <v>1518</v>
      </c>
      <c r="B295" t="s">
        <v>64</v>
      </c>
      <c r="C295" t="s">
        <v>100</v>
      </c>
      <c r="D295" t="s">
        <v>284</v>
      </c>
      <c r="E295" t="s">
        <v>1521</v>
      </c>
      <c r="F295" t="s">
        <v>1522</v>
      </c>
      <c r="G295">
        <v>3456</v>
      </c>
      <c r="H295" t="s">
        <v>75</v>
      </c>
      <c r="I295">
        <v>46091</v>
      </c>
      <c r="J295" t="s">
        <v>1524</v>
      </c>
      <c r="K295" s="1401">
        <v>46100</v>
      </c>
      <c r="L295" s="1401">
        <v>46143</v>
      </c>
      <c r="M295" s="1401">
        <v>46148</v>
      </c>
      <c r="N295" s="1401">
        <v>46161</v>
      </c>
      <c r="O295" t="s">
        <v>973</v>
      </c>
      <c r="P295" s="1401">
        <v>46176</v>
      </c>
      <c r="Q295" s="1401">
        <v>46168</v>
      </c>
    </row>
    <row r="296" spans="1:17">
      <c r="A296" t="s">
        <v>921</v>
      </c>
      <c r="B296" t="s">
        <v>64</v>
      </c>
      <c r="C296" t="s">
        <v>100</v>
      </c>
      <c r="D296" t="s">
        <v>70</v>
      </c>
      <c r="E296" t="s">
        <v>885</v>
      </c>
      <c r="F296" t="s">
        <v>886</v>
      </c>
      <c r="G296">
        <v>720</v>
      </c>
      <c r="H296" t="s">
        <v>75</v>
      </c>
      <c r="I296">
        <v>46091</v>
      </c>
      <c r="J296" t="s">
        <v>924</v>
      </c>
      <c r="K296" s="1401">
        <v>46095</v>
      </c>
      <c r="L296" s="1401">
        <v>46142</v>
      </c>
      <c r="M296" s="1401">
        <v>46154</v>
      </c>
      <c r="N296" s="1401">
        <v>46157</v>
      </c>
      <c r="O296" t="s">
        <v>84</v>
      </c>
      <c r="P296" s="1401">
        <v>46171</v>
      </c>
      <c r="Q296" s="1401">
        <v>46164</v>
      </c>
    </row>
    <row r="297" spans="1:17">
      <c r="A297" t="s">
        <v>1639</v>
      </c>
      <c r="B297" t="s">
        <v>64</v>
      </c>
      <c r="C297" t="s">
        <v>100</v>
      </c>
      <c r="D297" t="s">
        <v>70</v>
      </c>
      <c r="E297" t="s">
        <v>1151</v>
      </c>
      <c r="F297" t="s">
        <v>421</v>
      </c>
      <c r="G297">
        <v>9504</v>
      </c>
      <c r="H297" t="s">
        <v>75</v>
      </c>
      <c r="I297">
        <v>46091</v>
      </c>
      <c r="J297" t="s">
        <v>1640</v>
      </c>
      <c r="K297" s="1401">
        <v>46095</v>
      </c>
      <c r="L297" s="1401">
        <v>46142</v>
      </c>
      <c r="M297" s="1401">
        <v>46154</v>
      </c>
      <c r="N297" s="1401">
        <v>46157</v>
      </c>
      <c r="O297" t="s">
        <v>973</v>
      </c>
      <c r="P297" s="1401">
        <v>46171</v>
      </c>
      <c r="Q297" s="1401">
        <v>46164</v>
      </c>
    </row>
    <row r="298" spans="1:17">
      <c r="A298" t="s">
        <v>1582</v>
      </c>
      <c r="B298" t="s">
        <v>64</v>
      </c>
      <c r="C298" t="s">
        <v>100</v>
      </c>
      <c r="D298" t="s">
        <v>284</v>
      </c>
      <c r="E298" t="s">
        <v>1584</v>
      </c>
      <c r="F298" t="s">
        <v>1585</v>
      </c>
      <c r="G298">
        <v>1440</v>
      </c>
      <c r="H298" t="s">
        <v>75</v>
      </c>
      <c r="I298">
        <v>46095</v>
      </c>
      <c r="J298" t="s">
        <v>1586</v>
      </c>
      <c r="K298" s="1401">
        <v>46100</v>
      </c>
      <c r="L298" s="1401">
        <v>46144</v>
      </c>
      <c r="M298" s="1401">
        <v>46159</v>
      </c>
      <c r="N298" s="1401">
        <v>46159</v>
      </c>
      <c r="O298" t="s">
        <v>973</v>
      </c>
      <c r="P298" s="1401">
        <v>46176</v>
      </c>
      <c r="Q298" s="1401">
        <v>46166</v>
      </c>
    </row>
    <row r="299" spans="1:17">
      <c r="A299" t="s">
        <v>1576</v>
      </c>
      <c r="B299" t="s">
        <v>64</v>
      </c>
      <c r="C299" t="s">
        <v>100</v>
      </c>
      <c r="D299" t="s">
        <v>284</v>
      </c>
      <c r="E299" t="s">
        <v>1569</v>
      </c>
      <c r="F299" t="s">
        <v>1570</v>
      </c>
      <c r="G299">
        <v>5760</v>
      </c>
      <c r="H299" t="s">
        <v>75</v>
      </c>
      <c r="I299">
        <v>46095</v>
      </c>
      <c r="J299" t="s">
        <v>1578</v>
      </c>
      <c r="K299" s="1401">
        <v>46100</v>
      </c>
      <c r="L299" s="1401">
        <v>46144</v>
      </c>
      <c r="M299" s="1401">
        <v>46159</v>
      </c>
      <c r="N299" s="1401">
        <v>46159</v>
      </c>
      <c r="O299" t="s">
        <v>973</v>
      </c>
      <c r="P299" s="1401">
        <v>46176</v>
      </c>
      <c r="Q299" s="1401">
        <v>46166</v>
      </c>
    </row>
    <row r="300" spans="1:17">
      <c r="A300" t="s">
        <v>1481</v>
      </c>
      <c r="B300" t="s">
        <v>64</v>
      </c>
      <c r="C300" t="s">
        <v>100</v>
      </c>
      <c r="D300" t="s">
        <v>70</v>
      </c>
      <c r="E300" t="s">
        <v>1483</v>
      </c>
      <c r="F300" t="s">
        <v>1484</v>
      </c>
      <c r="G300">
        <v>8910</v>
      </c>
      <c r="H300" t="s">
        <v>75</v>
      </c>
      <c r="I300">
        <v>46094</v>
      </c>
      <c r="J300" t="s">
        <v>1485</v>
      </c>
      <c r="K300" s="1401">
        <v>46097</v>
      </c>
      <c r="L300" s="1401">
        <v>46134</v>
      </c>
      <c r="M300" s="1401">
        <v>46154</v>
      </c>
      <c r="N300" s="1401">
        <v>46157</v>
      </c>
      <c r="O300" t="s">
        <v>973</v>
      </c>
      <c r="P300" s="1401">
        <v>46169</v>
      </c>
      <c r="Q300" s="1401">
        <v>46164</v>
      </c>
    </row>
    <row r="301" spans="1:17">
      <c r="A301" t="s">
        <v>1678</v>
      </c>
      <c r="B301" t="s">
        <v>64</v>
      </c>
      <c r="C301" t="s">
        <v>100</v>
      </c>
      <c r="D301" t="s">
        <v>70</v>
      </c>
      <c r="E301" t="s">
        <v>1681</v>
      </c>
      <c r="F301" t="s">
        <v>1682</v>
      </c>
      <c r="G301">
        <v>1782</v>
      </c>
      <c r="H301" t="s">
        <v>75</v>
      </c>
      <c r="I301">
        <v>46096</v>
      </c>
      <c r="J301" t="s">
        <v>1683</v>
      </c>
      <c r="K301" s="1401">
        <v>46103</v>
      </c>
      <c r="L301" s="1401">
        <v>46140</v>
      </c>
      <c r="M301" s="1401">
        <v>46151</v>
      </c>
      <c r="N301" s="1401">
        <v>46148</v>
      </c>
      <c r="O301" t="s">
        <v>973</v>
      </c>
      <c r="P301" s="1401">
        <v>46156</v>
      </c>
      <c r="Q301" s="1401">
        <v>46155</v>
      </c>
    </row>
    <row r="302" spans="1:17">
      <c r="A302" t="s">
        <v>1688</v>
      </c>
      <c r="B302" t="s">
        <v>64</v>
      </c>
      <c r="C302" t="s">
        <v>100</v>
      </c>
      <c r="D302" t="s">
        <v>70</v>
      </c>
      <c r="E302" t="s">
        <v>1461</v>
      </c>
      <c r="F302" t="s">
        <v>103</v>
      </c>
      <c r="G302">
        <v>2160</v>
      </c>
      <c r="H302" t="s">
        <v>75</v>
      </c>
      <c r="I302">
        <v>46096</v>
      </c>
      <c r="J302" t="s">
        <v>1689</v>
      </c>
      <c r="K302" s="1401">
        <v>46103</v>
      </c>
      <c r="L302" s="1401">
        <v>46140</v>
      </c>
      <c r="M302" s="1401">
        <v>46151</v>
      </c>
      <c r="N302" s="1401">
        <v>46148</v>
      </c>
      <c r="O302" t="s">
        <v>973</v>
      </c>
      <c r="P302" s="1401">
        <v>46156</v>
      </c>
      <c r="Q302" s="1401">
        <v>46155</v>
      </c>
    </row>
    <row r="303" spans="1:17">
      <c r="A303" t="s">
        <v>1779</v>
      </c>
      <c r="B303" t="s">
        <v>64</v>
      </c>
      <c r="C303" t="s">
        <v>100</v>
      </c>
      <c r="D303" t="s">
        <v>284</v>
      </c>
      <c r="E303" t="s">
        <v>1584</v>
      </c>
      <c r="F303" t="s">
        <v>1585</v>
      </c>
      <c r="G303">
        <v>4320</v>
      </c>
      <c r="H303" t="s">
        <v>75</v>
      </c>
      <c r="I303">
        <v>46097</v>
      </c>
      <c r="J303" t="s">
        <v>1781</v>
      </c>
      <c r="K303" s="1401">
        <v>46103</v>
      </c>
      <c r="L303" s="1401">
        <v>46150</v>
      </c>
      <c r="M303" s="1401">
        <v>46148</v>
      </c>
      <c r="N303" s="1401">
        <v>46148</v>
      </c>
      <c r="O303" t="s">
        <v>973</v>
      </c>
      <c r="P303" s="1401">
        <v>46164</v>
      </c>
      <c r="Q303" s="1401">
        <v>46155</v>
      </c>
    </row>
    <row r="304" spans="1:17">
      <c r="A304" t="s">
        <v>1772</v>
      </c>
      <c r="B304" t="s">
        <v>64</v>
      </c>
      <c r="C304" t="s">
        <v>100</v>
      </c>
      <c r="D304" t="s">
        <v>70</v>
      </c>
      <c r="E304" t="s">
        <v>1151</v>
      </c>
      <c r="F304" t="s">
        <v>421</v>
      </c>
      <c r="G304">
        <v>4320</v>
      </c>
      <c r="H304" t="s">
        <v>75</v>
      </c>
      <c r="I304">
        <v>46097</v>
      </c>
      <c r="J304" t="s">
        <v>1774</v>
      </c>
      <c r="K304" s="1401">
        <v>46103</v>
      </c>
      <c r="L304" s="1401">
        <v>46144</v>
      </c>
      <c r="M304" s="1401">
        <v>46151</v>
      </c>
      <c r="N304" s="1401">
        <v>46153</v>
      </c>
      <c r="O304" t="s">
        <v>973</v>
      </c>
      <c r="P304" s="1401">
        <v>46160</v>
      </c>
      <c r="Q304" s="1401">
        <v>46160</v>
      </c>
    </row>
    <row r="305" spans="1:17">
      <c r="A305" t="s">
        <v>1785</v>
      </c>
      <c r="B305" t="s">
        <v>64</v>
      </c>
      <c r="C305" t="s">
        <v>100</v>
      </c>
      <c r="D305" t="s">
        <v>284</v>
      </c>
      <c r="E305" t="s">
        <v>1569</v>
      </c>
      <c r="F305" t="s">
        <v>1570</v>
      </c>
      <c r="G305">
        <v>2880</v>
      </c>
      <c r="H305" t="s">
        <v>75</v>
      </c>
      <c r="I305">
        <v>46097</v>
      </c>
      <c r="J305" t="s">
        <v>1786</v>
      </c>
      <c r="K305" s="1401">
        <v>46103</v>
      </c>
      <c r="L305" s="1401">
        <v>46150</v>
      </c>
      <c r="M305" s="1401">
        <v>46148</v>
      </c>
      <c r="N305" s="1401">
        <v>46148</v>
      </c>
      <c r="O305" t="s">
        <v>973</v>
      </c>
      <c r="P305" s="1401">
        <v>46164</v>
      </c>
      <c r="Q305" s="1401">
        <v>46155</v>
      </c>
    </row>
    <row r="306" spans="1:17">
      <c r="A306" t="s">
        <v>1766</v>
      </c>
      <c r="B306" t="s">
        <v>64</v>
      </c>
      <c r="C306" t="s">
        <v>100</v>
      </c>
      <c r="D306" t="s">
        <v>70</v>
      </c>
      <c r="E306" t="s">
        <v>71</v>
      </c>
      <c r="F306" t="s">
        <v>72</v>
      </c>
      <c r="G306">
        <v>2592</v>
      </c>
      <c r="H306" t="s">
        <v>75</v>
      </c>
      <c r="I306">
        <v>46097</v>
      </c>
      <c r="J306" t="s">
        <v>1769</v>
      </c>
      <c r="K306" s="1401">
        <v>46103</v>
      </c>
      <c r="L306" s="1401">
        <v>46144</v>
      </c>
      <c r="M306" s="1401">
        <v>46151</v>
      </c>
      <c r="N306" s="1401">
        <v>46153</v>
      </c>
      <c r="O306" t="s">
        <v>973</v>
      </c>
      <c r="P306" s="1401">
        <v>46160</v>
      </c>
      <c r="Q306" s="1401">
        <v>46160</v>
      </c>
    </row>
    <row r="307" spans="1:17">
      <c r="A307" t="s">
        <v>1717</v>
      </c>
      <c r="B307" t="s">
        <v>64</v>
      </c>
      <c r="C307" t="s">
        <v>100</v>
      </c>
      <c r="D307" t="s">
        <v>132</v>
      </c>
      <c r="E307" t="s">
        <v>189</v>
      </c>
      <c r="F307" t="s">
        <v>190</v>
      </c>
      <c r="G307">
        <v>2592</v>
      </c>
      <c r="H307" t="s">
        <v>75</v>
      </c>
      <c r="I307">
        <v>46099</v>
      </c>
      <c r="J307" t="s">
        <v>1718</v>
      </c>
      <c r="K307" s="1401">
        <v>46103</v>
      </c>
      <c r="L307" s="1401">
        <v>46140</v>
      </c>
      <c r="M307" s="1401">
        <v>46154</v>
      </c>
      <c r="N307" s="1401">
        <v>46157</v>
      </c>
      <c r="O307" t="s">
        <v>973</v>
      </c>
      <c r="P307" s="1401">
        <v>46171</v>
      </c>
      <c r="Q307" s="1401">
        <v>46164</v>
      </c>
    </row>
    <row r="308" spans="1:17">
      <c r="A308" t="s">
        <v>1787</v>
      </c>
      <c r="B308" t="s">
        <v>64</v>
      </c>
      <c r="C308" t="s">
        <v>100</v>
      </c>
      <c r="D308" t="s">
        <v>284</v>
      </c>
      <c r="E308" t="s">
        <v>1584</v>
      </c>
      <c r="F308" t="s">
        <v>1585</v>
      </c>
      <c r="G308">
        <v>6480</v>
      </c>
      <c r="H308" t="s">
        <v>75</v>
      </c>
      <c r="I308">
        <v>46098</v>
      </c>
      <c r="J308" t="s">
        <v>1789</v>
      </c>
      <c r="K308" s="1401">
        <v>46103</v>
      </c>
      <c r="L308" s="1401">
        <v>46150</v>
      </c>
      <c r="M308" s="1401">
        <v>46148</v>
      </c>
      <c r="N308" s="1401">
        <v>46148</v>
      </c>
      <c r="O308" t="s">
        <v>973</v>
      </c>
      <c r="P308" s="1401">
        <v>46156</v>
      </c>
      <c r="Q308" s="1401">
        <v>46155</v>
      </c>
    </row>
    <row r="309" spans="1:17">
      <c r="A309" t="s">
        <v>1715</v>
      </c>
      <c r="B309" t="s">
        <v>64</v>
      </c>
      <c r="C309" t="s">
        <v>100</v>
      </c>
      <c r="D309" t="s">
        <v>473</v>
      </c>
      <c r="E309" t="s">
        <v>529</v>
      </c>
      <c r="F309" t="s">
        <v>1311</v>
      </c>
      <c r="G309">
        <v>1728</v>
      </c>
      <c r="H309" t="s">
        <v>75</v>
      </c>
      <c r="I309">
        <v>46099</v>
      </c>
      <c r="J309" t="s">
        <v>1716</v>
      </c>
      <c r="K309" s="1401">
        <v>46103</v>
      </c>
      <c r="L309" s="1401">
        <v>46140</v>
      </c>
      <c r="M309" s="1401">
        <v>46154</v>
      </c>
      <c r="N309" s="1401">
        <v>46157</v>
      </c>
      <c r="O309" t="s">
        <v>973</v>
      </c>
      <c r="P309" s="1401">
        <v>46171</v>
      </c>
      <c r="Q309" s="1401">
        <v>46164</v>
      </c>
    </row>
    <row r="310" spans="1:17">
      <c r="A310" t="s">
        <v>1719</v>
      </c>
      <c r="B310" t="s">
        <v>64</v>
      </c>
      <c r="C310" t="s">
        <v>100</v>
      </c>
      <c r="D310" t="s">
        <v>473</v>
      </c>
      <c r="E310" t="s">
        <v>529</v>
      </c>
      <c r="F310" t="s">
        <v>1311</v>
      </c>
      <c r="G310">
        <v>4320</v>
      </c>
      <c r="H310" t="s">
        <v>75</v>
      </c>
      <c r="I310">
        <v>46099</v>
      </c>
      <c r="J310" t="s">
        <v>1716</v>
      </c>
      <c r="K310" s="1401">
        <v>46103</v>
      </c>
      <c r="L310" s="1401">
        <v>46140</v>
      </c>
      <c r="M310" s="1401">
        <v>46169</v>
      </c>
      <c r="N310" s="1401">
        <v>46170</v>
      </c>
      <c r="O310" t="s">
        <v>973</v>
      </c>
      <c r="P310" s="1401">
        <v>46171</v>
      </c>
      <c r="Q310" s="1401">
        <v>46177</v>
      </c>
    </row>
    <row r="311" spans="1:17">
      <c r="A311" t="s">
        <v>1713</v>
      </c>
      <c r="B311" t="s">
        <v>64</v>
      </c>
      <c r="C311" t="s">
        <v>100</v>
      </c>
      <c r="D311" t="s">
        <v>473</v>
      </c>
      <c r="E311" t="s">
        <v>474</v>
      </c>
      <c r="F311" t="s">
        <v>1319</v>
      </c>
      <c r="G311">
        <v>2592</v>
      </c>
      <c r="H311" t="s">
        <v>75</v>
      </c>
      <c r="I311">
        <v>46098</v>
      </c>
      <c r="J311" t="s">
        <v>1714</v>
      </c>
      <c r="K311" s="1401">
        <v>46103</v>
      </c>
      <c r="L311" s="1401">
        <v>46140</v>
      </c>
      <c r="M311" s="1401">
        <v>46154</v>
      </c>
      <c r="N311" s="1401">
        <v>46157</v>
      </c>
      <c r="O311" t="s">
        <v>973</v>
      </c>
      <c r="P311" s="1401">
        <v>46171</v>
      </c>
      <c r="Q311" s="1401">
        <v>46164</v>
      </c>
    </row>
    <row r="312" spans="1:17">
      <c r="A312" t="s">
        <v>1793</v>
      </c>
      <c r="B312" t="s">
        <v>64</v>
      </c>
      <c r="C312" t="s">
        <v>100</v>
      </c>
      <c r="D312" t="s">
        <v>284</v>
      </c>
      <c r="E312" t="s">
        <v>1569</v>
      </c>
      <c r="F312" t="s">
        <v>1570</v>
      </c>
      <c r="G312">
        <v>2880</v>
      </c>
      <c r="H312" t="s">
        <v>75</v>
      </c>
      <c r="I312">
        <v>46099</v>
      </c>
      <c r="J312" t="s">
        <v>1795</v>
      </c>
      <c r="K312" s="1401">
        <v>46103</v>
      </c>
      <c r="L312" s="1401">
        <v>46150</v>
      </c>
      <c r="M312" s="1401">
        <v>46148</v>
      </c>
      <c r="N312" s="1401">
        <v>46148</v>
      </c>
      <c r="O312" t="s">
        <v>973</v>
      </c>
      <c r="P312" s="1401">
        <v>46164</v>
      </c>
      <c r="Q312" s="1401">
        <v>46155</v>
      </c>
    </row>
    <row r="313" spans="1:17">
      <c r="A313" t="s">
        <v>1709</v>
      </c>
      <c r="B313" t="s">
        <v>64</v>
      </c>
      <c r="C313" t="s">
        <v>100</v>
      </c>
      <c r="D313" t="s">
        <v>473</v>
      </c>
      <c r="E313" t="s">
        <v>529</v>
      </c>
      <c r="F313" t="s">
        <v>1311</v>
      </c>
      <c r="G313">
        <v>1728</v>
      </c>
      <c r="H313" t="s">
        <v>75</v>
      </c>
      <c r="I313">
        <v>46098</v>
      </c>
      <c r="J313" t="s">
        <v>1710</v>
      </c>
      <c r="K313" s="1401">
        <v>46103</v>
      </c>
      <c r="L313" s="1401">
        <v>46140</v>
      </c>
      <c r="M313" s="1401">
        <v>46154</v>
      </c>
      <c r="N313" s="1401">
        <v>46157</v>
      </c>
      <c r="O313" t="s">
        <v>973</v>
      </c>
      <c r="P313" s="1401">
        <v>46171</v>
      </c>
      <c r="Q313" s="1401">
        <v>46164</v>
      </c>
    </row>
    <row r="314" spans="1:17">
      <c r="A314" t="s">
        <v>1799</v>
      </c>
      <c r="B314" t="s">
        <v>64</v>
      </c>
      <c r="C314" t="s">
        <v>100</v>
      </c>
      <c r="D314" t="s">
        <v>284</v>
      </c>
      <c r="E314" t="s">
        <v>1584</v>
      </c>
      <c r="F314" t="s">
        <v>1585</v>
      </c>
      <c r="G314">
        <v>3600</v>
      </c>
      <c r="H314" t="s">
        <v>75</v>
      </c>
      <c r="I314">
        <v>46099</v>
      </c>
      <c r="J314" t="s">
        <v>1800</v>
      </c>
      <c r="K314" s="1401">
        <v>46103</v>
      </c>
      <c r="L314" s="1401">
        <v>46150</v>
      </c>
      <c r="M314" s="1401">
        <v>46148</v>
      </c>
      <c r="N314" s="1401">
        <v>46148</v>
      </c>
      <c r="O314" t="s">
        <v>973</v>
      </c>
      <c r="P314" s="1401">
        <v>46156</v>
      </c>
      <c r="Q314" s="1401">
        <v>46155</v>
      </c>
    </row>
    <row r="315" spans="1:17">
      <c r="A315" t="s">
        <v>1706</v>
      </c>
      <c r="B315" t="s">
        <v>64</v>
      </c>
      <c r="C315" t="s">
        <v>100</v>
      </c>
      <c r="D315" t="s">
        <v>70</v>
      </c>
      <c r="E315" t="s">
        <v>1002</v>
      </c>
      <c r="F315" t="s">
        <v>330</v>
      </c>
      <c r="G315">
        <v>5040</v>
      </c>
      <c r="H315" t="s">
        <v>75</v>
      </c>
      <c r="I315">
        <v>46098</v>
      </c>
      <c r="J315" t="s">
        <v>1708</v>
      </c>
      <c r="K315" s="1401">
        <v>46103</v>
      </c>
      <c r="L315" s="1401">
        <v>46140</v>
      </c>
      <c r="M315" s="1401">
        <v>46154</v>
      </c>
      <c r="N315" s="1401">
        <v>46157</v>
      </c>
      <c r="O315" t="s">
        <v>973</v>
      </c>
      <c r="P315" s="1401">
        <v>46169</v>
      </c>
      <c r="Q315" s="1401">
        <v>46164</v>
      </c>
    </row>
    <row r="316" spans="1:17">
      <c r="A316" t="s">
        <v>1704</v>
      </c>
      <c r="B316" t="s">
        <v>64</v>
      </c>
      <c r="C316" t="s">
        <v>100</v>
      </c>
      <c r="D316" t="s">
        <v>473</v>
      </c>
      <c r="E316" t="s">
        <v>474</v>
      </c>
      <c r="F316" t="s">
        <v>1319</v>
      </c>
      <c r="G316">
        <v>3456</v>
      </c>
      <c r="H316" t="s">
        <v>75</v>
      </c>
      <c r="I316">
        <v>46098</v>
      </c>
      <c r="J316" t="s">
        <v>1705</v>
      </c>
      <c r="K316" s="1401">
        <v>46103</v>
      </c>
      <c r="L316" s="1401">
        <v>46140</v>
      </c>
      <c r="M316" s="1401">
        <v>46154</v>
      </c>
      <c r="N316" s="1401">
        <v>46157</v>
      </c>
      <c r="O316" t="s">
        <v>973</v>
      </c>
      <c r="P316" s="1401">
        <v>46171</v>
      </c>
      <c r="Q316" s="1401">
        <v>46164</v>
      </c>
    </row>
    <row r="317" spans="1:17">
      <c r="A317" t="s">
        <v>1701</v>
      </c>
      <c r="B317" t="s">
        <v>64</v>
      </c>
      <c r="C317" t="s">
        <v>100</v>
      </c>
      <c r="D317" t="s">
        <v>132</v>
      </c>
      <c r="E317" t="s">
        <v>1062</v>
      </c>
      <c r="F317" t="s">
        <v>1063</v>
      </c>
      <c r="G317">
        <v>1728</v>
      </c>
      <c r="H317" t="s">
        <v>75</v>
      </c>
      <c r="I317">
        <v>46098</v>
      </c>
      <c r="J317" t="s">
        <v>1703</v>
      </c>
      <c r="K317" s="1401">
        <v>46103</v>
      </c>
      <c r="L317" s="1401">
        <v>46140</v>
      </c>
      <c r="M317" s="1401">
        <v>46154</v>
      </c>
      <c r="N317" s="1401">
        <v>46157</v>
      </c>
      <c r="O317" t="s">
        <v>973</v>
      </c>
      <c r="P317" s="1401">
        <v>46171</v>
      </c>
      <c r="Q317" s="1401">
        <v>46164</v>
      </c>
    </row>
    <row r="318" spans="1:17">
      <c r="A318" t="s">
        <v>1697</v>
      </c>
      <c r="B318" t="s">
        <v>64</v>
      </c>
      <c r="C318" t="s">
        <v>100</v>
      </c>
      <c r="D318" t="s">
        <v>70</v>
      </c>
      <c r="E318" t="s">
        <v>1461</v>
      </c>
      <c r="F318" t="s">
        <v>103</v>
      </c>
      <c r="G318">
        <v>1440</v>
      </c>
      <c r="H318" t="s">
        <v>75</v>
      </c>
      <c r="I318">
        <v>46098</v>
      </c>
      <c r="J318" t="s">
        <v>1698</v>
      </c>
      <c r="K318" s="1401">
        <v>46103</v>
      </c>
      <c r="L318" s="1401">
        <v>46140</v>
      </c>
      <c r="M318" s="1401">
        <v>46154</v>
      </c>
      <c r="N318" s="1401">
        <v>46157</v>
      </c>
      <c r="O318" t="s">
        <v>973</v>
      </c>
      <c r="P318" s="1401">
        <v>46171</v>
      </c>
      <c r="Q318" s="1401">
        <v>46164</v>
      </c>
    </row>
    <row r="319" spans="1:17">
      <c r="A319" t="s">
        <v>1679</v>
      </c>
      <c r="B319" t="s">
        <v>64</v>
      </c>
      <c r="C319" t="s">
        <v>100</v>
      </c>
      <c r="D319" t="s">
        <v>70</v>
      </c>
      <c r="E319" t="s">
        <v>1681</v>
      </c>
      <c r="F319" t="s">
        <v>1682</v>
      </c>
      <c r="G319">
        <v>6534</v>
      </c>
      <c r="H319" t="s">
        <v>75</v>
      </c>
      <c r="I319">
        <v>46097</v>
      </c>
      <c r="J319" t="s">
        <v>1694</v>
      </c>
      <c r="K319" s="1401">
        <v>46102</v>
      </c>
      <c r="L319" s="1401">
        <v>46140</v>
      </c>
      <c r="M319" s="1401">
        <v>46154</v>
      </c>
      <c r="N319" s="1401">
        <v>46157</v>
      </c>
      <c r="O319" t="s">
        <v>973</v>
      </c>
      <c r="P319" s="1401">
        <v>46171</v>
      </c>
      <c r="Q319" s="1401">
        <v>46164</v>
      </c>
    </row>
    <row r="320" spans="1:17">
      <c r="A320" t="s">
        <v>1801</v>
      </c>
      <c r="B320" t="s">
        <v>144</v>
      </c>
      <c r="C320" t="s">
        <v>145</v>
      </c>
      <c r="D320" t="s">
        <v>70</v>
      </c>
      <c r="E320" t="s">
        <v>1806</v>
      </c>
      <c r="F320" t="s">
        <v>1807</v>
      </c>
      <c r="G320">
        <v>3564</v>
      </c>
      <c r="H320" t="s">
        <v>75</v>
      </c>
      <c r="I320">
        <v>46097</v>
      </c>
      <c r="J320" t="s">
        <v>1810</v>
      </c>
      <c r="K320" s="1401">
        <v>46101</v>
      </c>
      <c r="L320" s="1401">
        <v>46139</v>
      </c>
      <c r="M320" s="1401">
        <v>46143</v>
      </c>
      <c r="N320" s="1401">
        <v>46143</v>
      </c>
      <c r="O320" t="s">
        <v>973</v>
      </c>
      <c r="P320" s="1401">
        <v>46153</v>
      </c>
      <c r="Q320" s="1401">
        <v>46143</v>
      </c>
    </row>
    <row r="321" spans="1:17">
      <c r="A321" t="s">
        <v>1690</v>
      </c>
      <c r="B321" t="s">
        <v>64</v>
      </c>
      <c r="C321" t="s">
        <v>100</v>
      </c>
      <c r="D321" t="s">
        <v>70</v>
      </c>
      <c r="E321" t="s">
        <v>1461</v>
      </c>
      <c r="F321" t="s">
        <v>103</v>
      </c>
      <c r="G321">
        <v>10800</v>
      </c>
      <c r="H321" t="s">
        <v>75</v>
      </c>
      <c r="I321">
        <v>46097</v>
      </c>
      <c r="J321" t="s">
        <v>1691</v>
      </c>
      <c r="K321" s="1401">
        <v>46102</v>
      </c>
      <c r="L321" s="1401">
        <v>46140</v>
      </c>
      <c r="M321" s="1401">
        <v>46154</v>
      </c>
      <c r="N321" s="1401">
        <v>46157</v>
      </c>
      <c r="O321" t="s">
        <v>973</v>
      </c>
      <c r="P321" s="1401">
        <v>46171</v>
      </c>
      <c r="Q321" s="1401">
        <v>46164</v>
      </c>
    </row>
    <row r="322" spans="1:17">
      <c r="A322" t="s">
        <v>1672</v>
      </c>
      <c r="B322" t="s">
        <v>64</v>
      </c>
      <c r="C322" t="s">
        <v>100</v>
      </c>
      <c r="D322" t="s">
        <v>473</v>
      </c>
      <c r="E322" t="s">
        <v>474</v>
      </c>
      <c r="F322" t="s">
        <v>1319</v>
      </c>
      <c r="G322">
        <v>6048</v>
      </c>
      <c r="H322" t="s">
        <v>75</v>
      </c>
      <c r="I322">
        <v>46097</v>
      </c>
      <c r="J322" t="s">
        <v>1673</v>
      </c>
      <c r="K322" s="1401">
        <v>46100</v>
      </c>
      <c r="L322" s="1401">
        <v>46147</v>
      </c>
      <c r="M322" s="1401">
        <v>46151</v>
      </c>
      <c r="N322" s="1401">
        <v>46152</v>
      </c>
      <c r="O322" t="s">
        <v>973</v>
      </c>
      <c r="P322" s="1401">
        <v>46154</v>
      </c>
      <c r="Q322" s="1401">
        <v>46159</v>
      </c>
    </row>
    <row r="323" spans="1:17">
      <c r="A323" t="s">
        <v>1664</v>
      </c>
      <c r="B323" t="s">
        <v>64</v>
      </c>
      <c r="C323" t="s">
        <v>100</v>
      </c>
      <c r="D323" t="s">
        <v>70</v>
      </c>
      <c r="E323" t="s">
        <v>1483</v>
      </c>
      <c r="F323" t="s">
        <v>1484</v>
      </c>
      <c r="G323">
        <v>594</v>
      </c>
      <c r="H323" t="s">
        <v>75</v>
      </c>
      <c r="I323">
        <v>46097</v>
      </c>
      <c r="J323" t="s">
        <v>1665</v>
      </c>
      <c r="K323" s="1401">
        <v>46100</v>
      </c>
      <c r="L323" s="1401">
        <v>46140</v>
      </c>
      <c r="M323" s="1401">
        <v>46151</v>
      </c>
      <c r="N323" s="1401">
        <v>46151</v>
      </c>
      <c r="O323" t="s">
        <v>973</v>
      </c>
      <c r="P323" s="1401">
        <v>46154</v>
      </c>
      <c r="Q323" s="1401">
        <v>46158</v>
      </c>
    </row>
    <row r="324" spans="1:17">
      <c r="A324" t="s">
        <v>1670</v>
      </c>
      <c r="B324" t="s">
        <v>64</v>
      </c>
      <c r="C324" t="s">
        <v>100</v>
      </c>
      <c r="D324" t="s">
        <v>132</v>
      </c>
      <c r="E324" t="s">
        <v>133</v>
      </c>
      <c r="F324" t="s">
        <v>134</v>
      </c>
      <c r="G324">
        <v>2970</v>
      </c>
      <c r="H324" t="s">
        <v>75</v>
      </c>
      <c r="I324">
        <v>46097</v>
      </c>
      <c r="J324" t="s">
        <v>1671</v>
      </c>
      <c r="K324" s="1401">
        <v>46100</v>
      </c>
      <c r="L324" s="1401">
        <v>46140</v>
      </c>
      <c r="M324" s="1401">
        <v>46151</v>
      </c>
      <c r="N324" s="1401">
        <v>46151</v>
      </c>
      <c r="O324" t="s">
        <v>973</v>
      </c>
      <c r="P324" s="1401">
        <v>46154</v>
      </c>
      <c r="Q324" s="1401">
        <v>46158</v>
      </c>
    </row>
    <row r="325" spans="1:17">
      <c r="A325" t="s">
        <v>1660</v>
      </c>
      <c r="B325" t="s">
        <v>64</v>
      </c>
      <c r="C325" t="s">
        <v>100</v>
      </c>
      <c r="D325" t="s">
        <v>70</v>
      </c>
      <c r="E325" t="s">
        <v>1483</v>
      </c>
      <c r="F325" t="s">
        <v>1484</v>
      </c>
      <c r="G325">
        <v>8910</v>
      </c>
      <c r="H325" t="s">
        <v>75</v>
      </c>
      <c r="I325">
        <v>46096</v>
      </c>
      <c r="J325" t="s">
        <v>1661</v>
      </c>
      <c r="K325" s="1401">
        <v>46102</v>
      </c>
      <c r="L325" s="1401">
        <v>46144</v>
      </c>
      <c r="M325" s="1401">
        <v>46154</v>
      </c>
      <c r="N325" s="1401">
        <v>46157</v>
      </c>
      <c r="O325" t="s">
        <v>973</v>
      </c>
      <c r="P325" s="1401">
        <v>46169</v>
      </c>
      <c r="Q325" s="1401">
        <v>46164</v>
      </c>
    </row>
    <row r="326" spans="1:17">
      <c r="A326" t="s">
        <v>1656</v>
      </c>
      <c r="B326" t="s">
        <v>64</v>
      </c>
      <c r="C326" t="s">
        <v>100</v>
      </c>
      <c r="D326" t="s">
        <v>70</v>
      </c>
      <c r="E326" t="s">
        <v>1002</v>
      </c>
      <c r="F326" t="s">
        <v>330</v>
      </c>
      <c r="G326">
        <v>7920</v>
      </c>
      <c r="H326" t="s">
        <v>75</v>
      </c>
      <c r="I326">
        <v>46096</v>
      </c>
      <c r="J326" t="s">
        <v>1657</v>
      </c>
      <c r="K326" s="1401">
        <v>46103</v>
      </c>
      <c r="L326" s="1401">
        <v>46140</v>
      </c>
      <c r="M326" s="1401">
        <v>46150</v>
      </c>
      <c r="N326" s="1401">
        <v>46148</v>
      </c>
      <c r="O326" t="s">
        <v>973</v>
      </c>
      <c r="P326" s="1401">
        <v>46164</v>
      </c>
      <c r="Q326" s="1401">
        <v>46155</v>
      </c>
    </row>
    <row r="327" spans="1:17">
      <c r="A327" t="s">
        <v>1813</v>
      </c>
      <c r="B327" t="s">
        <v>144</v>
      </c>
      <c r="C327" t="s">
        <v>145</v>
      </c>
      <c r="D327" t="s">
        <v>70</v>
      </c>
      <c r="E327" t="s">
        <v>1806</v>
      </c>
      <c r="F327" t="s">
        <v>1807</v>
      </c>
      <c r="G327">
        <v>4158</v>
      </c>
      <c r="H327" t="s">
        <v>75</v>
      </c>
      <c r="I327">
        <v>46096</v>
      </c>
      <c r="J327" t="s">
        <v>1815</v>
      </c>
      <c r="K327" s="1401">
        <v>46101</v>
      </c>
      <c r="L327" s="1401">
        <v>46139</v>
      </c>
      <c r="M327" s="1401">
        <v>46143</v>
      </c>
      <c r="N327" s="1401">
        <v>46143</v>
      </c>
      <c r="O327" t="s">
        <v>973</v>
      </c>
      <c r="P327" s="1401">
        <v>46153</v>
      </c>
      <c r="Q327" s="1401">
        <v>46143</v>
      </c>
    </row>
    <row r="328" spans="1:17">
      <c r="A328" t="s">
        <v>1653</v>
      </c>
      <c r="B328" t="s">
        <v>64</v>
      </c>
      <c r="C328" t="s">
        <v>100</v>
      </c>
      <c r="D328" t="s">
        <v>132</v>
      </c>
      <c r="E328" t="s">
        <v>133</v>
      </c>
      <c r="F328" t="s">
        <v>134</v>
      </c>
      <c r="G328">
        <v>1188</v>
      </c>
      <c r="H328" t="s">
        <v>75</v>
      </c>
      <c r="I328">
        <v>46095</v>
      </c>
      <c r="J328" t="s">
        <v>1655</v>
      </c>
      <c r="K328" s="1401">
        <v>46102</v>
      </c>
      <c r="L328" s="1401">
        <v>46144</v>
      </c>
      <c r="M328" s="1401">
        <v>46151</v>
      </c>
      <c r="N328" s="1401">
        <v>46153</v>
      </c>
      <c r="O328" t="s">
        <v>973</v>
      </c>
      <c r="P328" s="1401">
        <v>46160</v>
      </c>
      <c r="Q328" s="1401">
        <v>46160</v>
      </c>
    </row>
    <row r="329" spans="1:17">
      <c r="A329" t="s">
        <v>1831</v>
      </c>
      <c r="B329" t="s">
        <v>64</v>
      </c>
      <c r="C329" t="s">
        <v>450</v>
      </c>
      <c r="D329" t="s">
        <v>70</v>
      </c>
      <c r="E329" t="s">
        <v>1151</v>
      </c>
      <c r="F329" t="s">
        <v>421</v>
      </c>
      <c r="G329">
        <v>1728</v>
      </c>
      <c r="H329" t="s">
        <v>75</v>
      </c>
      <c r="I329">
        <v>46096</v>
      </c>
      <c r="J329" t="s">
        <v>1833</v>
      </c>
      <c r="K329" s="1401">
        <v>46102</v>
      </c>
      <c r="L329" s="1401">
        <v>46152</v>
      </c>
      <c r="M329" s="1401">
        <v>46154</v>
      </c>
      <c r="N329" s="1401">
        <v>46155</v>
      </c>
      <c r="O329" t="s">
        <v>973</v>
      </c>
      <c r="P329" s="1401">
        <v>46167</v>
      </c>
      <c r="Q329" s="1401">
        <v>46162</v>
      </c>
    </row>
    <row r="330" spans="1:17">
      <c r="A330" t="s">
        <v>1651</v>
      </c>
      <c r="B330" t="s">
        <v>64</v>
      </c>
      <c r="C330" t="s">
        <v>100</v>
      </c>
      <c r="D330" t="s">
        <v>132</v>
      </c>
      <c r="E330" t="s">
        <v>133</v>
      </c>
      <c r="F330" t="s">
        <v>134</v>
      </c>
      <c r="G330">
        <v>4158</v>
      </c>
      <c r="H330" t="s">
        <v>75</v>
      </c>
      <c r="I330">
        <v>46095</v>
      </c>
      <c r="J330" t="s">
        <v>1652</v>
      </c>
      <c r="K330" s="1401">
        <v>46102</v>
      </c>
      <c r="L330" s="1401">
        <v>46144</v>
      </c>
      <c r="M330" s="1401">
        <v>46151</v>
      </c>
      <c r="N330" s="1401">
        <v>46153</v>
      </c>
      <c r="O330" t="s">
        <v>973</v>
      </c>
      <c r="P330" s="1401">
        <v>46160</v>
      </c>
      <c r="Q330" s="1401">
        <v>46160</v>
      </c>
    </row>
    <row r="331" spans="1:17">
      <c r="A331" t="s">
        <v>1647</v>
      </c>
      <c r="B331" t="s">
        <v>64</v>
      </c>
      <c r="C331" t="s">
        <v>100</v>
      </c>
      <c r="D331" t="s">
        <v>132</v>
      </c>
      <c r="E331" t="s">
        <v>1062</v>
      </c>
      <c r="F331" t="s">
        <v>1063</v>
      </c>
      <c r="G331">
        <v>5184</v>
      </c>
      <c r="H331" t="s">
        <v>75</v>
      </c>
      <c r="I331">
        <v>46095</v>
      </c>
      <c r="J331" t="s">
        <v>1648</v>
      </c>
      <c r="K331" s="1401">
        <v>46102</v>
      </c>
      <c r="L331" s="1401">
        <v>46144</v>
      </c>
      <c r="M331" s="1401">
        <v>46151</v>
      </c>
      <c r="N331" s="1401">
        <v>46153</v>
      </c>
      <c r="O331" t="s">
        <v>973</v>
      </c>
      <c r="P331" s="1401">
        <v>46160</v>
      </c>
      <c r="Q331" s="1401">
        <v>46160</v>
      </c>
    </row>
    <row r="332" spans="1:17">
      <c r="A332" t="s">
        <v>1837</v>
      </c>
      <c r="B332" t="s">
        <v>64</v>
      </c>
      <c r="C332" t="s">
        <v>65</v>
      </c>
      <c r="D332" t="s">
        <v>70</v>
      </c>
      <c r="E332" t="s">
        <v>204</v>
      </c>
      <c r="F332" t="s">
        <v>205</v>
      </c>
      <c r="G332">
        <v>936</v>
      </c>
      <c r="H332" t="s">
        <v>75</v>
      </c>
      <c r="I332">
        <v>46098</v>
      </c>
      <c r="J332" t="s">
        <v>1840</v>
      </c>
      <c r="K332" s="1401">
        <v>46103</v>
      </c>
      <c r="L332" s="1401">
        <v>46154</v>
      </c>
      <c r="M332" s="1401">
        <v>46161</v>
      </c>
      <c r="N332" s="1401">
        <v>46162</v>
      </c>
      <c r="O332" t="s">
        <v>973</v>
      </c>
      <c r="P332" s="1401">
        <v>46176</v>
      </c>
      <c r="Q332" s="1401">
        <v>46172</v>
      </c>
    </row>
    <row r="333" spans="1:17">
      <c r="A333" t="s">
        <v>1641</v>
      </c>
      <c r="B333" t="s">
        <v>64</v>
      </c>
      <c r="C333" t="s">
        <v>450</v>
      </c>
      <c r="D333" t="s">
        <v>132</v>
      </c>
      <c r="E333" t="s">
        <v>1062</v>
      </c>
      <c r="F333" t="s">
        <v>1063</v>
      </c>
      <c r="G333">
        <v>3456</v>
      </c>
      <c r="H333" t="s">
        <v>75</v>
      </c>
      <c r="I333">
        <v>46097</v>
      </c>
      <c r="J333" t="s">
        <v>1642</v>
      </c>
      <c r="K333" s="1401">
        <v>46103</v>
      </c>
      <c r="L333" s="1401">
        <v>46141</v>
      </c>
      <c r="M333" s="1401">
        <v>46160</v>
      </c>
      <c r="N333" s="1401">
        <v>46157</v>
      </c>
      <c r="O333" t="s">
        <v>973</v>
      </c>
      <c r="P333" s="1401">
        <v>46171</v>
      </c>
      <c r="Q333" s="1401">
        <v>46164</v>
      </c>
    </row>
    <row r="334" spans="1:17">
      <c r="A334" t="s">
        <v>935</v>
      </c>
      <c r="B334" t="s">
        <v>64</v>
      </c>
      <c r="C334" t="s">
        <v>100</v>
      </c>
      <c r="D334" t="s">
        <v>70</v>
      </c>
      <c r="E334" t="s">
        <v>885</v>
      </c>
      <c r="F334" t="s">
        <v>886</v>
      </c>
      <c r="G334">
        <v>720</v>
      </c>
      <c r="H334" t="s">
        <v>75</v>
      </c>
      <c r="I334">
        <v>46098</v>
      </c>
      <c r="J334" t="s">
        <v>936</v>
      </c>
      <c r="K334" s="1401">
        <v>46103</v>
      </c>
      <c r="L334" s="1401">
        <v>46147</v>
      </c>
      <c r="M334" s="1401">
        <v>46154</v>
      </c>
      <c r="N334" s="1401">
        <v>46157</v>
      </c>
      <c r="O334" t="s">
        <v>84</v>
      </c>
      <c r="P334" s="1401">
        <v>46171</v>
      </c>
      <c r="Q334" s="1401">
        <v>46164</v>
      </c>
    </row>
    <row r="335" spans="1:17">
      <c r="A335" t="s">
        <v>1849</v>
      </c>
      <c r="B335" t="s">
        <v>64</v>
      </c>
      <c r="C335" t="s">
        <v>65</v>
      </c>
      <c r="D335" t="s">
        <v>70</v>
      </c>
      <c r="E335" t="s">
        <v>204</v>
      </c>
      <c r="F335" t="s">
        <v>205</v>
      </c>
      <c r="G335">
        <v>1872</v>
      </c>
      <c r="H335" t="s">
        <v>75</v>
      </c>
      <c r="I335">
        <v>46098</v>
      </c>
      <c r="J335" t="s">
        <v>1850</v>
      </c>
      <c r="K335" s="1401">
        <v>46103</v>
      </c>
      <c r="L335" s="1401">
        <v>46161</v>
      </c>
      <c r="M335" s="1401">
        <v>46166</v>
      </c>
      <c r="N335" s="1401">
        <v>46164</v>
      </c>
      <c r="O335" t="s">
        <v>973</v>
      </c>
      <c r="P335" s="1401">
        <v>46178</v>
      </c>
      <c r="Q335" s="1401">
        <v>46172</v>
      </c>
    </row>
    <row r="336" spans="1:17">
      <c r="A336" t="s">
        <v>1843</v>
      </c>
      <c r="B336" t="s">
        <v>64</v>
      </c>
      <c r="C336" t="s">
        <v>65</v>
      </c>
      <c r="D336" t="s">
        <v>70</v>
      </c>
      <c r="E336" t="s">
        <v>204</v>
      </c>
      <c r="F336" t="s">
        <v>205</v>
      </c>
      <c r="G336">
        <v>1872</v>
      </c>
      <c r="H336" t="s">
        <v>75</v>
      </c>
      <c r="I336">
        <v>46098</v>
      </c>
      <c r="J336" t="s">
        <v>1844</v>
      </c>
      <c r="K336" s="1401">
        <v>46103</v>
      </c>
      <c r="L336" s="1401">
        <v>46161</v>
      </c>
      <c r="M336" s="1401">
        <v>46182</v>
      </c>
      <c r="N336" s="1401">
        <v>46183</v>
      </c>
      <c r="O336" t="s">
        <v>973</v>
      </c>
      <c r="P336" s="1401">
        <v>46195</v>
      </c>
      <c r="Q336" s="1401">
        <v>46191</v>
      </c>
    </row>
    <row r="337" spans="1:17">
      <c r="A337" t="s">
        <v>1737</v>
      </c>
      <c r="B337" t="s">
        <v>64</v>
      </c>
      <c r="C337" t="s">
        <v>65</v>
      </c>
      <c r="D337" t="s">
        <v>70</v>
      </c>
      <c r="E337" t="s">
        <v>378</v>
      </c>
      <c r="F337" t="s">
        <v>379</v>
      </c>
      <c r="G337">
        <v>612</v>
      </c>
      <c r="H337" t="s">
        <v>75</v>
      </c>
      <c r="I337">
        <v>46100</v>
      </c>
      <c r="J337" t="s">
        <v>1738</v>
      </c>
      <c r="K337" s="1401">
        <v>46105</v>
      </c>
      <c r="L337" s="1401">
        <v>46154</v>
      </c>
      <c r="M337" s="1401">
        <v>46151</v>
      </c>
      <c r="N337" s="1401">
        <v>46151</v>
      </c>
      <c r="O337" t="s">
        <v>973</v>
      </c>
      <c r="P337" s="1401">
        <v>46161</v>
      </c>
      <c r="Q337" s="1401">
        <v>46159</v>
      </c>
    </row>
    <row r="338" spans="1:17">
      <c r="A338" t="s">
        <v>1733</v>
      </c>
      <c r="B338" t="s">
        <v>64</v>
      </c>
      <c r="C338" t="s">
        <v>65</v>
      </c>
      <c r="D338" t="s">
        <v>70</v>
      </c>
      <c r="E338" t="s">
        <v>378</v>
      </c>
      <c r="F338" t="s">
        <v>379</v>
      </c>
      <c r="G338">
        <v>1440</v>
      </c>
      <c r="H338" t="s">
        <v>75</v>
      </c>
      <c r="I338">
        <v>46101</v>
      </c>
      <c r="J338" t="s">
        <v>1736</v>
      </c>
      <c r="K338" s="1401">
        <v>46105</v>
      </c>
      <c r="L338" s="1401">
        <v>46154</v>
      </c>
      <c r="M338" s="1401">
        <v>46151</v>
      </c>
      <c r="N338" s="1401">
        <v>46151</v>
      </c>
      <c r="O338" t="s">
        <v>973</v>
      </c>
      <c r="P338" s="1401">
        <v>46161</v>
      </c>
      <c r="Q338" s="1401">
        <v>46159</v>
      </c>
    </row>
    <row r="339" spans="1:17">
      <c r="A339" t="s">
        <v>1749</v>
      </c>
      <c r="B339" t="s">
        <v>144</v>
      </c>
      <c r="C339" t="s">
        <v>145</v>
      </c>
      <c r="D339" t="s">
        <v>132</v>
      </c>
      <c r="E339" t="s">
        <v>133</v>
      </c>
      <c r="F339" t="s">
        <v>134</v>
      </c>
      <c r="G339">
        <v>2970</v>
      </c>
      <c r="H339" t="s">
        <v>75</v>
      </c>
      <c r="I339">
        <v>46100</v>
      </c>
      <c r="J339" t="s">
        <v>1751</v>
      </c>
      <c r="K339" s="1401">
        <v>46106</v>
      </c>
      <c r="L339" s="1401">
        <v>46149</v>
      </c>
      <c r="M339" s="1401">
        <v>46149</v>
      </c>
      <c r="N339" s="1401">
        <v>46149</v>
      </c>
      <c r="O339" t="s">
        <v>973</v>
      </c>
      <c r="P339" s="1401">
        <v>46163</v>
      </c>
      <c r="Q339" s="1401">
        <v>46149</v>
      </c>
    </row>
    <row r="340" spans="1:17">
      <c r="A340" t="s">
        <v>401</v>
      </c>
      <c r="B340" t="s">
        <v>64</v>
      </c>
      <c r="C340" t="s">
        <v>65</v>
      </c>
      <c r="D340" t="s">
        <v>132</v>
      </c>
      <c r="E340" t="s">
        <v>405</v>
      </c>
      <c r="F340" t="s">
        <v>406</v>
      </c>
      <c r="G340">
        <v>252</v>
      </c>
      <c r="H340" t="s">
        <v>75</v>
      </c>
      <c r="I340">
        <v>46100</v>
      </c>
      <c r="J340" t="s">
        <v>934</v>
      </c>
      <c r="K340" s="1401">
        <v>46105</v>
      </c>
      <c r="L340" s="1401">
        <v>46154</v>
      </c>
      <c r="M340" s="1401">
        <v>46151</v>
      </c>
      <c r="N340" s="1401">
        <v>46151</v>
      </c>
      <c r="O340" t="s">
        <v>84</v>
      </c>
      <c r="P340" s="1401">
        <v>46173</v>
      </c>
      <c r="Q340" s="1401">
        <v>46159</v>
      </c>
    </row>
    <row r="341" spans="1:17">
      <c r="A341" t="s">
        <v>584</v>
      </c>
      <c r="B341" t="s">
        <v>64</v>
      </c>
      <c r="C341" t="s">
        <v>65</v>
      </c>
      <c r="D341" t="s">
        <v>70</v>
      </c>
      <c r="E341" t="s">
        <v>585</v>
      </c>
      <c r="F341" t="s">
        <v>103</v>
      </c>
      <c r="G341">
        <v>108</v>
      </c>
      <c r="H341" t="s">
        <v>75</v>
      </c>
      <c r="I341">
        <v>46100</v>
      </c>
      <c r="J341" t="s">
        <v>929</v>
      </c>
      <c r="K341" s="1401">
        <v>46105</v>
      </c>
      <c r="L341" s="1401">
        <v>46154</v>
      </c>
      <c r="M341" s="1401">
        <v>46151</v>
      </c>
      <c r="N341" s="1401">
        <v>46151</v>
      </c>
      <c r="O341" t="s">
        <v>84</v>
      </c>
      <c r="P341" s="1401">
        <v>46173</v>
      </c>
      <c r="Q341" s="1401">
        <v>46159</v>
      </c>
    </row>
    <row r="342" spans="1:17">
      <c r="A342" t="s">
        <v>1445</v>
      </c>
      <c r="B342" t="s">
        <v>64</v>
      </c>
      <c r="C342" t="s">
        <v>65</v>
      </c>
      <c r="D342" t="s">
        <v>713</v>
      </c>
      <c r="E342" t="s">
        <v>1429</v>
      </c>
      <c r="F342" t="s">
        <v>1430</v>
      </c>
      <c r="G342">
        <v>72</v>
      </c>
      <c r="H342" t="s">
        <v>75</v>
      </c>
      <c r="I342">
        <v>46100</v>
      </c>
      <c r="J342" t="s">
        <v>1748</v>
      </c>
      <c r="K342" s="1401">
        <v>46105</v>
      </c>
      <c r="L342" s="1401">
        <v>46154</v>
      </c>
      <c r="M342" s="1401">
        <v>46151</v>
      </c>
      <c r="N342" s="1401">
        <v>46151</v>
      </c>
      <c r="O342" t="s">
        <v>973</v>
      </c>
      <c r="P342" s="1401">
        <v>46161</v>
      </c>
      <c r="Q342" s="1401">
        <v>46159</v>
      </c>
    </row>
    <row r="343" spans="1:17">
      <c r="A343" t="s">
        <v>1744</v>
      </c>
      <c r="B343" t="s">
        <v>64</v>
      </c>
      <c r="C343" t="s">
        <v>65</v>
      </c>
      <c r="D343" t="s">
        <v>70</v>
      </c>
      <c r="E343" t="s">
        <v>378</v>
      </c>
      <c r="F343" t="s">
        <v>379</v>
      </c>
      <c r="G343">
        <v>288</v>
      </c>
      <c r="H343" t="s">
        <v>75</v>
      </c>
      <c r="I343">
        <v>46100</v>
      </c>
      <c r="J343" t="s">
        <v>1746</v>
      </c>
      <c r="K343" s="1401">
        <v>46105</v>
      </c>
      <c r="L343" s="1401">
        <v>46154</v>
      </c>
      <c r="M343" s="1401">
        <v>46151</v>
      </c>
      <c r="N343" s="1401">
        <v>46151</v>
      </c>
      <c r="O343" t="s">
        <v>973</v>
      </c>
      <c r="P343" s="1401">
        <v>46161</v>
      </c>
      <c r="Q343" s="1401">
        <v>46159</v>
      </c>
    </row>
    <row r="344" spans="1:17">
      <c r="A344" t="s">
        <v>1740</v>
      </c>
      <c r="B344" t="s">
        <v>64</v>
      </c>
      <c r="C344" t="s">
        <v>65</v>
      </c>
      <c r="D344" t="s">
        <v>70</v>
      </c>
      <c r="E344" t="s">
        <v>218</v>
      </c>
      <c r="F344" t="s">
        <v>219</v>
      </c>
      <c r="G344">
        <v>1008</v>
      </c>
      <c r="H344" t="s">
        <v>75</v>
      </c>
      <c r="I344">
        <v>46100</v>
      </c>
      <c r="J344" t="s">
        <v>1741</v>
      </c>
      <c r="K344" s="1401">
        <v>46105</v>
      </c>
      <c r="L344" s="1401">
        <v>46154</v>
      </c>
      <c r="M344" s="1401">
        <v>46151</v>
      </c>
      <c r="N344" s="1401">
        <v>46151</v>
      </c>
      <c r="O344" t="s">
        <v>973</v>
      </c>
      <c r="P344" s="1401">
        <v>46161</v>
      </c>
      <c r="Q344" s="1401">
        <v>46159</v>
      </c>
    </row>
    <row r="345" spans="1:17">
      <c r="A345" t="s">
        <v>1742</v>
      </c>
      <c r="B345" t="s">
        <v>64</v>
      </c>
      <c r="C345" t="s">
        <v>65</v>
      </c>
      <c r="D345" t="s">
        <v>70</v>
      </c>
      <c r="E345" t="s">
        <v>1334</v>
      </c>
      <c r="F345" t="s">
        <v>1335</v>
      </c>
      <c r="G345">
        <v>540</v>
      </c>
      <c r="H345" t="s">
        <v>75</v>
      </c>
      <c r="I345">
        <v>46100</v>
      </c>
      <c r="J345" t="s">
        <v>1743</v>
      </c>
      <c r="K345" s="1401">
        <v>46105</v>
      </c>
      <c r="L345" s="1401">
        <v>46154</v>
      </c>
      <c r="M345" s="1401">
        <v>46151</v>
      </c>
      <c r="N345" s="1401">
        <v>46151</v>
      </c>
      <c r="O345" t="s">
        <v>973</v>
      </c>
      <c r="P345" s="1401">
        <v>46161</v>
      </c>
      <c r="Q345" s="1401">
        <v>46159</v>
      </c>
    </row>
    <row r="346" spans="1:17">
      <c r="A346" t="s">
        <v>1822</v>
      </c>
      <c r="B346" t="s">
        <v>144</v>
      </c>
      <c r="C346" t="s">
        <v>145</v>
      </c>
      <c r="D346" t="s">
        <v>70</v>
      </c>
      <c r="E346" t="s">
        <v>1806</v>
      </c>
      <c r="F346" t="s">
        <v>1807</v>
      </c>
      <c r="G346">
        <v>5346</v>
      </c>
      <c r="H346" t="s">
        <v>75</v>
      </c>
      <c r="I346">
        <v>46100</v>
      </c>
      <c r="J346" t="s">
        <v>1824</v>
      </c>
      <c r="K346" s="1401">
        <v>46105</v>
      </c>
      <c r="L346" s="1401">
        <v>46147</v>
      </c>
      <c r="M346" s="1401">
        <v>46166</v>
      </c>
      <c r="N346" s="1401">
        <v>46167</v>
      </c>
      <c r="O346" t="s">
        <v>973</v>
      </c>
      <c r="P346" s="1401">
        <v>46161</v>
      </c>
      <c r="Q346" s="1401">
        <v>46167</v>
      </c>
    </row>
    <row r="347" spans="1:17">
      <c r="A347" t="s">
        <v>1816</v>
      </c>
      <c r="B347" t="s">
        <v>144</v>
      </c>
      <c r="C347" t="s">
        <v>145</v>
      </c>
      <c r="D347" t="s">
        <v>70</v>
      </c>
      <c r="E347" t="s">
        <v>1806</v>
      </c>
      <c r="F347" t="s">
        <v>1807</v>
      </c>
      <c r="G347">
        <v>5940</v>
      </c>
      <c r="H347" t="s">
        <v>75</v>
      </c>
      <c r="I347">
        <v>46101</v>
      </c>
      <c r="J347" t="s">
        <v>1818</v>
      </c>
      <c r="K347" s="1401">
        <v>46105</v>
      </c>
      <c r="L347" s="1401">
        <v>46147</v>
      </c>
      <c r="M347" s="1401">
        <v>46166</v>
      </c>
      <c r="N347" s="1401">
        <v>46167</v>
      </c>
      <c r="O347" t="s">
        <v>973</v>
      </c>
      <c r="P347" s="1401">
        <v>46161</v>
      </c>
      <c r="Q347" s="1401">
        <v>46167</v>
      </c>
    </row>
    <row r="348" spans="1:17">
      <c r="A348" t="s">
        <v>1825</v>
      </c>
      <c r="B348" t="s">
        <v>144</v>
      </c>
      <c r="C348" t="s">
        <v>145</v>
      </c>
      <c r="D348" t="s">
        <v>70</v>
      </c>
      <c r="E348" t="s">
        <v>1806</v>
      </c>
      <c r="F348" t="s">
        <v>1807</v>
      </c>
      <c r="G348">
        <v>4752</v>
      </c>
      <c r="H348" t="s">
        <v>75</v>
      </c>
      <c r="I348">
        <v>46099</v>
      </c>
      <c r="J348" t="s">
        <v>1827</v>
      </c>
      <c r="K348" s="1401">
        <v>46105</v>
      </c>
      <c r="L348" s="1401">
        <v>46150</v>
      </c>
      <c r="M348" s="1401">
        <v>46148</v>
      </c>
      <c r="N348" s="1401">
        <v>46148</v>
      </c>
      <c r="O348" t="s">
        <v>973</v>
      </c>
      <c r="P348" s="1401">
        <v>46164</v>
      </c>
      <c r="Q348" s="1401">
        <v>46148</v>
      </c>
    </row>
    <row r="349" spans="1:17">
      <c r="A349" t="s">
        <v>1862</v>
      </c>
      <c r="B349" t="s">
        <v>64</v>
      </c>
      <c r="C349" t="s">
        <v>100</v>
      </c>
      <c r="D349" t="s">
        <v>132</v>
      </c>
      <c r="E349" t="s">
        <v>189</v>
      </c>
      <c r="F349" t="s">
        <v>190</v>
      </c>
      <c r="G349">
        <v>864</v>
      </c>
      <c r="H349" t="s">
        <v>75</v>
      </c>
      <c r="I349">
        <v>46103</v>
      </c>
      <c r="J349" t="s">
        <v>1863</v>
      </c>
      <c r="K349" s="1401">
        <v>46110</v>
      </c>
      <c r="L349" s="1401">
        <v>46147</v>
      </c>
      <c r="M349" s="1401">
        <v>46154</v>
      </c>
      <c r="N349" s="1401">
        <v>46157</v>
      </c>
      <c r="O349" t="s">
        <v>973</v>
      </c>
      <c r="P349" s="1401">
        <v>46167</v>
      </c>
      <c r="Q349" s="1401">
        <v>46164</v>
      </c>
    </row>
    <row r="350" spans="1:17">
      <c r="A350" t="s">
        <v>1875</v>
      </c>
      <c r="B350" t="s">
        <v>64</v>
      </c>
      <c r="C350" t="s">
        <v>100</v>
      </c>
      <c r="D350" t="s">
        <v>473</v>
      </c>
      <c r="E350" t="s">
        <v>529</v>
      </c>
      <c r="F350" t="s">
        <v>1311</v>
      </c>
      <c r="G350">
        <v>4320</v>
      </c>
      <c r="H350" t="s">
        <v>75</v>
      </c>
      <c r="I350">
        <v>46102</v>
      </c>
      <c r="J350" t="s">
        <v>1877</v>
      </c>
      <c r="K350" s="1401">
        <v>46111</v>
      </c>
      <c r="L350" s="1401">
        <v>46148</v>
      </c>
      <c r="M350" s="1401">
        <v>46157</v>
      </c>
      <c r="N350" s="1401">
        <v>46156</v>
      </c>
      <c r="O350" t="s">
        <v>973</v>
      </c>
      <c r="P350" s="1401">
        <v>46170</v>
      </c>
      <c r="Q350" s="1401">
        <v>46163</v>
      </c>
    </row>
    <row r="351" spans="1:17">
      <c r="A351" t="s">
        <v>1939</v>
      </c>
      <c r="B351" t="s">
        <v>64</v>
      </c>
      <c r="C351" t="s">
        <v>65</v>
      </c>
      <c r="D351" t="s">
        <v>70</v>
      </c>
      <c r="E351" t="s">
        <v>91</v>
      </c>
      <c r="F351" t="s">
        <v>92</v>
      </c>
      <c r="G351">
        <v>936</v>
      </c>
      <c r="H351" t="s">
        <v>75</v>
      </c>
      <c r="I351">
        <v>46106</v>
      </c>
      <c r="J351" t="s">
        <v>1941</v>
      </c>
      <c r="K351" s="1401">
        <v>46110</v>
      </c>
      <c r="L351" s="1401">
        <v>46168</v>
      </c>
      <c r="M351" s="1401">
        <v>46190</v>
      </c>
      <c r="N351" s="1401">
        <v>46191</v>
      </c>
      <c r="O351" t="s">
        <v>973</v>
      </c>
      <c r="P351" s="1401">
        <v>46205</v>
      </c>
      <c r="Q351" s="1401">
        <v>46199</v>
      </c>
    </row>
    <row r="352" spans="1:17">
      <c r="A352" t="s">
        <v>1933</v>
      </c>
      <c r="B352" t="s">
        <v>64</v>
      </c>
      <c r="C352" t="s">
        <v>65</v>
      </c>
      <c r="D352" t="s">
        <v>70</v>
      </c>
      <c r="E352" t="s">
        <v>204</v>
      </c>
      <c r="F352" t="s">
        <v>205</v>
      </c>
      <c r="G352">
        <v>936</v>
      </c>
      <c r="H352" t="s">
        <v>75</v>
      </c>
      <c r="I352">
        <v>46106</v>
      </c>
      <c r="J352" t="s">
        <v>1934</v>
      </c>
      <c r="K352" s="1401">
        <v>46110</v>
      </c>
      <c r="L352" s="1401">
        <v>46168</v>
      </c>
      <c r="M352" s="1401">
        <v>46190</v>
      </c>
      <c r="N352" s="1401">
        <v>46191</v>
      </c>
      <c r="O352" t="s">
        <v>973</v>
      </c>
      <c r="P352" s="1401">
        <v>46205</v>
      </c>
      <c r="Q352" s="1401">
        <v>46199</v>
      </c>
    </row>
    <row r="353" spans="1:17">
      <c r="A353" t="s">
        <v>1931</v>
      </c>
      <c r="B353" t="s">
        <v>144</v>
      </c>
      <c r="C353" t="s">
        <v>145</v>
      </c>
      <c r="D353" t="s">
        <v>70</v>
      </c>
      <c r="E353" t="s">
        <v>71</v>
      </c>
      <c r="F353" t="s">
        <v>72</v>
      </c>
      <c r="G353">
        <v>1728</v>
      </c>
      <c r="H353" t="s">
        <v>75</v>
      </c>
      <c r="I353">
        <v>46105</v>
      </c>
      <c r="J353" t="s">
        <v>1932</v>
      </c>
      <c r="K353" s="1401">
        <v>46108</v>
      </c>
      <c r="L353" s="1401">
        <v>46172</v>
      </c>
      <c r="M353" s="1401">
        <v>46172</v>
      </c>
      <c r="N353" s="1401">
        <v>46174</v>
      </c>
      <c r="O353" t="s">
        <v>973</v>
      </c>
      <c r="P353" s="1401">
        <v>46185</v>
      </c>
      <c r="Q353" s="1401">
        <v>46174</v>
      </c>
    </row>
    <row r="354" spans="1:17">
      <c r="A354" t="s">
        <v>1923</v>
      </c>
      <c r="B354" t="s">
        <v>144</v>
      </c>
      <c r="C354" t="s">
        <v>145</v>
      </c>
      <c r="D354" t="s">
        <v>70</v>
      </c>
      <c r="E354" t="s">
        <v>71</v>
      </c>
      <c r="F354" t="s">
        <v>72</v>
      </c>
      <c r="G354">
        <v>2592</v>
      </c>
      <c r="H354" t="s">
        <v>75</v>
      </c>
      <c r="I354">
        <v>46105</v>
      </c>
      <c r="J354" t="s">
        <v>1927</v>
      </c>
      <c r="K354" s="1401">
        <v>46108</v>
      </c>
      <c r="L354" s="1401">
        <v>46172</v>
      </c>
      <c r="M354" s="1401">
        <v>46172</v>
      </c>
      <c r="N354" s="1401">
        <v>46174</v>
      </c>
      <c r="O354" t="s">
        <v>973</v>
      </c>
      <c r="P354" s="1401">
        <v>46185</v>
      </c>
      <c r="Q354" s="1401">
        <v>46174</v>
      </c>
    </row>
    <row r="355" spans="1:17">
      <c r="A355" t="s">
        <v>1858</v>
      </c>
      <c r="B355" t="s">
        <v>144</v>
      </c>
      <c r="C355" t="s">
        <v>145</v>
      </c>
      <c r="D355" t="s">
        <v>70</v>
      </c>
      <c r="E355" t="s">
        <v>1806</v>
      </c>
      <c r="F355" t="s">
        <v>1807</v>
      </c>
      <c r="G355">
        <v>1188</v>
      </c>
      <c r="H355" t="s">
        <v>75</v>
      </c>
      <c r="I355">
        <v>46107</v>
      </c>
      <c r="J355" t="s">
        <v>1859</v>
      </c>
      <c r="K355" s="1401">
        <v>46110</v>
      </c>
      <c r="L355" s="1401">
        <v>46147</v>
      </c>
      <c r="M355" s="1401">
        <v>46154</v>
      </c>
      <c r="N355" s="1401">
        <v>46157</v>
      </c>
      <c r="O355" t="s">
        <v>973</v>
      </c>
      <c r="P355" s="1401">
        <v>46161</v>
      </c>
      <c r="Q355" s="1401">
        <v>46157</v>
      </c>
    </row>
    <row r="356" spans="1:17">
      <c r="A356" t="s">
        <v>1756</v>
      </c>
      <c r="B356" t="s">
        <v>144</v>
      </c>
      <c r="C356" t="s">
        <v>145</v>
      </c>
      <c r="D356" t="s">
        <v>70</v>
      </c>
      <c r="E356" t="s">
        <v>71</v>
      </c>
      <c r="F356" t="s">
        <v>72</v>
      </c>
      <c r="G356">
        <v>2592</v>
      </c>
      <c r="H356" t="s">
        <v>75</v>
      </c>
      <c r="I356">
        <v>46109</v>
      </c>
      <c r="J356" t="s">
        <v>1761</v>
      </c>
      <c r="K356" s="1401">
        <v>46112</v>
      </c>
      <c r="L356" s="1401">
        <v>46162</v>
      </c>
      <c r="M356" s="1401">
        <v>46162</v>
      </c>
      <c r="N356" s="1401">
        <v>46162</v>
      </c>
      <c r="O356" t="s">
        <v>973</v>
      </c>
      <c r="P356" s="1401">
        <v>46176</v>
      </c>
      <c r="Q356" s="1401">
        <v>46162</v>
      </c>
    </row>
    <row r="357" spans="1:17">
      <c r="A357" t="s">
        <v>1853</v>
      </c>
      <c r="B357" t="s">
        <v>144</v>
      </c>
      <c r="C357" t="s">
        <v>145</v>
      </c>
      <c r="D357" t="s">
        <v>70</v>
      </c>
      <c r="E357" t="s">
        <v>1806</v>
      </c>
      <c r="F357" t="s">
        <v>1807</v>
      </c>
      <c r="G357">
        <v>1782</v>
      </c>
      <c r="H357" t="s">
        <v>75</v>
      </c>
      <c r="I357">
        <v>46106</v>
      </c>
      <c r="J357" t="s">
        <v>1855</v>
      </c>
      <c r="K357" s="1401">
        <v>46110</v>
      </c>
      <c r="L357" s="1401">
        <v>46150</v>
      </c>
      <c r="M357" s="1401">
        <v>46169</v>
      </c>
      <c r="N357" s="1401">
        <v>46170</v>
      </c>
      <c r="O357" t="s">
        <v>973</v>
      </c>
      <c r="P357" s="1401">
        <v>46164</v>
      </c>
      <c r="Q357" s="1401">
        <v>46170</v>
      </c>
    </row>
    <row r="358" spans="1:17">
      <c r="A358" t="s">
        <v>1901</v>
      </c>
      <c r="B358" t="s">
        <v>144</v>
      </c>
      <c r="C358" t="s">
        <v>145</v>
      </c>
      <c r="D358" t="s">
        <v>132</v>
      </c>
      <c r="E358" t="s">
        <v>1905</v>
      </c>
      <c r="F358" t="s">
        <v>1906</v>
      </c>
      <c r="G358">
        <v>2640</v>
      </c>
      <c r="H358" t="s">
        <v>75</v>
      </c>
      <c r="I358">
        <v>46106</v>
      </c>
      <c r="J358" t="s">
        <v>1908</v>
      </c>
      <c r="K358" s="1401">
        <v>46111</v>
      </c>
      <c r="L358" s="1401">
        <v>46163</v>
      </c>
      <c r="M358" s="1401">
        <v>46170</v>
      </c>
      <c r="N358" s="1401">
        <v>46171</v>
      </c>
      <c r="O358" t="s">
        <v>973</v>
      </c>
      <c r="P358" s="1401">
        <v>46177</v>
      </c>
      <c r="Q358" s="1401">
        <v>46171</v>
      </c>
    </row>
    <row r="359" spans="1:17">
      <c r="A359" t="s">
        <v>1911</v>
      </c>
      <c r="B359" t="s">
        <v>144</v>
      </c>
      <c r="C359" t="s">
        <v>145</v>
      </c>
      <c r="D359" t="s">
        <v>132</v>
      </c>
      <c r="E359" t="s">
        <v>1905</v>
      </c>
      <c r="F359" t="s">
        <v>1906</v>
      </c>
      <c r="G359">
        <v>1320</v>
      </c>
      <c r="H359" t="s">
        <v>75</v>
      </c>
      <c r="I359">
        <v>46106</v>
      </c>
      <c r="J359" t="s">
        <v>1915</v>
      </c>
      <c r="K359" s="1401">
        <v>46111</v>
      </c>
      <c r="L359" s="1401">
        <v>46163</v>
      </c>
      <c r="M359" s="1401">
        <v>46170</v>
      </c>
      <c r="N359" s="1401">
        <v>46171</v>
      </c>
      <c r="O359" t="s">
        <v>973</v>
      </c>
      <c r="P359" s="1401">
        <v>46177</v>
      </c>
      <c r="Q359" s="1401">
        <v>46171</v>
      </c>
    </row>
    <row r="360" spans="1:17">
      <c r="A360" t="s">
        <v>1892</v>
      </c>
      <c r="B360" t="s">
        <v>144</v>
      </c>
      <c r="C360" t="s">
        <v>145</v>
      </c>
      <c r="D360" t="s">
        <v>132</v>
      </c>
      <c r="E360" t="s">
        <v>1894</v>
      </c>
      <c r="F360" t="s">
        <v>1895</v>
      </c>
      <c r="G360">
        <v>3300</v>
      </c>
      <c r="H360" t="s">
        <v>75</v>
      </c>
      <c r="I360">
        <v>46108</v>
      </c>
      <c r="J360" t="s">
        <v>1897</v>
      </c>
      <c r="K360" s="1401">
        <v>46114</v>
      </c>
      <c r="L360" s="1401">
        <v>46156</v>
      </c>
      <c r="M360" s="1401">
        <v>46156</v>
      </c>
      <c r="N360" s="1401">
        <v>46158</v>
      </c>
      <c r="O360" t="s">
        <v>973</v>
      </c>
      <c r="P360" s="1401">
        <v>46170</v>
      </c>
      <c r="Q360" s="1401">
        <v>46158</v>
      </c>
    </row>
    <row r="361" spans="1:17">
      <c r="A361" t="s">
        <v>1918</v>
      </c>
      <c r="B361" t="s">
        <v>144</v>
      </c>
      <c r="C361" t="s">
        <v>145</v>
      </c>
      <c r="D361" t="s">
        <v>132</v>
      </c>
      <c r="E361" t="s">
        <v>1905</v>
      </c>
      <c r="F361" t="s">
        <v>1906</v>
      </c>
      <c r="G361">
        <v>1320</v>
      </c>
      <c r="H361" t="s">
        <v>75</v>
      </c>
      <c r="I361">
        <v>46108</v>
      </c>
      <c r="J361" t="s">
        <v>1919</v>
      </c>
      <c r="K361" s="1401">
        <v>46114</v>
      </c>
      <c r="L361" s="1401">
        <v>46156</v>
      </c>
      <c r="M361" s="1401">
        <v>46164</v>
      </c>
      <c r="N361" s="1401">
        <v>46165</v>
      </c>
      <c r="O361" t="s">
        <v>973</v>
      </c>
      <c r="P361" s="1401">
        <v>46170</v>
      </c>
      <c r="Q361" s="1401">
        <v>46165</v>
      </c>
    </row>
    <row r="362" spans="1:17">
      <c r="A362" t="s">
        <v>1887</v>
      </c>
      <c r="B362" t="s">
        <v>144</v>
      </c>
      <c r="C362" t="s">
        <v>145</v>
      </c>
      <c r="D362" t="s">
        <v>70</v>
      </c>
      <c r="E362" t="s">
        <v>195</v>
      </c>
      <c r="F362" t="s">
        <v>196</v>
      </c>
      <c r="G362">
        <v>1872</v>
      </c>
      <c r="H362" t="s">
        <v>75</v>
      </c>
      <c r="I362">
        <v>46108</v>
      </c>
      <c r="J362" t="s">
        <v>1890</v>
      </c>
      <c r="K362" s="1401">
        <v>46113</v>
      </c>
      <c r="L362" s="1401">
        <v>46172</v>
      </c>
      <c r="M362" s="1401">
        <v>46172</v>
      </c>
      <c r="N362" s="1401">
        <v>46172</v>
      </c>
      <c r="O362" t="s">
        <v>973</v>
      </c>
      <c r="P362" s="1401">
        <v>46185</v>
      </c>
      <c r="Q362" s="1401">
        <v>46172</v>
      </c>
    </row>
    <row r="363" spans="1:17">
      <c r="A363" t="s">
        <v>1881</v>
      </c>
      <c r="B363" t="s">
        <v>144</v>
      </c>
      <c r="C363" t="s">
        <v>145</v>
      </c>
      <c r="D363" t="s">
        <v>70</v>
      </c>
      <c r="E363" t="s">
        <v>1151</v>
      </c>
      <c r="F363" t="s">
        <v>421</v>
      </c>
      <c r="G363">
        <v>1728</v>
      </c>
      <c r="H363" t="s">
        <v>75</v>
      </c>
      <c r="I363">
        <v>46109</v>
      </c>
      <c r="J363" t="s">
        <v>1884</v>
      </c>
      <c r="K363" s="1401">
        <v>46113</v>
      </c>
      <c r="L363" s="1401">
        <v>46172</v>
      </c>
      <c r="M363" s="1401">
        <v>46172</v>
      </c>
      <c r="N363" s="1401">
        <v>46172</v>
      </c>
      <c r="O363" t="s">
        <v>973</v>
      </c>
      <c r="P363" s="1401">
        <v>46185</v>
      </c>
      <c r="Q363" s="1401">
        <v>46172</v>
      </c>
    </row>
    <row r="364" spans="1:17">
      <c r="A364" t="s">
        <v>590</v>
      </c>
      <c r="B364" t="s">
        <v>64</v>
      </c>
      <c r="C364" t="s">
        <v>310</v>
      </c>
      <c r="D364" t="s">
        <v>70</v>
      </c>
      <c r="E364" t="s">
        <v>420</v>
      </c>
      <c r="F364" t="s">
        <v>421</v>
      </c>
      <c r="G364">
        <v>2592</v>
      </c>
      <c r="H364" t="s">
        <v>75</v>
      </c>
      <c r="I364">
        <v>46044</v>
      </c>
      <c r="J364" t="s">
        <v>591</v>
      </c>
      <c r="K364" s="1401">
        <v>46048</v>
      </c>
      <c r="L364" s="1401">
        <v>46106</v>
      </c>
      <c r="M364" s="1401">
        <v>46120</v>
      </c>
      <c r="N364" s="1401">
        <v>46120</v>
      </c>
      <c r="O364" t="s">
        <v>84</v>
      </c>
      <c r="P364" s="1401">
        <v>46133</v>
      </c>
      <c r="Q364" s="1401">
        <v>46133</v>
      </c>
    </row>
    <row r="365" spans="1:17">
      <c r="A365" t="s">
        <v>583</v>
      </c>
      <c r="B365" t="s">
        <v>64</v>
      </c>
      <c r="C365" t="s">
        <v>310</v>
      </c>
      <c r="D365" t="s">
        <v>70</v>
      </c>
      <c r="E365" t="s">
        <v>585</v>
      </c>
      <c r="F365" t="s">
        <v>103</v>
      </c>
      <c r="G365">
        <v>1440</v>
      </c>
      <c r="H365" t="s">
        <v>75</v>
      </c>
      <c r="I365">
        <v>46044</v>
      </c>
      <c r="J365" t="s">
        <v>586</v>
      </c>
      <c r="K365" s="1401">
        <v>46048</v>
      </c>
      <c r="L365" s="1401">
        <v>46106</v>
      </c>
      <c r="M365" s="1401">
        <v>46120</v>
      </c>
      <c r="N365" s="1401">
        <v>46120</v>
      </c>
      <c r="O365" t="s">
        <v>84</v>
      </c>
      <c r="P365" s="1401">
        <v>46132</v>
      </c>
      <c r="Q365" s="1401">
        <v>46133</v>
      </c>
    </row>
    <row r="366" spans="1:17">
      <c r="A366" t="s">
        <v>1603</v>
      </c>
      <c r="B366" t="s">
        <v>64</v>
      </c>
      <c r="C366" t="s">
        <v>65</v>
      </c>
      <c r="D366" t="s">
        <v>70</v>
      </c>
      <c r="E366" t="s">
        <v>71</v>
      </c>
      <c r="F366" t="s">
        <v>72</v>
      </c>
      <c r="G366">
        <v>1728</v>
      </c>
      <c r="H366" t="s">
        <v>75</v>
      </c>
      <c r="I366">
        <v>46092</v>
      </c>
      <c r="J366" t="s">
        <v>1605</v>
      </c>
      <c r="K366" s="1401">
        <v>46098</v>
      </c>
      <c r="L366" s="1401">
        <v>46147</v>
      </c>
      <c r="M366" s="1401">
        <v>46144</v>
      </c>
      <c r="N366" s="1401">
        <v>46144</v>
      </c>
      <c r="O366" t="s">
        <v>973</v>
      </c>
      <c r="P366" s="1401">
        <v>46160</v>
      </c>
      <c r="Q366" s="1401">
        <v>46154</v>
      </c>
    </row>
    <row r="367" spans="1:17">
      <c r="A367" t="s">
        <v>1598</v>
      </c>
      <c r="B367" t="s">
        <v>144</v>
      </c>
      <c r="C367" t="s">
        <v>145</v>
      </c>
      <c r="D367" t="s">
        <v>70</v>
      </c>
      <c r="E367" t="s">
        <v>71</v>
      </c>
      <c r="F367" t="s">
        <v>72</v>
      </c>
      <c r="G367">
        <v>1728</v>
      </c>
      <c r="H367" t="s">
        <v>75</v>
      </c>
      <c r="I367">
        <v>46092</v>
      </c>
      <c r="J367" t="s">
        <v>1600</v>
      </c>
      <c r="K367" s="1401">
        <v>46098</v>
      </c>
      <c r="L367" s="1401">
        <v>46147</v>
      </c>
      <c r="M367" s="1401">
        <v>46144</v>
      </c>
      <c r="N367" s="1401">
        <v>46144</v>
      </c>
      <c r="O367" t="s">
        <v>973</v>
      </c>
      <c r="P367" s="1401">
        <v>46161</v>
      </c>
      <c r="Q367" s="1401">
        <v>46144</v>
      </c>
    </row>
    <row r="368" spans="1:17">
      <c r="A368" t="s">
        <v>876</v>
      </c>
      <c r="B368" t="s">
        <v>64</v>
      </c>
      <c r="C368" t="s">
        <v>65</v>
      </c>
      <c r="D368" t="s">
        <v>70</v>
      </c>
      <c r="E368" t="s">
        <v>71</v>
      </c>
      <c r="F368" t="s">
        <v>72</v>
      </c>
      <c r="G368">
        <v>1728</v>
      </c>
      <c r="H368" t="s">
        <v>75</v>
      </c>
      <c r="I368">
        <v>46079</v>
      </c>
      <c r="J368" t="s">
        <v>877</v>
      </c>
      <c r="K368" s="1401">
        <v>46084</v>
      </c>
      <c r="L368" s="1401">
        <v>46160</v>
      </c>
      <c r="M368" s="1401">
        <v>46169</v>
      </c>
      <c r="N368" s="1401">
        <v>46165</v>
      </c>
      <c r="O368" t="s">
        <v>84</v>
      </c>
      <c r="P368" s="1401">
        <v>46177</v>
      </c>
      <c r="Q368" s="1401">
        <v>46173</v>
      </c>
    </row>
    <row r="369" spans="1:17">
      <c r="A369" t="s">
        <v>867</v>
      </c>
      <c r="B369" t="s">
        <v>144</v>
      </c>
      <c r="C369" t="s">
        <v>145</v>
      </c>
      <c r="D369" t="s">
        <v>70</v>
      </c>
      <c r="E369" t="s">
        <v>71</v>
      </c>
      <c r="F369" t="s">
        <v>72</v>
      </c>
      <c r="G369">
        <v>864</v>
      </c>
      <c r="H369" t="s">
        <v>75</v>
      </c>
      <c r="I369">
        <v>46079</v>
      </c>
      <c r="J369" t="s">
        <v>871</v>
      </c>
      <c r="K369" s="1401">
        <v>46084</v>
      </c>
      <c r="L369" s="1401">
        <v>46160</v>
      </c>
      <c r="M369" s="1401">
        <v>46169</v>
      </c>
      <c r="N369" s="1401">
        <v>46165</v>
      </c>
      <c r="O369" t="s">
        <v>84</v>
      </c>
      <c r="P369" s="1401">
        <v>46174</v>
      </c>
      <c r="Q369" s="1401">
        <v>46165</v>
      </c>
    </row>
    <row r="370" spans="1:17">
      <c r="A370" t="s">
        <v>1728</v>
      </c>
      <c r="B370" t="s">
        <v>64</v>
      </c>
      <c r="C370" t="s">
        <v>310</v>
      </c>
      <c r="D370" t="s">
        <v>170</v>
      </c>
      <c r="E370" t="s">
        <v>171</v>
      </c>
      <c r="F370" t="s">
        <v>1731</v>
      </c>
      <c r="G370">
        <v>1320</v>
      </c>
      <c r="H370" t="s">
        <v>75</v>
      </c>
      <c r="I370">
        <v>46107</v>
      </c>
      <c r="J370" t="s">
        <v>1732</v>
      </c>
      <c r="K370" s="1401">
        <v>46111</v>
      </c>
      <c r="L370" s="1401">
        <v>46155</v>
      </c>
      <c r="M370" s="1401">
        <v>46162</v>
      </c>
      <c r="N370" s="1401">
        <v>46162</v>
      </c>
      <c r="O370" t="s">
        <v>973</v>
      </c>
      <c r="P370" s="1401">
        <v>46176</v>
      </c>
      <c r="Q370" s="1401">
        <v>46172</v>
      </c>
    </row>
    <row r="371" spans="1:17">
      <c r="A371" t="s">
        <v>1775</v>
      </c>
      <c r="B371" t="s">
        <v>64</v>
      </c>
      <c r="C371" t="s">
        <v>310</v>
      </c>
      <c r="D371" t="s">
        <v>284</v>
      </c>
      <c r="E371" t="s">
        <v>1521</v>
      </c>
      <c r="F371" t="s">
        <v>1522</v>
      </c>
      <c r="G371">
        <v>6048</v>
      </c>
      <c r="H371" t="s">
        <v>75</v>
      </c>
      <c r="I371">
        <v>46108</v>
      </c>
      <c r="J371" t="s">
        <v>1776</v>
      </c>
      <c r="K371" s="1401">
        <v>46111</v>
      </c>
      <c r="L371" s="1401">
        <v>46155</v>
      </c>
      <c r="M371" s="1401">
        <v>46159</v>
      </c>
      <c r="N371" s="1401">
        <v>46162</v>
      </c>
      <c r="O371" t="s">
        <v>973</v>
      </c>
      <c r="P371" s="1401">
        <v>46176</v>
      </c>
      <c r="Q371" s="1401">
        <v>46172</v>
      </c>
    </row>
    <row r="372" spans="1:17">
      <c r="A372" t="s">
        <v>1723</v>
      </c>
      <c r="B372" t="s">
        <v>64</v>
      </c>
      <c r="C372" t="s">
        <v>310</v>
      </c>
      <c r="D372" t="s">
        <v>473</v>
      </c>
      <c r="E372" t="s">
        <v>474</v>
      </c>
      <c r="F372" t="s">
        <v>1319</v>
      </c>
      <c r="G372">
        <v>2592</v>
      </c>
      <c r="H372" t="s">
        <v>75</v>
      </c>
      <c r="I372">
        <v>46104</v>
      </c>
      <c r="J372" t="s">
        <v>1724</v>
      </c>
      <c r="K372" s="1401">
        <v>46111</v>
      </c>
      <c r="L372" s="1401">
        <v>46155</v>
      </c>
      <c r="M372" s="1401">
        <v>46162</v>
      </c>
      <c r="N372" s="1401">
        <v>46162</v>
      </c>
      <c r="O372" t="s">
        <v>973</v>
      </c>
      <c r="P372" s="1401">
        <v>46176</v>
      </c>
      <c r="Q372" s="1401">
        <v>46172</v>
      </c>
    </row>
    <row r="373" spans="1:17">
      <c r="A373" t="s">
        <v>1983</v>
      </c>
      <c r="B373" t="s">
        <v>64</v>
      </c>
      <c r="C373" t="s">
        <v>310</v>
      </c>
      <c r="D373" t="s">
        <v>170</v>
      </c>
      <c r="E373" t="s">
        <v>171</v>
      </c>
      <c r="F373" t="s">
        <v>1731</v>
      </c>
      <c r="G373">
        <v>1980</v>
      </c>
      <c r="H373" t="s">
        <v>75</v>
      </c>
      <c r="I373">
        <v>46113</v>
      </c>
      <c r="J373" t="s">
        <v>1984</v>
      </c>
      <c r="K373" s="1401">
        <v>46115</v>
      </c>
      <c r="L373" s="1401">
        <v>46162</v>
      </c>
      <c r="M373" s="1401">
        <v>46169</v>
      </c>
      <c r="N373" s="1401">
        <v>46169</v>
      </c>
      <c r="O373" t="s">
        <v>973</v>
      </c>
      <c r="P373" s="1401">
        <v>46183</v>
      </c>
      <c r="Q373" s="1401">
        <v>46179</v>
      </c>
    </row>
    <row r="374" spans="1:17">
      <c r="A374" t="s">
        <v>1985</v>
      </c>
      <c r="B374" t="s">
        <v>64</v>
      </c>
      <c r="C374" t="s">
        <v>310</v>
      </c>
      <c r="D374" t="s">
        <v>170</v>
      </c>
      <c r="E374" t="s">
        <v>1977</v>
      </c>
      <c r="F374" t="s">
        <v>1978</v>
      </c>
      <c r="G374">
        <v>5940</v>
      </c>
      <c r="H374" t="s">
        <v>75</v>
      </c>
      <c r="I374">
        <v>46113</v>
      </c>
      <c r="J374" t="s">
        <v>1987</v>
      </c>
      <c r="K374" s="1401">
        <v>46116</v>
      </c>
      <c r="L374" s="1401">
        <v>46162</v>
      </c>
      <c r="M374" s="1401">
        <v>46169</v>
      </c>
      <c r="N374" s="1401">
        <v>46169</v>
      </c>
      <c r="O374" t="s">
        <v>973</v>
      </c>
      <c r="P374" s="1401">
        <v>46183</v>
      </c>
      <c r="Q374" s="1401">
        <v>46179</v>
      </c>
    </row>
    <row r="375" spans="1:17">
      <c r="A375" t="s">
        <v>1975</v>
      </c>
      <c r="B375" t="s">
        <v>64</v>
      </c>
      <c r="C375" t="s">
        <v>310</v>
      </c>
      <c r="D375" t="s">
        <v>170</v>
      </c>
      <c r="E375" t="s">
        <v>1977</v>
      </c>
      <c r="F375" t="s">
        <v>1978</v>
      </c>
      <c r="G375">
        <v>3300</v>
      </c>
      <c r="H375" t="s">
        <v>75</v>
      </c>
      <c r="I375">
        <v>46113</v>
      </c>
      <c r="J375" t="s">
        <v>1979</v>
      </c>
      <c r="K375" s="1401">
        <v>46115</v>
      </c>
      <c r="L375" s="1401">
        <v>46162</v>
      </c>
      <c r="M375" s="1401">
        <v>46169</v>
      </c>
      <c r="N375" s="1401">
        <v>46169</v>
      </c>
      <c r="O375" t="s">
        <v>973</v>
      </c>
      <c r="P375" s="1401">
        <v>46183</v>
      </c>
      <c r="Q375" s="1401">
        <v>46179</v>
      </c>
    </row>
    <row r="376" spans="1:17">
      <c r="A376" t="s">
        <v>1952</v>
      </c>
      <c r="B376" t="s">
        <v>144</v>
      </c>
      <c r="C376" t="s">
        <v>145</v>
      </c>
      <c r="D376" t="s">
        <v>70</v>
      </c>
      <c r="E376" t="s">
        <v>1806</v>
      </c>
      <c r="F376" t="s">
        <v>1807</v>
      </c>
      <c r="G376">
        <v>1782</v>
      </c>
      <c r="H376" t="s">
        <v>75</v>
      </c>
      <c r="I376">
        <v>46115</v>
      </c>
      <c r="J376" t="s">
        <v>1953</v>
      </c>
      <c r="K376" s="1401">
        <v>46118</v>
      </c>
      <c r="L376" s="1401">
        <v>46155</v>
      </c>
      <c r="M376" s="1401">
        <v>46163</v>
      </c>
      <c r="N376" s="1401">
        <v>46163</v>
      </c>
      <c r="O376" t="s">
        <v>973</v>
      </c>
      <c r="P376" s="1401">
        <v>46155</v>
      </c>
      <c r="Q376" s="1401">
        <v>46163</v>
      </c>
    </row>
    <row r="377" spans="1:17">
      <c r="A377" t="s">
        <v>2013</v>
      </c>
      <c r="B377" t="s">
        <v>64</v>
      </c>
      <c r="C377" t="s">
        <v>65</v>
      </c>
      <c r="D377" t="s">
        <v>70</v>
      </c>
      <c r="E377" t="s">
        <v>91</v>
      </c>
      <c r="F377" t="s">
        <v>92</v>
      </c>
      <c r="G377">
        <v>936</v>
      </c>
      <c r="H377" t="s">
        <v>75</v>
      </c>
      <c r="I377">
        <v>46111</v>
      </c>
      <c r="J377" t="s">
        <v>2014</v>
      </c>
      <c r="K377" s="1401">
        <v>46116</v>
      </c>
      <c r="L377" s="1401">
        <v>46168</v>
      </c>
      <c r="M377" s="1401">
        <v>46170</v>
      </c>
      <c r="N377" s="1401">
        <v>46170</v>
      </c>
      <c r="O377" t="s">
        <v>973</v>
      </c>
      <c r="P377" s="1401">
        <v>46184</v>
      </c>
      <c r="Q377" s="1401">
        <v>46180</v>
      </c>
    </row>
    <row r="378" spans="1:17">
      <c r="A378" t="s">
        <v>2009</v>
      </c>
      <c r="B378" t="s">
        <v>64</v>
      </c>
      <c r="C378" t="s">
        <v>65</v>
      </c>
      <c r="D378" t="s">
        <v>70</v>
      </c>
      <c r="E378" t="s">
        <v>204</v>
      </c>
      <c r="F378" t="s">
        <v>205</v>
      </c>
      <c r="G378">
        <v>3744</v>
      </c>
      <c r="H378" t="s">
        <v>75</v>
      </c>
      <c r="I378">
        <v>46111</v>
      </c>
      <c r="J378" t="s">
        <v>2010</v>
      </c>
      <c r="K378" s="1401">
        <v>46116</v>
      </c>
      <c r="L378" s="1401">
        <v>46181</v>
      </c>
      <c r="M378" s="1401">
        <v>46181</v>
      </c>
      <c r="N378" s="1401">
        <v>46179</v>
      </c>
      <c r="O378" t="s">
        <v>973</v>
      </c>
      <c r="P378" s="1401">
        <v>46192</v>
      </c>
      <c r="Q378" s="1401">
        <v>46187</v>
      </c>
    </row>
    <row r="379" spans="1:17">
      <c r="A379" t="s">
        <v>2003</v>
      </c>
      <c r="B379" t="s">
        <v>64</v>
      </c>
      <c r="C379" t="s">
        <v>65</v>
      </c>
      <c r="D379" t="s">
        <v>70</v>
      </c>
      <c r="E379" t="s">
        <v>204</v>
      </c>
      <c r="F379" t="s">
        <v>205</v>
      </c>
      <c r="G379">
        <v>1872</v>
      </c>
      <c r="H379" t="s">
        <v>75</v>
      </c>
      <c r="I379">
        <v>46111</v>
      </c>
      <c r="J379" t="s">
        <v>2005</v>
      </c>
      <c r="K379" s="1401">
        <v>46116</v>
      </c>
      <c r="L379" s="1401">
        <v>46181</v>
      </c>
      <c r="M379" s="1401">
        <v>46171</v>
      </c>
      <c r="N379" s="1401">
        <v>46175</v>
      </c>
      <c r="O379" t="s">
        <v>973</v>
      </c>
      <c r="P379" s="1401">
        <v>46188</v>
      </c>
      <c r="Q379" s="1401">
        <v>46183</v>
      </c>
    </row>
    <row r="380" spans="1:17">
      <c r="A380" t="s">
        <v>1947</v>
      </c>
      <c r="B380" t="s">
        <v>64</v>
      </c>
      <c r="C380" t="s">
        <v>450</v>
      </c>
      <c r="D380" t="s">
        <v>70</v>
      </c>
      <c r="E380" t="s">
        <v>1151</v>
      </c>
      <c r="F380" t="s">
        <v>421</v>
      </c>
      <c r="G380">
        <v>1728</v>
      </c>
      <c r="H380" t="s">
        <v>75</v>
      </c>
      <c r="I380">
        <v>46115</v>
      </c>
      <c r="J380" t="s">
        <v>1948</v>
      </c>
      <c r="K380" s="1401">
        <v>46118</v>
      </c>
      <c r="L380" s="1401">
        <v>46155</v>
      </c>
      <c r="M380" s="1401">
        <v>46166</v>
      </c>
      <c r="N380" s="1401">
        <v>46167</v>
      </c>
      <c r="O380" t="s">
        <v>973</v>
      </c>
      <c r="P380" s="1401">
        <v>46181</v>
      </c>
      <c r="Q380" s="1401">
        <v>46174</v>
      </c>
    </row>
    <row r="381" spans="1:17">
      <c r="A381" t="s">
        <v>1956</v>
      </c>
      <c r="B381" t="s">
        <v>144</v>
      </c>
      <c r="C381" t="s">
        <v>145</v>
      </c>
      <c r="D381" t="s">
        <v>70</v>
      </c>
      <c r="E381" t="s">
        <v>1806</v>
      </c>
      <c r="F381" t="s">
        <v>1807</v>
      </c>
      <c r="G381">
        <v>3564</v>
      </c>
      <c r="H381" t="s">
        <v>75</v>
      </c>
      <c r="I381">
        <v>46114</v>
      </c>
      <c r="J381" t="s">
        <v>1959</v>
      </c>
      <c r="K381" s="1401">
        <v>46117</v>
      </c>
      <c r="L381" s="1401">
        <v>46154</v>
      </c>
      <c r="M381" s="1401">
        <v>46164</v>
      </c>
      <c r="N381" s="1401">
        <v>46164</v>
      </c>
      <c r="O381" t="s">
        <v>973</v>
      </c>
      <c r="P381" s="1401">
        <v>46154</v>
      </c>
      <c r="Q381" s="1401">
        <v>46164</v>
      </c>
    </row>
    <row r="382" spans="1:17">
      <c r="A382" t="s">
        <v>1963</v>
      </c>
      <c r="B382" t="s">
        <v>144</v>
      </c>
      <c r="C382" t="s">
        <v>145</v>
      </c>
      <c r="D382" t="s">
        <v>70</v>
      </c>
      <c r="E382" t="s">
        <v>1806</v>
      </c>
      <c r="F382" t="s">
        <v>1807</v>
      </c>
      <c r="G382">
        <v>1188</v>
      </c>
      <c r="H382" t="s">
        <v>75</v>
      </c>
      <c r="I382">
        <v>46114</v>
      </c>
      <c r="J382" t="s">
        <v>1965</v>
      </c>
      <c r="K382" s="1401">
        <v>46117</v>
      </c>
      <c r="L382" s="1401">
        <v>46154</v>
      </c>
      <c r="M382" s="1401">
        <v>46164</v>
      </c>
      <c r="N382" s="1401">
        <v>46164</v>
      </c>
      <c r="O382" t="s">
        <v>973</v>
      </c>
      <c r="P382" s="1401">
        <v>46154</v>
      </c>
      <c r="Q382" s="1401">
        <v>46164</v>
      </c>
    </row>
    <row r="383" spans="1:17">
      <c r="A383" t="s">
        <v>1942</v>
      </c>
      <c r="B383" t="s">
        <v>144</v>
      </c>
      <c r="C383" t="s">
        <v>145</v>
      </c>
      <c r="D383" t="s">
        <v>70</v>
      </c>
      <c r="E383" t="s">
        <v>71</v>
      </c>
      <c r="F383" t="s">
        <v>72</v>
      </c>
      <c r="G383">
        <v>2592</v>
      </c>
      <c r="H383" t="s">
        <v>75</v>
      </c>
      <c r="I383">
        <v>46117</v>
      </c>
      <c r="J383" t="s">
        <v>1943</v>
      </c>
      <c r="K383" s="1401">
        <v>46120</v>
      </c>
      <c r="L383" s="1401">
        <v>46169</v>
      </c>
      <c r="M383" s="1401">
        <v>46169</v>
      </c>
      <c r="N383" s="1401">
        <v>46169</v>
      </c>
      <c r="O383" t="s">
        <v>973</v>
      </c>
      <c r="P383" s="1401">
        <v>46183</v>
      </c>
      <c r="Q383" s="1401">
        <v>46169</v>
      </c>
    </row>
    <row r="384" spans="1:17">
      <c r="A384" t="s">
        <v>1968</v>
      </c>
      <c r="B384" t="s">
        <v>144</v>
      </c>
      <c r="C384" t="s">
        <v>145</v>
      </c>
      <c r="D384" t="s">
        <v>70</v>
      </c>
      <c r="E384" t="s">
        <v>1806</v>
      </c>
      <c r="F384" t="s">
        <v>1807</v>
      </c>
      <c r="G384">
        <v>1782</v>
      </c>
      <c r="H384" t="s">
        <v>75</v>
      </c>
      <c r="I384">
        <v>46114</v>
      </c>
      <c r="J384" t="s">
        <v>1969</v>
      </c>
      <c r="K384" s="1401">
        <v>46117</v>
      </c>
      <c r="L384" s="1401">
        <v>46154</v>
      </c>
      <c r="M384" s="1401">
        <v>46164</v>
      </c>
      <c r="N384" s="1401">
        <v>46164</v>
      </c>
      <c r="O384" t="s">
        <v>973</v>
      </c>
      <c r="P384" s="1401">
        <v>46168</v>
      </c>
      <c r="Q384" s="1401">
        <v>46164</v>
      </c>
    </row>
    <row r="385" spans="1:17">
      <c r="A385" t="s">
        <v>1970</v>
      </c>
      <c r="B385" t="s">
        <v>144</v>
      </c>
      <c r="C385" t="s">
        <v>145</v>
      </c>
      <c r="D385" t="s">
        <v>70</v>
      </c>
      <c r="E385" t="s">
        <v>1806</v>
      </c>
      <c r="F385" t="s">
        <v>1807</v>
      </c>
      <c r="G385">
        <v>594</v>
      </c>
      <c r="H385" t="s">
        <v>75</v>
      </c>
      <c r="I385">
        <v>46113</v>
      </c>
      <c r="J385" t="s">
        <v>1971</v>
      </c>
      <c r="K385" s="1401">
        <v>46116</v>
      </c>
      <c r="L385" s="1401">
        <v>46158</v>
      </c>
      <c r="M385" s="1401">
        <v>46159</v>
      </c>
      <c r="N385" s="1401">
        <v>46159</v>
      </c>
      <c r="O385" t="s">
        <v>973</v>
      </c>
      <c r="P385" s="1401">
        <v>46157</v>
      </c>
      <c r="Q385" s="1401">
        <v>46159</v>
      </c>
    </row>
    <row r="386" spans="1:17">
      <c r="A386" t="s">
        <v>1893</v>
      </c>
      <c r="B386" t="s">
        <v>144</v>
      </c>
      <c r="C386" t="s">
        <v>145</v>
      </c>
      <c r="D386" t="s">
        <v>132</v>
      </c>
      <c r="E386" t="s">
        <v>1894</v>
      </c>
      <c r="F386" t="s">
        <v>1895</v>
      </c>
      <c r="G386">
        <v>2640</v>
      </c>
      <c r="H386" t="s">
        <v>75</v>
      </c>
      <c r="I386">
        <v>46119</v>
      </c>
      <c r="J386" t="s">
        <v>2072</v>
      </c>
      <c r="K386" s="1401">
        <v>46122</v>
      </c>
      <c r="L386" s="1401">
        <v>46177</v>
      </c>
      <c r="M386" s="1401">
        <v>46207</v>
      </c>
      <c r="N386" s="1401">
        <v>46207</v>
      </c>
      <c r="O386" t="s">
        <v>973</v>
      </c>
      <c r="P386" s="1401">
        <v>46191</v>
      </c>
      <c r="Q386" s="1401">
        <v>46207</v>
      </c>
    </row>
    <row r="387" spans="1:17">
      <c r="A387" t="s">
        <v>2017</v>
      </c>
      <c r="B387" t="s">
        <v>144</v>
      </c>
      <c r="C387" t="s">
        <v>145</v>
      </c>
      <c r="D387" t="s">
        <v>70</v>
      </c>
      <c r="E387" t="s">
        <v>71</v>
      </c>
      <c r="F387" t="s">
        <v>72</v>
      </c>
      <c r="G387">
        <v>3456</v>
      </c>
      <c r="H387" t="s">
        <v>75</v>
      </c>
      <c r="I387">
        <v>46118</v>
      </c>
      <c r="J387" t="s">
        <v>2018</v>
      </c>
      <c r="K387" s="1401">
        <v>46123</v>
      </c>
      <c r="L387" s="1401">
        <v>46177</v>
      </c>
      <c r="M387" s="1401">
        <v>46174</v>
      </c>
      <c r="N387" s="1401">
        <v>46176</v>
      </c>
      <c r="O387" t="s">
        <v>973</v>
      </c>
      <c r="P387" s="1401">
        <v>46195</v>
      </c>
      <c r="Q387" s="1401">
        <v>46176</v>
      </c>
    </row>
    <row r="388" spans="1:17">
      <c r="A388" t="s">
        <v>2027</v>
      </c>
      <c r="B388" t="s">
        <v>144</v>
      </c>
      <c r="C388" t="s">
        <v>145</v>
      </c>
      <c r="D388" t="s">
        <v>70</v>
      </c>
      <c r="E388" t="s">
        <v>71</v>
      </c>
      <c r="F388" t="s">
        <v>72</v>
      </c>
      <c r="G388">
        <v>4320</v>
      </c>
      <c r="H388" t="s">
        <v>75</v>
      </c>
      <c r="I388">
        <v>46118</v>
      </c>
      <c r="J388" t="s">
        <v>2030</v>
      </c>
      <c r="K388" s="1401">
        <v>46123</v>
      </c>
      <c r="L388" s="1401">
        <v>46177</v>
      </c>
      <c r="M388" s="1401">
        <v>46174</v>
      </c>
      <c r="N388" s="1401">
        <v>46176</v>
      </c>
      <c r="O388" t="s">
        <v>973</v>
      </c>
      <c r="P388" s="1401">
        <v>46195</v>
      </c>
      <c r="Q388" s="1401">
        <v>46176</v>
      </c>
    </row>
    <row r="389" spans="1:17">
      <c r="A389" t="s">
        <v>2023</v>
      </c>
      <c r="B389" t="s">
        <v>144</v>
      </c>
      <c r="C389" t="s">
        <v>145</v>
      </c>
      <c r="D389" t="s">
        <v>70</v>
      </c>
      <c r="E389" t="s">
        <v>71</v>
      </c>
      <c r="F389" t="s">
        <v>72</v>
      </c>
      <c r="G389">
        <v>4320</v>
      </c>
      <c r="H389" t="s">
        <v>75</v>
      </c>
      <c r="I389">
        <v>46118</v>
      </c>
      <c r="J389" t="s">
        <v>2025</v>
      </c>
      <c r="K389" s="1401">
        <v>46123</v>
      </c>
      <c r="L389" s="1401">
        <v>46177</v>
      </c>
      <c r="M389" s="1401">
        <v>46174</v>
      </c>
      <c r="N389" s="1401">
        <v>46176</v>
      </c>
      <c r="O389" t="s">
        <v>973</v>
      </c>
      <c r="P389" s="1401">
        <v>46195</v>
      </c>
      <c r="Q389" s="1401">
        <v>46176</v>
      </c>
    </row>
    <row r="390" spans="1:17">
      <c r="A390" t="s">
        <v>2068</v>
      </c>
      <c r="B390" t="s">
        <v>64</v>
      </c>
      <c r="C390" t="s">
        <v>100</v>
      </c>
      <c r="D390" t="s">
        <v>70</v>
      </c>
      <c r="E390" t="s">
        <v>195</v>
      </c>
      <c r="F390" t="s">
        <v>196</v>
      </c>
      <c r="G390">
        <v>936</v>
      </c>
      <c r="H390" t="s">
        <v>75</v>
      </c>
      <c r="I390">
        <v>46120</v>
      </c>
      <c r="J390" t="s">
        <v>2069</v>
      </c>
      <c r="K390" s="1401">
        <v>46124</v>
      </c>
      <c r="L390" s="1401">
        <v>46165</v>
      </c>
      <c r="M390" s="1401">
        <v>46165</v>
      </c>
      <c r="N390" s="1401">
        <v>46166</v>
      </c>
      <c r="O390" t="s">
        <v>973</v>
      </c>
      <c r="P390" s="1401">
        <v>46181</v>
      </c>
      <c r="Q390" s="1401">
        <v>46173</v>
      </c>
    </row>
    <row r="391" spans="1:17">
      <c r="A391" t="s">
        <v>2063</v>
      </c>
      <c r="B391" t="s">
        <v>64</v>
      </c>
      <c r="C391" t="s">
        <v>100</v>
      </c>
      <c r="D391" t="s">
        <v>70</v>
      </c>
      <c r="E391" t="s">
        <v>195</v>
      </c>
      <c r="F391" t="s">
        <v>196</v>
      </c>
      <c r="G391">
        <v>936</v>
      </c>
      <c r="H391" t="s">
        <v>75</v>
      </c>
      <c r="I391">
        <v>46120</v>
      </c>
      <c r="J391" t="s">
        <v>2064</v>
      </c>
      <c r="K391" s="1401">
        <v>46124</v>
      </c>
      <c r="L391" s="1401">
        <v>46165</v>
      </c>
      <c r="M391" s="1401">
        <v>46165</v>
      </c>
      <c r="N391" s="1401">
        <v>46166</v>
      </c>
      <c r="O391" t="s">
        <v>973</v>
      </c>
      <c r="P391" s="1401">
        <v>46181</v>
      </c>
      <c r="Q391" s="1401">
        <v>46173</v>
      </c>
    </row>
    <row r="392" spans="1:17">
      <c r="A392" t="s">
        <v>1996</v>
      </c>
      <c r="B392" t="s">
        <v>64</v>
      </c>
      <c r="C392" t="s">
        <v>310</v>
      </c>
      <c r="D392" t="s">
        <v>170</v>
      </c>
      <c r="E392" t="s">
        <v>171</v>
      </c>
      <c r="F392" t="s">
        <v>1731</v>
      </c>
      <c r="G392">
        <v>3300</v>
      </c>
      <c r="H392" t="s">
        <v>75</v>
      </c>
      <c r="I392">
        <v>46117</v>
      </c>
      <c r="J392" t="s">
        <v>1998</v>
      </c>
      <c r="K392" s="1401">
        <v>46124</v>
      </c>
      <c r="L392" s="1401">
        <v>46167</v>
      </c>
      <c r="M392" s="1401">
        <v>46182</v>
      </c>
      <c r="N392" s="1401">
        <v>46182</v>
      </c>
      <c r="O392" t="s">
        <v>973</v>
      </c>
      <c r="P392" s="1401">
        <v>46202</v>
      </c>
      <c r="Q392" s="1401">
        <v>46192</v>
      </c>
    </row>
    <row r="393" spans="1:17">
      <c r="A393" t="s">
        <v>2048</v>
      </c>
      <c r="B393" t="s">
        <v>144</v>
      </c>
      <c r="C393" t="s">
        <v>145</v>
      </c>
      <c r="D393" t="s">
        <v>70</v>
      </c>
      <c r="E393" t="s">
        <v>1806</v>
      </c>
      <c r="F393" t="s">
        <v>1807</v>
      </c>
      <c r="G393">
        <v>2970</v>
      </c>
      <c r="H393" t="s">
        <v>75</v>
      </c>
      <c r="I393">
        <v>46121</v>
      </c>
      <c r="J393" t="s">
        <v>2049</v>
      </c>
      <c r="K393" s="1401">
        <v>46124</v>
      </c>
      <c r="L393" s="1401">
        <v>46169</v>
      </c>
      <c r="M393" s="1401">
        <v>46172</v>
      </c>
      <c r="N393" s="1401">
        <v>46170</v>
      </c>
      <c r="O393" t="s">
        <v>973</v>
      </c>
      <c r="P393" s="1401">
        <v>46177</v>
      </c>
      <c r="Q393" s="1401">
        <v>46170</v>
      </c>
    </row>
    <row r="394" spans="1:17">
      <c r="A394" t="s">
        <v>2031</v>
      </c>
      <c r="B394" t="s">
        <v>64</v>
      </c>
      <c r="C394" t="s">
        <v>450</v>
      </c>
      <c r="D394" t="s">
        <v>70</v>
      </c>
      <c r="E394" t="s">
        <v>1151</v>
      </c>
      <c r="F394" t="s">
        <v>421</v>
      </c>
      <c r="G394">
        <v>3456</v>
      </c>
      <c r="H394" t="s">
        <v>75</v>
      </c>
      <c r="I394">
        <v>46123</v>
      </c>
      <c r="J394" t="s">
        <v>2032</v>
      </c>
      <c r="K394" s="1401">
        <v>46125</v>
      </c>
      <c r="L394" s="1401">
        <v>46171</v>
      </c>
      <c r="M394" s="1401">
        <v>46176</v>
      </c>
      <c r="N394" s="1401">
        <v>46178</v>
      </c>
      <c r="O394" t="s">
        <v>973</v>
      </c>
      <c r="P394" s="1401">
        <v>46192</v>
      </c>
      <c r="Q394" s="1401">
        <v>46185</v>
      </c>
    </row>
    <row r="395" spans="1:17">
      <c r="A395" t="s">
        <v>2037</v>
      </c>
      <c r="B395" t="s">
        <v>64</v>
      </c>
      <c r="C395" t="s">
        <v>450</v>
      </c>
      <c r="D395" t="s">
        <v>70</v>
      </c>
      <c r="E395" t="s">
        <v>195</v>
      </c>
      <c r="F395" t="s">
        <v>196</v>
      </c>
      <c r="G395">
        <v>1872</v>
      </c>
      <c r="H395" t="s">
        <v>75</v>
      </c>
      <c r="I395">
        <v>46123</v>
      </c>
      <c r="J395" t="s">
        <v>2039</v>
      </c>
      <c r="K395" s="1401">
        <v>46125</v>
      </c>
      <c r="L395" s="1401">
        <v>46171</v>
      </c>
      <c r="M395" s="1401">
        <v>46176</v>
      </c>
      <c r="N395" s="1401">
        <v>46178</v>
      </c>
      <c r="O395" t="s">
        <v>973</v>
      </c>
      <c r="P395" s="1401">
        <v>46192</v>
      </c>
      <c r="Q395" s="1401">
        <v>46185</v>
      </c>
    </row>
    <row r="396" spans="1:17">
      <c r="A396" t="s">
        <v>2076</v>
      </c>
      <c r="B396" t="s">
        <v>64</v>
      </c>
      <c r="C396" t="s">
        <v>310</v>
      </c>
      <c r="D396" t="s">
        <v>170</v>
      </c>
      <c r="E396" t="s">
        <v>171</v>
      </c>
      <c r="F396" t="s">
        <v>1731</v>
      </c>
      <c r="G396">
        <v>2640</v>
      </c>
      <c r="H396" t="s">
        <v>75</v>
      </c>
      <c r="I396">
        <v>46117</v>
      </c>
      <c r="J396" t="s">
        <v>2078</v>
      </c>
      <c r="K396" s="1401">
        <v>46122</v>
      </c>
      <c r="L396" s="1401">
        <v>46169</v>
      </c>
      <c r="M396" s="1401">
        <v>46169</v>
      </c>
      <c r="N396" s="1401">
        <v>46175</v>
      </c>
      <c r="O396" t="s">
        <v>973</v>
      </c>
      <c r="P396" s="1401">
        <v>46190</v>
      </c>
      <c r="Q396" s="1401">
        <v>46185</v>
      </c>
    </row>
    <row r="397" spans="1:17">
      <c r="A397" t="s">
        <v>2043</v>
      </c>
      <c r="B397" t="s">
        <v>64</v>
      </c>
      <c r="C397" t="s">
        <v>450</v>
      </c>
      <c r="D397" t="s">
        <v>70</v>
      </c>
      <c r="E397" t="s">
        <v>1151</v>
      </c>
      <c r="F397" t="s">
        <v>421</v>
      </c>
      <c r="G397">
        <v>4320</v>
      </c>
      <c r="H397" t="s">
        <v>75</v>
      </c>
      <c r="I397">
        <v>46121</v>
      </c>
      <c r="J397" t="s">
        <v>2044</v>
      </c>
      <c r="K397" s="1401">
        <v>46124</v>
      </c>
      <c r="L397" s="1401">
        <v>46165</v>
      </c>
      <c r="M397" s="1401">
        <v>46165</v>
      </c>
      <c r="N397" s="1401">
        <v>46168</v>
      </c>
      <c r="O397" t="s">
        <v>973</v>
      </c>
      <c r="P397" s="1401">
        <v>46181</v>
      </c>
      <c r="Q397" s="1401">
        <v>46175</v>
      </c>
    </row>
    <row r="398" spans="1:17">
      <c r="A398" t="s">
        <v>2093</v>
      </c>
      <c r="B398" t="s">
        <v>64</v>
      </c>
      <c r="C398" t="s">
        <v>65</v>
      </c>
      <c r="D398" t="s">
        <v>70</v>
      </c>
      <c r="E398" t="s">
        <v>91</v>
      </c>
      <c r="F398" t="s">
        <v>92</v>
      </c>
      <c r="G398">
        <v>936</v>
      </c>
      <c r="H398" t="s">
        <v>75</v>
      </c>
      <c r="I398">
        <v>46119</v>
      </c>
      <c r="J398" t="s">
        <v>2094</v>
      </c>
      <c r="K398" s="1401">
        <v>46123</v>
      </c>
      <c r="L398" s="1401">
        <v>46175</v>
      </c>
      <c r="M398" s="1401">
        <v>46174</v>
      </c>
      <c r="N398" s="1401">
        <v>46175</v>
      </c>
      <c r="O398" t="s">
        <v>973</v>
      </c>
      <c r="P398" s="1401">
        <v>46189</v>
      </c>
      <c r="Q398" s="1401">
        <v>46185</v>
      </c>
    </row>
    <row r="399" spans="1:17">
      <c r="A399" t="s">
        <v>2086</v>
      </c>
      <c r="B399" t="s">
        <v>64</v>
      </c>
      <c r="C399" t="s">
        <v>65</v>
      </c>
      <c r="D399" t="s">
        <v>70</v>
      </c>
      <c r="E399" t="s">
        <v>706</v>
      </c>
      <c r="F399" t="s">
        <v>707</v>
      </c>
      <c r="G399">
        <v>3456</v>
      </c>
      <c r="H399" t="s">
        <v>75</v>
      </c>
      <c r="I399">
        <v>46119</v>
      </c>
      <c r="J399" t="s">
        <v>2089</v>
      </c>
      <c r="K399" s="1401">
        <v>46123</v>
      </c>
      <c r="L399" s="1401">
        <v>46188</v>
      </c>
      <c r="M399" s="1401">
        <v>46193</v>
      </c>
      <c r="N399" s="1401">
        <v>46195</v>
      </c>
      <c r="O399" t="s">
        <v>973</v>
      </c>
      <c r="P399" s="1401">
        <v>46206</v>
      </c>
      <c r="Q399" s="1401">
        <v>46203</v>
      </c>
    </row>
    <row r="400" spans="1:17">
      <c r="A400" t="s">
        <v>2081</v>
      </c>
      <c r="B400" t="s">
        <v>64</v>
      </c>
      <c r="C400" t="s">
        <v>310</v>
      </c>
      <c r="D400" t="s">
        <v>170</v>
      </c>
      <c r="E400" t="s">
        <v>171</v>
      </c>
      <c r="F400" t="s">
        <v>1731</v>
      </c>
      <c r="G400">
        <v>660</v>
      </c>
      <c r="H400" t="s">
        <v>75</v>
      </c>
      <c r="I400">
        <v>46117</v>
      </c>
      <c r="J400" t="s">
        <v>2083</v>
      </c>
      <c r="K400" s="1401">
        <v>46122</v>
      </c>
      <c r="L400" s="1401">
        <v>46166</v>
      </c>
      <c r="M400" s="1401">
        <v>46174</v>
      </c>
      <c r="N400" s="1401">
        <v>46174</v>
      </c>
      <c r="O400" t="s">
        <v>973</v>
      </c>
      <c r="P400" s="1401">
        <v>46189</v>
      </c>
      <c r="Q400" s="1401">
        <v>46184</v>
      </c>
    </row>
    <row r="401" spans="1:17">
      <c r="A401" t="s">
        <v>1990</v>
      </c>
      <c r="B401" t="s">
        <v>64</v>
      </c>
      <c r="C401" t="s">
        <v>65</v>
      </c>
      <c r="D401" t="s">
        <v>170</v>
      </c>
      <c r="E401" t="s">
        <v>1977</v>
      </c>
      <c r="F401" t="s">
        <v>1978</v>
      </c>
      <c r="G401">
        <v>3267</v>
      </c>
      <c r="H401" t="s">
        <v>75</v>
      </c>
      <c r="I401">
        <v>46116</v>
      </c>
      <c r="J401" t="s">
        <v>1992</v>
      </c>
      <c r="K401" s="1401">
        <v>46119</v>
      </c>
      <c r="L401" s="1401">
        <v>46168</v>
      </c>
      <c r="M401" s="1401">
        <v>46166</v>
      </c>
      <c r="N401" s="1401">
        <v>46164</v>
      </c>
      <c r="O401" t="s">
        <v>973</v>
      </c>
      <c r="P401" s="1401">
        <v>46178</v>
      </c>
      <c r="Q401" s="1401">
        <v>46172</v>
      </c>
    </row>
    <row r="402" spans="1:17">
      <c r="A402" t="s">
        <v>2166</v>
      </c>
      <c r="B402" t="s">
        <v>64</v>
      </c>
      <c r="C402" t="s">
        <v>65</v>
      </c>
      <c r="D402" t="s">
        <v>70</v>
      </c>
      <c r="E402" t="s">
        <v>706</v>
      </c>
      <c r="F402" t="s">
        <v>707</v>
      </c>
      <c r="G402">
        <v>864</v>
      </c>
      <c r="H402" t="s">
        <v>75</v>
      </c>
      <c r="I402">
        <v>46125</v>
      </c>
      <c r="J402" t="s">
        <v>2167</v>
      </c>
      <c r="K402" s="1401">
        <v>46129</v>
      </c>
      <c r="L402" s="1401">
        <v>46182</v>
      </c>
      <c r="M402" s="1401">
        <v>46183</v>
      </c>
      <c r="N402" s="1401">
        <v>46182</v>
      </c>
      <c r="O402" t="s">
        <v>973</v>
      </c>
      <c r="P402" s="1401">
        <v>46198</v>
      </c>
      <c r="Q402" s="1401">
        <v>46192</v>
      </c>
    </row>
    <row r="403" spans="1:17">
      <c r="A403" t="s">
        <v>2177</v>
      </c>
      <c r="B403" t="s">
        <v>64</v>
      </c>
      <c r="C403" t="s">
        <v>65</v>
      </c>
      <c r="D403" t="s">
        <v>70</v>
      </c>
      <c r="E403" t="s">
        <v>691</v>
      </c>
      <c r="F403" t="s">
        <v>692</v>
      </c>
      <c r="G403">
        <v>1728</v>
      </c>
      <c r="H403" t="s">
        <v>75</v>
      </c>
      <c r="I403">
        <v>46125</v>
      </c>
      <c r="J403" t="s">
        <v>2178</v>
      </c>
      <c r="K403" s="1401">
        <v>46129</v>
      </c>
      <c r="L403" s="1401">
        <v>46189</v>
      </c>
      <c r="M403" s="1401">
        <v>46184</v>
      </c>
      <c r="N403" s="1401">
        <v>46184</v>
      </c>
      <c r="O403" t="s">
        <v>973</v>
      </c>
      <c r="P403" s="1401">
        <v>46197</v>
      </c>
      <c r="Q403" s="1401">
        <v>46192</v>
      </c>
    </row>
    <row r="404" spans="1:17">
      <c r="A404" t="s">
        <v>2164</v>
      </c>
      <c r="B404" t="s">
        <v>64</v>
      </c>
      <c r="C404" t="s">
        <v>65</v>
      </c>
      <c r="D404" t="s">
        <v>70</v>
      </c>
      <c r="E404" t="s">
        <v>91</v>
      </c>
      <c r="F404" t="s">
        <v>92</v>
      </c>
      <c r="G404">
        <v>1872</v>
      </c>
      <c r="H404" t="s">
        <v>75</v>
      </c>
      <c r="I404">
        <v>46127</v>
      </c>
      <c r="J404" t="s">
        <v>2165</v>
      </c>
      <c r="K404" s="1401">
        <v>46131</v>
      </c>
      <c r="L404" s="1401">
        <v>46182</v>
      </c>
      <c r="M404" s="1401">
        <v>46196</v>
      </c>
      <c r="N404" s="1401">
        <v>46190</v>
      </c>
      <c r="O404" t="s">
        <v>973</v>
      </c>
      <c r="P404" s="1401">
        <v>46204</v>
      </c>
      <c r="Q404" s="1401">
        <v>46200</v>
      </c>
    </row>
    <row r="405" spans="1:17">
      <c r="A405" t="s">
        <v>2160</v>
      </c>
      <c r="B405" t="s">
        <v>64</v>
      </c>
      <c r="C405" t="s">
        <v>65</v>
      </c>
      <c r="D405" t="s">
        <v>70</v>
      </c>
      <c r="E405" t="s">
        <v>91</v>
      </c>
      <c r="F405" t="s">
        <v>92</v>
      </c>
      <c r="G405">
        <v>7488</v>
      </c>
      <c r="H405" t="s">
        <v>75</v>
      </c>
      <c r="I405">
        <v>46127</v>
      </c>
      <c r="J405" t="s">
        <v>2161</v>
      </c>
      <c r="K405" s="1401">
        <v>46131</v>
      </c>
      <c r="L405" s="1401">
        <v>46182</v>
      </c>
      <c r="M405" s="1401">
        <v>46196</v>
      </c>
      <c r="N405" s="1401">
        <v>46190</v>
      </c>
      <c r="O405" t="s">
        <v>973</v>
      </c>
      <c r="P405" s="1401">
        <v>46204</v>
      </c>
      <c r="Q405" s="1401">
        <v>46200</v>
      </c>
    </row>
    <row r="406" spans="1:17">
      <c r="A406" t="s">
        <v>2146</v>
      </c>
      <c r="B406" t="s">
        <v>64</v>
      </c>
      <c r="C406" t="s">
        <v>310</v>
      </c>
      <c r="D406" t="s">
        <v>170</v>
      </c>
      <c r="E406" t="s">
        <v>1977</v>
      </c>
      <c r="F406" t="s">
        <v>1978</v>
      </c>
      <c r="G406">
        <v>1320</v>
      </c>
      <c r="H406" t="s">
        <v>75</v>
      </c>
      <c r="I406">
        <v>46122</v>
      </c>
      <c r="J406" t="s">
        <v>2148</v>
      </c>
      <c r="K406" s="1401">
        <v>46129</v>
      </c>
      <c r="L406" s="1401">
        <v>46176</v>
      </c>
      <c r="M406" s="1401">
        <v>46182</v>
      </c>
      <c r="N406" s="1401">
        <v>46182</v>
      </c>
      <c r="O406" t="s">
        <v>973</v>
      </c>
      <c r="P406" s="1401">
        <v>46196</v>
      </c>
      <c r="Q406" s="1401">
        <v>46192</v>
      </c>
    </row>
    <row r="407" spans="1:17">
      <c r="A407" t="s">
        <v>2141</v>
      </c>
      <c r="B407" t="s">
        <v>64</v>
      </c>
      <c r="C407" t="s">
        <v>310</v>
      </c>
      <c r="D407" t="s">
        <v>170</v>
      </c>
      <c r="E407" t="s">
        <v>171</v>
      </c>
      <c r="F407" t="s">
        <v>1731</v>
      </c>
      <c r="G407">
        <v>3960</v>
      </c>
      <c r="H407" t="s">
        <v>75</v>
      </c>
      <c r="I407">
        <v>46122</v>
      </c>
      <c r="J407" t="s">
        <v>2142</v>
      </c>
      <c r="K407" s="1401">
        <v>46129</v>
      </c>
      <c r="L407" s="1401">
        <v>46176</v>
      </c>
      <c r="M407" s="1401">
        <v>46182</v>
      </c>
      <c r="N407" s="1401">
        <v>46182</v>
      </c>
      <c r="O407" t="s">
        <v>973</v>
      </c>
      <c r="P407" s="1401">
        <v>46196</v>
      </c>
      <c r="Q407" s="1401">
        <v>46192</v>
      </c>
    </row>
    <row r="408" spans="1:17">
      <c r="A408" t="s">
        <v>2131</v>
      </c>
      <c r="B408" t="s">
        <v>64</v>
      </c>
      <c r="C408" t="s">
        <v>100</v>
      </c>
      <c r="D408" t="s">
        <v>550</v>
      </c>
      <c r="E408" t="s">
        <v>2134</v>
      </c>
      <c r="F408" t="s">
        <v>2135</v>
      </c>
      <c r="G408">
        <v>792</v>
      </c>
      <c r="H408" t="s">
        <v>75</v>
      </c>
      <c r="I408">
        <v>46126</v>
      </c>
      <c r="J408" t="s">
        <v>2137</v>
      </c>
      <c r="K408" s="1401">
        <v>46131</v>
      </c>
      <c r="L408" s="1401">
        <v>46172</v>
      </c>
      <c r="M408" s="1401">
        <v>46175</v>
      </c>
      <c r="N408" s="1401">
        <v>46175</v>
      </c>
      <c r="O408" t="s">
        <v>973</v>
      </c>
      <c r="P408" s="1401">
        <v>46189</v>
      </c>
      <c r="Q408" s="1401">
        <v>46182</v>
      </c>
    </row>
    <row r="409" spans="1:17">
      <c r="A409" t="s">
        <v>2116</v>
      </c>
      <c r="B409" t="s">
        <v>144</v>
      </c>
      <c r="C409" t="s">
        <v>145</v>
      </c>
      <c r="D409" t="s">
        <v>70</v>
      </c>
      <c r="E409" t="s">
        <v>195</v>
      </c>
      <c r="F409" t="s">
        <v>196</v>
      </c>
      <c r="G409">
        <v>4680</v>
      </c>
      <c r="H409" t="s">
        <v>75</v>
      </c>
      <c r="I409">
        <v>46128</v>
      </c>
      <c r="J409" t="s">
        <v>2117</v>
      </c>
      <c r="K409" s="1401">
        <v>46131</v>
      </c>
      <c r="L409" s="1401">
        <v>46192</v>
      </c>
      <c r="M409" s="1401">
        <v>46188</v>
      </c>
      <c r="N409" s="1401">
        <v>46190</v>
      </c>
      <c r="O409" t="s">
        <v>973</v>
      </c>
      <c r="P409" s="1401">
        <v>46192</v>
      </c>
      <c r="Q409" s="1401">
        <v>46190</v>
      </c>
    </row>
    <row r="410" spans="1:17">
      <c r="A410" t="s">
        <v>2111</v>
      </c>
      <c r="B410" t="s">
        <v>144</v>
      </c>
      <c r="C410" t="s">
        <v>145</v>
      </c>
      <c r="D410" t="s">
        <v>70</v>
      </c>
      <c r="E410" t="s">
        <v>195</v>
      </c>
      <c r="F410" t="s">
        <v>196</v>
      </c>
      <c r="G410">
        <v>936</v>
      </c>
      <c r="H410" t="s">
        <v>75</v>
      </c>
      <c r="I410">
        <v>46128</v>
      </c>
      <c r="J410" t="s">
        <v>2112</v>
      </c>
      <c r="K410" s="1401">
        <v>46131</v>
      </c>
      <c r="L410" s="1401">
        <v>46192</v>
      </c>
      <c r="M410" s="1401">
        <v>46188</v>
      </c>
      <c r="N410" s="1401">
        <v>46190</v>
      </c>
      <c r="O410" t="s">
        <v>973</v>
      </c>
      <c r="P410" s="1401">
        <v>46192</v>
      </c>
      <c r="Q410" s="1401">
        <v>46190</v>
      </c>
    </row>
    <row r="411" spans="1:17">
      <c r="A411" t="s">
        <v>2109</v>
      </c>
      <c r="B411" t="s">
        <v>64</v>
      </c>
      <c r="C411" t="s">
        <v>65</v>
      </c>
      <c r="D411" t="s">
        <v>70</v>
      </c>
      <c r="E411" t="s">
        <v>204</v>
      </c>
      <c r="F411" t="s">
        <v>205</v>
      </c>
      <c r="G411">
        <v>5616</v>
      </c>
      <c r="H411" t="s">
        <v>75</v>
      </c>
      <c r="I411">
        <v>46126</v>
      </c>
      <c r="J411" t="s">
        <v>2110</v>
      </c>
      <c r="K411" s="1401">
        <v>46131</v>
      </c>
      <c r="L411" s="1401">
        <v>46182</v>
      </c>
      <c r="M411" s="1401">
        <v>46196</v>
      </c>
      <c r="N411" s="1401">
        <v>46190</v>
      </c>
      <c r="O411" t="s">
        <v>973</v>
      </c>
      <c r="P411" s="1401">
        <v>46203</v>
      </c>
      <c r="Q411" s="1401">
        <v>46200</v>
      </c>
    </row>
    <row r="412" spans="1:17">
      <c r="A412" t="s">
        <v>2104</v>
      </c>
      <c r="B412" t="s">
        <v>64</v>
      </c>
      <c r="C412" t="s">
        <v>65</v>
      </c>
      <c r="D412" t="s">
        <v>70</v>
      </c>
      <c r="E412" t="s">
        <v>204</v>
      </c>
      <c r="F412" t="s">
        <v>205</v>
      </c>
      <c r="G412">
        <v>3744</v>
      </c>
      <c r="H412" t="s">
        <v>75</v>
      </c>
      <c r="I412">
        <v>46126</v>
      </c>
      <c r="J412" t="s">
        <v>2105</v>
      </c>
      <c r="K412" s="1401">
        <v>46131</v>
      </c>
      <c r="L412" s="1401">
        <v>46182</v>
      </c>
      <c r="M412" s="1401">
        <v>46196</v>
      </c>
      <c r="N412" s="1401">
        <v>46190</v>
      </c>
      <c r="O412" t="s">
        <v>973</v>
      </c>
      <c r="P412" s="1401">
        <v>46203</v>
      </c>
      <c r="Q412" s="1401">
        <v>46200</v>
      </c>
    </row>
    <row r="413" spans="1:17">
      <c r="A413" t="s">
        <v>1148</v>
      </c>
      <c r="B413" t="s">
        <v>64</v>
      </c>
      <c r="C413" t="s">
        <v>100</v>
      </c>
      <c r="D413" t="s">
        <v>70</v>
      </c>
      <c r="E413" t="s">
        <v>1151</v>
      </c>
      <c r="F413" t="s">
        <v>421</v>
      </c>
      <c r="G413">
        <v>2592</v>
      </c>
      <c r="H413" t="s">
        <v>75</v>
      </c>
      <c r="I413">
        <v>46078</v>
      </c>
      <c r="J413" t="s">
        <v>1152</v>
      </c>
      <c r="K413" s="1401">
        <v>46084</v>
      </c>
      <c r="L413" s="1401">
        <v>46126</v>
      </c>
      <c r="M413" s="1401">
        <v>46142</v>
      </c>
      <c r="N413" s="1401">
        <v>46141</v>
      </c>
      <c r="O413" t="s">
        <v>973</v>
      </c>
      <c r="P413" s="1401">
        <v>46153</v>
      </c>
      <c r="Q413" s="1401">
        <v>46148</v>
      </c>
    </row>
    <row r="414" spans="1:17">
      <c r="A414" t="s">
        <v>1279</v>
      </c>
      <c r="B414" t="s">
        <v>144</v>
      </c>
      <c r="C414" t="s">
        <v>145</v>
      </c>
      <c r="D414" t="s">
        <v>70</v>
      </c>
      <c r="E414" t="s">
        <v>195</v>
      </c>
      <c r="F414" t="s">
        <v>196</v>
      </c>
      <c r="G414">
        <v>1872</v>
      </c>
      <c r="H414" t="s">
        <v>75</v>
      </c>
      <c r="I414">
        <v>46084</v>
      </c>
      <c r="J414" t="s">
        <v>1282</v>
      </c>
      <c r="K414" s="1401">
        <v>46088</v>
      </c>
      <c r="L414" s="1401">
        <v>46133</v>
      </c>
      <c r="M414" s="1401">
        <v>46142</v>
      </c>
      <c r="N414" s="1401">
        <v>46141</v>
      </c>
      <c r="O414" t="s">
        <v>973</v>
      </c>
      <c r="P414" s="1401">
        <v>46146</v>
      </c>
      <c r="Q414" s="1401">
        <v>46141</v>
      </c>
    </row>
    <row r="415" spans="1:17">
      <c r="A415" t="s">
        <v>1389</v>
      </c>
      <c r="B415" t="s">
        <v>144</v>
      </c>
      <c r="C415" t="s">
        <v>145</v>
      </c>
      <c r="D415" t="s">
        <v>70</v>
      </c>
      <c r="E415" t="s">
        <v>195</v>
      </c>
      <c r="F415" t="s">
        <v>196</v>
      </c>
      <c r="G415">
        <v>4680</v>
      </c>
      <c r="H415" t="s">
        <v>75</v>
      </c>
      <c r="I415">
        <v>46082</v>
      </c>
      <c r="J415" t="s">
        <v>1383</v>
      </c>
      <c r="K415" s="1401">
        <v>46088</v>
      </c>
      <c r="L415" s="1401">
        <v>46133</v>
      </c>
      <c r="M415" s="1401">
        <v>46142</v>
      </c>
      <c r="N415" s="1401">
        <v>46141</v>
      </c>
      <c r="O415" t="s">
        <v>973</v>
      </c>
      <c r="P415" s="1401">
        <v>46146</v>
      </c>
      <c r="Q415" s="1401">
        <v>46141</v>
      </c>
    </row>
    <row r="416" spans="1:17">
      <c r="A416" t="s">
        <v>1380</v>
      </c>
      <c r="B416" t="s">
        <v>144</v>
      </c>
      <c r="C416" t="s">
        <v>145</v>
      </c>
      <c r="D416" t="s">
        <v>70</v>
      </c>
      <c r="E416" t="s">
        <v>195</v>
      </c>
      <c r="F416" t="s">
        <v>196</v>
      </c>
      <c r="G416">
        <v>1872</v>
      </c>
      <c r="H416" t="s">
        <v>75</v>
      </c>
      <c r="I416">
        <v>46082</v>
      </c>
      <c r="J416" t="s">
        <v>1383</v>
      </c>
      <c r="K416" s="1401">
        <v>46088</v>
      </c>
      <c r="L416" s="1401">
        <v>46133</v>
      </c>
      <c r="M416" s="1401">
        <v>46142</v>
      </c>
      <c r="N416" s="1401">
        <v>46141</v>
      </c>
      <c r="O416" t="s">
        <v>973</v>
      </c>
      <c r="P416" s="1401">
        <v>46146</v>
      </c>
      <c r="Q416" s="1401">
        <v>46141</v>
      </c>
    </row>
    <row r="417" spans="1:17">
      <c r="A417" t="s">
        <v>1268</v>
      </c>
      <c r="B417" t="s">
        <v>144</v>
      </c>
      <c r="C417" t="s">
        <v>145</v>
      </c>
      <c r="D417" t="s">
        <v>70</v>
      </c>
      <c r="E417" t="s">
        <v>195</v>
      </c>
      <c r="F417" t="s">
        <v>196</v>
      </c>
      <c r="G417">
        <v>1872</v>
      </c>
      <c r="H417" t="s">
        <v>75</v>
      </c>
      <c r="I417">
        <v>46084</v>
      </c>
      <c r="J417" t="s">
        <v>1272</v>
      </c>
      <c r="K417" s="1401">
        <v>46088</v>
      </c>
      <c r="L417" s="1401">
        <v>46133</v>
      </c>
      <c r="M417" s="1401">
        <v>46142</v>
      </c>
      <c r="N417" s="1401">
        <v>46141</v>
      </c>
      <c r="O417" t="s">
        <v>973</v>
      </c>
      <c r="P417" s="1401">
        <v>46146</v>
      </c>
      <c r="Q417" s="1401">
        <v>46141</v>
      </c>
    </row>
    <row r="418" spans="1:17">
      <c r="A418" t="s">
        <v>254</v>
      </c>
      <c r="B418" t="s">
        <v>64</v>
      </c>
      <c r="C418" t="s">
        <v>100</v>
      </c>
      <c r="D418" t="s">
        <v>132</v>
      </c>
      <c r="E418" t="s">
        <v>189</v>
      </c>
      <c r="F418" t="s">
        <v>190</v>
      </c>
      <c r="G418">
        <v>864</v>
      </c>
      <c r="H418" t="s">
        <v>75</v>
      </c>
      <c r="I418">
        <v>46026</v>
      </c>
      <c r="J418" t="s">
        <v>255</v>
      </c>
      <c r="K418" s="1401">
        <v>46031</v>
      </c>
      <c r="L418" s="1401">
        <v>46080</v>
      </c>
      <c r="M418" s="1401">
        <v>46111</v>
      </c>
      <c r="N418" s="1401">
        <v>46111</v>
      </c>
      <c r="O418" t="s">
        <v>84</v>
      </c>
      <c r="P418" s="1401">
        <v>46146</v>
      </c>
      <c r="Q418" s="1401">
        <v>46118</v>
      </c>
    </row>
    <row r="419" spans="1:17">
      <c r="A419" t="s">
        <v>2097</v>
      </c>
      <c r="B419" t="s">
        <v>64</v>
      </c>
      <c r="C419" t="s">
        <v>65</v>
      </c>
      <c r="D419" t="s">
        <v>70</v>
      </c>
      <c r="E419" t="s">
        <v>706</v>
      </c>
      <c r="F419" t="s">
        <v>707</v>
      </c>
      <c r="G419">
        <v>864</v>
      </c>
      <c r="H419" t="s">
        <v>75</v>
      </c>
      <c r="I419">
        <v>46121</v>
      </c>
      <c r="J419" t="s">
        <v>2098</v>
      </c>
      <c r="K419" s="1401">
        <v>46128</v>
      </c>
      <c r="L419" s="1401">
        <v>46182</v>
      </c>
      <c r="M419" s="1401">
        <v>46196</v>
      </c>
      <c r="N419" s="1401">
        <v>46203</v>
      </c>
      <c r="O419" t="s">
        <v>973</v>
      </c>
      <c r="P419" s="1401">
        <v>46210</v>
      </c>
      <c r="Q419" s="1401">
        <v>46213</v>
      </c>
    </row>
    <row r="420" spans="1:17">
      <c r="A420" t="s">
        <v>2102</v>
      </c>
      <c r="B420" t="s">
        <v>64</v>
      </c>
      <c r="C420" t="s">
        <v>65</v>
      </c>
      <c r="D420" t="s">
        <v>70</v>
      </c>
      <c r="E420" t="s">
        <v>91</v>
      </c>
      <c r="F420" t="s">
        <v>92</v>
      </c>
      <c r="G420">
        <v>0</v>
      </c>
      <c r="H420" t="s">
        <v>75</v>
      </c>
      <c r="I420">
        <v>46121</v>
      </c>
      <c r="J420" t="s">
        <v>2103</v>
      </c>
      <c r="K420" s="1401">
        <v>46128</v>
      </c>
      <c r="L420" s="1401">
        <v>46182</v>
      </c>
      <c r="M420" s="1401">
        <v>46196</v>
      </c>
      <c r="N420" s="1401">
        <v>46203</v>
      </c>
      <c r="O420" t="s">
        <v>973</v>
      </c>
      <c r="P420" s="1401">
        <v>46209</v>
      </c>
      <c r="Q420" s="1401">
        <v>46213</v>
      </c>
    </row>
    <row r="421" spans="1:17">
      <c r="A421" t="s">
        <v>2171</v>
      </c>
      <c r="B421" t="s">
        <v>64</v>
      </c>
      <c r="C421" t="s">
        <v>65</v>
      </c>
      <c r="D421" t="s">
        <v>70</v>
      </c>
      <c r="E421" t="s">
        <v>691</v>
      </c>
      <c r="F421" t="s">
        <v>692</v>
      </c>
      <c r="G421">
        <v>3456</v>
      </c>
      <c r="H421" t="s">
        <v>75</v>
      </c>
      <c r="I421">
        <v>46128</v>
      </c>
      <c r="J421" t="s">
        <v>2173</v>
      </c>
      <c r="K421" s="1401">
        <v>46133</v>
      </c>
      <c r="L421" s="1401">
        <v>46195</v>
      </c>
      <c r="M421" s="1401">
        <v>46200</v>
      </c>
      <c r="N421" s="1401">
        <v>46203</v>
      </c>
      <c r="O421" t="s">
        <v>973</v>
      </c>
      <c r="P421" s="1401">
        <v>46216</v>
      </c>
      <c r="Q421" s="1401">
        <v>46211</v>
      </c>
    </row>
    <row r="422" spans="1:17">
      <c r="A422" t="s">
        <v>1155</v>
      </c>
      <c r="B422" t="s">
        <v>144</v>
      </c>
      <c r="C422" t="s">
        <v>145</v>
      </c>
      <c r="D422" t="s">
        <v>70</v>
      </c>
      <c r="E422" t="s">
        <v>1151</v>
      </c>
      <c r="F422" t="s">
        <v>421</v>
      </c>
      <c r="G422">
        <v>1728</v>
      </c>
      <c r="H422" t="s">
        <v>75</v>
      </c>
      <c r="I422">
        <v>46078</v>
      </c>
      <c r="J422" t="s">
        <v>1159</v>
      </c>
      <c r="K422" s="1401">
        <v>46084</v>
      </c>
      <c r="L422" s="1401">
        <v>46126</v>
      </c>
      <c r="M422" s="1401">
        <v>46142</v>
      </c>
      <c r="N422" s="1401">
        <v>46141</v>
      </c>
      <c r="O422" t="s">
        <v>973</v>
      </c>
      <c r="P422" s="1401">
        <v>46153</v>
      </c>
      <c r="Q422" s="1401">
        <v>46141</v>
      </c>
    </row>
    <row r="423" spans="1:17">
      <c r="A423" t="s">
        <v>2157</v>
      </c>
      <c r="B423" t="s">
        <v>64</v>
      </c>
      <c r="C423" t="s">
        <v>65</v>
      </c>
      <c r="D423" t="s">
        <v>550</v>
      </c>
      <c r="E423" t="s">
        <v>2134</v>
      </c>
      <c r="F423" t="s">
        <v>2135</v>
      </c>
      <c r="G423">
        <v>792</v>
      </c>
      <c r="H423" t="s">
        <v>75</v>
      </c>
      <c r="I423">
        <v>46128</v>
      </c>
      <c r="J423" t="s">
        <v>2158</v>
      </c>
      <c r="K423" s="1401">
        <v>46134</v>
      </c>
      <c r="L423" s="1401">
        <v>46175</v>
      </c>
      <c r="M423" s="1401">
        <v>46188</v>
      </c>
      <c r="N423" s="1401">
        <v>46191</v>
      </c>
      <c r="O423" t="s">
        <v>973</v>
      </c>
      <c r="P423" s="1401">
        <v>46205</v>
      </c>
      <c r="Q423" s="1401">
        <v>46199</v>
      </c>
    </row>
    <row r="424" spans="1:17">
      <c r="A424" t="s">
        <v>2149</v>
      </c>
      <c r="B424" t="s">
        <v>64</v>
      </c>
      <c r="C424" t="s">
        <v>65</v>
      </c>
      <c r="D424" t="s">
        <v>550</v>
      </c>
      <c r="E424" t="s">
        <v>551</v>
      </c>
      <c r="F424" t="s">
        <v>2151</v>
      </c>
      <c r="G424">
        <v>792</v>
      </c>
      <c r="H424" t="s">
        <v>75</v>
      </c>
      <c r="I424">
        <v>46129</v>
      </c>
      <c r="J424" t="s">
        <v>2153</v>
      </c>
      <c r="K424" s="1401">
        <v>46134</v>
      </c>
      <c r="L424" s="1401">
        <v>46175</v>
      </c>
      <c r="M424" s="1401">
        <v>46188</v>
      </c>
      <c r="N424" s="1401">
        <v>46191</v>
      </c>
      <c r="O424" t="s">
        <v>973</v>
      </c>
      <c r="P424" s="1401">
        <v>46205</v>
      </c>
      <c r="Q424" s="1401">
        <v>46199</v>
      </c>
    </row>
    <row r="425" spans="1:17">
      <c r="A425" t="s">
        <v>2206</v>
      </c>
      <c r="B425" t="s">
        <v>64</v>
      </c>
      <c r="C425" t="s">
        <v>310</v>
      </c>
      <c r="D425" t="s">
        <v>550</v>
      </c>
      <c r="E425" t="s">
        <v>2134</v>
      </c>
      <c r="F425" t="s">
        <v>2135</v>
      </c>
      <c r="G425">
        <v>1584</v>
      </c>
      <c r="H425" t="s">
        <v>75</v>
      </c>
      <c r="I425">
        <v>46130</v>
      </c>
      <c r="J425" t="s">
        <v>2207</v>
      </c>
      <c r="K425" s="1401">
        <v>46136</v>
      </c>
      <c r="L425" s="1401">
        <v>46183</v>
      </c>
      <c r="M425" s="1401">
        <v>46190</v>
      </c>
      <c r="N425" s="1401">
        <v>46190</v>
      </c>
      <c r="O425" t="s">
        <v>973</v>
      </c>
      <c r="P425" s="1401">
        <v>46204</v>
      </c>
      <c r="Q425" s="1401">
        <v>46200</v>
      </c>
    </row>
    <row r="426" spans="1:17">
      <c r="A426" t="s">
        <v>2208</v>
      </c>
      <c r="B426" t="s">
        <v>64</v>
      </c>
      <c r="C426" t="s">
        <v>310</v>
      </c>
      <c r="D426" t="s">
        <v>550</v>
      </c>
      <c r="E426" t="s">
        <v>2134</v>
      </c>
      <c r="F426" t="s">
        <v>2135</v>
      </c>
      <c r="G426">
        <v>3960</v>
      </c>
      <c r="H426" t="s">
        <v>75</v>
      </c>
      <c r="I426">
        <v>46130</v>
      </c>
      <c r="J426" t="s">
        <v>2210</v>
      </c>
      <c r="K426" s="1401">
        <v>46136</v>
      </c>
      <c r="L426" s="1401">
        <v>46183</v>
      </c>
      <c r="M426" s="1401">
        <v>46190</v>
      </c>
      <c r="N426" s="1401">
        <v>46190</v>
      </c>
      <c r="O426" t="s">
        <v>973</v>
      </c>
      <c r="P426" s="1401">
        <v>46204</v>
      </c>
      <c r="Q426" s="1401">
        <v>46200</v>
      </c>
    </row>
    <row r="427" spans="1:17">
      <c r="A427" t="s">
        <v>2200</v>
      </c>
      <c r="B427" t="s">
        <v>64</v>
      </c>
      <c r="C427" t="s">
        <v>310</v>
      </c>
      <c r="D427" t="s">
        <v>550</v>
      </c>
      <c r="E427" t="s">
        <v>551</v>
      </c>
      <c r="F427" t="s">
        <v>2151</v>
      </c>
      <c r="G427">
        <v>792</v>
      </c>
      <c r="H427" t="s">
        <v>75</v>
      </c>
      <c r="I427">
        <v>46131</v>
      </c>
      <c r="J427" t="s">
        <v>2202</v>
      </c>
      <c r="K427" s="1401">
        <v>46136</v>
      </c>
      <c r="L427" s="1401">
        <v>46183</v>
      </c>
      <c r="M427" s="1401">
        <v>46190</v>
      </c>
      <c r="N427" s="1401">
        <v>46190</v>
      </c>
      <c r="O427" t="s">
        <v>973</v>
      </c>
      <c r="P427" s="1401">
        <v>46204</v>
      </c>
      <c r="Q427" s="1401">
        <v>46200</v>
      </c>
    </row>
    <row r="428" spans="1:17">
      <c r="A428" t="s">
        <v>2195</v>
      </c>
      <c r="B428" t="s">
        <v>64</v>
      </c>
      <c r="C428" t="s">
        <v>450</v>
      </c>
      <c r="D428" t="s">
        <v>550</v>
      </c>
      <c r="E428" t="s">
        <v>2134</v>
      </c>
      <c r="F428" t="s">
        <v>2135</v>
      </c>
      <c r="G428">
        <v>3168</v>
      </c>
      <c r="H428" t="s">
        <v>75</v>
      </c>
      <c r="I428">
        <v>46135</v>
      </c>
      <c r="J428" t="s">
        <v>2196</v>
      </c>
      <c r="K428" s="1401">
        <v>46139</v>
      </c>
      <c r="L428" s="1401">
        <v>46180</v>
      </c>
      <c r="M428" s="1401">
        <v>46190</v>
      </c>
      <c r="N428" s="1401">
        <v>46194</v>
      </c>
      <c r="O428" t="s">
        <v>973</v>
      </c>
      <c r="P428" s="1401">
        <v>46205</v>
      </c>
      <c r="Q428" s="1401">
        <v>46201</v>
      </c>
    </row>
    <row r="429" spans="1:17">
      <c r="A429" t="s">
        <v>2189</v>
      </c>
      <c r="B429" t="s">
        <v>64</v>
      </c>
      <c r="C429" t="s">
        <v>100</v>
      </c>
      <c r="D429" t="s">
        <v>473</v>
      </c>
      <c r="E429" t="s">
        <v>474</v>
      </c>
      <c r="F429" t="s">
        <v>1319</v>
      </c>
      <c r="G429">
        <v>6912</v>
      </c>
      <c r="H429" t="s">
        <v>75</v>
      </c>
      <c r="I429">
        <v>46134</v>
      </c>
      <c r="J429" t="s">
        <v>2192</v>
      </c>
      <c r="K429" s="1401">
        <v>46138</v>
      </c>
      <c r="L429" s="1401">
        <v>46188</v>
      </c>
      <c r="M429" s="1401">
        <v>46188</v>
      </c>
      <c r="N429" s="1401">
        <v>46195</v>
      </c>
      <c r="O429" t="s">
        <v>973</v>
      </c>
      <c r="P429" s="1401">
        <v>46203</v>
      </c>
      <c r="Q429" s="1401">
        <v>46202</v>
      </c>
    </row>
    <row r="430" spans="1:17">
      <c r="A430" t="s">
        <v>2225</v>
      </c>
      <c r="B430" t="s">
        <v>64</v>
      </c>
      <c r="C430" t="s">
        <v>65</v>
      </c>
      <c r="D430" t="s">
        <v>70</v>
      </c>
      <c r="E430" t="s">
        <v>91</v>
      </c>
      <c r="F430" t="s">
        <v>92</v>
      </c>
      <c r="G430">
        <v>1872</v>
      </c>
      <c r="H430" t="s">
        <v>75</v>
      </c>
      <c r="I430">
        <v>46134</v>
      </c>
      <c r="J430" t="s">
        <v>2226</v>
      </c>
      <c r="K430" s="1401">
        <v>46138</v>
      </c>
      <c r="L430" s="1401">
        <v>46196</v>
      </c>
      <c r="M430" s="1401">
        <v>46207</v>
      </c>
      <c r="N430" s="1401">
        <v>46207</v>
      </c>
      <c r="O430" t="s">
        <v>973</v>
      </c>
      <c r="P430" s="1401">
        <v>46220</v>
      </c>
      <c r="Q430" s="1401">
        <v>46215</v>
      </c>
    </row>
    <row r="431" spans="1:17">
      <c r="A431" t="s">
        <v>2259</v>
      </c>
      <c r="B431" t="s">
        <v>64</v>
      </c>
      <c r="C431" t="s">
        <v>450</v>
      </c>
      <c r="D431" t="s">
        <v>70</v>
      </c>
      <c r="E431" t="s">
        <v>1151</v>
      </c>
      <c r="F431" t="s">
        <v>421</v>
      </c>
      <c r="G431">
        <v>4320</v>
      </c>
      <c r="H431" t="s">
        <v>75</v>
      </c>
      <c r="I431">
        <v>46130</v>
      </c>
      <c r="J431" t="s">
        <v>2262</v>
      </c>
      <c r="K431" s="1401">
        <v>46137</v>
      </c>
      <c r="L431" s="1401">
        <v>46187</v>
      </c>
      <c r="M431" s="1401">
        <v>46193</v>
      </c>
      <c r="N431" s="1401">
        <v>46195</v>
      </c>
      <c r="O431" t="s">
        <v>973</v>
      </c>
      <c r="P431" s="1401">
        <v>46206</v>
      </c>
      <c r="Q431" s="1401">
        <v>46202</v>
      </c>
    </row>
    <row r="432" spans="1:17">
      <c r="A432" t="s">
        <v>2251</v>
      </c>
      <c r="B432" t="s">
        <v>144</v>
      </c>
      <c r="C432" t="s">
        <v>145</v>
      </c>
      <c r="D432" t="s">
        <v>70</v>
      </c>
      <c r="E432" t="s">
        <v>195</v>
      </c>
      <c r="F432" t="s">
        <v>196</v>
      </c>
      <c r="G432">
        <v>1872</v>
      </c>
      <c r="H432" t="s">
        <v>75</v>
      </c>
      <c r="I432">
        <v>46132</v>
      </c>
      <c r="J432" t="s">
        <v>2254</v>
      </c>
      <c r="K432" s="1401">
        <v>46137</v>
      </c>
      <c r="L432" s="1401">
        <v>46182</v>
      </c>
      <c r="M432" s="1401">
        <v>46182</v>
      </c>
      <c r="N432" s="1401">
        <v>46193</v>
      </c>
      <c r="O432" t="s">
        <v>973</v>
      </c>
      <c r="P432" s="1401">
        <v>46178</v>
      </c>
      <c r="Q432" s="1401">
        <v>46193</v>
      </c>
    </row>
    <row r="433" spans="1:17">
      <c r="A433" t="s">
        <v>2245</v>
      </c>
      <c r="B433" t="s">
        <v>64</v>
      </c>
      <c r="C433" t="s">
        <v>450</v>
      </c>
      <c r="D433" t="s">
        <v>70</v>
      </c>
      <c r="E433" t="s">
        <v>195</v>
      </c>
      <c r="F433" t="s">
        <v>196</v>
      </c>
      <c r="G433">
        <v>1872</v>
      </c>
      <c r="H433" t="s">
        <v>75</v>
      </c>
      <c r="I433">
        <v>46130</v>
      </c>
      <c r="J433" t="s">
        <v>2246</v>
      </c>
      <c r="K433" s="1401">
        <v>46132</v>
      </c>
      <c r="L433" s="1401">
        <v>46183</v>
      </c>
      <c r="M433" s="1401">
        <v>46189</v>
      </c>
      <c r="N433" s="1401">
        <v>46191</v>
      </c>
      <c r="O433" t="s">
        <v>973</v>
      </c>
      <c r="P433" s="1401">
        <v>46204</v>
      </c>
      <c r="Q433" s="1401">
        <v>46198</v>
      </c>
    </row>
    <row r="434" spans="1:17">
      <c r="A434" t="s">
        <v>2274</v>
      </c>
      <c r="B434" t="s">
        <v>64</v>
      </c>
      <c r="C434" t="s">
        <v>100</v>
      </c>
      <c r="D434" t="s">
        <v>70</v>
      </c>
      <c r="E434" t="s">
        <v>1151</v>
      </c>
      <c r="F434" t="s">
        <v>421</v>
      </c>
      <c r="G434">
        <v>4320</v>
      </c>
      <c r="H434" t="s">
        <v>75</v>
      </c>
      <c r="I434">
        <v>46133</v>
      </c>
      <c r="J434" t="s">
        <v>2276</v>
      </c>
      <c r="K434" s="1401">
        <v>46138</v>
      </c>
      <c r="L434" s="1401">
        <v>46182</v>
      </c>
      <c r="M434" s="1401">
        <v>46185</v>
      </c>
      <c r="N434" s="1401">
        <v>46189</v>
      </c>
      <c r="O434" t="s">
        <v>973</v>
      </c>
      <c r="P434" s="1401">
        <v>46203</v>
      </c>
      <c r="Q434" s="1401">
        <v>46196</v>
      </c>
    </row>
    <row r="435" spans="1:17">
      <c r="A435" t="s">
        <v>2267</v>
      </c>
      <c r="B435" t="s">
        <v>64</v>
      </c>
      <c r="C435" t="s">
        <v>100</v>
      </c>
      <c r="D435" t="s">
        <v>70</v>
      </c>
      <c r="E435" t="s">
        <v>71</v>
      </c>
      <c r="F435" t="s">
        <v>72</v>
      </c>
      <c r="G435">
        <v>5184</v>
      </c>
      <c r="H435" t="s">
        <v>75</v>
      </c>
      <c r="I435">
        <v>46133</v>
      </c>
      <c r="J435" t="s">
        <v>2270</v>
      </c>
      <c r="K435" s="1401">
        <v>46138</v>
      </c>
      <c r="L435" s="1401">
        <v>46186</v>
      </c>
      <c r="M435" s="1401">
        <v>46186</v>
      </c>
      <c r="N435" s="1401">
        <v>46189</v>
      </c>
      <c r="O435" t="s">
        <v>973</v>
      </c>
      <c r="P435" s="1401">
        <v>46202</v>
      </c>
      <c r="Q435" s="1401">
        <v>46196</v>
      </c>
    </row>
    <row r="436" spans="1:17">
      <c r="A436" t="s">
        <v>2279</v>
      </c>
      <c r="B436" t="s">
        <v>64</v>
      </c>
      <c r="C436" t="s">
        <v>100</v>
      </c>
      <c r="D436" t="s">
        <v>70</v>
      </c>
      <c r="E436" t="s">
        <v>1151</v>
      </c>
      <c r="F436" t="s">
        <v>421</v>
      </c>
      <c r="G436">
        <v>5184</v>
      </c>
      <c r="H436" t="s">
        <v>75</v>
      </c>
      <c r="I436">
        <v>46135</v>
      </c>
      <c r="J436" t="s">
        <v>2280</v>
      </c>
      <c r="K436" s="1401">
        <v>46139</v>
      </c>
      <c r="L436" s="1401">
        <v>46207</v>
      </c>
      <c r="M436" s="1401">
        <v>46200</v>
      </c>
      <c r="N436" s="1401">
        <v>46200</v>
      </c>
      <c r="O436" t="s">
        <v>973</v>
      </c>
      <c r="P436" s="1401">
        <v>46213</v>
      </c>
      <c r="Q436" s="1401">
        <v>46207</v>
      </c>
    </row>
    <row r="437" spans="1:17">
      <c r="A437" t="s">
        <v>2243</v>
      </c>
      <c r="B437" t="s">
        <v>64</v>
      </c>
      <c r="C437" t="s">
        <v>65</v>
      </c>
      <c r="D437" t="s">
        <v>70</v>
      </c>
      <c r="E437" t="s">
        <v>91</v>
      </c>
      <c r="F437" t="s">
        <v>92</v>
      </c>
      <c r="G437">
        <v>2808</v>
      </c>
      <c r="H437" t="s">
        <v>75</v>
      </c>
      <c r="I437">
        <v>46129</v>
      </c>
      <c r="J437" t="s">
        <v>2244</v>
      </c>
      <c r="K437" s="1401">
        <v>46136</v>
      </c>
      <c r="L437" s="1401">
        <v>46192</v>
      </c>
      <c r="M437" s="1401">
        <v>46196</v>
      </c>
      <c r="N437" s="1401">
        <v>46198</v>
      </c>
      <c r="O437" t="s">
        <v>973</v>
      </c>
      <c r="P437" s="1401">
        <v>46210</v>
      </c>
      <c r="Q437" s="1401">
        <v>46208</v>
      </c>
    </row>
    <row r="438" spans="1:17">
      <c r="A438" t="s">
        <v>2241</v>
      </c>
      <c r="B438" t="s">
        <v>64</v>
      </c>
      <c r="C438" t="s">
        <v>65</v>
      </c>
      <c r="D438" t="s">
        <v>70</v>
      </c>
      <c r="E438" t="s">
        <v>91</v>
      </c>
      <c r="F438" t="s">
        <v>92</v>
      </c>
      <c r="G438">
        <v>936</v>
      </c>
      <c r="H438" t="s">
        <v>75</v>
      </c>
      <c r="I438">
        <v>46129</v>
      </c>
      <c r="J438" t="s">
        <v>2242</v>
      </c>
      <c r="K438" s="1401">
        <v>46136</v>
      </c>
      <c r="L438" s="1401">
        <v>46192</v>
      </c>
      <c r="M438" s="1401">
        <v>46196</v>
      </c>
      <c r="N438" s="1401">
        <v>46198</v>
      </c>
      <c r="O438" t="s">
        <v>973</v>
      </c>
      <c r="P438" s="1401">
        <v>46210</v>
      </c>
      <c r="Q438" s="1401">
        <v>46208</v>
      </c>
    </row>
    <row r="439" spans="1:17">
      <c r="A439" t="s">
        <v>2237</v>
      </c>
      <c r="B439" t="s">
        <v>64</v>
      </c>
      <c r="C439" t="s">
        <v>65</v>
      </c>
      <c r="D439" t="s">
        <v>70</v>
      </c>
      <c r="E439" t="s">
        <v>91</v>
      </c>
      <c r="F439" t="s">
        <v>92</v>
      </c>
      <c r="G439">
        <v>936</v>
      </c>
      <c r="H439" t="s">
        <v>75</v>
      </c>
      <c r="I439">
        <v>46129</v>
      </c>
      <c r="J439" t="s">
        <v>2238</v>
      </c>
      <c r="K439" s="1401">
        <v>46136</v>
      </c>
      <c r="L439" s="1401">
        <v>46192</v>
      </c>
      <c r="M439" s="1401">
        <v>46196</v>
      </c>
      <c r="N439" s="1401">
        <v>46198</v>
      </c>
      <c r="O439" t="s">
        <v>973</v>
      </c>
      <c r="P439" s="1401">
        <v>46210</v>
      </c>
      <c r="Q439" s="1401">
        <v>46208</v>
      </c>
    </row>
    <row r="440" spans="1:17">
      <c r="A440" t="s">
        <v>2239</v>
      </c>
      <c r="B440" t="s">
        <v>64</v>
      </c>
      <c r="C440" t="s">
        <v>65</v>
      </c>
      <c r="D440" t="s">
        <v>70</v>
      </c>
      <c r="E440" t="s">
        <v>91</v>
      </c>
      <c r="F440" t="s">
        <v>92</v>
      </c>
      <c r="G440">
        <v>936</v>
      </c>
      <c r="H440" t="s">
        <v>75</v>
      </c>
      <c r="I440">
        <v>46129</v>
      </c>
      <c r="J440" t="s">
        <v>2240</v>
      </c>
      <c r="K440" s="1401">
        <v>46136</v>
      </c>
      <c r="L440" s="1401">
        <v>46192</v>
      </c>
      <c r="M440" s="1401">
        <v>46196</v>
      </c>
      <c r="N440" s="1401">
        <v>46198</v>
      </c>
      <c r="O440" t="s">
        <v>973</v>
      </c>
      <c r="P440" s="1401">
        <v>46210</v>
      </c>
      <c r="Q440" s="1401">
        <v>46208</v>
      </c>
    </row>
    <row r="441" spans="1:17">
      <c r="A441" t="s">
        <v>2235</v>
      </c>
      <c r="B441" t="s">
        <v>64</v>
      </c>
      <c r="C441" t="s">
        <v>65</v>
      </c>
      <c r="D441" t="s">
        <v>70</v>
      </c>
      <c r="E441" t="s">
        <v>91</v>
      </c>
      <c r="F441" t="s">
        <v>92</v>
      </c>
      <c r="G441">
        <v>1872</v>
      </c>
      <c r="H441" t="s">
        <v>75</v>
      </c>
      <c r="I441">
        <v>46129</v>
      </c>
      <c r="J441" t="s">
        <v>2236</v>
      </c>
      <c r="K441" s="1401">
        <v>46136</v>
      </c>
      <c r="L441" s="1401">
        <v>46192</v>
      </c>
      <c r="M441" s="1401">
        <v>46196</v>
      </c>
      <c r="N441" s="1401">
        <v>46198</v>
      </c>
      <c r="O441" t="s">
        <v>973</v>
      </c>
      <c r="P441" s="1401">
        <v>46210</v>
      </c>
      <c r="Q441" s="1401">
        <v>46208</v>
      </c>
    </row>
    <row r="442" spans="1:17">
      <c r="A442" t="s">
        <v>2230</v>
      </c>
      <c r="B442" t="s">
        <v>64</v>
      </c>
      <c r="C442" t="s">
        <v>65</v>
      </c>
      <c r="D442" t="s">
        <v>70</v>
      </c>
      <c r="E442" t="s">
        <v>91</v>
      </c>
      <c r="F442" t="s">
        <v>92</v>
      </c>
      <c r="G442">
        <v>3744</v>
      </c>
      <c r="H442" t="s">
        <v>75</v>
      </c>
      <c r="I442">
        <v>46128</v>
      </c>
      <c r="J442" t="s">
        <v>2231</v>
      </c>
      <c r="K442" s="1401">
        <v>46136</v>
      </c>
      <c r="L442" s="1401">
        <v>46192</v>
      </c>
      <c r="M442" s="1401">
        <v>46196</v>
      </c>
      <c r="N442" s="1401">
        <v>46198</v>
      </c>
      <c r="O442" t="s">
        <v>973</v>
      </c>
      <c r="P442" s="1401">
        <v>46209</v>
      </c>
      <c r="Q442" s="1401">
        <v>46208</v>
      </c>
    </row>
    <row r="443" spans="1:17">
      <c r="A443" t="s">
        <v>2187</v>
      </c>
      <c r="B443" t="s">
        <v>64</v>
      </c>
      <c r="C443" t="s">
        <v>100</v>
      </c>
      <c r="D443" t="s">
        <v>550</v>
      </c>
      <c r="E443" t="s">
        <v>2134</v>
      </c>
      <c r="F443" t="s">
        <v>2135</v>
      </c>
      <c r="G443">
        <v>2376</v>
      </c>
      <c r="H443" t="s">
        <v>75</v>
      </c>
      <c r="I443">
        <v>46135</v>
      </c>
      <c r="J443" t="s">
        <v>2188</v>
      </c>
      <c r="K443" s="1401">
        <v>46139</v>
      </c>
      <c r="L443" s="1401">
        <v>46175</v>
      </c>
      <c r="M443" s="1401">
        <v>46179</v>
      </c>
      <c r="N443" s="1401">
        <v>46180</v>
      </c>
      <c r="O443" t="s">
        <v>973</v>
      </c>
      <c r="P443" s="1401">
        <v>46192</v>
      </c>
      <c r="Q443" s="1401">
        <v>46187</v>
      </c>
    </row>
    <row r="444" spans="1:17">
      <c r="A444" t="s">
        <v>2182</v>
      </c>
      <c r="B444" t="s">
        <v>64</v>
      </c>
      <c r="C444" t="s">
        <v>100</v>
      </c>
      <c r="D444" t="s">
        <v>550</v>
      </c>
      <c r="E444" t="s">
        <v>551</v>
      </c>
      <c r="F444" t="s">
        <v>2151</v>
      </c>
      <c r="G444">
        <v>1584</v>
      </c>
      <c r="H444" t="s">
        <v>75</v>
      </c>
      <c r="I444">
        <v>46135</v>
      </c>
      <c r="J444" t="s">
        <v>2184</v>
      </c>
      <c r="K444" s="1401">
        <v>46139</v>
      </c>
      <c r="L444" s="1401">
        <v>46175</v>
      </c>
      <c r="M444" s="1401">
        <v>46179</v>
      </c>
      <c r="N444" s="1401">
        <v>46180</v>
      </c>
      <c r="O444" t="s">
        <v>973</v>
      </c>
      <c r="P444" s="1401">
        <v>46192</v>
      </c>
      <c r="Q444" s="1401">
        <v>46187</v>
      </c>
    </row>
    <row r="445" spans="1:17">
      <c r="A445" t="s">
        <v>1847</v>
      </c>
      <c r="B445" t="s">
        <v>64</v>
      </c>
      <c r="C445" t="s">
        <v>65</v>
      </c>
      <c r="D445" t="s">
        <v>70</v>
      </c>
      <c r="E445" t="s">
        <v>204</v>
      </c>
      <c r="F445" t="s">
        <v>205</v>
      </c>
      <c r="G445">
        <v>1872</v>
      </c>
      <c r="H445" t="s">
        <v>75</v>
      </c>
      <c r="I445">
        <v>46098</v>
      </c>
      <c r="J445" t="s">
        <v>1848</v>
      </c>
      <c r="K445" s="1401">
        <v>46103</v>
      </c>
      <c r="L445" s="1401">
        <v>46161</v>
      </c>
      <c r="M445" s="1401">
        <v>46182</v>
      </c>
      <c r="N445" s="1401">
        <v>46183</v>
      </c>
      <c r="O445" t="s">
        <v>973</v>
      </c>
      <c r="P445" s="1401">
        <v>46196</v>
      </c>
      <c r="Q445" s="1401">
        <v>46191</v>
      </c>
    </row>
    <row r="446" spans="1:17">
      <c r="A446" t="s">
        <v>2221</v>
      </c>
      <c r="B446" t="s">
        <v>64</v>
      </c>
      <c r="C446" t="s">
        <v>114</v>
      </c>
      <c r="D446" t="s">
        <v>550</v>
      </c>
      <c r="E446" t="s">
        <v>2134</v>
      </c>
      <c r="F446" t="s">
        <v>2135</v>
      </c>
      <c r="G446">
        <v>1584</v>
      </c>
      <c r="H446" t="s">
        <v>75</v>
      </c>
      <c r="I446">
        <v>46136</v>
      </c>
      <c r="J446" t="s">
        <v>2222</v>
      </c>
      <c r="K446" s="1401">
        <v>46139</v>
      </c>
      <c r="L446" s="1401">
        <v>46184</v>
      </c>
      <c r="M446" s="1401">
        <v>46177</v>
      </c>
      <c r="N446" s="1401">
        <v>46178</v>
      </c>
      <c r="O446" t="s">
        <v>973</v>
      </c>
      <c r="P446" s="1401">
        <v>46191</v>
      </c>
      <c r="Q446" s="1401">
        <v>46187</v>
      </c>
    </row>
    <row r="447" spans="1:17">
      <c r="A447" t="s">
        <v>2216</v>
      </c>
      <c r="B447" t="s">
        <v>64</v>
      </c>
      <c r="C447" t="s">
        <v>310</v>
      </c>
      <c r="D447" t="s">
        <v>550</v>
      </c>
      <c r="E447" t="s">
        <v>2134</v>
      </c>
      <c r="F447" t="s">
        <v>2135</v>
      </c>
      <c r="G447">
        <v>2376</v>
      </c>
      <c r="H447" t="s">
        <v>75</v>
      </c>
      <c r="I447">
        <v>46136</v>
      </c>
      <c r="J447" t="s">
        <v>2217</v>
      </c>
      <c r="K447" s="1401">
        <v>46140</v>
      </c>
      <c r="L447" s="1401">
        <v>46199</v>
      </c>
      <c r="M447" s="1401">
        <v>46201</v>
      </c>
      <c r="N447" s="1401">
        <v>46198</v>
      </c>
      <c r="O447" t="s">
        <v>973</v>
      </c>
      <c r="P447" s="1401">
        <v>46212</v>
      </c>
      <c r="Q447" s="1401">
        <v>46208</v>
      </c>
    </row>
    <row r="448" spans="1:17">
      <c r="A448" t="s">
        <v>2211</v>
      </c>
      <c r="B448" t="s">
        <v>64</v>
      </c>
      <c r="C448" t="s">
        <v>65</v>
      </c>
      <c r="D448" t="s">
        <v>550</v>
      </c>
      <c r="E448" t="s">
        <v>2134</v>
      </c>
      <c r="F448" t="s">
        <v>2135</v>
      </c>
      <c r="G448">
        <v>3168</v>
      </c>
      <c r="H448" t="s">
        <v>75</v>
      </c>
      <c r="I448">
        <v>46136</v>
      </c>
      <c r="J448" t="s">
        <v>2213</v>
      </c>
      <c r="K448" s="1401">
        <v>46136</v>
      </c>
      <c r="L448" s="1401">
        <v>46188</v>
      </c>
      <c r="M448" s="1401">
        <v>46184</v>
      </c>
      <c r="N448" s="1401">
        <v>46184</v>
      </c>
      <c r="O448" t="s">
        <v>973</v>
      </c>
      <c r="P448" s="1401">
        <v>46199</v>
      </c>
      <c r="Q448" s="1401">
        <v>46192</v>
      </c>
    </row>
    <row r="449" spans="1:17">
      <c r="A449" t="s">
        <v>1448</v>
      </c>
      <c r="B449" t="s">
        <v>144</v>
      </c>
      <c r="C449" t="s">
        <v>145</v>
      </c>
      <c r="D449" t="s">
        <v>132</v>
      </c>
      <c r="E449" t="s">
        <v>1062</v>
      </c>
      <c r="F449" t="s">
        <v>1063</v>
      </c>
      <c r="G449">
        <v>2592</v>
      </c>
      <c r="H449" t="s">
        <v>75</v>
      </c>
      <c r="I449">
        <v>46086</v>
      </c>
      <c r="J449" t="s">
        <v>1452</v>
      </c>
      <c r="K449" s="1401">
        <v>46096</v>
      </c>
      <c r="L449" s="1401">
        <v>46133</v>
      </c>
      <c r="M449" s="1401">
        <v>46150</v>
      </c>
      <c r="N449" s="1401">
        <v>46148</v>
      </c>
      <c r="O449" t="s">
        <v>973</v>
      </c>
      <c r="P449" s="1401">
        <v>46139</v>
      </c>
      <c r="Q449" s="1401">
        <v>46148</v>
      </c>
    </row>
    <row r="450" spans="1:17">
      <c r="A450" t="s">
        <v>1455</v>
      </c>
      <c r="B450" t="s">
        <v>144</v>
      </c>
      <c r="C450" t="s">
        <v>145</v>
      </c>
      <c r="D450" t="s">
        <v>132</v>
      </c>
      <c r="E450" t="s">
        <v>1062</v>
      </c>
      <c r="F450" t="s">
        <v>1063</v>
      </c>
      <c r="G450">
        <v>1728</v>
      </c>
      <c r="H450" t="s">
        <v>75</v>
      </c>
      <c r="I450">
        <v>46086</v>
      </c>
      <c r="J450" t="s">
        <v>1457</v>
      </c>
      <c r="K450" s="1401">
        <v>46096</v>
      </c>
      <c r="L450" s="1401">
        <v>46133</v>
      </c>
      <c r="M450" s="1401">
        <v>46150</v>
      </c>
      <c r="N450" s="1401">
        <v>46148</v>
      </c>
      <c r="O450" t="s">
        <v>973</v>
      </c>
      <c r="P450" s="1401">
        <v>46164</v>
      </c>
      <c r="Q450" s="1401">
        <v>46148</v>
      </c>
    </row>
    <row r="451" spans="1:17">
      <c r="A451" t="s">
        <v>1261</v>
      </c>
      <c r="B451" t="s">
        <v>144</v>
      </c>
      <c r="C451" t="s">
        <v>145</v>
      </c>
      <c r="D451" t="s">
        <v>70</v>
      </c>
      <c r="E451" t="s">
        <v>195</v>
      </c>
      <c r="F451" t="s">
        <v>196</v>
      </c>
      <c r="G451">
        <v>936</v>
      </c>
      <c r="H451" t="s">
        <v>75</v>
      </c>
      <c r="I451">
        <v>46084</v>
      </c>
      <c r="J451" t="s">
        <v>1265</v>
      </c>
      <c r="K451" s="1401">
        <v>46088</v>
      </c>
      <c r="L451" s="1401">
        <v>46133</v>
      </c>
      <c r="M451" s="1401">
        <v>46142</v>
      </c>
      <c r="N451" s="1401">
        <v>46141</v>
      </c>
      <c r="O451" t="s">
        <v>973</v>
      </c>
      <c r="P451" s="1401">
        <v>46146</v>
      </c>
      <c r="Q451" s="1401">
        <v>46141</v>
      </c>
    </row>
    <row r="452" spans="1:17">
      <c r="A452" t="s">
        <v>1284</v>
      </c>
      <c r="B452" t="s">
        <v>144</v>
      </c>
      <c r="C452" t="s">
        <v>145</v>
      </c>
      <c r="D452" t="s">
        <v>70</v>
      </c>
      <c r="E452" t="s">
        <v>195</v>
      </c>
      <c r="F452" t="s">
        <v>196</v>
      </c>
      <c r="G452">
        <v>3744</v>
      </c>
      <c r="H452" t="s">
        <v>75</v>
      </c>
      <c r="I452">
        <v>46084</v>
      </c>
      <c r="J452" t="s">
        <v>1277</v>
      </c>
      <c r="K452" s="1401">
        <v>46088</v>
      </c>
      <c r="L452" s="1401">
        <v>46133</v>
      </c>
      <c r="M452" s="1401">
        <v>46142</v>
      </c>
      <c r="N452" s="1401">
        <v>46141</v>
      </c>
      <c r="O452" t="s">
        <v>973</v>
      </c>
      <c r="P452" s="1401">
        <v>46146</v>
      </c>
      <c r="Q452" s="1401">
        <v>46141</v>
      </c>
    </row>
    <row r="453" spans="1:17">
      <c r="A453" t="s">
        <v>1274</v>
      </c>
      <c r="B453" t="s">
        <v>144</v>
      </c>
      <c r="C453" t="s">
        <v>145</v>
      </c>
      <c r="D453" t="s">
        <v>70</v>
      </c>
      <c r="E453" t="s">
        <v>195</v>
      </c>
      <c r="F453" t="s">
        <v>196</v>
      </c>
      <c r="G453">
        <v>936</v>
      </c>
      <c r="H453" t="s">
        <v>75</v>
      </c>
      <c r="I453">
        <v>46084</v>
      </c>
      <c r="J453" t="s">
        <v>1277</v>
      </c>
      <c r="K453" s="1401">
        <v>46088</v>
      </c>
      <c r="L453" s="1401">
        <v>46133</v>
      </c>
      <c r="M453" s="1401">
        <v>46142</v>
      </c>
      <c r="N453" s="1401">
        <v>46141</v>
      </c>
      <c r="O453" t="s">
        <v>973</v>
      </c>
      <c r="P453" s="1401">
        <v>46146</v>
      </c>
      <c r="Q453" s="1401">
        <v>46141</v>
      </c>
    </row>
    <row r="454" spans="1:17">
      <c r="A454" t="s">
        <v>1867</v>
      </c>
      <c r="B454" t="s">
        <v>144</v>
      </c>
      <c r="C454" t="s">
        <v>145</v>
      </c>
      <c r="D454" t="s">
        <v>132</v>
      </c>
      <c r="E454" t="s">
        <v>189</v>
      </c>
      <c r="F454" t="s">
        <v>190</v>
      </c>
      <c r="G454">
        <v>3456</v>
      </c>
      <c r="H454" t="s">
        <v>75</v>
      </c>
      <c r="I454">
        <v>46103</v>
      </c>
      <c r="J454" t="s">
        <v>1869</v>
      </c>
      <c r="K454" s="1401">
        <v>46110</v>
      </c>
      <c r="L454" s="1401">
        <v>46147</v>
      </c>
      <c r="M454" s="1401">
        <v>46154</v>
      </c>
      <c r="N454" s="1401">
        <v>46157</v>
      </c>
      <c r="O454" t="s">
        <v>973</v>
      </c>
      <c r="P454" s="1401">
        <v>46139</v>
      </c>
      <c r="Q454" s="1401">
        <v>46157</v>
      </c>
    </row>
    <row r="455" spans="1:17">
      <c r="A455" t="s">
        <v>1871</v>
      </c>
      <c r="B455" t="s">
        <v>144</v>
      </c>
      <c r="C455" t="s">
        <v>145</v>
      </c>
      <c r="D455" t="s">
        <v>132</v>
      </c>
      <c r="E455" t="s">
        <v>189</v>
      </c>
      <c r="F455" t="s">
        <v>190</v>
      </c>
      <c r="G455">
        <v>864</v>
      </c>
      <c r="H455" t="s">
        <v>75</v>
      </c>
      <c r="I455">
        <v>46103</v>
      </c>
      <c r="J455" t="s">
        <v>1872</v>
      </c>
      <c r="K455" s="1401">
        <v>46110</v>
      </c>
      <c r="L455" s="1401">
        <v>46147</v>
      </c>
      <c r="M455" s="1401">
        <v>46154</v>
      </c>
      <c r="N455" s="1401">
        <v>46157</v>
      </c>
      <c r="O455" t="s">
        <v>973</v>
      </c>
      <c r="P455" s="1401">
        <v>46167</v>
      </c>
      <c r="Q455" s="1401">
        <v>46157</v>
      </c>
    </row>
    <row r="456" spans="1:17">
      <c r="A456" t="s">
        <v>1873</v>
      </c>
      <c r="B456" t="s">
        <v>64</v>
      </c>
      <c r="C456" t="s">
        <v>100</v>
      </c>
      <c r="D456" t="s">
        <v>132</v>
      </c>
      <c r="E456" t="s">
        <v>189</v>
      </c>
      <c r="F456" t="s">
        <v>190</v>
      </c>
      <c r="G456">
        <v>2592</v>
      </c>
      <c r="H456" t="s">
        <v>75</v>
      </c>
      <c r="I456">
        <v>46103</v>
      </c>
      <c r="J456" t="s">
        <v>1874</v>
      </c>
      <c r="K456" s="1401">
        <v>46110</v>
      </c>
      <c r="L456" s="1401">
        <v>46147</v>
      </c>
      <c r="M456" s="1401">
        <v>46154</v>
      </c>
      <c r="N456" s="1401">
        <v>46157</v>
      </c>
      <c r="O456" t="s">
        <v>973</v>
      </c>
      <c r="P456" s="1401">
        <v>46173</v>
      </c>
      <c r="Q456" s="1401">
        <v>46164</v>
      </c>
    </row>
    <row r="457" spans="1:17">
      <c r="A457" t="s">
        <v>2052</v>
      </c>
      <c r="B457" t="s">
        <v>144</v>
      </c>
      <c r="C457" t="s">
        <v>145</v>
      </c>
      <c r="D457" t="s">
        <v>70</v>
      </c>
      <c r="E457" t="s">
        <v>195</v>
      </c>
      <c r="F457" t="s">
        <v>196</v>
      </c>
      <c r="G457">
        <v>10296</v>
      </c>
      <c r="H457" t="s">
        <v>75</v>
      </c>
      <c r="I457">
        <v>46120</v>
      </c>
      <c r="J457" t="s">
        <v>2055</v>
      </c>
      <c r="K457" s="1401">
        <v>46124</v>
      </c>
      <c r="L457" s="1401">
        <v>46161</v>
      </c>
      <c r="M457" s="1401">
        <v>46172</v>
      </c>
      <c r="N457" s="1401">
        <v>46174</v>
      </c>
      <c r="O457" t="s">
        <v>973</v>
      </c>
      <c r="P457" s="1401">
        <v>46168</v>
      </c>
      <c r="Q457" s="1401">
        <v>46174</v>
      </c>
    </row>
    <row r="458" spans="1:17">
      <c r="A458" t="s">
        <v>2059</v>
      </c>
      <c r="B458" t="s">
        <v>144</v>
      </c>
      <c r="C458" t="s">
        <v>145</v>
      </c>
      <c r="D458" t="s">
        <v>70</v>
      </c>
      <c r="E458" t="s">
        <v>195</v>
      </c>
      <c r="F458" t="s">
        <v>196</v>
      </c>
      <c r="G458">
        <v>2808</v>
      </c>
      <c r="H458" t="s">
        <v>75</v>
      </c>
      <c r="I458">
        <v>46121</v>
      </c>
      <c r="J458" t="s">
        <v>2060</v>
      </c>
      <c r="K458" s="1401">
        <v>46124</v>
      </c>
      <c r="L458" s="1401">
        <v>46169</v>
      </c>
      <c r="M458" s="1401">
        <v>46172</v>
      </c>
      <c r="N458" s="1401">
        <v>46170</v>
      </c>
      <c r="O458" t="s">
        <v>973</v>
      </c>
      <c r="P458" s="1401">
        <v>46184</v>
      </c>
      <c r="Q458" s="1401">
        <v>46170</v>
      </c>
    </row>
    <row r="459" spans="1:17">
      <c r="A459" t="s">
        <v>2402</v>
      </c>
      <c r="B459" t="s">
        <v>144</v>
      </c>
      <c r="C459" t="s">
        <v>145</v>
      </c>
      <c r="D459" t="s">
        <v>70</v>
      </c>
      <c r="E459" t="s">
        <v>71</v>
      </c>
      <c r="F459" t="s">
        <v>72</v>
      </c>
      <c r="G459">
        <v>4320</v>
      </c>
      <c r="H459" t="s">
        <v>75</v>
      </c>
      <c r="I459">
        <v>46136</v>
      </c>
      <c r="J459" t="s">
        <v>2403</v>
      </c>
      <c r="K459" s="1401">
        <v>46144</v>
      </c>
      <c r="L459" s="1401">
        <v>46208</v>
      </c>
      <c r="M459" s="1401">
        <v>46206</v>
      </c>
      <c r="N459" s="1401">
        <v>46207</v>
      </c>
      <c r="O459" t="s">
        <v>973</v>
      </c>
      <c r="P459" s="1401">
        <v>46203</v>
      </c>
      <c r="Q459" s="1401">
        <v>46207</v>
      </c>
    </row>
    <row r="460" spans="1:17">
      <c r="A460" t="s">
        <v>2393</v>
      </c>
      <c r="B460" t="s">
        <v>144</v>
      </c>
      <c r="C460" t="s">
        <v>145</v>
      </c>
      <c r="D460" t="s">
        <v>70</v>
      </c>
      <c r="E460" t="s">
        <v>71</v>
      </c>
      <c r="F460" t="s">
        <v>72</v>
      </c>
      <c r="G460">
        <v>5184</v>
      </c>
      <c r="H460" t="s">
        <v>75</v>
      </c>
      <c r="I460">
        <v>46136</v>
      </c>
      <c r="J460" t="s">
        <v>2397</v>
      </c>
      <c r="K460" s="1401">
        <v>46144</v>
      </c>
      <c r="L460" s="1401">
        <v>46208</v>
      </c>
      <c r="M460" s="1401">
        <v>46206</v>
      </c>
      <c r="N460" s="1401">
        <v>46207</v>
      </c>
      <c r="O460" t="s">
        <v>973</v>
      </c>
      <c r="P460" s="1401">
        <v>46203</v>
      </c>
      <c r="Q460" s="1401">
        <v>46207</v>
      </c>
    </row>
    <row r="461" spans="1:17">
      <c r="A461" t="s">
        <v>2354</v>
      </c>
      <c r="B461" t="s">
        <v>64</v>
      </c>
      <c r="C461" t="s">
        <v>310</v>
      </c>
      <c r="D461" t="s">
        <v>550</v>
      </c>
      <c r="E461" t="s">
        <v>551</v>
      </c>
      <c r="F461" t="s">
        <v>2151</v>
      </c>
      <c r="G461">
        <v>2376</v>
      </c>
      <c r="H461" t="s">
        <v>75</v>
      </c>
      <c r="I461">
        <v>46138</v>
      </c>
      <c r="J461" t="s">
        <v>2355</v>
      </c>
      <c r="K461" s="1401">
        <v>46143</v>
      </c>
      <c r="L461" s="1401">
        <v>46190</v>
      </c>
      <c r="M461" s="1401">
        <v>46197</v>
      </c>
      <c r="N461" s="1401">
        <v>46198</v>
      </c>
      <c r="O461" t="s">
        <v>973</v>
      </c>
      <c r="P461" s="1401">
        <v>46212</v>
      </c>
      <c r="Q461" s="1401">
        <v>46208</v>
      </c>
    </row>
    <row r="462" spans="1:17">
      <c r="A462" t="s">
        <v>2348</v>
      </c>
      <c r="B462" t="s">
        <v>64</v>
      </c>
      <c r="C462" t="s">
        <v>310</v>
      </c>
      <c r="D462" t="s">
        <v>550</v>
      </c>
      <c r="E462" t="s">
        <v>2134</v>
      </c>
      <c r="F462" t="s">
        <v>2135</v>
      </c>
      <c r="G462">
        <v>792</v>
      </c>
      <c r="H462" t="s">
        <v>75</v>
      </c>
      <c r="I462">
        <v>46138</v>
      </c>
      <c r="J462" t="s">
        <v>2350</v>
      </c>
      <c r="K462" s="1401">
        <v>46143</v>
      </c>
      <c r="L462" s="1401">
        <v>46190</v>
      </c>
      <c r="M462" s="1401">
        <v>46197</v>
      </c>
      <c r="N462" s="1401">
        <v>46198</v>
      </c>
      <c r="O462" t="s">
        <v>973</v>
      </c>
      <c r="P462" s="1401">
        <v>46212</v>
      </c>
      <c r="Q462" s="1401">
        <v>46208</v>
      </c>
    </row>
    <row r="463" spans="1:17">
      <c r="A463" t="s">
        <v>2338</v>
      </c>
      <c r="B463" t="s">
        <v>64</v>
      </c>
      <c r="C463" t="s">
        <v>100</v>
      </c>
      <c r="D463" t="s">
        <v>473</v>
      </c>
      <c r="E463" t="s">
        <v>474</v>
      </c>
      <c r="F463" t="s">
        <v>1319</v>
      </c>
      <c r="G463">
        <v>1728</v>
      </c>
      <c r="H463" t="s">
        <v>75</v>
      </c>
      <c r="I463">
        <v>46138</v>
      </c>
      <c r="J463" t="s">
        <v>2339</v>
      </c>
      <c r="K463" s="1401">
        <v>46144</v>
      </c>
      <c r="L463" s="1401">
        <v>46186</v>
      </c>
      <c r="M463" s="1401">
        <v>46200</v>
      </c>
      <c r="N463" s="1401">
        <v>46201</v>
      </c>
      <c r="O463" t="s">
        <v>973</v>
      </c>
      <c r="P463" s="1401">
        <v>46213</v>
      </c>
      <c r="Q463" s="1401">
        <v>46208</v>
      </c>
    </row>
    <row r="464" spans="1:17">
      <c r="A464" t="s">
        <v>2340</v>
      </c>
      <c r="B464" t="s">
        <v>64</v>
      </c>
      <c r="C464" t="s">
        <v>100</v>
      </c>
      <c r="D464" t="s">
        <v>473</v>
      </c>
      <c r="E464" t="s">
        <v>474</v>
      </c>
      <c r="F464" t="s">
        <v>1319</v>
      </c>
      <c r="G464">
        <v>2592</v>
      </c>
      <c r="H464" t="s">
        <v>75</v>
      </c>
      <c r="I464">
        <v>46138</v>
      </c>
      <c r="J464" t="s">
        <v>2341</v>
      </c>
      <c r="K464" s="1401">
        <v>46144</v>
      </c>
      <c r="L464" s="1401">
        <v>46186</v>
      </c>
      <c r="M464" s="1401">
        <v>46200</v>
      </c>
      <c r="N464" s="1401">
        <v>46201</v>
      </c>
      <c r="O464" t="s">
        <v>973</v>
      </c>
      <c r="P464" s="1401">
        <v>46213</v>
      </c>
      <c r="Q464" s="1401">
        <v>46208</v>
      </c>
    </row>
    <row r="465" spans="1:17">
      <c r="A465" t="s">
        <v>2334</v>
      </c>
      <c r="B465" t="s">
        <v>64</v>
      </c>
      <c r="C465" t="s">
        <v>100</v>
      </c>
      <c r="D465" t="s">
        <v>473</v>
      </c>
      <c r="E465" t="s">
        <v>474</v>
      </c>
      <c r="F465" t="s">
        <v>1319</v>
      </c>
      <c r="G465">
        <v>1728</v>
      </c>
      <c r="H465" t="s">
        <v>75</v>
      </c>
      <c r="I465">
        <v>46138</v>
      </c>
      <c r="J465" t="s">
        <v>2335</v>
      </c>
      <c r="K465" s="1401">
        <v>46144</v>
      </c>
      <c r="L465" s="1401">
        <v>46186</v>
      </c>
      <c r="M465" s="1401">
        <v>46200</v>
      </c>
      <c r="N465" s="1401">
        <v>46201</v>
      </c>
      <c r="O465" t="s">
        <v>973</v>
      </c>
      <c r="P465" s="1401">
        <v>46213</v>
      </c>
      <c r="Q465" s="1401">
        <v>46208</v>
      </c>
    </row>
    <row r="466" spans="1:17">
      <c r="A466" t="s">
        <v>2306</v>
      </c>
      <c r="B466" t="s">
        <v>64</v>
      </c>
      <c r="C466">
        <v>0</v>
      </c>
      <c r="D466" t="s">
        <v>70</v>
      </c>
      <c r="E466" t="s">
        <v>2308</v>
      </c>
      <c r="F466" t="s">
        <v>1484</v>
      </c>
      <c r="G466">
        <v>1188</v>
      </c>
      <c r="H466" t="s">
        <v>75</v>
      </c>
      <c r="I466">
        <v>46138</v>
      </c>
      <c r="J466" t="s">
        <v>2309</v>
      </c>
      <c r="K466" s="1401">
        <v>46144</v>
      </c>
      <c r="L466" s="1401">
        <v>46197</v>
      </c>
      <c r="M466" s="1401">
        <v>46214</v>
      </c>
      <c r="N466" s="1401">
        <v>46213</v>
      </c>
      <c r="O466" t="s">
        <v>973</v>
      </c>
      <c r="P466" s="1401">
        <v>46231</v>
      </c>
      <c r="Q466" s="1401">
        <v>46220</v>
      </c>
    </row>
    <row r="467" spans="1:17">
      <c r="A467" t="s">
        <v>2296</v>
      </c>
      <c r="B467" t="s">
        <v>64</v>
      </c>
      <c r="C467">
        <v>0</v>
      </c>
      <c r="D467" t="s">
        <v>70</v>
      </c>
      <c r="E467" t="s">
        <v>2299</v>
      </c>
      <c r="F467" t="s">
        <v>1682</v>
      </c>
      <c r="G467">
        <v>4752</v>
      </c>
      <c r="H467" t="s">
        <v>75</v>
      </c>
      <c r="I467">
        <v>46138</v>
      </c>
      <c r="J467" t="s">
        <v>2300</v>
      </c>
      <c r="K467" s="1401">
        <v>46144</v>
      </c>
      <c r="L467" s="1401">
        <v>46197</v>
      </c>
      <c r="M467" s="1401">
        <v>46214</v>
      </c>
      <c r="N467" s="1401">
        <v>46213</v>
      </c>
      <c r="O467" t="s">
        <v>973</v>
      </c>
      <c r="P467" s="1401">
        <v>46231</v>
      </c>
      <c r="Q467" s="1401">
        <v>46220</v>
      </c>
    </row>
    <row r="468" spans="1:17">
      <c r="A468" t="s">
        <v>2371</v>
      </c>
      <c r="B468" t="s">
        <v>64</v>
      </c>
      <c r="C468" t="s">
        <v>100</v>
      </c>
      <c r="D468" t="s">
        <v>70</v>
      </c>
      <c r="E468" t="s">
        <v>965</v>
      </c>
      <c r="F468" t="s">
        <v>966</v>
      </c>
      <c r="G468">
        <v>4680</v>
      </c>
      <c r="H468" t="s">
        <v>75</v>
      </c>
      <c r="I468">
        <v>46141</v>
      </c>
      <c r="J468" t="s">
        <v>2374</v>
      </c>
      <c r="K468" s="1401">
        <v>46146</v>
      </c>
      <c r="L468" s="1401">
        <v>46189</v>
      </c>
      <c r="M468" s="1401">
        <v>46197</v>
      </c>
      <c r="N468" s="1401">
        <v>46197</v>
      </c>
      <c r="O468" t="s">
        <v>973</v>
      </c>
      <c r="P468" s="1401">
        <v>46211</v>
      </c>
      <c r="Q468" s="1401">
        <v>46204</v>
      </c>
    </row>
    <row r="469" spans="1:17">
      <c r="A469" t="s">
        <v>2366</v>
      </c>
      <c r="B469" t="s">
        <v>64</v>
      </c>
      <c r="C469" t="s">
        <v>100</v>
      </c>
      <c r="D469" t="s">
        <v>70</v>
      </c>
      <c r="E469" t="s">
        <v>1151</v>
      </c>
      <c r="F469" t="s">
        <v>421</v>
      </c>
      <c r="G469">
        <v>864</v>
      </c>
      <c r="H469" t="s">
        <v>75</v>
      </c>
      <c r="I469">
        <v>46141</v>
      </c>
      <c r="J469" t="s">
        <v>2367</v>
      </c>
      <c r="K469" s="1401">
        <v>46146</v>
      </c>
      <c r="L469" s="1401">
        <v>46200</v>
      </c>
      <c r="M469" s="1401">
        <v>46200</v>
      </c>
      <c r="N469" s="1401">
        <v>46202</v>
      </c>
      <c r="O469" t="s">
        <v>973</v>
      </c>
      <c r="P469" s="1401">
        <v>46216</v>
      </c>
      <c r="Q469" s="1401">
        <v>46209</v>
      </c>
    </row>
    <row r="470" spans="1:17">
      <c r="A470" t="s">
        <v>2387</v>
      </c>
      <c r="B470" t="s">
        <v>144</v>
      </c>
      <c r="C470" t="s">
        <v>145</v>
      </c>
      <c r="D470" t="s">
        <v>70</v>
      </c>
      <c r="E470" t="s">
        <v>71</v>
      </c>
      <c r="F470" t="s">
        <v>72</v>
      </c>
      <c r="G470">
        <v>864</v>
      </c>
      <c r="H470" t="s">
        <v>75</v>
      </c>
      <c r="I470">
        <v>46141</v>
      </c>
      <c r="J470" t="s">
        <v>2390</v>
      </c>
      <c r="K470" s="1401">
        <v>46146</v>
      </c>
      <c r="L470" s="1401">
        <v>46204</v>
      </c>
      <c r="M470" s="1401">
        <v>46211</v>
      </c>
      <c r="N470" s="1401">
        <v>46211</v>
      </c>
      <c r="O470" t="s">
        <v>973</v>
      </c>
      <c r="P470" s="1401">
        <v>46204</v>
      </c>
      <c r="Q470" s="1401">
        <v>46211</v>
      </c>
    </row>
    <row r="471" spans="1:17">
      <c r="A471" t="s">
        <v>2362</v>
      </c>
      <c r="B471" t="s">
        <v>64</v>
      </c>
      <c r="C471" t="s">
        <v>114</v>
      </c>
      <c r="D471" t="s">
        <v>550</v>
      </c>
      <c r="E471" t="s">
        <v>551</v>
      </c>
      <c r="F471" t="s">
        <v>2151</v>
      </c>
      <c r="G471">
        <v>1584</v>
      </c>
      <c r="H471" t="s">
        <v>75</v>
      </c>
      <c r="I471">
        <v>46141</v>
      </c>
      <c r="J471" t="s">
        <v>2363</v>
      </c>
      <c r="K471" s="1401">
        <v>46147</v>
      </c>
      <c r="L471" s="1401">
        <v>46184</v>
      </c>
      <c r="M471" s="1401">
        <v>46185</v>
      </c>
      <c r="N471" s="1401">
        <v>46192</v>
      </c>
      <c r="O471" t="s">
        <v>973</v>
      </c>
      <c r="P471" s="1401">
        <v>46206</v>
      </c>
      <c r="Q471" s="1401">
        <v>46201</v>
      </c>
    </row>
    <row r="472" spans="1:17">
      <c r="A472" t="s">
        <v>2356</v>
      </c>
      <c r="B472" t="s">
        <v>64</v>
      </c>
      <c r="C472" t="s">
        <v>310</v>
      </c>
      <c r="D472" t="s">
        <v>550</v>
      </c>
      <c r="E472" t="s">
        <v>551</v>
      </c>
      <c r="F472" t="s">
        <v>2151</v>
      </c>
      <c r="G472">
        <v>1584</v>
      </c>
      <c r="H472" t="s">
        <v>75</v>
      </c>
      <c r="I472">
        <v>46141</v>
      </c>
      <c r="J472" t="s">
        <v>2358</v>
      </c>
      <c r="K472" s="1401">
        <v>46147</v>
      </c>
      <c r="L472" s="1401">
        <v>46206</v>
      </c>
      <c r="M472" s="1401"/>
      <c r="N472" s="1401">
        <v>46205</v>
      </c>
      <c r="O472" t="s">
        <v>973</v>
      </c>
      <c r="P472" s="1401">
        <v>46219</v>
      </c>
      <c r="Q472" s="1401">
        <v>46215</v>
      </c>
    </row>
    <row r="473" spans="1:17">
      <c r="A473" t="s">
        <v>2332</v>
      </c>
      <c r="B473" t="s">
        <v>64</v>
      </c>
      <c r="C473" t="s">
        <v>100</v>
      </c>
      <c r="D473" t="s">
        <v>550</v>
      </c>
      <c r="E473" t="s">
        <v>2134</v>
      </c>
      <c r="F473" t="s">
        <v>2135</v>
      </c>
      <c r="G473">
        <v>1584</v>
      </c>
      <c r="H473" t="s">
        <v>75</v>
      </c>
      <c r="I473">
        <v>46139</v>
      </c>
      <c r="J473" t="s">
        <v>2333</v>
      </c>
      <c r="K473" s="1401">
        <v>46144</v>
      </c>
      <c r="L473" s="1401">
        <v>46186</v>
      </c>
      <c r="M473" s="1401">
        <v>46200</v>
      </c>
      <c r="N473" s="1401">
        <v>46201</v>
      </c>
      <c r="O473" t="s">
        <v>973</v>
      </c>
      <c r="P473" s="1401">
        <v>46213</v>
      </c>
      <c r="Q473" s="1401">
        <v>46208</v>
      </c>
    </row>
    <row r="474" spans="1:17">
      <c r="A474" t="s">
        <v>2342</v>
      </c>
      <c r="B474" t="s">
        <v>64</v>
      </c>
      <c r="C474" t="s">
        <v>65</v>
      </c>
      <c r="D474" t="s">
        <v>550</v>
      </c>
      <c r="E474" t="s">
        <v>551</v>
      </c>
      <c r="F474" t="s">
        <v>2151</v>
      </c>
      <c r="G474">
        <v>1584</v>
      </c>
      <c r="H474" t="s">
        <v>75</v>
      </c>
      <c r="I474">
        <v>46141</v>
      </c>
      <c r="J474" t="s">
        <v>2344</v>
      </c>
      <c r="K474" s="1401">
        <v>46147</v>
      </c>
      <c r="L474" s="1401">
        <v>46189</v>
      </c>
      <c r="M474" s="1401">
        <v>46196</v>
      </c>
      <c r="N474" s="1401">
        <v>46196</v>
      </c>
      <c r="O474" t="s">
        <v>973</v>
      </c>
      <c r="P474" s="1401">
        <v>46209</v>
      </c>
      <c r="Q474" s="1401">
        <v>46204</v>
      </c>
    </row>
    <row r="475" spans="1:17">
      <c r="A475" t="s">
        <v>2327</v>
      </c>
      <c r="B475" t="s">
        <v>64</v>
      </c>
      <c r="C475" t="s">
        <v>100</v>
      </c>
      <c r="D475" t="s">
        <v>550</v>
      </c>
      <c r="E475" t="s">
        <v>551</v>
      </c>
      <c r="F475" t="s">
        <v>2151</v>
      </c>
      <c r="G475">
        <v>1584</v>
      </c>
      <c r="H475" t="s">
        <v>75</v>
      </c>
      <c r="I475">
        <v>46139</v>
      </c>
      <c r="J475" t="s">
        <v>2329</v>
      </c>
      <c r="K475" s="1401">
        <v>46144</v>
      </c>
      <c r="L475" s="1401">
        <v>46186</v>
      </c>
      <c r="M475" s="1401">
        <v>46200</v>
      </c>
      <c r="N475" s="1401">
        <v>46201</v>
      </c>
      <c r="O475" t="s">
        <v>973</v>
      </c>
      <c r="P475" s="1401">
        <v>46213</v>
      </c>
      <c r="Q475" s="1401">
        <v>46208</v>
      </c>
    </row>
    <row r="476" spans="1:17">
      <c r="A476" t="s">
        <v>1016</v>
      </c>
      <c r="B476" t="s">
        <v>64</v>
      </c>
      <c r="C476" t="s">
        <v>100</v>
      </c>
      <c r="D476" t="s">
        <v>70</v>
      </c>
      <c r="E476" t="s">
        <v>195</v>
      </c>
      <c r="F476" t="s">
        <v>196</v>
      </c>
      <c r="G476">
        <v>3744</v>
      </c>
      <c r="H476" t="s">
        <v>75</v>
      </c>
      <c r="I476">
        <v>46139</v>
      </c>
      <c r="J476" t="s">
        <v>2324</v>
      </c>
      <c r="K476" s="1401">
        <v>46144</v>
      </c>
      <c r="L476" s="1401">
        <v>46186</v>
      </c>
      <c r="M476" s="1401">
        <v>46200</v>
      </c>
      <c r="N476" s="1401">
        <v>46201</v>
      </c>
      <c r="O476" t="s">
        <v>973</v>
      </c>
      <c r="P476" s="1401">
        <v>46213</v>
      </c>
      <c r="Q476" s="1401">
        <v>46208</v>
      </c>
    </row>
    <row r="477" spans="1:17">
      <c r="A477" t="s">
        <v>2318</v>
      </c>
      <c r="B477" t="s">
        <v>64</v>
      </c>
      <c r="C477" t="s">
        <v>65</v>
      </c>
      <c r="D477" t="s">
        <v>550</v>
      </c>
      <c r="E477" t="s">
        <v>551</v>
      </c>
      <c r="F477" t="s">
        <v>2151</v>
      </c>
      <c r="G477">
        <v>3168</v>
      </c>
      <c r="H477" t="s">
        <v>75</v>
      </c>
      <c r="I477">
        <v>46140</v>
      </c>
      <c r="J477" t="s">
        <v>2320</v>
      </c>
      <c r="K477" s="1401">
        <v>46144</v>
      </c>
      <c r="L477" s="1401">
        <v>46181</v>
      </c>
      <c r="M477" s="1401">
        <v>46183</v>
      </c>
      <c r="N477" s="1401">
        <v>46183</v>
      </c>
      <c r="O477" t="s">
        <v>973</v>
      </c>
      <c r="P477" s="1401">
        <v>46198</v>
      </c>
      <c r="Q477" s="1401">
        <v>46193</v>
      </c>
    </row>
    <row r="478" spans="1:17">
      <c r="A478" t="s">
        <v>2316</v>
      </c>
      <c r="B478" t="s">
        <v>64</v>
      </c>
      <c r="C478">
        <v>0</v>
      </c>
      <c r="D478" t="s">
        <v>70</v>
      </c>
      <c r="E478" t="s">
        <v>2299</v>
      </c>
      <c r="F478" t="s">
        <v>1682</v>
      </c>
      <c r="G478">
        <v>2970</v>
      </c>
      <c r="H478" t="s">
        <v>75</v>
      </c>
      <c r="I478">
        <v>46142</v>
      </c>
      <c r="J478" t="s">
        <v>2317</v>
      </c>
      <c r="K478" s="1401">
        <v>46148</v>
      </c>
      <c r="L478" s="1401">
        <v>46199</v>
      </c>
      <c r="M478" s="1401">
        <v>46210</v>
      </c>
      <c r="N478" s="1401">
        <v>46211</v>
      </c>
      <c r="O478" t="s">
        <v>973</v>
      </c>
      <c r="P478" s="1401">
        <v>46231</v>
      </c>
      <c r="Q478" s="1401">
        <v>46218</v>
      </c>
    </row>
    <row r="479" spans="1:17">
      <c r="A479" t="s">
        <v>2310</v>
      </c>
      <c r="B479" t="s">
        <v>64</v>
      </c>
      <c r="C479">
        <v>0</v>
      </c>
      <c r="D479" t="s">
        <v>70</v>
      </c>
      <c r="E479" t="s">
        <v>2308</v>
      </c>
      <c r="F479" t="s">
        <v>1484</v>
      </c>
      <c r="G479">
        <v>2970</v>
      </c>
      <c r="H479" t="s">
        <v>75</v>
      </c>
      <c r="I479">
        <v>46142</v>
      </c>
      <c r="J479" t="s">
        <v>2311</v>
      </c>
      <c r="K479" s="1401">
        <v>46148</v>
      </c>
      <c r="L479" s="1401">
        <v>46199</v>
      </c>
      <c r="M479" s="1401">
        <v>46210</v>
      </c>
      <c r="N479" s="1401">
        <v>46211</v>
      </c>
      <c r="O479" t="s">
        <v>973</v>
      </c>
      <c r="P479" s="1401">
        <v>46231</v>
      </c>
      <c r="Q479" s="1401">
        <v>46218</v>
      </c>
    </row>
    <row r="480" spans="1:17">
      <c r="A480" t="s">
        <v>4445</v>
      </c>
      <c r="B480" t="s">
        <v>64</v>
      </c>
      <c r="C480" t="s">
        <v>114</v>
      </c>
      <c r="D480" t="s">
        <v>550</v>
      </c>
      <c r="E480" t="s">
        <v>2134</v>
      </c>
      <c r="F480" t="s">
        <v>2135</v>
      </c>
      <c r="G480">
        <v>792</v>
      </c>
      <c r="H480" t="s">
        <v>75</v>
      </c>
      <c r="I480">
        <v>46142</v>
      </c>
      <c r="J480" t="s">
        <v>4446</v>
      </c>
      <c r="K480" s="1401">
        <v>46148</v>
      </c>
      <c r="L480" s="1401">
        <v>46205</v>
      </c>
      <c r="M480" s="1401"/>
      <c r="N480" s="1401">
        <v>46205</v>
      </c>
      <c r="O480" t="s">
        <v>973</v>
      </c>
      <c r="P480" s="1401">
        <v>46218</v>
      </c>
      <c r="Q480" s="1401">
        <v>46214</v>
      </c>
    </row>
    <row r="481" spans="1:17">
      <c r="A481" t="s">
        <v>4424</v>
      </c>
      <c r="B481" t="s">
        <v>64</v>
      </c>
      <c r="C481" t="s">
        <v>450</v>
      </c>
      <c r="D481" t="s">
        <v>550</v>
      </c>
      <c r="E481" t="s">
        <v>2134</v>
      </c>
      <c r="F481" t="s">
        <v>2135</v>
      </c>
      <c r="G481">
        <v>792</v>
      </c>
      <c r="H481" t="s">
        <v>75</v>
      </c>
      <c r="I481">
        <v>46142</v>
      </c>
      <c r="J481" t="s">
        <v>4425</v>
      </c>
      <c r="K481" s="1401">
        <v>46148</v>
      </c>
      <c r="L481" s="1401">
        <v>46201</v>
      </c>
      <c r="M481" s="1401">
        <v>46208</v>
      </c>
      <c r="N481" s="1401">
        <v>46208</v>
      </c>
      <c r="O481" t="s">
        <v>973</v>
      </c>
      <c r="P481" s="1401">
        <v>46223</v>
      </c>
      <c r="Q481" s="1401">
        <v>46215</v>
      </c>
    </row>
    <row r="482" spans="1:17">
      <c r="A482" t="s">
        <v>2421</v>
      </c>
      <c r="B482" t="s">
        <v>64</v>
      </c>
      <c r="C482" t="s">
        <v>100</v>
      </c>
      <c r="D482" t="s">
        <v>132</v>
      </c>
      <c r="E482" t="s">
        <v>1062</v>
      </c>
      <c r="F482" t="s">
        <v>1063</v>
      </c>
      <c r="G482">
        <v>6912</v>
      </c>
      <c r="H482" t="s">
        <v>75</v>
      </c>
      <c r="I482">
        <v>46147</v>
      </c>
      <c r="J482" t="s">
        <v>2424</v>
      </c>
      <c r="K482" s="1401">
        <v>46152</v>
      </c>
      <c r="L482" s="1401">
        <v>46189</v>
      </c>
      <c r="M482" s="1401">
        <v>46197</v>
      </c>
      <c r="N482" s="1401">
        <v>46197</v>
      </c>
      <c r="O482" t="s">
        <v>973</v>
      </c>
      <c r="P482" s="1401">
        <v>46211</v>
      </c>
      <c r="Q482" s="1401">
        <v>46204</v>
      </c>
    </row>
    <row r="483" spans="1:17">
      <c r="A483" t="s">
        <v>2407</v>
      </c>
      <c r="B483" t="s">
        <v>144</v>
      </c>
      <c r="C483" t="s">
        <v>145</v>
      </c>
      <c r="D483" t="s">
        <v>70</v>
      </c>
      <c r="E483" t="s">
        <v>195</v>
      </c>
      <c r="F483" t="s">
        <v>196</v>
      </c>
      <c r="G483">
        <v>1872</v>
      </c>
      <c r="H483" t="s">
        <v>75</v>
      </c>
      <c r="I483">
        <v>46146</v>
      </c>
      <c r="J483" t="s">
        <v>2409</v>
      </c>
      <c r="K483" s="1401">
        <v>46150</v>
      </c>
      <c r="L483" s="1401">
        <v>46191</v>
      </c>
      <c r="M483" s="1401">
        <v>46196</v>
      </c>
      <c r="N483" s="1401">
        <v>46196</v>
      </c>
      <c r="O483" t="s">
        <v>973</v>
      </c>
      <c r="P483" s="1401">
        <v>46191</v>
      </c>
      <c r="Q483" s="1401">
        <v>46196</v>
      </c>
    </row>
    <row r="484" spans="1:17">
      <c r="A484" t="s">
        <v>4441</v>
      </c>
      <c r="B484" t="s">
        <v>64</v>
      </c>
      <c r="C484" t="s">
        <v>114</v>
      </c>
      <c r="D484" t="s">
        <v>550</v>
      </c>
      <c r="E484" t="s">
        <v>2134</v>
      </c>
      <c r="F484" t="s">
        <v>2135</v>
      </c>
      <c r="G484">
        <v>792</v>
      </c>
      <c r="H484" t="s">
        <v>75</v>
      </c>
      <c r="I484">
        <v>46142</v>
      </c>
      <c r="J484" t="s">
        <v>4442</v>
      </c>
      <c r="K484" s="1401">
        <v>46155</v>
      </c>
      <c r="L484" s="1401">
        <v>46204</v>
      </c>
      <c r="M484" s="1401"/>
      <c r="N484" s="1401">
        <v>46204</v>
      </c>
      <c r="O484" t="s">
        <v>973</v>
      </c>
      <c r="P484" s="1401">
        <v>46218</v>
      </c>
      <c r="Q484" s="1401">
        <v>46213</v>
      </c>
    </row>
    <row r="485" spans="1:17">
      <c r="A485" t="s">
        <v>4433</v>
      </c>
      <c r="B485" t="s">
        <v>64</v>
      </c>
      <c r="C485" t="s">
        <v>65</v>
      </c>
      <c r="D485" t="s">
        <v>550</v>
      </c>
      <c r="E485" t="s">
        <v>551</v>
      </c>
      <c r="F485" t="s">
        <v>2151</v>
      </c>
      <c r="G485">
        <v>3168</v>
      </c>
      <c r="H485" t="s">
        <v>75</v>
      </c>
      <c r="I485">
        <v>46142</v>
      </c>
      <c r="J485" t="s">
        <v>4434</v>
      </c>
      <c r="K485" s="1401">
        <v>46155</v>
      </c>
      <c r="L485" s="1401">
        <v>46216</v>
      </c>
      <c r="M485" s="1401"/>
      <c r="N485" s="1401">
        <v>46215</v>
      </c>
      <c r="O485" t="s">
        <v>973</v>
      </c>
      <c r="P485" s="1401">
        <v>46230</v>
      </c>
      <c r="Q485" s="1401">
        <v>46223</v>
      </c>
    </row>
    <row r="486" spans="1:17">
      <c r="A486" t="s">
        <v>4429</v>
      </c>
      <c r="B486" t="s">
        <v>64</v>
      </c>
      <c r="C486" t="s">
        <v>100</v>
      </c>
      <c r="D486" t="s">
        <v>550</v>
      </c>
      <c r="E486" t="s">
        <v>2134</v>
      </c>
      <c r="F486" t="s">
        <v>2135</v>
      </c>
      <c r="G486">
        <v>3960</v>
      </c>
      <c r="H486" t="s">
        <v>75</v>
      </c>
      <c r="I486">
        <v>46142</v>
      </c>
      <c r="J486" t="s">
        <v>4430</v>
      </c>
      <c r="K486" s="1401">
        <v>46155</v>
      </c>
      <c r="L486" s="1401">
        <v>46196</v>
      </c>
      <c r="M486" s="1401"/>
      <c r="N486" s="1401">
        <v>46203</v>
      </c>
      <c r="O486" t="s">
        <v>973</v>
      </c>
      <c r="P486" s="1401">
        <v>46217</v>
      </c>
      <c r="Q486" s="1401">
        <v>46210</v>
      </c>
    </row>
    <row r="487" spans="1:17">
      <c r="A487" t="s">
        <v>4437</v>
      </c>
      <c r="B487" t="s">
        <v>64</v>
      </c>
      <c r="C487" t="s">
        <v>65</v>
      </c>
      <c r="D487" t="s">
        <v>550</v>
      </c>
      <c r="E487" t="s">
        <v>551</v>
      </c>
      <c r="F487" t="s">
        <v>2151</v>
      </c>
      <c r="G487">
        <v>792</v>
      </c>
      <c r="H487" t="s">
        <v>75</v>
      </c>
      <c r="I487">
        <v>46142</v>
      </c>
      <c r="J487" t="s">
        <v>4438</v>
      </c>
      <c r="K487" s="1401">
        <v>46155</v>
      </c>
      <c r="L487" s="1401">
        <v>46210</v>
      </c>
      <c r="M487" s="1401"/>
      <c r="N487" s="1401">
        <v>46211</v>
      </c>
      <c r="O487" t="s">
        <v>973</v>
      </c>
      <c r="P487" s="1401">
        <v>46225</v>
      </c>
      <c r="Q487" s="1401">
        <v>46219</v>
      </c>
    </row>
    <row r="488" spans="1:17">
      <c r="A488" t="s">
        <v>2447</v>
      </c>
      <c r="B488" t="s">
        <v>64</v>
      </c>
      <c r="C488" t="s">
        <v>65</v>
      </c>
      <c r="D488" t="s">
        <v>550</v>
      </c>
      <c r="E488" t="s">
        <v>551</v>
      </c>
      <c r="F488" t="s">
        <v>2151</v>
      </c>
      <c r="G488">
        <v>792</v>
      </c>
      <c r="H488" t="s">
        <v>75</v>
      </c>
      <c r="I488">
        <v>46142</v>
      </c>
      <c r="J488" t="s">
        <v>2448</v>
      </c>
      <c r="K488" s="1401">
        <v>46155</v>
      </c>
      <c r="L488" s="1401">
        <v>46203</v>
      </c>
      <c r="M488" s="1401"/>
      <c r="N488" s="1401">
        <v>46202</v>
      </c>
      <c r="O488" t="s">
        <v>973</v>
      </c>
      <c r="P488" s="1401">
        <v>46217</v>
      </c>
      <c r="Q488" s="1401">
        <v>46212</v>
      </c>
    </row>
    <row r="489" spans="1:17">
      <c r="A489" t="s">
        <v>2437</v>
      </c>
      <c r="B489" t="s">
        <v>64</v>
      </c>
      <c r="C489" t="s">
        <v>310</v>
      </c>
      <c r="D489" t="s">
        <v>170</v>
      </c>
      <c r="E489" t="s">
        <v>1977</v>
      </c>
      <c r="F489" t="s">
        <v>1978</v>
      </c>
      <c r="G489">
        <v>5280</v>
      </c>
      <c r="H489" t="s">
        <v>75</v>
      </c>
      <c r="I489">
        <v>46150</v>
      </c>
      <c r="J489" t="s">
        <v>2440</v>
      </c>
      <c r="K489" s="1401">
        <v>46157</v>
      </c>
      <c r="L489" s="1401">
        <v>46204</v>
      </c>
      <c r="M489" s="1401">
        <v>46205</v>
      </c>
      <c r="N489" s="1401">
        <v>46205</v>
      </c>
      <c r="O489" t="s">
        <v>973</v>
      </c>
      <c r="P489" s="1401">
        <v>46219</v>
      </c>
      <c r="Q489" s="1401">
        <v>46215</v>
      </c>
    </row>
    <row r="490" spans="1:17">
      <c r="A490" t="s">
        <v>2444</v>
      </c>
      <c r="B490" t="s">
        <v>64</v>
      </c>
      <c r="C490" t="s">
        <v>310</v>
      </c>
      <c r="D490" t="s">
        <v>550</v>
      </c>
      <c r="E490" t="s">
        <v>2134</v>
      </c>
      <c r="F490" t="s">
        <v>2135</v>
      </c>
      <c r="G490">
        <v>3960</v>
      </c>
      <c r="H490" t="s">
        <v>75</v>
      </c>
      <c r="I490">
        <v>46150</v>
      </c>
      <c r="J490" t="s">
        <v>2446</v>
      </c>
      <c r="K490" s="1401">
        <v>46157</v>
      </c>
      <c r="L490" s="1401">
        <v>46204</v>
      </c>
      <c r="M490" s="1401">
        <v>46205</v>
      </c>
      <c r="N490" s="1401">
        <v>46205</v>
      </c>
      <c r="O490" t="s">
        <v>973</v>
      </c>
      <c r="P490" s="1401">
        <v>46219</v>
      </c>
      <c r="Q490" s="1401">
        <v>46215</v>
      </c>
    </row>
    <row r="491" spans="1:17">
      <c r="A491" t="s">
        <v>2118</v>
      </c>
      <c r="B491" t="s">
        <v>64</v>
      </c>
      <c r="C491" t="s">
        <v>100</v>
      </c>
      <c r="D491" t="s">
        <v>70</v>
      </c>
      <c r="E491" t="s">
        <v>195</v>
      </c>
      <c r="F491" t="s">
        <v>196</v>
      </c>
      <c r="G491">
        <v>1872</v>
      </c>
      <c r="H491" t="s">
        <v>75</v>
      </c>
      <c r="I491">
        <v>46125</v>
      </c>
      <c r="J491" t="s">
        <v>2119</v>
      </c>
      <c r="K491" s="1401">
        <v>46129</v>
      </c>
      <c r="L491" s="1401">
        <v>46172</v>
      </c>
      <c r="M491" s="1401">
        <v>46179</v>
      </c>
      <c r="N491" s="1401">
        <v>46180</v>
      </c>
      <c r="O491" t="s">
        <v>973</v>
      </c>
      <c r="P491" s="1401">
        <v>46195</v>
      </c>
      <c r="Q491" s="1401">
        <v>46187</v>
      </c>
    </row>
    <row r="492" spans="1:17">
      <c r="A492" t="s">
        <v>2124</v>
      </c>
      <c r="B492" t="s">
        <v>144</v>
      </c>
      <c r="C492" t="s">
        <v>145</v>
      </c>
      <c r="D492" t="s">
        <v>70</v>
      </c>
      <c r="E492" t="s">
        <v>195</v>
      </c>
      <c r="F492" t="s">
        <v>196</v>
      </c>
      <c r="G492">
        <v>4680</v>
      </c>
      <c r="H492" t="s">
        <v>75</v>
      </c>
      <c r="I492">
        <v>46125</v>
      </c>
      <c r="J492" t="s">
        <v>2126</v>
      </c>
      <c r="K492" s="1401">
        <v>46129</v>
      </c>
      <c r="L492" s="1401">
        <v>46172</v>
      </c>
      <c r="M492" s="1401">
        <v>46179</v>
      </c>
      <c r="N492" s="1401">
        <v>46180</v>
      </c>
      <c r="O492" t="s">
        <v>973</v>
      </c>
      <c r="P492" s="1401">
        <v>46178</v>
      </c>
      <c r="Q492" s="1401">
        <v>46180</v>
      </c>
    </row>
    <row r="493" spans="1:17">
      <c r="A493" t="s">
        <v>2129</v>
      </c>
      <c r="B493" t="s">
        <v>144</v>
      </c>
      <c r="C493" t="s">
        <v>145</v>
      </c>
      <c r="D493" t="s">
        <v>70</v>
      </c>
      <c r="E493" t="s">
        <v>195</v>
      </c>
      <c r="F493" t="s">
        <v>196</v>
      </c>
      <c r="G493">
        <v>4680</v>
      </c>
      <c r="H493" t="s">
        <v>75</v>
      </c>
      <c r="I493">
        <v>46125</v>
      </c>
      <c r="J493" t="s">
        <v>2130</v>
      </c>
      <c r="K493" s="1401">
        <v>46129</v>
      </c>
      <c r="L493" s="1401">
        <v>46172</v>
      </c>
      <c r="M493" s="1401">
        <v>46179</v>
      </c>
      <c r="N493" s="1401">
        <v>46180</v>
      </c>
      <c r="O493" t="s">
        <v>973</v>
      </c>
      <c r="P493" s="1401">
        <v>46178</v>
      </c>
      <c r="Q493" s="1401">
        <v>46180</v>
      </c>
    </row>
    <row r="494" spans="1:17">
      <c r="A494" t="s">
        <v>1387</v>
      </c>
      <c r="B494" t="s">
        <v>64</v>
      </c>
      <c r="C494" t="s">
        <v>100</v>
      </c>
      <c r="D494" t="s">
        <v>70</v>
      </c>
      <c r="E494" t="s">
        <v>195</v>
      </c>
      <c r="F494" t="s">
        <v>196</v>
      </c>
      <c r="G494">
        <v>2808</v>
      </c>
      <c r="H494" t="s">
        <v>75</v>
      </c>
      <c r="I494">
        <v>46082</v>
      </c>
      <c r="J494" t="s">
        <v>1388</v>
      </c>
      <c r="K494" s="1401">
        <v>46088</v>
      </c>
      <c r="L494" s="1401">
        <v>46133</v>
      </c>
      <c r="M494" s="1401">
        <v>46142</v>
      </c>
      <c r="N494" s="1401">
        <v>46141</v>
      </c>
      <c r="O494" t="s">
        <v>973</v>
      </c>
      <c r="P494" s="1401">
        <v>46154</v>
      </c>
      <c r="Q494" s="1401">
        <v>46148</v>
      </c>
    </row>
    <row r="495" spans="1:17">
      <c r="A495" t="s">
        <v>4449</v>
      </c>
      <c r="B495" t="s">
        <v>64</v>
      </c>
      <c r="C495">
        <v>0</v>
      </c>
      <c r="D495" t="s">
        <v>70</v>
      </c>
      <c r="E495" t="s">
        <v>2308</v>
      </c>
      <c r="F495" t="s">
        <v>1484</v>
      </c>
      <c r="G495">
        <v>2970</v>
      </c>
      <c r="H495" t="s">
        <v>75</v>
      </c>
      <c r="I495">
        <v>46152</v>
      </c>
      <c r="J495" t="s">
        <v>4451</v>
      </c>
      <c r="K495" s="1401">
        <v>46155</v>
      </c>
      <c r="L495" s="1401">
        <v>46208</v>
      </c>
      <c r="M495" s="1401">
        <v>46212</v>
      </c>
      <c r="N495" s="1401">
        <v>46212</v>
      </c>
      <c r="O495" t="s">
        <v>973</v>
      </c>
      <c r="P495" s="1401">
        <v>46239</v>
      </c>
      <c r="Q495" s="1401">
        <v>46219</v>
      </c>
    </row>
    <row r="496" spans="1:17">
      <c r="A496" t="s">
        <v>4456</v>
      </c>
      <c r="B496" t="s">
        <v>64</v>
      </c>
      <c r="C496">
        <v>0</v>
      </c>
      <c r="D496" t="s">
        <v>70</v>
      </c>
      <c r="E496" t="s">
        <v>2299</v>
      </c>
      <c r="F496" t="s">
        <v>1682</v>
      </c>
      <c r="G496">
        <v>1188</v>
      </c>
      <c r="H496" t="s">
        <v>75</v>
      </c>
      <c r="I496">
        <v>46152</v>
      </c>
      <c r="J496" t="s">
        <v>4457</v>
      </c>
      <c r="K496" s="1401">
        <v>46155</v>
      </c>
      <c r="L496" s="1401">
        <v>46208</v>
      </c>
      <c r="M496" s="1401">
        <v>46212</v>
      </c>
      <c r="N496" s="1401">
        <v>46212</v>
      </c>
      <c r="O496" t="s">
        <v>973</v>
      </c>
      <c r="P496" s="1401">
        <v>46239</v>
      </c>
      <c r="Q496" s="1401">
        <v>46219</v>
      </c>
    </row>
    <row r="497" spans="1:17">
      <c r="A497" t="s">
        <v>4458</v>
      </c>
      <c r="B497" t="s">
        <v>64</v>
      </c>
      <c r="C497">
        <v>0</v>
      </c>
      <c r="D497" t="s">
        <v>70</v>
      </c>
      <c r="E497" t="s">
        <v>2299</v>
      </c>
      <c r="F497" t="s">
        <v>1682</v>
      </c>
      <c r="G497">
        <v>1782</v>
      </c>
      <c r="H497" t="s">
        <v>75</v>
      </c>
      <c r="I497">
        <v>46152</v>
      </c>
      <c r="J497" t="s">
        <v>4459</v>
      </c>
      <c r="K497" s="1401">
        <v>46155</v>
      </c>
      <c r="L497" s="1401">
        <v>46208</v>
      </c>
      <c r="M497" s="1401">
        <v>46212</v>
      </c>
      <c r="N497" s="1401">
        <v>46212</v>
      </c>
      <c r="O497" t="s">
        <v>973</v>
      </c>
      <c r="P497" s="1401">
        <v>46239</v>
      </c>
      <c r="Q497" s="1401">
        <v>46219</v>
      </c>
    </row>
    <row r="498" spans="1:17">
      <c r="A498" t="s">
        <v>4463</v>
      </c>
      <c r="B498" t="s">
        <v>64</v>
      </c>
      <c r="C498" t="s">
        <v>450</v>
      </c>
      <c r="D498" t="s">
        <v>132</v>
      </c>
      <c r="E498" t="s">
        <v>1062</v>
      </c>
      <c r="F498" t="s">
        <v>1063</v>
      </c>
      <c r="G498">
        <v>2592</v>
      </c>
      <c r="H498" t="s">
        <v>75</v>
      </c>
      <c r="I498">
        <v>46153</v>
      </c>
      <c r="J498" t="s">
        <v>4464</v>
      </c>
      <c r="K498" s="1401">
        <v>46160</v>
      </c>
      <c r="L498" s="1401">
        <v>46201</v>
      </c>
      <c r="M498" s="1401"/>
      <c r="N498" s="1401">
        <v>46200</v>
      </c>
      <c r="O498" t="s">
        <v>973</v>
      </c>
      <c r="P498" s="1401">
        <v>46216</v>
      </c>
      <c r="Q498" s="1401">
        <v>46207</v>
      </c>
    </row>
    <row r="499" spans="1:17">
      <c r="A499" t="s">
        <v>4468</v>
      </c>
      <c r="B499" t="s">
        <v>64</v>
      </c>
      <c r="C499" t="s">
        <v>450</v>
      </c>
      <c r="D499" t="s">
        <v>550</v>
      </c>
      <c r="E499" t="s">
        <v>2134</v>
      </c>
      <c r="F499" t="s">
        <v>2135</v>
      </c>
      <c r="G499">
        <v>1584</v>
      </c>
      <c r="H499" t="s">
        <v>75</v>
      </c>
      <c r="I499">
        <v>46153</v>
      </c>
      <c r="J499" t="s">
        <v>4469</v>
      </c>
      <c r="K499" s="1401">
        <v>46158</v>
      </c>
      <c r="L499" s="1401">
        <v>46199</v>
      </c>
      <c r="M499" s="1401"/>
      <c r="N499" s="1401">
        <v>46202</v>
      </c>
      <c r="O499" t="s">
        <v>973</v>
      </c>
      <c r="P499" s="1401">
        <v>46217</v>
      </c>
      <c r="Q499" s="1401">
        <v>46209</v>
      </c>
    </row>
    <row r="500" spans="1:17">
      <c r="A500" t="s">
        <v>4473</v>
      </c>
      <c r="B500" t="s">
        <v>64</v>
      </c>
      <c r="C500" t="s">
        <v>100</v>
      </c>
      <c r="D500" t="s">
        <v>170</v>
      </c>
      <c r="E500" t="s">
        <v>1977</v>
      </c>
      <c r="F500" t="s">
        <v>1978</v>
      </c>
      <c r="G500">
        <v>1980</v>
      </c>
      <c r="H500" t="s">
        <v>75</v>
      </c>
      <c r="I500">
        <v>46156</v>
      </c>
      <c r="J500" t="s">
        <v>4475</v>
      </c>
      <c r="K500" s="1401">
        <v>46161</v>
      </c>
      <c r="L500" s="1401">
        <v>46196</v>
      </c>
      <c r="M500" s="1401"/>
      <c r="N500" s="1401">
        <v>46203</v>
      </c>
      <c r="O500" t="s">
        <v>973</v>
      </c>
      <c r="P500" s="1401">
        <v>46217</v>
      </c>
      <c r="Q500" s="1401">
        <v>46210</v>
      </c>
    </row>
    <row r="501" spans="1:17">
      <c r="A501" t="s">
        <v>4478</v>
      </c>
      <c r="B501" t="s">
        <v>64</v>
      </c>
      <c r="C501" t="s">
        <v>100</v>
      </c>
      <c r="D501" t="s">
        <v>132</v>
      </c>
      <c r="E501" t="s">
        <v>1062</v>
      </c>
      <c r="F501" t="s">
        <v>1063</v>
      </c>
      <c r="G501">
        <v>4320</v>
      </c>
      <c r="H501" t="s">
        <v>75</v>
      </c>
      <c r="I501">
        <v>46156</v>
      </c>
      <c r="J501" t="s">
        <v>4479</v>
      </c>
      <c r="K501" s="1401">
        <v>46161</v>
      </c>
      <c r="L501" s="1401">
        <v>46196</v>
      </c>
      <c r="M501" s="1401"/>
      <c r="N501" s="1401">
        <v>46203</v>
      </c>
      <c r="O501" t="s">
        <v>973</v>
      </c>
      <c r="P501" s="1401">
        <v>46217</v>
      </c>
      <c r="Q501" s="1401">
        <v>46210</v>
      </c>
    </row>
    <row r="502" spans="1:17">
      <c r="A502" t="s">
        <v>4480</v>
      </c>
      <c r="B502" t="s">
        <v>64</v>
      </c>
      <c r="C502" t="s">
        <v>100</v>
      </c>
      <c r="D502" t="s">
        <v>132</v>
      </c>
      <c r="E502" t="s">
        <v>1062</v>
      </c>
      <c r="F502" t="s">
        <v>1063</v>
      </c>
      <c r="G502">
        <v>5184</v>
      </c>
      <c r="H502" t="s">
        <v>75</v>
      </c>
      <c r="I502">
        <v>46152</v>
      </c>
      <c r="J502" t="s">
        <v>4481</v>
      </c>
      <c r="K502" s="1401">
        <v>46158</v>
      </c>
      <c r="L502" s="1401">
        <v>46202</v>
      </c>
      <c r="M502" s="1401">
        <v>46210</v>
      </c>
      <c r="N502" s="1401">
        <v>46211</v>
      </c>
      <c r="O502" t="s">
        <v>973</v>
      </c>
      <c r="P502" s="1401">
        <v>46225</v>
      </c>
      <c r="Q502" s="1401">
        <v>46218</v>
      </c>
    </row>
    <row r="503" spans="1:17">
      <c r="A503" t="s">
        <v>4485</v>
      </c>
      <c r="B503" t="s">
        <v>64</v>
      </c>
      <c r="C503" t="s">
        <v>100</v>
      </c>
      <c r="D503" t="s">
        <v>4486</v>
      </c>
      <c r="E503" t="s">
        <v>4487</v>
      </c>
      <c r="F503" t="s">
        <v>4488</v>
      </c>
      <c r="G503">
        <v>720</v>
      </c>
      <c r="H503" t="s">
        <v>75</v>
      </c>
      <c r="I503">
        <v>46156</v>
      </c>
      <c r="J503" t="s">
        <v>4489</v>
      </c>
      <c r="K503" s="1401">
        <v>46160</v>
      </c>
      <c r="L503" s="1401">
        <v>46196</v>
      </c>
      <c r="M503" s="1401"/>
      <c r="N503" s="1401">
        <v>46203</v>
      </c>
      <c r="O503" t="s">
        <v>973</v>
      </c>
      <c r="P503" s="1401">
        <v>46217</v>
      </c>
      <c r="Q503" s="1401">
        <v>46210</v>
      </c>
    </row>
    <row r="504" spans="1:17">
      <c r="A504" t="s">
        <v>4500</v>
      </c>
      <c r="B504" t="s">
        <v>64</v>
      </c>
      <c r="C504" t="s">
        <v>65</v>
      </c>
      <c r="D504" t="s">
        <v>132</v>
      </c>
      <c r="E504" t="s">
        <v>1062</v>
      </c>
      <c r="F504" t="s">
        <v>1063</v>
      </c>
      <c r="G504">
        <v>5184</v>
      </c>
      <c r="H504" t="s">
        <v>75</v>
      </c>
      <c r="I504">
        <v>46156</v>
      </c>
      <c r="J504" t="s">
        <v>4502</v>
      </c>
      <c r="K504" s="1401">
        <v>46161</v>
      </c>
      <c r="L504" s="1401">
        <v>46203</v>
      </c>
      <c r="M504" s="1401">
        <v>46207</v>
      </c>
      <c r="N504" s="1401">
        <v>46207</v>
      </c>
      <c r="O504" t="s">
        <v>973</v>
      </c>
      <c r="P504" s="1401">
        <v>46220</v>
      </c>
      <c r="Q504" s="1401">
        <v>46215</v>
      </c>
    </row>
    <row r="505" spans="1:17">
      <c r="A505" t="s">
        <v>4509</v>
      </c>
      <c r="B505" t="s">
        <v>64</v>
      </c>
      <c r="C505" t="s">
        <v>310</v>
      </c>
      <c r="D505" t="s">
        <v>473</v>
      </c>
      <c r="E505" t="s">
        <v>529</v>
      </c>
      <c r="F505" t="s">
        <v>1311</v>
      </c>
      <c r="G505">
        <v>6048</v>
      </c>
      <c r="H505" t="s">
        <v>75</v>
      </c>
      <c r="I505">
        <v>46151</v>
      </c>
      <c r="J505" t="s">
        <v>4510</v>
      </c>
      <c r="K505" s="1401">
        <v>46164</v>
      </c>
      <c r="L505" s="1401">
        <v>46211</v>
      </c>
      <c r="M505" s="1401">
        <v>46218</v>
      </c>
      <c r="N505" s="1401">
        <v>46217</v>
      </c>
      <c r="O505" t="s">
        <v>973</v>
      </c>
      <c r="P505" s="1401">
        <v>46232</v>
      </c>
      <c r="Q505" s="1401">
        <v>46227</v>
      </c>
    </row>
    <row r="506" spans="1:17">
      <c r="A506" t="s">
        <v>4517</v>
      </c>
      <c r="B506" t="s">
        <v>144</v>
      </c>
      <c r="C506" t="s">
        <v>145</v>
      </c>
      <c r="D506" t="s">
        <v>4486</v>
      </c>
      <c r="E506" t="s">
        <v>4520</v>
      </c>
      <c r="F506" t="s">
        <v>4521</v>
      </c>
      <c r="G506">
        <v>2160</v>
      </c>
      <c r="H506" t="s">
        <v>75</v>
      </c>
      <c r="I506">
        <v>46157</v>
      </c>
      <c r="J506" t="s">
        <v>4522</v>
      </c>
      <c r="K506" s="1401">
        <v>46161</v>
      </c>
      <c r="L506" s="1401">
        <v>46205</v>
      </c>
      <c r="M506" s="1401"/>
      <c r="N506" s="1401">
        <v>46205</v>
      </c>
      <c r="O506" t="s">
        <v>973</v>
      </c>
      <c r="P506" s="1401">
        <v>46205</v>
      </c>
      <c r="Q506" s="1401">
        <v>46205</v>
      </c>
    </row>
    <row r="507" spans="1:17">
      <c r="A507" t="s">
        <v>4526</v>
      </c>
      <c r="B507" t="s">
        <v>64</v>
      </c>
      <c r="C507" t="s">
        <v>114</v>
      </c>
      <c r="D507" t="s">
        <v>473</v>
      </c>
      <c r="E507" t="s">
        <v>474</v>
      </c>
      <c r="F507" t="s">
        <v>1319</v>
      </c>
      <c r="G507">
        <v>1728</v>
      </c>
      <c r="H507" t="s">
        <v>75</v>
      </c>
      <c r="I507">
        <v>46154</v>
      </c>
      <c r="J507" t="s">
        <v>4527</v>
      </c>
      <c r="K507" s="1401">
        <v>46161</v>
      </c>
      <c r="L507" s="1401">
        <v>46205</v>
      </c>
      <c r="M507" s="1401"/>
      <c r="N507" s="1401">
        <v>46205</v>
      </c>
      <c r="O507" t="s">
        <v>973</v>
      </c>
      <c r="P507" s="1401">
        <v>46219</v>
      </c>
      <c r="Q507" s="1401">
        <v>46214</v>
      </c>
    </row>
    <row r="508" spans="1:17">
      <c r="A508" t="s">
        <v>4530</v>
      </c>
      <c r="B508" t="s">
        <v>64</v>
      </c>
      <c r="C508" t="s">
        <v>450</v>
      </c>
      <c r="D508" t="s">
        <v>4531</v>
      </c>
      <c r="E508" t="s">
        <v>1151</v>
      </c>
      <c r="F508" t="s">
        <v>421</v>
      </c>
      <c r="G508">
        <v>864</v>
      </c>
      <c r="H508" t="s">
        <v>75</v>
      </c>
      <c r="I508">
        <v>46155</v>
      </c>
      <c r="J508" t="s">
        <v>4533</v>
      </c>
      <c r="K508" s="1401">
        <v>46164</v>
      </c>
      <c r="L508" s="1401">
        <v>46216</v>
      </c>
      <c r="M508" s="1401"/>
      <c r="N508" s="1401">
        <v>46215</v>
      </c>
      <c r="O508" t="s">
        <v>973</v>
      </c>
      <c r="P508" s="1401">
        <v>46230</v>
      </c>
      <c r="Q508" s="1401">
        <v>46222</v>
      </c>
    </row>
    <row r="509" spans="1:17">
      <c r="A509" t="s">
        <v>4537</v>
      </c>
      <c r="B509" t="s">
        <v>64</v>
      </c>
      <c r="C509" t="s">
        <v>100</v>
      </c>
      <c r="D509" t="s">
        <v>4531</v>
      </c>
      <c r="E509" t="s">
        <v>1151</v>
      </c>
      <c r="F509" t="s">
        <v>421</v>
      </c>
      <c r="G509">
        <v>4320</v>
      </c>
      <c r="H509" t="s">
        <v>75</v>
      </c>
      <c r="I509">
        <v>46155</v>
      </c>
      <c r="J509" t="s">
        <v>4538</v>
      </c>
      <c r="K509" s="1401">
        <v>46164</v>
      </c>
      <c r="L509" s="1401">
        <v>46203</v>
      </c>
      <c r="M509" s="1401">
        <v>46210</v>
      </c>
      <c r="N509" s="1401">
        <v>46211</v>
      </c>
      <c r="O509" t="s">
        <v>973</v>
      </c>
      <c r="P509" s="1401">
        <v>46225</v>
      </c>
      <c r="Q509" s="1401">
        <v>46218</v>
      </c>
    </row>
    <row r="510" spans="1:17">
      <c r="A510" t="s">
        <v>4544</v>
      </c>
      <c r="B510" t="s">
        <v>144</v>
      </c>
      <c r="C510" t="s">
        <v>145</v>
      </c>
      <c r="D510" t="s">
        <v>4531</v>
      </c>
      <c r="E510" t="s">
        <v>71</v>
      </c>
      <c r="F510" t="s">
        <v>72</v>
      </c>
      <c r="G510">
        <v>864</v>
      </c>
      <c r="H510" t="s">
        <v>75</v>
      </c>
      <c r="I510">
        <v>46157</v>
      </c>
      <c r="J510" t="s">
        <v>4547</v>
      </c>
      <c r="K510" s="1401">
        <v>46164</v>
      </c>
      <c r="L510" s="1401">
        <v>46225</v>
      </c>
      <c r="M510" s="1401">
        <v>46226</v>
      </c>
      <c r="N510" s="1401">
        <v>46225</v>
      </c>
      <c r="O510" t="s">
        <v>973</v>
      </c>
      <c r="P510" s="1401">
        <v>46225</v>
      </c>
      <c r="Q510" s="1401">
        <v>46225</v>
      </c>
    </row>
    <row r="511" spans="1:17">
      <c r="A511" t="s">
        <v>4541</v>
      </c>
      <c r="B511" t="s">
        <v>64</v>
      </c>
      <c r="C511" t="s">
        <v>100</v>
      </c>
      <c r="D511" t="s">
        <v>70</v>
      </c>
      <c r="E511" t="s">
        <v>195</v>
      </c>
      <c r="F511" t="s">
        <v>196</v>
      </c>
      <c r="G511">
        <v>3744</v>
      </c>
      <c r="H511" t="s">
        <v>75</v>
      </c>
      <c r="I511">
        <v>46155</v>
      </c>
      <c r="J511" t="s">
        <v>4543</v>
      </c>
      <c r="K511" s="1401">
        <v>46164</v>
      </c>
      <c r="L511" s="1401">
        <v>46203</v>
      </c>
      <c r="M511" s="1401">
        <v>46210</v>
      </c>
      <c r="N511" s="1401">
        <v>46211</v>
      </c>
      <c r="O511" t="s">
        <v>973</v>
      </c>
      <c r="P511" s="1401">
        <v>46225</v>
      </c>
      <c r="Q511" s="1401">
        <v>46218</v>
      </c>
    </row>
    <row r="512" spans="1:17">
      <c r="A512" t="s">
        <v>4560</v>
      </c>
      <c r="B512" t="s">
        <v>64</v>
      </c>
      <c r="C512" t="s">
        <v>114</v>
      </c>
      <c r="D512" t="s">
        <v>170</v>
      </c>
      <c r="E512" t="s">
        <v>1977</v>
      </c>
      <c r="F512" t="s">
        <v>1978</v>
      </c>
      <c r="G512">
        <v>1320</v>
      </c>
      <c r="H512" t="s">
        <v>75</v>
      </c>
      <c r="I512">
        <v>46157</v>
      </c>
      <c r="J512" t="s">
        <v>4562</v>
      </c>
      <c r="K512" s="1401">
        <v>46164</v>
      </c>
      <c r="L512" s="1401">
        <v>46218</v>
      </c>
      <c r="M512" s="1401">
        <v>46220</v>
      </c>
      <c r="N512" s="1401">
        <v>46221</v>
      </c>
      <c r="O512" t="s">
        <v>973</v>
      </c>
      <c r="P512" s="1401">
        <v>46234</v>
      </c>
      <c r="Q512" s="1401">
        <v>46230</v>
      </c>
    </row>
    <row r="513" spans="1:17">
      <c r="A513" t="s">
        <v>4565</v>
      </c>
      <c r="B513" t="s">
        <v>64</v>
      </c>
      <c r="C513" t="s">
        <v>114</v>
      </c>
      <c r="D513" t="s">
        <v>170</v>
      </c>
      <c r="E513" t="s">
        <v>1977</v>
      </c>
      <c r="F513" t="s">
        <v>1978</v>
      </c>
      <c r="G513">
        <v>660</v>
      </c>
      <c r="H513" t="s">
        <v>75</v>
      </c>
      <c r="I513">
        <v>46157</v>
      </c>
      <c r="J513" t="s">
        <v>4566</v>
      </c>
      <c r="K513" s="1401">
        <v>46164</v>
      </c>
      <c r="L513" s="1401">
        <v>46219</v>
      </c>
      <c r="M513" s="1401"/>
      <c r="N513" s="1401">
        <v>46219</v>
      </c>
      <c r="O513" t="s">
        <v>973</v>
      </c>
      <c r="P513" s="1401">
        <v>46233</v>
      </c>
      <c r="Q513" s="1401">
        <v>46228</v>
      </c>
    </row>
    <row r="514" spans="1:17">
      <c r="A514" t="s">
        <v>2414</v>
      </c>
      <c r="B514" t="s">
        <v>64</v>
      </c>
      <c r="C514" t="s">
        <v>65</v>
      </c>
      <c r="D514" t="s">
        <v>550</v>
      </c>
      <c r="E514" t="s">
        <v>551</v>
      </c>
      <c r="F514" t="s">
        <v>2151</v>
      </c>
      <c r="G514">
        <v>3168</v>
      </c>
      <c r="H514" t="s">
        <v>75</v>
      </c>
      <c r="I514">
        <v>46153</v>
      </c>
      <c r="J514" t="s">
        <v>2417</v>
      </c>
      <c r="K514" s="1401">
        <v>46158</v>
      </c>
      <c r="L514" s="1401">
        <v>46214</v>
      </c>
      <c r="M514" s="1401"/>
      <c r="N514" s="1401">
        <v>46217</v>
      </c>
      <c r="O514" t="s">
        <v>973</v>
      </c>
      <c r="P514" s="1401">
        <v>46227</v>
      </c>
      <c r="Q514" s="1401">
        <v>46227</v>
      </c>
    </row>
    <row r="515" spans="1:17">
      <c r="A515" t="s">
        <v>2435</v>
      </c>
      <c r="B515" t="s">
        <v>64</v>
      </c>
      <c r="C515" t="s">
        <v>450</v>
      </c>
      <c r="D515" t="s">
        <v>473</v>
      </c>
      <c r="E515" t="s">
        <v>474</v>
      </c>
      <c r="F515" t="s">
        <v>1319</v>
      </c>
      <c r="G515">
        <v>1728</v>
      </c>
      <c r="H515" t="s">
        <v>75</v>
      </c>
      <c r="I515">
        <v>46152</v>
      </c>
      <c r="J515" t="s">
        <v>2436</v>
      </c>
      <c r="K515" s="1401">
        <v>46156</v>
      </c>
      <c r="L515" s="1401">
        <v>46193</v>
      </c>
      <c r="M515" s="1401">
        <v>46212</v>
      </c>
      <c r="N515" s="1401">
        <v>46213</v>
      </c>
      <c r="O515" t="s">
        <v>973</v>
      </c>
      <c r="P515" s="1401">
        <v>46226</v>
      </c>
      <c r="Q515" s="1401">
        <v>46220</v>
      </c>
    </row>
    <row r="516" spans="1:17">
      <c r="A516" t="s">
        <v>2427</v>
      </c>
      <c r="B516" t="s">
        <v>64</v>
      </c>
      <c r="C516" t="s">
        <v>450</v>
      </c>
      <c r="D516" t="s">
        <v>132</v>
      </c>
      <c r="E516" t="s">
        <v>1062</v>
      </c>
      <c r="F516" t="s">
        <v>1063</v>
      </c>
      <c r="G516">
        <v>1728</v>
      </c>
      <c r="H516" t="s">
        <v>75</v>
      </c>
      <c r="I516">
        <v>46152</v>
      </c>
      <c r="J516" t="s">
        <v>2429</v>
      </c>
      <c r="K516" s="1401">
        <v>46156</v>
      </c>
      <c r="L516" s="1401">
        <v>46193</v>
      </c>
      <c r="M516" s="1401">
        <v>46212</v>
      </c>
      <c r="N516" s="1401">
        <v>46213</v>
      </c>
      <c r="O516" t="s">
        <v>2434</v>
      </c>
      <c r="P516" s="1401">
        <v>46226</v>
      </c>
      <c r="Q516" s="1401">
        <v>46220</v>
      </c>
    </row>
    <row r="517" spans="1:17">
      <c r="A517" t="s">
        <v>4506</v>
      </c>
      <c r="B517" t="s">
        <v>64</v>
      </c>
      <c r="C517" t="s">
        <v>65</v>
      </c>
      <c r="D517" t="s">
        <v>132</v>
      </c>
      <c r="E517" t="s">
        <v>1062</v>
      </c>
      <c r="F517" t="s">
        <v>1063</v>
      </c>
      <c r="G517">
        <v>864</v>
      </c>
      <c r="H517" t="s">
        <v>75</v>
      </c>
      <c r="I517">
        <v>46157</v>
      </c>
      <c r="J517" t="s">
        <v>4508</v>
      </c>
      <c r="K517" s="1401">
        <v>46161</v>
      </c>
      <c r="L517" s="1401">
        <v>46203</v>
      </c>
      <c r="M517" s="1401">
        <v>46207</v>
      </c>
      <c r="N517" s="1401">
        <v>46207</v>
      </c>
      <c r="O517" t="s">
        <v>973</v>
      </c>
      <c r="P517" s="1401">
        <v>46220</v>
      </c>
      <c r="Q517" s="1401">
        <v>46215</v>
      </c>
    </row>
    <row r="518" spans="1:17">
      <c r="A518" t="s">
        <v>4492</v>
      </c>
      <c r="B518" t="s">
        <v>64</v>
      </c>
      <c r="C518" t="s">
        <v>65</v>
      </c>
      <c r="D518" t="s">
        <v>132</v>
      </c>
      <c r="E518" t="s">
        <v>189</v>
      </c>
      <c r="F518" t="s">
        <v>190</v>
      </c>
      <c r="G518">
        <v>5184</v>
      </c>
      <c r="H518" t="s">
        <v>75</v>
      </c>
      <c r="I518">
        <v>46157</v>
      </c>
      <c r="J518" t="s">
        <v>4494</v>
      </c>
      <c r="K518" s="1401">
        <v>46164</v>
      </c>
      <c r="L518" s="1401">
        <v>46216</v>
      </c>
      <c r="M518" s="1401"/>
      <c r="N518" s="1401">
        <v>46215</v>
      </c>
      <c r="O518" t="s">
        <v>973</v>
      </c>
      <c r="P518" s="1401">
        <v>46230</v>
      </c>
      <c r="Q518" s="1401">
        <v>46223</v>
      </c>
    </row>
    <row r="519" spans="1:17">
      <c r="A519" t="s">
        <v>4498</v>
      </c>
      <c r="B519" t="s">
        <v>64</v>
      </c>
      <c r="C519" t="s">
        <v>65</v>
      </c>
      <c r="D519" t="s">
        <v>132</v>
      </c>
      <c r="E519" t="s">
        <v>1062</v>
      </c>
      <c r="F519" t="s">
        <v>1063</v>
      </c>
      <c r="G519">
        <v>864</v>
      </c>
      <c r="H519" t="s">
        <v>75</v>
      </c>
      <c r="I519">
        <v>46158</v>
      </c>
      <c r="J519" t="s">
        <v>4499</v>
      </c>
      <c r="K519" s="1401">
        <v>46164</v>
      </c>
      <c r="L519" s="1401">
        <v>46216</v>
      </c>
      <c r="M519" s="1401"/>
      <c r="N519" s="1401">
        <v>46215</v>
      </c>
      <c r="O519" t="s">
        <v>973</v>
      </c>
      <c r="P519" s="1401">
        <v>46230</v>
      </c>
      <c r="Q519" s="1401">
        <v>46223</v>
      </c>
    </row>
    <row r="520" spans="1:17">
      <c r="A520" t="s">
        <v>4657</v>
      </c>
      <c r="B520" t="s">
        <v>144</v>
      </c>
      <c r="C520" t="s">
        <v>145</v>
      </c>
      <c r="D520" t="s">
        <v>4531</v>
      </c>
      <c r="E520" t="s">
        <v>71</v>
      </c>
      <c r="F520" t="s">
        <v>72</v>
      </c>
      <c r="G520">
        <v>4320</v>
      </c>
      <c r="H520" t="s">
        <v>75</v>
      </c>
      <c r="I520">
        <v>46160</v>
      </c>
      <c r="J520" t="s">
        <v>4658</v>
      </c>
      <c r="K520" s="1401">
        <v>46164</v>
      </c>
      <c r="L520" s="1401">
        <v>46225</v>
      </c>
      <c r="M520" s="1401"/>
      <c r="N520" s="1401">
        <v>46225</v>
      </c>
      <c r="O520" t="s">
        <v>973</v>
      </c>
      <c r="P520" s="1401">
        <v>46225</v>
      </c>
      <c r="Q520" s="1401">
        <v>46225</v>
      </c>
    </row>
    <row r="521" spans="1:17">
      <c r="A521" t="s">
        <v>4513</v>
      </c>
      <c r="B521" t="s">
        <v>64</v>
      </c>
      <c r="C521" t="s">
        <v>310</v>
      </c>
      <c r="D521" t="s">
        <v>170</v>
      </c>
      <c r="E521" t="s">
        <v>1977</v>
      </c>
      <c r="F521" t="s">
        <v>1978</v>
      </c>
      <c r="G521">
        <v>3960</v>
      </c>
      <c r="H521" t="s">
        <v>75</v>
      </c>
      <c r="I521">
        <v>46158</v>
      </c>
      <c r="J521" t="s">
        <v>4514</v>
      </c>
      <c r="K521" s="1401">
        <v>46164</v>
      </c>
      <c r="L521" s="1401">
        <v>46211</v>
      </c>
      <c r="M521" s="1401">
        <v>46218</v>
      </c>
      <c r="N521" s="1401">
        <v>46217</v>
      </c>
      <c r="O521" t="s">
        <v>973</v>
      </c>
      <c r="P521" s="1401">
        <v>46232</v>
      </c>
      <c r="Q521" s="1401">
        <v>46227</v>
      </c>
    </row>
    <row r="522" spans="1:17">
      <c r="A522" t="s">
        <v>4661</v>
      </c>
      <c r="B522" t="s">
        <v>64</v>
      </c>
      <c r="C522" t="s">
        <v>100</v>
      </c>
      <c r="D522" t="s">
        <v>4531</v>
      </c>
      <c r="E522" t="s">
        <v>71</v>
      </c>
      <c r="F522" t="s">
        <v>72</v>
      </c>
      <c r="G522">
        <v>1728</v>
      </c>
      <c r="H522" t="s">
        <v>75</v>
      </c>
      <c r="I522">
        <v>46160</v>
      </c>
      <c r="J522" t="s">
        <v>4662</v>
      </c>
      <c r="K522" s="1401">
        <v>46164</v>
      </c>
      <c r="L522" s="1401">
        <v>46214</v>
      </c>
      <c r="M522" s="1401"/>
      <c r="N522" s="1401">
        <v>46218</v>
      </c>
      <c r="O522" t="s">
        <v>973</v>
      </c>
      <c r="P522" s="1401">
        <v>46230</v>
      </c>
      <c r="Q522" s="1401">
        <v>46225</v>
      </c>
    </row>
    <row r="523" spans="1:17">
      <c r="A523" t="s">
        <v>4569</v>
      </c>
      <c r="B523" t="s">
        <v>64</v>
      </c>
      <c r="C523">
        <v>0</v>
      </c>
      <c r="D523" t="s">
        <v>70</v>
      </c>
      <c r="E523" t="s">
        <v>2299</v>
      </c>
      <c r="F523" t="s">
        <v>1682</v>
      </c>
      <c r="G523">
        <v>297</v>
      </c>
      <c r="H523" t="s">
        <v>75</v>
      </c>
      <c r="I523">
        <v>46158</v>
      </c>
      <c r="J523" t="s">
        <v>4570</v>
      </c>
      <c r="K523" s="1401">
        <v>46162</v>
      </c>
      <c r="L523" s="1401">
        <v>46212</v>
      </c>
      <c r="M523" s="1401">
        <v>46235</v>
      </c>
      <c r="N523" s="1401">
        <v>46235</v>
      </c>
      <c r="O523" t="s">
        <v>973</v>
      </c>
      <c r="P523" s="1401">
        <v>46248</v>
      </c>
      <c r="Q523" s="1401">
        <v>46242</v>
      </c>
    </row>
    <row r="524" spans="1:17">
      <c r="A524" t="s">
        <v>4575</v>
      </c>
      <c r="B524" t="s">
        <v>64</v>
      </c>
      <c r="C524">
        <v>0</v>
      </c>
      <c r="D524" t="s">
        <v>70</v>
      </c>
      <c r="E524" t="s">
        <v>2308</v>
      </c>
      <c r="F524" t="s">
        <v>1484</v>
      </c>
      <c r="G524">
        <v>3861</v>
      </c>
      <c r="H524" t="s">
        <v>75</v>
      </c>
      <c r="I524">
        <v>46158</v>
      </c>
      <c r="J524" t="s">
        <v>4576</v>
      </c>
      <c r="K524" s="1401">
        <v>46162</v>
      </c>
      <c r="L524" s="1401">
        <v>46212</v>
      </c>
      <c r="M524" s="1401">
        <v>46235</v>
      </c>
      <c r="N524" s="1401">
        <v>46235</v>
      </c>
      <c r="O524" t="s">
        <v>973</v>
      </c>
      <c r="P524" s="1401">
        <v>46248</v>
      </c>
      <c r="Q524" s="1401">
        <v>46242</v>
      </c>
    </row>
    <row r="525" spans="1:17">
      <c r="A525" t="s">
        <v>4584</v>
      </c>
      <c r="B525" t="s">
        <v>64</v>
      </c>
      <c r="C525" t="s">
        <v>100</v>
      </c>
      <c r="D525" t="s">
        <v>132</v>
      </c>
      <c r="E525" t="s">
        <v>1062</v>
      </c>
      <c r="F525" t="s">
        <v>1063</v>
      </c>
      <c r="G525">
        <v>3456</v>
      </c>
      <c r="H525" t="s">
        <v>75</v>
      </c>
      <c r="I525">
        <v>46162</v>
      </c>
      <c r="J525" t="s">
        <v>4585</v>
      </c>
      <c r="K525" s="1401">
        <v>46170</v>
      </c>
      <c r="L525" s="1401">
        <v>46203</v>
      </c>
      <c r="M525" s="1401">
        <v>46211</v>
      </c>
      <c r="N525" s="1401">
        <v>46211</v>
      </c>
      <c r="O525" t="s">
        <v>973</v>
      </c>
      <c r="P525" s="1401">
        <v>46225</v>
      </c>
      <c r="Q525" s="1401">
        <v>46218</v>
      </c>
    </row>
    <row r="526" spans="1:17">
      <c r="A526" t="s">
        <v>4577</v>
      </c>
      <c r="B526" t="s">
        <v>64</v>
      </c>
      <c r="C526" t="s">
        <v>450</v>
      </c>
      <c r="D526" t="s">
        <v>132</v>
      </c>
      <c r="E526" t="s">
        <v>1062</v>
      </c>
      <c r="F526" t="s">
        <v>1063</v>
      </c>
      <c r="G526">
        <v>2592</v>
      </c>
      <c r="H526" t="s">
        <v>75</v>
      </c>
      <c r="I526">
        <v>46162</v>
      </c>
      <c r="J526" t="s">
        <v>4580</v>
      </c>
      <c r="K526" s="1401">
        <v>46168</v>
      </c>
      <c r="L526" s="1401">
        <v>46208</v>
      </c>
      <c r="M526" s="1401"/>
      <c r="N526" s="1401">
        <v>46208</v>
      </c>
      <c r="O526" t="s">
        <v>973</v>
      </c>
      <c r="P526" s="1401">
        <v>46223</v>
      </c>
      <c r="Q526" s="1401">
        <v>46215</v>
      </c>
    </row>
    <row r="527" spans="1:17">
      <c r="A527" t="s">
        <v>4588</v>
      </c>
      <c r="B527" t="s">
        <v>64</v>
      </c>
      <c r="C527" t="s">
        <v>100</v>
      </c>
      <c r="D527" t="s">
        <v>4486</v>
      </c>
      <c r="E527" t="s">
        <v>4487</v>
      </c>
      <c r="F527" t="s">
        <v>4488</v>
      </c>
      <c r="G527">
        <v>1440</v>
      </c>
      <c r="H527" t="s">
        <v>75</v>
      </c>
      <c r="I527">
        <v>46162</v>
      </c>
      <c r="J527" t="s">
        <v>4589</v>
      </c>
      <c r="K527" s="1401">
        <v>46170</v>
      </c>
      <c r="L527" s="1401">
        <v>46203</v>
      </c>
      <c r="M527" s="1401">
        <v>46211</v>
      </c>
      <c r="N527" s="1401">
        <v>46211</v>
      </c>
      <c r="O527" t="s">
        <v>973</v>
      </c>
      <c r="P527" s="1401">
        <v>46225</v>
      </c>
      <c r="Q527" s="1401">
        <v>46218</v>
      </c>
    </row>
    <row r="528" spans="1:17">
      <c r="A528" t="s">
        <v>4590</v>
      </c>
      <c r="B528" t="s">
        <v>144</v>
      </c>
      <c r="C528" t="s">
        <v>145</v>
      </c>
      <c r="D528" t="s">
        <v>4531</v>
      </c>
      <c r="E528" t="s">
        <v>4592</v>
      </c>
      <c r="F528" t="s">
        <v>330</v>
      </c>
      <c r="G528">
        <v>2160</v>
      </c>
      <c r="H528" t="s">
        <v>75</v>
      </c>
      <c r="I528">
        <v>46161</v>
      </c>
      <c r="J528" t="s">
        <v>4593</v>
      </c>
      <c r="K528" s="1401">
        <v>46170</v>
      </c>
      <c r="L528" s="1401">
        <v>46203</v>
      </c>
      <c r="M528" s="1401">
        <v>46210</v>
      </c>
      <c r="N528" s="1401">
        <v>46211</v>
      </c>
      <c r="O528" t="s">
        <v>973</v>
      </c>
      <c r="P528" s="1401">
        <v>46203</v>
      </c>
      <c r="Q528" s="1401">
        <v>46211</v>
      </c>
    </row>
    <row r="529" spans="1:17">
      <c r="A529" t="s">
        <v>4596</v>
      </c>
      <c r="B529" t="s">
        <v>144</v>
      </c>
      <c r="C529" t="s">
        <v>145</v>
      </c>
      <c r="D529" t="s">
        <v>4531</v>
      </c>
      <c r="E529" t="s">
        <v>4597</v>
      </c>
      <c r="F529" t="s">
        <v>4598</v>
      </c>
      <c r="G529">
        <v>1440</v>
      </c>
      <c r="H529" t="s">
        <v>75</v>
      </c>
      <c r="I529">
        <v>46161</v>
      </c>
      <c r="J529" t="s">
        <v>4599</v>
      </c>
      <c r="K529" s="1401">
        <v>46170</v>
      </c>
      <c r="L529" s="1401">
        <v>46203</v>
      </c>
      <c r="M529" s="1401">
        <v>46210</v>
      </c>
      <c r="N529" s="1401">
        <v>46211</v>
      </c>
      <c r="O529" t="s">
        <v>973</v>
      </c>
      <c r="P529" s="1401">
        <v>46203</v>
      </c>
      <c r="Q529" s="1401">
        <v>46211</v>
      </c>
    </row>
    <row r="530" spans="1:17">
      <c r="A530" t="s">
        <v>4600</v>
      </c>
      <c r="B530" t="s">
        <v>144</v>
      </c>
      <c r="C530" t="s">
        <v>145</v>
      </c>
      <c r="D530" t="s">
        <v>4531</v>
      </c>
      <c r="E530" t="s">
        <v>4592</v>
      </c>
      <c r="F530" t="s">
        <v>330</v>
      </c>
      <c r="G530">
        <v>2160</v>
      </c>
      <c r="H530" t="s">
        <v>75</v>
      </c>
      <c r="I530">
        <v>46159</v>
      </c>
      <c r="J530" t="s">
        <v>4601</v>
      </c>
      <c r="K530" s="1401">
        <v>46167</v>
      </c>
      <c r="L530" s="1401">
        <v>46204</v>
      </c>
      <c r="M530" s="1401">
        <v>46226</v>
      </c>
      <c r="N530" s="1401">
        <v>46227</v>
      </c>
      <c r="O530" t="s">
        <v>973</v>
      </c>
      <c r="P530" s="1401">
        <v>46204</v>
      </c>
      <c r="Q530" s="1401">
        <v>46227</v>
      </c>
    </row>
    <row r="531" spans="1:17">
      <c r="A531" t="s">
        <v>4605</v>
      </c>
      <c r="B531" t="s">
        <v>144</v>
      </c>
      <c r="C531" t="s">
        <v>145</v>
      </c>
      <c r="D531" t="s">
        <v>4531</v>
      </c>
      <c r="E531" t="s">
        <v>4597</v>
      </c>
      <c r="F531" t="s">
        <v>4598</v>
      </c>
      <c r="G531">
        <v>1440</v>
      </c>
      <c r="H531" t="s">
        <v>75</v>
      </c>
      <c r="I531">
        <v>46159</v>
      </c>
      <c r="J531" t="s">
        <v>4606</v>
      </c>
      <c r="K531" s="1401">
        <v>46167</v>
      </c>
      <c r="L531" s="1401">
        <v>46204</v>
      </c>
      <c r="M531" s="1401">
        <v>46226</v>
      </c>
      <c r="N531" s="1401">
        <v>46227</v>
      </c>
      <c r="O531" t="s">
        <v>973</v>
      </c>
      <c r="P531" s="1401">
        <v>46204</v>
      </c>
      <c r="Q531" s="1401">
        <v>46227</v>
      </c>
    </row>
    <row r="532" spans="1:17">
      <c r="A532" t="s">
        <v>4641</v>
      </c>
      <c r="B532" t="s">
        <v>144</v>
      </c>
      <c r="C532" t="s">
        <v>145</v>
      </c>
      <c r="D532" t="s">
        <v>4486</v>
      </c>
      <c r="E532" t="s">
        <v>4520</v>
      </c>
      <c r="F532" t="s">
        <v>4521</v>
      </c>
      <c r="G532">
        <v>720</v>
      </c>
      <c r="H532" t="s">
        <v>75</v>
      </c>
      <c r="I532">
        <v>46162</v>
      </c>
      <c r="J532" t="s">
        <v>4643</v>
      </c>
      <c r="K532" s="1401">
        <v>46168</v>
      </c>
      <c r="L532" s="1401">
        <v>46204</v>
      </c>
      <c r="M532" s="1401"/>
      <c r="N532" s="1401">
        <v>46204</v>
      </c>
      <c r="O532" t="s">
        <v>973</v>
      </c>
      <c r="P532" s="1401">
        <v>46204</v>
      </c>
      <c r="Q532" s="1401">
        <v>46204</v>
      </c>
    </row>
    <row r="533" spans="1:17">
      <c r="A533" t="s">
        <v>4665</v>
      </c>
      <c r="B533" t="s">
        <v>64</v>
      </c>
      <c r="C533" t="s">
        <v>100</v>
      </c>
      <c r="D533" t="s">
        <v>4531</v>
      </c>
      <c r="E533" t="s">
        <v>1151</v>
      </c>
      <c r="F533" t="s">
        <v>421</v>
      </c>
      <c r="G533">
        <v>1728</v>
      </c>
      <c r="H533" t="s">
        <v>75</v>
      </c>
      <c r="I533">
        <v>46160</v>
      </c>
      <c r="J533" t="s">
        <v>4666</v>
      </c>
      <c r="K533" s="1401">
        <v>46164</v>
      </c>
      <c r="L533" s="1401">
        <v>46214</v>
      </c>
      <c r="M533" s="1401"/>
      <c r="N533" s="1401">
        <v>46218</v>
      </c>
      <c r="O533" t="s">
        <v>973</v>
      </c>
      <c r="P533" s="1401">
        <v>46230</v>
      </c>
      <c r="Q533" s="1401">
        <v>46225</v>
      </c>
    </row>
    <row r="534" spans="1:17">
      <c r="A534" t="s">
        <v>4667</v>
      </c>
      <c r="B534" t="s">
        <v>64</v>
      </c>
      <c r="C534" t="s">
        <v>100</v>
      </c>
      <c r="D534" t="s">
        <v>4531</v>
      </c>
      <c r="E534" t="s">
        <v>71</v>
      </c>
      <c r="F534" t="s">
        <v>72</v>
      </c>
      <c r="G534">
        <v>4320</v>
      </c>
      <c r="H534" t="s">
        <v>75</v>
      </c>
      <c r="I534">
        <v>46164</v>
      </c>
      <c r="J534" t="s">
        <v>4669</v>
      </c>
      <c r="K534" s="1401">
        <v>46173</v>
      </c>
      <c r="L534" s="1401">
        <v>46214</v>
      </c>
      <c r="M534" s="1401"/>
      <c r="N534" s="1401">
        <v>46218</v>
      </c>
      <c r="O534" t="s">
        <v>973</v>
      </c>
      <c r="P534" s="1401">
        <v>46230</v>
      </c>
      <c r="Q534" s="1401">
        <v>46225</v>
      </c>
    </row>
    <row r="535" spans="1:17">
      <c r="A535" t="s">
        <v>4673</v>
      </c>
      <c r="B535" t="s">
        <v>144</v>
      </c>
      <c r="C535" t="s">
        <v>145</v>
      </c>
      <c r="D535" t="s">
        <v>70</v>
      </c>
      <c r="E535" t="s">
        <v>1151</v>
      </c>
      <c r="F535" t="s">
        <v>421</v>
      </c>
      <c r="G535">
        <v>2592</v>
      </c>
      <c r="H535" t="s">
        <v>75</v>
      </c>
      <c r="I535">
        <v>46157</v>
      </c>
      <c r="J535" t="s">
        <v>4675</v>
      </c>
      <c r="K535" s="1401">
        <v>46165</v>
      </c>
      <c r="L535" s="1401">
        <v>46226</v>
      </c>
      <c r="M535" s="1401">
        <v>46231</v>
      </c>
      <c r="N535" s="1401">
        <v>46229</v>
      </c>
      <c r="O535" t="s">
        <v>973</v>
      </c>
      <c r="P535" s="1401">
        <v>46206</v>
      </c>
      <c r="Q535" s="1401">
        <v>46229</v>
      </c>
    </row>
    <row r="536" spans="1:17">
      <c r="A536" t="s">
        <v>4680</v>
      </c>
      <c r="B536" t="s">
        <v>64</v>
      </c>
      <c r="C536" t="s">
        <v>310</v>
      </c>
      <c r="D536" t="s">
        <v>170</v>
      </c>
      <c r="E536" t="s">
        <v>1977</v>
      </c>
      <c r="F536" t="s">
        <v>1978</v>
      </c>
      <c r="G536">
        <v>2640</v>
      </c>
      <c r="H536" t="s">
        <v>75</v>
      </c>
      <c r="I536">
        <v>46163</v>
      </c>
      <c r="J536" t="s">
        <v>4681</v>
      </c>
      <c r="K536" s="1401">
        <v>46173</v>
      </c>
      <c r="L536" s="1401">
        <v>46232</v>
      </c>
      <c r="M536" s="1401">
        <v>46239.5</v>
      </c>
      <c r="N536" s="1401">
        <v>46239.457638888889</v>
      </c>
      <c r="O536" t="s">
        <v>973</v>
      </c>
      <c r="P536" s="1401">
        <v>46246</v>
      </c>
      <c r="Q536" s="1401">
        <v>46249.457638888889</v>
      </c>
    </row>
    <row r="537" spans="1:17">
      <c r="A537" t="s">
        <v>4684</v>
      </c>
      <c r="B537" t="s">
        <v>64</v>
      </c>
      <c r="C537" t="s">
        <v>65</v>
      </c>
      <c r="D537" t="s">
        <v>4531</v>
      </c>
      <c r="E537" t="s">
        <v>71</v>
      </c>
      <c r="F537" t="s">
        <v>72</v>
      </c>
      <c r="G537">
        <v>1728</v>
      </c>
      <c r="H537" t="s">
        <v>75</v>
      </c>
      <c r="I537">
        <v>46164</v>
      </c>
      <c r="J537" t="s">
        <v>4686</v>
      </c>
      <c r="K537" s="1401">
        <v>46173</v>
      </c>
      <c r="L537" s="1401">
        <v>46231</v>
      </c>
      <c r="M537" s="1401">
        <v>46234</v>
      </c>
      <c r="N537" s="1401">
        <v>46235.175381944442</v>
      </c>
      <c r="O537" t="s">
        <v>973</v>
      </c>
      <c r="P537" s="1401">
        <v>46247</v>
      </c>
      <c r="Q537" s="1401">
        <v>46243.175381944442</v>
      </c>
    </row>
    <row r="538" spans="1:17">
      <c r="A538" t="s">
        <v>4689</v>
      </c>
      <c r="B538" t="s">
        <v>64</v>
      </c>
      <c r="C538" t="s">
        <v>450</v>
      </c>
      <c r="D538" t="s">
        <v>4531</v>
      </c>
      <c r="E538" t="s">
        <v>1151</v>
      </c>
      <c r="F538" t="s">
        <v>421</v>
      </c>
      <c r="G538">
        <v>864</v>
      </c>
      <c r="H538" t="s">
        <v>75</v>
      </c>
      <c r="I538">
        <v>46164</v>
      </c>
      <c r="J538" t="s">
        <v>4690</v>
      </c>
      <c r="K538" s="1401">
        <v>46173</v>
      </c>
      <c r="L538" s="1401">
        <v>46222</v>
      </c>
      <c r="M538" s="1401">
        <v>46224</v>
      </c>
      <c r="N538" s="1401">
        <v>46224</v>
      </c>
      <c r="O538" t="s">
        <v>973</v>
      </c>
      <c r="P538" s="1401">
        <v>46238</v>
      </c>
      <c r="Q538" s="1401">
        <v>46231</v>
      </c>
    </row>
    <row r="539" spans="1:17">
      <c r="A539" t="s">
        <v>4693</v>
      </c>
      <c r="B539" t="s">
        <v>144</v>
      </c>
      <c r="C539" t="s">
        <v>145</v>
      </c>
      <c r="D539" t="s">
        <v>4531</v>
      </c>
      <c r="E539" t="s">
        <v>1151</v>
      </c>
      <c r="F539" t="s">
        <v>421</v>
      </c>
      <c r="G539">
        <v>864</v>
      </c>
      <c r="H539" t="s">
        <v>75</v>
      </c>
      <c r="I539">
        <v>46164</v>
      </c>
      <c r="J539" t="s">
        <v>4696</v>
      </c>
      <c r="K539" s="1401">
        <v>46173</v>
      </c>
      <c r="L539" s="1401">
        <v>46226</v>
      </c>
      <c r="M539" s="1401">
        <v>46229</v>
      </c>
      <c r="N539" s="1401">
        <v>46229</v>
      </c>
      <c r="O539" t="s">
        <v>973</v>
      </c>
      <c r="P539" s="1401">
        <v>46226</v>
      </c>
      <c r="Q539" s="1401">
        <v>46229</v>
      </c>
    </row>
    <row r="540" spans="1:17">
      <c r="A540" t="s">
        <v>4639</v>
      </c>
      <c r="B540" t="s">
        <v>64</v>
      </c>
      <c r="C540" t="s">
        <v>310</v>
      </c>
      <c r="D540" t="s">
        <v>170</v>
      </c>
      <c r="E540" t="s">
        <v>171</v>
      </c>
      <c r="F540" t="s">
        <v>1731</v>
      </c>
      <c r="G540">
        <v>1980</v>
      </c>
      <c r="H540" t="s">
        <v>75</v>
      </c>
      <c r="I540">
        <v>46165</v>
      </c>
      <c r="J540" t="s">
        <v>4640</v>
      </c>
      <c r="K540" s="1401">
        <v>46171</v>
      </c>
      <c r="L540" s="1401">
        <v>46220</v>
      </c>
      <c r="M540" s="1401">
        <v>46231</v>
      </c>
      <c r="N540" s="1401">
        <v>46227</v>
      </c>
      <c r="O540" t="s">
        <v>973</v>
      </c>
      <c r="P540" s="1401">
        <v>46241</v>
      </c>
      <c r="Q540" s="1401">
        <v>46237</v>
      </c>
    </row>
    <row r="541" spans="1:17">
      <c r="A541" t="s">
        <v>4637</v>
      </c>
      <c r="B541" t="s">
        <v>64</v>
      </c>
      <c r="C541" t="s">
        <v>310</v>
      </c>
      <c r="D541" t="s">
        <v>170</v>
      </c>
      <c r="E541" t="s">
        <v>1977</v>
      </c>
      <c r="F541" t="s">
        <v>1978</v>
      </c>
      <c r="G541">
        <v>1320</v>
      </c>
      <c r="H541" t="s">
        <v>75</v>
      </c>
      <c r="I541">
        <v>46165</v>
      </c>
      <c r="J541" t="s">
        <v>4638</v>
      </c>
      <c r="K541" s="1401">
        <v>46171</v>
      </c>
      <c r="L541" s="1401">
        <v>46220</v>
      </c>
      <c r="M541" s="1401">
        <v>46231</v>
      </c>
      <c r="N541" s="1401">
        <v>46227</v>
      </c>
      <c r="O541" t="s">
        <v>973</v>
      </c>
      <c r="P541" s="1401">
        <v>46241</v>
      </c>
      <c r="Q541" s="1401">
        <v>46237</v>
      </c>
    </row>
    <row r="542" spans="1:17">
      <c r="A542" t="s">
        <v>4633</v>
      </c>
      <c r="B542" t="s">
        <v>64</v>
      </c>
      <c r="C542" t="s">
        <v>310</v>
      </c>
      <c r="D542" t="s">
        <v>170</v>
      </c>
      <c r="E542" t="s">
        <v>1977</v>
      </c>
      <c r="F542" t="s">
        <v>1978</v>
      </c>
      <c r="G542">
        <v>1980</v>
      </c>
      <c r="H542" t="s">
        <v>75</v>
      </c>
      <c r="I542">
        <v>46165</v>
      </c>
      <c r="J542" t="s">
        <v>4634</v>
      </c>
      <c r="K542" s="1401">
        <v>46171</v>
      </c>
      <c r="L542" s="1401">
        <v>46220</v>
      </c>
      <c r="M542" s="1401">
        <v>46231</v>
      </c>
      <c r="N542" s="1401">
        <v>46227</v>
      </c>
      <c r="O542" t="s">
        <v>973</v>
      </c>
      <c r="P542" s="1401">
        <v>46241</v>
      </c>
      <c r="Q542" s="1401">
        <v>46237</v>
      </c>
    </row>
    <row r="543" spans="1:17">
      <c r="A543" t="s">
        <v>4631</v>
      </c>
      <c r="B543" t="s">
        <v>64</v>
      </c>
      <c r="C543" t="s">
        <v>310</v>
      </c>
      <c r="D543" t="s">
        <v>170</v>
      </c>
      <c r="E543" t="s">
        <v>1977</v>
      </c>
      <c r="F543" t="s">
        <v>1978</v>
      </c>
      <c r="G543">
        <v>660</v>
      </c>
      <c r="H543" t="s">
        <v>75</v>
      </c>
      <c r="I543">
        <v>46165</v>
      </c>
      <c r="J543" t="s">
        <v>4632</v>
      </c>
      <c r="K543" s="1401">
        <v>46171</v>
      </c>
      <c r="L543" s="1401">
        <v>46218</v>
      </c>
      <c r="M543" s="1401">
        <v>46225</v>
      </c>
      <c r="N543" s="1401">
        <v>46225</v>
      </c>
      <c r="O543" t="s">
        <v>973</v>
      </c>
      <c r="P543" s="1401">
        <v>46239</v>
      </c>
      <c r="Q543" s="1401">
        <v>46235</v>
      </c>
    </row>
    <row r="544" spans="1:17">
      <c r="A544" t="s">
        <v>4625</v>
      </c>
      <c r="B544" t="s">
        <v>64</v>
      </c>
      <c r="C544" t="s">
        <v>310</v>
      </c>
      <c r="D544" t="s">
        <v>170</v>
      </c>
      <c r="E544" t="s">
        <v>171</v>
      </c>
      <c r="F544" t="s">
        <v>1731</v>
      </c>
      <c r="G544">
        <v>3960</v>
      </c>
      <c r="H544" t="s">
        <v>75</v>
      </c>
      <c r="I544">
        <v>46164</v>
      </c>
      <c r="J544" t="s">
        <v>4627</v>
      </c>
      <c r="K544" s="1401">
        <v>46171</v>
      </c>
      <c r="L544" s="1401">
        <v>46218</v>
      </c>
      <c r="M544" s="1401">
        <v>46225</v>
      </c>
      <c r="N544" s="1401">
        <v>46225</v>
      </c>
      <c r="O544" t="s">
        <v>973</v>
      </c>
      <c r="P544" s="1401">
        <v>46239</v>
      </c>
      <c r="Q544" s="1401">
        <v>46235</v>
      </c>
    </row>
    <row r="545" spans="1:17">
      <c r="A545" t="s">
        <v>4618</v>
      </c>
      <c r="B545" t="s">
        <v>144</v>
      </c>
      <c r="C545" t="s">
        <v>145</v>
      </c>
      <c r="D545" t="s">
        <v>132</v>
      </c>
      <c r="E545" t="s">
        <v>189</v>
      </c>
      <c r="F545" t="s">
        <v>190</v>
      </c>
      <c r="G545">
        <v>12960</v>
      </c>
      <c r="H545" t="s">
        <v>75</v>
      </c>
      <c r="I545">
        <v>46168</v>
      </c>
      <c r="J545" t="s">
        <v>4622</v>
      </c>
      <c r="K545" s="1401">
        <v>46173</v>
      </c>
      <c r="L545" s="1401">
        <v>46223</v>
      </c>
      <c r="M545" s="1401">
        <v>46234</v>
      </c>
      <c r="N545" s="1401">
        <v>46234</v>
      </c>
      <c r="O545" t="s">
        <v>973</v>
      </c>
      <c r="P545" s="1401">
        <v>46226</v>
      </c>
      <c r="Q545" s="1401">
        <v>46234</v>
      </c>
    </row>
    <row r="546" spans="1:17">
      <c r="A546" t="s">
        <v>4616</v>
      </c>
      <c r="B546" t="s">
        <v>144</v>
      </c>
      <c r="C546" t="s">
        <v>145</v>
      </c>
      <c r="D546" t="s">
        <v>4531</v>
      </c>
      <c r="E546" t="s">
        <v>4597</v>
      </c>
      <c r="F546" t="s">
        <v>4598</v>
      </c>
      <c r="G546">
        <v>5760</v>
      </c>
      <c r="H546" t="s">
        <v>75</v>
      </c>
      <c r="I546">
        <v>46168</v>
      </c>
      <c r="J546" t="s">
        <v>4617</v>
      </c>
      <c r="K546" s="1401">
        <v>46173</v>
      </c>
      <c r="L546" s="1401">
        <v>46223</v>
      </c>
      <c r="M546" s="1401">
        <v>46234</v>
      </c>
      <c r="N546" s="1401">
        <v>46234</v>
      </c>
      <c r="O546" t="s">
        <v>973</v>
      </c>
      <c r="P546" s="1401">
        <v>46223</v>
      </c>
      <c r="Q546" s="1401">
        <v>46234</v>
      </c>
    </row>
    <row r="547" spans="1:17">
      <c r="A547" t="s">
        <v>4612</v>
      </c>
      <c r="B547" t="s">
        <v>144</v>
      </c>
      <c r="C547" t="s">
        <v>145</v>
      </c>
      <c r="D547" t="s">
        <v>4531</v>
      </c>
      <c r="E547" t="s">
        <v>4597</v>
      </c>
      <c r="F547" t="s">
        <v>4598</v>
      </c>
      <c r="G547">
        <v>5040</v>
      </c>
      <c r="H547" t="s">
        <v>75</v>
      </c>
      <c r="I547">
        <v>46167</v>
      </c>
      <c r="J547" t="s">
        <v>4613</v>
      </c>
      <c r="K547" s="1401">
        <v>46173</v>
      </c>
      <c r="L547" s="1401">
        <v>46223</v>
      </c>
      <c r="M547" s="1401">
        <v>46234</v>
      </c>
      <c r="N547" s="1401">
        <v>46234</v>
      </c>
      <c r="O547" t="s">
        <v>973</v>
      </c>
      <c r="P547" s="1401">
        <v>46223</v>
      </c>
      <c r="Q547" s="1401">
        <v>46234</v>
      </c>
    </row>
    <row r="548" spans="1:17">
      <c r="A548" t="s">
        <v>4607</v>
      </c>
      <c r="B548" t="s">
        <v>144</v>
      </c>
      <c r="C548" t="s">
        <v>145</v>
      </c>
      <c r="D548" t="s">
        <v>4531</v>
      </c>
      <c r="E548" t="s">
        <v>4597</v>
      </c>
      <c r="F548" t="s">
        <v>4598</v>
      </c>
      <c r="G548">
        <v>5760</v>
      </c>
      <c r="H548" t="s">
        <v>75</v>
      </c>
      <c r="I548">
        <v>46166</v>
      </c>
      <c r="J548" t="s">
        <v>4608</v>
      </c>
      <c r="K548" s="1401">
        <v>46173</v>
      </c>
      <c r="L548" s="1401">
        <v>46223</v>
      </c>
      <c r="M548" s="1401">
        <v>46234</v>
      </c>
      <c r="N548" s="1401">
        <v>46234</v>
      </c>
      <c r="O548" t="s">
        <v>973</v>
      </c>
      <c r="P548" s="1401">
        <v>46223</v>
      </c>
      <c r="Q548" s="1401">
        <v>46234</v>
      </c>
    </row>
    <row r="549" spans="1:17">
      <c r="A549" t="s">
        <v>4728</v>
      </c>
      <c r="B549" t="s">
        <v>64</v>
      </c>
      <c r="C549" t="s">
        <v>310</v>
      </c>
      <c r="D549" t="s">
        <v>170</v>
      </c>
      <c r="E549" t="s">
        <v>171</v>
      </c>
      <c r="F549" t="s">
        <v>1731</v>
      </c>
      <c r="G549">
        <v>3960</v>
      </c>
      <c r="H549" t="s">
        <v>75</v>
      </c>
      <c r="I549">
        <v>46171</v>
      </c>
      <c r="J549" t="s">
        <v>4730</v>
      </c>
      <c r="K549" s="1401">
        <v>46178</v>
      </c>
      <c r="L549" s="1401">
        <v>46225</v>
      </c>
      <c r="M549" s="1401">
        <v>46236</v>
      </c>
      <c r="N549" s="1401">
        <v>46232</v>
      </c>
      <c r="O549" t="s">
        <v>973</v>
      </c>
      <c r="P549" s="1401">
        <v>46246</v>
      </c>
      <c r="Q549" s="1401">
        <v>46242</v>
      </c>
    </row>
    <row r="550" spans="1:17">
      <c r="A550" t="s">
        <v>4710</v>
      </c>
      <c r="B550" t="s">
        <v>64</v>
      </c>
      <c r="C550" t="s">
        <v>100</v>
      </c>
      <c r="D550" t="s">
        <v>170</v>
      </c>
      <c r="E550" t="s">
        <v>1977</v>
      </c>
      <c r="F550" t="s">
        <v>1978</v>
      </c>
      <c r="G550">
        <v>3300</v>
      </c>
      <c r="H550" t="s">
        <v>75</v>
      </c>
      <c r="I550">
        <v>46169</v>
      </c>
      <c r="J550" t="s">
        <v>4712</v>
      </c>
      <c r="K550" s="1401">
        <v>46174</v>
      </c>
      <c r="L550" s="1401">
        <v>46211</v>
      </c>
      <c r="M550" s="1401">
        <v>46221</v>
      </c>
      <c r="N550" s="1401">
        <v>46222</v>
      </c>
      <c r="O550" t="s">
        <v>973</v>
      </c>
      <c r="P550" s="1401">
        <v>46237</v>
      </c>
      <c r="Q550" s="1401">
        <v>46229</v>
      </c>
    </row>
    <row r="551" spans="1:17">
      <c r="A551" t="s">
        <v>4765</v>
      </c>
      <c r="B551" t="s">
        <v>144</v>
      </c>
      <c r="C551" t="s">
        <v>145</v>
      </c>
      <c r="D551" t="s">
        <v>4531</v>
      </c>
      <c r="E551" t="s">
        <v>1151</v>
      </c>
      <c r="F551" t="s">
        <v>421</v>
      </c>
      <c r="G551">
        <v>1728</v>
      </c>
      <c r="H551" t="s">
        <v>75</v>
      </c>
      <c r="I551">
        <v>46170</v>
      </c>
      <c r="J551" t="s">
        <v>4767</v>
      </c>
      <c r="K551" s="1401">
        <v>46177</v>
      </c>
      <c r="L551" s="1401">
        <v>46232</v>
      </c>
      <c r="M551" s="1401">
        <v>46235</v>
      </c>
      <c r="N551" s="1401">
        <v>46236.419953703706</v>
      </c>
      <c r="O551" t="s">
        <v>973</v>
      </c>
      <c r="P551" s="1401">
        <v>46232</v>
      </c>
      <c r="Q551" s="1401">
        <v>46236.419953703706</v>
      </c>
    </row>
    <row r="552" spans="1:17">
      <c r="A552" t="s">
        <v>4761</v>
      </c>
      <c r="B552" t="s">
        <v>64</v>
      </c>
      <c r="C552" t="s">
        <v>114</v>
      </c>
      <c r="D552" t="s">
        <v>170</v>
      </c>
      <c r="E552" t="s">
        <v>1977</v>
      </c>
      <c r="F552" t="s">
        <v>1978</v>
      </c>
      <c r="G552">
        <v>2640</v>
      </c>
      <c r="H552" t="s">
        <v>75</v>
      </c>
      <c r="I552">
        <v>46170</v>
      </c>
      <c r="J552" t="s">
        <v>4762</v>
      </c>
      <c r="K552" s="1401">
        <v>46177</v>
      </c>
      <c r="L552" s="1401">
        <v>46247</v>
      </c>
      <c r="M552" s="1401">
        <v>46262</v>
      </c>
      <c r="N552" s="1401">
        <v>46262</v>
      </c>
      <c r="O552" t="s">
        <v>973</v>
      </c>
      <c r="P552" s="1401">
        <v>46274</v>
      </c>
      <c r="Q552" s="1401">
        <v>46271</v>
      </c>
    </row>
    <row r="553" spans="1:17">
      <c r="A553" t="s">
        <v>4755</v>
      </c>
      <c r="B553" t="s">
        <v>64</v>
      </c>
      <c r="C553" t="s">
        <v>100</v>
      </c>
      <c r="D553" t="s">
        <v>4531</v>
      </c>
      <c r="E553" t="s">
        <v>965</v>
      </c>
      <c r="F553" t="s">
        <v>966</v>
      </c>
      <c r="G553">
        <v>1872</v>
      </c>
      <c r="H553" t="s">
        <v>75</v>
      </c>
      <c r="I553">
        <v>46171</v>
      </c>
      <c r="J553" t="s">
        <v>4756</v>
      </c>
      <c r="K553" s="1401">
        <v>46177</v>
      </c>
      <c r="L553" s="1401">
        <v>46217</v>
      </c>
      <c r="M553" s="1401">
        <v>46223</v>
      </c>
      <c r="N553" s="1401">
        <v>46223</v>
      </c>
      <c r="O553" t="s">
        <v>973</v>
      </c>
      <c r="P553" s="1401">
        <v>46237</v>
      </c>
      <c r="Q553" s="1401">
        <v>46230</v>
      </c>
    </row>
    <row r="554" spans="1:17">
      <c r="A554" t="s">
        <v>4757</v>
      </c>
      <c r="B554" t="s">
        <v>64</v>
      </c>
      <c r="C554" t="s">
        <v>114</v>
      </c>
      <c r="D554" t="s">
        <v>170</v>
      </c>
      <c r="E554" t="s">
        <v>1977</v>
      </c>
      <c r="F554" t="s">
        <v>1978</v>
      </c>
      <c r="G554">
        <v>660</v>
      </c>
      <c r="H554" t="s">
        <v>75</v>
      </c>
      <c r="I554">
        <v>46170</v>
      </c>
      <c r="J554" t="s">
        <v>4758</v>
      </c>
      <c r="K554" s="1401">
        <v>46177</v>
      </c>
      <c r="L554" s="1401">
        <v>46233</v>
      </c>
      <c r="M554" s="1401"/>
      <c r="N554" s="1401">
        <v>46233</v>
      </c>
      <c r="O554" t="s">
        <v>973</v>
      </c>
      <c r="P554" s="1401">
        <v>46247</v>
      </c>
      <c r="Q554" s="1401">
        <v>46242</v>
      </c>
    </row>
    <row r="555" spans="1:17">
      <c r="A555" t="s">
        <v>4750</v>
      </c>
      <c r="B555" t="s">
        <v>64</v>
      </c>
      <c r="C555" t="s">
        <v>100</v>
      </c>
      <c r="D555" t="s">
        <v>4531</v>
      </c>
      <c r="E555" t="s">
        <v>71</v>
      </c>
      <c r="F555" t="s">
        <v>72</v>
      </c>
      <c r="G555">
        <v>2592</v>
      </c>
      <c r="H555" t="s">
        <v>75</v>
      </c>
      <c r="I555">
        <v>46171</v>
      </c>
      <c r="J555" t="s">
        <v>4751</v>
      </c>
      <c r="K555" s="1401">
        <v>46177</v>
      </c>
      <c r="L555" s="1401">
        <v>46217</v>
      </c>
      <c r="M555" s="1401">
        <v>46223</v>
      </c>
      <c r="N555" s="1401">
        <v>46223</v>
      </c>
      <c r="O555" t="s">
        <v>973</v>
      </c>
      <c r="P555" s="1401">
        <v>46237</v>
      </c>
      <c r="Q555" s="1401">
        <v>46230</v>
      </c>
    </row>
    <row r="556" spans="1:17">
      <c r="A556" t="s">
        <v>4741</v>
      </c>
      <c r="B556" t="s">
        <v>64</v>
      </c>
      <c r="C556" t="s">
        <v>114</v>
      </c>
      <c r="D556" t="s">
        <v>4486</v>
      </c>
      <c r="E556" t="s">
        <v>4487</v>
      </c>
      <c r="F556" t="s">
        <v>4488</v>
      </c>
      <c r="G556">
        <v>2160</v>
      </c>
      <c r="H556" t="s">
        <v>75</v>
      </c>
      <c r="I556">
        <v>46170</v>
      </c>
      <c r="J556" t="s">
        <v>4742</v>
      </c>
      <c r="K556" s="1401">
        <v>46175</v>
      </c>
      <c r="L556" s="1401">
        <v>46219</v>
      </c>
      <c r="M556" s="1401"/>
      <c r="N556" s="1401">
        <v>46219</v>
      </c>
      <c r="O556" t="s">
        <v>973</v>
      </c>
      <c r="P556" s="1401">
        <v>46233</v>
      </c>
      <c r="Q556" s="1401">
        <v>46228</v>
      </c>
    </row>
    <row r="557" spans="1:17">
      <c r="A557" t="s">
        <v>4736</v>
      </c>
      <c r="B557" t="s">
        <v>144</v>
      </c>
      <c r="C557" t="s">
        <v>145</v>
      </c>
      <c r="D557" t="s">
        <v>132</v>
      </c>
      <c r="E557" t="s">
        <v>1062</v>
      </c>
      <c r="F557" t="s">
        <v>1063</v>
      </c>
      <c r="G557">
        <v>1728</v>
      </c>
      <c r="H557" t="s">
        <v>75</v>
      </c>
      <c r="I557">
        <v>46170</v>
      </c>
      <c r="J557" t="s">
        <v>4737</v>
      </c>
      <c r="K557" s="1401">
        <v>46175</v>
      </c>
      <c r="L557" s="1401">
        <v>46219</v>
      </c>
      <c r="M557" s="1401"/>
      <c r="N557" s="1401">
        <v>46219</v>
      </c>
      <c r="O557" t="s">
        <v>973</v>
      </c>
      <c r="P557" s="1401">
        <v>46219</v>
      </c>
      <c r="Q557" s="1401">
        <v>46219</v>
      </c>
    </row>
    <row r="558" spans="1:17">
      <c r="A558" t="s">
        <v>4699</v>
      </c>
      <c r="B558" t="s">
        <v>64</v>
      </c>
      <c r="C558" t="s">
        <v>100</v>
      </c>
      <c r="D558" t="s">
        <v>4486</v>
      </c>
      <c r="E558" t="s">
        <v>4487</v>
      </c>
      <c r="F558" t="s">
        <v>4488</v>
      </c>
      <c r="G558">
        <v>1440</v>
      </c>
      <c r="H558" t="s">
        <v>75</v>
      </c>
      <c r="I558">
        <v>46172</v>
      </c>
      <c r="J558" t="s">
        <v>4701</v>
      </c>
      <c r="K558" s="1401">
        <v>46179</v>
      </c>
      <c r="L558" s="1401">
        <v>46214</v>
      </c>
      <c r="M558" s="1401"/>
      <c r="N558" s="1401">
        <v>46218</v>
      </c>
      <c r="O558" t="s">
        <v>973</v>
      </c>
      <c r="P558" s="1401">
        <v>46232</v>
      </c>
      <c r="Q558" s="1401">
        <v>46225</v>
      </c>
    </row>
    <row r="559" spans="1:17">
      <c r="A559" t="s">
        <v>4871</v>
      </c>
      <c r="B559" t="s">
        <v>144</v>
      </c>
      <c r="C559" t="s">
        <v>145</v>
      </c>
      <c r="D559" t="s">
        <v>4531</v>
      </c>
      <c r="E559" t="s">
        <v>71</v>
      </c>
      <c r="F559" t="s">
        <v>72</v>
      </c>
      <c r="G559">
        <v>5184</v>
      </c>
      <c r="H559" t="s">
        <v>75</v>
      </c>
      <c r="I559">
        <v>46181</v>
      </c>
      <c r="J559" t="s">
        <v>4874</v>
      </c>
      <c r="K559" s="1401">
        <v>46187</v>
      </c>
      <c r="L559" s="1401">
        <v>46238</v>
      </c>
      <c r="M559" s="1401">
        <v>46240</v>
      </c>
      <c r="N559" s="1401">
        <v>46243</v>
      </c>
      <c r="O559" t="s">
        <v>973</v>
      </c>
      <c r="P559" s="1401">
        <v>46238</v>
      </c>
      <c r="Q559" s="1401">
        <v>46243</v>
      </c>
    </row>
    <row r="560" spans="1:17">
      <c r="A560" t="s">
        <v>4877</v>
      </c>
      <c r="B560" t="s">
        <v>144</v>
      </c>
      <c r="C560" t="s">
        <v>145</v>
      </c>
      <c r="D560" t="s">
        <v>4531</v>
      </c>
      <c r="E560" t="s">
        <v>71</v>
      </c>
      <c r="F560" t="s">
        <v>72</v>
      </c>
      <c r="G560">
        <v>6912</v>
      </c>
      <c r="H560" t="s">
        <v>75</v>
      </c>
      <c r="I560">
        <v>46181</v>
      </c>
      <c r="J560" t="s">
        <v>4880</v>
      </c>
      <c r="K560" s="1401">
        <v>46187</v>
      </c>
      <c r="L560" s="1401">
        <v>46238</v>
      </c>
      <c r="M560" s="1401">
        <v>46240</v>
      </c>
      <c r="N560" s="1401">
        <v>46243</v>
      </c>
      <c r="O560" t="s">
        <v>973</v>
      </c>
      <c r="P560" s="1401">
        <v>46238</v>
      </c>
      <c r="Q560" s="1401">
        <v>46243</v>
      </c>
    </row>
    <row r="561" spans="1:17">
      <c r="A561" t="s">
        <v>4810</v>
      </c>
      <c r="B561" t="s">
        <v>64</v>
      </c>
      <c r="C561" t="s">
        <v>65</v>
      </c>
      <c r="D561" t="s">
        <v>4531</v>
      </c>
      <c r="E561" t="s">
        <v>4597</v>
      </c>
      <c r="F561" t="s">
        <v>4598</v>
      </c>
      <c r="G561">
        <v>2160</v>
      </c>
      <c r="H561" t="s">
        <v>75</v>
      </c>
      <c r="I561">
        <v>46175</v>
      </c>
      <c r="J561" t="s">
        <v>4811</v>
      </c>
      <c r="K561" s="1401">
        <v>46182</v>
      </c>
      <c r="L561" s="1401">
        <v>46224</v>
      </c>
      <c r="M561" s="1401">
        <v>46234</v>
      </c>
      <c r="N561" s="1401">
        <v>46235.175381944442</v>
      </c>
      <c r="O561" t="s">
        <v>973</v>
      </c>
      <c r="P561" s="1401">
        <v>46246</v>
      </c>
      <c r="Q561" s="1401">
        <v>46243.175381944442</v>
      </c>
    </row>
    <row r="562" spans="1:17">
      <c r="A562" t="s">
        <v>4815</v>
      </c>
      <c r="B562" t="s">
        <v>64</v>
      </c>
      <c r="C562" t="s">
        <v>310</v>
      </c>
      <c r="D562" t="s">
        <v>170</v>
      </c>
      <c r="E562" t="s">
        <v>171</v>
      </c>
      <c r="F562" t="s">
        <v>1731</v>
      </c>
      <c r="G562">
        <v>1980</v>
      </c>
      <c r="H562" t="s">
        <v>75</v>
      </c>
      <c r="I562">
        <v>46179</v>
      </c>
      <c r="J562" t="s">
        <v>4816</v>
      </c>
      <c r="K562" s="1401">
        <v>46185</v>
      </c>
      <c r="L562" s="1401">
        <v>46232</v>
      </c>
      <c r="M562" s="1401">
        <v>46239.5</v>
      </c>
      <c r="N562" s="1401">
        <v>46239.457638888889</v>
      </c>
      <c r="O562" t="s">
        <v>973</v>
      </c>
      <c r="P562" s="1401">
        <v>46253</v>
      </c>
      <c r="Q562" s="1401">
        <v>46249.457638888889</v>
      </c>
    </row>
    <row r="563" spans="1:17">
      <c r="A563" t="s">
        <v>4804</v>
      </c>
      <c r="B563" t="s">
        <v>64</v>
      </c>
      <c r="C563" t="s">
        <v>65</v>
      </c>
      <c r="D563" t="s">
        <v>170</v>
      </c>
      <c r="E563" t="s">
        <v>1977</v>
      </c>
      <c r="F563" t="s">
        <v>1978</v>
      </c>
      <c r="G563">
        <v>1320</v>
      </c>
      <c r="H563" t="s">
        <v>75</v>
      </c>
      <c r="I563">
        <v>46178</v>
      </c>
      <c r="J563" t="s">
        <v>4806</v>
      </c>
      <c r="K563" s="1401">
        <v>46185</v>
      </c>
      <c r="L563" s="1401">
        <v>46237</v>
      </c>
      <c r="M563" s="1401">
        <v>46239.5</v>
      </c>
      <c r="N563" s="1401">
        <v>46245.821898148148</v>
      </c>
      <c r="O563" t="s">
        <v>973</v>
      </c>
      <c r="P563" s="1401">
        <v>46259</v>
      </c>
      <c r="Q563" s="1401">
        <v>46253.821898148148</v>
      </c>
    </row>
    <row r="564" spans="1:17">
      <c r="A564" t="s">
        <v>4819</v>
      </c>
      <c r="B564" t="s">
        <v>64</v>
      </c>
      <c r="C564" t="s">
        <v>310</v>
      </c>
      <c r="D564" t="s">
        <v>170</v>
      </c>
      <c r="E564" t="s">
        <v>1977</v>
      </c>
      <c r="F564" t="s">
        <v>1978</v>
      </c>
      <c r="G564">
        <v>4620</v>
      </c>
      <c r="H564" t="s">
        <v>75</v>
      </c>
      <c r="I564">
        <v>46179</v>
      </c>
      <c r="J564" t="s">
        <v>4821</v>
      </c>
      <c r="K564" s="1401">
        <v>46185</v>
      </c>
      <c r="L564" s="1401">
        <v>46232</v>
      </c>
      <c r="M564" s="1401">
        <v>46239.5</v>
      </c>
      <c r="N564" s="1401">
        <v>46239.457638888889</v>
      </c>
      <c r="O564" t="s">
        <v>973</v>
      </c>
      <c r="P564" s="1401">
        <v>46253</v>
      </c>
      <c r="Q564" s="1401">
        <v>46249.457638888889</v>
      </c>
    </row>
    <row r="565" spans="1:17">
      <c r="A565" t="s">
        <v>4833</v>
      </c>
      <c r="B565" t="s">
        <v>64</v>
      </c>
      <c r="C565" t="s">
        <v>114</v>
      </c>
      <c r="D565" t="s">
        <v>4486</v>
      </c>
      <c r="E565" t="s">
        <v>4487</v>
      </c>
      <c r="F565" t="s">
        <v>4488</v>
      </c>
      <c r="G565">
        <v>720</v>
      </c>
      <c r="H565" t="s">
        <v>75</v>
      </c>
      <c r="I565">
        <v>46176</v>
      </c>
      <c r="J565" t="s">
        <v>4835</v>
      </c>
      <c r="K565" s="1401">
        <v>46185</v>
      </c>
      <c r="L565" s="1401">
        <v>46240</v>
      </c>
      <c r="M565" s="1401"/>
      <c r="N565" s="1401">
        <v>46250.44736111111</v>
      </c>
      <c r="O565" t="s">
        <v>973</v>
      </c>
      <c r="P565" s="1401">
        <v>46265</v>
      </c>
      <c r="Q565" s="1401">
        <v>46259.44736111111</v>
      </c>
    </row>
    <row r="566" spans="1:17">
      <c r="A566" t="s">
        <v>4901</v>
      </c>
      <c r="B566" t="s">
        <v>64</v>
      </c>
      <c r="C566" t="s">
        <v>65</v>
      </c>
      <c r="D566" t="s">
        <v>4531</v>
      </c>
      <c r="E566" t="s">
        <v>71</v>
      </c>
      <c r="F566" t="s">
        <v>72</v>
      </c>
      <c r="G566">
        <v>3456</v>
      </c>
      <c r="H566" t="s">
        <v>75</v>
      </c>
      <c r="I566">
        <v>46178</v>
      </c>
      <c r="J566" t="s">
        <v>4903</v>
      </c>
      <c r="K566" s="1401">
        <v>46186</v>
      </c>
      <c r="L566" s="1401">
        <v>46251</v>
      </c>
      <c r="M566" s="1401">
        <v>46259.25</v>
      </c>
      <c r="N566" s="1401">
        <v>46259.238761574074</v>
      </c>
      <c r="O566" t="s">
        <v>973</v>
      </c>
      <c r="P566" s="1401">
        <v>46272</v>
      </c>
      <c r="Q566" s="1401">
        <v>46267.238761574074</v>
      </c>
    </row>
    <row r="567" spans="1:17">
      <c r="A567" t="s">
        <v>4906</v>
      </c>
      <c r="B567" t="s">
        <v>64</v>
      </c>
      <c r="C567" t="s">
        <v>65</v>
      </c>
      <c r="D567" t="s">
        <v>4531</v>
      </c>
      <c r="E567" t="s">
        <v>71</v>
      </c>
      <c r="F567" t="s">
        <v>72</v>
      </c>
      <c r="G567">
        <v>864</v>
      </c>
      <c r="H567" t="s">
        <v>75</v>
      </c>
      <c r="I567">
        <v>46178</v>
      </c>
      <c r="J567" t="s">
        <v>4907</v>
      </c>
      <c r="K567" s="1401">
        <v>46186</v>
      </c>
      <c r="L567" s="1401">
        <v>46245</v>
      </c>
      <c r="M567" s="1401">
        <v>46253.541666666664</v>
      </c>
      <c r="N567" s="1401">
        <v>46253.474305555559</v>
      </c>
      <c r="O567" t="s">
        <v>973</v>
      </c>
      <c r="P567" s="1401">
        <v>46267</v>
      </c>
      <c r="Q567" s="1401">
        <v>46261.474305555559</v>
      </c>
    </row>
    <row r="568" spans="1:17">
      <c r="A568" t="s">
        <v>4910</v>
      </c>
      <c r="B568" t="s">
        <v>144</v>
      </c>
      <c r="C568" t="s">
        <v>145</v>
      </c>
      <c r="D568" t="s">
        <v>4531</v>
      </c>
      <c r="E568" t="s">
        <v>1151</v>
      </c>
      <c r="F568" t="s">
        <v>421</v>
      </c>
      <c r="G568">
        <v>864</v>
      </c>
      <c r="H568" t="s">
        <v>75</v>
      </c>
      <c r="I568">
        <v>46178</v>
      </c>
      <c r="J568" t="s">
        <v>4912</v>
      </c>
      <c r="K568" s="1401">
        <v>46186</v>
      </c>
      <c r="L568" s="1401">
        <v>46239</v>
      </c>
      <c r="M568" s="1401">
        <v>46247.083333333336</v>
      </c>
      <c r="N568" s="1401" t="s">
        <v>4913</v>
      </c>
      <c r="O568" t="s">
        <v>973</v>
      </c>
      <c r="P568" s="1401">
        <v>46239</v>
      </c>
      <c r="Q568" s="1401">
        <v>46247</v>
      </c>
    </row>
    <row r="569" spans="1:17">
      <c r="A569" t="s">
        <v>4887</v>
      </c>
      <c r="B569" t="s">
        <v>144</v>
      </c>
      <c r="C569" t="s">
        <v>145</v>
      </c>
      <c r="D569" t="s">
        <v>4531</v>
      </c>
      <c r="E569" t="s">
        <v>195</v>
      </c>
      <c r="F569" t="s">
        <v>196</v>
      </c>
      <c r="G569">
        <v>4680</v>
      </c>
      <c r="H569" t="s">
        <v>75</v>
      </c>
      <c r="I569">
        <v>46180</v>
      </c>
      <c r="J569" t="s">
        <v>4890</v>
      </c>
      <c r="K569" s="1401">
        <v>46186</v>
      </c>
      <c r="L569" s="1401">
        <v>46226</v>
      </c>
      <c r="M569" s="1401">
        <v>46233</v>
      </c>
      <c r="N569" s="1401">
        <v>46233</v>
      </c>
      <c r="O569" t="s">
        <v>973</v>
      </c>
      <c r="P569" s="1401">
        <v>46226</v>
      </c>
      <c r="Q569" s="1401">
        <v>46233</v>
      </c>
    </row>
    <row r="570" spans="1:17">
      <c r="A570" t="s">
        <v>4795</v>
      </c>
      <c r="B570" t="s">
        <v>144</v>
      </c>
      <c r="C570" t="s">
        <v>145</v>
      </c>
      <c r="D570" t="s">
        <v>4531</v>
      </c>
      <c r="E570" t="s">
        <v>4592</v>
      </c>
      <c r="F570" t="s">
        <v>330</v>
      </c>
      <c r="G570">
        <v>720</v>
      </c>
      <c r="H570" t="s">
        <v>75</v>
      </c>
      <c r="I570">
        <v>46176</v>
      </c>
      <c r="J570" t="s">
        <v>4796</v>
      </c>
      <c r="K570" s="1401">
        <v>46184</v>
      </c>
      <c r="L570" s="1401">
        <v>46217</v>
      </c>
      <c r="M570" s="1401">
        <v>46226</v>
      </c>
      <c r="N570" s="1401">
        <v>46226</v>
      </c>
      <c r="O570" t="s">
        <v>973</v>
      </c>
      <c r="P570" s="1401">
        <v>46217</v>
      </c>
      <c r="Q570" s="1401">
        <v>46226</v>
      </c>
    </row>
    <row r="571" spans="1:17">
      <c r="A571" t="s">
        <v>4791</v>
      </c>
      <c r="B571" t="s">
        <v>144</v>
      </c>
      <c r="C571" t="s">
        <v>145</v>
      </c>
      <c r="D571" t="s">
        <v>4531</v>
      </c>
      <c r="E571" t="s">
        <v>4592</v>
      </c>
      <c r="F571" t="s">
        <v>330</v>
      </c>
      <c r="G571">
        <v>6480</v>
      </c>
      <c r="H571" t="s">
        <v>75</v>
      </c>
      <c r="I571">
        <v>46176</v>
      </c>
      <c r="J571" t="s">
        <v>4792</v>
      </c>
      <c r="K571" s="1401">
        <v>46184</v>
      </c>
      <c r="L571" s="1401">
        <v>46217</v>
      </c>
      <c r="M571" s="1401">
        <v>46223</v>
      </c>
      <c r="N571" s="1401">
        <v>46223</v>
      </c>
      <c r="O571" t="s">
        <v>973</v>
      </c>
      <c r="P571" s="1401">
        <v>46217</v>
      </c>
      <c r="Q571" s="1401">
        <v>46223</v>
      </c>
    </row>
    <row r="572" spans="1:17">
      <c r="A572" t="s">
        <v>4799</v>
      </c>
      <c r="B572" t="s">
        <v>144</v>
      </c>
      <c r="C572" t="s">
        <v>145</v>
      </c>
      <c r="D572" t="s">
        <v>4531</v>
      </c>
      <c r="E572" t="s">
        <v>4597</v>
      </c>
      <c r="F572" t="s">
        <v>4598</v>
      </c>
      <c r="G572">
        <v>2880</v>
      </c>
      <c r="H572" t="s">
        <v>75</v>
      </c>
      <c r="I572">
        <v>46177</v>
      </c>
      <c r="J572" t="s">
        <v>4800</v>
      </c>
      <c r="K572" s="1401">
        <v>46183</v>
      </c>
      <c r="L572" s="1401">
        <v>46233</v>
      </c>
      <c r="M572" s="1401">
        <v>46235</v>
      </c>
      <c r="N572" s="1401">
        <v>46240</v>
      </c>
      <c r="O572" t="s">
        <v>973</v>
      </c>
      <c r="P572" s="1401">
        <v>46233</v>
      </c>
      <c r="Q572" s="1401">
        <v>46240</v>
      </c>
    </row>
    <row r="573" spans="1:17">
      <c r="A573" t="s">
        <v>4785</v>
      </c>
      <c r="B573" t="s">
        <v>64</v>
      </c>
      <c r="C573" t="s">
        <v>450</v>
      </c>
      <c r="D573" t="s">
        <v>132</v>
      </c>
      <c r="E573" t="s">
        <v>1062</v>
      </c>
      <c r="F573" t="s">
        <v>1063</v>
      </c>
      <c r="G573">
        <v>1728</v>
      </c>
      <c r="H573" t="s">
        <v>75</v>
      </c>
      <c r="I573">
        <v>46175</v>
      </c>
      <c r="J573" t="s">
        <v>4787</v>
      </c>
      <c r="K573" s="1401">
        <v>46181</v>
      </c>
      <c r="L573" s="1401">
        <v>46222</v>
      </c>
      <c r="M573" s="1401">
        <v>46224</v>
      </c>
      <c r="N573" s="1401">
        <v>46224</v>
      </c>
      <c r="O573" t="s">
        <v>973</v>
      </c>
      <c r="P573" s="1401">
        <v>46238</v>
      </c>
      <c r="Q573" s="1401">
        <v>46231</v>
      </c>
    </row>
    <row r="574" spans="1:17">
      <c r="A574" t="s">
        <v>4733</v>
      </c>
      <c r="B574" t="s">
        <v>64</v>
      </c>
      <c r="C574" t="s">
        <v>310</v>
      </c>
      <c r="D574" t="s">
        <v>170</v>
      </c>
      <c r="E574" t="s">
        <v>171</v>
      </c>
      <c r="F574" t="s">
        <v>1731</v>
      </c>
      <c r="G574">
        <v>1980</v>
      </c>
      <c r="H574" t="s">
        <v>75</v>
      </c>
      <c r="I574">
        <v>46171</v>
      </c>
      <c r="J574" t="s">
        <v>4735</v>
      </c>
      <c r="K574" s="1401">
        <v>46178</v>
      </c>
      <c r="L574" s="1401">
        <v>46225</v>
      </c>
      <c r="M574" s="1401">
        <v>46236</v>
      </c>
      <c r="N574" s="1401">
        <v>46232</v>
      </c>
      <c r="O574" t="s">
        <v>973</v>
      </c>
      <c r="P574" s="1401">
        <v>46246</v>
      </c>
      <c r="Q574" s="1401">
        <v>46242</v>
      </c>
    </row>
    <row r="575" spans="1:17">
      <c r="A575" t="s">
        <v>4723</v>
      </c>
      <c r="B575" t="s">
        <v>64</v>
      </c>
      <c r="C575" t="s">
        <v>65</v>
      </c>
      <c r="D575" t="s">
        <v>132</v>
      </c>
      <c r="E575" t="s">
        <v>1062</v>
      </c>
      <c r="F575" t="s">
        <v>1063</v>
      </c>
      <c r="G575">
        <v>7776</v>
      </c>
      <c r="H575" t="s">
        <v>75</v>
      </c>
      <c r="I575">
        <v>46171</v>
      </c>
      <c r="J575" t="s">
        <v>4724</v>
      </c>
      <c r="K575" s="1401">
        <v>46178</v>
      </c>
      <c r="L575" s="1401">
        <v>46230</v>
      </c>
      <c r="M575" s="1401">
        <v>46235</v>
      </c>
      <c r="N575" s="1401">
        <v>46236.239571759259</v>
      </c>
      <c r="O575" t="s">
        <v>973</v>
      </c>
      <c r="P575" s="1401">
        <v>46248</v>
      </c>
      <c r="Q575" s="1401">
        <v>46244.239571759259</v>
      </c>
    </row>
    <row r="576" spans="1:17">
      <c r="A576" t="s">
        <v>4770</v>
      </c>
      <c r="B576" t="s">
        <v>144</v>
      </c>
      <c r="C576" t="s">
        <v>145</v>
      </c>
      <c r="D576" t="s">
        <v>4531</v>
      </c>
      <c r="E576" t="s">
        <v>71</v>
      </c>
      <c r="F576" t="s">
        <v>72</v>
      </c>
      <c r="G576">
        <v>5184</v>
      </c>
      <c r="H576" t="s">
        <v>75</v>
      </c>
      <c r="I576">
        <v>46174</v>
      </c>
      <c r="J576" t="s">
        <v>4773</v>
      </c>
      <c r="K576" s="1401">
        <v>46178</v>
      </c>
      <c r="L576" s="1401">
        <v>46237</v>
      </c>
      <c r="M576" s="1401">
        <v>46245</v>
      </c>
      <c r="N576" s="1401">
        <v>46247</v>
      </c>
      <c r="O576" t="s">
        <v>973</v>
      </c>
      <c r="P576" s="1401">
        <v>46237</v>
      </c>
      <c r="Q576" s="1401">
        <v>46247</v>
      </c>
    </row>
    <row r="577" spans="1:17">
      <c r="A577" t="s">
        <v>4721</v>
      </c>
      <c r="B577" t="s">
        <v>64</v>
      </c>
      <c r="C577" t="s">
        <v>100</v>
      </c>
      <c r="D577" t="s">
        <v>170</v>
      </c>
      <c r="E577" t="s">
        <v>171</v>
      </c>
      <c r="F577" t="s">
        <v>1731</v>
      </c>
      <c r="G577">
        <v>3960</v>
      </c>
      <c r="H577" t="s">
        <v>75</v>
      </c>
      <c r="I577">
        <v>46174</v>
      </c>
      <c r="J577" t="s">
        <v>4722</v>
      </c>
      <c r="K577" s="1401">
        <v>46180</v>
      </c>
      <c r="L577" s="1401">
        <v>46221</v>
      </c>
      <c r="M577" s="1401">
        <v>46229</v>
      </c>
      <c r="N577" s="1401">
        <v>46228</v>
      </c>
      <c r="O577" t="s">
        <v>973</v>
      </c>
      <c r="P577" s="1401">
        <v>46241</v>
      </c>
      <c r="Q577" s="1401">
        <v>46235</v>
      </c>
    </row>
    <row r="578" spans="1:17">
      <c r="A578" t="s">
        <v>4716</v>
      </c>
      <c r="B578" t="s">
        <v>64</v>
      </c>
      <c r="C578" t="s">
        <v>100</v>
      </c>
      <c r="D578" t="s">
        <v>132</v>
      </c>
      <c r="E578" t="s">
        <v>1062</v>
      </c>
      <c r="F578" t="s">
        <v>1063</v>
      </c>
      <c r="G578">
        <v>1728</v>
      </c>
      <c r="H578" t="s">
        <v>75</v>
      </c>
      <c r="I578">
        <v>46174</v>
      </c>
      <c r="J578" t="s">
        <v>4717</v>
      </c>
      <c r="K578" s="1401">
        <v>46180</v>
      </c>
      <c r="L578" s="1401">
        <v>46221</v>
      </c>
      <c r="M578" s="1401">
        <v>46229</v>
      </c>
      <c r="N578" s="1401">
        <v>46228</v>
      </c>
      <c r="O578" t="s">
        <v>973</v>
      </c>
      <c r="P578" s="1401">
        <v>46241</v>
      </c>
      <c r="Q578" s="1401">
        <v>46235</v>
      </c>
    </row>
    <row r="579" spans="1:17">
      <c r="A579" t="s">
        <v>4706</v>
      </c>
      <c r="B579" t="s">
        <v>144</v>
      </c>
      <c r="C579" t="s">
        <v>145</v>
      </c>
      <c r="D579" t="s">
        <v>132</v>
      </c>
      <c r="E579" t="s">
        <v>1062</v>
      </c>
      <c r="F579" t="s">
        <v>1063</v>
      </c>
      <c r="G579">
        <v>2592</v>
      </c>
      <c r="H579" t="s">
        <v>75</v>
      </c>
      <c r="I579">
        <v>46172</v>
      </c>
      <c r="J579" t="s">
        <v>4707</v>
      </c>
      <c r="K579" s="1401">
        <v>46179</v>
      </c>
      <c r="L579" s="1401">
        <v>46214</v>
      </c>
      <c r="M579" s="1401"/>
      <c r="N579" s="1401">
        <v>46218</v>
      </c>
      <c r="O579" t="s">
        <v>973</v>
      </c>
      <c r="P579" s="1401">
        <v>46214</v>
      </c>
      <c r="Q579" s="1401">
        <v>46218</v>
      </c>
    </row>
    <row r="580" spans="1:17">
      <c r="A580" t="s">
        <v>4704</v>
      </c>
      <c r="B580" t="s">
        <v>64</v>
      </c>
      <c r="C580" t="s">
        <v>100</v>
      </c>
      <c r="D580" t="s">
        <v>4486</v>
      </c>
      <c r="E580" t="s">
        <v>4520</v>
      </c>
      <c r="F580" t="s">
        <v>4521</v>
      </c>
      <c r="G580">
        <v>4320</v>
      </c>
      <c r="H580" t="s">
        <v>75</v>
      </c>
      <c r="I580">
        <v>46172</v>
      </c>
      <c r="J580" t="s">
        <v>4705</v>
      </c>
      <c r="K580" s="1401">
        <v>46179</v>
      </c>
      <c r="L580" s="1401">
        <v>46214</v>
      </c>
      <c r="M580" s="1401"/>
      <c r="N580" s="1401">
        <v>46218</v>
      </c>
      <c r="O580" t="s">
        <v>973</v>
      </c>
      <c r="P580" s="1401">
        <v>46232</v>
      </c>
      <c r="Q580" s="1401">
        <v>46225</v>
      </c>
    </row>
    <row r="581" spans="1:17">
      <c r="A581" t="s">
        <v>4838</v>
      </c>
      <c r="B581" t="s">
        <v>64</v>
      </c>
      <c r="C581" t="s">
        <v>114</v>
      </c>
      <c r="D581" t="s">
        <v>132</v>
      </c>
      <c r="E581" t="s">
        <v>1062</v>
      </c>
      <c r="F581" t="s">
        <v>1063</v>
      </c>
      <c r="G581">
        <v>1728</v>
      </c>
      <c r="H581" t="s">
        <v>75</v>
      </c>
      <c r="I581">
        <v>46180</v>
      </c>
      <c r="J581" t="s">
        <v>4839</v>
      </c>
      <c r="K581" s="1401">
        <v>46185</v>
      </c>
      <c r="L581" s="1401">
        <v>46240</v>
      </c>
      <c r="M581" s="1401"/>
      <c r="N581" s="1401">
        <v>46250.44736111111</v>
      </c>
      <c r="O581" t="s">
        <v>973</v>
      </c>
      <c r="P581" s="1401">
        <v>46265</v>
      </c>
      <c r="Q581" s="1401">
        <v>46259.44736111111</v>
      </c>
    </row>
    <row r="582" spans="1:17">
      <c r="A582" t="s">
        <v>4842</v>
      </c>
      <c r="B582" t="s">
        <v>64</v>
      </c>
      <c r="C582" t="s">
        <v>114</v>
      </c>
      <c r="D582" t="s">
        <v>132</v>
      </c>
      <c r="E582" t="s">
        <v>1062</v>
      </c>
      <c r="F582" t="s">
        <v>1063</v>
      </c>
      <c r="G582">
        <v>1728</v>
      </c>
      <c r="H582" t="s">
        <v>75</v>
      </c>
      <c r="I582">
        <v>46180</v>
      </c>
      <c r="J582" t="s">
        <v>4843</v>
      </c>
      <c r="K582" s="1401">
        <v>46185</v>
      </c>
      <c r="L582" s="1401">
        <v>46240</v>
      </c>
      <c r="M582" s="1401"/>
      <c r="N582" s="1401">
        <v>46250.44736111111</v>
      </c>
      <c r="O582" t="s">
        <v>973</v>
      </c>
      <c r="P582" s="1401">
        <v>46265</v>
      </c>
      <c r="Q582" s="1401">
        <v>46259.44736111111</v>
      </c>
    </row>
    <row r="583" spans="1:17">
      <c r="A583" t="s">
        <v>4881</v>
      </c>
      <c r="B583" t="s">
        <v>144</v>
      </c>
      <c r="C583" t="s">
        <v>145</v>
      </c>
      <c r="D583" t="s">
        <v>4531</v>
      </c>
      <c r="E583" t="s">
        <v>195</v>
      </c>
      <c r="F583" t="s">
        <v>196</v>
      </c>
      <c r="G583">
        <v>936</v>
      </c>
      <c r="H583" t="s">
        <v>75</v>
      </c>
      <c r="I583">
        <v>46180</v>
      </c>
      <c r="J583" t="s">
        <v>4883</v>
      </c>
      <c r="K583" s="1401">
        <v>46186</v>
      </c>
      <c r="L583" s="1401">
        <v>46235</v>
      </c>
      <c r="M583" s="1401">
        <v>46242.041666666664</v>
      </c>
      <c r="N583" s="1401">
        <v>46241.871620370373</v>
      </c>
      <c r="O583" t="s">
        <v>973</v>
      </c>
      <c r="P583" s="1401">
        <v>46235</v>
      </c>
      <c r="Q583" s="1401">
        <v>46241.871620370373</v>
      </c>
    </row>
    <row r="584" spans="1:17">
      <c r="A584" t="s">
        <v>4916</v>
      </c>
      <c r="B584" t="s">
        <v>144</v>
      </c>
      <c r="C584" t="s">
        <v>145</v>
      </c>
      <c r="D584" t="s">
        <v>4531</v>
      </c>
      <c r="E584" t="s">
        <v>1151</v>
      </c>
      <c r="F584" t="s">
        <v>421</v>
      </c>
      <c r="G584">
        <v>864</v>
      </c>
      <c r="H584" t="s">
        <v>75</v>
      </c>
      <c r="I584">
        <v>46178</v>
      </c>
      <c r="J584" t="s">
        <v>4917</v>
      </c>
      <c r="K584" s="1401">
        <v>46186</v>
      </c>
      <c r="L584" s="1401">
        <v>46240</v>
      </c>
      <c r="M584" s="1401">
        <v>46247.375</v>
      </c>
      <c r="N584" s="1401" t="s">
        <v>4913</v>
      </c>
      <c r="O584" t="s">
        <v>973</v>
      </c>
      <c r="P584" s="1401">
        <v>46240</v>
      </c>
      <c r="Q584" s="1401">
        <v>46247</v>
      </c>
    </row>
    <row r="585" spans="1:17">
      <c r="A585" t="s">
        <v>4848</v>
      </c>
      <c r="B585" t="s">
        <v>144</v>
      </c>
      <c r="C585" t="s">
        <v>145</v>
      </c>
      <c r="D585" t="s">
        <v>4531</v>
      </c>
      <c r="E585" t="s">
        <v>71</v>
      </c>
      <c r="F585" t="s">
        <v>72</v>
      </c>
      <c r="G585">
        <v>5184</v>
      </c>
      <c r="H585" t="s">
        <v>75</v>
      </c>
      <c r="I585">
        <v>46176</v>
      </c>
      <c r="J585" t="s">
        <v>4850</v>
      </c>
      <c r="K585" s="1401">
        <v>46187</v>
      </c>
      <c r="L585" s="1401">
        <v>46240</v>
      </c>
      <c r="M585" s="1401">
        <v>46242</v>
      </c>
      <c r="N585" s="1401">
        <v>46240</v>
      </c>
      <c r="O585" t="s">
        <v>973</v>
      </c>
      <c r="P585" s="1401">
        <v>46240</v>
      </c>
      <c r="Q585" s="1401">
        <v>46240</v>
      </c>
    </row>
    <row r="586" spans="1:17">
      <c r="A586" t="s">
        <v>4854</v>
      </c>
      <c r="B586" t="s">
        <v>144</v>
      </c>
      <c r="C586" t="s">
        <v>145</v>
      </c>
      <c r="D586" t="s">
        <v>4531</v>
      </c>
      <c r="E586" t="s">
        <v>71</v>
      </c>
      <c r="F586" t="s">
        <v>72</v>
      </c>
      <c r="G586">
        <v>5184</v>
      </c>
      <c r="H586" t="s">
        <v>75</v>
      </c>
      <c r="I586">
        <v>46181</v>
      </c>
      <c r="J586" t="s">
        <v>4856</v>
      </c>
      <c r="K586" s="1401">
        <v>46187</v>
      </c>
      <c r="L586" s="1401">
        <v>46238</v>
      </c>
      <c r="M586" s="1401">
        <v>46240</v>
      </c>
      <c r="N586" s="1401">
        <v>46243</v>
      </c>
      <c r="O586" t="s">
        <v>973</v>
      </c>
      <c r="P586" s="1401">
        <v>46238</v>
      </c>
      <c r="Q586" s="1401">
        <v>46243</v>
      </c>
    </row>
    <row r="587" spans="1:17">
      <c r="A587" t="s">
        <v>4822</v>
      </c>
      <c r="B587" t="s">
        <v>64</v>
      </c>
      <c r="C587" t="s">
        <v>310</v>
      </c>
      <c r="D587" t="s">
        <v>170</v>
      </c>
      <c r="E587" t="s">
        <v>1977</v>
      </c>
      <c r="F587" t="s">
        <v>1978</v>
      </c>
      <c r="G587">
        <v>2640</v>
      </c>
      <c r="H587" t="s">
        <v>75</v>
      </c>
      <c r="I587">
        <v>46175</v>
      </c>
      <c r="J587" t="s">
        <v>4823</v>
      </c>
      <c r="K587" s="1401">
        <v>46182</v>
      </c>
      <c r="L587" s="1401">
        <v>46241</v>
      </c>
      <c r="M587" s="1401">
        <v>46254.75</v>
      </c>
      <c r="N587" s="1401">
        <v>46254</v>
      </c>
      <c r="O587" t="s">
        <v>973</v>
      </c>
      <c r="P587" s="1401">
        <v>46268</v>
      </c>
      <c r="Q587" s="1401">
        <v>46264</v>
      </c>
    </row>
    <row r="588" spans="1:17">
      <c r="A588" t="s">
        <v>4979</v>
      </c>
      <c r="B588" t="s">
        <v>64</v>
      </c>
      <c r="C588" t="s">
        <v>310</v>
      </c>
      <c r="D588" t="s">
        <v>4531</v>
      </c>
      <c r="E588" t="s">
        <v>4592</v>
      </c>
      <c r="F588" t="s">
        <v>330</v>
      </c>
      <c r="G588">
        <v>2160</v>
      </c>
      <c r="H588" t="s">
        <v>75</v>
      </c>
      <c r="I588">
        <v>46181</v>
      </c>
      <c r="J588" t="s">
        <v>4981</v>
      </c>
      <c r="K588" s="1401">
        <v>46189</v>
      </c>
      <c r="L588" s="1401">
        <v>46248</v>
      </c>
      <c r="M588" s="1401">
        <v>46254.75</v>
      </c>
      <c r="N588" s="1401">
        <v>46254</v>
      </c>
      <c r="O588" t="s">
        <v>973</v>
      </c>
      <c r="P588" s="1401">
        <v>46268</v>
      </c>
      <c r="Q588" s="1401">
        <v>46264</v>
      </c>
    </row>
    <row r="589" spans="1:17">
      <c r="A589" t="s">
        <v>4955</v>
      </c>
      <c r="B589" t="s">
        <v>64</v>
      </c>
      <c r="C589" t="s">
        <v>65</v>
      </c>
      <c r="D589" t="s">
        <v>170</v>
      </c>
      <c r="E589" t="s">
        <v>1977</v>
      </c>
      <c r="F589" t="s">
        <v>1978</v>
      </c>
      <c r="G589">
        <v>1320</v>
      </c>
      <c r="H589" t="s">
        <v>75</v>
      </c>
      <c r="I589">
        <v>46181</v>
      </c>
      <c r="J589" t="s">
        <v>4956</v>
      </c>
      <c r="K589" s="1401">
        <v>46189</v>
      </c>
      <c r="L589" s="1401">
        <v>46231</v>
      </c>
      <c r="M589" s="1401">
        <v>46234</v>
      </c>
      <c r="N589" s="1401">
        <v>46235.175381944442</v>
      </c>
      <c r="O589" t="s">
        <v>973</v>
      </c>
      <c r="P589" s="1401">
        <v>46246</v>
      </c>
      <c r="Q589" s="1401">
        <v>46243.175381944442</v>
      </c>
    </row>
    <row r="590" spans="1:17">
      <c r="A590" t="s">
        <v>4940</v>
      </c>
      <c r="B590" t="s">
        <v>144</v>
      </c>
      <c r="C590" t="s">
        <v>145</v>
      </c>
      <c r="D590" t="s">
        <v>4531</v>
      </c>
      <c r="E590" t="s">
        <v>4592</v>
      </c>
      <c r="F590" t="s">
        <v>330</v>
      </c>
      <c r="G590">
        <v>3600</v>
      </c>
      <c r="H590" t="s">
        <v>75</v>
      </c>
      <c r="I590">
        <v>46180</v>
      </c>
      <c r="J590" t="s">
        <v>4941</v>
      </c>
      <c r="K590" s="1401">
        <v>46188</v>
      </c>
      <c r="L590" s="1401">
        <v>46225</v>
      </c>
      <c r="M590" s="1401">
        <v>46233</v>
      </c>
      <c r="N590" s="1401">
        <v>46234</v>
      </c>
      <c r="O590" t="s">
        <v>973</v>
      </c>
      <c r="P590" s="1401">
        <v>46225</v>
      </c>
      <c r="Q590" s="1401">
        <v>46234</v>
      </c>
    </row>
    <row r="591" spans="1:17">
      <c r="A591" t="s">
        <v>4930</v>
      </c>
      <c r="B591" t="s">
        <v>144</v>
      </c>
      <c r="C591" t="s">
        <v>145</v>
      </c>
      <c r="D591" t="s">
        <v>132</v>
      </c>
      <c r="E591" t="s">
        <v>1062</v>
      </c>
      <c r="F591" t="s">
        <v>1063</v>
      </c>
      <c r="G591">
        <v>6048</v>
      </c>
      <c r="H591" t="s">
        <v>75</v>
      </c>
      <c r="I591">
        <v>46182</v>
      </c>
      <c r="J591" t="s">
        <v>4931</v>
      </c>
      <c r="K591" s="1401">
        <v>46192</v>
      </c>
      <c r="L591" s="1401">
        <v>46226</v>
      </c>
      <c r="M591" s="1401">
        <v>46233</v>
      </c>
      <c r="N591" s="1401">
        <v>46233</v>
      </c>
      <c r="O591" t="s">
        <v>973</v>
      </c>
      <c r="P591" s="1401">
        <v>46226</v>
      </c>
      <c r="Q591" s="1401">
        <v>46233</v>
      </c>
    </row>
    <row r="592" spans="1:17">
      <c r="A592" t="s">
        <v>4935</v>
      </c>
      <c r="B592" t="s">
        <v>144</v>
      </c>
      <c r="C592" t="s">
        <v>145</v>
      </c>
      <c r="D592" t="s">
        <v>4531</v>
      </c>
      <c r="E592" t="s">
        <v>4592</v>
      </c>
      <c r="F592" t="s">
        <v>330</v>
      </c>
      <c r="G592">
        <v>3600</v>
      </c>
      <c r="H592" t="s">
        <v>75</v>
      </c>
      <c r="I592">
        <v>46180</v>
      </c>
      <c r="J592" t="s">
        <v>4936</v>
      </c>
      <c r="K592" s="1401">
        <v>46187</v>
      </c>
      <c r="L592" s="1401">
        <v>46237</v>
      </c>
      <c r="M592" s="1401"/>
      <c r="N592" s="1401">
        <v>46239.203981481478</v>
      </c>
      <c r="O592" t="s">
        <v>973</v>
      </c>
      <c r="P592" s="1401">
        <v>46237</v>
      </c>
      <c r="Q592" s="1401">
        <v>46239.203981481478</v>
      </c>
    </row>
    <row r="593" spans="1:17">
      <c r="A593" t="s">
        <v>4926</v>
      </c>
      <c r="B593" t="s">
        <v>64</v>
      </c>
      <c r="C593" t="s">
        <v>450</v>
      </c>
      <c r="D593" t="s">
        <v>4531</v>
      </c>
      <c r="E593" t="s">
        <v>4592</v>
      </c>
      <c r="F593" t="s">
        <v>330</v>
      </c>
      <c r="G593">
        <v>1440</v>
      </c>
      <c r="H593" t="s">
        <v>75</v>
      </c>
      <c r="I593">
        <v>46181</v>
      </c>
      <c r="J593" t="s">
        <v>4927</v>
      </c>
      <c r="K593" s="1401">
        <v>46188</v>
      </c>
      <c r="L593" s="1401">
        <v>46229</v>
      </c>
      <c r="M593" s="1401">
        <v>46232</v>
      </c>
      <c r="N593" s="1401">
        <v>46232</v>
      </c>
      <c r="O593" t="s">
        <v>973</v>
      </c>
      <c r="P593" s="1401">
        <v>46245</v>
      </c>
      <c r="Q593" s="1401">
        <v>46239</v>
      </c>
    </row>
    <row r="594" spans="1:17">
      <c r="A594" t="s">
        <v>4745</v>
      </c>
      <c r="B594" t="s">
        <v>64</v>
      </c>
      <c r="C594" t="s">
        <v>450</v>
      </c>
      <c r="D594" t="s">
        <v>4531</v>
      </c>
      <c r="E594" t="s">
        <v>1151</v>
      </c>
      <c r="F594" t="s">
        <v>421</v>
      </c>
      <c r="G594">
        <v>3456</v>
      </c>
      <c r="H594" t="s">
        <v>75</v>
      </c>
      <c r="I594">
        <v>46182</v>
      </c>
      <c r="J594" t="s">
        <v>4746</v>
      </c>
      <c r="K594" s="1401">
        <v>46183</v>
      </c>
      <c r="L594" s="1401">
        <v>46236</v>
      </c>
      <c r="M594" s="1401">
        <v>46253</v>
      </c>
      <c r="N594" s="1401">
        <v>46258</v>
      </c>
      <c r="O594" t="s">
        <v>973</v>
      </c>
      <c r="P594" s="1401">
        <v>46267</v>
      </c>
      <c r="Q594" s="1401">
        <v>46265</v>
      </c>
    </row>
    <row r="595" spans="1:17">
      <c r="A595" t="s">
        <v>5005</v>
      </c>
      <c r="B595" t="s">
        <v>64</v>
      </c>
      <c r="C595" t="s">
        <v>450</v>
      </c>
      <c r="D595" t="s">
        <v>4531</v>
      </c>
      <c r="E595" t="s">
        <v>195</v>
      </c>
      <c r="F595" t="s">
        <v>196</v>
      </c>
      <c r="G595">
        <v>936</v>
      </c>
      <c r="H595" t="s">
        <v>75</v>
      </c>
      <c r="I595">
        <v>46184</v>
      </c>
      <c r="J595" t="s">
        <v>5006</v>
      </c>
      <c r="K595" s="1401">
        <v>46193</v>
      </c>
      <c r="L595" s="1401">
        <v>46243</v>
      </c>
      <c r="M595" s="1401">
        <v>46244.40625</v>
      </c>
      <c r="N595" s="1401">
        <v>46244.405787037038</v>
      </c>
      <c r="O595" t="s">
        <v>973</v>
      </c>
      <c r="P595" s="1401">
        <v>46258</v>
      </c>
      <c r="Q595" s="1401">
        <v>46251.405787037038</v>
      </c>
    </row>
    <row r="596" spans="1:17">
      <c r="A596" t="s">
        <v>5009</v>
      </c>
      <c r="B596" t="s">
        <v>144</v>
      </c>
      <c r="C596" t="s">
        <v>145</v>
      </c>
      <c r="D596" t="s">
        <v>4531</v>
      </c>
      <c r="E596" t="s">
        <v>195</v>
      </c>
      <c r="F596" t="s">
        <v>196</v>
      </c>
      <c r="G596">
        <v>3744</v>
      </c>
      <c r="H596" t="s">
        <v>75</v>
      </c>
      <c r="I596">
        <v>46184</v>
      </c>
      <c r="J596" t="s">
        <v>5010</v>
      </c>
      <c r="K596" s="1401">
        <v>46193</v>
      </c>
      <c r="L596" s="1401">
        <v>46232</v>
      </c>
      <c r="M596" s="1401">
        <v>46240.020833333336</v>
      </c>
      <c r="N596" s="1401">
        <v>46240.041226851848</v>
      </c>
      <c r="O596" t="s">
        <v>973</v>
      </c>
      <c r="P596" s="1401">
        <v>46232</v>
      </c>
      <c r="Q596" s="1401">
        <v>46240.041226851848</v>
      </c>
    </row>
    <row r="597" spans="1:17">
      <c r="A597" t="s">
        <v>5013</v>
      </c>
      <c r="B597" t="s">
        <v>64</v>
      </c>
      <c r="C597" t="s">
        <v>100</v>
      </c>
      <c r="D597" t="s">
        <v>4531</v>
      </c>
      <c r="E597" t="s">
        <v>195</v>
      </c>
      <c r="F597" t="s">
        <v>196</v>
      </c>
      <c r="G597">
        <v>936</v>
      </c>
      <c r="H597" t="s">
        <v>75</v>
      </c>
      <c r="I597">
        <v>46184</v>
      </c>
      <c r="J597" t="s">
        <v>5014</v>
      </c>
      <c r="K597" s="1401">
        <v>46193</v>
      </c>
      <c r="L597" s="1401">
        <v>46232</v>
      </c>
      <c r="M597" s="1401">
        <v>46240.020833333336</v>
      </c>
      <c r="N597" s="1401">
        <v>46240.041226851848</v>
      </c>
      <c r="O597" t="s">
        <v>973</v>
      </c>
      <c r="P597" s="1401">
        <v>46253</v>
      </c>
      <c r="Q597" s="1401">
        <v>46247.041226851848</v>
      </c>
    </row>
    <row r="598" spans="1:17">
      <c r="A598" t="s">
        <v>4989</v>
      </c>
      <c r="B598" t="s">
        <v>64</v>
      </c>
      <c r="C598" t="s">
        <v>310</v>
      </c>
      <c r="D598" t="s">
        <v>170</v>
      </c>
      <c r="E598" t="s">
        <v>1221</v>
      </c>
      <c r="F598" t="s">
        <v>1222</v>
      </c>
      <c r="G598">
        <v>660</v>
      </c>
      <c r="H598" t="s">
        <v>75</v>
      </c>
      <c r="I598">
        <v>46182</v>
      </c>
      <c r="J598" t="s">
        <v>4991</v>
      </c>
      <c r="K598" s="1401">
        <v>46189</v>
      </c>
      <c r="L598" s="1401">
        <v>46248</v>
      </c>
      <c r="M598" s="1401">
        <v>46254.75</v>
      </c>
      <c r="N598" s="1401">
        <v>46254</v>
      </c>
      <c r="O598" t="s">
        <v>973</v>
      </c>
      <c r="P598" s="1401">
        <v>46268</v>
      </c>
      <c r="Q598" s="1401">
        <v>46264</v>
      </c>
    </row>
    <row r="599" spans="1:17">
      <c r="A599" t="s">
        <v>4953</v>
      </c>
      <c r="B599" t="s">
        <v>144</v>
      </c>
      <c r="C599" t="s">
        <v>145</v>
      </c>
      <c r="D599" t="s">
        <v>4531</v>
      </c>
      <c r="E599" t="s">
        <v>4597</v>
      </c>
      <c r="F599" t="s">
        <v>4598</v>
      </c>
      <c r="G599">
        <v>720</v>
      </c>
      <c r="H599" t="s">
        <v>75</v>
      </c>
      <c r="I599">
        <v>46184</v>
      </c>
      <c r="J599" t="s">
        <v>4954</v>
      </c>
      <c r="K599" s="1401">
        <v>46188</v>
      </c>
      <c r="L599" s="1401">
        <v>46225</v>
      </c>
      <c r="M599" s="1401">
        <v>46234</v>
      </c>
      <c r="N599" s="1401">
        <v>46237</v>
      </c>
      <c r="O599" t="s">
        <v>973</v>
      </c>
      <c r="P599" s="1401">
        <v>46225</v>
      </c>
      <c r="Q599" s="1401">
        <v>46237</v>
      </c>
    </row>
    <row r="600" spans="1:17">
      <c r="A600" t="s">
        <v>4949</v>
      </c>
      <c r="B600" t="s">
        <v>144</v>
      </c>
      <c r="C600" t="s">
        <v>145</v>
      </c>
      <c r="D600" t="s">
        <v>4531</v>
      </c>
      <c r="E600" t="s">
        <v>4597</v>
      </c>
      <c r="F600" t="s">
        <v>4598</v>
      </c>
      <c r="G600">
        <v>4320</v>
      </c>
      <c r="H600" t="s">
        <v>75</v>
      </c>
      <c r="I600">
        <v>46184</v>
      </c>
      <c r="J600" t="s">
        <v>4950</v>
      </c>
      <c r="K600" s="1401">
        <v>46188</v>
      </c>
      <c r="L600" s="1401">
        <v>46225</v>
      </c>
      <c r="M600" s="1401">
        <v>46234</v>
      </c>
      <c r="N600" s="1401">
        <v>46237</v>
      </c>
      <c r="O600" t="s">
        <v>973</v>
      </c>
      <c r="P600" s="1401">
        <v>46225</v>
      </c>
      <c r="Q600" s="1401">
        <v>46237</v>
      </c>
    </row>
    <row r="601" spans="1:17">
      <c r="A601" t="s">
        <v>4945</v>
      </c>
      <c r="B601" t="s">
        <v>144</v>
      </c>
      <c r="C601" t="s">
        <v>145</v>
      </c>
      <c r="D601" t="s">
        <v>4531</v>
      </c>
      <c r="E601" t="s">
        <v>4597</v>
      </c>
      <c r="F601" t="s">
        <v>4598</v>
      </c>
      <c r="G601">
        <v>2160</v>
      </c>
      <c r="H601" t="s">
        <v>75</v>
      </c>
      <c r="I601">
        <v>46182</v>
      </c>
      <c r="J601" t="s">
        <v>4946</v>
      </c>
      <c r="K601" s="1401">
        <v>46188</v>
      </c>
      <c r="L601" s="1401">
        <v>46225</v>
      </c>
      <c r="M601" s="1401">
        <v>46233</v>
      </c>
      <c r="N601" s="1401">
        <v>46234</v>
      </c>
      <c r="O601" t="s">
        <v>973</v>
      </c>
      <c r="P601" s="1401">
        <v>46225</v>
      </c>
      <c r="Q601" s="1401">
        <v>46234</v>
      </c>
    </row>
    <row r="602" spans="1:17">
      <c r="A602" t="s">
        <v>5119</v>
      </c>
      <c r="B602" t="s">
        <v>64</v>
      </c>
      <c r="C602" t="s">
        <v>100</v>
      </c>
      <c r="D602" t="s">
        <v>4531</v>
      </c>
      <c r="E602" t="s">
        <v>195</v>
      </c>
      <c r="F602" t="s">
        <v>196</v>
      </c>
      <c r="G602">
        <v>936</v>
      </c>
      <c r="H602" t="s">
        <v>75</v>
      </c>
      <c r="I602">
        <v>46190</v>
      </c>
      <c r="J602" t="s">
        <v>5120</v>
      </c>
      <c r="K602" s="1401">
        <v>46197</v>
      </c>
      <c r="L602" s="1401">
        <v>46256</v>
      </c>
      <c r="M602" s="1401">
        <v>46262.1875</v>
      </c>
      <c r="N602" s="1401">
        <v>46262</v>
      </c>
      <c r="O602" t="s">
        <v>973</v>
      </c>
      <c r="P602" s="1401">
        <v>46276</v>
      </c>
      <c r="Q602" s="1401">
        <v>46269</v>
      </c>
    </row>
    <row r="603" spans="1:17">
      <c r="A603" t="s">
        <v>5106</v>
      </c>
      <c r="B603" t="s">
        <v>64</v>
      </c>
      <c r="C603" t="s">
        <v>65</v>
      </c>
      <c r="D603" t="s">
        <v>132</v>
      </c>
      <c r="E603" t="s">
        <v>1062</v>
      </c>
      <c r="F603" t="s">
        <v>1063</v>
      </c>
      <c r="G603">
        <v>2592</v>
      </c>
      <c r="H603" t="s">
        <v>75</v>
      </c>
      <c r="I603">
        <v>46191</v>
      </c>
      <c r="J603" t="s">
        <v>5108</v>
      </c>
      <c r="K603" s="1401">
        <v>46199</v>
      </c>
      <c r="L603" s="1401">
        <v>46251</v>
      </c>
      <c r="M603" s="1401"/>
      <c r="N603" s="1401">
        <v>46259.238761574074</v>
      </c>
      <c r="O603" t="s">
        <v>973</v>
      </c>
      <c r="P603" s="1401">
        <v>46272</v>
      </c>
      <c r="Q603" s="1401">
        <v>46267.238761574074</v>
      </c>
    </row>
    <row r="604" spans="1:17">
      <c r="A604" t="s">
        <v>5084</v>
      </c>
      <c r="B604" t="s">
        <v>64</v>
      </c>
      <c r="C604" t="s">
        <v>65</v>
      </c>
      <c r="D604" t="s">
        <v>4531</v>
      </c>
      <c r="E604" t="s">
        <v>4597</v>
      </c>
      <c r="F604" t="s">
        <v>4598</v>
      </c>
      <c r="G604">
        <v>2160</v>
      </c>
      <c r="H604" t="s">
        <v>75</v>
      </c>
      <c r="I604">
        <v>46187</v>
      </c>
      <c r="J604" t="s">
        <v>5085</v>
      </c>
      <c r="K604" s="1401">
        <v>46199</v>
      </c>
      <c r="L604" s="1401">
        <v>46251</v>
      </c>
      <c r="M604" s="1401"/>
      <c r="N604" s="1401">
        <v>46259.238761574074</v>
      </c>
      <c r="O604" t="s">
        <v>973</v>
      </c>
      <c r="P604" s="1401">
        <v>46272</v>
      </c>
      <c r="Q604" s="1401">
        <v>46267.238761574074</v>
      </c>
    </row>
    <row r="605" spans="1:17">
      <c r="A605" t="s">
        <v>5081</v>
      </c>
      <c r="B605" t="s">
        <v>64</v>
      </c>
      <c r="C605" t="s">
        <v>65</v>
      </c>
      <c r="D605" t="s">
        <v>4531</v>
      </c>
      <c r="E605" t="s">
        <v>4597</v>
      </c>
      <c r="F605" t="s">
        <v>4598</v>
      </c>
      <c r="G605">
        <v>2160</v>
      </c>
      <c r="H605" t="s">
        <v>75</v>
      </c>
      <c r="I605">
        <v>46187</v>
      </c>
      <c r="J605" t="s">
        <v>5083</v>
      </c>
      <c r="K605" s="1401">
        <v>46196</v>
      </c>
      <c r="L605" s="1401">
        <v>46238</v>
      </c>
      <c r="M605" s="1401">
        <v>46242.25</v>
      </c>
      <c r="N605" s="1401">
        <v>46242.239039351851</v>
      </c>
      <c r="O605" t="s">
        <v>973</v>
      </c>
      <c r="P605" s="1401">
        <v>46254</v>
      </c>
      <c r="Q605" s="1401">
        <v>46250.239039351851</v>
      </c>
    </row>
    <row r="606" spans="1:17">
      <c r="A606" t="s">
        <v>5076</v>
      </c>
      <c r="B606" t="s">
        <v>64</v>
      </c>
      <c r="C606" t="s">
        <v>65</v>
      </c>
      <c r="D606" t="s">
        <v>4531</v>
      </c>
      <c r="E606" t="s">
        <v>4597</v>
      </c>
      <c r="F606" t="s">
        <v>4598</v>
      </c>
      <c r="G606">
        <v>2880</v>
      </c>
      <c r="H606" t="s">
        <v>75</v>
      </c>
      <c r="I606">
        <v>46187</v>
      </c>
      <c r="J606" t="s">
        <v>5077</v>
      </c>
      <c r="K606" s="1401">
        <v>46196</v>
      </c>
      <c r="L606" s="1401">
        <v>46238</v>
      </c>
      <c r="M606" s="1401">
        <v>46242.25</v>
      </c>
      <c r="N606" s="1401">
        <v>46242.239039351851</v>
      </c>
      <c r="O606" t="s">
        <v>973</v>
      </c>
      <c r="P606" s="1401">
        <v>46254</v>
      </c>
      <c r="Q606" s="1401">
        <v>46250.239039351851</v>
      </c>
    </row>
    <row r="607" spans="1:17">
      <c r="A607" t="s">
        <v>5071</v>
      </c>
      <c r="B607" t="s">
        <v>144</v>
      </c>
      <c r="C607" t="s">
        <v>145</v>
      </c>
      <c r="D607" t="s">
        <v>4531</v>
      </c>
      <c r="E607" t="s">
        <v>4592</v>
      </c>
      <c r="F607" t="s">
        <v>330</v>
      </c>
      <c r="G607">
        <v>5760</v>
      </c>
      <c r="H607" t="s">
        <v>75</v>
      </c>
      <c r="I607">
        <v>46185</v>
      </c>
      <c r="J607" t="s">
        <v>5072</v>
      </c>
      <c r="K607" s="1401">
        <v>46194</v>
      </c>
      <c r="L607" s="1401">
        <v>46244</v>
      </c>
      <c r="M607" s="1401"/>
      <c r="N607" s="1401">
        <v>46249.489212962966</v>
      </c>
      <c r="O607" t="s">
        <v>973</v>
      </c>
      <c r="P607" s="1401">
        <v>46244</v>
      </c>
      <c r="Q607" s="1401">
        <v>46249.489212962966</v>
      </c>
    </row>
    <row r="608" spans="1:17">
      <c r="A608" t="s">
        <v>5065</v>
      </c>
      <c r="B608" t="s">
        <v>144</v>
      </c>
      <c r="C608" t="s">
        <v>145</v>
      </c>
      <c r="D608" t="s">
        <v>4531</v>
      </c>
      <c r="E608" t="s">
        <v>4592</v>
      </c>
      <c r="F608" t="s">
        <v>330</v>
      </c>
      <c r="G608">
        <v>720</v>
      </c>
      <c r="H608" t="s">
        <v>75</v>
      </c>
      <c r="I608">
        <v>46187</v>
      </c>
      <c r="J608" t="s">
        <v>5067</v>
      </c>
      <c r="K608" s="1401">
        <v>46195</v>
      </c>
      <c r="L608" s="1401">
        <v>46232</v>
      </c>
      <c r="M608" s="1401">
        <v>46242.416666666664</v>
      </c>
      <c r="N608" s="1401">
        <v>46242.416134259256</v>
      </c>
      <c r="O608" t="s">
        <v>973</v>
      </c>
      <c r="P608" s="1401">
        <v>46232</v>
      </c>
      <c r="Q608" s="1401">
        <v>46242.416134259256</v>
      </c>
    </row>
    <row r="609" spans="1:17">
      <c r="A609" t="s">
        <v>5063</v>
      </c>
      <c r="B609" t="s">
        <v>144</v>
      </c>
      <c r="C609" t="s">
        <v>145</v>
      </c>
      <c r="D609" t="s">
        <v>4531</v>
      </c>
      <c r="E609" t="s">
        <v>5057</v>
      </c>
      <c r="F609" t="s">
        <v>1484</v>
      </c>
      <c r="G609">
        <v>4158</v>
      </c>
      <c r="H609" t="s">
        <v>75</v>
      </c>
      <c r="I609">
        <v>46189</v>
      </c>
      <c r="J609" t="s">
        <v>5064</v>
      </c>
      <c r="K609" s="1401">
        <v>46198</v>
      </c>
      <c r="L609" s="1401">
        <v>46232</v>
      </c>
      <c r="M609" s="1401">
        <v>46240.020833333336</v>
      </c>
      <c r="N609" s="1401">
        <v>46240.041226851848</v>
      </c>
      <c r="O609" t="s">
        <v>973</v>
      </c>
      <c r="P609" s="1401">
        <v>46232</v>
      </c>
      <c r="Q609" s="1401">
        <v>46240.041226851848</v>
      </c>
    </row>
    <row r="610" spans="1:17">
      <c r="A610" t="s">
        <v>5055</v>
      </c>
      <c r="B610" t="s">
        <v>144</v>
      </c>
      <c r="C610" t="s">
        <v>145</v>
      </c>
      <c r="D610" t="s">
        <v>4531</v>
      </c>
      <c r="E610" t="s">
        <v>5057</v>
      </c>
      <c r="F610" t="s">
        <v>1484</v>
      </c>
      <c r="G610">
        <v>1782</v>
      </c>
      <c r="H610" t="s">
        <v>75</v>
      </c>
      <c r="I610">
        <v>46189</v>
      </c>
      <c r="J610" t="s">
        <v>5059</v>
      </c>
      <c r="K610" s="1401">
        <v>46198</v>
      </c>
      <c r="L610" s="1401">
        <v>46232</v>
      </c>
      <c r="M610" s="1401">
        <v>46240.020833333336</v>
      </c>
      <c r="N610" s="1401">
        <v>46240</v>
      </c>
      <c r="O610" t="s">
        <v>973</v>
      </c>
      <c r="P610" s="1401">
        <v>46232</v>
      </c>
      <c r="Q610" s="1401">
        <v>46240</v>
      </c>
    </row>
    <row r="611" spans="1:17">
      <c r="A611" t="s">
        <v>5046</v>
      </c>
      <c r="B611" t="s">
        <v>144</v>
      </c>
      <c r="C611" t="s">
        <v>145</v>
      </c>
      <c r="D611" t="s">
        <v>4531</v>
      </c>
      <c r="E611" t="s">
        <v>5041</v>
      </c>
      <c r="F611" t="s">
        <v>1807</v>
      </c>
      <c r="G611">
        <v>1188</v>
      </c>
      <c r="H611" t="s">
        <v>75</v>
      </c>
      <c r="I611">
        <v>46190</v>
      </c>
      <c r="J611" t="s">
        <v>5048</v>
      </c>
      <c r="K611" s="1401">
        <v>46194</v>
      </c>
      <c r="L611" s="1401">
        <v>46232</v>
      </c>
      <c r="M611" s="1401">
        <v>46241</v>
      </c>
      <c r="N611" s="1401">
        <v>46245</v>
      </c>
      <c r="O611" t="s">
        <v>973</v>
      </c>
      <c r="P611" s="1401">
        <v>46232</v>
      </c>
      <c r="Q611" s="1401">
        <v>46245</v>
      </c>
    </row>
    <row r="612" spans="1:17">
      <c r="A612" t="s">
        <v>5049</v>
      </c>
      <c r="B612" t="s">
        <v>144</v>
      </c>
      <c r="C612" t="s">
        <v>145</v>
      </c>
      <c r="D612" t="s">
        <v>4531</v>
      </c>
      <c r="E612" t="s">
        <v>5041</v>
      </c>
      <c r="F612" t="s">
        <v>1807</v>
      </c>
      <c r="G612">
        <v>1188</v>
      </c>
      <c r="H612" t="s">
        <v>75</v>
      </c>
      <c r="I612">
        <v>46185</v>
      </c>
      <c r="J612" t="s">
        <v>5051</v>
      </c>
      <c r="K612" s="1401">
        <v>46194</v>
      </c>
      <c r="L612" s="1401">
        <v>46237</v>
      </c>
      <c r="M612" s="1401"/>
      <c r="N612" s="1401">
        <v>46249</v>
      </c>
      <c r="O612" t="s">
        <v>973</v>
      </c>
      <c r="P612" s="1401">
        <v>46237</v>
      </c>
      <c r="Q612" s="1401">
        <v>46249</v>
      </c>
    </row>
    <row r="613" spans="1:17">
      <c r="A613" t="s">
        <v>4997</v>
      </c>
      <c r="B613" t="s">
        <v>64</v>
      </c>
      <c r="C613" t="s">
        <v>65</v>
      </c>
      <c r="D613" t="s">
        <v>4531</v>
      </c>
      <c r="E613" t="s">
        <v>71</v>
      </c>
      <c r="F613" t="s">
        <v>72</v>
      </c>
      <c r="G613">
        <v>2592</v>
      </c>
      <c r="H613" t="s">
        <v>75</v>
      </c>
      <c r="I613">
        <v>46185</v>
      </c>
      <c r="J613" t="s">
        <v>4998</v>
      </c>
      <c r="K613" s="1401">
        <v>46193</v>
      </c>
      <c r="L613" s="1401">
        <v>46258</v>
      </c>
      <c r="M613" s="1401">
        <v>46271.25</v>
      </c>
      <c r="N613" s="1401">
        <v>46271.279085648152</v>
      </c>
      <c r="O613" t="s">
        <v>2434</v>
      </c>
      <c r="P613" s="1401">
        <v>46283</v>
      </c>
      <c r="Q613" s="1401">
        <v>46279.279085648152</v>
      </c>
    </row>
    <row r="614" spans="1:17">
      <c r="A614" t="s">
        <v>4976</v>
      </c>
      <c r="B614" t="s">
        <v>64</v>
      </c>
      <c r="C614" t="s">
        <v>65</v>
      </c>
      <c r="D614" t="s">
        <v>4531</v>
      </c>
      <c r="E614" t="s">
        <v>4597</v>
      </c>
      <c r="F614" t="s">
        <v>4598</v>
      </c>
      <c r="G614">
        <v>6480</v>
      </c>
      <c r="H614" t="s">
        <v>75</v>
      </c>
      <c r="I614">
        <v>46186</v>
      </c>
      <c r="J614" t="s">
        <v>4978</v>
      </c>
      <c r="K614" s="1401">
        <v>46195</v>
      </c>
      <c r="L614" s="1401">
        <v>46244</v>
      </c>
      <c r="M614" s="1401"/>
      <c r="N614" s="1401">
        <v>46250.848819444444</v>
      </c>
      <c r="O614" t="s">
        <v>973</v>
      </c>
      <c r="P614" s="1401">
        <v>46265</v>
      </c>
      <c r="Q614" s="1401">
        <v>46258.848819444444</v>
      </c>
    </row>
    <row r="615" spans="1:17">
      <c r="A615" t="s">
        <v>4992</v>
      </c>
      <c r="B615" t="s">
        <v>64</v>
      </c>
      <c r="C615" t="s">
        <v>65</v>
      </c>
      <c r="D615" t="s">
        <v>4531</v>
      </c>
      <c r="E615" t="s">
        <v>71</v>
      </c>
      <c r="F615" t="s">
        <v>72</v>
      </c>
      <c r="G615">
        <v>1728</v>
      </c>
      <c r="H615" t="s">
        <v>75</v>
      </c>
      <c r="I615">
        <v>46185</v>
      </c>
      <c r="J615" t="s">
        <v>4993</v>
      </c>
      <c r="K615" s="1401">
        <v>46193</v>
      </c>
      <c r="L615" s="1401">
        <v>46252</v>
      </c>
      <c r="M615" s="1401">
        <v>46261.25</v>
      </c>
      <c r="N615" s="1401">
        <v>46261</v>
      </c>
      <c r="O615" t="s">
        <v>2434</v>
      </c>
      <c r="P615" s="1401">
        <v>46273</v>
      </c>
      <c r="Q615" s="1401">
        <v>46269</v>
      </c>
    </row>
    <row r="616" spans="1:17">
      <c r="A616" t="s">
        <v>4971</v>
      </c>
      <c r="B616" t="s">
        <v>64</v>
      </c>
      <c r="C616" t="s">
        <v>65</v>
      </c>
      <c r="D616" t="s">
        <v>4531</v>
      </c>
      <c r="E616" t="s">
        <v>1151</v>
      </c>
      <c r="F616" t="s">
        <v>421</v>
      </c>
      <c r="G616">
        <v>3456</v>
      </c>
      <c r="H616" t="s">
        <v>75</v>
      </c>
      <c r="I616">
        <v>46185</v>
      </c>
      <c r="J616" t="s">
        <v>4972</v>
      </c>
      <c r="K616" s="1401">
        <v>46195</v>
      </c>
      <c r="L616" s="1401">
        <v>46244</v>
      </c>
      <c r="M616" s="1401"/>
      <c r="N616" s="1401">
        <v>46250.848819444444</v>
      </c>
      <c r="O616" t="s">
        <v>973</v>
      </c>
      <c r="P616" s="1401">
        <v>46265</v>
      </c>
      <c r="Q616" s="1401">
        <v>46258.848819444444</v>
      </c>
    </row>
    <row r="617" spans="1:17">
      <c r="A617" t="s">
        <v>5124</v>
      </c>
      <c r="B617" t="s">
        <v>64</v>
      </c>
      <c r="C617" t="s">
        <v>100</v>
      </c>
      <c r="D617" t="s">
        <v>4531</v>
      </c>
      <c r="E617" t="s">
        <v>195</v>
      </c>
      <c r="F617" t="s">
        <v>196</v>
      </c>
      <c r="G617">
        <v>4680</v>
      </c>
      <c r="H617" t="s">
        <v>75</v>
      </c>
      <c r="I617">
        <v>46189</v>
      </c>
      <c r="J617" t="s">
        <v>5126</v>
      </c>
      <c r="K617" s="1401">
        <v>46197</v>
      </c>
      <c r="L617" s="1401">
        <v>46238</v>
      </c>
      <c r="M617" s="1401">
        <v>46244.291666666664</v>
      </c>
      <c r="N617" s="1401">
        <v>46244.348958333336</v>
      </c>
      <c r="O617" t="s">
        <v>973</v>
      </c>
      <c r="P617" s="1401">
        <v>46259</v>
      </c>
      <c r="Q617" s="1401">
        <v>46251.348958333336</v>
      </c>
    </row>
    <row r="618" spans="1:17">
      <c r="A618" t="s">
        <v>4920</v>
      </c>
      <c r="B618" t="s">
        <v>64</v>
      </c>
      <c r="C618" t="s">
        <v>450</v>
      </c>
      <c r="D618" t="s">
        <v>4531</v>
      </c>
      <c r="E618" t="s">
        <v>1151</v>
      </c>
      <c r="F618" t="s">
        <v>421</v>
      </c>
      <c r="G618">
        <v>864</v>
      </c>
      <c r="H618" t="s">
        <v>75</v>
      </c>
      <c r="I618">
        <v>46185</v>
      </c>
      <c r="J618" t="s">
        <v>4922</v>
      </c>
      <c r="K618" s="1401">
        <v>46188</v>
      </c>
      <c r="L618" s="1401">
        <v>46229</v>
      </c>
      <c r="M618" s="1401">
        <v>46232</v>
      </c>
      <c r="N618" s="1401">
        <v>46232</v>
      </c>
      <c r="O618" t="s">
        <v>973</v>
      </c>
      <c r="P618" s="1401">
        <v>46245</v>
      </c>
      <c r="Q618" s="1401">
        <v>46239</v>
      </c>
    </row>
    <row r="619" spans="1:17">
      <c r="A619" t="s">
        <v>5129</v>
      </c>
      <c r="B619" t="s">
        <v>64</v>
      </c>
      <c r="C619" t="s">
        <v>65</v>
      </c>
      <c r="D619" t="s">
        <v>550</v>
      </c>
      <c r="E619" t="s">
        <v>551</v>
      </c>
      <c r="F619" t="s">
        <v>2151</v>
      </c>
      <c r="G619">
        <v>3168</v>
      </c>
      <c r="H619" t="s">
        <v>75</v>
      </c>
      <c r="I619">
        <v>46190</v>
      </c>
      <c r="J619" t="s">
        <v>5130</v>
      </c>
      <c r="K619" s="1401">
        <v>46197</v>
      </c>
      <c r="L619" s="1401">
        <v>46265</v>
      </c>
      <c r="M619" s="1401">
        <v>46278.083333333336</v>
      </c>
      <c r="N619" s="1401">
        <v>46278.186840277776</v>
      </c>
      <c r="O619" t="s">
        <v>2434</v>
      </c>
      <c r="P619" s="1401">
        <v>46290</v>
      </c>
      <c r="Q619" s="1401">
        <v>46286.186840277776</v>
      </c>
    </row>
    <row r="620" spans="1:17">
      <c r="A620" t="s">
        <v>5133</v>
      </c>
      <c r="B620" t="s">
        <v>64</v>
      </c>
      <c r="C620" t="s">
        <v>65</v>
      </c>
      <c r="D620" t="s">
        <v>70</v>
      </c>
      <c r="E620" t="s">
        <v>1077</v>
      </c>
      <c r="F620" t="s">
        <v>103</v>
      </c>
      <c r="G620">
        <v>1440</v>
      </c>
      <c r="H620" t="s">
        <v>75</v>
      </c>
      <c r="I620">
        <v>46190</v>
      </c>
      <c r="J620" t="s">
        <v>5134</v>
      </c>
      <c r="K620" s="1401">
        <v>46197</v>
      </c>
      <c r="L620" s="1401">
        <v>46259</v>
      </c>
      <c r="M620" s="1401">
        <v>46272.833333333336</v>
      </c>
      <c r="N620" s="1401">
        <v>46272</v>
      </c>
      <c r="O620" t="s">
        <v>2434</v>
      </c>
      <c r="P620" s="1401">
        <v>46289</v>
      </c>
      <c r="Q620" s="1401">
        <v>46280</v>
      </c>
    </row>
    <row r="621" spans="1:17">
      <c r="A621" t="s">
        <v>5137</v>
      </c>
      <c r="B621" t="s">
        <v>64</v>
      </c>
      <c r="C621" t="s">
        <v>450</v>
      </c>
      <c r="D621" t="s">
        <v>4531</v>
      </c>
      <c r="E621" t="s">
        <v>1151</v>
      </c>
      <c r="F621" t="s">
        <v>421</v>
      </c>
      <c r="G621">
        <v>864</v>
      </c>
      <c r="H621" t="s">
        <v>75</v>
      </c>
      <c r="I621">
        <v>46190</v>
      </c>
      <c r="J621" t="s">
        <v>5139</v>
      </c>
      <c r="K621" s="1401">
        <v>46197</v>
      </c>
      <c r="L621" s="1401">
        <v>46250</v>
      </c>
      <c r="M621" s="1401">
        <v>46253.75</v>
      </c>
      <c r="N621" s="1401">
        <v>46253.739166666666</v>
      </c>
      <c r="O621" t="s">
        <v>973</v>
      </c>
      <c r="P621" s="1401">
        <v>46267</v>
      </c>
      <c r="Q621" s="1401">
        <v>46260.739166666666</v>
      </c>
    </row>
    <row r="622" spans="1:17">
      <c r="A622" t="s">
        <v>5142</v>
      </c>
      <c r="B622" t="s">
        <v>64</v>
      </c>
      <c r="C622" t="s">
        <v>65</v>
      </c>
      <c r="D622" t="s">
        <v>4531</v>
      </c>
      <c r="E622" t="s">
        <v>5102</v>
      </c>
      <c r="F622" t="s">
        <v>103</v>
      </c>
      <c r="G622">
        <v>720</v>
      </c>
      <c r="H622" t="s">
        <v>75</v>
      </c>
      <c r="I622">
        <v>46191</v>
      </c>
      <c r="J622" t="s">
        <v>5143</v>
      </c>
      <c r="K622" s="1401">
        <v>46197</v>
      </c>
      <c r="L622" s="1401">
        <v>46254</v>
      </c>
      <c r="M622" s="1401">
        <v>46272.833333333336</v>
      </c>
      <c r="N622" s="1401">
        <v>46272</v>
      </c>
      <c r="O622" t="s">
        <v>2434</v>
      </c>
      <c r="P622" s="1401">
        <v>46286</v>
      </c>
      <c r="Q622" s="1401">
        <v>46280</v>
      </c>
    </row>
    <row r="623" spans="1:17">
      <c r="A623" t="s">
        <v>5040</v>
      </c>
      <c r="B623" t="s">
        <v>144</v>
      </c>
      <c r="C623" t="s">
        <v>145</v>
      </c>
      <c r="D623" t="s">
        <v>4531</v>
      </c>
      <c r="E623" t="s">
        <v>5041</v>
      </c>
      <c r="F623" t="s">
        <v>1807</v>
      </c>
      <c r="G623">
        <v>2970</v>
      </c>
      <c r="H623" t="s">
        <v>75</v>
      </c>
      <c r="I623">
        <v>46190</v>
      </c>
      <c r="J623" t="s">
        <v>5043</v>
      </c>
      <c r="K623" s="1401">
        <v>46194</v>
      </c>
      <c r="L623" s="1401">
        <v>46232</v>
      </c>
      <c r="M623" s="1401">
        <v>46241</v>
      </c>
      <c r="N623" s="1401">
        <v>46245</v>
      </c>
      <c r="O623" t="s">
        <v>973</v>
      </c>
      <c r="P623" s="1401">
        <v>46232</v>
      </c>
      <c r="Q623" s="1401">
        <v>46245</v>
      </c>
    </row>
    <row r="624" spans="1:17">
      <c r="A624" t="s">
        <v>5001</v>
      </c>
      <c r="B624" t="s">
        <v>144</v>
      </c>
      <c r="C624" t="s">
        <v>145</v>
      </c>
      <c r="D624" t="s">
        <v>4531</v>
      </c>
      <c r="E624" t="s">
        <v>195</v>
      </c>
      <c r="F624" t="s">
        <v>196</v>
      </c>
      <c r="G624">
        <v>4680</v>
      </c>
      <c r="H624" t="s">
        <v>75</v>
      </c>
      <c r="I624">
        <v>46182</v>
      </c>
      <c r="J624" t="s">
        <v>5002</v>
      </c>
      <c r="K624" s="1401">
        <v>46186</v>
      </c>
      <c r="L624" s="1401">
        <v>46238</v>
      </c>
      <c r="M624" s="1401" t="s">
        <v>2525</v>
      </c>
      <c r="N624" s="1401">
        <v>46244</v>
      </c>
      <c r="O624" t="s">
        <v>973</v>
      </c>
      <c r="P624" s="1401">
        <v>46238</v>
      </c>
      <c r="Q624" s="1401">
        <v>46244</v>
      </c>
    </row>
    <row r="625" spans="1:17">
      <c r="A625" t="s">
        <v>4899</v>
      </c>
      <c r="B625" t="s">
        <v>64</v>
      </c>
      <c r="C625" t="s">
        <v>100</v>
      </c>
      <c r="D625" t="s">
        <v>4531</v>
      </c>
      <c r="E625" t="s">
        <v>965</v>
      </c>
      <c r="F625" t="s">
        <v>966</v>
      </c>
      <c r="G625">
        <v>1872</v>
      </c>
      <c r="H625" t="s">
        <v>75</v>
      </c>
      <c r="I625">
        <v>46180</v>
      </c>
      <c r="J625" t="s">
        <v>4900</v>
      </c>
      <c r="K625" s="1401">
        <v>46186</v>
      </c>
      <c r="L625" s="1401">
        <v>46226</v>
      </c>
      <c r="M625" s="1401">
        <v>46243</v>
      </c>
      <c r="N625" s="1401">
        <v>46246</v>
      </c>
      <c r="O625" t="s">
        <v>973</v>
      </c>
      <c r="P625" s="1401">
        <v>46258</v>
      </c>
      <c r="Q625" s="1401">
        <v>46253</v>
      </c>
    </row>
    <row r="626" spans="1:17">
      <c r="A626" t="s">
        <v>4893</v>
      </c>
      <c r="B626" t="s">
        <v>64</v>
      </c>
      <c r="C626" t="s">
        <v>100</v>
      </c>
      <c r="D626" t="s">
        <v>4531</v>
      </c>
      <c r="E626" t="s">
        <v>195</v>
      </c>
      <c r="F626" t="s">
        <v>196</v>
      </c>
      <c r="G626">
        <v>1872</v>
      </c>
      <c r="H626" t="s">
        <v>75</v>
      </c>
      <c r="I626">
        <v>46180</v>
      </c>
      <c r="J626" t="s">
        <v>4895</v>
      </c>
      <c r="K626" s="1401">
        <v>46186</v>
      </c>
      <c r="L626" s="1401">
        <v>46226</v>
      </c>
      <c r="M626" s="1401">
        <v>46243</v>
      </c>
      <c r="N626" s="1401">
        <v>46246</v>
      </c>
      <c r="O626" t="s">
        <v>973</v>
      </c>
      <c r="P626" s="1401">
        <v>46258</v>
      </c>
      <c r="Q626" s="1401">
        <v>46253</v>
      </c>
    </row>
    <row r="627" spans="1:17">
      <c r="A627" t="s">
        <v>4866</v>
      </c>
      <c r="B627" t="s">
        <v>64</v>
      </c>
      <c r="C627" t="s">
        <v>450</v>
      </c>
      <c r="D627" t="s">
        <v>4531</v>
      </c>
      <c r="E627" t="s">
        <v>195</v>
      </c>
      <c r="F627" t="s">
        <v>196</v>
      </c>
      <c r="G627">
        <v>3744</v>
      </c>
      <c r="H627" t="s">
        <v>75</v>
      </c>
      <c r="I627">
        <v>46178</v>
      </c>
      <c r="J627" t="s">
        <v>4867</v>
      </c>
      <c r="K627" s="1401">
        <v>46184</v>
      </c>
      <c r="L627" s="1401">
        <v>46231</v>
      </c>
      <c r="M627" s="1401">
        <v>46238</v>
      </c>
      <c r="N627" s="1401">
        <v>46248</v>
      </c>
      <c r="O627" t="s">
        <v>973</v>
      </c>
      <c r="P627" s="1401">
        <v>46262</v>
      </c>
      <c r="Q627" s="1401">
        <v>46255</v>
      </c>
    </row>
    <row r="628" spans="1:17">
      <c r="A628" t="s">
        <v>4860</v>
      </c>
      <c r="B628" t="s">
        <v>144</v>
      </c>
      <c r="C628" t="s">
        <v>145</v>
      </c>
      <c r="D628" t="s">
        <v>70</v>
      </c>
      <c r="E628" t="s">
        <v>965</v>
      </c>
      <c r="F628" t="s">
        <v>966</v>
      </c>
      <c r="G628">
        <v>1872</v>
      </c>
      <c r="H628" t="s">
        <v>75</v>
      </c>
      <c r="I628">
        <v>46182</v>
      </c>
      <c r="J628" t="s">
        <v>4863</v>
      </c>
      <c r="K628" s="1401">
        <v>46182</v>
      </c>
      <c r="L628" s="1401">
        <v>46250</v>
      </c>
      <c r="M628" s="1401">
        <v>46260</v>
      </c>
      <c r="N628" s="1401">
        <v>46261</v>
      </c>
      <c r="O628" t="s">
        <v>973</v>
      </c>
      <c r="P628" s="1401">
        <v>46251</v>
      </c>
      <c r="Q628" s="1401">
        <v>46261</v>
      </c>
    </row>
    <row r="629" spans="1:17">
      <c r="A629" t="s">
        <v>5236</v>
      </c>
      <c r="B629" t="s">
        <v>64</v>
      </c>
      <c r="C629" t="s">
        <v>310</v>
      </c>
      <c r="D629" t="s">
        <v>550</v>
      </c>
      <c r="E629" t="s">
        <v>2134</v>
      </c>
      <c r="F629" t="s">
        <v>2135</v>
      </c>
      <c r="G629">
        <v>1584</v>
      </c>
      <c r="H629" t="s">
        <v>75</v>
      </c>
      <c r="I629">
        <v>46199</v>
      </c>
      <c r="J629" t="s">
        <v>5237</v>
      </c>
      <c r="K629" s="1401">
        <v>46204</v>
      </c>
      <c r="L629" s="1401">
        <v>46257</v>
      </c>
      <c r="M629" s="1401">
        <v>46272.25</v>
      </c>
      <c r="N629" s="1401">
        <v>46272.251446759263</v>
      </c>
      <c r="O629" t="s">
        <v>2434</v>
      </c>
      <c r="P629" s="1401">
        <v>46300</v>
      </c>
      <c r="Q629" s="1401">
        <v>46282.251446759263</v>
      </c>
    </row>
    <row r="630" spans="1:17">
      <c r="A630" t="s">
        <v>5234</v>
      </c>
      <c r="B630" t="s">
        <v>64</v>
      </c>
      <c r="C630" t="s">
        <v>114</v>
      </c>
      <c r="D630" t="s">
        <v>4531</v>
      </c>
      <c r="E630" t="s">
        <v>118</v>
      </c>
      <c r="F630" t="s">
        <v>119</v>
      </c>
      <c r="G630">
        <v>144</v>
      </c>
      <c r="H630" t="s">
        <v>75</v>
      </c>
      <c r="I630">
        <v>46199</v>
      </c>
      <c r="J630" t="s">
        <v>5235</v>
      </c>
      <c r="K630" s="1401">
        <v>46204</v>
      </c>
      <c r="L630" s="1401">
        <v>46249</v>
      </c>
      <c r="M630" s="1401"/>
      <c r="N630" s="1401">
        <v>46258.289537037039</v>
      </c>
      <c r="O630" t="s">
        <v>973</v>
      </c>
      <c r="P630" s="1401">
        <v>46272</v>
      </c>
      <c r="Q630" s="1401">
        <v>46267.289537037039</v>
      </c>
    </row>
    <row r="631" spans="1:17">
      <c r="A631" t="s">
        <v>5227</v>
      </c>
      <c r="B631" t="s">
        <v>64</v>
      </c>
      <c r="C631" t="s">
        <v>114</v>
      </c>
      <c r="D631" t="s">
        <v>550</v>
      </c>
      <c r="E631" t="s">
        <v>2134</v>
      </c>
      <c r="F631" t="s">
        <v>2135</v>
      </c>
      <c r="G631">
        <v>792</v>
      </c>
      <c r="H631" t="s">
        <v>75</v>
      </c>
      <c r="I631">
        <v>46199</v>
      </c>
      <c r="J631" t="s">
        <v>5228</v>
      </c>
      <c r="K631" s="1401">
        <v>46204</v>
      </c>
      <c r="L631" s="1401">
        <v>46249</v>
      </c>
      <c r="M631" s="1401"/>
      <c r="N631" s="1401">
        <v>46258.289537037039</v>
      </c>
      <c r="O631" t="s">
        <v>973</v>
      </c>
      <c r="P631" s="1401">
        <v>46272</v>
      </c>
      <c r="Q631" s="1401">
        <v>46267.289537037039</v>
      </c>
    </row>
    <row r="632" spans="1:17">
      <c r="A632" t="s">
        <v>5232</v>
      </c>
      <c r="B632" t="s">
        <v>64</v>
      </c>
      <c r="C632" t="s">
        <v>114</v>
      </c>
      <c r="D632" t="s">
        <v>550</v>
      </c>
      <c r="E632" t="s">
        <v>2134</v>
      </c>
      <c r="F632" t="s">
        <v>2135</v>
      </c>
      <c r="G632">
        <v>648</v>
      </c>
      <c r="H632" t="s">
        <v>75</v>
      </c>
      <c r="I632">
        <v>46199</v>
      </c>
      <c r="J632" t="s">
        <v>5233</v>
      </c>
      <c r="K632" s="1401">
        <v>46204</v>
      </c>
      <c r="L632" s="1401">
        <v>46249</v>
      </c>
      <c r="M632" s="1401"/>
      <c r="N632" s="1401">
        <v>46258.289537037039</v>
      </c>
      <c r="O632" t="s">
        <v>973</v>
      </c>
      <c r="P632" s="1401">
        <v>46272</v>
      </c>
      <c r="Q632" s="1401">
        <v>46267.289537037039</v>
      </c>
    </row>
    <row r="633" spans="1:17">
      <c r="A633" t="s">
        <v>5200</v>
      </c>
      <c r="B633" t="s">
        <v>64</v>
      </c>
      <c r="C633" t="s">
        <v>65</v>
      </c>
      <c r="D633" t="s">
        <v>132</v>
      </c>
      <c r="E633" t="s">
        <v>1062</v>
      </c>
      <c r="F633" t="s">
        <v>1063</v>
      </c>
      <c r="G633">
        <v>4320</v>
      </c>
      <c r="H633" t="s">
        <v>75</v>
      </c>
      <c r="I633">
        <v>46197</v>
      </c>
      <c r="J633" t="s">
        <v>5201</v>
      </c>
      <c r="K633" s="1401">
        <v>46203</v>
      </c>
      <c r="L633" s="1401">
        <v>46246</v>
      </c>
      <c r="M633" s="1401"/>
      <c r="N633" s="1401">
        <v>46253.474305555559</v>
      </c>
      <c r="O633" t="s">
        <v>973</v>
      </c>
      <c r="P633" s="1401">
        <v>46267</v>
      </c>
      <c r="Q633" s="1401">
        <v>46261.474305555559</v>
      </c>
    </row>
    <row r="634" spans="1:17">
      <c r="A634" t="s">
        <v>5190</v>
      </c>
      <c r="B634" t="s">
        <v>144</v>
      </c>
      <c r="C634" t="s">
        <v>145</v>
      </c>
      <c r="D634" t="s">
        <v>4531</v>
      </c>
      <c r="E634" t="s">
        <v>5041</v>
      </c>
      <c r="F634" t="s">
        <v>1807</v>
      </c>
      <c r="G634">
        <v>1188</v>
      </c>
      <c r="H634" t="s">
        <v>75</v>
      </c>
      <c r="I634">
        <v>46199</v>
      </c>
      <c r="J634" t="s">
        <v>5191</v>
      </c>
      <c r="K634" s="1401">
        <v>46204</v>
      </c>
      <c r="L634" s="1401">
        <v>46238</v>
      </c>
      <c r="M634" s="1401">
        <v>46244.291666666664</v>
      </c>
      <c r="N634" s="1401">
        <v>46244.348958333336</v>
      </c>
      <c r="O634" t="s">
        <v>973</v>
      </c>
      <c r="P634" s="1401">
        <v>46238</v>
      </c>
      <c r="Q634" s="1401">
        <v>46244.348958333336</v>
      </c>
    </row>
    <row r="635" spans="1:17">
      <c r="A635" t="s">
        <v>5188</v>
      </c>
      <c r="B635" t="s">
        <v>144</v>
      </c>
      <c r="C635" t="s">
        <v>145</v>
      </c>
      <c r="D635" t="s">
        <v>4531</v>
      </c>
      <c r="E635" t="s">
        <v>5057</v>
      </c>
      <c r="F635" t="s">
        <v>1484</v>
      </c>
      <c r="G635">
        <v>2970</v>
      </c>
      <c r="H635" t="s">
        <v>75</v>
      </c>
      <c r="I635">
        <v>46196</v>
      </c>
      <c r="J635" t="s">
        <v>5189</v>
      </c>
      <c r="K635" s="1401">
        <v>46204</v>
      </c>
      <c r="L635" s="1401">
        <v>46249</v>
      </c>
      <c r="M635" s="1401">
        <v>46244.291666666664</v>
      </c>
      <c r="N635" s="1401">
        <v>46244.348958333336</v>
      </c>
      <c r="O635" t="s">
        <v>973</v>
      </c>
      <c r="P635" s="1401">
        <v>46249</v>
      </c>
      <c r="Q635" s="1401">
        <v>46244.348958333336</v>
      </c>
    </row>
    <row r="636" spans="1:17">
      <c r="A636" t="s">
        <v>5184</v>
      </c>
      <c r="B636" t="s">
        <v>144</v>
      </c>
      <c r="C636" t="s">
        <v>145</v>
      </c>
      <c r="D636" t="s">
        <v>4531</v>
      </c>
      <c r="E636" t="s">
        <v>5057</v>
      </c>
      <c r="F636" t="s">
        <v>1484</v>
      </c>
      <c r="G636">
        <v>594</v>
      </c>
      <c r="H636" t="s">
        <v>75</v>
      </c>
      <c r="I636">
        <v>46196</v>
      </c>
      <c r="J636" t="s">
        <v>5185</v>
      </c>
      <c r="K636" s="1401">
        <v>46204</v>
      </c>
      <c r="L636" s="1401">
        <v>46249</v>
      </c>
      <c r="M636" s="1401">
        <v>46244.291666666664</v>
      </c>
      <c r="N636" s="1401">
        <v>46244.348958333336</v>
      </c>
      <c r="O636" t="s">
        <v>973</v>
      </c>
      <c r="P636" s="1401">
        <v>46249</v>
      </c>
      <c r="Q636" s="1401">
        <v>46244.348958333336</v>
      </c>
    </row>
    <row r="637" spans="1:17">
      <c r="A637" t="s">
        <v>5179</v>
      </c>
      <c r="B637" t="s">
        <v>144</v>
      </c>
      <c r="C637" t="s">
        <v>145</v>
      </c>
      <c r="D637" t="s">
        <v>4531</v>
      </c>
      <c r="E637" t="s">
        <v>5057</v>
      </c>
      <c r="F637" t="s">
        <v>1484</v>
      </c>
      <c r="G637">
        <v>2970</v>
      </c>
      <c r="H637" t="s">
        <v>75</v>
      </c>
      <c r="I637">
        <v>46194</v>
      </c>
      <c r="J637" t="s">
        <v>5180</v>
      </c>
      <c r="K637" s="1401">
        <v>46203</v>
      </c>
      <c r="L637" s="1401">
        <v>46239</v>
      </c>
      <c r="M637" s="1401">
        <v>46260.5</v>
      </c>
      <c r="N637" s="1401">
        <v>46260</v>
      </c>
      <c r="O637" t="s">
        <v>973</v>
      </c>
      <c r="P637" s="1401">
        <v>46239</v>
      </c>
      <c r="Q637" s="1401">
        <v>46260</v>
      </c>
    </row>
    <row r="638" spans="1:17">
      <c r="A638" t="s">
        <v>5172</v>
      </c>
      <c r="B638" t="s">
        <v>144</v>
      </c>
      <c r="C638" t="s">
        <v>145</v>
      </c>
      <c r="D638" t="s">
        <v>4531</v>
      </c>
      <c r="E638" t="s">
        <v>5041</v>
      </c>
      <c r="F638" t="s">
        <v>1807</v>
      </c>
      <c r="G638">
        <v>594</v>
      </c>
      <c r="H638" t="s">
        <v>75</v>
      </c>
      <c r="I638">
        <v>46199</v>
      </c>
      <c r="J638" t="s">
        <v>5174</v>
      </c>
      <c r="K638" s="1401">
        <v>46204</v>
      </c>
      <c r="L638" s="1401">
        <v>46238</v>
      </c>
      <c r="M638" s="1401">
        <v>46244.291666666664</v>
      </c>
      <c r="N638" s="1401">
        <v>46244.348958333336</v>
      </c>
      <c r="O638" t="s">
        <v>973</v>
      </c>
      <c r="P638" s="1401">
        <v>46238</v>
      </c>
      <c r="Q638" s="1401">
        <v>46244.348958333336</v>
      </c>
    </row>
    <row r="639" spans="1:17">
      <c r="A639" t="s">
        <v>5167</v>
      </c>
      <c r="B639" t="s">
        <v>64</v>
      </c>
      <c r="C639" t="s">
        <v>450</v>
      </c>
      <c r="D639" t="s">
        <v>550</v>
      </c>
      <c r="E639" t="s">
        <v>2134</v>
      </c>
      <c r="F639" t="s">
        <v>2135</v>
      </c>
      <c r="G639">
        <v>1584</v>
      </c>
      <c r="H639" t="s">
        <v>75</v>
      </c>
      <c r="I639">
        <v>46198</v>
      </c>
      <c r="J639" t="s">
        <v>5169</v>
      </c>
      <c r="K639" s="1401">
        <v>46202</v>
      </c>
      <c r="L639" s="1401">
        <v>46243</v>
      </c>
      <c r="M639" s="1401"/>
      <c r="N639" s="1401">
        <v>46256.481874999998</v>
      </c>
      <c r="O639" t="s">
        <v>973</v>
      </c>
      <c r="P639" s="1401">
        <v>46269</v>
      </c>
      <c r="Q639" s="1401">
        <v>46263.481874999998</v>
      </c>
    </row>
    <row r="640" spans="1:17">
      <c r="A640" t="s">
        <v>5162</v>
      </c>
      <c r="B640" t="s">
        <v>64</v>
      </c>
      <c r="C640" t="s">
        <v>450</v>
      </c>
      <c r="D640" t="s">
        <v>4531</v>
      </c>
      <c r="E640" t="s">
        <v>1151</v>
      </c>
      <c r="F640" t="s">
        <v>421</v>
      </c>
      <c r="G640">
        <v>864</v>
      </c>
      <c r="H640" t="s">
        <v>75</v>
      </c>
      <c r="I640">
        <v>46198</v>
      </c>
      <c r="J640" t="s">
        <v>5163</v>
      </c>
      <c r="K640" s="1401">
        <v>46202</v>
      </c>
      <c r="L640" s="1401">
        <v>46243</v>
      </c>
      <c r="M640" s="1401"/>
      <c r="N640" s="1401">
        <v>46256.481874999998</v>
      </c>
      <c r="O640" t="s">
        <v>973</v>
      </c>
      <c r="P640" s="1401">
        <v>46269</v>
      </c>
      <c r="Q640" s="1401">
        <v>46263.481874999998</v>
      </c>
    </row>
    <row r="641" spans="1:17">
      <c r="A641" t="s">
        <v>5146</v>
      </c>
      <c r="B641" t="s">
        <v>144</v>
      </c>
      <c r="C641" t="s">
        <v>145</v>
      </c>
      <c r="D641" t="s">
        <v>4531</v>
      </c>
      <c r="E641" t="s">
        <v>71</v>
      </c>
      <c r="F641" t="s">
        <v>72</v>
      </c>
      <c r="G641">
        <v>3456</v>
      </c>
      <c r="H641" t="s">
        <v>75</v>
      </c>
      <c r="I641">
        <v>46196</v>
      </c>
      <c r="J641" t="s">
        <v>5149</v>
      </c>
      <c r="K641" s="1401">
        <v>46201</v>
      </c>
      <c r="L641" s="1401">
        <v>46257</v>
      </c>
      <c r="M641" s="1401"/>
      <c r="N641" s="1401">
        <v>46260</v>
      </c>
      <c r="O641" t="s">
        <v>973</v>
      </c>
      <c r="P641" s="1401">
        <v>46257</v>
      </c>
      <c r="Q641" s="1401">
        <v>46260</v>
      </c>
    </row>
    <row r="642" spans="1:17">
      <c r="A642" t="s">
        <v>5155</v>
      </c>
      <c r="B642" t="s">
        <v>144</v>
      </c>
      <c r="C642" t="s">
        <v>145</v>
      </c>
      <c r="D642" t="s">
        <v>4531</v>
      </c>
      <c r="E642" t="s">
        <v>71</v>
      </c>
      <c r="F642" t="s">
        <v>72</v>
      </c>
      <c r="G642">
        <v>4320</v>
      </c>
      <c r="H642" t="s">
        <v>75</v>
      </c>
      <c r="I642">
        <v>46198</v>
      </c>
      <c r="J642" t="s">
        <v>5157</v>
      </c>
      <c r="K642" s="1401">
        <v>46203</v>
      </c>
      <c r="L642" s="1401">
        <v>46249</v>
      </c>
      <c r="M642" s="1401">
        <v>46257</v>
      </c>
      <c r="N642" s="1401">
        <v>46252</v>
      </c>
      <c r="O642" t="s">
        <v>973</v>
      </c>
      <c r="P642" s="1401">
        <v>46249</v>
      </c>
      <c r="Q642" s="1401">
        <v>46252</v>
      </c>
    </row>
    <row r="643" spans="1:17">
      <c r="A643" t="s">
        <v>5116</v>
      </c>
      <c r="B643" t="s">
        <v>64</v>
      </c>
      <c r="C643" t="s">
        <v>310</v>
      </c>
      <c r="D643" t="s">
        <v>132</v>
      </c>
      <c r="E643" t="s">
        <v>133</v>
      </c>
      <c r="F643" t="s">
        <v>134</v>
      </c>
      <c r="G643">
        <v>1188</v>
      </c>
      <c r="H643" t="s">
        <v>75</v>
      </c>
      <c r="I643">
        <v>46192</v>
      </c>
      <c r="J643" t="s">
        <v>8623</v>
      </c>
      <c r="K643" s="1401">
        <v>46201</v>
      </c>
      <c r="L643" s="1401">
        <v>46250</v>
      </c>
      <c r="M643" s="1401">
        <v>46264.25</v>
      </c>
      <c r="N643" s="1401">
        <v>46264</v>
      </c>
      <c r="O643" t="s">
        <v>2434</v>
      </c>
      <c r="P643" s="1401">
        <v>46279</v>
      </c>
      <c r="Q643" s="1401">
        <v>46274</v>
      </c>
    </row>
    <row r="644" spans="1:17">
      <c r="A644" t="s">
        <v>5111</v>
      </c>
      <c r="B644" t="s">
        <v>64</v>
      </c>
      <c r="C644" t="s">
        <v>310</v>
      </c>
      <c r="D644" t="s">
        <v>4531</v>
      </c>
      <c r="E644" t="s">
        <v>4592</v>
      </c>
      <c r="F644" t="s">
        <v>330</v>
      </c>
      <c r="G644">
        <v>2160</v>
      </c>
      <c r="H644" t="s">
        <v>75</v>
      </c>
      <c r="I644">
        <v>46192</v>
      </c>
      <c r="J644" t="s">
        <v>8621</v>
      </c>
      <c r="K644" s="1401">
        <v>46201</v>
      </c>
      <c r="L644" s="1401">
        <v>46250</v>
      </c>
      <c r="M644" s="1401">
        <v>46264</v>
      </c>
      <c r="N644" s="1401">
        <v>46264</v>
      </c>
      <c r="O644" t="s">
        <v>2434</v>
      </c>
      <c r="P644" s="1401">
        <v>46279</v>
      </c>
      <c r="Q644" s="1401">
        <v>46274</v>
      </c>
    </row>
    <row r="645" spans="1:17">
      <c r="A645" t="s">
        <v>5101</v>
      </c>
      <c r="B645" t="s">
        <v>64</v>
      </c>
      <c r="C645" t="s">
        <v>65</v>
      </c>
      <c r="D645" t="s">
        <v>4531</v>
      </c>
      <c r="E645" t="s">
        <v>5102</v>
      </c>
      <c r="F645" t="s">
        <v>103</v>
      </c>
      <c r="G645">
        <v>4320</v>
      </c>
      <c r="H645" t="s">
        <v>75</v>
      </c>
      <c r="I645">
        <v>46194</v>
      </c>
      <c r="J645" t="s">
        <v>5103</v>
      </c>
      <c r="K645" s="1401">
        <v>46199</v>
      </c>
      <c r="L645" s="1401">
        <v>46251</v>
      </c>
      <c r="M645" s="1401"/>
      <c r="N645" s="1401">
        <v>46259.238761574074</v>
      </c>
      <c r="O645" t="s">
        <v>973</v>
      </c>
      <c r="P645" s="1401">
        <v>46272</v>
      </c>
      <c r="Q645" s="1401">
        <v>46267.238761574074</v>
      </c>
    </row>
    <row r="646" spans="1:17">
      <c r="A646" t="s">
        <v>5099</v>
      </c>
      <c r="B646" t="s">
        <v>64</v>
      </c>
      <c r="C646" t="s">
        <v>65</v>
      </c>
      <c r="D646" t="s">
        <v>132</v>
      </c>
      <c r="E646" t="s">
        <v>189</v>
      </c>
      <c r="F646" t="s">
        <v>190</v>
      </c>
      <c r="G646">
        <v>4320</v>
      </c>
      <c r="H646" t="s">
        <v>75</v>
      </c>
      <c r="I646">
        <v>46192</v>
      </c>
      <c r="J646" t="s">
        <v>8618</v>
      </c>
      <c r="K646" s="1401">
        <v>46199</v>
      </c>
      <c r="L646" s="1401">
        <v>46251</v>
      </c>
      <c r="M646" s="1401"/>
      <c r="N646" s="1401">
        <v>46259.238761574074</v>
      </c>
      <c r="O646" t="s">
        <v>973</v>
      </c>
      <c r="P646" s="1401">
        <v>46272</v>
      </c>
      <c r="Q646" s="1401">
        <v>46267.238761574074</v>
      </c>
    </row>
    <row r="647" spans="1:17">
      <c r="A647" t="s">
        <v>5095</v>
      </c>
      <c r="B647" t="s">
        <v>64</v>
      </c>
      <c r="C647" t="s">
        <v>65</v>
      </c>
      <c r="D647" t="s">
        <v>4531</v>
      </c>
      <c r="E647" t="s">
        <v>5090</v>
      </c>
      <c r="F647" t="s">
        <v>330</v>
      </c>
      <c r="G647">
        <v>1440</v>
      </c>
      <c r="H647" t="s">
        <v>75</v>
      </c>
      <c r="I647">
        <v>46193</v>
      </c>
      <c r="J647" t="s">
        <v>8616</v>
      </c>
      <c r="K647" s="1401">
        <v>46199</v>
      </c>
      <c r="L647" s="1401">
        <v>46251</v>
      </c>
      <c r="M647" s="1401"/>
      <c r="N647" s="1401">
        <v>46259.238761574074</v>
      </c>
      <c r="O647" t="s">
        <v>973</v>
      </c>
      <c r="P647" s="1401">
        <v>46272</v>
      </c>
      <c r="Q647" s="1401">
        <v>46267.238761574074</v>
      </c>
    </row>
    <row r="648" spans="1:17">
      <c r="A648" t="s">
        <v>5037</v>
      </c>
      <c r="B648" t="s">
        <v>64</v>
      </c>
      <c r="C648" t="s">
        <v>65</v>
      </c>
      <c r="D648" t="s">
        <v>4531</v>
      </c>
      <c r="E648" t="s">
        <v>1151</v>
      </c>
      <c r="F648" t="s">
        <v>421</v>
      </c>
      <c r="G648">
        <v>5184</v>
      </c>
      <c r="H648" t="s">
        <v>75</v>
      </c>
      <c r="I648">
        <v>46194</v>
      </c>
      <c r="J648" t="s">
        <v>5039</v>
      </c>
      <c r="K648" s="1401">
        <v>46198</v>
      </c>
      <c r="L648" s="1401">
        <v>46246</v>
      </c>
      <c r="M648" s="1401"/>
      <c r="N648" s="1401">
        <v>46246</v>
      </c>
      <c r="O648" t="s">
        <v>973</v>
      </c>
      <c r="P648" s="1401">
        <v>46260</v>
      </c>
      <c r="Q648" s="1401">
        <v>46254</v>
      </c>
    </row>
    <row r="649" spans="1:17">
      <c r="A649" t="s">
        <v>5031</v>
      </c>
      <c r="B649" t="s">
        <v>64</v>
      </c>
      <c r="C649" t="s">
        <v>65</v>
      </c>
      <c r="D649" t="s">
        <v>4531</v>
      </c>
      <c r="E649" t="s">
        <v>71</v>
      </c>
      <c r="F649" t="s">
        <v>72</v>
      </c>
      <c r="G649">
        <v>5184</v>
      </c>
      <c r="H649" t="s">
        <v>75</v>
      </c>
      <c r="I649">
        <v>46194</v>
      </c>
      <c r="J649" t="s">
        <v>5033</v>
      </c>
      <c r="K649" s="1401">
        <v>46198</v>
      </c>
      <c r="L649" s="1401">
        <v>46246</v>
      </c>
      <c r="M649" s="1401"/>
      <c r="N649" s="1401">
        <v>46246</v>
      </c>
      <c r="O649" t="s">
        <v>973</v>
      </c>
      <c r="P649" s="1401">
        <v>46260</v>
      </c>
      <c r="Q649" s="1401">
        <v>46254</v>
      </c>
    </row>
    <row r="650" spans="1:17">
      <c r="A650" t="s">
        <v>5194</v>
      </c>
      <c r="B650" t="s">
        <v>64</v>
      </c>
      <c r="C650" t="s">
        <v>65</v>
      </c>
      <c r="D650" t="s">
        <v>132</v>
      </c>
      <c r="E650" t="s">
        <v>1062</v>
      </c>
      <c r="F650" t="s">
        <v>1063</v>
      </c>
      <c r="G650">
        <v>1728</v>
      </c>
      <c r="H650" t="s">
        <v>75</v>
      </c>
      <c r="I650">
        <v>46197</v>
      </c>
      <c r="J650" t="s">
        <v>5196</v>
      </c>
      <c r="K650" s="1401">
        <v>46203</v>
      </c>
      <c r="L650" s="1401">
        <v>46246</v>
      </c>
      <c r="M650" s="1401"/>
      <c r="N650" s="1401">
        <v>46253.474305555559</v>
      </c>
      <c r="O650" t="s">
        <v>973</v>
      </c>
      <c r="P650" s="1401">
        <v>46267</v>
      </c>
      <c r="Q650" s="1401">
        <v>46261.474305555559</v>
      </c>
    </row>
    <row r="651" spans="1:17">
      <c r="A651" t="s">
        <v>5250</v>
      </c>
      <c r="B651" t="s">
        <v>64</v>
      </c>
      <c r="C651" t="s">
        <v>100</v>
      </c>
      <c r="D651" t="s">
        <v>4531</v>
      </c>
      <c r="E651" t="s">
        <v>195</v>
      </c>
      <c r="F651" t="s">
        <v>196</v>
      </c>
      <c r="G651">
        <v>3744</v>
      </c>
      <c r="H651" t="s">
        <v>75</v>
      </c>
      <c r="I651">
        <v>46196</v>
      </c>
      <c r="J651" t="s">
        <v>8611</v>
      </c>
      <c r="K651" s="1401">
        <v>46201</v>
      </c>
      <c r="L651" s="1401">
        <v>46245</v>
      </c>
      <c r="M651" s="1401"/>
      <c r="N651" s="1401">
        <v>46253.479062500002</v>
      </c>
      <c r="O651" t="s">
        <v>973</v>
      </c>
      <c r="P651" s="1401">
        <v>46272</v>
      </c>
      <c r="Q651" s="1401">
        <v>46260.479062500002</v>
      </c>
    </row>
    <row r="652" spans="1:17">
      <c r="A652" t="s">
        <v>5240</v>
      </c>
      <c r="B652" t="s">
        <v>64</v>
      </c>
      <c r="C652" t="s">
        <v>310</v>
      </c>
      <c r="D652" t="s">
        <v>132</v>
      </c>
      <c r="E652" t="s">
        <v>133</v>
      </c>
      <c r="F652" t="s">
        <v>134</v>
      </c>
      <c r="G652">
        <v>594</v>
      </c>
      <c r="H652" t="s">
        <v>75</v>
      </c>
      <c r="I652">
        <v>46199</v>
      </c>
      <c r="J652" t="s">
        <v>5241</v>
      </c>
      <c r="K652" s="1401">
        <v>46204</v>
      </c>
      <c r="L652" s="1401">
        <v>46257</v>
      </c>
      <c r="M652" s="1401">
        <v>46272.25</v>
      </c>
      <c r="N652" s="1401">
        <v>46272.251446759263</v>
      </c>
      <c r="O652" t="s">
        <v>2434</v>
      </c>
      <c r="P652" s="1401">
        <v>46300</v>
      </c>
      <c r="Q652" s="1401">
        <v>46282.251446759263</v>
      </c>
    </row>
    <row r="653" spans="1:17">
      <c r="A653" t="s">
        <v>5255</v>
      </c>
      <c r="B653" t="s">
        <v>64</v>
      </c>
      <c r="C653" t="s">
        <v>100</v>
      </c>
      <c r="D653" t="s">
        <v>4531</v>
      </c>
      <c r="E653" t="s">
        <v>195</v>
      </c>
      <c r="F653" t="s">
        <v>196</v>
      </c>
      <c r="G653">
        <v>936</v>
      </c>
      <c r="H653" t="s">
        <v>75</v>
      </c>
      <c r="I653">
        <v>46196</v>
      </c>
      <c r="J653" t="s">
        <v>5256</v>
      </c>
      <c r="K653" s="1401">
        <v>46201</v>
      </c>
      <c r="L653" s="1401">
        <v>46245</v>
      </c>
      <c r="M653" s="1401"/>
      <c r="N653" s="1401">
        <v>46253.479062500002</v>
      </c>
      <c r="O653" t="s">
        <v>973</v>
      </c>
      <c r="P653" s="1401">
        <v>46272</v>
      </c>
      <c r="Q653" s="1401">
        <v>46260.479062500002</v>
      </c>
    </row>
    <row r="654" spans="1:17">
      <c r="A654" t="s">
        <v>5257</v>
      </c>
      <c r="B654" t="s">
        <v>64</v>
      </c>
      <c r="C654" t="s">
        <v>100</v>
      </c>
      <c r="D654" t="s">
        <v>70</v>
      </c>
      <c r="E654" t="s">
        <v>195</v>
      </c>
      <c r="F654" t="s">
        <v>196</v>
      </c>
      <c r="G654">
        <v>936</v>
      </c>
      <c r="H654" t="s">
        <v>75</v>
      </c>
      <c r="I654">
        <v>46196</v>
      </c>
      <c r="J654" t="s">
        <v>5259</v>
      </c>
      <c r="K654" s="1401">
        <v>46201</v>
      </c>
      <c r="L654" s="1401">
        <v>46263</v>
      </c>
      <c r="M654" s="1401">
        <v>46293.083333333336</v>
      </c>
      <c r="N654" s="1401">
        <v>46292.966608796298</v>
      </c>
      <c r="O654" t="s">
        <v>2434</v>
      </c>
      <c r="P654" s="1401">
        <v>46297</v>
      </c>
      <c r="Q654" s="1401">
        <v>46299.966608796298</v>
      </c>
    </row>
    <row r="655" spans="1:17">
      <c r="A655" t="s">
        <v>5262</v>
      </c>
      <c r="B655" t="s">
        <v>64</v>
      </c>
      <c r="C655" t="s">
        <v>450</v>
      </c>
      <c r="D655" t="s">
        <v>4531</v>
      </c>
      <c r="E655" t="s">
        <v>1151</v>
      </c>
      <c r="F655" t="s">
        <v>421</v>
      </c>
      <c r="G655">
        <v>864</v>
      </c>
      <c r="H655" t="s">
        <v>75</v>
      </c>
      <c r="I655">
        <v>46196</v>
      </c>
      <c r="J655" t="s">
        <v>5263</v>
      </c>
      <c r="K655" s="1401">
        <v>46201</v>
      </c>
      <c r="L655" s="1401">
        <v>46264</v>
      </c>
      <c r="M655" s="1401">
        <v>46274.999305555553</v>
      </c>
      <c r="N655" s="1401">
        <v>46275.009525462963</v>
      </c>
      <c r="O655" t="s">
        <v>2434</v>
      </c>
      <c r="P655" s="1401">
        <v>46288</v>
      </c>
      <c r="Q655" s="1401">
        <v>46282.009525462963</v>
      </c>
    </row>
    <row r="656" spans="1:17">
      <c r="A656" t="s">
        <v>5089</v>
      </c>
      <c r="B656" t="s">
        <v>64</v>
      </c>
      <c r="C656" t="s">
        <v>65</v>
      </c>
      <c r="D656" t="s">
        <v>4531</v>
      </c>
      <c r="E656" t="s">
        <v>5090</v>
      </c>
      <c r="F656" t="s">
        <v>330</v>
      </c>
      <c r="G656">
        <v>720</v>
      </c>
      <c r="H656" t="s">
        <v>75</v>
      </c>
      <c r="I656">
        <v>46193</v>
      </c>
      <c r="J656" t="s">
        <v>5092</v>
      </c>
      <c r="K656" s="1401">
        <v>46199</v>
      </c>
      <c r="L656" s="1401">
        <v>46251</v>
      </c>
      <c r="M656" s="1401"/>
      <c r="N656" s="1401">
        <v>46259.238761574074</v>
      </c>
      <c r="O656" t="s">
        <v>973</v>
      </c>
      <c r="P656" s="1401">
        <v>46272</v>
      </c>
      <c r="Q656" s="1401">
        <v>46267.238761574074</v>
      </c>
    </row>
    <row r="657" spans="1:17">
      <c r="A657" t="s">
        <v>2285</v>
      </c>
      <c r="B657" t="s">
        <v>144</v>
      </c>
      <c r="C657" t="s">
        <v>145</v>
      </c>
      <c r="D657" t="s">
        <v>70</v>
      </c>
      <c r="E657" t="s">
        <v>195</v>
      </c>
      <c r="F657" t="s">
        <v>196</v>
      </c>
      <c r="G657">
        <v>2808</v>
      </c>
      <c r="H657" t="s">
        <v>75</v>
      </c>
      <c r="I657">
        <v>46135</v>
      </c>
      <c r="J657" t="s">
        <v>2289</v>
      </c>
      <c r="K657" s="1401">
        <v>46139</v>
      </c>
      <c r="L657" s="1401">
        <v>46207</v>
      </c>
      <c r="M657" s="1401">
        <v>46200</v>
      </c>
      <c r="N657" s="1401">
        <v>46200</v>
      </c>
      <c r="O657" t="s">
        <v>973</v>
      </c>
      <c r="P657" s="1401">
        <v>46213</v>
      </c>
      <c r="Q657" s="1401">
        <v>46200</v>
      </c>
    </row>
    <row r="658" spans="1:17">
      <c r="A658" t="s">
        <v>2293</v>
      </c>
      <c r="B658" t="s">
        <v>64</v>
      </c>
      <c r="C658" t="s">
        <v>100</v>
      </c>
      <c r="D658" t="s">
        <v>70</v>
      </c>
      <c r="E658" t="s">
        <v>195</v>
      </c>
      <c r="F658" t="s">
        <v>196</v>
      </c>
      <c r="G658">
        <v>11232</v>
      </c>
      <c r="H658" t="s">
        <v>75</v>
      </c>
      <c r="I658">
        <v>46135</v>
      </c>
      <c r="J658" t="s">
        <v>2294</v>
      </c>
      <c r="K658" s="1401">
        <v>46139</v>
      </c>
      <c r="L658" s="1401">
        <v>46207</v>
      </c>
      <c r="M658" s="1401">
        <v>46200</v>
      </c>
      <c r="N658" s="1401">
        <v>46200</v>
      </c>
      <c r="O658" t="s">
        <v>973</v>
      </c>
      <c r="P658" s="1401">
        <v>46213</v>
      </c>
      <c r="Q658" s="1401">
        <v>46207</v>
      </c>
    </row>
    <row r="659" spans="1:17">
      <c r="A659" t="s">
        <v>5212</v>
      </c>
      <c r="B659" t="s">
        <v>64</v>
      </c>
      <c r="C659" t="s">
        <v>65</v>
      </c>
      <c r="D659" t="s">
        <v>4531</v>
      </c>
      <c r="E659" t="s">
        <v>71</v>
      </c>
      <c r="F659" t="s">
        <v>72</v>
      </c>
      <c r="G659">
        <v>2592</v>
      </c>
      <c r="H659" t="s">
        <v>75</v>
      </c>
      <c r="I659">
        <v>46202</v>
      </c>
      <c r="J659" t="s">
        <v>5213</v>
      </c>
      <c r="K659" s="1401">
        <v>46207</v>
      </c>
      <c r="L659" s="1401">
        <v>46258</v>
      </c>
      <c r="M659" s="1401">
        <v>46271.25</v>
      </c>
      <c r="N659" s="1401">
        <v>46271.279085648152</v>
      </c>
      <c r="O659" t="s">
        <v>2434</v>
      </c>
      <c r="P659" s="1401">
        <v>46283</v>
      </c>
      <c r="Q659" s="1401">
        <v>46279.279085648152</v>
      </c>
    </row>
    <row r="660" spans="1:17">
      <c r="A660" t="s">
        <v>5209</v>
      </c>
      <c r="B660" t="s">
        <v>64</v>
      </c>
      <c r="C660" t="s">
        <v>65</v>
      </c>
      <c r="D660" t="s">
        <v>550</v>
      </c>
      <c r="E660" t="s">
        <v>551</v>
      </c>
      <c r="F660" t="s">
        <v>2151</v>
      </c>
      <c r="G660">
        <v>1584</v>
      </c>
      <c r="H660" t="s">
        <v>75</v>
      </c>
      <c r="I660">
        <v>46201</v>
      </c>
      <c r="J660" t="s">
        <v>5210</v>
      </c>
      <c r="K660" s="1401">
        <v>46207</v>
      </c>
      <c r="L660" s="1401">
        <v>46258</v>
      </c>
      <c r="M660" s="1401">
        <v>46271.25</v>
      </c>
      <c r="N660" s="1401">
        <v>46271.279085648152</v>
      </c>
      <c r="O660" t="s">
        <v>2434</v>
      </c>
      <c r="P660" s="1401">
        <v>46283</v>
      </c>
      <c r="Q660" s="1401">
        <v>46279.279085648152</v>
      </c>
    </row>
    <row r="661" spans="1:17">
      <c r="A661" t="s">
        <v>5202</v>
      </c>
      <c r="B661" t="s">
        <v>64</v>
      </c>
      <c r="C661" t="s">
        <v>65</v>
      </c>
      <c r="D661" t="s">
        <v>4531</v>
      </c>
      <c r="E661" t="s">
        <v>5090</v>
      </c>
      <c r="F661" t="s">
        <v>330</v>
      </c>
      <c r="G661">
        <v>1440</v>
      </c>
      <c r="H661" t="s">
        <v>75</v>
      </c>
      <c r="I661">
        <v>46201</v>
      </c>
      <c r="J661" t="s">
        <v>5205</v>
      </c>
      <c r="K661" s="1401">
        <v>46207</v>
      </c>
      <c r="L661" s="1401">
        <v>46258</v>
      </c>
      <c r="M661" s="1401">
        <v>46271.25</v>
      </c>
      <c r="N661" s="1401">
        <v>46271.279085648152</v>
      </c>
      <c r="O661" t="s">
        <v>2434</v>
      </c>
      <c r="P661" s="1401">
        <v>46283</v>
      </c>
      <c r="Q661" s="1401">
        <v>46279.279085648152</v>
      </c>
    </row>
    <row r="662" spans="1:17">
      <c r="A662" t="s">
        <v>5218</v>
      </c>
      <c r="B662" t="s">
        <v>64</v>
      </c>
      <c r="C662" t="s">
        <v>65</v>
      </c>
      <c r="D662" t="s">
        <v>4531</v>
      </c>
      <c r="E662" t="s">
        <v>71</v>
      </c>
      <c r="F662" t="s">
        <v>72</v>
      </c>
      <c r="G662">
        <v>2592</v>
      </c>
      <c r="H662" t="s">
        <v>75</v>
      </c>
      <c r="I662">
        <v>46201</v>
      </c>
      <c r="J662" t="s">
        <v>5219</v>
      </c>
      <c r="K662" s="1401">
        <v>46207</v>
      </c>
      <c r="L662" s="1401">
        <v>46258</v>
      </c>
      <c r="M662" s="1401">
        <v>46271.25</v>
      </c>
      <c r="N662" s="1401">
        <v>46271.279085648152</v>
      </c>
      <c r="O662" t="s">
        <v>2434</v>
      </c>
      <c r="P662" s="1401">
        <v>46283</v>
      </c>
      <c r="Q662" s="1401">
        <v>46279.279085648152</v>
      </c>
    </row>
    <row r="663" spans="1:17">
      <c r="A663" t="s">
        <v>5242</v>
      </c>
      <c r="B663" t="s">
        <v>64</v>
      </c>
      <c r="C663" t="s">
        <v>450</v>
      </c>
      <c r="D663" t="s">
        <v>4531</v>
      </c>
      <c r="E663" t="s">
        <v>195</v>
      </c>
      <c r="F663" t="s">
        <v>196</v>
      </c>
      <c r="G663">
        <v>936</v>
      </c>
      <c r="H663" t="s">
        <v>75</v>
      </c>
      <c r="I663">
        <v>46201</v>
      </c>
      <c r="J663" t="s">
        <v>5243</v>
      </c>
      <c r="K663" s="1401">
        <v>46206</v>
      </c>
      <c r="L663" s="1401">
        <v>46257</v>
      </c>
      <c r="M663" s="1401">
        <v>46264.041666666664</v>
      </c>
      <c r="N663" s="1401">
        <v>46263.989421296297</v>
      </c>
      <c r="O663" t="s">
        <v>973</v>
      </c>
      <c r="P663" s="1401">
        <v>46276</v>
      </c>
      <c r="Q663" s="1401">
        <v>46270.989421296297</v>
      </c>
    </row>
    <row r="664" spans="1:17">
      <c r="A664" t="s">
        <v>5266</v>
      </c>
      <c r="B664" t="s">
        <v>144</v>
      </c>
      <c r="C664" t="s">
        <v>145</v>
      </c>
      <c r="D664" t="s">
        <v>4531</v>
      </c>
      <c r="E664" t="s">
        <v>4592</v>
      </c>
      <c r="F664" t="s">
        <v>330</v>
      </c>
      <c r="G664">
        <v>3600</v>
      </c>
      <c r="H664" t="s">
        <v>75</v>
      </c>
      <c r="I664">
        <v>46202</v>
      </c>
      <c r="J664" t="s">
        <v>5271</v>
      </c>
      <c r="K664" s="1401">
        <v>46208</v>
      </c>
      <c r="L664" s="1401">
        <v>46269</v>
      </c>
      <c r="M664" s="1401"/>
      <c r="N664" s="1401">
        <v>46264</v>
      </c>
      <c r="O664" t="s">
        <v>10683</v>
      </c>
      <c r="P664" s="1401" t="s">
        <v>2525</v>
      </c>
      <c r="Q664" s="1401">
        <v>46264</v>
      </c>
    </row>
    <row r="665" spans="1:17">
      <c r="A665" t="s">
        <v>5246</v>
      </c>
      <c r="B665" t="s">
        <v>64</v>
      </c>
      <c r="C665" t="s">
        <v>65</v>
      </c>
      <c r="D665" t="s">
        <v>4531</v>
      </c>
      <c r="E665" t="s">
        <v>691</v>
      </c>
      <c r="F665" t="s">
        <v>692</v>
      </c>
      <c r="G665">
        <v>864</v>
      </c>
      <c r="H665" t="s">
        <v>75</v>
      </c>
      <c r="I665">
        <v>46201</v>
      </c>
      <c r="J665" t="s">
        <v>5247</v>
      </c>
      <c r="K665" s="1401">
        <v>46206</v>
      </c>
      <c r="L665" s="1401">
        <v>46260</v>
      </c>
      <c r="M665" s="1401">
        <v>46275.291666666664</v>
      </c>
      <c r="N665" s="1401">
        <v>46275.245208333334</v>
      </c>
      <c r="O665" t="s">
        <v>2434</v>
      </c>
      <c r="P665" s="1401">
        <v>46286</v>
      </c>
      <c r="Q665" s="1401">
        <v>46285.245208333334</v>
      </c>
    </row>
    <row r="666" spans="1:17">
      <c r="A666" t="s">
        <v>5281</v>
      </c>
      <c r="B666" t="s">
        <v>144</v>
      </c>
      <c r="C666" t="s">
        <v>145</v>
      </c>
      <c r="D666" t="s">
        <v>4531</v>
      </c>
      <c r="E666" t="s">
        <v>5041</v>
      </c>
      <c r="F666" t="s">
        <v>1807</v>
      </c>
      <c r="G666">
        <v>1188</v>
      </c>
      <c r="H666" t="s">
        <v>75</v>
      </c>
      <c r="I666">
        <v>46202</v>
      </c>
      <c r="J666" t="s">
        <v>5282</v>
      </c>
      <c r="K666" s="1401">
        <v>46208</v>
      </c>
      <c r="L666" s="1401">
        <v>46245</v>
      </c>
      <c r="M666" s="1401"/>
      <c r="N666" s="1401">
        <v>46253.479062500002</v>
      </c>
      <c r="O666" t="s">
        <v>973</v>
      </c>
      <c r="P666" s="1401">
        <v>46245</v>
      </c>
      <c r="Q666" s="1401">
        <v>46253.479062500002</v>
      </c>
    </row>
    <row r="667" spans="1:17">
      <c r="A667" t="s">
        <v>5287</v>
      </c>
      <c r="B667" t="s">
        <v>144</v>
      </c>
      <c r="C667" t="s">
        <v>145</v>
      </c>
      <c r="D667" t="s">
        <v>4531</v>
      </c>
      <c r="E667" t="s">
        <v>5041</v>
      </c>
      <c r="F667" t="s">
        <v>1807</v>
      </c>
      <c r="G667">
        <v>4752</v>
      </c>
      <c r="H667" t="s">
        <v>75</v>
      </c>
      <c r="I667">
        <v>46200</v>
      </c>
      <c r="J667" t="s">
        <v>5288</v>
      </c>
      <c r="K667" s="1401">
        <v>46208</v>
      </c>
      <c r="L667" s="1401">
        <v>46256</v>
      </c>
      <c r="M667" s="1401"/>
      <c r="N667" s="1401">
        <v>46253.479062500002</v>
      </c>
      <c r="O667" t="s">
        <v>973</v>
      </c>
      <c r="P667" s="1401">
        <v>46256</v>
      </c>
      <c r="Q667" s="1401">
        <v>46253.479062500002</v>
      </c>
    </row>
    <row r="668" spans="1:17">
      <c r="A668" t="s">
        <v>5292</v>
      </c>
      <c r="B668" t="s">
        <v>144</v>
      </c>
      <c r="C668" t="s">
        <v>145</v>
      </c>
      <c r="D668" t="s">
        <v>4531</v>
      </c>
      <c r="E668" t="s">
        <v>5041</v>
      </c>
      <c r="F668" t="s">
        <v>1807</v>
      </c>
      <c r="G668">
        <v>2970</v>
      </c>
      <c r="H668" t="s">
        <v>75</v>
      </c>
      <c r="I668">
        <v>46201</v>
      </c>
      <c r="J668" t="s">
        <v>5293</v>
      </c>
      <c r="K668" s="1401">
        <v>46209</v>
      </c>
      <c r="L668" s="1401">
        <v>46246</v>
      </c>
      <c r="M668" s="1401">
        <v>46260.5</v>
      </c>
      <c r="N668" s="1401">
        <v>46260</v>
      </c>
      <c r="O668" t="s">
        <v>973</v>
      </c>
      <c r="P668" s="1401">
        <v>46246</v>
      </c>
      <c r="Q668" s="1401">
        <v>46260</v>
      </c>
    </row>
    <row r="669" spans="1:17">
      <c r="A669" t="s">
        <v>5177</v>
      </c>
      <c r="B669" t="s">
        <v>144</v>
      </c>
      <c r="C669" t="s">
        <v>145</v>
      </c>
      <c r="D669" t="s">
        <v>4531</v>
      </c>
      <c r="E669" t="s">
        <v>5041</v>
      </c>
      <c r="F669" t="s">
        <v>1807</v>
      </c>
      <c r="G669">
        <v>5940</v>
      </c>
      <c r="H669" t="s">
        <v>75</v>
      </c>
      <c r="I669">
        <v>46199</v>
      </c>
      <c r="J669" t="s">
        <v>5178</v>
      </c>
      <c r="K669" s="1401">
        <v>46204</v>
      </c>
      <c r="L669" s="1401">
        <v>46238</v>
      </c>
      <c r="M669" s="1401">
        <v>46244.291666666664</v>
      </c>
      <c r="N669" s="1401">
        <v>46244.348958333336</v>
      </c>
      <c r="O669" t="s">
        <v>973</v>
      </c>
      <c r="P669" s="1401">
        <v>46238</v>
      </c>
      <c r="Q669" s="1401">
        <v>46244.348958333336</v>
      </c>
    </row>
    <row r="670" spans="1:17">
      <c r="A670" t="s">
        <v>5285</v>
      </c>
      <c r="B670" t="s">
        <v>144</v>
      </c>
      <c r="C670" t="s">
        <v>145</v>
      </c>
      <c r="D670" t="s">
        <v>4531</v>
      </c>
      <c r="E670" t="s">
        <v>5057</v>
      </c>
      <c r="F670" t="s">
        <v>1484</v>
      </c>
      <c r="G670">
        <v>5346</v>
      </c>
      <c r="H670" t="s">
        <v>75</v>
      </c>
      <c r="I670">
        <v>46202</v>
      </c>
      <c r="J670" t="s">
        <v>5286</v>
      </c>
      <c r="K670" s="1401">
        <v>46208</v>
      </c>
      <c r="L670" s="1401">
        <v>46245</v>
      </c>
      <c r="M670" s="1401"/>
      <c r="N670" s="1401">
        <v>46253.479062500002</v>
      </c>
      <c r="O670" t="s">
        <v>973</v>
      </c>
      <c r="P670" s="1401">
        <v>46245</v>
      </c>
      <c r="Q670" s="1401">
        <v>46253.479062500002</v>
      </c>
    </row>
    <row r="671" spans="1:17">
      <c r="A671" t="s">
        <v>5216</v>
      </c>
      <c r="B671" t="s">
        <v>64</v>
      </c>
      <c r="C671" t="s">
        <v>65</v>
      </c>
      <c r="D671" t="s">
        <v>4531</v>
      </c>
      <c r="E671" t="s">
        <v>1151</v>
      </c>
      <c r="F671" t="s">
        <v>421</v>
      </c>
      <c r="G671">
        <v>5184</v>
      </c>
      <c r="H671" t="s">
        <v>75</v>
      </c>
      <c r="I671">
        <v>46202</v>
      </c>
      <c r="J671" t="s">
        <v>5217</v>
      </c>
      <c r="K671" s="1401">
        <v>46207</v>
      </c>
      <c r="L671" s="1401">
        <v>46258</v>
      </c>
      <c r="M671" s="1401">
        <v>46271.25</v>
      </c>
      <c r="N671" s="1401">
        <v>46271.279085648152</v>
      </c>
      <c r="O671" t="s">
        <v>2434</v>
      </c>
      <c r="P671" s="1401">
        <v>46283</v>
      </c>
      <c r="Q671" s="1401">
        <v>46279.279085648152</v>
      </c>
    </row>
    <row r="672" spans="1:17">
      <c r="A672" t="s">
        <v>5222</v>
      </c>
      <c r="B672" t="s">
        <v>64</v>
      </c>
      <c r="C672" t="s">
        <v>65</v>
      </c>
      <c r="D672" t="s">
        <v>4531</v>
      </c>
      <c r="E672" t="s">
        <v>1151</v>
      </c>
      <c r="F672" t="s">
        <v>421</v>
      </c>
      <c r="G672">
        <v>2592</v>
      </c>
      <c r="H672" t="s">
        <v>75</v>
      </c>
      <c r="I672">
        <v>46201</v>
      </c>
      <c r="J672" t="s">
        <v>5224</v>
      </c>
      <c r="K672" s="1401">
        <v>46207</v>
      </c>
      <c r="L672" s="1401">
        <v>46258</v>
      </c>
      <c r="M672" s="1401">
        <v>46271.25</v>
      </c>
      <c r="N672" s="1401">
        <v>46271.279085648152</v>
      </c>
      <c r="O672" t="s">
        <v>2434</v>
      </c>
      <c r="P672" s="1401">
        <v>46283</v>
      </c>
      <c r="Q672" s="1401">
        <v>46279.279085648152</v>
      </c>
    </row>
    <row r="673" spans="1:17">
      <c r="A673" t="s">
        <v>5275</v>
      </c>
      <c r="B673" t="s">
        <v>144</v>
      </c>
      <c r="C673" t="s">
        <v>145</v>
      </c>
      <c r="D673" t="s">
        <v>4531</v>
      </c>
      <c r="E673" t="s">
        <v>71</v>
      </c>
      <c r="F673" t="s">
        <v>72</v>
      </c>
      <c r="G673">
        <v>2592</v>
      </c>
      <c r="H673" t="s">
        <v>75</v>
      </c>
      <c r="I673">
        <v>46202</v>
      </c>
      <c r="J673" t="s">
        <v>5277</v>
      </c>
      <c r="K673" s="1401">
        <v>46209</v>
      </c>
      <c r="L673" s="1401">
        <v>46260</v>
      </c>
      <c r="M673" s="1401">
        <v>46264.541666666664</v>
      </c>
      <c r="N673" s="1401">
        <v>46264</v>
      </c>
      <c r="O673" t="s">
        <v>973</v>
      </c>
      <c r="P673" s="1401">
        <v>46260</v>
      </c>
      <c r="Q673" s="1401">
        <v>46264</v>
      </c>
    </row>
    <row r="674" spans="1:17">
      <c r="A674" t="s">
        <v>5225</v>
      </c>
      <c r="B674" t="s">
        <v>64</v>
      </c>
      <c r="C674" t="s">
        <v>65</v>
      </c>
      <c r="D674" t="s">
        <v>4531</v>
      </c>
      <c r="E674" t="s">
        <v>1151</v>
      </c>
      <c r="F674" t="s">
        <v>421</v>
      </c>
      <c r="G674">
        <v>864</v>
      </c>
      <c r="H674" t="s">
        <v>75</v>
      </c>
      <c r="I674">
        <v>46201</v>
      </c>
      <c r="J674" t="s">
        <v>5226</v>
      </c>
      <c r="K674" s="1401">
        <v>46207</v>
      </c>
      <c r="L674" s="1401">
        <v>46258</v>
      </c>
      <c r="M674" s="1401">
        <v>46271.25</v>
      </c>
      <c r="N674" s="1401">
        <v>46271.279085648152</v>
      </c>
      <c r="O674" t="s">
        <v>2434</v>
      </c>
      <c r="P674" s="1401">
        <v>46283</v>
      </c>
      <c r="Q674" s="1401">
        <v>46279.279085648152</v>
      </c>
    </row>
    <row r="675" spans="1:17">
      <c r="A675" t="s">
        <v>2377</v>
      </c>
      <c r="B675" t="s">
        <v>64</v>
      </c>
      <c r="C675" t="s">
        <v>65</v>
      </c>
      <c r="D675" t="s">
        <v>70</v>
      </c>
      <c r="E675" t="s">
        <v>1151</v>
      </c>
      <c r="F675" t="s">
        <v>421</v>
      </c>
      <c r="G675">
        <v>1728</v>
      </c>
      <c r="H675" t="s">
        <v>75</v>
      </c>
      <c r="I675">
        <v>46141</v>
      </c>
      <c r="J675" t="s">
        <v>2378</v>
      </c>
      <c r="K675" s="1401">
        <v>46146</v>
      </c>
      <c r="L675" s="1401">
        <v>46209</v>
      </c>
      <c r="M675" s="1401">
        <v>46209</v>
      </c>
      <c r="N675" s="1401">
        <v>46210</v>
      </c>
      <c r="O675" t="s">
        <v>973</v>
      </c>
      <c r="P675" s="1401">
        <v>46223</v>
      </c>
      <c r="Q675" s="1401">
        <v>46218</v>
      </c>
    </row>
    <row r="676" spans="1:17">
      <c r="A676" t="s">
        <v>2381</v>
      </c>
      <c r="B676" t="s">
        <v>144</v>
      </c>
      <c r="C676" t="s">
        <v>145</v>
      </c>
      <c r="D676" t="s">
        <v>70</v>
      </c>
      <c r="E676" t="s">
        <v>1151</v>
      </c>
      <c r="F676" t="s">
        <v>421</v>
      </c>
      <c r="G676">
        <v>1728</v>
      </c>
      <c r="H676" t="s">
        <v>75</v>
      </c>
      <c r="I676">
        <v>46141</v>
      </c>
      <c r="J676" t="s">
        <v>2385</v>
      </c>
      <c r="K676" s="1401">
        <v>46146</v>
      </c>
      <c r="L676" s="1401">
        <v>46209</v>
      </c>
      <c r="M676" s="1401">
        <v>46209</v>
      </c>
      <c r="N676" s="1401">
        <v>46210</v>
      </c>
      <c r="O676" t="s">
        <v>973</v>
      </c>
      <c r="P676" s="1401">
        <v>46223</v>
      </c>
      <c r="Q676" s="1401">
        <v>46210</v>
      </c>
    </row>
    <row r="677" spans="1:17">
      <c r="A677" t="s">
        <v>4550</v>
      </c>
      <c r="B677" t="s">
        <v>144</v>
      </c>
      <c r="C677" t="s">
        <v>145</v>
      </c>
      <c r="D677" t="s">
        <v>70</v>
      </c>
      <c r="E677" t="s">
        <v>1151</v>
      </c>
      <c r="F677" t="s">
        <v>421</v>
      </c>
      <c r="G677">
        <v>864</v>
      </c>
      <c r="H677" t="s">
        <v>75</v>
      </c>
      <c r="I677">
        <v>46153</v>
      </c>
      <c r="J677" t="s">
        <v>4553</v>
      </c>
      <c r="K677" s="1401">
        <v>46164</v>
      </c>
      <c r="L677" s="1401">
        <v>46223</v>
      </c>
      <c r="M677" s="1401">
        <v>46235</v>
      </c>
      <c r="N677" s="1401">
        <v>46236.239571759259</v>
      </c>
      <c r="O677" t="s">
        <v>973</v>
      </c>
      <c r="P677" s="1401">
        <v>46244</v>
      </c>
      <c r="Q677" s="1401">
        <v>46236.239571759259</v>
      </c>
    </row>
    <row r="678" spans="1:17">
      <c r="A678" t="s">
        <v>4556</v>
      </c>
      <c r="B678" t="s">
        <v>144</v>
      </c>
      <c r="C678" t="s">
        <v>145</v>
      </c>
      <c r="D678" t="s">
        <v>70</v>
      </c>
      <c r="E678" t="s">
        <v>1151</v>
      </c>
      <c r="F678" t="s">
        <v>421</v>
      </c>
      <c r="G678">
        <v>2592</v>
      </c>
      <c r="H678" t="s">
        <v>75</v>
      </c>
      <c r="I678">
        <v>46153</v>
      </c>
      <c r="J678" t="s">
        <v>4559</v>
      </c>
      <c r="K678" s="1401">
        <v>46164</v>
      </c>
      <c r="L678" s="1401">
        <v>46223</v>
      </c>
      <c r="M678" s="1401">
        <v>46235</v>
      </c>
      <c r="N678" s="1401">
        <v>46236.239571759259</v>
      </c>
      <c r="O678" t="s">
        <v>973</v>
      </c>
      <c r="P678" s="1401">
        <v>46244</v>
      </c>
      <c r="Q678" s="1401">
        <v>46236.239571759259</v>
      </c>
    </row>
    <row r="679" spans="1:17">
      <c r="A679" t="s">
        <v>4647</v>
      </c>
      <c r="B679" t="s">
        <v>64</v>
      </c>
      <c r="C679" t="s">
        <v>114</v>
      </c>
      <c r="D679" t="s">
        <v>132</v>
      </c>
      <c r="E679" t="s">
        <v>1062</v>
      </c>
      <c r="F679" t="s">
        <v>1063</v>
      </c>
      <c r="G679">
        <v>864</v>
      </c>
      <c r="H679" t="s">
        <v>75</v>
      </c>
      <c r="I679">
        <v>46162</v>
      </c>
      <c r="J679" t="s">
        <v>4649</v>
      </c>
      <c r="K679" s="1401">
        <v>46168</v>
      </c>
      <c r="L679" s="1401">
        <v>46204</v>
      </c>
      <c r="M679" s="1401"/>
      <c r="N679" s="1401">
        <v>46204</v>
      </c>
      <c r="O679" t="s">
        <v>973</v>
      </c>
      <c r="P679" s="1401">
        <v>46218</v>
      </c>
      <c r="Q679" s="1401">
        <v>46213</v>
      </c>
    </row>
    <row r="680" spans="1:17">
      <c r="A680" t="s">
        <v>4652</v>
      </c>
      <c r="B680" t="s">
        <v>64</v>
      </c>
      <c r="C680" t="s">
        <v>114</v>
      </c>
      <c r="D680" t="s">
        <v>132</v>
      </c>
      <c r="E680" t="s">
        <v>189</v>
      </c>
      <c r="F680" t="s">
        <v>190</v>
      </c>
      <c r="G680">
        <v>3456</v>
      </c>
      <c r="H680" t="s">
        <v>75</v>
      </c>
      <c r="I680">
        <v>46162</v>
      </c>
      <c r="J680" t="s">
        <v>4654</v>
      </c>
      <c r="K680" s="1401">
        <v>46168</v>
      </c>
      <c r="L680" s="1401">
        <v>46204</v>
      </c>
      <c r="M680" s="1401"/>
      <c r="N680" s="1401">
        <v>46204</v>
      </c>
      <c r="O680" t="s">
        <v>973</v>
      </c>
      <c r="P680" s="1401">
        <v>46218</v>
      </c>
      <c r="Q680" s="1401">
        <v>46213</v>
      </c>
    </row>
    <row r="681" spans="1:17">
      <c r="A681" t="s">
        <v>4655</v>
      </c>
      <c r="B681" t="s">
        <v>64</v>
      </c>
      <c r="C681" t="s">
        <v>114</v>
      </c>
      <c r="D681" t="s">
        <v>132</v>
      </c>
      <c r="E681" t="s">
        <v>189</v>
      </c>
      <c r="F681" t="s">
        <v>190</v>
      </c>
      <c r="G681">
        <v>864</v>
      </c>
      <c r="H681" t="s">
        <v>75</v>
      </c>
      <c r="I681">
        <v>46162</v>
      </c>
      <c r="J681" t="s">
        <v>4656</v>
      </c>
      <c r="K681" s="1401">
        <v>46168</v>
      </c>
      <c r="L681" s="1401">
        <v>46204</v>
      </c>
      <c r="M681" s="1401"/>
      <c r="N681" s="1401">
        <v>46204</v>
      </c>
      <c r="O681" t="s">
        <v>973</v>
      </c>
      <c r="P681" s="1401">
        <v>46215</v>
      </c>
      <c r="Q681" s="1401">
        <v>46213</v>
      </c>
    </row>
    <row r="682" spans="1:17">
      <c r="A682" t="s">
        <v>5362</v>
      </c>
      <c r="B682" t="s">
        <v>144</v>
      </c>
      <c r="C682" t="s">
        <v>145</v>
      </c>
      <c r="D682" t="s">
        <v>4531</v>
      </c>
      <c r="E682" t="s">
        <v>706</v>
      </c>
      <c r="F682" t="s">
        <v>707</v>
      </c>
      <c r="G682">
        <v>864</v>
      </c>
      <c r="H682" t="s">
        <v>75</v>
      </c>
      <c r="I682">
        <v>46206</v>
      </c>
      <c r="J682" t="s">
        <v>5364</v>
      </c>
      <c r="K682" s="1401">
        <v>46212</v>
      </c>
      <c r="L682" s="1401">
        <v>46274</v>
      </c>
      <c r="M682" s="1401">
        <v>46290.25</v>
      </c>
      <c r="N682" s="1401">
        <v>46290.232800925929</v>
      </c>
      <c r="O682" t="s">
        <v>973</v>
      </c>
      <c r="P682" s="1401">
        <v>46274</v>
      </c>
      <c r="Q682" s="1401">
        <v>46290.232800925929</v>
      </c>
    </row>
    <row r="683" spans="1:17">
      <c r="A683" t="s">
        <v>5367</v>
      </c>
      <c r="B683" t="s">
        <v>144</v>
      </c>
      <c r="C683" t="s">
        <v>145</v>
      </c>
      <c r="D683" t="s">
        <v>4531</v>
      </c>
      <c r="E683" t="s">
        <v>706</v>
      </c>
      <c r="F683" t="s">
        <v>707</v>
      </c>
      <c r="G683">
        <v>864</v>
      </c>
      <c r="H683" t="s">
        <v>75</v>
      </c>
      <c r="I683">
        <v>46206</v>
      </c>
      <c r="J683" t="s">
        <v>5369</v>
      </c>
      <c r="K683" s="1401">
        <v>46212</v>
      </c>
      <c r="L683" s="1401">
        <v>46274</v>
      </c>
      <c r="M683" s="1401">
        <v>46290.25</v>
      </c>
      <c r="N683" s="1401">
        <v>46290.232800925929</v>
      </c>
      <c r="O683" t="s">
        <v>973</v>
      </c>
      <c r="P683" s="1401">
        <v>46274</v>
      </c>
      <c r="Q683" s="1401">
        <v>46290.232800925929</v>
      </c>
    </row>
    <row r="684" spans="1:17">
      <c r="A684" t="s">
        <v>5357</v>
      </c>
      <c r="B684" t="s">
        <v>144</v>
      </c>
      <c r="C684" t="s">
        <v>145</v>
      </c>
      <c r="D684" t="s">
        <v>4531</v>
      </c>
      <c r="E684" t="s">
        <v>706</v>
      </c>
      <c r="F684" t="s">
        <v>707</v>
      </c>
      <c r="G684">
        <v>864</v>
      </c>
      <c r="H684" t="s">
        <v>75</v>
      </c>
      <c r="I684">
        <v>46206</v>
      </c>
      <c r="J684" t="s">
        <v>5359</v>
      </c>
      <c r="K684" s="1401">
        <v>46212</v>
      </c>
      <c r="L684" s="1401">
        <v>46279</v>
      </c>
      <c r="M684" s="1401">
        <v>46285.041666666664</v>
      </c>
      <c r="N684" s="1401">
        <v>46284.921701388892</v>
      </c>
      <c r="O684" t="s">
        <v>973</v>
      </c>
      <c r="P684" s="1401">
        <v>46279</v>
      </c>
      <c r="Q684" s="1401">
        <v>46284.921701388892</v>
      </c>
    </row>
    <row r="685" spans="1:17">
      <c r="A685" t="s">
        <v>5331</v>
      </c>
      <c r="B685" t="s">
        <v>64</v>
      </c>
      <c r="C685" t="s">
        <v>65</v>
      </c>
      <c r="D685" t="s">
        <v>550</v>
      </c>
      <c r="E685" t="s">
        <v>551</v>
      </c>
      <c r="F685" t="s">
        <v>2151</v>
      </c>
      <c r="G685">
        <v>2376</v>
      </c>
      <c r="H685" t="s">
        <v>75</v>
      </c>
      <c r="I685">
        <v>46204</v>
      </c>
      <c r="J685" t="s">
        <v>5332</v>
      </c>
      <c r="K685" s="1401">
        <v>46210</v>
      </c>
      <c r="L685" s="1401">
        <v>46253</v>
      </c>
      <c r="M685" s="1401">
        <v>46272.833333333336</v>
      </c>
      <c r="N685" s="1401">
        <v>46272.251446759263</v>
      </c>
      <c r="O685" t="s">
        <v>2434</v>
      </c>
      <c r="P685" s="1401">
        <v>46286</v>
      </c>
      <c r="Q685" s="1401">
        <v>46280.251446759263</v>
      </c>
    </row>
    <row r="686" spans="1:17">
      <c r="A686" t="s">
        <v>5325</v>
      </c>
      <c r="B686" t="s">
        <v>64</v>
      </c>
      <c r="C686" t="s">
        <v>65</v>
      </c>
      <c r="D686" t="s">
        <v>550</v>
      </c>
      <c r="E686" t="s">
        <v>551</v>
      </c>
      <c r="F686" t="s">
        <v>2151</v>
      </c>
      <c r="G686">
        <v>2376</v>
      </c>
      <c r="H686" t="s">
        <v>75</v>
      </c>
      <c r="I686">
        <v>46204</v>
      </c>
      <c r="J686" t="s">
        <v>5327</v>
      </c>
      <c r="K686" s="1401">
        <v>46210</v>
      </c>
      <c r="L686" s="1401">
        <v>46253</v>
      </c>
      <c r="M686" s="1401">
        <v>46272.833333333336</v>
      </c>
      <c r="N686" s="1401">
        <v>46272.251446759263</v>
      </c>
      <c r="O686" t="s">
        <v>2434</v>
      </c>
      <c r="P686" s="1401">
        <v>46286</v>
      </c>
      <c r="Q686" s="1401">
        <v>46280.251446759263</v>
      </c>
    </row>
    <row r="687" spans="1:17">
      <c r="A687" t="s">
        <v>5352</v>
      </c>
      <c r="B687" t="s">
        <v>144</v>
      </c>
      <c r="C687" t="s">
        <v>145</v>
      </c>
      <c r="D687" t="s">
        <v>4531</v>
      </c>
      <c r="E687" t="s">
        <v>706</v>
      </c>
      <c r="F687" t="s">
        <v>707</v>
      </c>
      <c r="G687">
        <v>2592</v>
      </c>
      <c r="H687" t="s">
        <v>75</v>
      </c>
      <c r="I687">
        <v>46206</v>
      </c>
      <c r="J687" t="s">
        <v>5354</v>
      </c>
      <c r="K687" s="1401">
        <v>46212</v>
      </c>
      <c r="L687" s="1401">
        <v>46279</v>
      </c>
      <c r="M687" s="1401">
        <v>46285.041666666664</v>
      </c>
      <c r="N687" s="1401">
        <v>46284.921701388892</v>
      </c>
      <c r="O687" t="s">
        <v>973</v>
      </c>
      <c r="P687" s="1401">
        <v>46279</v>
      </c>
      <c r="Q687" s="1401">
        <v>46284.921701388892</v>
      </c>
    </row>
    <row r="688" spans="1:17">
      <c r="A688" t="s">
        <v>5344</v>
      </c>
      <c r="B688" t="s">
        <v>64</v>
      </c>
      <c r="C688" t="s">
        <v>310</v>
      </c>
      <c r="D688" t="s">
        <v>284</v>
      </c>
      <c r="E688" t="s">
        <v>5345</v>
      </c>
      <c r="F688" t="s">
        <v>5346</v>
      </c>
      <c r="G688">
        <v>720</v>
      </c>
      <c r="H688" t="s">
        <v>75</v>
      </c>
      <c r="I688">
        <v>46206</v>
      </c>
      <c r="J688" t="s">
        <v>5348</v>
      </c>
      <c r="K688" s="1401">
        <v>46212</v>
      </c>
      <c r="L688" s="1401">
        <v>46283</v>
      </c>
      <c r="M688" s="1401">
        <v>46300.75</v>
      </c>
      <c r="N688" s="1401">
        <v>46299</v>
      </c>
      <c r="O688" t="s">
        <v>2434</v>
      </c>
      <c r="P688" s="1401">
        <v>46307</v>
      </c>
      <c r="Q688" s="1401">
        <v>46309</v>
      </c>
    </row>
    <row r="689" spans="1:17">
      <c r="A689" t="s">
        <v>5378</v>
      </c>
      <c r="B689" t="s">
        <v>64</v>
      </c>
      <c r="C689" t="s">
        <v>450</v>
      </c>
      <c r="D689" t="s">
        <v>5379</v>
      </c>
      <c r="E689" t="s">
        <v>5380</v>
      </c>
      <c r="F689" t="s">
        <v>5381</v>
      </c>
      <c r="G689">
        <v>936</v>
      </c>
      <c r="H689" t="s">
        <v>75</v>
      </c>
      <c r="I689">
        <v>46208</v>
      </c>
      <c r="J689" t="s">
        <v>5382</v>
      </c>
      <c r="K689" s="1401">
        <v>46220</v>
      </c>
      <c r="L689" s="1401">
        <v>46257</v>
      </c>
      <c r="M689" s="1401"/>
      <c r="N689" s="1401">
        <v>46253.739166666666</v>
      </c>
      <c r="O689" t="s">
        <v>973</v>
      </c>
      <c r="P689" s="1401">
        <v>46267</v>
      </c>
      <c r="Q689" s="1401">
        <v>46260.739166666666</v>
      </c>
    </row>
    <row r="690" spans="1:17">
      <c r="A690" t="s">
        <v>5487</v>
      </c>
      <c r="B690" t="s">
        <v>64</v>
      </c>
      <c r="C690" t="s">
        <v>65</v>
      </c>
      <c r="D690" t="s">
        <v>4531</v>
      </c>
      <c r="E690" t="s">
        <v>691</v>
      </c>
      <c r="F690" t="s">
        <v>692</v>
      </c>
      <c r="G690">
        <v>1728</v>
      </c>
      <c r="H690" t="s">
        <v>75</v>
      </c>
      <c r="I690">
        <v>46211</v>
      </c>
      <c r="J690" t="s">
        <v>5488</v>
      </c>
      <c r="K690" s="1401">
        <v>46218</v>
      </c>
      <c r="L690" s="1401">
        <v>46281</v>
      </c>
      <c r="M690" s="1401">
        <v>46283.416666666664</v>
      </c>
      <c r="N690" s="1401">
        <v>46283.4372337963</v>
      </c>
      <c r="O690" t="s">
        <v>2434</v>
      </c>
      <c r="P690" s="1401">
        <v>46295</v>
      </c>
      <c r="Q690" s="1401">
        <v>46291.4372337963</v>
      </c>
    </row>
    <row r="691" spans="1:17">
      <c r="A691" t="s">
        <v>5482</v>
      </c>
      <c r="B691" t="s">
        <v>64</v>
      </c>
      <c r="C691" t="s">
        <v>65</v>
      </c>
      <c r="D691" t="s">
        <v>4531</v>
      </c>
      <c r="E691" t="s">
        <v>691</v>
      </c>
      <c r="F691" t="s">
        <v>692</v>
      </c>
      <c r="G691">
        <v>3456</v>
      </c>
      <c r="H691" t="s">
        <v>75</v>
      </c>
      <c r="I691">
        <v>46211</v>
      </c>
      <c r="J691" t="s">
        <v>5483</v>
      </c>
      <c r="K691" s="1401">
        <v>46218</v>
      </c>
      <c r="L691" s="1401">
        <v>46286</v>
      </c>
      <c r="M691" s="1401">
        <v>46299.041666666664</v>
      </c>
      <c r="N691" s="1401">
        <v>46299</v>
      </c>
      <c r="O691" t="s">
        <v>2434</v>
      </c>
      <c r="P691" s="1401">
        <v>46300</v>
      </c>
      <c r="Q691" s="1401">
        <v>46307</v>
      </c>
    </row>
    <row r="692" spans="1:17">
      <c r="A692" t="s">
        <v>5479</v>
      </c>
      <c r="B692" t="s">
        <v>144</v>
      </c>
      <c r="C692" t="s">
        <v>145</v>
      </c>
      <c r="D692" t="s">
        <v>4531</v>
      </c>
      <c r="E692" t="s">
        <v>706</v>
      </c>
      <c r="F692" t="s">
        <v>707</v>
      </c>
      <c r="G692">
        <v>864</v>
      </c>
      <c r="H692" t="s">
        <v>75</v>
      </c>
      <c r="I692">
        <v>46211</v>
      </c>
      <c r="J692" t="s">
        <v>5481</v>
      </c>
      <c r="K692" s="1401">
        <v>46216</v>
      </c>
      <c r="L692" s="1401">
        <v>46260</v>
      </c>
      <c r="M692" s="1401">
        <v>46272.833333333336</v>
      </c>
      <c r="N692" s="1401">
        <v>46272.644375000003</v>
      </c>
      <c r="O692" t="s">
        <v>973</v>
      </c>
      <c r="P692" s="1401">
        <v>46260</v>
      </c>
      <c r="Q692" s="1401">
        <v>46272.644375000003</v>
      </c>
    </row>
    <row r="693" spans="1:17">
      <c r="A693" t="s">
        <v>5476</v>
      </c>
      <c r="B693" t="s">
        <v>144</v>
      </c>
      <c r="C693" t="s">
        <v>145</v>
      </c>
      <c r="D693" t="s">
        <v>4531</v>
      </c>
      <c r="E693" t="s">
        <v>706</v>
      </c>
      <c r="F693" t="s">
        <v>707</v>
      </c>
      <c r="G693">
        <v>864</v>
      </c>
      <c r="H693" t="s">
        <v>75</v>
      </c>
      <c r="I693">
        <v>46211</v>
      </c>
      <c r="J693" t="s">
        <v>5478</v>
      </c>
      <c r="K693" s="1401">
        <v>46216</v>
      </c>
      <c r="L693" s="1401">
        <v>46260</v>
      </c>
      <c r="M693" s="1401">
        <v>46272.833333333336</v>
      </c>
      <c r="N693" s="1401">
        <v>46272.644375000003</v>
      </c>
      <c r="O693" t="s">
        <v>973</v>
      </c>
      <c r="P693" s="1401">
        <v>46260</v>
      </c>
      <c r="Q693" s="1401">
        <v>46272.644375000003</v>
      </c>
    </row>
    <row r="694" spans="1:17">
      <c r="A694" t="s">
        <v>5473</v>
      </c>
      <c r="B694" t="s">
        <v>144</v>
      </c>
      <c r="C694" t="s">
        <v>145</v>
      </c>
      <c r="D694" t="s">
        <v>4531</v>
      </c>
      <c r="E694" t="s">
        <v>706</v>
      </c>
      <c r="F694" t="s">
        <v>707</v>
      </c>
      <c r="G694">
        <v>864</v>
      </c>
      <c r="H694" t="s">
        <v>75</v>
      </c>
      <c r="I694">
        <v>46211</v>
      </c>
      <c r="J694" t="s">
        <v>5475</v>
      </c>
      <c r="K694" s="1401">
        <v>46216</v>
      </c>
      <c r="L694" s="1401">
        <v>46260</v>
      </c>
      <c r="M694" s="1401">
        <v>46272.833333333336</v>
      </c>
      <c r="N694" s="1401">
        <v>46272.644375000003</v>
      </c>
      <c r="O694" t="s">
        <v>973</v>
      </c>
      <c r="P694" s="1401">
        <v>46260</v>
      </c>
      <c r="Q694" s="1401">
        <v>46272.644375000003</v>
      </c>
    </row>
    <row r="695" spans="1:17">
      <c r="A695" t="s">
        <v>5467</v>
      </c>
      <c r="B695" t="s">
        <v>144</v>
      </c>
      <c r="C695" t="s">
        <v>145</v>
      </c>
      <c r="D695" t="s">
        <v>4531</v>
      </c>
      <c r="E695" t="s">
        <v>706</v>
      </c>
      <c r="F695" t="s">
        <v>707</v>
      </c>
      <c r="G695">
        <v>864</v>
      </c>
      <c r="H695" t="s">
        <v>75</v>
      </c>
      <c r="I695">
        <v>46211</v>
      </c>
      <c r="J695" t="s">
        <v>5469</v>
      </c>
      <c r="K695" s="1401">
        <v>46216</v>
      </c>
      <c r="L695" s="1401">
        <v>46260</v>
      </c>
      <c r="M695" s="1401">
        <v>46272.833333333336</v>
      </c>
      <c r="N695" s="1401">
        <v>46272.644375000003</v>
      </c>
      <c r="O695" t="s">
        <v>973</v>
      </c>
      <c r="P695" s="1401">
        <v>46260</v>
      </c>
      <c r="Q695" s="1401">
        <v>46272.644375000003</v>
      </c>
    </row>
    <row r="696" spans="1:17">
      <c r="A696" t="s">
        <v>5462</v>
      </c>
      <c r="B696" t="s">
        <v>144</v>
      </c>
      <c r="C696" t="s">
        <v>145</v>
      </c>
      <c r="D696" t="s">
        <v>4531</v>
      </c>
      <c r="E696" t="s">
        <v>706</v>
      </c>
      <c r="F696" t="s">
        <v>707</v>
      </c>
      <c r="G696">
        <v>1728</v>
      </c>
      <c r="H696" t="s">
        <v>75</v>
      </c>
      <c r="I696">
        <v>46211</v>
      </c>
      <c r="J696" t="s">
        <v>5463</v>
      </c>
      <c r="K696" s="1401">
        <v>46216</v>
      </c>
      <c r="L696" s="1401">
        <v>46260</v>
      </c>
      <c r="M696" s="1401">
        <v>46272.833333333336</v>
      </c>
      <c r="N696" s="1401">
        <v>46272.644375000003</v>
      </c>
      <c r="O696" t="s">
        <v>973</v>
      </c>
      <c r="P696" s="1401">
        <v>46260</v>
      </c>
      <c r="Q696" s="1401">
        <v>46272.644375000003</v>
      </c>
    </row>
    <row r="697" spans="1:17">
      <c r="A697" t="s">
        <v>5317</v>
      </c>
      <c r="B697" t="s">
        <v>144</v>
      </c>
      <c r="C697" t="s">
        <v>145</v>
      </c>
      <c r="D697" t="s">
        <v>4531</v>
      </c>
      <c r="E697" t="s">
        <v>706</v>
      </c>
      <c r="F697" t="s">
        <v>707</v>
      </c>
      <c r="G697">
        <v>864</v>
      </c>
      <c r="H697" t="s">
        <v>75</v>
      </c>
      <c r="I697">
        <v>46211</v>
      </c>
      <c r="J697" t="s">
        <v>5322</v>
      </c>
      <c r="K697" s="1401">
        <v>46217</v>
      </c>
      <c r="L697" s="1401">
        <v>46265</v>
      </c>
      <c r="M697" s="1401">
        <v>46278.083333333336</v>
      </c>
      <c r="N697" s="1401">
        <v>46278.186840277776</v>
      </c>
      <c r="O697" t="s">
        <v>973</v>
      </c>
      <c r="P697" s="1401">
        <v>46265</v>
      </c>
      <c r="Q697" s="1401">
        <v>46278.186840277776</v>
      </c>
    </row>
    <row r="698" spans="1:17">
      <c r="A698" t="s">
        <v>5491</v>
      </c>
      <c r="B698" t="s">
        <v>64</v>
      </c>
      <c r="C698" t="s">
        <v>100</v>
      </c>
      <c r="D698" t="s">
        <v>4531</v>
      </c>
      <c r="E698" t="s">
        <v>195</v>
      </c>
      <c r="F698" t="s">
        <v>196</v>
      </c>
      <c r="G698">
        <v>4680</v>
      </c>
      <c r="H698" t="s">
        <v>75</v>
      </c>
      <c r="I698">
        <v>46211</v>
      </c>
      <c r="J698" t="s">
        <v>5492</v>
      </c>
      <c r="K698" s="1401">
        <v>46218</v>
      </c>
      <c r="L698" s="1401">
        <v>46252</v>
      </c>
      <c r="M698" s="1401">
        <v>46266</v>
      </c>
      <c r="N698" s="1401">
        <v>46265</v>
      </c>
      <c r="O698" t="s">
        <v>2434</v>
      </c>
      <c r="P698" s="1401">
        <v>46279</v>
      </c>
      <c r="Q698" s="1401">
        <v>46272</v>
      </c>
    </row>
    <row r="699" spans="1:17">
      <c r="A699" t="s">
        <v>5372</v>
      </c>
      <c r="B699" t="s">
        <v>144</v>
      </c>
      <c r="C699" t="s">
        <v>145</v>
      </c>
      <c r="D699" t="s">
        <v>4531</v>
      </c>
      <c r="E699" t="s">
        <v>71</v>
      </c>
      <c r="F699" t="s">
        <v>72</v>
      </c>
      <c r="G699">
        <v>3456</v>
      </c>
      <c r="H699" t="s">
        <v>75</v>
      </c>
      <c r="I699">
        <v>46212</v>
      </c>
      <c r="J699" t="s">
        <v>5374</v>
      </c>
      <c r="K699" s="1401">
        <v>46219</v>
      </c>
      <c r="L699" s="1401">
        <v>46267</v>
      </c>
      <c r="M699" s="1401">
        <v>46284.916666666664</v>
      </c>
      <c r="N699" s="1401">
        <v>46285.259710648148</v>
      </c>
      <c r="O699" t="s">
        <v>973</v>
      </c>
      <c r="P699" s="1401">
        <v>46267</v>
      </c>
      <c r="Q699" s="1401">
        <v>46285.259710648148</v>
      </c>
    </row>
    <row r="700" spans="1:17">
      <c r="A700" t="s">
        <v>5311</v>
      </c>
      <c r="B700" t="s">
        <v>64</v>
      </c>
      <c r="C700" t="s">
        <v>65</v>
      </c>
      <c r="D700" t="s">
        <v>4531</v>
      </c>
      <c r="E700" t="s">
        <v>5102</v>
      </c>
      <c r="F700" t="s">
        <v>103</v>
      </c>
      <c r="G700">
        <v>2880</v>
      </c>
      <c r="H700" t="s">
        <v>75</v>
      </c>
      <c r="I700">
        <v>46210</v>
      </c>
      <c r="J700" t="s">
        <v>5312</v>
      </c>
      <c r="K700" s="1401">
        <v>46217</v>
      </c>
      <c r="L700" s="1401">
        <v>46265</v>
      </c>
      <c r="M700" s="1401">
        <v>46278.083333333336</v>
      </c>
      <c r="N700" s="1401">
        <v>46278.186840277776</v>
      </c>
      <c r="O700" t="s">
        <v>2434</v>
      </c>
      <c r="P700" s="1401">
        <v>46290</v>
      </c>
      <c r="Q700" s="1401">
        <v>46286.186840277776</v>
      </c>
    </row>
    <row r="701" spans="1:17">
      <c r="A701" t="s">
        <v>5414</v>
      </c>
      <c r="B701" t="s">
        <v>64</v>
      </c>
      <c r="C701" t="s">
        <v>100</v>
      </c>
      <c r="D701" t="s">
        <v>132</v>
      </c>
      <c r="E701" t="s">
        <v>189</v>
      </c>
      <c r="F701" t="s">
        <v>190</v>
      </c>
      <c r="G701">
        <v>3456</v>
      </c>
      <c r="H701" t="s">
        <v>75</v>
      </c>
      <c r="I701">
        <v>46212</v>
      </c>
      <c r="J701" t="s">
        <v>5415</v>
      </c>
      <c r="K701" s="1401">
        <v>46215</v>
      </c>
      <c r="L701" s="1401">
        <v>46263</v>
      </c>
      <c r="M701" s="1401">
        <v>46274.291666666664</v>
      </c>
      <c r="N701" s="1401">
        <v>46274.338287037041</v>
      </c>
      <c r="O701" t="s">
        <v>2434</v>
      </c>
      <c r="P701" s="1401">
        <v>46286</v>
      </c>
      <c r="Q701" s="1401">
        <v>46281.338287037041</v>
      </c>
    </row>
    <row r="702" spans="1:17">
      <c r="A702" t="s">
        <v>5419</v>
      </c>
      <c r="B702" t="s">
        <v>64</v>
      </c>
      <c r="C702" t="s">
        <v>100</v>
      </c>
      <c r="D702" t="s">
        <v>550</v>
      </c>
      <c r="E702" t="s">
        <v>2134</v>
      </c>
      <c r="F702" t="s">
        <v>2135</v>
      </c>
      <c r="G702">
        <v>1584</v>
      </c>
      <c r="H702" t="s">
        <v>75</v>
      </c>
      <c r="I702">
        <v>46212</v>
      </c>
      <c r="J702" t="s">
        <v>5420</v>
      </c>
      <c r="K702" s="1401">
        <v>46215</v>
      </c>
      <c r="L702" s="1401">
        <v>46263</v>
      </c>
      <c r="M702" s="1401">
        <v>46274.291666666664</v>
      </c>
      <c r="N702" s="1401">
        <v>46274.338287037041</v>
      </c>
      <c r="O702" t="s">
        <v>2434</v>
      </c>
      <c r="P702" s="1401">
        <v>46286</v>
      </c>
      <c r="Q702" s="1401">
        <v>46281.338287037041</v>
      </c>
    </row>
    <row r="703" spans="1:17">
      <c r="A703" t="s">
        <v>5303</v>
      </c>
      <c r="B703" t="s">
        <v>64</v>
      </c>
      <c r="C703" t="s">
        <v>310</v>
      </c>
      <c r="D703" t="s">
        <v>550</v>
      </c>
      <c r="E703" t="s">
        <v>2134</v>
      </c>
      <c r="F703" t="s">
        <v>2135</v>
      </c>
      <c r="G703">
        <v>2376</v>
      </c>
      <c r="H703" t="s">
        <v>75</v>
      </c>
      <c r="I703">
        <v>46208</v>
      </c>
      <c r="J703" t="s">
        <v>5305</v>
      </c>
      <c r="K703" s="1401">
        <v>46217</v>
      </c>
      <c r="L703" s="1401">
        <v>46260</v>
      </c>
      <c r="M703" s="1401">
        <v>46274.333333333336</v>
      </c>
      <c r="N703" s="1401">
        <v>46274.416041666664</v>
      </c>
      <c r="O703" t="s">
        <v>2434</v>
      </c>
      <c r="P703" s="1401">
        <v>46288</v>
      </c>
      <c r="Q703" s="1401">
        <v>46284.416041666664</v>
      </c>
    </row>
    <row r="704" spans="1:17">
      <c r="A704" t="s">
        <v>5306</v>
      </c>
      <c r="B704" t="s">
        <v>64</v>
      </c>
      <c r="C704" t="s">
        <v>65</v>
      </c>
      <c r="D704" t="s">
        <v>4531</v>
      </c>
      <c r="E704" t="s">
        <v>5102</v>
      </c>
      <c r="F704" t="s">
        <v>103</v>
      </c>
      <c r="G704">
        <v>4320</v>
      </c>
      <c r="H704" t="s">
        <v>75</v>
      </c>
      <c r="I704">
        <v>46210</v>
      </c>
      <c r="J704" t="s">
        <v>5308</v>
      </c>
      <c r="K704" s="1401">
        <v>46217</v>
      </c>
      <c r="L704" s="1401">
        <v>46265</v>
      </c>
      <c r="M704" s="1401">
        <v>46278.083333333336</v>
      </c>
      <c r="N704" s="1401">
        <v>46278.186840277776</v>
      </c>
      <c r="O704" t="s">
        <v>2434</v>
      </c>
      <c r="P704" s="1401">
        <v>46290</v>
      </c>
      <c r="Q704" s="1401">
        <v>46286.186840277776</v>
      </c>
    </row>
    <row r="705" spans="1:17">
      <c r="A705" t="s">
        <v>5297</v>
      </c>
      <c r="B705" t="s">
        <v>64</v>
      </c>
      <c r="C705" t="s">
        <v>310</v>
      </c>
      <c r="D705" t="s">
        <v>550</v>
      </c>
      <c r="E705" t="s">
        <v>2134</v>
      </c>
      <c r="F705" t="s">
        <v>2135</v>
      </c>
      <c r="G705">
        <v>1584</v>
      </c>
      <c r="H705" t="s">
        <v>75</v>
      </c>
      <c r="I705">
        <v>46208</v>
      </c>
      <c r="J705" t="s">
        <v>5299</v>
      </c>
      <c r="K705" s="1401">
        <v>46217</v>
      </c>
      <c r="L705" s="1401">
        <v>46260</v>
      </c>
      <c r="M705" s="1401">
        <v>46274.333333333336</v>
      </c>
      <c r="N705" s="1401">
        <v>46274.416041666664</v>
      </c>
      <c r="O705" t="s">
        <v>2434</v>
      </c>
      <c r="P705" s="1401">
        <v>46288</v>
      </c>
      <c r="Q705" s="1401">
        <v>46284.416041666664</v>
      </c>
    </row>
    <row r="706" spans="1:17">
      <c r="A706" t="s">
        <v>5315</v>
      </c>
      <c r="B706" t="s">
        <v>64</v>
      </c>
      <c r="C706" t="s">
        <v>65</v>
      </c>
      <c r="D706" t="s">
        <v>550</v>
      </c>
      <c r="E706" t="s">
        <v>551</v>
      </c>
      <c r="F706" t="s">
        <v>2151</v>
      </c>
      <c r="G706">
        <v>1584</v>
      </c>
      <c r="H706" t="s">
        <v>75</v>
      </c>
      <c r="I706">
        <v>46208</v>
      </c>
      <c r="J706" t="s">
        <v>5316</v>
      </c>
      <c r="K706" s="1401">
        <v>46217</v>
      </c>
      <c r="L706" s="1401">
        <v>46265</v>
      </c>
      <c r="M706" s="1401">
        <v>46278.083333333336</v>
      </c>
      <c r="N706" s="1401">
        <v>46278.186840277776</v>
      </c>
      <c r="O706" t="s">
        <v>2434</v>
      </c>
      <c r="P706" s="1401">
        <v>46290</v>
      </c>
      <c r="Q706" s="1401">
        <v>46286.186840277776</v>
      </c>
    </row>
    <row r="707" spans="1:17">
      <c r="A707" t="s">
        <v>5313</v>
      </c>
      <c r="B707" t="s">
        <v>64</v>
      </c>
      <c r="C707" t="s">
        <v>65</v>
      </c>
      <c r="D707" t="s">
        <v>550</v>
      </c>
      <c r="E707" t="s">
        <v>551</v>
      </c>
      <c r="F707" t="s">
        <v>2151</v>
      </c>
      <c r="G707">
        <v>792</v>
      </c>
      <c r="H707" t="s">
        <v>75</v>
      </c>
      <c r="I707">
        <v>46211</v>
      </c>
      <c r="J707" t="s">
        <v>5314</v>
      </c>
      <c r="K707" s="1401">
        <v>46217</v>
      </c>
      <c r="L707" s="1401">
        <v>46265</v>
      </c>
      <c r="M707" s="1401">
        <v>46278.083333333336</v>
      </c>
      <c r="N707" s="1401">
        <v>46278.186840277776</v>
      </c>
      <c r="O707" t="s">
        <v>2434</v>
      </c>
      <c r="P707" s="1401">
        <v>46290</v>
      </c>
      <c r="Q707" s="1401">
        <v>46286.186840277776</v>
      </c>
    </row>
    <row r="708" spans="1:17">
      <c r="A708" t="s">
        <v>5421</v>
      </c>
      <c r="B708" t="s">
        <v>64</v>
      </c>
      <c r="C708" t="s">
        <v>100</v>
      </c>
      <c r="D708" t="s">
        <v>5379</v>
      </c>
      <c r="E708" t="s">
        <v>5380</v>
      </c>
      <c r="F708" t="s">
        <v>5381</v>
      </c>
      <c r="G708">
        <v>1872</v>
      </c>
      <c r="H708" t="s">
        <v>75</v>
      </c>
      <c r="I708">
        <v>46212</v>
      </c>
      <c r="J708" t="s">
        <v>5423</v>
      </c>
      <c r="K708" s="1401">
        <v>46215</v>
      </c>
      <c r="L708" s="1401">
        <v>46263</v>
      </c>
      <c r="M708" s="1401">
        <v>46274.291666666664</v>
      </c>
      <c r="N708" s="1401">
        <v>46274.338287037041</v>
      </c>
      <c r="O708" t="s">
        <v>2434</v>
      </c>
      <c r="P708" s="1401">
        <v>46286</v>
      </c>
      <c r="Q708" s="1401">
        <v>46281.338287037041</v>
      </c>
    </row>
    <row r="709" spans="1:17">
      <c r="A709" t="s">
        <v>5406</v>
      </c>
      <c r="B709" t="s">
        <v>144</v>
      </c>
      <c r="C709" t="s">
        <v>145</v>
      </c>
      <c r="D709" t="s">
        <v>4531</v>
      </c>
      <c r="E709" t="s">
        <v>5041</v>
      </c>
      <c r="F709" t="s">
        <v>1807</v>
      </c>
      <c r="G709">
        <v>1782</v>
      </c>
      <c r="H709" t="s">
        <v>75</v>
      </c>
      <c r="I709">
        <v>46213</v>
      </c>
      <c r="J709" t="s">
        <v>5408</v>
      </c>
      <c r="K709" s="1401">
        <v>46216</v>
      </c>
      <c r="L709" s="1401">
        <v>46253</v>
      </c>
      <c r="M709" s="1401">
        <v>46260.5</v>
      </c>
      <c r="N709" s="1401">
        <v>46260</v>
      </c>
      <c r="O709" t="s">
        <v>973</v>
      </c>
      <c r="P709" s="1401">
        <v>46253</v>
      </c>
      <c r="Q709" s="1401">
        <v>46260</v>
      </c>
    </row>
    <row r="710" spans="1:17">
      <c r="A710" t="s">
        <v>5412</v>
      </c>
      <c r="B710" t="s">
        <v>144</v>
      </c>
      <c r="C710" t="s">
        <v>145</v>
      </c>
      <c r="D710" t="s">
        <v>4531</v>
      </c>
      <c r="E710" t="s">
        <v>5041</v>
      </c>
      <c r="F710" t="s">
        <v>1807</v>
      </c>
      <c r="G710">
        <v>1188</v>
      </c>
      <c r="H710" t="s">
        <v>75</v>
      </c>
      <c r="I710">
        <v>46213</v>
      </c>
      <c r="J710" t="s">
        <v>5413</v>
      </c>
      <c r="K710" s="1401">
        <v>46216</v>
      </c>
      <c r="L710" s="1401">
        <v>46253</v>
      </c>
      <c r="M710" s="1401">
        <v>46260.5</v>
      </c>
      <c r="N710" s="1401">
        <v>46260</v>
      </c>
      <c r="O710" t="s">
        <v>973</v>
      </c>
      <c r="P710" s="1401">
        <v>46253</v>
      </c>
      <c r="Q710" s="1401">
        <v>46260</v>
      </c>
    </row>
    <row r="711" spans="1:17">
      <c r="A711" t="s">
        <v>5574</v>
      </c>
      <c r="B711" t="s">
        <v>64</v>
      </c>
      <c r="C711" t="s">
        <v>65</v>
      </c>
      <c r="D711" t="s">
        <v>4531</v>
      </c>
      <c r="E711" t="s">
        <v>691</v>
      </c>
      <c r="F711" t="s">
        <v>692</v>
      </c>
      <c r="G711">
        <v>864</v>
      </c>
      <c r="H711" t="s">
        <v>75</v>
      </c>
      <c r="I711">
        <v>46216</v>
      </c>
      <c r="J711" t="s">
        <v>5575</v>
      </c>
      <c r="K711" s="1401">
        <v>46222</v>
      </c>
      <c r="L711" s="1401">
        <v>46288</v>
      </c>
      <c r="M711" s="1401">
        <v>46290.25</v>
      </c>
      <c r="N711" s="1401">
        <v>46290.232800925929</v>
      </c>
      <c r="O711" t="s">
        <v>2434</v>
      </c>
      <c r="P711" s="1401">
        <v>46314</v>
      </c>
      <c r="Q711" s="1401">
        <v>46298.232800925929</v>
      </c>
    </row>
    <row r="712" spans="1:17">
      <c r="A712" t="s">
        <v>5570</v>
      </c>
      <c r="B712" t="s">
        <v>64</v>
      </c>
      <c r="C712" t="s">
        <v>65</v>
      </c>
      <c r="D712" t="s">
        <v>4531</v>
      </c>
      <c r="E712" t="s">
        <v>691</v>
      </c>
      <c r="F712" t="s">
        <v>692</v>
      </c>
      <c r="G712">
        <v>864</v>
      </c>
      <c r="H712" t="s">
        <v>75</v>
      </c>
      <c r="I712">
        <v>46216</v>
      </c>
      <c r="J712" t="s">
        <v>5571</v>
      </c>
      <c r="K712" s="1401">
        <v>46222.458333333336</v>
      </c>
      <c r="L712" s="1401">
        <v>46288</v>
      </c>
      <c r="M712" s="1401">
        <v>46290.25</v>
      </c>
      <c r="N712" s="1401">
        <v>46290.232800925929</v>
      </c>
      <c r="O712" t="s">
        <v>2434</v>
      </c>
      <c r="P712" s="1401">
        <v>46314</v>
      </c>
      <c r="Q712" s="1401">
        <v>46298.232800925929</v>
      </c>
    </row>
    <row r="713" spans="1:17">
      <c r="A713" t="s">
        <v>5565</v>
      </c>
      <c r="B713" t="s">
        <v>64</v>
      </c>
      <c r="C713" t="s">
        <v>65</v>
      </c>
      <c r="D713" t="s">
        <v>4531</v>
      </c>
      <c r="E713" t="s">
        <v>691</v>
      </c>
      <c r="F713" t="s">
        <v>692</v>
      </c>
      <c r="G713">
        <v>3456</v>
      </c>
      <c r="H713" t="s">
        <v>951</v>
      </c>
      <c r="I713">
        <v>46216</v>
      </c>
      <c r="J713" t="s">
        <v>5566</v>
      </c>
      <c r="K713" s="1401">
        <v>46222.458333333336</v>
      </c>
      <c r="L713" s="1401">
        <v>46293</v>
      </c>
      <c r="M713" s="1401">
        <v>46316.916666666664</v>
      </c>
      <c r="N713" s="1401" t="s">
        <v>2525</v>
      </c>
      <c r="O713" t="s">
        <v>2434</v>
      </c>
      <c r="P713" s="1401">
        <v>46314</v>
      </c>
      <c r="Q713" s="1401">
        <v>46324.916666666664</v>
      </c>
    </row>
    <row r="714" spans="1:17">
      <c r="A714" t="s">
        <v>5452</v>
      </c>
      <c r="B714" t="s">
        <v>64</v>
      </c>
      <c r="C714" t="s">
        <v>65</v>
      </c>
      <c r="D714" t="s">
        <v>4531</v>
      </c>
      <c r="E714" t="s">
        <v>691</v>
      </c>
      <c r="F714" t="s">
        <v>692</v>
      </c>
      <c r="G714">
        <v>2592</v>
      </c>
      <c r="H714" t="s">
        <v>75</v>
      </c>
      <c r="I714">
        <v>46214</v>
      </c>
      <c r="J714" t="s">
        <v>5453</v>
      </c>
      <c r="K714" s="1401">
        <v>46222</v>
      </c>
      <c r="L714" s="1401">
        <v>46272</v>
      </c>
      <c r="M714" s="1401">
        <v>46278.083333333336</v>
      </c>
      <c r="N714" s="1401">
        <v>46278.186840277776</v>
      </c>
      <c r="O714" t="s">
        <v>2434</v>
      </c>
      <c r="P714" s="1401">
        <v>46290</v>
      </c>
      <c r="Q714" s="1401">
        <v>46286.186840277776</v>
      </c>
    </row>
    <row r="715" spans="1:17">
      <c r="A715" t="s">
        <v>5446</v>
      </c>
      <c r="B715" t="s">
        <v>64</v>
      </c>
      <c r="C715" t="s">
        <v>65</v>
      </c>
      <c r="D715" t="s">
        <v>4531</v>
      </c>
      <c r="E715" t="s">
        <v>691</v>
      </c>
      <c r="F715" t="s">
        <v>692</v>
      </c>
      <c r="G715">
        <v>5184</v>
      </c>
      <c r="H715" t="s">
        <v>75</v>
      </c>
      <c r="I715">
        <v>46214</v>
      </c>
      <c r="J715" t="s">
        <v>5447</v>
      </c>
      <c r="K715" s="1401">
        <v>46222</v>
      </c>
      <c r="L715" s="1401">
        <v>46272</v>
      </c>
      <c r="M715" s="1401">
        <v>46278.083333333336</v>
      </c>
      <c r="N715" s="1401">
        <v>46278.186840277776</v>
      </c>
      <c r="O715" t="s">
        <v>2434</v>
      </c>
      <c r="P715" s="1401">
        <v>46290</v>
      </c>
      <c r="Q715" s="1401">
        <v>46286.186840277776</v>
      </c>
    </row>
    <row r="716" spans="1:17">
      <c r="A716" t="s">
        <v>5459</v>
      </c>
      <c r="B716" t="s">
        <v>144</v>
      </c>
      <c r="C716" t="s">
        <v>145</v>
      </c>
      <c r="D716" t="s">
        <v>4531</v>
      </c>
      <c r="E716" t="s">
        <v>706</v>
      </c>
      <c r="F716" t="s">
        <v>707</v>
      </c>
      <c r="G716">
        <v>864</v>
      </c>
      <c r="H716" t="s">
        <v>75</v>
      </c>
      <c r="I716">
        <v>46214</v>
      </c>
      <c r="J716" t="s">
        <v>5461</v>
      </c>
      <c r="K716" s="1401">
        <v>46222</v>
      </c>
      <c r="L716" s="1401">
        <v>46272</v>
      </c>
      <c r="M716" s="1401">
        <v>46278.083333333336</v>
      </c>
      <c r="N716" s="1401">
        <v>46278.186840277776</v>
      </c>
      <c r="O716" t="s">
        <v>973</v>
      </c>
      <c r="P716" s="1401">
        <v>46272</v>
      </c>
      <c r="Q716" s="1401">
        <v>46278.186840277776</v>
      </c>
    </row>
    <row r="717" spans="1:17">
      <c r="A717" t="s">
        <v>5454</v>
      </c>
      <c r="B717" t="s">
        <v>144</v>
      </c>
      <c r="C717" t="s">
        <v>145</v>
      </c>
      <c r="D717" t="s">
        <v>4531</v>
      </c>
      <c r="E717" t="s">
        <v>706</v>
      </c>
      <c r="F717" t="s">
        <v>707</v>
      </c>
      <c r="G717">
        <v>2592</v>
      </c>
      <c r="H717" t="s">
        <v>75</v>
      </c>
      <c r="I717">
        <v>46214</v>
      </c>
      <c r="J717" t="s">
        <v>5456</v>
      </c>
      <c r="K717" s="1401">
        <v>46222</v>
      </c>
      <c r="L717" s="1401">
        <v>46272</v>
      </c>
      <c r="M717" s="1401">
        <v>46278.083333333336</v>
      </c>
      <c r="N717" s="1401">
        <v>46278.186840277776</v>
      </c>
      <c r="O717" t="s">
        <v>973</v>
      </c>
      <c r="P717" s="1401">
        <v>46272</v>
      </c>
      <c r="Q717" s="1401">
        <v>46278.186840277776</v>
      </c>
    </row>
    <row r="718" spans="1:17">
      <c r="A718" t="s">
        <v>5450</v>
      </c>
      <c r="B718" t="s">
        <v>64</v>
      </c>
      <c r="C718" t="s">
        <v>65</v>
      </c>
      <c r="D718" t="s">
        <v>4531</v>
      </c>
      <c r="E718" t="s">
        <v>706</v>
      </c>
      <c r="F718" t="s">
        <v>707</v>
      </c>
      <c r="G718">
        <v>864</v>
      </c>
      <c r="H718" t="s">
        <v>75</v>
      </c>
      <c r="I718">
        <v>46214</v>
      </c>
      <c r="J718" t="s">
        <v>5451</v>
      </c>
      <c r="K718" s="1401">
        <v>46222</v>
      </c>
      <c r="L718" s="1401">
        <v>46272</v>
      </c>
      <c r="M718" s="1401">
        <v>46278.083333333336</v>
      </c>
      <c r="N718" s="1401">
        <v>46278.186840277776</v>
      </c>
      <c r="O718" t="s">
        <v>2434</v>
      </c>
      <c r="P718" s="1401">
        <v>46290</v>
      </c>
      <c r="Q718" s="1401">
        <v>46286.186840277776</v>
      </c>
    </row>
    <row r="719" spans="1:17">
      <c r="A719" t="s">
        <v>5436</v>
      </c>
      <c r="B719" t="s">
        <v>64</v>
      </c>
      <c r="C719" t="s">
        <v>100</v>
      </c>
      <c r="D719" t="s">
        <v>4531</v>
      </c>
      <c r="E719" t="s">
        <v>1151</v>
      </c>
      <c r="F719" t="s">
        <v>421</v>
      </c>
      <c r="G719">
        <v>5184</v>
      </c>
      <c r="H719" t="s">
        <v>75</v>
      </c>
      <c r="I719">
        <v>46216</v>
      </c>
      <c r="J719" t="s">
        <v>5437</v>
      </c>
      <c r="K719" s="1401">
        <v>46221</v>
      </c>
      <c r="L719" s="1401">
        <v>46263</v>
      </c>
      <c r="M719" s="1401"/>
      <c r="N719" s="1401">
        <v>46267</v>
      </c>
      <c r="O719" t="s">
        <v>2434</v>
      </c>
      <c r="P719" s="1401">
        <v>46279</v>
      </c>
      <c r="Q719" s="1401">
        <v>46274</v>
      </c>
    </row>
    <row r="720" spans="1:17">
      <c r="A720" t="s">
        <v>5430</v>
      </c>
      <c r="B720" t="s">
        <v>64</v>
      </c>
      <c r="C720" t="s">
        <v>100</v>
      </c>
      <c r="D720" t="s">
        <v>4531</v>
      </c>
      <c r="E720" t="s">
        <v>1151</v>
      </c>
      <c r="F720" t="s">
        <v>421</v>
      </c>
      <c r="G720">
        <v>2592</v>
      </c>
      <c r="H720" t="s">
        <v>75</v>
      </c>
      <c r="I720">
        <v>46216</v>
      </c>
      <c r="J720" t="s">
        <v>5431</v>
      </c>
      <c r="K720" s="1401">
        <v>46221</v>
      </c>
      <c r="L720" s="1401">
        <v>46263</v>
      </c>
      <c r="M720" s="1401"/>
      <c r="N720" s="1401">
        <v>46267</v>
      </c>
      <c r="O720" t="s">
        <v>2434</v>
      </c>
      <c r="P720" s="1401">
        <v>46279</v>
      </c>
      <c r="Q720" s="1401">
        <v>46274</v>
      </c>
    </row>
    <row r="721" spans="1:17">
      <c r="A721" t="s">
        <v>5424</v>
      </c>
      <c r="B721" t="s">
        <v>64</v>
      </c>
      <c r="C721" t="s">
        <v>100</v>
      </c>
      <c r="D721" t="s">
        <v>4531</v>
      </c>
      <c r="E721" t="s">
        <v>1151</v>
      </c>
      <c r="F721" t="s">
        <v>421</v>
      </c>
      <c r="G721">
        <v>4320</v>
      </c>
      <c r="H721" t="s">
        <v>75</v>
      </c>
      <c r="I721">
        <v>46213</v>
      </c>
      <c r="J721" t="s">
        <v>5425</v>
      </c>
      <c r="K721" s="1401">
        <v>46221</v>
      </c>
      <c r="L721" s="1401">
        <v>46263</v>
      </c>
      <c r="M721" s="1401"/>
      <c r="N721" s="1401">
        <v>46267</v>
      </c>
      <c r="O721" t="s">
        <v>2434</v>
      </c>
      <c r="P721" s="1401">
        <v>46279</v>
      </c>
      <c r="Q721" s="1401">
        <v>46274</v>
      </c>
    </row>
    <row r="722" spans="1:17">
      <c r="A722" t="s">
        <v>5580</v>
      </c>
      <c r="B722" t="s">
        <v>64</v>
      </c>
      <c r="C722" t="s">
        <v>100</v>
      </c>
      <c r="D722" t="s">
        <v>4531</v>
      </c>
      <c r="E722" t="s">
        <v>195</v>
      </c>
      <c r="F722" t="s">
        <v>196</v>
      </c>
      <c r="G722">
        <v>936</v>
      </c>
      <c r="H722" t="s">
        <v>75</v>
      </c>
      <c r="I722">
        <v>46216</v>
      </c>
      <c r="J722" t="s">
        <v>5581</v>
      </c>
      <c r="K722" s="1401">
        <v>46222</v>
      </c>
      <c r="L722" s="1401">
        <v>46266</v>
      </c>
      <c r="M722" s="1401">
        <v>46270.645833333336</v>
      </c>
      <c r="N722" s="1401">
        <v>46270.66238425926</v>
      </c>
      <c r="O722" t="s">
        <v>2434</v>
      </c>
      <c r="P722" s="1401">
        <v>46283</v>
      </c>
      <c r="Q722" s="1401">
        <v>46277.66238425926</v>
      </c>
    </row>
    <row r="723" spans="1:17">
      <c r="A723" t="s">
        <v>5576</v>
      </c>
      <c r="B723" t="s">
        <v>64</v>
      </c>
      <c r="C723" t="s">
        <v>100</v>
      </c>
      <c r="D723" t="s">
        <v>4531</v>
      </c>
      <c r="E723" t="s">
        <v>195</v>
      </c>
      <c r="F723" t="s">
        <v>196</v>
      </c>
      <c r="G723">
        <v>2808</v>
      </c>
      <c r="H723" t="s">
        <v>75</v>
      </c>
      <c r="I723">
        <v>46216</v>
      </c>
      <c r="J723" t="s">
        <v>5577</v>
      </c>
      <c r="K723" s="1401">
        <v>46222</v>
      </c>
      <c r="L723" s="1401">
        <v>46266</v>
      </c>
      <c r="M723" s="1401">
        <v>46270.645833333336</v>
      </c>
      <c r="N723" s="1401">
        <v>46270.66238425926</v>
      </c>
      <c r="O723" t="s">
        <v>2434</v>
      </c>
      <c r="P723" s="1401">
        <v>46283</v>
      </c>
      <c r="Q723" s="1401">
        <v>46277.66238425926</v>
      </c>
    </row>
    <row r="724" spans="1:17">
      <c r="A724" t="s">
        <v>5515</v>
      </c>
      <c r="B724" t="s">
        <v>64</v>
      </c>
      <c r="C724" t="s">
        <v>100</v>
      </c>
      <c r="D724" t="s">
        <v>4531</v>
      </c>
      <c r="E724" t="s">
        <v>5090</v>
      </c>
      <c r="F724" t="s">
        <v>330</v>
      </c>
      <c r="G724">
        <v>720</v>
      </c>
      <c r="H724" t="s">
        <v>75</v>
      </c>
      <c r="I724">
        <v>46217</v>
      </c>
      <c r="J724" t="s">
        <v>5516</v>
      </c>
      <c r="K724" s="1401">
        <v>46223</v>
      </c>
      <c r="L724" s="1401">
        <v>46260</v>
      </c>
      <c r="M724" s="1401">
        <v>46270.833333333336</v>
      </c>
      <c r="N724" s="1401">
        <v>46270.874618055554</v>
      </c>
      <c r="O724" t="s">
        <v>2434</v>
      </c>
      <c r="P724" s="1401">
        <v>46282</v>
      </c>
      <c r="Q724" s="1401">
        <v>46277.874618055554</v>
      </c>
    </row>
    <row r="725" spans="1:17">
      <c r="A725" t="s">
        <v>5509</v>
      </c>
      <c r="B725" t="s">
        <v>64</v>
      </c>
      <c r="C725" t="s">
        <v>100</v>
      </c>
      <c r="D725" t="s">
        <v>4531</v>
      </c>
      <c r="E725" t="s">
        <v>5090</v>
      </c>
      <c r="F725" t="s">
        <v>330</v>
      </c>
      <c r="G725">
        <v>2880</v>
      </c>
      <c r="H725" t="s">
        <v>75</v>
      </c>
      <c r="I725">
        <v>46217</v>
      </c>
      <c r="J725" t="s">
        <v>5511</v>
      </c>
      <c r="K725" s="1401">
        <v>46223</v>
      </c>
      <c r="L725" s="1401">
        <v>46260</v>
      </c>
      <c r="M725" s="1401">
        <v>46270.833333333336</v>
      </c>
      <c r="N725" s="1401">
        <v>46270.874618055554</v>
      </c>
      <c r="O725" t="s">
        <v>2434</v>
      </c>
      <c r="P725" s="1401">
        <v>46282</v>
      </c>
      <c r="Q725" s="1401">
        <v>46277.874618055554</v>
      </c>
    </row>
    <row r="726" spans="1:17">
      <c r="A726" t="s">
        <v>5444</v>
      </c>
      <c r="B726" t="s">
        <v>64</v>
      </c>
      <c r="C726" t="s">
        <v>65</v>
      </c>
      <c r="D726" t="s">
        <v>5379</v>
      </c>
      <c r="E726" t="s">
        <v>5400</v>
      </c>
      <c r="F726" t="s">
        <v>5401</v>
      </c>
      <c r="G726">
        <v>936</v>
      </c>
      <c r="H726" t="s">
        <v>75</v>
      </c>
      <c r="I726">
        <v>46213</v>
      </c>
      <c r="J726" t="s">
        <v>5445</v>
      </c>
      <c r="K726" s="1401">
        <v>46222</v>
      </c>
      <c r="L726" s="1401">
        <v>46272</v>
      </c>
      <c r="M726" s="1401">
        <v>46278.083333333336</v>
      </c>
      <c r="N726" s="1401">
        <v>46278.186840277776</v>
      </c>
      <c r="O726" t="s">
        <v>2434</v>
      </c>
      <c r="P726" s="1401">
        <v>46290</v>
      </c>
      <c r="Q726" s="1401">
        <v>46286.186840277776</v>
      </c>
    </row>
    <row r="727" spans="1:17">
      <c r="A727" t="s">
        <v>5438</v>
      </c>
      <c r="B727" t="s">
        <v>64</v>
      </c>
      <c r="C727" t="s">
        <v>65</v>
      </c>
      <c r="D727" t="s">
        <v>5379</v>
      </c>
      <c r="E727" t="s">
        <v>5400</v>
      </c>
      <c r="F727" t="s">
        <v>5401</v>
      </c>
      <c r="G727">
        <v>4680</v>
      </c>
      <c r="H727" t="s">
        <v>75</v>
      </c>
      <c r="I727">
        <v>46213</v>
      </c>
      <c r="J727" t="s">
        <v>5440</v>
      </c>
      <c r="K727" s="1401">
        <v>46222</v>
      </c>
      <c r="L727" s="1401">
        <v>46272</v>
      </c>
      <c r="M727" s="1401">
        <v>46278.083333333336</v>
      </c>
      <c r="N727" s="1401">
        <v>46278.186840277776</v>
      </c>
      <c r="O727" t="s">
        <v>2434</v>
      </c>
      <c r="P727" s="1401">
        <v>46290</v>
      </c>
      <c r="Q727" s="1401">
        <v>46286.186840277776</v>
      </c>
    </row>
    <row r="728" spans="1:17">
      <c r="A728" t="s">
        <v>5500</v>
      </c>
      <c r="B728" t="s">
        <v>64</v>
      </c>
      <c r="C728" t="s">
        <v>450</v>
      </c>
      <c r="D728" t="s">
        <v>5379</v>
      </c>
      <c r="E728" t="s">
        <v>5380</v>
      </c>
      <c r="F728" t="s">
        <v>5381</v>
      </c>
      <c r="G728">
        <v>1872</v>
      </c>
      <c r="H728" t="s">
        <v>75</v>
      </c>
      <c r="I728">
        <v>46215</v>
      </c>
      <c r="J728" t="s">
        <v>5501</v>
      </c>
      <c r="K728" s="1401">
        <v>46224</v>
      </c>
      <c r="L728" s="1401">
        <v>46264</v>
      </c>
      <c r="M728" s="1401">
        <v>46274.999305555553</v>
      </c>
      <c r="N728" s="1401">
        <v>46275.009525462963</v>
      </c>
      <c r="O728" t="s">
        <v>2434</v>
      </c>
      <c r="P728" s="1401">
        <v>46288</v>
      </c>
      <c r="Q728" s="1401">
        <v>46282.009525462963</v>
      </c>
    </row>
    <row r="729" spans="1:17">
      <c r="A729" t="s">
        <v>5582</v>
      </c>
      <c r="B729" t="s">
        <v>64</v>
      </c>
      <c r="C729" t="s">
        <v>310</v>
      </c>
      <c r="D729" t="s">
        <v>284</v>
      </c>
      <c r="E729" t="s">
        <v>5583</v>
      </c>
      <c r="F729" t="s">
        <v>1570</v>
      </c>
      <c r="G729">
        <v>720</v>
      </c>
      <c r="H729" t="s">
        <v>75</v>
      </c>
      <c r="I729">
        <v>46217</v>
      </c>
      <c r="J729" t="s">
        <v>5584</v>
      </c>
      <c r="K729" s="1401">
        <v>46222.458333333336</v>
      </c>
      <c r="L729" s="1401">
        <v>46271</v>
      </c>
      <c r="M729" s="1401">
        <v>46300.75</v>
      </c>
      <c r="N729" s="1401">
        <v>46299</v>
      </c>
      <c r="O729" t="s">
        <v>2434</v>
      </c>
      <c r="P729" s="1401">
        <v>46304</v>
      </c>
      <c r="Q729" s="1401">
        <v>46309</v>
      </c>
    </row>
    <row r="730" spans="1:17">
      <c r="A730" t="s">
        <v>5495</v>
      </c>
      <c r="B730" t="s">
        <v>64</v>
      </c>
      <c r="C730" t="s">
        <v>310</v>
      </c>
      <c r="D730" t="s">
        <v>284</v>
      </c>
      <c r="E730" t="s">
        <v>5496</v>
      </c>
      <c r="F730" t="s">
        <v>5346</v>
      </c>
      <c r="G730">
        <v>720</v>
      </c>
      <c r="H730" t="s">
        <v>951</v>
      </c>
      <c r="I730">
        <v>46213</v>
      </c>
      <c r="J730" t="s">
        <v>5498</v>
      </c>
      <c r="K730" s="1401">
        <v>46218</v>
      </c>
      <c r="L730" s="1401">
        <v>46278</v>
      </c>
      <c r="M730" s="1401">
        <v>46308.75</v>
      </c>
      <c r="N730" s="1401" t="s">
        <v>2525</v>
      </c>
      <c r="O730" t="s">
        <v>2434</v>
      </c>
      <c r="P730" s="1401">
        <v>46290</v>
      </c>
      <c r="Q730" s="1401">
        <v>46318.75</v>
      </c>
    </row>
    <row r="731" spans="1:17">
      <c r="A731" t="s">
        <v>4827</v>
      </c>
      <c r="B731" t="s">
        <v>64</v>
      </c>
      <c r="C731" t="s">
        <v>114</v>
      </c>
      <c r="D731" t="s">
        <v>4486</v>
      </c>
      <c r="E731" t="s">
        <v>4520</v>
      </c>
      <c r="F731" t="s">
        <v>4521</v>
      </c>
      <c r="G731">
        <v>2160</v>
      </c>
      <c r="H731" t="s">
        <v>75</v>
      </c>
      <c r="I731">
        <v>46176</v>
      </c>
      <c r="J731" t="s">
        <v>4830</v>
      </c>
      <c r="K731" s="1401">
        <v>46185</v>
      </c>
      <c r="L731" s="1401">
        <v>46240</v>
      </c>
      <c r="M731" s="1401"/>
      <c r="N731" s="1401">
        <v>46250.44736111111</v>
      </c>
      <c r="O731" t="s">
        <v>973</v>
      </c>
      <c r="P731" s="1401">
        <v>46265</v>
      </c>
      <c r="Q731" s="1401">
        <v>46259.44736111111</v>
      </c>
    </row>
    <row r="732" spans="1:17">
      <c r="A732" t="s">
        <v>5017</v>
      </c>
      <c r="B732" t="s">
        <v>64</v>
      </c>
      <c r="C732" t="s">
        <v>114</v>
      </c>
      <c r="D732" t="s">
        <v>4531</v>
      </c>
      <c r="E732" t="s">
        <v>1151</v>
      </c>
      <c r="F732" t="s">
        <v>421</v>
      </c>
      <c r="G732">
        <v>864</v>
      </c>
      <c r="H732" t="s">
        <v>75</v>
      </c>
      <c r="I732">
        <v>46185</v>
      </c>
      <c r="J732" t="s">
        <v>5019</v>
      </c>
      <c r="K732" s="1401">
        <v>46193</v>
      </c>
      <c r="L732" s="1401">
        <v>46249</v>
      </c>
      <c r="M732" s="1401">
        <v>46258.375</v>
      </c>
      <c r="N732" s="1401">
        <v>46258.289537037039</v>
      </c>
      <c r="O732" t="s">
        <v>973</v>
      </c>
      <c r="P732" s="1401">
        <v>46272</v>
      </c>
      <c r="Q732" s="1401">
        <v>46267.289537037039</v>
      </c>
    </row>
    <row r="733" spans="1:17">
      <c r="A733" t="s">
        <v>5022</v>
      </c>
      <c r="B733" t="s">
        <v>64</v>
      </c>
      <c r="C733" t="s">
        <v>114</v>
      </c>
      <c r="D733" t="s">
        <v>4531</v>
      </c>
      <c r="E733" t="s">
        <v>1151</v>
      </c>
      <c r="F733" t="s">
        <v>421</v>
      </c>
      <c r="G733">
        <v>864</v>
      </c>
      <c r="H733" t="s">
        <v>75</v>
      </c>
      <c r="I733">
        <v>46184</v>
      </c>
      <c r="J733" t="s">
        <v>5023</v>
      </c>
      <c r="K733" s="1401">
        <v>46193</v>
      </c>
      <c r="L733" s="1401">
        <v>46255</v>
      </c>
      <c r="M733" s="1401">
        <v>46275.083333333336</v>
      </c>
      <c r="N733" s="1401">
        <v>46275.045995370368</v>
      </c>
      <c r="O733" t="s">
        <v>2434</v>
      </c>
      <c r="P733" s="1401">
        <v>46283</v>
      </c>
      <c r="Q733" s="1401">
        <v>46284.045995370368</v>
      </c>
    </row>
    <row r="734" spans="1:17">
      <c r="A734" t="s">
        <v>5391</v>
      </c>
      <c r="B734" t="s">
        <v>144</v>
      </c>
      <c r="C734" t="s">
        <v>145</v>
      </c>
      <c r="D734" t="s">
        <v>4531</v>
      </c>
      <c r="E734" t="s">
        <v>4592</v>
      </c>
      <c r="F734" t="s">
        <v>330</v>
      </c>
      <c r="G734">
        <v>3600</v>
      </c>
      <c r="H734" t="s">
        <v>75</v>
      </c>
      <c r="I734">
        <v>46225</v>
      </c>
      <c r="J734" t="s">
        <v>5395</v>
      </c>
      <c r="K734" s="1401">
        <v>46228</v>
      </c>
      <c r="L734" s="1401">
        <v>46256</v>
      </c>
      <c r="M734" s="1401">
        <v>46266</v>
      </c>
      <c r="N734" s="1401">
        <v>46265.971226851849</v>
      </c>
      <c r="O734" t="s">
        <v>973</v>
      </c>
      <c r="P734" s="1401">
        <v>46262</v>
      </c>
      <c r="Q734" s="1401">
        <v>46265.971226851849</v>
      </c>
    </row>
    <row r="735" spans="1:17">
      <c r="A735" t="s">
        <v>5548</v>
      </c>
      <c r="B735" t="s">
        <v>144</v>
      </c>
      <c r="C735" t="s">
        <v>145</v>
      </c>
      <c r="D735" t="s">
        <v>5336</v>
      </c>
      <c r="E735" t="s">
        <v>5337</v>
      </c>
      <c r="F735" t="s">
        <v>5338</v>
      </c>
      <c r="G735">
        <v>720</v>
      </c>
      <c r="H735" t="s">
        <v>75</v>
      </c>
      <c r="I735">
        <v>46220</v>
      </c>
      <c r="J735" t="s">
        <v>5550</v>
      </c>
      <c r="K735" s="1401">
        <v>46229</v>
      </c>
      <c r="L735" s="1401">
        <v>46268</v>
      </c>
      <c r="M735" s="1401">
        <v>46280.541666666664</v>
      </c>
      <c r="N735" s="1401">
        <v>46280.541666666664</v>
      </c>
      <c r="O735" t="s">
        <v>973</v>
      </c>
      <c r="P735" s="1401">
        <v>46268</v>
      </c>
      <c r="Q735" s="1401">
        <v>46280.541666666664</v>
      </c>
    </row>
    <row r="736" spans="1:17">
      <c r="A736" t="s">
        <v>5554</v>
      </c>
      <c r="B736" t="s">
        <v>144</v>
      </c>
      <c r="C736" t="s">
        <v>145</v>
      </c>
      <c r="D736" t="s">
        <v>5336</v>
      </c>
      <c r="E736" t="s">
        <v>5555</v>
      </c>
      <c r="F736" t="s">
        <v>5556</v>
      </c>
      <c r="G736">
        <v>720</v>
      </c>
      <c r="H736" t="s">
        <v>75</v>
      </c>
      <c r="I736">
        <v>46220</v>
      </c>
      <c r="J736" t="s">
        <v>5557</v>
      </c>
      <c r="K736" s="1401">
        <v>46229</v>
      </c>
      <c r="L736" s="1401">
        <v>46268</v>
      </c>
      <c r="M736" s="1401">
        <v>46280.541666666664</v>
      </c>
      <c r="N736" s="1401">
        <v>46280.541666666664</v>
      </c>
      <c r="O736" t="s">
        <v>973</v>
      </c>
      <c r="P736" s="1401">
        <v>46268</v>
      </c>
      <c r="Q736" s="1401">
        <v>46280.541666666664</v>
      </c>
    </row>
    <row r="737" spans="1:17">
      <c r="A737" t="s">
        <v>5398</v>
      </c>
      <c r="B737" t="s">
        <v>144</v>
      </c>
      <c r="C737" t="s">
        <v>145</v>
      </c>
      <c r="D737" t="s">
        <v>5379</v>
      </c>
      <c r="E737" t="s">
        <v>5400</v>
      </c>
      <c r="F737" t="s">
        <v>5401</v>
      </c>
      <c r="G737">
        <v>3744</v>
      </c>
      <c r="H737" t="s">
        <v>75</v>
      </c>
      <c r="I737">
        <v>46225</v>
      </c>
      <c r="J737" t="s">
        <v>5403</v>
      </c>
      <c r="K737" s="1401">
        <v>46228</v>
      </c>
      <c r="L737" s="1401">
        <v>46256</v>
      </c>
      <c r="M737" s="1401">
        <v>46266</v>
      </c>
      <c r="N737" s="1401">
        <v>46265.971226851849</v>
      </c>
      <c r="O737" t="s">
        <v>973</v>
      </c>
      <c r="P737" s="1401">
        <v>46262</v>
      </c>
      <c r="Q737" s="1401">
        <v>46265.971226851849</v>
      </c>
    </row>
    <row r="738" spans="1:17">
      <c r="A738" t="s">
        <v>4960</v>
      </c>
      <c r="B738" t="s">
        <v>64</v>
      </c>
      <c r="C738" t="s">
        <v>65</v>
      </c>
      <c r="D738" t="s">
        <v>4531</v>
      </c>
      <c r="E738" t="s">
        <v>71</v>
      </c>
      <c r="F738" t="s">
        <v>72</v>
      </c>
      <c r="G738">
        <v>3456</v>
      </c>
      <c r="H738" t="s">
        <v>75</v>
      </c>
      <c r="I738">
        <v>46181</v>
      </c>
      <c r="J738" t="s">
        <v>4962</v>
      </c>
      <c r="K738" s="1401">
        <v>46189</v>
      </c>
      <c r="L738" s="1401">
        <v>46231</v>
      </c>
      <c r="M738" s="1401">
        <v>46234</v>
      </c>
      <c r="N738" s="1401">
        <v>46235.175381944442</v>
      </c>
      <c r="O738" t="s">
        <v>973</v>
      </c>
      <c r="P738" s="1401">
        <v>46246</v>
      </c>
      <c r="Q738" s="1401">
        <v>46243.175381944442</v>
      </c>
    </row>
    <row r="739" spans="1:17">
      <c r="A739" t="s">
        <v>4963</v>
      </c>
      <c r="B739" t="s">
        <v>144</v>
      </c>
      <c r="C739" t="s">
        <v>145</v>
      </c>
      <c r="D739" t="s">
        <v>4531</v>
      </c>
      <c r="E739" t="s">
        <v>71</v>
      </c>
      <c r="F739" t="s">
        <v>72</v>
      </c>
      <c r="G739">
        <v>864</v>
      </c>
      <c r="H739" t="s">
        <v>75</v>
      </c>
      <c r="I739">
        <v>46181</v>
      </c>
      <c r="J739" t="s">
        <v>4968</v>
      </c>
      <c r="K739" s="1401">
        <v>46189</v>
      </c>
      <c r="L739" s="1401">
        <v>46231</v>
      </c>
      <c r="M739" s="1401">
        <v>46234</v>
      </c>
      <c r="N739" s="1401">
        <v>46235.175381944442</v>
      </c>
      <c r="O739" t="s">
        <v>973</v>
      </c>
      <c r="P739" s="1401">
        <v>46246</v>
      </c>
      <c r="Q739" s="1401">
        <v>46235.175381944442</v>
      </c>
    </row>
    <row r="740" spans="1:17">
      <c r="A740" t="s">
        <v>4844</v>
      </c>
      <c r="B740" t="s">
        <v>64</v>
      </c>
      <c r="C740" t="s">
        <v>114</v>
      </c>
      <c r="D740" t="s">
        <v>132</v>
      </c>
      <c r="E740" t="s">
        <v>1062</v>
      </c>
      <c r="F740" t="s">
        <v>1063</v>
      </c>
      <c r="G740">
        <v>3456</v>
      </c>
      <c r="H740" t="s">
        <v>75</v>
      </c>
      <c r="I740">
        <v>46175</v>
      </c>
      <c r="J740" t="s">
        <v>4845</v>
      </c>
      <c r="K740" s="1401">
        <v>46182</v>
      </c>
      <c r="L740" s="1401">
        <v>46218</v>
      </c>
      <c r="M740" s="1401">
        <v>46220</v>
      </c>
      <c r="N740" s="1401">
        <v>46221</v>
      </c>
      <c r="O740" t="s">
        <v>973</v>
      </c>
      <c r="P740" s="1401">
        <v>46238</v>
      </c>
      <c r="Q740" s="1401">
        <v>46230</v>
      </c>
    </row>
    <row r="741" spans="1:17">
      <c r="A741" t="s">
        <v>5654</v>
      </c>
      <c r="B741" t="s">
        <v>64</v>
      </c>
      <c r="C741" t="s">
        <v>450</v>
      </c>
      <c r="D741" t="s">
        <v>4531</v>
      </c>
      <c r="E741" t="s">
        <v>195</v>
      </c>
      <c r="F741" t="s">
        <v>196</v>
      </c>
      <c r="G741">
        <v>936</v>
      </c>
      <c r="H741" t="s">
        <v>75</v>
      </c>
      <c r="I741">
        <v>46224</v>
      </c>
      <c r="J741" t="s">
        <v>5656</v>
      </c>
      <c r="K741" s="1401">
        <v>46229</v>
      </c>
      <c r="L741" s="1401">
        <v>46278</v>
      </c>
      <c r="M741" s="1401">
        <v>46290.041666666664</v>
      </c>
      <c r="N741" s="1401">
        <v>46290.087800925925</v>
      </c>
      <c r="O741" t="s">
        <v>2434</v>
      </c>
      <c r="P741" s="1401">
        <v>46668</v>
      </c>
      <c r="Q741" s="1401">
        <v>46297.087800925925</v>
      </c>
    </row>
    <row r="742" spans="1:17">
      <c r="A742" t="s">
        <v>5539</v>
      </c>
      <c r="B742" t="s">
        <v>64</v>
      </c>
      <c r="C742" t="s">
        <v>65</v>
      </c>
      <c r="D742" t="s">
        <v>4531</v>
      </c>
      <c r="E742" t="s">
        <v>691</v>
      </c>
      <c r="F742" t="s">
        <v>692</v>
      </c>
      <c r="G742">
        <v>2592</v>
      </c>
      <c r="H742" t="s">
        <v>75</v>
      </c>
      <c r="I742">
        <v>46226</v>
      </c>
      <c r="J742" t="s">
        <v>5541</v>
      </c>
      <c r="K742" s="1401">
        <v>46230</v>
      </c>
      <c r="L742" s="1401">
        <v>46279</v>
      </c>
      <c r="M742" s="1401">
        <v>46285.041666666664</v>
      </c>
      <c r="N742" s="1401">
        <v>46284.921701388892</v>
      </c>
      <c r="O742" t="s">
        <v>2434</v>
      </c>
      <c r="P742" s="1401">
        <v>46297</v>
      </c>
      <c r="Q742" s="1401">
        <v>46292.921701388892</v>
      </c>
    </row>
    <row r="743" spans="1:17">
      <c r="A743" t="s">
        <v>5522</v>
      </c>
      <c r="B743" t="s">
        <v>64</v>
      </c>
      <c r="C743" t="s">
        <v>65</v>
      </c>
      <c r="D743" t="s">
        <v>4531</v>
      </c>
      <c r="E743" t="s">
        <v>1151</v>
      </c>
      <c r="F743" t="s">
        <v>421</v>
      </c>
      <c r="G743">
        <v>4320</v>
      </c>
      <c r="H743" t="s">
        <v>75</v>
      </c>
      <c r="I743">
        <v>46225</v>
      </c>
      <c r="J743" t="s">
        <v>5524</v>
      </c>
      <c r="K743" s="1401">
        <v>46230</v>
      </c>
      <c r="L743" s="1401">
        <v>46279</v>
      </c>
      <c r="M743" s="1401">
        <v>46285.041666666664</v>
      </c>
      <c r="N743" s="1401">
        <v>46284.921701388892</v>
      </c>
      <c r="O743" t="s">
        <v>2434</v>
      </c>
      <c r="P743" s="1401">
        <v>46297</v>
      </c>
      <c r="Q743" s="1401">
        <v>46292.921701388892</v>
      </c>
    </row>
    <row r="744" spans="1:17">
      <c r="A744" t="s">
        <v>5622</v>
      </c>
      <c r="B744" t="s">
        <v>64</v>
      </c>
      <c r="C744" t="s">
        <v>100</v>
      </c>
      <c r="D744" t="s">
        <v>4531</v>
      </c>
      <c r="E744" t="s">
        <v>1151</v>
      </c>
      <c r="F744" t="s">
        <v>421</v>
      </c>
      <c r="G744">
        <v>1728</v>
      </c>
      <c r="H744" t="s">
        <v>75</v>
      </c>
      <c r="I744">
        <v>46221</v>
      </c>
      <c r="J744" t="s">
        <v>5623</v>
      </c>
      <c r="K744" s="1401">
        <v>46225</v>
      </c>
      <c r="L744" s="1401">
        <v>46260</v>
      </c>
      <c r="M744" s="1401">
        <v>46275.083333333336</v>
      </c>
      <c r="N744" s="1401">
        <v>46275.088877314818</v>
      </c>
      <c r="O744" t="s">
        <v>2434</v>
      </c>
      <c r="P744" s="1401">
        <v>46286</v>
      </c>
      <c r="Q744" s="1401">
        <v>46282.088877314818</v>
      </c>
    </row>
    <row r="745" spans="1:17">
      <c r="A745" t="s">
        <v>5613</v>
      </c>
      <c r="B745" t="s">
        <v>64</v>
      </c>
      <c r="C745" t="s">
        <v>450</v>
      </c>
      <c r="D745" t="s">
        <v>4531</v>
      </c>
      <c r="E745" t="s">
        <v>1151</v>
      </c>
      <c r="F745" t="s">
        <v>421</v>
      </c>
      <c r="G745">
        <v>1728</v>
      </c>
      <c r="H745" t="s">
        <v>75</v>
      </c>
      <c r="I745">
        <v>46221</v>
      </c>
      <c r="J745" t="s">
        <v>5615</v>
      </c>
      <c r="K745" s="1401">
        <v>46225</v>
      </c>
      <c r="L745" s="1401">
        <v>46260</v>
      </c>
      <c r="M745" s="1401">
        <v>46274.999305555553</v>
      </c>
      <c r="N745" s="1401">
        <v>46275.009525462963</v>
      </c>
      <c r="O745" t="s">
        <v>2434</v>
      </c>
      <c r="P745" s="1401">
        <v>46288</v>
      </c>
      <c r="Q745" s="1401">
        <v>46282.009525462963</v>
      </c>
    </row>
    <row r="746" spans="1:17">
      <c r="A746" t="s">
        <v>5594</v>
      </c>
      <c r="B746" t="s">
        <v>64</v>
      </c>
      <c r="C746" t="s">
        <v>100</v>
      </c>
      <c r="D746" t="s">
        <v>4531</v>
      </c>
      <c r="E746" t="s">
        <v>1151</v>
      </c>
      <c r="F746" t="s">
        <v>421</v>
      </c>
      <c r="G746">
        <v>3456</v>
      </c>
      <c r="H746" t="s">
        <v>75</v>
      </c>
      <c r="I746">
        <v>46226</v>
      </c>
      <c r="J746" t="s">
        <v>5595</v>
      </c>
      <c r="K746" s="1401">
        <v>46232</v>
      </c>
      <c r="L746" s="1401">
        <v>46277</v>
      </c>
      <c r="M746" s="1401">
        <v>46266</v>
      </c>
      <c r="N746" s="1401">
        <v>46265</v>
      </c>
      <c r="O746" t="s">
        <v>2434</v>
      </c>
      <c r="P746" s="1401">
        <v>46279</v>
      </c>
      <c r="Q746" s="1401">
        <v>46272</v>
      </c>
    </row>
    <row r="747" spans="1:17">
      <c r="A747" t="s">
        <v>5592</v>
      </c>
      <c r="B747" t="s">
        <v>64</v>
      </c>
      <c r="C747" t="s">
        <v>100</v>
      </c>
      <c r="D747" t="s">
        <v>4531</v>
      </c>
      <c r="E747" t="s">
        <v>1151</v>
      </c>
      <c r="F747" t="s">
        <v>421</v>
      </c>
      <c r="G747">
        <v>1728</v>
      </c>
      <c r="H747" t="s">
        <v>75</v>
      </c>
      <c r="I747">
        <v>46224</v>
      </c>
      <c r="J747" t="s">
        <v>5593</v>
      </c>
      <c r="K747" s="1401">
        <v>46232</v>
      </c>
      <c r="L747" s="1401">
        <v>46277</v>
      </c>
      <c r="M747" s="1401">
        <v>46266</v>
      </c>
      <c r="N747" s="1401">
        <v>46265</v>
      </c>
      <c r="O747" t="s">
        <v>2434</v>
      </c>
      <c r="P747" s="1401">
        <v>46279</v>
      </c>
      <c r="Q747" s="1401">
        <v>46272</v>
      </c>
    </row>
    <row r="748" spans="1:17">
      <c r="A748" t="s">
        <v>5587</v>
      </c>
      <c r="B748" t="s">
        <v>64</v>
      </c>
      <c r="C748" t="s">
        <v>100</v>
      </c>
      <c r="D748" t="s">
        <v>4531</v>
      </c>
      <c r="E748" t="s">
        <v>1151</v>
      </c>
      <c r="F748" t="s">
        <v>421</v>
      </c>
      <c r="G748">
        <v>1728</v>
      </c>
      <c r="H748" t="s">
        <v>75</v>
      </c>
      <c r="I748">
        <v>46224</v>
      </c>
      <c r="J748" t="s">
        <v>5588</v>
      </c>
      <c r="K748" s="1401">
        <v>46232</v>
      </c>
      <c r="L748" s="1401">
        <v>46277</v>
      </c>
      <c r="M748" s="1401">
        <v>46266</v>
      </c>
      <c r="N748" s="1401">
        <v>46265</v>
      </c>
      <c r="O748" t="s">
        <v>2434</v>
      </c>
      <c r="P748" s="1401">
        <v>46279</v>
      </c>
      <c r="Q748" s="1401">
        <v>46272</v>
      </c>
    </row>
    <row r="749" spans="1:17">
      <c r="A749" t="s">
        <v>5530</v>
      </c>
      <c r="B749" t="s">
        <v>64</v>
      </c>
      <c r="C749" t="s">
        <v>65</v>
      </c>
      <c r="D749" t="s">
        <v>4531</v>
      </c>
      <c r="E749" t="s">
        <v>1151</v>
      </c>
      <c r="F749" t="s">
        <v>421</v>
      </c>
      <c r="G749">
        <v>1728</v>
      </c>
      <c r="H749" t="s">
        <v>75</v>
      </c>
      <c r="I749">
        <v>46225</v>
      </c>
      <c r="J749" t="s">
        <v>5531</v>
      </c>
      <c r="K749" s="1401">
        <v>46230</v>
      </c>
      <c r="L749" s="1401">
        <v>46279</v>
      </c>
      <c r="M749" s="1401">
        <v>46285.041666666664</v>
      </c>
      <c r="N749" s="1401">
        <v>46284.921701388892</v>
      </c>
      <c r="O749" t="s">
        <v>2434</v>
      </c>
      <c r="P749" s="1401">
        <v>46297</v>
      </c>
      <c r="Q749" s="1401">
        <v>46292.921701388892</v>
      </c>
    </row>
    <row r="750" spans="1:17">
      <c r="A750" t="s">
        <v>5505</v>
      </c>
      <c r="B750" t="s">
        <v>64</v>
      </c>
      <c r="C750" t="s">
        <v>450</v>
      </c>
      <c r="D750" t="s">
        <v>4531</v>
      </c>
      <c r="E750" t="s">
        <v>1151</v>
      </c>
      <c r="F750" t="s">
        <v>421</v>
      </c>
      <c r="G750">
        <v>2592</v>
      </c>
      <c r="H750" t="s">
        <v>75</v>
      </c>
      <c r="I750">
        <v>46221</v>
      </c>
      <c r="J750" t="s">
        <v>5506</v>
      </c>
      <c r="K750" s="1401">
        <v>46224</v>
      </c>
      <c r="L750" s="1401">
        <v>46264</v>
      </c>
      <c r="M750" s="1401">
        <v>46274.999305555553</v>
      </c>
      <c r="N750" s="1401">
        <v>46275.009525462963</v>
      </c>
      <c r="O750" t="s">
        <v>2434</v>
      </c>
      <c r="P750" s="1401">
        <v>46288</v>
      </c>
      <c r="Q750" s="1401">
        <v>46282.009525462963</v>
      </c>
    </row>
    <row r="751" spans="1:17">
      <c r="A751" t="s">
        <v>5627</v>
      </c>
      <c r="B751" t="s">
        <v>64</v>
      </c>
      <c r="C751" t="s">
        <v>100</v>
      </c>
      <c r="D751" t="s">
        <v>4531</v>
      </c>
      <c r="E751" t="s">
        <v>71</v>
      </c>
      <c r="F751" t="s">
        <v>72</v>
      </c>
      <c r="G751">
        <v>864</v>
      </c>
      <c r="H751" t="s">
        <v>75</v>
      </c>
      <c r="I751">
        <v>46221</v>
      </c>
      <c r="J751" t="s">
        <v>5628</v>
      </c>
      <c r="K751" s="1401">
        <v>46225</v>
      </c>
      <c r="L751" s="1401">
        <v>46260</v>
      </c>
      <c r="M751" s="1401">
        <v>46275.083333333336</v>
      </c>
      <c r="N751" s="1401">
        <v>46275.088877314818</v>
      </c>
      <c r="O751" t="s">
        <v>2434</v>
      </c>
      <c r="P751" s="1401">
        <v>46286</v>
      </c>
      <c r="Q751" s="1401">
        <v>46282.088877314818</v>
      </c>
    </row>
    <row r="752" spans="1:17">
      <c r="A752" t="s">
        <v>5618</v>
      </c>
      <c r="B752" t="s">
        <v>64</v>
      </c>
      <c r="C752" t="s">
        <v>100</v>
      </c>
      <c r="D752" t="s">
        <v>4531</v>
      </c>
      <c r="E752" t="s">
        <v>71</v>
      </c>
      <c r="F752" t="s">
        <v>72</v>
      </c>
      <c r="G752">
        <v>4320</v>
      </c>
      <c r="H752" t="s">
        <v>75</v>
      </c>
      <c r="I752">
        <v>46225</v>
      </c>
      <c r="J752" t="s">
        <v>5619</v>
      </c>
      <c r="K752" s="1401">
        <v>46231</v>
      </c>
      <c r="L752" s="1401">
        <v>46266</v>
      </c>
      <c r="M752" s="1401">
        <v>46270.645833333336</v>
      </c>
      <c r="N752" s="1401">
        <v>46270.66238425926</v>
      </c>
      <c r="O752" t="s">
        <v>2434</v>
      </c>
      <c r="P752" s="1401">
        <v>46283</v>
      </c>
      <c r="Q752" s="1401">
        <v>46277.66238425926</v>
      </c>
    </row>
    <row r="753" spans="1:17">
      <c r="A753" t="s">
        <v>5663</v>
      </c>
      <c r="B753" t="s">
        <v>64</v>
      </c>
      <c r="C753" t="s">
        <v>100</v>
      </c>
      <c r="D753" t="s">
        <v>70</v>
      </c>
      <c r="E753" t="s">
        <v>195</v>
      </c>
      <c r="F753" t="s">
        <v>196</v>
      </c>
      <c r="G753">
        <v>936</v>
      </c>
      <c r="H753" t="s">
        <v>75</v>
      </c>
      <c r="I753">
        <v>46224</v>
      </c>
      <c r="J753" t="s">
        <v>5664</v>
      </c>
      <c r="K753" s="1401">
        <v>46229</v>
      </c>
      <c r="L753" s="1401">
        <v>46271</v>
      </c>
      <c r="M753" s="1401">
        <v>46279.958333333336</v>
      </c>
      <c r="N753" s="1401">
        <v>46279</v>
      </c>
      <c r="O753" t="s">
        <v>2434</v>
      </c>
      <c r="P753" s="1401">
        <v>46293</v>
      </c>
      <c r="Q753" s="1401">
        <v>46286</v>
      </c>
    </row>
    <row r="754" spans="1:17">
      <c r="A754" t="s">
        <v>5644</v>
      </c>
      <c r="B754" t="s">
        <v>64</v>
      </c>
      <c r="C754" t="s">
        <v>65</v>
      </c>
      <c r="D754" t="s">
        <v>4531</v>
      </c>
      <c r="E754" t="s">
        <v>71</v>
      </c>
      <c r="F754" t="s">
        <v>72</v>
      </c>
      <c r="G754">
        <v>864</v>
      </c>
      <c r="H754" t="s">
        <v>75</v>
      </c>
      <c r="I754">
        <v>46221</v>
      </c>
      <c r="J754" t="s">
        <v>5645</v>
      </c>
      <c r="K754" s="1401">
        <v>46227</v>
      </c>
      <c r="L754" s="1401">
        <v>46272</v>
      </c>
      <c r="M754" s="1401">
        <v>46297.25</v>
      </c>
      <c r="N754" s="1401">
        <v>46296</v>
      </c>
      <c r="O754" t="s">
        <v>2434</v>
      </c>
      <c r="P754" s="1401">
        <v>46293</v>
      </c>
      <c r="Q754" s="1401">
        <v>46304</v>
      </c>
    </row>
    <row r="755" spans="1:17">
      <c r="A755" t="s">
        <v>5528</v>
      </c>
      <c r="B755" t="s">
        <v>64</v>
      </c>
      <c r="C755" t="s">
        <v>65</v>
      </c>
      <c r="D755" t="s">
        <v>4531</v>
      </c>
      <c r="E755" t="s">
        <v>71</v>
      </c>
      <c r="F755" t="s">
        <v>72</v>
      </c>
      <c r="G755">
        <v>1728</v>
      </c>
      <c r="H755" t="s">
        <v>75</v>
      </c>
      <c r="I755">
        <v>46225</v>
      </c>
      <c r="J755" t="s">
        <v>5529</v>
      </c>
      <c r="K755" s="1401">
        <v>46230</v>
      </c>
      <c r="L755" s="1401">
        <v>46279</v>
      </c>
      <c r="M755" s="1401">
        <v>46285.041666666664</v>
      </c>
      <c r="N755" s="1401">
        <v>46284.921701388892</v>
      </c>
      <c r="O755" t="s">
        <v>2434</v>
      </c>
      <c r="P755" s="1401">
        <v>46297</v>
      </c>
      <c r="Q755" s="1401">
        <v>46292.921701388892</v>
      </c>
    </row>
    <row r="756" spans="1:17">
      <c r="A756" t="s">
        <v>5385</v>
      </c>
      <c r="B756" t="s">
        <v>64</v>
      </c>
      <c r="C756" t="s">
        <v>100</v>
      </c>
      <c r="D756" t="s">
        <v>4531</v>
      </c>
      <c r="E756" t="s">
        <v>5090</v>
      </c>
      <c r="F756" t="s">
        <v>330</v>
      </c>
      <c r="G756">
        <v>7920</v>
      </c>
      <c r="H756" t="s">
        <v>75</v>
      </c>
      <c r="I756">
        <v>46217</v>
      </c>
      <c r="J756" t="s">
        <v>5387</v>
      </c>
      <c r="K756" s="1401">
        <v>46228</v>
      </c>
      <c r="L756" s="1401">
        <v>46256</v>
      </c>
      <c r="M756" s="1401">
        <v>46266</v>
      </c>
      <c r="N756" s="1401">
        <v>46265.971226851849</v>
      </c>
      <c r="O756" t="s">
        <v>2434</v>
      </c>
      <c r="P756" s="1401">
        <v>46279</v>
      </c>
      <c r="Q756" s="1401">
        <v>46272.971226851849</v>
      </c>
    </row>
    <row r="757" spans="1:17">
      <c r="A757" t="s">
        <v>5532</v>
      </c>
      <c r="B757" t="s">
        <v>64</v>
      </c>
      <c r="C757" t="s">
        <v>65</v>
      </c>
      <c r="D757" t="s">
        <v>4531</v>
      </c>
      <c r="E757" t="s">
        <v>5102</v>
      </c>
      <c r="F757" t="s">
        <v>103</v>
      </c>
      <c r="G757">
        <v>720</v>
      </c>
      <c r="H757" t="s">
        <v>75</v>
      </c>
      <c r="I757">
        <v>46226</v>
      </c>
      <c r="J757" t="s">
        <v>5534</v>
      </c>
      <c r="K757" s="1401">
        <v>46230</v>
      </c>
      <c r="L757" s="1401">
        <v>46279</v>
      </c>
      <c r="M757" s="1401">
        <v>46285.041666666664</v>
      </c>
      <c r="N757" s="1401">
        <v>46284.921701388892</v>
      </c>
      <c r="O757" t="s">
        <v>2434</v>
      </c>
      <c r="P757" s="1401">
        <v>46297</v>
      </c>
      <c r="Q757" s="1401">
        <v>46292.921701388892</v>
      </c>
    </row>
    <row r="758" spans="1:17">
      <c r="A758" t="s">
        <v>5537</v>
      </c>
      <c r="B758" t="s">
        <v>64</v>
      </c>
      <c r="C758" t="s">
        <v>65</v>
      </c>
      <c r="D758" t="s">
        <v>4531</v>
      </c>
      <c r="E758" t="s">
        <v>1461</v>
      </c>
      <c r="F758" t="s">
        <v>103</v>
      </c>
      <c r="G758">
        <v>720</v>
      </c>
      <c r="H758" t="s">
        <v>75</v>
      </c>
      <c r="I758">
        <v>46226</v>
      </c>
      <c r="J758" t="s">
        <v>5538</v>
      </c>
      <c r="K758" s="1401">
        <v>46230</v>
      </c>
      <c r="L758" s="1401">
        <v>46279</v>
      </c>
      <c r="M758" s="1401">
        <v>46285.041666666664</v>
      </c>
      <c r="N758" s="1401">
        <v>46284.921701388892</v>
      </c>
      <c r="O758" t="s">
        <v>2434</v>
      </c>
      <c r="P758" s="1401">
        <v>46297</v>
      </c>
      <c r="Q758" s="1401">
        <v>46292.921701388892</v>
      </c>
    </row>
    <row r="759" spans="1:17">
      <c r="A759" t="s">
        <v>5608</v>
      </c>
      <c r="B759" t="s">
        <v>64</v>
      </c>
      <c r="C759" t="s">
        <v>65</v>
      </c>
      <c r="D759" t="s">
        <v>550</v>
      </c>
      <c r="E759" t="s">
        <v>551</v>
      </c>
      <c r="F759" t="s">
        <v>2151</v>
      </c>
      <c r="G759">
        <v>2376</v>
      </c>
      <c r="H759" t="s">
        <v>75</v>
      </c>
      <c r="I759">
        <v>46224</v>
      </c>
      <c r="J759" t="s">
        <v>5609</v>
      </c>
      <c r="K759" s="1401">
        <v>46231</v>
      </c>
      <c r="L759" s="1401">
        <v>46274</v>
      </c>
      <c r="M759" s="1401">
        <v>46272.833333333336</v>
      </c>
      <c r="N759" s="1401">
        <v>46272.833333333336</v>
      </c>
      <c r="O759" t="s">
        <v>2434</v>
      </c>
      <c r="P759" s="1401">
        <v>46282</v>
      </c>
      <c r="Q759" s="1401">
        <v>46280.833333333336</v>
      </c>
    </row>
    <row r="760" spans="1:17">
      <c r="A760" t="s">
        <v>5659</v>
      </c>
      <c r="B760" t="s">
        <v>64</v>
      </c>
      <c r="C760" t="s">
        <v>100</v>
      </c>
      <c r="D760" t="s">
        <v>284</v>
      </c>
      <c r="E760" t="s">
        <v>5583</v>
      </c>
      <c r="F760" t="s">
        <v>1570</v>
      </c>
      <c r="G760">
        <v>5040</v>
      </c>
      <c r="H760" t="s">
        <v>75</v>
      </c>
      <c r="I760">
        <v>46224</v>
      </c>
      <c r="J760" t="s">
        <v>5660</v>
      </c>
      <c r="K760" s="1401">
        <v>46229</v>
      </c>
      <c r="L760" s="1401">
        <v>46271</v>
      </c>
      <c r="M760" s="1401">
        <v>46279.958333333336</v>
      </c>
      <c r="N760" s="1401">
        <v>46279</v>
      </c>
      <c r="O760" t="s">
        <v>2434</v>
      </c>
      <c r="P760" s="1401">
        <v>46293</v>
      </c>
      <c r="Q760" s="1401">
        <v>46286</v>
      </c>
    </row>
    <row r="761" spans="1:17">
      <c r="A761" t="s">
        <v>5558</v>
      </c>
      <c r="B761" t="s">
        <v>64</v>
      </c>
      <c r="C761" t="s">
        <v>114</v>
      </c>
      <c r="D761" t="s">
        <v>550</v>
      </c>
      <c r="E761" t="s">
        <v>2134</v>
      </c>
      <c r="F761" t="s">
        <v>2135</v>
      </c>
      <c r="G761">
        <v>144</v>
      </c>
      <c r="H761" t="s">
        <v>75</v>
      </c>
      <c r="I761">
        <v>46220</v>
      </c>
      <c r="J761" t="s">
        <v>5560</v>
      </c>
      <c r="K761" s="1401">
        <v>46229</v>
      </c>
      <c r="L761" s="1401">
        <v>46268</v>
      </c>
      <c r="M761" s="1401">
        <v>46280.541666666664</v>
      </c>
      <c r="N761" s="1401">
        <v>46280.541666666664</v>
      </c>
      <c r="O761" t="s">
        <v>2434</v>
      </c>
      <c r="P761" s="1401">
        <v>46294</v>
      </c>
      <c r="Q761" s="1401">
        <v>46289.541666666664</v>
      </c>
    </row>
    <row r="762" spans="1:17">
      <c r="A762" t="s">
        <v>5563</v>
      </c>
      <c r="B762" t="s">
        <v>64</v>
      </c>
      <c r="C762" t="s">
        <v>114</v>
      </c>
      <c r="D762" t="s">
        <v>550</v>
      </c>
      <c r="E762" t="s">
        <v>2134</v>
      </c>
      <c r="F762" t="s">
        <v>2135</v>
      </c>
      <c r="G762">
        <v>2232</v>
      </c>
      <c r="H762" t="s">
        <v>75</v>
      </c>
      <c r="I762">
        <v>46220</v>
      </c>
      <c r="J762" t="s">
        <v>5564</v>
      </c>
      <c r="K762" s="1401">
        <v>46229</v>
      </c>
      <c r="L762" s="1401">
        <v>46268</v>
      </c>
      <c r="M762" s="1401">
        <v>46280.541666666664</v>
      </c>
      <c r="N762" s="1401">
        <v>46280.541666666664</v>
      </c>
      <c r="O762" t="s">
        <v>2434</v>
      </c>
      <c r="P762" s="1401">
        <v>46294</v>
      </c>
      <c r="Q762" s="1401">
        <v>46289.541666666664</v>
      </c>
    </row>
    <row r="763" spans="1:17">
      <c r="A763" t="s">
        <v>5604</v>
      </c>
      <c r="B763" t="s">
        <v>144</v>
      </c>
      <c r="C763" t="s">
        <v>145</v>
      </c>
      <c r="D763" t="s">
        <v>4531</v>
      </c>
      <c r="E763" t="s">
        <v>4592</v>
      </c>
      <c r="F763" t="s">
        <v>330</v>
      </c>
      <c r="G763">
        <v>3600</v>
      </c>
      <c r="H763" t="s">
        <v>75</v>
      </c>
      <c r="I763">
        <v>46227</v>
      </c>
      <c r="J763" t="s">
        <v>5605</v>
      </c>
      <c r="K763" s="1401">
        <v>46234</v>
      </c>
      <c r="L763" s="1401">
        <v>46277</v>
      </c>
      <c r="M763" s="1401">
        <v>46279.083333333336</v>
      </c>
      <c r="N763" s="1401">
        <v>46279.139525462961</v>
      </c>
      <c r="O763" t="s">
        <v>973</v>
      </c>
      <c r="P763" s="1401">
        <v>46276</v>
      </c>
      <c r="Q763" s="1401">
        <v>46279.139525462961</v>
      </c>
    </row>
    <row r="764" spans="1:17">
      <c r="A764" t="s">
        <v>5629</v>
      </c>
      <c r="B764" t="s">
        <v>64</v>
      </c>
      <c r="C764" t="s">
        <v>65</v>
      </c>
      <c r="D764" t="s">
        <v>4531</v>
      </c>
      <c r="E764" t="s">
        <v>71</v>
      </c>
      <c r="F764" t="s">
        <v>72</v>
      </c>
      <c r="G764">
        <v>864</v>
      </c>
      <c r="H764" t="s">
        <v>75</v>
      </c>
      <c r="I764">
        <v>46228</v>
      </c>
      <c r="J764" t="s">
        <v>5631</v>
      </c>
      <c r="K764" s="1401">
        <v>46233</v>
      </c>
      <c r="L764" s="1401">
        <v>46274</v>
      </c>
      <c r="M764" s="1401">
        <v>46276.625</v>
      </c>
      <c r="N764" s="1401">
        <v>46276.681458333333</v>
      </c>
      <c r="O764" t="s">
        <v>2434</v>
      </c>
      <c r="P764" s="1401">
        <v>46288</v>
      </c>
      <c r="Q764" s="1401">
        <v>46284.681458333333</v>
      </c>
    </row>
    <row r="765" spans="1:17">
      <c r="A765" t="s">
        <v>5701</v>
      </c>
      <c r="B765" t="s">
        <v>144</v>
      </c>
      <c r="C765" t="s">
        <v>145</v>
      </c>
      <c r="D765" t="s">
        <v>4531</v>
      </c>
      <c r="E765" t="s">
        <v>5041</v>
      </c>
      <c r="F765" t="s">
        <v>1807</v>
      </c>
      <c r="G765">
        <v>2970</v>
      </c>
      <c r="H765" t="s">
        <v>75</v>
      </c>
      <c r="I765">
        <v>46233</v>
      </c>
      <c r="J765" t="s">
        <v>5702</v>
      </c>
      <c r="K765" s="1401">
        <v>46235</v>
      </c>
      <c r="L765" s="1401">
        <v>46277</v>
      </c>
      <c r="M765" s="1401">
        <v>46285</v>
      </c>
      <c r="N765" s="1401">
        <v>46285</v>
      </c>
      <c r="O765" t="s">
        <v>973</v>
      </c>
      <c r="P765" s="1401">
        <v>46277</v>
      </c>
      <c r="Q765" s="1401">
        <v>46285</v>
      </c>
    </row>
    <row r="766" spans="1:17">
      <c r="A766" t="s">
        <v>5694</v>
      </c>
      <c r="B766" t="s">
        <v>144</v>
      </c>
      <c r="C766" t="s">
        <v>145</v>
      </c>
      <c r="D766" t="s">
        <v>4531</v>
      </c>
      <c r="E766" t="s">
        <v>5057</v>
      </c>
      <c r="F766" t="s">
        <v>1484</v>
      </c>
      <c r="G766">
        <v>2376</v>
      </c>
      <c r="H766" t="s">
        <v>75</v>
      </c>
      <c r="I766">
        <v>46233</v>
      </c>
      <c r="J766" t="s">
        <v>5695</v>
      </c>
      <c r="K766" s="1401">
        <v>46235</v>
      </c>
      <c r="L766" s="1401">
        <v>46277</v>
      </c>
      <c r="M766" s="1401">
        <v>46285</v>
      </c>
      <c r="N766" s="1401">
        <v>46285</v>
      </c>
      <c r="O766" t="s">
        <v>973</v>
      </c>
      <c r="P766" s="1401">
        <v>46277</v>
      </c>
      <c r="Q766" s="1401">
        <v>46285</v>
      </c>
    </row>
    <row r="767" spans="1:17">
      <c r="A767" t="s">
        <v>5699</v>
      </c>
      <c r="B767" t="s">
        <v>144</v>
      </c>
      <c r="C767" t="s">
        <v>145</v>
      </c>
      <c r="D767" t="s">
        <v>4531</v>
      </c>
      <c r="E767" t="s">
        <v>5057</v>
      </c>
      <c r="F767" t="s">
        <v>1484</v>
      </c>
      <c r="G767">
        <v>3564</v>
      </c>
      <c r="H767" t="s">
        <v>75</v>
      </c>
      <c r="I767">
        <v>46233</v>
      </c>
      <c r="J767" t="s">
        <v>5700</v>
      </c>
      <c r="K767" s="1401">
        <v>46235</v>
      </c>
      <c r="L767" s="1401">
        <v>46277</v>
      </c>
      <c r="M767" s="1401">
        <v>46285</v>
      </c>
      <c r="N767" s="1401">
        <v>46285</v>
      </c>
      <c r="O767" t="s">
        <v>973</v>
      </c>
      <c r="P767" s="1401">
        <v>46276</v>
      </c>
      <c r="Q767" s="1401">
        <v>46285</v>
      </c>
    </row>
    <row r="768" spans="1:17">
      <c r="A768" t="s">
        <v>5812</v>
      </c>
      <c r="B768" t="s">
        <v>64</v>
      </c>
      <c r="C768" t="s">
        <v>100</v>
      </c>
      <c r="D768" t="s">
        <v>284</v>
      </c>
      <c r="E768" t="s">
        <v>5583</v>
      </c>
      <c r="F768" t="s">
        <v>1570</v>
      </c>
      <c r="G768">
        <v>3600</v>
      </c>
      <c r="H768" t="s">
        <v>951</v>
      </c>
      <c r="I768">
        <v>46228</v>
      </c>
      <c r="J768" t="s">
        <v>5813</v>
      </c>
      <c r="K768" s="1401">
        <v>46242</v>
      </c>
      <c r="L768" s="1401">
        <v>46284</v>
      </c>
      <c r="M768" s="1401">
        <v>46306</v>
      </c>
      <c r="N768" s="1401"/>
      <c r="O768" t="s">
        <v>2434</v>
      </c>
      <c r="P768" s="1401">
        <v>46293</v>
      </c>
      <c r="Q768" s="1401">
        <v>46313</v>
      </c>
    </row>
    <row r="769" spans="1:17">
      <c r="A769" t="s">
        <v>5807</v>
      </c>
      <c r="B769" t="s">
        <v>64</v>
      </c>
      <c r="C769" t="s">
        <v>100</v>
      </c>
      <c r="D769" t="s">
        <v>4531</v>
      </c>
      <c r="E769" t="s">
        <v>195</v>
      </c>
      <c r="F769" t="s">
        <v>196</v>
      </c>
      <c r="G769">
        <v>5616</v>
      </c>
      <c r="H769" t="s">
        <v>951</v>
      </c>
      <c r="I769">
        <v>46228</v>
      </c>
      <c r="J769" t="s">
        <v>5808</v>
      </c>
      <c r="K769" s="1401">
        <v>46242</v>
      </c>
      <c r="L769" s="1401">
        <v>46284</v>
      </c>
      <c r="M769" s="1401">
        <v>46306</v>
      </c>
      <c r="N769" s="1401"/>
      <c r="O769" t="s">
        <v>2434</v>
      </c>
      <c r="P769" s="1401">
        <v>46293</v>
      </c>
      <c r="Q769" s="1401">
        <v>46313</v>
      </c>
    </row>
    <row r="770" spans="1:17">
      <c r="A770" t="s">
        <v>5707</v>
      </c>
      <c r="B770" t="s">
        <v>144</v>
      </c>
      <c r="C770" t="s">
        <v>145</v>
      </c>
      <c r="D770" t="s">
        <v>5379</v>
      </c>
      <c r="E770" t="s">
        <v>5400</v>
      </c>
      <c r="F770" t="s">
        <v>5401</v>
      </c>
      <c r="G770">
        <v>3744</v>
      </c>
      <c r="H770" t="s">
        <v>75</v>
      </c>
      <c r="I770">
        <v>46231</v>
      </c>
      <c r="J770" t="s">
        <v>5708</v>
      </c>
      <c r="K770" s="1401">
        <v>46239</v>
      </c>
      <c r="L770" s="1401">
        <v>46274</v>
      </c>
      <c r="M770" s="1401">
        <v>46279.958333333336</v>
      </c>
      <c r="N770" s="1401">
        <v>46279.935393518521</v>
      </c>
      <c r="O770" t="s">
        <v>973</v>
      </c>
      <c r="P770" s="1401">
        <v>46274</v>
      </c>
      <c r="Q770" s="1401">
        <v>46279.935393518521</v>
      </c>
    </row>
    <row r="771" spans="1:17">
      <c r="A771" t="s">
        <v>5791</v>
      </c>
      <c r="B771" t="s">
        <v>144</v>
      </c>
      <c r="C771" t="s">
        <v>145</v>
      </c>
      <c r="D771" t="s">
        <v>70</v>
      </c>
      <c r="E771" t="s">
        <v>965</v>
      </c>
      <c r="F771" t="s">
        <v>966</v>
      </c>
      <c r="G771">
        <v>1872</v>
      </c>
      <c r="H771" t="s">
        <v>951</v>
      </c>
      <c r="I771">
        <v>46232</v>
      </c>
      <c r="J771" t="s">
        <v>5793</v>
      </c>
      <c r="K771" s="1401">
        <v>46239</v>
      </c>
      <c r="L771" s="1401">
        <v>46294</v>
      </c>
      <c r="M771" s="1401">
        <v>46317</v>
      </c>
      <c r="N771" s="1401"/>
      <c r="O771" t="s">
        <v>973</v>
      </c>
      <c r="P771" s="1401">
        <v>46294</v>
      </c>
      <c r="Q771" s="1401">
        <v>46317</v>
      </c>
    </row>
    <row r="772" spans="1:17">
      <c r="A772" t="s">
        <v>5782</v>
      </c>
      <c r="B772" t="s">
        <v>144</v>
      </c>
      <c r="C772" t="s">
        <v>145</v>
      </c>
      <c r="D772" t="s">
        <v>4531</v>
      </c>
      <c r="E772" t="s">
        <v>965</v>
      </c>
      <c r="F772" t="s">
        <v>966</v>
      </c>
      <c r="G772">
        <v>1872</v>
      </c>
      <c r="H772" t="s">
        <v>951</v>
      </c>
      <c r="I772">
        <v>46232</v>
      </c>
      <c r="J772" t="s">
        <v>5786</v>
      </c>
      <c r="K772" s="1401">
        <v>46240</v>
      </c>
      <c r="L772" s="1401">
        <v>46307</v>
      </c>
      <c r="M772" s="1401">
        <v>46332</v>
      </c>
      <c r="N772" s="1401"/>
      <c r="O772" t="s">
        <v>973</v>
      </c>
      <c r="P772" s="1401">
        <v>46307</v>
      </c>
      <c r="Q772" s="1401">
        <v>46332</v>
      </c>
    </row>
    <row r="773" spans="1:17">
      <c r="A773" t="s">
        <v>5690</v>
      </c>
      <c r="B773" t="s">
        <v>64</v>
      </c>
      <c r="C773" t="s">
        <v>100</v>
      </c>
      <c r="D773" t="s">
        <v>550</v>
      </c>
      <c r="E773" t="s">
        <v>2134</v>
      </c>
      <c r="F773" t="s">
        <v>2135</v>
      </c>
      <c r="G773">
        <v>1584</v>
      </c>
      <c r="H773" t="s">
        <v>75</v>
      </c>
      <c r="I773">
        <v>46232</v>
      </c>
      <c r="J773" t="s">
        <v>5691</v>
      </c>
      <c r="K773" s="1401">
        <v>46235</v>
      </c>
      <c r="L773" s="1401">
        <v>46277</v>
      </c>
      <c r="M773" s="1401">
        <v>46285</v>
      </c>
      <c r="N773" s="1401">
        <v>46285</v>
      </c>
      <c r="O773" t="s">
        <v>2434</v>
      </c>
      <c r="P773" s="1401">
        <v>46283</v>
      </c>
      <c r="Q773" s="1401">
        <v>46292</v>
      </c>
    </row>
    <row r="774" spans="1:17">
      <c r="A774" t="s">
        <v>5517</v>
      </c>
      <c r="B774" t="s">
        <v>64</v>
      </c>
      <c r="C774" t="s">
        <v>310</v>
      </c>
      <c r="D774" t="s">
        <v>550</v>
      </c>
      <c r="E774" t="s">
        <v>2134</v>
      </c>
      <c r="F774" t="s">
        <v>2135</v>
      </c>
      <c r="G774">
        <v>2376</v>
      </c>
      <c r="H774" t="s">
        <v>75</v>
      </c>
      <c r="I774">
        <v>46227</v>
      </c>
      <c r="J774" t="s">
        <v>5518</v>
      </c>
      <c r="K774" s="1401">
        <v>46230</v>
      </c>
      <c r="L774" s="1401">
        <v>46274</v>
      </c>
      <c r="M774" s="1401">
        <v>46288.666666666664</v>
      </c>
      <c r="N774" s="1401">
        <v>46288.792233796295</v>
      </c>
      <c r="O774" t="s">
        <v>2434</v>
      </c>
      <c r="P774" s="1401">
        <v>46293</v>
      </c>
      <c r="Q774" s="1401">
        <v>46298.792233796295</v>
      </c>
    </row>
    <row r="775" spans="1:17">
      <c r="A775" t="s">
        <v>5678</v>
      </c>
      <c r="B775" t="s">
        <v>64</v>
      </c>
      <c r="C775" t="s">
        <v>100</v>
      </c>
      <c r="D775" t="s">
        <v>132</v>
      </c>
      <c r="E775" t="s">
        <v>1062</v>
      </c>
      <c r="F775" t="s">
        <v>1063</v>
      </c>
      <c r="G775">
        <v>4320</v>
      </c>
      <c r="H775" t="s">
        <v>75</v>
      </c>
      <c r="I775">
        <v>46232</v>
      </c>
      <c r="J775" t="s">
        <v>5679</v>
      </c>
      <c r="K775" s="1401">
        <v>46235</v>
      </c>
      <c r="L775" s="1401">
        <v>46277</v>
      </c>
      <c r="M775" s="1401">
        <v>46285</v>
      </c>
      <c r="N775" s="1401">
        <v>46285</v>
      </c>
      <c r="O775" t="s">
        <v>2434</v>
      </c>
      <c r="P775" s="1401">
        <v>46290</v>
      </c>
      <c r="Q775" s="1401">
        <v>46292</v>
      </c>
    </row>
    <row r="776" spans="1:17">
      <c r="A776" t="s">
        <v>5676</v>
      </c>
      <c r="B776" t="s">
        <v>64</v>
      </c>
      <c r="C776" t="s">
        <v>450</v>
      </c>
      <c r="D776" t="s">
        <v>550</v>
      </c>
      <c r="E776" t="s">
        <v>2134</v>
      </c>
      <c r="F776" t="s">
        <v>2135</v>
      </c>
      <c r="G776">
        <v>792</v>
      </c>
      <c r="H776" t="s">
        <v>75</v>
      </c>
      <c r="I776">
        <v>46234</v>
      </c>
      <c r="J776" t="s">
        <v>5677</v>
      </c>
      <c r="K776" s="1401">
        <v>46239</v>
      </c>
      <c r="L776" s="1401">
        <v>46278</v>
      </c>
      <c r="M776" s="1401">
        <v>46286.270833333336</v>
      </c>
      <c r="N776" s="1401">
        <v>46286.275081018517</v>
      </c>
      <c r="O776" t="s">
        <v>2434</v>
      </c>
      <c r="P776" s="1401">
        <v>46288</v>
      </c>
      <c r="Q776" s="1401">
        <v>46293.275081018517</v>
      </c>
    </row>
    <row r="777" spans="1:17">
      <c r="A777" t="s">
        <v>5692</v>
      </c>
      <c r="B777" t="s">
        <v>64</v>
      </c>
      <c r="C777" t="s">
        <v>100</v>
      </c>
      <c r="D777" t="s">
        <v>132</v>
      </c>
      <c r="E777" t="s">
        <v>1062</v>
      </c>
      <c r="F777" t="s">
        <v>1063</v>
      </c>
      <c r="G777">
        <v>2592</v>
      </c>
      <c r="H777" t="s">
        <v>75</v>
      </c>
      <c r="I777">
        <v>46232</v>
      </c>
      <c r="J777" t="s">
        <v>5693</v>
      </c>
      <c r="K777" s="1401">
        <v>46235</v>
      </c>
      <c r="L777" s="1401">
        <v>46277</v>
      </c>
      <c r="M777" s="1401">
        <v>46285</v>
      </c>
      <c r="N777" s="1401">
        <v>46285</v>
      </c>
      <c r="O777" t="s">
        <v>2434</v>
      </c>
      <c r="P777" s="1401">
        <v>46290</v>
      </c>
      <c r="Q777" s="1401">
        <v>46292</v>
      </c>
    </row>
    <row r="778" spans="1:17">
      <c r="A778" t="s">
        <v>5721</v>
      </c>
      <c r="B778" t="s">
        <v>64</v>
      </c>
      <c r="C778" t="s">
        <v>100</v>
      </c>
      <c r="D778" t="s">
        <v>132</v>
      </c>
      <c r="E778" t="s">
        <v>1062</v>
      </c>
      <c r="F778" t="s">
        <v>1063</v>
      </c>
      <c r="G778">
        <v>2592</v>
      </c>
      <c r="H778" t="s">
        <v>75</v>
      </c>
      <c r="I778">
        <v>46230</v>
      </c>
      <c r="J778" t="s">
        <v>5722</v>
      </c>
      <c r="K778" s="1401">
        <v>46237</v>
      </c>
      <c r="L778" s="1401">
        <v>46274</v>
      </c>
      <c r="M778" s="1401">
        <v>46283.875</v>
      </c>
      <c r="N778" s="1401">
        <v>46283.912627314814</v>
      </c>
      <c r="O778" t="s">
        <v>2434</v>
      </c>
      <c r="P778" s="1401">
        <v>46296</v>
      </c>
      <c r="Q778" s="1401">
        <v>46290.912627314814</v>
      </c>
    </row>
    <row r="779" spans="1:17">
      <c r="A779" t="s">
        <v>5672</v>
      </c>
      <c r="B779" t="s">
        <v>64</v>
      </c>
      <c r="C779" t="s">
        <v>450</v>
      </c>
      <c r="D779" t="s">
        <v>550</v>
      </c>
      <c r="E779" t="s">
        <v>2134</v>
      </c>
      <c r="F779" t="s">
        <v>2135</v>
      </c>
      <c r="G779">
        <v>792</v>
      </c>
      <c r="H779" t="s">
        <v>75</v>
      </c>
      <c r="I779">
        <v>46234</v>
      </c>
      <c r="J779" t="s">
        <v>5673</v>
      </c>
      <c r="K779" s="1401">
        <v>46239</v>
      </c>
      <c r="L779" s="1401">
        <v>46278</v>
      </c>
      <c r="M779" s="1401">
        <v>46286.270833333336</v>
      </c>
      <c r="N779" s="1401">
        <v>46286.275081018517</v>
      </c>
      <c r="O779" t="s">
        <v>2434</v>
      </c>
      <c r="P779" s="1401">
        <v>46288</v>
      </c>
      <c r="Q779" s="1401">
        <v>46293.275081018517</v>
      </c>
    </row>
    <row r="780" spans="1:17">
      <c r="A780" t="s">
        <v>5803</v>
      </c>
      <c r="B780" t="s">
        <v>64</v>
      </c>
      <c r="C780" t="s">
        <v>450</v>
      </c>
      <c r="D780" t="s">
        <v>4531</v>
      </c>
      <c r="E780" t="s">
        <v>1151</v>
      </c>
      <c r="F780" t="s">
        <v>421</v>
      </c>
      <c r="G780">
        <v>864</v>
      </c>
      <c r="H780" t="s">
        <v>75</v>
      </c>
      <c r="I780">
        <v>46231</v>
      </c>
      <c r="J780" t="s">
        <v>5804</v>
      </c>
      <c r="K780" s="1401">
        <v>46237</v>
      </c>
      <c r="L780" s="1401">
        <v>46292</v>
      </c>
      <c r="M780" s="1401">
        <v>46299.291666666664</v>
      </c>
      <c r="N780" s="1401">
        <v>46299</v>
      </c>
      <c r="O780" t="s">
        <v>2434</v>
      </c>
      <c r="P780" s="1401">
        <v>46308</v>
      </c>
      <c r="Q780" s="1401">
        <v>46306</v>
      </c>
    </row>
    <row r="781" spans="1:17">
      <c r="A781" t="s">
        <v>5760</v>
      </c>
      <c r="B781" t="s">
        <v>64</v>
      </c>
      <c r="C781" t="s">
        <v>100</v>
      </c>
      <c r="D781" t="s">
        <v>4531</v>
      </c>
      <c r="E781" t="s">
        <v>1151</v>
      </c>
      <c r="F781" t="s">
        <v>421</v>
      </c>
      <c r="G781">
        <v>4320</v>
      </c>
      <c r="H781" t="s">
        <v>75</v>
      </c>
      <c r="I781">
        <v>46233</v>
      </c>
      <c r="J781" t="s">
        <v>5761</v>
      </c>
      <c r="K781" s="1401">
        <v>46238</v>
      </c>
      <c r="L781" s="1401">
        <v>46274</v>
      </c>
      <c r="M781" s="1401">
        <v>46279.958333333336</v>
      </c>
      <c r="N781" s="1401">
        <v>46279.958333333336</v>
      </c>
      <c r="O781" t="s">
        <v>2434</v>
      </c>
      <c r="P781" s="1401">
        <v>46293</v>
      </c>
      <c r="Q781" s="1401">
        <v>46286.958333333336</v>
      </c>
    </row>
    <row r="782" spans="1:17">
      <c r="A782" t="s">
        <v>5814</v>
      </c>
      <c r="B782" t="s">
        <v>64</v>
      </c>
      <c r="C782" t="s">
        <v>100</v>
      </c>
      <c r="D782" t="s">
        <v>70</v>
      </c>
      <c r="E782" t="s">
        <v>195</v>
      </c>
      <c r="F782" t="s">
        <v>196</v>
      </c>
      <c r="G782">
        <v>1872</v>
      </c>
      <c r="H782" t="s">
        <v>75</v>
      </c>
      <c r="I782">
        <v>46229</v>
      </c>
      <c r="J782" t="s">
        <v>5815</v>
      </c>
      <c r="K782" s="1401">
        <v>46235</v>
      </c>
      <c r="L782" s="1401">
        <v>46281</v>
      </c>
      <c r="M782" s="1401">
        <v>46284.875</v>
      </c>
      <c r="N782" s="1401">
        <v>46285.134953703702</v>
      </c>
      <c r="O782" t="s">
        <v>2434</v>
      </c>
      <c r="P782" s="1401">
        <v>46300</v>
      </c>
      <c r="Q782" s="1401">
        <v>46292.134953703702</v>
      </c>
    </row>
    <row r="783" spans="1:17">
      <c r="A783" t="s">
        <v>5798</v>
      </c>
      <c r="B783" t="s">
        <v>64</v>
      </c>
      <c r="C783" t="s">
        <v>450</v>
      </c>
      <c r="D783" t="s">
        <v>4531</v>
      </c>
      <c r="E783" t="s">
        <v>195</v>
      </c>
      <c r="F783" t="s">
        <v>196</v>
      </c>
      <c r="G783">
        <v>936</v>
      </c>
      <c r="H783" t="s">
        <v>75</v>
      </c>
      <c r="I783">
        <v>46231</v>
      </c>
      <c r="J783" t="s">
        <v>5799</v>
      </c>
      <c r="K783" s="1401">
        <v>46236</v>
      </c>
      <c r="L783" s="1401">
        <v>46285</v>
      </c>
      <c r="M783" s="1401">
        <v>46299.291666666664</v>
      </c>
      <c r="N783" s="1401">
        <v>46299</v>
      </c>
      <c r="O783" t="s">
        <v>2434</v>
      </c>
      <c r="P783" s="1401">
        <v>46308</v>
      </c>
      <c r="Q783" s="1401">
        <v>46306</v>
      </c>
    </row>
    <row r="784" spans="1:17">
      <c r="A784" t="s">
        <v>5912</v>
      </c>
      <c r="B784" t="s">
        <v>144</v>
      </c>
      <c r="C784" t="s">
        <v>145</v>
      </c>
      <c r="D784" t="s">
        <v>4531</v>
      </c>
      <c r="E784" t="s">
        <v>4592</v>
      </c>
      <c r="F784" t="s">
        <v>330</v>
      </c>
      <c r="G784">
        <v>720</v>
      </c>
      <c r="H784" t="s">
        <v>75</v>
      </c>
      <c r="I784">
        <v>46238</v>
      </c>
      <c r="J784" t="s">
        <v>5913</v>
      </c>
      <c r="K784" s="1401">
        <v>46237</v>
      </c>
      <c r="L784" s="1401">
        <v>46274</v>
      </c>
      <c r="M784" s="1401">
        <v>46284</v>
      </c>
      <c r="N784" s="1401">
        <v>46287</v>
      </c>
      <c r="O784" t="s">
        <v>973</v>
      </c>
      <c r="P784" s="1401">
        <v>46274</v>
      </c>
      <c r="Q784" s="1401">
        <v>46287</v>
      </c>
    </row>
    <row r="785" spans="1:17">
      <c r="A785" t="s">
        <v>5897</v>
      </c>
      <c r="B785" t="s">
        <v>64</v>
      </c>
      <c r="C785" t="s">
        <v>100</v>
      </c>
      <c r="D785" t="s">
        <v>4531</v>
      </c>
      <c r="E785" t="s">
        <v>4592</v>
      </c>
      <c r="F785" t="s">
        <v>330</v>
      </c>
      <c r="G785">
        <v>1440</v>
      </c>
      <c r="H785" t="s">
        <v>75</v>
      </c>
      <c r="I785">
        <v>46238</v>
      </c>
      <c r="J785" t="s">
        <v>5899</v>
      </c>
      <c r="K785" s="1401">
        <v>46237</v>
      </c>
      <c r="L785" s="1401">
        <v>46274</v>
      </c>
      <c r="M785" s="1401">
        <v>46284</v>
      </c>
      <c r="N785" s="1401">
        <v>46287</v>
      </c>
      <c r="O785" t="s">
        <v>2434</v>
      </c>
      <c r="P785" s="1401">
        <v>46295</v>
      </c>
      <c r="Q785" s="1401">
        <v>46294</v>
      </c>
    </row>
    <row r="786" spans="1:17">
      <c r="A786" t="s">
        <v>5908</v>
      </c>
      <c r="B786" t="s">
        <v>144</v>
      </c>
      <c r="C786" t="s">
        <v>145</v>
      </c>
      <c r="D786" t="s">
        <v>4531</v>
      </c>
      <c r="E786" t="s">
        <v>4592</v>
      </c>
      <c r="F786" t="s">
        <v>330</v>
      </c>
      <c r="G786">
        <v>2880</v>
      </c>
      <c r="H786" t="s">
        <v>75</v>
      </c>
      <c r="I786">
        <v>46238</v>
      </c>
      <c r="J786" t="s">
        <v>5909</v>
      </c>
      <c r="K786" s="1401">
        <v>46237</v>
      </c>
      <c r="L786" s="1401">
        <v>46274</v>
      </c>
      <c r="M786" s="1401">
        <v>46284</v>
      </c>
      <c r="N786" s="1401">
        <v>46287</v>
      </c>
      <c r="O786" t="s">
        <v>973</v>
      </c>
      <c r="P786" s="1401">
        <v>46274</v>
      </c>
      <c r="Q786" s="1401">
        <v>46287</v>
      </c>
    </row>
    <row r="787" spans="1:17">
      <c r="A787" t="s">
        <v>5703</v>
      </c>
      <c r="B787" t="s">
        <v>144</v>
      </c>
      <c r="C787" t="s">
        <v>145</v>
      </c>
      <c r="D787" t="s">
        <v>4531</v>
      </c>
      <c r="E787" t="s">
        <v>4592</v>
      </c>
      <c r="F787" t="s">
        <v>330</v>
      </c>
      <c r="G787">
        <v>4320</v>
      </c>
      <c r="H787" t="s">
        <v>75</v>
      </c>
      <c r="I787">
        <v>46237</v>
      </c>
      <c r="J787" t="s">
        <v>5704</v>
      </c>
      <c r="K787" s="1401">
        <v>46239</v>
      </c>
      <c r="L787" s="1401">
        <v>46274</v>
      </c>
      <c r="M787" s="1401">
        <v>46279.958333333336</v>
      </c>
      <c r="N787" s="1401">
        <v>46279.958333333336</v>
      </c>
      <c r="O787" t="s">
        <v>973</v>
      </c>
      <c r="P787" s="1401">
        <v>46280</v>
      </c>
      <c r="Q787" s="1401">
        <v>46279.958333333336</v>
      </c>
    </row>
    <row r="788" spans="1:17">
      <c r="A788" t="s">
        <v>5665</v>
      </c>
      <c r="B788" t="s">
        <v>64</v>
      </c>
      <c r="C788" t="s">
        <v>450</v>
      </c>
      <c r="D788" t="s">
        <v>4531</v>
      </c>
      <c r="E788" t="s">
        <v>1151</v>
      </c>
      <c r="F788" t="s">
        <v>421</v>
      </c>
      <c r="G788">
        <v>2592</v>
      </c>
      <c r="H788" t="s">
        <v>75</v>
      </c>
      <c r="I788">
        <v>46234</v>
      </c>
      <c r="J788" t="s">
        <v>5668</v>
      </c>
      <c r="K788" s="1401">
        <v>46239</v>
      </c>
      <c r="L788" s="1401">
        <v>46278</v>
      </c>
      <c r="M788" s="1401">
        <v>46286.270833333336</v>
      </c>
      <c r="N788" s="1401">
        <v>46286.275081018517</v>
      </c>
      <c r="O788" t="s">
        <v>2434</v>
      </c>
      <c r="P788" s="1401">
        <v>46288</v>
      </c>
      <c r="Q788" s="1401">
        <v>46293.275081018517</v>
      </c>
    </row>
    <row r="789" spans="1:17">
      <c r="A789" t="s">
        <v>5764</v>
      </c>
      <c r="B789" t="s">
        <v>64</v>
      </c>
      <c r="C789" t="s">
        <v>65</v>
      </c>
      <c r="D789" t="s">
        <v>4531</v>
      </c>
      <c r="E789" t="s">
        <v>1151</v>
      </c>
      <c r="F789" t="s">
        <v>421</v>
      </c>
      <c r="G789">
        <v>864</v>
      </c>
      <c r="H789" t="s">
        <v>75</v>
      </c>
      <c r="I789">
        <v>46234</v>
      </c>
      <c r="J789" t="s">
        <v>5765</v>
      </c>
      <c r="K789" s="1401">
        <v>46238</v>
      </c>
      <c r="L789" s="1401">
        <v>46281</v>
      </c>
      <c r="M789" s="1401">
        <v>46283.416666666664</v>
      </c>
      <c r="N789" s="1401">
        <v>46283.4372337963</v>
      </c>
      <c r="O789" t="s">
        <v>2434</v>
      </c>
      <c r="P789" s="1401">
        <v>46295</v>
      </c>
      <c r="Q789" s="1401">
        <v>46291.4372337963</v>
      </c>
    </row>
    <row r="790" spans="1:17">
      <c r="A790" t="s">
        <v>5758</v>
      </c>
      <c r="B790" t="s">
        <v>64</v>
      </c>
      <c r="C790" t="s">
        <v>100</v>
      </c>
      <c r="D790" t="s">
        <v>132</v>
      </c>
      <c r="E790" t="s">
        <v>1062</v>
      </c>
      <c r="F790" t="s">
        <v>1063</v>
      </c>
      <c r="G790">
        <v>2592</v>
      </c>
      <c r="H790" t="s">
        <v>75</v>
      </c>
      <c r="I790">
        <v>46234</v>
      </c>
      <c r="J790" t="s">
        <v>5759</v>
      </c>
      <c r="K790" s="1401">
        <v>46242</v>
      </c>
      <c r="L790" s="1401">
        <v>46284</v>
      </c>
      <c r="M790" s="1401">
        <v>46293</v>
      </c>
      <c r="N790" s="1401">
        <v>46293</v>
      </c>
      <c r="O790" t="s">
        <v>2434</v>
      </c>
      <c r="P790" s="1401">
        <v>46290</v>
      </c>
      <c r="Q790" s="1401">
        <v>46300</v>
      </c>
    </row>
    <row r="791" spans="1:17">
      <c r="A791" t="s">
        <v>5596</v>
      </c>
      <c r="B791" t="s">
        <v>64</v>
      </c>
      <c r="C791" t="s">
        <v>100</v>
      </c>
      <c r="D791" t="s">
        <v>4531</v>
      </c>
      <c r="E791" t="s">
        <v>5090</v>
      </c>
      <c r="F791" t="s">
        <v>330</v>
      </c>
      <c r="G791">
        <v>4320</v>
      </c>
      <c r="H791" t="s">
        <v>75</v>
      </c>
      <c r="I791">
        <v>46231</v>
      </c>
      <c r="J791" t="s">
        <v>5598</v>
      </c>
      <c r="K791" s="1401">
        <v>46236</v>
      </c>
      <c r="L791" s="1401">
        <v>46273</v>
      </c>
      <c r="M791" s="1401">
        <v>46279.5</v>
      </c>
      <c r="N791" s="1401">
        <v>46284</v>
      </c>
      <c r="O791" t="s">
        <v>2434</v>
      </c>
      <c r="P791" s="1401">
        <v>46287</v>
      </c>
      <c r="Q791" s="1401">
        <v>46291</v>
      </c>
    </row>
    <row r="792" spans="1:17">
      <c r="A792" t="s">
        <v>5635</v>
      </c>
      <c r="B792" t="s">
        <v>64</v>
      </c>
      <c r="C792" t="s">
        <v>65</v>
      </c>
      <c r="D792" t="s">
        <v>4531</v>
      </c>
      <c r="E792" t="s">
        <v>71</v>
      </c>
      <c r="F792" t="s">
        <v>72</v>
      </c>
      <c r="G792">
        <v>864</v>
      </c>
      <c r="H792" t="s">
        <v>75</v>
      </c>
      <c r="I792">
        <v>46228</v>
      </c>
      <c r="J792" t="s">
        <v>5636</v>
      </c>
      <c r="K792" s="1401">
        <v>46234</v>
      </c>
      <c r="L792" s="1401">
        <v>46279</v>
      </c>
      <c r="M792" s="1401">
        <v>46285.041666666664</v>
      </c>
      <c r="N792" s="1401">
        <v>46284.921701388892</v>
      </c>
      <c r="O792" t="s">
        <v>2434</v>
      </c>
      <c r="P792" s="1401">
        <v>46297</v>
      </c>
      <c r="Q792" s="1401">
        <v>46292.921701388892</v>
      </c>
    </row>
    <row r="793" spans="1:17">
      <c r="A793" t="s">
        <v>5639</v>
      </c>
      <c r="B793" t="s">
        <v>64</v>
      </c>
      <c r="C793" t="s">
        <v>65</v>
      </c>
      <c r="D793" t="s">
        <v>4531</v>
      </c>
      <c r="E793" t="s">
        <v>71</v>
      </c>
      <c r="F793" t="s">
        <v>72</v>
      </c>
      <c r="G793">
        <v>864</v>
      </c>
      <c r="H793" t="s">
        <v>951</v>
      </c>
      <c r="I793">
        <v>46233</v>
      </c>
      <c r="J793" t="s">
        <v>5640</v>
      </c>
      <c r="K793" s="1401">
        <v>46235</v>
      </c>
      <c r="L793" s="1401">
        <v>46286</v>
      </c>
      <c r="M793" s="1401">
        <v>46316.916666666664</v>
      </c>
      <c r="N793" s="1401" t="s">
        <v>2525</v>
      </c>
      <c r="O793" t="s">
        <v>2434</v>
      </c>
      <c r="P793" s="1401">
        <v>46321</v>
      </c>
      <c r="Q793" s="1401">
        <v>46324.916666666664</v>
      </c>
    </row>
    <row r="794" spans="1:17">
      <c r="A794" t="s">
        <v>5820</v>
      </c>
      <c r="B794" t="s">
        <v>64</v>
      </c>
      <c r="C794" t="s">
        <v>65</v>
      </c>
      <c r="D794" t="s">
        <v>4531</v>
      </c>
      <c r="E794" t="s">
        <v>691</v>
      </c>
      <c r="F794" t="s">
        <v>692</v>
      </c>
      <c r="G794">
        <v>864</v>
      </c>
      <c r="H794" t="s">
        <v>951</v>
      </c>
      <c r="I794">
        <v>46229</v>
      </c>
      <c r="J794" t="s">
        <v>5821</v>
      </c>
      <c r="K794" s="1401">
        <v>46235</v>
      </c>
      <c r="L794" s="1401">
        <v>46310</v>
      </c>
      <c r="M794" s="1401">
        <v>46320.25</v>
      </c>
      <c r="N794" s="1401" t="s">
        <v>2525</v>
      </c>
      <c r="O794" t="s">
        <v>2434</v>
      </c>
      <c r="P794" s="1401">
        <v>46324</v>
      </c>
      <c r="Q794" s="1401">
        <v>46328.25</v>
      </c>
    </row>
    <row r="795" spans="1:17">
      <c r="A795" t="s">
        <v>5684</v>
      </c>
      <c r="B795" t="s">
        <v>64</v>
      </c>
      <c r="C795" t="s">
        <v>100</v>
      </c>
      <c r="D795" t="s">
        <v>5379</v>
      </c>
      <c r="E795" t="s">
        <v>5380</v>
      </c>
      <c r="F795" t="s">
        <v>5381</v>
      </c>
      <c r="G795">
        <v>936</v>
      </c>
      <c r="H795" t="s">
        <v>75</v>
      </c>
      <c r="I795">
        <v>46232</v>
      </c>
      <c r="J795" t="s">
        <v>5685</v>
      </c>
      <c r="K795" s="1401">
        <v>46235</v>
      </c>
      <c r="L795" s="1401">
        <v>46277</v>
      </c>
      <c r="M795" s="1401">
        <v>46285</v>
      </c>
      <c r="N795" s="1401">
        <v>46285</v>
      </c>
      <c r="O795" t="s">
        <v>2434</v>
      </c>
      <c r="P795" s="1401">
        <v>46290</v>
      </c>
      <c r="Q795" s="1401">
        <v>46292</v>
      </c>
    </row>
    <row r="796" spans="1:17">
      <c r="A796" t="s">
        <v>5602</v>
      </c>
      <c r="B796" t="s">
        <v>64</v>
      </c>
      <c r="C796" t="s">
        <v>100</v>
      </c>
      <c r="D796" t="s">
        <v>5379</v>
      </c>
      <c r="E796" t="s">
        <v>5400</v>
      </c>
      <c r="F796" t="s">
        <v>5401</v>
      </c>
      <c r="G796">
        <v>936</v>
      </c>
      <c r="H796" t="s">
        <v>75</v>
      </c>
      <c r="I796">
        <v>46231</v>
      </c>
      <c r="J796" t="s">
        <v>5603</v>
      </c>
      <c r="K796" s="1401">
        <v>46236</v>
      </c>
      <c r="L796" s="1401">
        <v>46273</v>
      </c>
      <c r="M796" s="1401">
        <v>46279.5</v>
      </c>
      <c r="N796" s="1401">
        <v>46284</v>
      </c>
      <c r="O796" t="s">
        <v>2434</v>
      </c>
      <c r="P796" s="1401">
        <v>46287</v>
      </c>
      <c r="Q796" s="1401">
        <v>46291</v>
      </c>
    </row>
    <row r="797" spans="1:17">
      <c r="A797" t="s">
        <v>5715</v>
      </c>
      <c r="B797" t="s">
        <v>64</v>
      </c>
      <c r="C797" t="s">
        <v>100</v>
      </c>
      <c r="D797" t="s">
        <v>5379</v>
      </c>
      <c r="E797" t="s">
        <v>5400</v>
      </c>
      <c r="F797" t="s">
        <v>5401</v>
      </c>
      <c r="G797">
        <v>1872</v>
      </c>
      <c r="H797" t="s">
        <v>75</v>
      </c>
      <c r="I797">
        <v>46230</v>
      </c>
      <c r="J797" t="s">
        <v>5717</v>
      </c>
      <c r="K797" s="1401">
        <v>46237</v>
      </c>
      <c r="L797" s="1401">
        <v>46274</v>
      </c>
      <c r="M797" s="1401">
        <v>46283.875</v>
      </c>
      <c r="N797" s="1401">
        <v>46283.912627314814</v>
      </c>
      <c r="O797" t="s">
        <v>2434</v>
      </c>
      <c r="P797" s="1401">
        <v>46296</v>
      </c>
      <c r="Q797" s="1401">
        <v>46290.912627314814</v>
      </c>
    </row>
    <row r="798" spans="1:17">
      <c r="A798" t="s">
        <v>5688</v>
      </c>
      <c r="B798" t="s">
        <v>64</v>
      </c>
      <c r="C798" t="s">
        <v>100</v>
      </c>
      <c r="D798" t="s">
        <v>5379</v>
      </c>
      <c r="E798" t="s">
        <v>5380</v>
      </c>
      <c r="F798" t="s">
        <v>5381</v>
      </c>
      <c r="G798">
        <v>1872</v>
      </c>
      <c r="H798" t="s">
        <v>75</v>
      </c>
      <c r="I798">
        <v>46232</v>
      </c>
      <c r="J798" t="s">
        <v>5689</v>
      </c>
      <c r="K798" s="1401">
        <v>46235</v>
      </c>
      <c r="L798" s="1401">
        <v>46277</v>
      </c>
      <c r="M798" s="1401">
        <v>46285</v>
      </c>
      <c r="N798" s="1401">
        <v>46285</v>
      </c>
      <c r="O798" t="s">
        <v>2434</v>
      </c>
      <c r="P798" s="1401">
        <v>46290</v>
      </c>
      <c r="Q798" s="1401">
        <v>46292</v>
      </c>
    </row>
    <row r="799" spans="1:17">
      <c r="A799" t="s">
        <v>5711</v>
      </c>
      <c r="B799" t="s">
        <v>64</v>
      </c>
      <c r="C799" t="s">
        <v>100</v>
      </c>
      <c r="D799" t="s">
        <v>5379</v>
      </c>
      <c r="E799" t="s">
        <v>5380</v>
      </c>
      <c r="F799" t="s">
        <v>5381</v>
      </c>
      <c r="G799">
        <v>936</v>
      </c>
      <c r="H799" t="s">
        <v>75</v>
      </c>
      <c r="I799">
        <v>46231</v>
      </c>
      <c r="J799" t="s">
        <v>5712</v>
      </c>
      <c r="K799" s="1401">
        <v>46239</v>
      </c>
      <c r="L799" s="1401">
        <v>46274</v>
      </c>
      <c r="M799" s="1401">
        <v>46279.958333333336</v>
      </c>
      <c r="N799" s="1401">
        <v>46279.935393518521</v>
      </c>
      <c r="O799" t="s">
        <v>2434</v>
      </c>
      <c r="P799" s="1401">
        <v>46293</v>
      </c>
      <c r="Q799" s="1401">
        <v>46286.935393518521</v>
      </c>
    </row>
    <row r="800" spans="1:17">
      <c r="A800" t="s">
        <v>5824</v>
      </c>
      <c r="B800" t="s">
        <v>64</v>
      </c>
      <c r="C800" t="s">
        <v>65</v>
      </c>
      <c r="D800" t="s">
        <v>4531</v>
      </c>
      <c r="E800" t="s">
        <v>691</v>
      </c>
      <c r="F800" t="s">
        <v>692</v>
      </c>
      <c r="G800">
        <v>1728</v>
      </c>
      <c r="H800" t="s">
        <v>75</v>
      </c>
      <c r="I800">
        <v>46229</v>
      </c>
      <c r="J800" t="s">
        <v>5825</v>
      </c>
      <c r="K800" s="1401">
        <v>46235</v>
      </c>
      <c r="L800" s="1401">
        <v>46295</v>
      </c>
      <c r="M800" s="1401">
        <v>46297.25</v>
      </c>
      <c r="N800" s="1401">
        <v>46296</v>
      </c>
      <c r="O800" t="s">
        <v>2434</v>
      </c>
      <c r="P800" s="1401">
        <v>46309</v>
      </c>
      <c r="Q800" s="1401">
        <v>46304</v>
      </c>
    </row>
    <row r="801" spans="1:17">
      <c r="A801" t="s">
        <v>5542</v>
      </c>
      <c r="B801" t="s">
        <v>64</v>
      </c>
      <c r="C801" t="s">
        <v>114</v>
      </c>
      <c r="D801" t="s">
        <v>132</v>
      </c>
      <c r="E801" t="s">
        <v>5543</v>
      </c>
      <c r="F801" t="s">
        <v>5544</v>
      </c>
      <c r="G801">
        <v>660</v>
      </c>
      <c r="H801" t="s">
        <v>75</v>
      </c>
      <c r="I801">
        <v>46227</v>
      </c>
      <c r="J801" t="s">
        <v>5545</v>
      </c>
      <c r="K801" s="1401">
        <v>46230</v>
      </c>
      <c r="L801" s="1401">
        <v>46282</v>
      </c>
      <c r="M801" s="1401">
        <v>46296.25</v>
      </c>
      <c r="N801" s="1401">
        <v>46295</v>
      </c>
      <c r="O801" t="s">
        <v>2434</v>
      </c>
      <c r="P801" s="1401">
        <v>46300</v>
      </c>
      <c r="Q801" s="1401">
        <v>46304</v>
      </c>
    </row>
    <row r="802" spans="1:17">
      <c r="A802" t="s">
        <v>5686</v>
      </c>
      <c r="B802" t="s">
        <v>64</v>
      </c>
      <c r="C802" t="s">
        <v>100</v>
      </c>
      <c r="D802" t="s">
        <v>132</v>
      </c>
      <c r="E802" t="s">
        <v>1062</v>
      </c>
      <c r="F802" t="s">
        <v>1063</v>
      </c>
      <c r="G802">
        <v>1728</v>
      </c>
      <c r="H802" t="s">
        <v>75</v>
      </c>
      <c r="I802">
        <v>46232</v>
      </c>
      <c r="J802" t="s">
        <v>5687</v>
      </c>
      <c r="K802" s="1401">
        <v>46235</v>
      </c>
      <c r="L802" s="1401">
        <v>46277</v>
      </c>
      <c r="M802" s="1401">
        <v>46285</v>
      </c>
      <c r="N802" s="1401">
        <v>46285</v>
      </c>
      <c r="O802" t="s">
        <v>2434</v>
      </c>
      <c r="P802" s="1401">
        <v>46283</v>
      </c>
      <c r="Q802" s="1401">
        <v>46292</v>
      </c>
    </row>
    <row r="803" spans="1:17">
      <c r="A803" t="s">
        <v>5738</v>
      </c>
      <c r="B803" t="s">
        <v>64</v>
      </c>
      <c r="C803" t="s">
        <v>65</v>
      </c>
      <c r="D803" t="s">
        <v>550</v>
      </c>
      <c r="E803" t="s">
        <v>551</v>
      </c>
      <c r="F803" t="s">
        <v>2151</v>
      </c>
      <c r="G803">
        <v>1584</v>
      </c>
      <c r="H803" t="s">
        <v>75</v>
      </c>
      <c r="I803">
        <v>46230</v>
      </c>
      <c r="J803" t="s">
        <v>5739</v>
      </c>
      <c r="K803" s="1401">
        <v>46238</v>
      </c>
      <c r="L803" s="1401">
        <v>46281</v>
      </c>
      <c r="M803" s="1401">
        <v>46283.416666666664</v>
      </c>
      <c r="N803" s="1401">
        <v>46283.4372337963</v>
      </c>
      <c r="O803" t="s">
        <v>2434</v>
      </c>
      <c r="P803" s="1401">
        <v>46289</v>
      </c>
      <c r="Q803" s="1401">
        <v>46291.4372337963</v>
      </c>
    </row>
    <row r="804" spans="1:17">
      <c r="A804" t="s">
        <v>5818</v>
      </c>
      <c r="B804" t="s">
        <v>64</v>
      </c>
      <c r="C804" t="s">
        <v>100</v>
      </c>
      <c r="D804" t="s">
        <v>284</v>
      </c>
      <c r="E804" t="s">
        <v>5583</v>
      </c>
      <c r="F804" t="s">
        <v>1570</v>
      </c>
      <c r="G804">
        <v>4320</v>
      </c>
      <c r="H804" t="s">
        <v>75</v>
      </c>
      <c r="I804">
        <v>46229</v>
      </c>
      <c r="J804" t="s">
        <v>5819</v>
      </c>
      <c r="K804" s="1401">
        <v>46235</v>
      </c>
      <c r="L804" s="1401">
        <v>46281</v>
      </c>
      <c r="M804" s="1401">
        <v>46284.875</v>
      </c>
      <c r="N804" s="1401">
        <v>46285.134953703702</v>
      </c>
      <c r="O804" t="s">
        <v>2434</v>
      </c>
      <c r="P804" s="1401">
        <v>46300</v>
      </c>
      <c r="Q804" s="1401">
        <v>46292.134953703702</v>
      </c>
    </row>
    <row r="805" spans="1:17">
      <c r="A805" t="s">
        <v>5828</v>
      </c>
      <c r="B805" t="s">
        <v>64</v>
      </c>
      <c r="C805" t="s">
        <v>310</v>
      </c>
      <c r="D805" t="s">
        <v>284</v>
      </c>
      <c r="E805" t="s">
        <v>5583</v>
      </c>
      <c r="F805" t="s">
        <v>1570</v>
      </c>
      <c r="G805">
        <v>2160</v>
      </c>
      <c r="H805" t="s">
        <v>951</v>
      </c>
      <c r="I805">
        <v>46229</v>
      </c>
      <c r="J805" t="s">
        <v>5829</v>
      </c>
      <c r="K805" s="1401">
        <v>46235</v>
      </c>
      <c r="L805" s="1401">
        <v>46292</v>
      </c>
      <c r="M805" s="1401">
        <v>46327.75</v>
      </c>
      <c r="N805" s="1401" t="s">
        <v>2525</v>
      </c>
      <c r="O805" t="s">
        <v>2434</v>
      </c>
      <c r="P805" s="1401">
        <v>46314</v>
      </c>
      <c r="Q805" s="1401">
        <v>46337.75</v>
      </c>
    </row>
    <row r="806" spans="1:17">
      <c r="A806" t="s">
        <v>5832</v>
      </c>
      <c r="B806" t="s">
        <v>64</v>
      </c>
      <c r="C806" t="s">
        <v>310</v>
      </c>
      <c r="D806" t="s">
        <v>284</v>
      </c>
      <c r="E806" t="s">
        <v>5583</v>
      </c>
      <c r="F806" t="s">
        <v>1570</v>
      </c>
      <c r="G806">
        <v>720</v>
      </c>
      <c r="H806" t="s">
        <v>951</v>
      </c>
      <c r="I806">
        <v>46229</v>
      </c>
      <c r="J806" t="s">
        <v>5833</v>
      </c>
      <c r="K806" s="1401">
        <v>46235</v>
      </c>
      <c r="L806" s="1401">
        <v>46299</v>
      </c>
      <c r="M806" s="1401">
        <v>46308.75</v>
      </c>
      <c r="N806" s="1401" t="s">
        <v>2525</v>
      </c>
      <c r="O806" t="s">
        <v>2434</v>
      </c>
      <c r="P806" s="1401">
        <v>46315</v>
      </c>
      <c r="Q806" s="1401">
        <v>46318.75</v>
      </c>
    </row>
    <row r="807" spans="1:17">
      <c r="A807" t="s">
        <v>5649</v>
      </c>
      <c r="B807" t="s">
        <v>64</v>
      </c>
      <c r="C807" t="s">
        <v>114</v>
      </c>
      <c r="D807" t="s">
        <v>5336</v>
      </c>
      <c r="E807" t="s">
        <v>5337</v>
      </c>
      <c r="F807" t="s">
        <v>5338</v>
      </c>
      <c r="G807">
        <v>720</v>
      </c>
      <c r="H807" t="s">
        <v>75</v>
      </c>
      <c r="I807">
        <v>46232</v>
      </c>
      <c r="J807" t="s">
        <v>5651</v>
      </c>
      <c r="K807" s="1401">
        <v>46227</v>
      </c>
      <c r="L807" s="1401">
        <v>46268</v>
      </c>
      <c r="M807" s="1401">
        <v>46280.541666666664</v>
      </c>
      <c r="N807" s="1401">
        <v>46280.541666666664</v>
      </c>
      <c r="O807" t="s">
        <v>2434</v>
      </c>
      <c r="P807" s="1401">
        <v>46294</v>
      </c>
      <c r="Q807" s="1401">
        <v>46289.541666666664</v>
      </c>
    </row>
    <row r="808" spans="1:17">
      <c r="A808" t="s">
        <v>5756</v>
      </c>
      <c r="B808" t="s">
        <v>64</v>
      </c>
      <c r="C808" t="s">
        <v>100</v>
      </c>
      <c r="D808" t="s">
        <v>70</v>
      </c>
      <c r="E808" t="s">
        <v>1681</v>
      </c>
      <c r="F808" t="s">
        <v>1682</v>
      </c>
      <c r="G808">
        <v>1782</v>
      </c>
      <c r="H808" t="s">
        <v>75</v>
      </c>
      <c r="I808">
        <v>46235</v>
      </c>
      <c r="J808" t="s">
        <v>5757</v>
      </c>
      <c r="K808" s="1401">
        <v>46242</v>
      </c>
      <c r="L808" s="1401">
        <v>46284</v>
      </c>
      <c r="M808" s="1401">
        <v>46293</v>
      </c>
      <c r="N808" s="1401">
        <v>46293</v>
      </c>
      <c r="O808" t="s">
        <v>2434</v>
      </c>
      <c r="P808" s="1401">
        <v>46290</v>
      </c>
      <c r="Q808" s="1401">
        <v>46300</v>
      </c>
    </row>
    <row r="809" spans="1:17">
      <c r="A809" t="s">
        <v>5862</v>
      </c>
      <c r="B809" t="s">
        <v>64</v>
      </c>
      <c r="C809" t="s">
        <v>100</v>
      </c>
      <c r="D809" t="s">
        <v>550</v>
      </c>
      <c r="E809" t="s">
        <v>2134</v>
      </c>
      <c r="F809" t="s">
        <v>2135</v>
      </c>
      <c r="G809">
        <v>1584</v>
      </c>
      <c r="H809" t="s">
        <v>75</v>
      </c>
      <c r="I809">
        <v>46238</v>
      </c>
      <c r="J809" t="s">
        <v>5863</v>
      </c>
      <c r="K809" s="1401">
        <v>46245</v>
      </c>
      <c r="L809" s="1401">
        <v>46281</v>
      </c>
      <c r="M809" s="1401">
        <v>46284.875</v>
      </c>
      <c r="N809" s="1401">
        <v>46285.134953703702</v>
      </c>
      <c r="O809" t="s">
        <v>2434</v>
      </c>
      <c r="P809" s="1401">
        <v>46300</v>
      </c>
      <c r="Q809" s="1401">
        <v>46292.134953703702</v>
      </c>
    </row>
    <row r="810" spans="1:17">
      <c r="A810" t="s">
        <v>5876</v>
      </c>
      <c r="B810" t="s">
        <v>64</v>
      </c>
      <c r="C810" t="s">
        <v>100</v>
      </c>
      <c r="D810" t="s">
        <v>550</v>
      </c>
      <c r="E810" t="s">
        <v>2134</v>
      </c>
      <c r="F810" t="s">
        <v>2135</v>
      </c>
      <c r="G810">
        <v>2376</v>
      </c>
      <c r="H810" t="s">
        <v>75</v>
      </c>
      <c r="I810">
        <v>46238</v>
      </c>
      <c r="J810" t="s">
        <v>5877</v>
      </c>
      <c r="K810" s="1401">
        <v>46248</v>
      </c>
      <c r="L810" s="1401">
        <v>46291</v>
      </c>
      <c r="M810" s="1401">
        <v>46284.875</v>
      </c>
      <c r="N810" s="1401">
        <v>46285.134953703702</v>
      </c>
      <c r="O810" t="s">
        <v>2434</v>
      </c>
      <c r="P810" s="1401">
        <v>46300</v>
      </c>
      <c r="Q810" s="1401">
        <v>46292.134953703702</v>
      </c>
    </row>
    <row r="811" spans="1:17">
      <c r="A811" t="s">
        <v>5888</v>
      </c>
      <c r="B811" t="s">
        <v>64</v>
      </c>
      <c r="C811" t="s">
        <v>100</v>
      </c>
      <c r="D811" t="s">
        <v>550</v>
      </c>
      <c r="E811" t="s">
        <v>2134</v>
      </c>
      <c r="F811" t="s">
        <v>2135</v>
      </c>
      <c r="G811">
        <v>1584</v>
      </c>
      <c r="H811" t="s">
        <v>75</v>
      </c>
      <c r="I811">
        <v>46237</v>
      </c>
      <c r="J811" t="s">
        <v>5889</v>
      </c>
      <c r="K811" s="1401">
        <v>46244</v>
      </c>
      <c r="L811" s="1401">
        <v>46281</v>
      </c>
      <c r="M811" s="1401">
        <v>46299.75</v>
      </c>
      <c r="N811" s="1401">
        <v>46300</v>
      </c>
      <c r="O811" t="s">
        <v>2434</v>
      </c>
      <c r="P811" s="1401">
        <v>46309</v>
      </c>
      <c r="Q811" s="1401">
        <v>46307</v>
      </c>
    </row>
    <row r="812" spans="1:17">
      <c r="A812" t="s">
        <v>5932</v>
      </c>
      <c r="B812" t="s">
        <v>64</v>
      </c>
      <c r="C812" t="s">
        <v>310</v>
      </c>
      <c r="D812" t="s">
        <v>550</v>
      </c>
      <c r="E812" t="s">
        <v>2134</v>
      </c>
      <c r="F812" t="s">
        <v>2135</v>
      </c>
      <c r="G812">
        <v>1584</v>
      </c>
      <c r="H812" t="s">
        <v>75</v>
      </c>
      <c r="I812">
        <v>46237</v>
      </c>
      <c r="J812" t="s">
        <v>5934</v>
      </c>
      <c r="K812" s="1401">
        <v>46245</v>
      </c>
      <c r="L812" s="1401">
        <v>46304</v>
      </c>
      <c r="M812" s="1401">
        <v>46300.75</v>
      </c>
      <c r="N812" s="1401">
        <v>46299</v>
      </c>
      <c r="O812" t="s">
        <v>2434</v>
      </c>
      <c r="P812" s="1401">
        <v>46300</v>
      </c>
      <c r="Q812" s="1401">
        <v>46309</v>
      </c>
    </row>
    <row r="813" spans="1:17">
      <c r="A813" t="s">
        <v>5748</v>
      </c>
      <c r="B813" t="s">
        <v>64</v>
      </c>
      <c r="C813" t="s">
        <v>100</v>
      </c>
      <c r="D813" t="s">
        <v>70</v>
      </c>
      <c r="E813" t="s">
        <v>5749</v>
      </c>
      <c r="F813" t="s">
        <v>1484</v>
      </c>
      <c r="G813">
        <v>1188</v>
      </c>
      <c r="H813" t="s">
        <v>75</v>
      </c>
      <c r="I813">
        <v>46235</v>
      </c>
      <c r="J813" t="s">
        <v>5751</v>
      </c>
      <c r="K813" s="1401">
        <v>46242</v>
      </c>
      <c r="L813" s="1401">
        <v>46284</v>
      </c>
      <c r="M813" s="1401">
        <v>46293</v>
      </c>
      <c r="N813" s="1401">
        <v>46293</v>
      </c>
      <c r="O813" t="s">
        <v>2434</v>
      </c>
      <c r="P813" s="1401">
        <v>46290</v>
      </c>
      <c r="Q813" s="1401">
        <v>46300</v>
      </c>
    </row>
    <row r="814" spans="1:17">
      <c r="A814" t="s">
        <v>5980</v>
      </c>
      <c r="B814" t="s">
        <v>64</v>
      </c>
      <c r="C814" t="s">
        <v>100</v>
      </c>
      <c r="D814" t="s">
        <v>4531</v>
      </c>
      <c r="E814" t="s">
        <v>71</v>
      </c>
      <c r="F814" t="s">
        <v>72</v>
      </c>
      <c r="G814">
        <v>2592</v>
      </c>
      <c r="H814" t="s">
        <v>75</v>
      </c>
      <c r="I814">
        <v>46240</v>
      </c>
      <c r="J814" t="s">
        <v>5981</v>
      </c>
      <c r="K814" s="1401">
        <v>46239</v>
      </c>
      <c r="L814" s="1401">
        <v>46274</v>
      </c>
      <c r="M814" s="1401">
        <v>46283.875</v>
      </c>
      <c r="N814" s="1401">
        <v>46283.912627314814</v>
      </c>
      <c r="O814" t="s">
        <v>2434</v>
      </c>
      <c r="P814" s="1401">
        <v>46296</v>
      </c>
      <c r="Q814" s="1401">
        <v>46290.912627314814</v>
      </c>
    </row>
    <row r="815" spans="1:17">
      <c r="A815" t="s">
        <v>5921</v>
      </c>
      <c r="B815" t="s">
        <v>64</v>
      </c>
      <c r="C815" t="s">
        <v>100</v>
      </c>
      <c r="D815" t="s">
        <v>70</v>
      </c>
      <c r="E815" t="s">
        <v>5749</v>
      </c>
      <c r="F815" t="s">
        <v>1484</v>
      </c>
      <c r="G815">
        <v>5940</v>
      </c>
      <c r="H815" t="s">
        <v>75</v>
      </c>
      <c r="I815">
        <v>46238</v>
      </c>
      <c r="J815" t="s">
        <v>5922</v>
      </c>
      <c r="K815" s="1401">
        <v>46244</v>
      </c>
      <c r="L815" s="1401">
        <v>46281</v>
      </c>
      <c r="M815" s="1401">
        <v>46299.25</v>
      </c>
      <c r="N815" s="1401">
        <v>46300</v>
      </c>
      <c r="O815" t="s">
        <v>2434</v>
      </c>
      <c r="P815" s="1401">
        <v>46309</v>
      </c>
      <c r="Q815" s="1401">
        <v>46307</v>
      </c>
    </row>
    <row r="816" spans="1:17">
      <c r="A816" t="s">
        <v>5914</v>
      </c>
      <c r="B816" t="s">
        <v>64</v>
      </c>
      <c r="C816" t="s">
        <v>100</v>
      </c>
      <c r="D816" t="s">
        <v>70</v>
      </c>
      <c r="E816" t="s">
        <v>5915</v>
      </c>
      <c r="F816" t="s">
        <v>1807</v>
      </c>
      <c r="G816">
        <v>594</v>
      </c>
      <c r="H816" t="s">
        <v>75</v>
      </c>
      <c r="I816">
        <v>46238</v>
      </c>
      <c r="J816" t="s">
        <v>5916</v>
      </c>
      <c r="K816" s="1401">
        <v>46244</v>
      </c>
      <c r="L816" s="1401">
        <v>46281</v>
      </c>
      <c r="M816" s="1401">
        <v>46299.25</v>
      </c>
      <c r="N816" s="1401">
        <v>46300</v>
      </c>
      <c r="O816" t="s">
        <v>2434</v>
      </c>
      <c r="P816" s="1401">
        <v>46309</v>
      </c>
      <c r="Q816" s="1401">
        <v>46307</v>
      </c>
    </row>
    <row r="817" spans="1:17">
      <c r="A817" t="s">
        <v>5975</v>
      </c>
      <c r="B817" t="s">
        <v>64</v>
      </c>
      <c r="C817" t="s">
        <v>450</v>
      </c>
      <c r="D817" t="s">
        <v>4531</v>
      </c>
      <c r="E817" t="s">
        <v>1151</v>
      </c>
      <c r="F817" t="s">
        <v>421</v>
      </c>
      <c r="G817">
        <v>1728</v>
      </c>
      <c r="H817" t="s">
        <v>75</v>
      </c>
      <c r="I817">
        <v>46239</v>
      </c>
      <c r="J817" t="s">
        <v>5977</v>
      </c>
      <c r="K817" s="1401">
        <v>46243</v>
      </c>
      <c r="L817" s="1401">
        <v>46279</v>
      </c>
      <c r="M817" s="1401">
        <v>46286.270833333336</v>
      </c>
      <c r="N817" s="1401">
        <v>46286.275081018517</v>
      </c>
      <c r="O817" t="s">
        <v>2434</v>
      </c>
      <c r="P817" s="1401">
        <v>46300</v>
      </c>
      <c r="Q817" s="1401">
        <v>46293.275081018517</v>
      </c>
    </row>
    <row r="818" spans="1:17">
      <c r="A818" t="s">
        <v>5868</v>
      </c>
      <c r="B818" t="s">
        <v>64</v>
      </c>
      <c r="C818" t="s">
        <v>100</v>
      </c>
      <c r="D818" t="s">
        <v>132</v>
      </c>
      <c r="E818" t="s">
        <v>133</v>
      </c>
      <c r="F818" t="s">
        <v>134</v>
      </c>
      <c r="G818">
        <v>594</v>
      </c>
      <c r="H818" t="s">
        <v>75</v>
      </c>
      <c r="I818">
        <v>46238</v>
      </c>
      <c r="J818" t="s">
        <v>5870</v>
      </c>
      <c r="K818" s="1401">
        <v>46245</v>
      </c>
      <c r="L818" s="1401">
        <v>46281</v>
      </c>
      <c r="M818" s="1401">
        <v>46284.875</v>
      </c>
      <c r="N818" s="1401">
        <v>46285.134953703702</v>
      </c>
      <c r="O818" t="s">
        <v>2434</v>
      </c>
      <c r="P818" s="1401">
        <v>46300</v>
      </c>
      <c r="Q818" s="1401">
        <v>46292.134953703702</v>
      </c>
    </row>
    <row r="819" spans="1:17">
      <c r="A819" t="s">
        <v>5871</v>
      </c>
      <c r="B819" t="s">
        <v>64</v>
      </c>
      <c r="C819" t="s">
        <v>100</v>
      </c>
      <c r="D819" t="s">
        <v>132</v>
      </c>
      <c r="E819" t="s">
        <v>5873</v>
      </c>
      <c r="F819" t="s">
        <v>5874</v>
      </c>
      <c r="G819">
        <v>594</v>
      </c>
      <c r="H819" t="s">
        <v>75</v>
      </c>
      <c r="I819">
        <v>46238</v>
      </c>
      <c r="J819" t="s">
        <v>5875</v>
      </c>
      <c r="K819" s="1401">
        <v>46245</v>
      </c>
      <c r="L819" s="1401">
        <v>46281</v>
      </c>
      <c r="M819" s="1401">
        <v>46284.875</v>
      </c>
      <c r="N819" s="1401">
        <v>46285.134953703702</v>
      </c>
      <c r="O819" t="s">
        <v>2434</v>
      </c>
      <c r="P819" s="1401">
        <v>46288</v>
      </c>
      <c r="Q819" s="1401">
        <v>46292.134953703702</v>
      </c>
    </row>
    <row r="820" spans="1:17">
      <c r="A820" t="s">
        <v>5883</v>
      </c>
      <c r="B820" t="s">
        <v>64</v>
      </c>
      <c r="C820" t="s">
        <v>100</v>
      </c>
      <c r="D820" t="s">
        <v>5379</v>
      </c>
      <c r="E820" t="s">
        <v>5400</v>
      </c>
      <c r="F820" t="s">
        <v>5401</v>
      </c>
      <c r="G820">
        <v>2808</v>
      </c>
      <c r="H820" t="s">
        <v>75</v>
      </c>
      <c r="I820">
        <v>46237</v>
      </c>
      <c r="J820" t="s">
        <v>5884</v>
      </c>
      <c r="K820" s="1401">
        <v>46244</v>
      </c>
      <c r="L820" s="1401">
        <v>46281</v>
      </c>
      <c r="M820" s="1401">
        <v>46299.75</v>
      </c>
      <c r="N820" s="1401">
        <v>46300</v>
      </c>
      <c r="O820" t="s">
        <v>2434</v>
      </c>
      <c r="P820" s="1401">
        <v>46288</v>
      </c>
      <c r="Q820" s="1401">
        <v>46307</v>
      </c>
    </row>
    <row r="821" spans="1:17">
      <c r="A821" t="s">
        <v>5950</v>
      </c>
      <c r="B821" t="s">
        <v>64</v>
      </c>
      <c r="C821" t="s">
        <v>65</v>
      </c>
      <c r="D821" t="s">
        <v>284</v>
      </c>
      <c r="E821" t="s">
        <v>5583</v>
      </c>
      <c r="F821" t="s">
        <v>1570</v>
      </c>
      <c r="G821">
        <v>720</v>
      </c>
      <c r="H821" t="s">
        <v>951</v>
      </c>
      <c r="I821">
        <v>46238</v>
      </c>
      <c r="J821" t="s">
        <v>5951</v>
      </c>
      <c r="K821" s="1401">
        <v>46243</v>
      </c>
      <c r="L821" s="1401">
        <v>46314</v>
      </c>
      <c r="M821" s="1401">
        <v>46336.791666666664</v>
      </c>
      <c r="N821" s="1401" t="s">
        <v>2525</v>
      </c>
      <c r="O821" t="s">
        <v>2434</v>
      </c>
      <c r="P821" s="1401">
        <v>46342</v>
      </c>
      <c r="Q821" s="1401">
        <v>46344.791666666664</v>
      </c>
    </row>
    <row r="822" spans="1:17">
      <c r="A822" t="s">
        <v>5881</v>
      </c>
      <c r="B822" t="s">
        <v>64</v>
      </c>
      <c r="C822" t="s">
        <v>100</v>
      </c>
      <c r="D822" t="s">
        <v>5379</v>
      </c>
      <c r="E822" t="s">
        <v>5400</v>
      </c>
      <c r="F822" t="s">
        <v>5401</v>
      </c>
      <c r="G822">
        <v>4680</v>
      </c>
      <c r="H822" t="s">
        <v>75</v>
      </c>
      <c r="I822">
        <v>46238</v>
      </c>
      <c r="J822" t="s">
        <v>5882</v>
      </c>
      <c r="K822" s="1401">
        <v>46248</v>
      </c>
      <c r="L822" s="1401">
        <v>46291</v>
      </c>
      <c r="M822" s="1401">
        <v>46284.875</v>
      </c>
      <c r="N822" s="1401">
        <v>46285.134953703702</v>
      </c>
      <c r="O822" t="s">
        <v>2434</v>
      </c>
      <c r="P822" s="1401">
        <v>46300</v>
      </c>
      <c r="Q822" s="1401">
        <v>46292.134953703702</v>
      </c>
    </row>
    <row r="823" spans="1:17">
      <c r="A823" t="s">
        <v>5955</v>
      </c>
      <c r="B823" t="s">
        <v>64</v>
      </c>
      <c r="C823" t="s">
        <v>310</v>
      </c>
      <c r="D823" t="s">
        <v>284</v>
      </c>
      <c r="E823" t="s">
        <v>5583</v>
      </c>
      <c r="F823" t="s">
        <v>1570</v>
      </c>
      <c r="G823">
        <v>720</v>
      </c>
      <c r="H823" t="s">
        <v>951</v>
      </c>
      <c r="I823">
        <v>46238</v>
      </c>
      <c r="J823" t="s">
        <v>5956</v>
      </c>
      <c r="K823" s="1401">
        <v>46243</v>
      </c>
      <c r="L823" s="1401">
        <v>46306</v>
      </c>
      <c r="M823" s="1401">
        <v>46334.75</v>
      </c>
      <c r="N823" s="1401" t="s">
        <v>2525</v>
      </c>
      <c r="O823" t="s">
        <v>2434</v>
      </c>
      <c r="P823" s="1401">
        <v>46321</v>
      </c>
      <c r="Q823" s="1401">
        <v>46344.75</v>
      </c>
    </row>
    <row r="824" spans="1:17">
      <c r="A824" t="s">
        <v>5858</v>
      </c>
      <c r="B824" t="s">
        <v>64</v>
      </c>
      <c r="C824" t="s">
        <v>100</v>
      </c>
      <c r="D824" t="s">
        <v>5379</v>
      </c>
      <c r="E824" t="s">
        <v>5400</v>
      </c>
      <c r="F824" t="s">
        <v>5401</v>
      </c>
      <c r="G824">
        <v>1872</v>
      </c>
      <c r="H824" t="s">
        <v>75</v>
      </c>
      <c r="I824">
        <v>46239</v>
      </c>
      <c r="J824" t="s">
        <v>5859</v>
      </c>
      <c r="K824" s="1401">
        <v>46245</v>
      </c>
      <c r="L824" s="1401">
        <v>46281</v>
      </c>
      <c r="M824" s="1401">
        <v>46284.875</v>
      </c>
      <c r="N824" s="1401">
        <v>46285.134953703702</v>
      </c>
      <c r="O824" t="s">
        <v>2434</v>
      </c>
      <c r="P824" s="1401">
        <v>46300</v>
      </c>
      <c r="Q824" s="1401">
        <v>46292.134953703702</v>
      </c>
    </row>
    <row r="825" spans="1:17">
      <c r="A825" t="s">
        <v>5919</v>
      </c>
      <c r="B825" t="s">
        <v>64</v>
      </c>
      <c r="C825" t="s">
        <v>100</v>
      </c>
      <c r="D825" t="s">
        <v>132</v>
      </c>
      <c r="E825" t="s">
        <v>1062</v>
      </c>
      <c r="F825" t="s">
        <v>1063</v>
      </c>
      <c r="G825">
        <v>3456</v>
      </c>
      <c r="H825" t="s">
        <v>75</v>
      </c>
      <c r="I825">
        <v>46238</v>
      </c>
      <c r="J825" t="s">
        <v>5920</v>
      </c>
      <c r="K825" s="1401">
        <v>46244</v>
      </c>
      <c r="L825" s="1401">
        <v>46281</v>
      </c>
      <c r="M825" s="1401">
        <v>46299.25</v>
      </c>
      <c r="N825" s="1401">
        <v>46300</v>
      </c>
      <c r="O825" t="s">
        <v>2434</v>
      </c>
      <c r="P825" s="1401">
        <v>46309</v>
      </c>
      <c r="Q825" s="1401">
        <v>46307</v>
      </c>
    </row>
    <row r="826" spans="1:17">
      <c r="A826" t="s">
        <v>5971</v>
      </c>
      <c r="B826" t="s">
        <v>64</v>
      </c>
      <c r="C826" t="s">
        <v>100</v>
      </c>
      <c r="D826" t="s">
        <v>4531</v>
      </c>
      <c r="E826" t="s">
        <v>195</v>
      </c>
      <c r="F826" t="s">
        <v>196</v>
      </c>
      <c r="G826">
        <v>2808</v>
      </c>
      <c r="H826" t="s">
        <v>75</v>
      </c>
      <c r="I826">
        <v>46238</v>
      </c>
      <c r="J826" t="s">
        <v>5972</v>
      </c>
      <c r="K826" s="1401">
        <v>46243</v>
      </c>
      <c r="L826" s="1401">
        <v>46287</v>
      </c>
      <c r="M826" s="1401">
        <v>46289.958333333336</v>
      </c>
      <c r="N826" s="1401">
        <v>46290.180347222224</v>
      </c>
      <c r="O826" t="s">
        <v>2434</v>
      </c>
      <c r="P826" s="1401">
        <v>46303</v>
      </c>
      <c r="Q826" s="1401">
        <v>46297.180347222224</v>
      </c>
    </row>
    <row r="827" spans="1:17">
      <c r="A827" t="s">
        <v>5866</v>
      </c>
      <c r="B827" t="s">
        <v>64</v>
      </c>
      <c r="C827" t="s">
        <v>100</v>
      </c>
      <c r="D827" t="s">
        <v>132</v>
      </c>
      <c r="E827" t="s">
        <v>1062</v>
      </c>
      <c r="F827" t="s">
        <v>1063</v>
      </c>
      <c r="G827">
        <v>4320</v>
      </c>
      <c r="H827" t="s">
        <v>75</v>
      </c>
      <c r="I827">
        <v>46238</v>
      </c>
      <c r="J827" t="s">
        <v>5867</v>
      </c>
      <c r="K827" s="1401">
        <v>46245</v>
      </c>
      <c r="L827" s="1401">
        <v>46281</v>
      </c>
      <c r="M827" s="1401">
        <v>46284.875</v>
      </c>
      <c r="N827" s="1401">
        <v>46285.134953703702</v>
      </c>
      <c r="O827" t="s">
        <v>2434</v>
      </c>
      <c r="P827" s="1401">
        <v>46300</v>
      </c>
      <c r="Q827" s="1401">
        <v>46292.134953703702</v>
      </c>
    </row>
    <row r="828" spans="1:17">
      <c r="A828" t="s">
        <v>5959</v>
      </c>
      <c r="B828" t="s">
        <v>64</v>
      </c>
      <c r="C828" t="s">
        <v>310</v>
      </c>
      <c r="D828" t="s">
        <v>284</v>
      </c>
      <c r="E828" t="s">
        <v>5583</v>
      </c>
      <c r="F828" t="s">
        <v>1570</v>
      </c>
      <c r="G828">
        <v>2160</v>
      </c>
      <c r="H828" t="s">
        <v>951</v>
      </c>
      <c r="I828">
        <v>46238</v>
      </c>
      <c r="J828" t="s">
        <v>5960</v>
      </c>
      <c r="K828" s="1401">
        <v>46243</v>
      </c>
      <c r="L828" s="1401">
        <v>46306</v>
      </c>
      <c r="M828" s="1401"/>
      <c r="N828" s="1401" t="s">
        <v>2525</v>
      </c>
      <c r="O828" t="s">
        <v>2434</v>
      </c>
      <c r="P828" s="1401">
        <v>46331</v>
      </c>
      <c r="Q828" s="1401">
        <v>46316</v>
      </c>
    </row>
    <row r="829" spans="1:17">
      <c r="A829" t="s">
        <v>5963</v>
      </c>
      <c r="B829" t="s">
        <v>64</v>
      </c>
      <c r="C829" t="s">
        <v>100</v>
      </c>
      <c r="D829" t="s">
        <v>284</v>
      </c>
      <c r="E829" t="s">
        <v>5583</v>
      </c>
      <c r="F829" t="s">
        <v>1570</v>
      </c>
      <c r="G829">
        <v>2160</v>
      </c>
      <c r="H829" t="s">
        <v>75</v>
      </c>
      <c r="I829">
        <v>46238</v>
      </c>
      <c r="J829" t="s">
        <v>5964</v>
      </c>
      <c r="K829" s="1401">
        <v>46243</v>
      </c>
      <c r="L829" s="1401">
        <v>46287</v>
      </c>
      <c r="M829" s="1401">
        <v>46289.958333333336</v>
      </c>
      <c r="N829" s="1401">
        <v>46290.180347222224</v>
      </c>
      <c r="O829" t="s">
        <v>2434</v>
      </c>
      <c r="P829" s="1401">
        <v>46303</v>
      </c>
      <c r="Q829" s="1401">
        <v>46297.180347222224</v>
      </c>
    </row>
    <row r="830" spans="1:17">
      <c r="A830" t="s">
        <v>5967</v>
      </c>
      <c r="B830" t="s">
        <v>64</v>
      </c>
      <c r="C830" t="s">
        <v>100</v>
      </c>
      <c r="D830" t="s">
        <v>284</v>
      </c>
      <c r="E830" t="s">
        <v>5583</v>
      </c>
      <c r="F830" t="s">
        <v>1570</v>
      </c>
      <c r="G830">
        <v>1440</v>
      </c>
      <c r="H830" t="s">
        <v>75</v>
      </c>
      <c r="I830">
        <v>46238</v>
      </c>
      <c r="J830" t="s">
        <v>5968</v>
      </c>
      <c r="K830" s="1401">
        <v>46243</v>
      </c>
      <c r="L830" s="1401">
        <v>46287</v>
      </c>
      <c r="M830" s="1401">
        <v>46289.958333333336</v>
      </c>
      <c r="N830" s="1401">
        <v>46290.180347222224</v>
      </c>
      <c r="O830" t="s">
        <v>2434</v>
      </c>
      <c r="P830" s="1401">
        <v>46303</v>
      </c>
      <c r="Q830" s="1401">
        <v>46297.180347222224</v>
      </c>
    </row>
    <row r="831" spans="1:17">
      <c r="A831" t="s">
        <v>5743</v>
      </c>
      <c r="B831" t="s">
        <v>64</v>
      </c>
      <c r="C831" t="s">
        <v>114</v>
      </c>
      <c r="D831" t="s">
        <v>5336</v>
      </c>
      <c r="E831" t="s">
        <v>5337</v>
      </c>
      <c r="F831" t="s">
        <v>5338</v>
      </c>
      <c r="G831">
        <v>1440</v>
      </c>
      <c r="H831" t="s">
        <v>951</v>
      </c>
      <c r="I831">
        <v>46237</v>
      </c>
      <c r="J831" t="s">
        <v>5744</v>
      </c>
      <c r="K831" s="1401">
        <v>46241</v>
      </c>
      <c r="L831" s="1401">
        <v>46282</v>
      </c>
      <c r="M831" s="1401">
        <v>46306</v>
      </c>
      <c r="N831" s="1401" t="s">
        <v>2525</v>
      </c>
      <c r="O831" t="s">
        <v>2434</v>
      </c>
      <c r="P831" s="1401">
        <v>46303</v>
      </c>
      <c r="Q831" s="1401">
        <v>46315</v>
      </c>
    </row>
    <row r="832" spans="1:17">
      <c r="A832" t="s">
        <v>5769</v>
      </c>
      <c r="B832" t="s">
        <v>64</v>
      </c>
      <c r="C832" t="s">
        <v>114</v>
      </c>
      <c r="D832" t="s">
        <v>5336</v>
      </c>
      <c r="E832" t="s">
        <v>5555</v>
      </c>
      <c r="F832" t="s">
        <v>5556</v>
      </c>
      <c r="G832">
        <v>720</v>
      </c>
      <c r="H832" t="s">
        <v>75</v>
      </c>
      <c r="I832">
        <v>46238</v>
      </c>
      <c r="J832" t="s">
        <v>5770</v>
      </c>
      <c r="K832" s="1401">
        <v>46245</v>
      </c>
      <c r="L832" s="1401">
        <v>46282</v>
      </c>
      <c r="M832" s="1401">
        <v>46284</v>
      </c>
      <c r="N832" s="1401">
        <v>46284.052731481483</v>
      </c>
      <c r="O832" t="s">
        <v>2434</v>
      </c>
      <c r="P832" s="1401">
        <v>46296</v>
      </c>
      <c r="Q832" s="1401">
        <v>46293.052731481483</v>
      </c>
    </row>
    <row r="833" spans="1:17">
      <c r="A833" t="s">
        <v>6016</v>
      </c>
      <c r="B833" t="s">
        <v>64</v>
      </c>
      <c r="C833" t="s">
        <v>100</v>
      </c>
      <c r="D833" t="s">
        <v>550</v>
      </c>
      <c r="E833" t="s">
        <v>2134</v>
      </c>
      <c r="F833" t="s">
        <v>2135</v>
      </c>
      <c r="G833">
        <v>1584</v>
      </c>
      <c r="H833" t="s">
        <v>75</v>
      </c>
      <c r="I833">
        <v>46242</v>
      </c>
      <c r="J833" t="s">
        <v>6017</v>
      </c>
      <c r="K833" s="1401">
        <v>46250</v>
      </c>
      <c r="L833" s="1401">
        <v>46298</v>
      </c>
      <c r="M833" s="1401">
        <v>46284.875</v>
      </c>
      <c r="N833" s="1401">
        <v>46285.134953703702</v>
      </c>
      <c r="O833" t="s">
        <v>2434</v>
      </c>
      <c r="P833" s="1401">
        <v>46303</v>
      </c>
      <c r="Q833" s="1401">
        <v>46292.134953703702</v>
      </c>
    </row>
    <row r="834" spans="1:17">
      <c r="A834" t="s">
        <v>6097</v>
      </c>
      <c r="B834" t="s">
        <v>64</v>
      </c>
      <c r="C834" t="s">
        <v>310</v>
      </c>
      <c r="D834" t="s">
        <v>550</v>
      </c>
      <c r="E834" t="s">
        <v>2134</v>
      </c>
      <c r="F834" t="s">
        <v>2135</v>
      </c>
      <c r="G834">
        <v>792</v>
      </c>
      <c r="H834" t="s">
        <v>951</v>
      </c>
      <c r="I834">
        <v>46246</v>
      </c>
      <c r="J834" t="s">
        <v>6098</v>
      </c>
      <c r="K834" s="1401">
        <v>46252</v>
      </c>
      <c r="L834" s="1401">
        <v>46311</v>
      </c>
      <c r="M834" s="1401">
        <v>46308.75</v>
      </c>
      <c r="N834" s="1401" t="s">
        <v>2525</v>
      </c>
      <c r="O834" t="s">
        <v>2434</v>
      </c>
      <c r="P834" s="1401">
        <v>46315</v>
      </c>
      <c r="Q834" s="1401">
        <v>46318.75</v>
      </c>
    </row>
    <row r="835" spans="1:17">
      <c r="A835" t="s">
        <v>6024</v>
      </c>
      <c r="B835" t="s">
        <v>64</v>
      </c>
      <c r="C835" t="s">
        <v>100</v>
      </c>
      <c r="D835" t="s">
        <v>550</v>
      </c>
      <c r="E835" t="s">
        <v>2134</v>
      </c>
      <c r="F835" t="s">
        <v>2135</v>
      </c>
      <c r="G835">
        <v>1584</v>
      </c>
      <c r="H835" t="s">
        <v>75</v>
      </c>
      <c r="I835">
        <v>46242</v>
      </c>
      <c r="J835" t="s">
        <v>6025</v>
      </c>
      <c r="K835" s="1401">
        <v>46250</v>
      </c>
      <c r="L835" s="1401">
        <v>46298</v>
      </c>
      <c r="M835" s="1401">
        <v>46284.875</v>
      </c>
      <c r="N835" s="1401">
        <v>46285.134953703702</v>
      </c>
      <c r="O835" t="s">
        <v>2434</v>
      </c>
      <c r="P835" s="1401">
        <v>46303</v>
      </c>
      <c r="Q835" s="1401">
        <v>46292.134953703702</v>
      </c>
    </row>
    <row r="836" spans="1:17">
      <c r="A836" t="s">
        <v>6102</v>
      </c>
      <c r="B836" t="s">
        <v>64</v>
      </c>
      <c r="C836" t="s">
        <v>310</v>
      </c>
      <c r="D836" t="s">
        <v>550</v>
      </c>
      <c r="E836" t="s">
        <v>2134</v>
      </c>
      <c r="F836" t="s">
        <v>2135</v>
      </c>
      <c r="G836">
        <v>792</v>
      </c>
      <c r="H836" t="s">
        <v>951</v>
      </c>
      <c r="I836">
        <v>46246</v>
      </c>
      <c r="J836" t="s">
        <v>6103</v>
      </c>
      <c r="K836" s="1401">
        <v>46252</v>
      </c>
      <c r="L836" s="1401">
        <v>46311</v>
      </c>
      <c r="M836" s="1401">
        <v>46308.75</v>
      </c>
      <c r="N836" s="1401" t="s">
        <v>2525</v>
      </c>
      <c r="O836" t="s">
        <v>2434</v>
      </c>
      <c r="P836" s="1401">
        <v>46315</v>
      </c>
      <c r="Q836" s="1401">
        <v>46318.75</v>
      </c>
    </row>
    <row r="837" spans="1:17">
      <c r="A837" t="s">
        <v>5923</v>
      </c>
      <c r="B837" t="s">
        <v>64</v>
      </c>
      <c r="C837" t="s">
        <v>65</v>
      </c>
      <c r="D837" t="s">
        <v>550</v>
      </c>
      <c r="E837" t="s">
        <v>551</v>
      </c>
      <c r="F837" t="s">
        <v>2151</v>
      </c>
      <c r="G837">
        <v>1584</v>
      </c>
      <c r="H837" t="s">
        <v>75</v>
      </c>
      <c r="I837">
        <v>46246</v>
      </c>
      <c r="J837" t="s">
        <v>5924</v>
      </c>
      <c r="K837" s="1401">
        <v>46246</v>
      </c>
      <c r="L837" s="1401">
        <v>46288</v>
      </c>
      <c r="M837" s="1401">
        <v>46290.25</v>
      </c>
      <c r="N837" s="1401">
        <v>46290.232800925929</v>
      </c>
      <c r="O837" t="s">
        <v>2434</v>
      </c>
      <c r="P837" s="1401">
        <v>46302</v>
      </c>
      <c r="Q837" s="1401">
        <v>46298.232800925929</v>
      </c>
    </row>
    <row r="838" spans="1:17">
      <c r="A838" t="s">
        <v>6058</v>
      </c>
      <c r="B838" t="s">
        <v>64</v>
      </c>
      <c r="C838" t="s">
        <v>65</v>
      </c>
      <c r="D838" t="s">
        <v>132</v>
      </c>
      <c r="E838" t="s">
        <v>189</v>
      </c>
      <c r="F838" t="s">
        <v>190</v>
      </c>
      <c r="G838">
        <v>864</v>
      </c>
      <c r="H838" t="s">
        <v>75</v>
      </c>
      <c r="I838">
        <v>46247</v>
      </c>
      <c r="J838" t="s">
        <v>6059</v>
      </c>
      <c r="K838" s="1401">
        <v>46254</v>
      </c>
      <c r="L838" s="1401">
        <v>46295</v>
      </c>
      <c r="M838" s="1401">
        <v>46290.25</v>
      </c>
      <c r="N838" s="1401">
        <v>46290.232800925929</v>
      </c>
      <c r="O838" t="s">
        <v>2434</v>
      </c>
      <c r="P838" s="1401">
        <v>46302</v>
      </c>
      <c r="Q838" s="1401">
        <v>46298.232800925929</v>
      </c>
    </row>
    <row r="839" spans="1:17">
      <c r="A839" t="s">
        <v>6158</v>
      </c>
      <c r="B839" t="s">
        <v>64</v>
      </c>
      <c r="C839" t="s">
        <v>100</v>
      </c>
      <c r="D839" t="s">
        <v>284</v>
      </c>
      <c r="E839" t="s">
        <v>6159</v>
      </c>
      <c r="F839" t="s">
        <v>1570</v>
      </c>
      <c r="G839">
        <v>1440</v>
      </c>
      <c r="H839" t="s">
        <v>951</v>
      </c>
      <c r="I839">
        <v>46241</v>
      </c>
      <c r="J839" t="s">
        <v>6160</v>
      </c>
      <c r="K839" s="1401">
        <v>46249</v>
      </c>
      <c r="L839" s="1401">
        <v>46309</v>
      </c>
      <c r="M839" s="1401"/>
      <c r="N839" s="1401"/>
      <c r="O839" t="s">
        <v>2434</v>
      </c>
      <c r="P839" s="1401">
        <v>46305</v>
      </c>
      <c r="Q839" s="1401">
        <v>46316</v>
      </c>
    </row>
    <row r="840" spans="1:17">
      <c r="A840" t="s">
        <v>6063</v>
      </c>
      <c r="B840" t="s">
        <v>64</v>
      </c>
      <c r="C840" t="s">
        <v>65</v>
      </c>
      <c r="D840" t="s">
        <v>132</v>
      </c>
      <c r="E840" t="s">
        <v>189</v>
      </c>
      <c r="F840" t="s">
        <v>190</v>
      </c>
      <c r="G840">
        <v>2592</v>
      </c>
      <c r="H840" t="s">
        <v>75</v>
      </c>
      <c r="I840">
        <v>46247</v>
      </c>
      <c r="J840" t="s">
        <v>6064</v>
      </c>
      <c r="K840" s="1401">
        <v>46254</v>
      </c>
      <c r="L840" s="1401">
        <v>46295</v>
      </c>
      <c r="M840" s="1401">
        <v>46290.25</v>
      </c>
      <c r="N840" s="1401">
        <v>46290.232800925929</v>
      </c>
      <c r="O840" t="s">
        <v>2434</v>
      </c>
      <c r="P840" s="1401">
        <v>46302</v>
      </c>
      <c r="Q840" s="1401">
        <v>46298.232800925929</v>
      </c>
    </row>
    <row r="841" spans="1:17">
      <c r="A841" t="s">
        <v>5842</v>
      </c>
      <c r="B841" t="s">
        <v>144</v>
      </c>
      <c r="C841" t="s">
        <v>145</v>
      </c>
      <c r="D841" t="s">
        <v>4531</v>
      </c>
      <c r="E841" t="s">
        <v>71</v>
      </c>
      <c r="F841" t="s">
        <v>72</v>
      </c>
      <c r="G841">
        <v>3456</v>
      </c>
      <c r="H841" t="s">
        <v>75</v>
      </c>
      <c r="I841">
        <v>46245</v>
      </c>
      <c r="J841" t="s">
        <v>5844</v>
      </c>
      <c r="K841" s="1401">
        <v>46249</v>
      </c>
      <c r="L841" s="1401">
        <v>46295</v>
      </c>
      <c r="M841" s="1401">
        <v>46301.25</v>
      </c>
      <c r="N841" s="1401">
        <v>46301</v>
      </c>
      <c r="O841" t="s">
        <v>973</v>
      </c>
      <c r="P841" s="1401">
        <v>46296</v>
      </c>
      <c r="Q841" s="1401">
        <v>46301</v>
      </c>
    </row>
    <row r="842" spans="1:17">
      <c r="A842" t="s">
        <v>6125</v>
      </c>
      <c r="B842" t="s">
        <v>64</v>
      </c>
      <c r="C842" t="s">
        <v>65</v>
      </c>
      <c r="D842" t="s">
        <v>4531</v>
      </c>
      <c r="E842" t="s">
        <v>71</v>
      </c>
      <c r="F842" t="s">
        <v>72</v>
      </c>
      <c r="G842">
        <v>864</v>
      </c>
      <c r="H842" t="s">
        <v>951</v>
      </c>
      <c r="I842">
        <v>46241</v>
      </c>
      <c r="J842" t="s">
        <v>6126</v>
      </c>
      <c r="K842" s="1401">
        <v>46249</v>
      </c>
      <c r="L842" s="1401">
        <v>46300</v>
      </c>
      <c r="M842" s="1401">
        <v>46316.916666666664</v>
      </c>
      <c r="N842" s="1401" t="s">
        <v>2525</v>
      </c>
      <c r="O842" t="s">
        <v>2434</v>
      </c>
      <c r="P842" s="1401">
        <v>46314</v>
      </c>
      <c r="Q842" s="1401">
        <v>46324.916666666664</v>
      </c>
    </row>
    <row r="843" spans="1:17">
      <c r="A843" t="s">
        <v>6401</v>
      </c>
      <c r="B843" t="s">
        <v>64</v>
      </c>
      <c r="C843" t="s">
        <v>100</v>
      </c>
      <c r="D843" t="s">
        <v>4531</v>
      </c>
      <c r="E843" t="s">
        <v>1002</v>
      </c>
      <c r="F843" t="s">
        <v>330</v>
      </c>
      <c r="G843">
        <v>2880</v>
      </c>
      <c r="H843" t="s">
        <v>951</v>
      </c>
      <c r="I843">
        <v>46247</v>
      </c>
      <c r="J843" t="s">
        <v>6402</v>
      </c>
      <c r="K843" s="1401">
        <v>46253</v>
      </c>
      <c r="L843" s="1401">
        <v>46305</v>
      </c>
      <c r="M843" s="1401"/>
      <c r="N843" s="1401"/>
      <c r="O843" t="s">
        <v>2434</v>
      </c>
      <c r="P843" s="1401">
        <v>46312</v>
      </c>
      <c r="Q843" s="1401">
        <v>46312</v>
      </c>
    </row>
    <row r="844" spans="1:17">
      <c r="A844" t="s">
        <v>6171</v>
      </c>
      <c r="B844" t="s">
        <v>64</v>
      </c>
      <c r="C844" t="s">
        <v>100</v>
      </c>
      <c r="D844" t="s">
        <v>4531</v>
      </c>
      <c r="E844" t="s">
        <v>1002</v>
      </c>
      <c r="F844" t="s">
        <v>330</v>
      </c>
      <c r="G844">
        <v>1440</v>
      </c>
      <c r="H844" t="s">
        <v>951</v>
      </c>
      <c r="I844">
        <v>46243</v>
      </c>
      <c r="J844" t="s">
        <v>6172</v>
      </c>
      <c r="K844" s="1401">
        <v>46249</v>
      </c>
      <c r="L844" s="1401">
        <v>46305</v>
      </c>
      <c r="M844" s="1401">
        <v>46314</v>
      </c>
      <c r="N844" s="1401"/>
      <c r="O844" t="s">
        <v>2434</v>
      </c>
      <c r="P844" s="1401">
        <v>46312</v>
      </c>
      <c r="Q844" s="1401">
        <v>46321</v>
      </c>
    </row>
    <row r="845" spans="1:17">
      <c r="A845" t="s">
        <v>6139</v>
      </c>
      <c r="B845" t="s">
        <v>64</v>
      </c>
      <c r="C845" t="s">
        <v>100</v>
      </c>
      <c r="D845" t="s">
        <v>4531</v>
      </c>
      <c r="E845" t="s">
        <v>1002</v>
      </c>
      <c r="F845" t="s">
        <v>330</v>
      </c>
      <c r="G845">
        <v>3600</v>
      </c>
      <c r="H845" t="s">
        <v>951</v>
      </c>
      <c r="I845">
        <v>46246</v>
      </c>
      <c r="J845" t="s">
        <v>6140</v>
      </c>
      <c r="K845" s="1401">
        <v>46253</v>
      </c>
      <c r="L845" s="1401">
        <v>46314</v>
      </c>
      <c r="M845" s="1401"/>
      <c r="N845" s="1401"/>
      <c r="O845" t="s">
        <v>2434</v>
      </c>
      <c r="P845" s="1401">
        <v>46321</v>
      </c>
      <c r="Q845" s="1401">
        <v>46321</v>
      </c>
    </row>
    <row r="846" spans="1:17">
      <c r="A846" t="s">
        <v>6396</v>
      </c>
      <c r="B846" t="s">
        <v>64</v>
      </c>
      <c r="C846" t="s">
        <v>100</v>
      </c>
      <c r="D846" t="s">
        <v>4531</v>
      </c>
      <c r="E846" t="s">
        <v>1461</v>
      </c>
      <c r="F846" t="s">
        <v>103</v>
      </c>
      <c r="G846">
        <v>1440</v>
      </c>
      <c r="H846" t="s">
        <v>951</v>
      </c>
      <c r="I846">
        <v>46247</v>
      </c>
      <c r="J846" t="s">
        <v>6397</v>
      </c>
      <c r="K846" s="1401">
        <v>46253</v>
      </c>
      <c r="L846" s="1401">
        <v>46305</v>
      </c>
      <c r="M846" s="1401"/>
      <c r="N846" s="1401"/>
      <c r="O846" t="s">
        <v>2434</v>
      </c>
      <c r="P846" s="1401">
        <v>46312</v>
      </c>
      <c r="Q846" s="1401">
        <v>46312</v>
      </c>
    </row>
    <row r="847" spans="1:17">
      <c r="A847" t="s">
        <v>6161</v>
      </c>
      <c r="B847" t="s">
        <v>64</v>
      </c>
      <c r="C847" t="s">
        <v>100</v>
      </c>
      <c r="D847" t="s">
        <v>4531</v>
      </c>
      <c r="E847" t="s">
        <v>965</v>
      </c>
      <c r="F847" t="s">
        <v>966</v>
      </c>
      <c r="G847">
        <v>2808</v>
      </c>
      <c r="H847" t="s">
        <v>951</v>
      </c>
      <c r="I847">
        <v>46243</v>
      </c>
      <c r="J847" t="s">
        <v>6162</v>
      </c>
      <c r="K847" s="1401">
        <v>46249</v>
      </c>
      <c r="L847" s="1401">
        <v>46305</v>
      </c>
      <c r="M847" s="1401">
        <v>46314</v>
      </c>
      <c r="N847" s="1401"/>
      <c r="O847" t="s">
        <v>2434</v>
      </c>
      <c r="P847" s="1401">
        <v>46312</v>
      </c>
      <c r="Q847" s="1401">
        <v>46321</v>
      </c>
    </row>
    <row r="848" spans="1:17">
      <c r="A848" t="s">
        <v>6427</v>
      </c>
      <c r="B848" t="s">
        <v>64</v>
      </c>
      <c r="C848" t="s">
        <v>100</v>
      </c>
      <c r="D848" t="s">
        <v>4531</v>
      </c>
      <c r="E848" t="s">
        <v>965</v>
      </c>
      <c r="F848" t="s">
        <v>966</v>
      </c>
      <c r="G848">
        <v>5616</v>
      </c>
      <c r="H848" t="s">
        <v>951</v>
      </c>
      <c r="I848">
        <v>46246</v>
      </c>
      <c r="J848" t="s">
        <v>6428</v>
      </c>
      <c r="K848" s="1401">
        <v>46253</v>
      </c>
      <c r="L848" s="1401">
        <v>46313</v>
      </c>
      <c r="M848" s="1401"/>
      <c r="N848" s="1401"/>
      <c r="O848" t="s">
        <v>2434</v>
      </c>
      <c r="P848" s="1401">
        <v>46304</v>
      </c>
      <c r="Q848" s="1401">
        <v>46320</v>
      </c>
    </row>
    <row r="849" spans="1:17">
      <c r="A849" t="s">
        <v>6122</v>
      </c>
      <c r="B849" t="s">
        <v>64</v>
      </c>
      <c r="C849" t="s">
        <v>100</v>
      </c>
      <c r="D849" t="s">
        <v>4531</v>
      </c>
      <c r="E849" t="s">
        <v>195</v>
      </c>
      <c r="F849" t="s">
        <v>196</v>
      </c>
      <c r="G849">
        <v>4680</v>
      </c>
      <c r="H849" t="s">
        <v>75</v>
      </c>
      <c r="I849">
        <v>46243</v>
      </c>
      <c r="J849" t="s">
        <v>6124</v>
      </c>
      <c r="K849" s="1401">
        <v>46249</v>
      </c>
      <c r="L849" s="1401">
        <v>46292</v>
      </c>
      <c r="M849" s="1401">
        <v>46299</v>
      </c>
      <c r="N849" s="1401">
        <v>46300</v>
      </c>
      <c r="O849" t="s">
        <v>2434</v>
      </c>
      <c r="P849" s="1401">
        <v>46309</v>
      </c>
      <c r="Q849" s="1401">
        <v>46307</v>
      </c>
    </row>
    <row r="850" spans="1:17">
      <c r="A850" t="s">
        <v>6120</v>
      </c>
      <c r="B850" t="s">
        <v>64</v>
      </c>
      <c r="C850" t="s">
        <v>100</v>
      </c>
      <c r="D850" t="s">
        <v>4531</v>
      </c>
      <c r="E850" t="s">
        <v>195</v>
      </c>
      <c r="F850" t="s">
        <v>196</v>
      </c>
      <c r="G850">
        <v>2808</v>
      </c>
      <c r="H850" t="s">
        <v>75</v>
      </c>
      <c r="I850">
        <v>46243</v>
      </c>
      <c r="J850" t="s">
        <v>6121</v>
      </c>
      <c r="K850" s="1401">
        <v>46249</v>
      </c>
      <c r="L850" s="1401">
        <v>46292</v>
      </c>
      <c r="M850" s="1401">
        <v>46299</v>
      </c>
      <c r="N850" s="1401">
        <v>46300</v>
      </c>
      <c r="O850" t="s">
        <v>2434</v>
      </c>
      <c r="P850" s="1401">
        <v>46309</v>
      </c>
      <c r="Q850" s="1401">
        <v>46307</v>
      </c>
    </row>
    <row r="851" spans="1:17">
      <c r="A851" t="s">
        <v>6116</v>
      </c>
      <c r="B851" t="s">
        <v>64</v>
      </c>
      <c r="C851" t="s">
        <v>100</v>
      </c>
      <c r="D851" t="s">
        <v>4531</v>
      </c>
      <c r="E851" t="s">
        <v>195</v>
      </c>
      <c r="F851" t="s">
        <v>196</v>
      </c>
      <c r="G851">
        <v>1872</v>
      </c>
      <c r="H851" t="s">
        <v>75</v>
      </c>
      <c r="I851">
        <v>46243</v>
      </c>
      <c r="J851" t="s">
        <v>6117</v>
      </c>
      <c r="K851" s="1401">
        <v>46249</v>
      </c>
      <c r="L851" s="1401">
        <v>46292</v>
      </c>
      <c r="M851" s="1401">
        <v>46299</v>
      </c>
      <c r="N851" s="1401">
        <v>46300</v>
      </c>
      <c r="O851" t="s">
        <v>2434</v>
      </c>
      <c r="P851" s="1401">
        <v>46309</v>
      </c>
      <c r="Q851" s="1401">
        <v>46307</v>
      </c>
    </row>
    <row r="852" spans="1:17">
      <c r="A852" t="s">
        <v>6114</v>
      </c>
      <c r="B852" t="s">
        <v>64</v>
      </c>
      <c r="C852" t="s">
        <v>100</v>
      </c>
      <c r="D852" t="s">
        <v>4531</v>
      </c>
      <c r="E852" t="s">
        <v>195</v>
      </c>
      <c r="F852" t="s">
        <v>196</v>
      </c>
      <c r="G852">
        <v>936</v>
      </c>
      <c r="H852" t="s">
        <v>75</v>
      </c>
      <c r="I852">
        <v>46243</v>
      </c>
      <c r="J852" t="s">
        <v>6115</v>
      </c>
      <c r="K852" s="1401">
        <v>46249</v>
      </c>
      <c r="L852" s="1401">
        <v>46292</v>
      </c>
      <c r="M852" s="1401">
        <v>46299</v>
      </c>
      <c r="N852" s="1401">
        <v>46300</v>
      </c>
      <c r="O852" t="s">
        <v>2434</v>
      </c>
      <c r="P852" s="1401">
        <v>46309</v>
      </c>
      <c r="Q852" s="1401">
        <v>46307</v>
      </c>
    </row>
    <row r="853" spans="1:17">
      <c r="A853" t="s">
        <v>6111</v>
      </c>
      <c r="B853" t="s">
        <v>64</v>
      </c>
      <c r="C853" t="s">
        <v>100</v>
      </c>
      <c r="D853" t="s">
        <v>4531</v>
      </c>
      <c r="E853" t="s">
        <v>195</v>
      </c>
      <c r="F853" t="s">
        <v>196</v>
      </c>
      <c r="G853">
        <v>3744</v>
      </c>
      <c r="H853" t="s">
        <v>75</v>
      </c>
      <c r="I853">
        <v>46243</v>
      </c>
      <c r="J853" t="s">
        <v>6113</v>
      </c>
      <c r="K853" s="1401">
        <v>46249</v>
      </c>
      <c r="L853" s="1401">
        <v>46292</v>
      </c>
      <c r="M853" s="1401">
        <v>46299</v>
      </c>
      <c r="N853" s="1401">
        <v>46300</v>
      </c>
      <c r="O853" t="s">
        <v>2434</v>
      </c>
      <c r="P853" s="1401">
        <v>46309</v>
      </c>
      <c r="Q853" s="1401">
        <v>46307</v>
      </c>
    </row>
    <row r="854" spans="1:17">
      <c r="A854" t="s">
        <v>6104</v>
      </c>
      <c r="B854" t="s">
        <v>64</v>
      </c>
      <c r="C854" t="s">
        <v>100</v>
      </c>
      <c r="D854" t="s">
        <v>4531</v>
      </c>
      <c r="E854" t="s">
        <v>195</v>
      </c>
      <c r="F854" t="s">
        <v>196</v>
      </c>
      <c r="G854">
        <v>3744</v>
      </c>
      <c r="H854" t="s">
        <v>75</v>
      </c>
      <c r="I854">
        <v>46244</v>
      </c>
      <c r="J854" t="s">
        <v>6106</v>
      </c>
      <c r="K854" s="1401">
        <v>46249</v>
      </c>
      <c r="L854" s="1401">
        <v>46292</v>
      </c>
      <c r="M854" s="1401">
        <v>46299</v>
      </c>
      <c r="N854" s="1401">
        <v>46300</v>
      </c>
      <c r="O854" t="s">
        <v>2434</v>
      </c>
      <c r="P854" s="1401">
        <v>46309</v>
      </c>
      <c r="Q854" s="1401">
        <v>46307</v>
      </c>
    </row>
    <row r="855" spans="1:17">
      <c r="A855" t="s">
        <v>6167</v>
      </c>
      <c r="B855" t="s">
        <v>64</v>
      </c>
      <c r="C855" t="s">
        <v>100</v>
      </c>
      <c r="D855" t="s">
        <v>4531</v>
      </c>
      <c r="E855" t="s">
        <v>195</v>
      </c>
      <c r="F855" t="s">
        <v>196</v>
      </c>
      <c r="G855">
        <v>2808</v>
      </c>
      <c r="H855" t="s">
        <v>951</v>
      </c>
      <c r="I855">
        <v>46243</v>
      </c>
      <c r="J855" t="s">
        <v>6168</v>
      </c>
      <c r="K855" s="1401">
        <v>46249</v>
      </c>
      <c r="L855" s="1401">
        <v>46305</v>
      </c>
      <c r="M855" s="1401">
        <v>46314</v>
      </c>
      <c r="N855" s="1401"/>
      <c r="O855" t="s">
        <v>2434</v>
      </c>
      <c r="P855" s="1401">
        <v>46312</v>
      </c>
      <c r="Q855" s="1401">
        <v>46321</v>
      </c>
    </row>
    <row r="856" spans="1:17">
      <c r="A856" t="s">
        <v>6156</v>
      </c>
      <c r="B856" t="s">
        <v>64</v>
      </c>
      <c r="C856" t="s">
        <v>100</v>
      </c>
      <c r="D856" t="s">
        <v>4531</v>
      </c>
      <c r="E856" t="s">
        <v>195</v>
      </c>
      <c r="F856" t="s">
        <v>196</v>
      </c>
      <c r="G856">
        <v>936</v>
      </c>
      <c r="H856" t="s">
        <v>951</v>
      </c>
      <c r="I856">
        <v>46241</v>
      </c>
      <c r="J856" t="s">
        <v>6157</v>
      </c>
      <c r="K856" s="1401">
        <v>46249</v>
      </c>
      <c r="L856" s="1401">
        <v>46309</v>
      </c>
      <c r="M856" s="1401"/>
      <c r="N856" s="1401"/>
      <c r="O856" t="s">
        <v>2434</v>
      </c>
      <c r="P856" s="1401">
        <v>46305</v>
      </c>
      <c r="Q856" s="1401">
        <v>46316</v>
      </c>
    </row>
    <row r="857" spans="1:17">
      <c r="A857" t="s">
        <v>6154</v>
      </c>
      <c r="B857" t="s">
        <v>64</v>
      </c>
      <c r="C857" t="s">
        <v>100</v>
      </c>
      <c r="D857" t="s">
        <v>4531</v>
      </c>
      <c r="E857" t="s">
        <v>195</v>
      </c>
      <c r="F857" t="s">
        <v>196</v>
      </c>
      <c r="G857">
        <v>4680</v>
      </c>
      <c r="H857" t="s">
        <v>951</v>
      </c>
      <c r="I857">
        <v>46241</v>
      </c>
      <c r="J857" t="s">
        <v>6155</v>
      </c>
      <c r="K857" s="1401">
        <v>46249</v>
      </c>
      <c r="L857" s="1401">
        <v>46309</v>
      </c>
      <c r="M857" s="1401"/>
      <c r="N857" s="1401"/>
      <c r="O857" t="s">
        <v>2434</v>
      </c>
      <c r="P857" s="1401">
        <v>46305</v>
      </c>
      <c r="Q857" s="1401">
        <v>46316</v>
      </c>
    </row>
    <row r="858" spans="1:17">
      <c r="A858" t="s">
        <v>6149</v>
      </c>
      <c r="B858" t="s">
        <v>64</v>
      </c>
      <c r="C858" t="s">
        <v>100</v>
      </c>
      <c r="D858" t="s">
        <v>4531</v>
      </c>
      <c r="E858" t="s">
        <v>195</v>
      </c>
      <c r="F858" t="s">
        <v>196</v>
      </c>
      <c r="G858">
        <v>3744</v>
      </c>
      <c r="H858" t="s">
        <v>951</v>
      </c>
      <c r="I858">
        <v>46241</v>
      </c>
      <c r="J858" t="s">
        <v>6150</v>
      </c>
      <c r="K858" s="1401">
        <v>46249</v>
      </c>
      <c r="L858" s="1401">
        <v>46309</v>
      </c>
      <c r="M858" s="1401"/>
      <c r="N858" s="1401"/>
      <c r="O858" t="s">
        <v>2434</v>
      </c>
      <c r="P858" s="1401">
        <v>46305</v>
      </c>
      <c r="Q858" s="1401">
        <v>46316</v>
      </c>
    </row>
    <row r="859" spans="1:17">
      <c r="A859" t="s">
        <v>5995</v>
      </c>
      <c r="B859" t="s">
        <v>64</v>
      </c>
      <c r="C859" t="s">
        <v>65</v>
      </c>
      <c r="D859" t="s">
        <v>4531</v>
      </c>
      <c r="E859" t="s">
        <v>1151</v>
      </c>
      <c r="F859" t="s">
        <v>421</v>
      </c>
      <c r="G859">
        <v>864</v>
      </c>
      <c r="H859" t="s">
        <v>75</v>
      </c>
      <c r="I859">
        <v>46241</v>
      </c>
      <c r="J859" t="s">
        <v>5996</v>
      </c>
      <c r="K859" s="1401">
        <v>46248</v>
      </c>
      <c r="L859" s="1401">
        <v>46288</v>
      </c>
      <c r="M859" s="1401">
        <v>46297.25</v>
      </c>
      <c r="N859" s="1401">
        <v>46296</v>
      </c>
      <c r="O859" t="s">
        <v>2434</v>
      </c>
      <c r="P859" s="1401">
        <v>46309</v>
      </c>
      <c r="Q859" s="1401">
        <v>46304</v>
      </c>
    </row>
    <row r="860" spans="1:17">
      <c r="A860" t="s">
        <v>6144</v>
      </c>
      <c r="B860" t="s">
        <v>64</v>
      </c>
      <c r="C860" t="s">
        <v>100</v>
      </c>
      <c r="D860" t="s">
        <v>4531</v>
      </c>
      <c r="E860" t="s">
        <v>195</v>
      </c>
      <c r="F860" t="s">
        <v>196</v>
      </c>
      <c r="G860">
        <v>3744</v>
      </c>
      <c r="H860" t="s">
        <v>951</v>
      </c>
      <c r="I860">
        <v>46241</v>
      </c>
      <c r="J860" t="s">
        <v>6145</v>
      </c>
      <c r="K860" s="1401">
        <v>46246</v>
      </c>
      <c r="L860" s="1401">
        <v>46307</v>
      </c>
      <c r="M860" s="1401"/>
      <c r="N860" s="1401"/>
      <c r="O860" t="s">
        <v>2434</v>
      </c>
      <c r="P860" s="1401">
        <v>46311</v>
      </c>
      <c r="Q860" s="1401">
        <v>46314</v>
      </c>
    </row>
    <row r="861" spans="1:17">
      <c r="A861" t="s">
        <v>5990</v>
      </c>
      <c r="B861" t="s">
        <v>64</v>
      </c>
      <c r="C861" t="s">
        <v>100</v>
      </c>
      <c r="D861" t="s">
        <v>4531</v>
      </c>
      <c r="E861" t="s">
        <v>1151</v>
      </c>
      <c r="F861" t="s">
        <v>421</v>
      </c>
      <c r="G861">
        <v>864</v>
      </c>
      <c r="H861" t="s">
        <v>75</v>
      </c>
      <c r="I861">
        <v>46241</v>
      </c>
      <c r="J861" t="s">
        <v>5991</v>
      </c>
      <c r="K861" s="1401">
        <v>46246</v>
      </c>
      <c r="L861" s="1401">
        <v>46281</v>
      </c>
      <c r="M861" s="1401">
        <v>46299.75</v>
      </c>
      <c r="N861" s="1401">
        <v>46300</v>
      </c>
      <c r="O861" t="s">
        <v>2434</v>
      </c>
      <c r="P861" s="1401">
        <v>46309</v>
      </c>
      <c r="Q861" s="1401">
        <v>46307</v>
      </c>
    </row>
    <row r="862" spans="1:17">
      <c r="A862" t="s">
        <v>5985</v>
      </c>
      <c r="B862" t="s">
        <v>64</v>
      </c>
      <c r="C862" t="s">
        <v>100</v>
      </c>
      <c r="D862" t="s">
        <v>4531</v>
      </c>
      <c r="E862" t="s">
        <v>1151</v>
      </c>
      <c r="F862" t="s">
        <v>421</v>
      </c>
      <c r="G862">
        <v>864</v>
      </c>
      <c r="H862" t="s">
        <v>75</v>
      </c>
      <c r="I862">
        <v>46241</v>
      </c>
      <c r="J862" t="s">
        <v>5986</v>
      </c>
      <c r="K862" s="1401">
        <v>46246</v>
      </c>
      <c r="L862" s="1401">
        <v>46281</v>
      </c>
      <c r="M862" s="1401">
        <v>46299.75</v>
      </c>
      <c r="N862" s="1401">
        <v>46300</v>
      </c>
      <c r="O862" t="s">
        <v>2434</v>
      </c>
      <c r="P862" s="1401">
        <v>46309</v>
      </c>
      <c r="Q862" s="1401">
        <v>46307</v>
      </c>
    </row>
    <row r="863" spans="1:17">
      <c r="A863" t="s">
        <v>6344</v>
      </c>
      <c r="B863" t="s">
        <v>144</v>
      </c>
      <c r="C863" t="s">
        <v>145</v>
      </c>
      <c r="D863" t="s">
        <v>4531</v>
      </c>
      <c r="E863" t="s">
        <v>1151</v>
      </c>
      <c r="F863" t="s">
        <v>421</v>
      </c>
      <c r="G863">
        <v>864</v>
      </c>
      <c r="H863" t="s">
        <v>75</v>
      </c>
      <c r="I863">
        <v>46245</v>
      </c>
      <c r="J863" t="s">
        <v>6345</v>
      </c>
      <c r="K863" s="1401">
        <v>46251</v>
      </c>
      <c r="L863" s="1401">
        <v>46295</v>
      </c>
      <c r="M863" s="1401">
        <v>46297.25</v>
      </c>
      <c r="N863" s="1401">
        <v>46296</v>
      </c>
      <c r="O863" t="s">
        <v>973</v>
      </c>
      <c r="P863" s="1401">
        <v>46295</v>
      </c>
      <c r="Q863" s="1401">
        <v>46296</v>
      </c>
    </row>
    <row r="864" spans="1:17">
      <c r="A864" t="s">
        <v>6026</v>
      </c>
      <c r="B864" t="s">
        <v>64</v>
      </c>
      <c r="C864" t="s">
        <v>100</v>
      </c>
      <c r="D864" t="s">
        <v>4531</v>
      </c>
      <c r="E864" t="s">
        <v>5057</v>
      </c>
      <c r="F864" t="s">
        <v>1484</v>
      </c>
      <c r="G864">
        <v>594</v>
      </c>
      <c r="H864" t="s">
        <v>75</v>
      </c>
      <c r="I864">
        <v>46241</v>
      </c>
      <c r="J864" t="s">
        <v>6027</v>
      </c>
      <c r="K864" s="1401">
        <v>46250</v>
      </c>
      <c r="L864" s="1401">
        <v>46298</v>
      </c>
      <c r="M864" s="1401">
        <v>46284.875</v>
      </c>
      <c r="N864" s="1401">
        <v>46285.134953703702</v>
      </c>
      <c r="O864" t="s">
        <v>2434</v>
      </c>
      <c r="P864" s="1401">
        <v>46300</v>
      </c>
      <c r="Q864" s="1401">
        <v>46292.134953703702</v>
      </c>
    </row>
    <row r="865" spans="1:17">
      <c r="A865" t="s">
        <v>6030</v>
      </c>
      <c r="B865" t="s">
        <v>64</v>
      </c>
      <c r="C865" t="s">
        <v>100</v>
      </c>
      <c r="D865" t="s">
        <v>4531</v>
      </c>
      <c r="E865" t="s">
        <v>5057</v>
      </c>
      <c r="F865" t="s">
        <v>1484</v>
      </c>
      <c r="G865">
        <v>594</v>
      </c>
      <c r="H865" t="s">
        <v>75</v>
      </c>
      <c r="I865">
        <v>46241</v>
      </c>
      <c r="J865" t="s">
        <v>6031</v>
      </c>
      <c r="K865" s="1401">
        <v>46250</v>
      </c>
      <c r="L865" s="1401">
        <v>46298</v>
      </c>
      <c r="M865" s="1401">
        <v>46284.875</v>
      </c>
      <c r="N865" s="1401">
        <v>46285.134953703702</v>
      </c>
      <c r="O865" t="s">
        <v>2434</v>
      </c>
      <c r="P865" s="1401">
        <v>46300</v>
      </c>
      <c r="Q865" s="1401">
        <v>46292.134953703702</v>
      </c>
    </row>
    <row r="866" spans="1:17">
      <c r="A866" t="s">
        <v>6050</v>
      </c>
      <c r="B866" t="s">
        <v>64</v>
      </c>
      <c r="C866" t="s">
        <v>100</v>
      </c>
      <c r="D866" t="s">
        <v>4531</v>
      </c>
      <c r="E866" t="s">
        <v>5041</v>
      </c>
      <c r="F866" t="s">
        <v>1807</v>
      </c>
      <c r="G866">
        <v>1782</v>
      </c>
      <c r="H866" t="s">
        <v>75</v>
      </c>
      <c r="I866">
        <v>46245</v>
      </c>
      <c r="J866" t="s">
        <v>6051</v>
      </c>
      <c r="K866" s="1401">
        <v>46249</v>
      </c>
      <c r="L866" s="1401">
        <v>46282</v>
      </c>
      <c r="M866" s="1401">
        <v>46284.875</v>
      </c>
      <c r="N866" s="1401">
        <v>46285.134953703702</v>
      </c>
      <c r="O866" t="s">
        <v>2434</v>
      </c>
      <c r="P866" s="1401">
        <v>46300</v>
      </c>
      <c r="Q866" s="1401">
        <v>46292.134953703702</v>
      </c>
    </row>
    <row r="867" spans="1:17">
      <c r="A867" t="s">
        <v>5836</v>
      </c>
      <c r="B867" t="s">
        <v>144</v>
      </c>
      <c r="C867" t="s">
        <v>145</v>
      </c>
      <c r="D867" t="s">
        <v>4531</v>
      </c>
      <c r="E867" t="s">
        <v>4597</v>
      </c>
      <c r="F867" t="s">
        <v>4598</v>
      </c>
      <c r="G867">
        <v>720</v>
      </c>
      <c r="H867" t="s">
        <v>951</v>
      </c>
      <c r="I867">
        <v>46247</v>
      </c>
      <c r="J867" t="s">
        <v>5837</v>
      </c>
      <c r="K867" s="1401">
        <v>46248</v>
      </c>
      <c r="L867" s="1401">
        <v>46308</v>
      </c>
      <c r="M867" s="1401">
        <v>46315</v>
      </c>
      <c r="N867" s="1401"/>
      <c r="O867" t="s">
        <v>973</v>
      </c>
      <c r="P867" s="1401">
        <v>46315</v>
      </c>
      <c r="Q867" s="1401">
        <v>46315</v>
      </c>
    </row>
    <row r="868" spans="1:17">
      <c r="A868" t="s">
        <v>6032</v>
      </c>
      <c r="B868" t="s">
        <v>64</v>
      </c>
      <c r="C868" t="s">
        <v>100</v>
      </c>
      <c r="D868" t="s">
        <v>4531</v>
      </c>
      <c r="E868" t="s">
        <v>4592</v>
      </c>
      <c r="F868" t="s">
        <v>330</v>
      </c>
      <c r="G868">
        <v>720</v>
      </c>
      <c r="H868" t="s">
        <v>75</v>
      </c>
      <c r="I868">
        <v>46241</v>
      </c>
      <c r="J868" t="s">
        <v>6033</v>
      </c>
      <c r="K868" s="1401">
        <v>46250</v>
      </c>
      <c r="L868" s="1401">
        <v>46298</v>
      </c>
      <c r="M868" s="1401">
        <v>46284.875</v>
      </c>
      <c r="N868" s="1401">
        <v>46285.134953703702</v>
      </c>
      <c r="O868" t="s">
        <v>2434</v>
      </c>
      <c r="P868" s="1401">
        <v>46300</v>
      </c>
      <c r="Q868" s="1401">
        <v>46292.134953703702</v>
      </c>
    </row>
    <row r="869" spans="1:17">
      <c r="A869" t="s">
        <v>6021</v>
      </c>
      <c r="B869" t="s">
        <v>64</v>
      </c>
      <c r="C869" t="s">
        <v>100</v>
      </c>
      <c r="D869" t="s">
        <v>132</v>
      </c>
      <c r="E869" t="s">
        <v>1062</v>
      </c>
      <c r="F869" t="s">
        <v>1063</v>
      </c>
      <c r="G869">
        <v>2592</v>
      </c>
      <c r="H869" t="s">
        <v>75</v>
      </c>
      <c r="I869">
        <v>46242</v>
      </c>
      <c r="J869" t="s">
        <v>6023</v>
      </c>
      <c r="K869" s="1401">
        <v>46250</v>
      </c>
      <c r="L869" s="1401">
        <v>46298</v>
      </c>
      <c r="M869" s="1401">
        <v>46284.875</v>
      </c>
      <c r="N869" s="1401">
        <v>46285.134953703702</v>
      </c>
      <c r="O869" t="s">
        <v>2434</v>
      </c>
      <c r="P869" s="1401">
        <v>46303</v>
      </c>
      <c r="Q869" s="1401">
        <v>46292.134953703702</v>
      </c>
    </row>
    <row r="870" spans="1:17">
      <c r="A870" t="s">
        <v>5928</v>
      </c>
      <c r="B870" t="s">
        <v>144</v>
      </c>
      <c r="C870" t="s">
        <v>145</v>
      </c>
      <c r="D870" t="s">
        <v>5336</v>
      </c>
      <c r="E870" t="s">
        <v>5337</v>
      </c>
      <c r="F870" t="s">
        <v>5338</v>
      </c>
      <c r="G870">
        <v>2160</v>
      </c>
      <c r="H870" t="s">
        <v>75</v>
      </c>
      <c r="I870">
        <v>46246</v>
      </c>
      <c r="J870" t="s">
        <v>5929</v>
      </c>
      <c r="K870" s="1401">
        <v>46246</v>
      </c>
      <c r="L870" s="1401">
        <v>46282</v>
      </c>
      <c r="M870" s="1401">
        <v>46284.333333333336</v>
      </c>
      <c r="N870" s="1401">
        <v>46284.41574074074</v>
      </c>
      <c r="O870" t="s">
        <v>973</v>
      </c>
      <c r="P870" s="1401">
        <v>46282</v>
      </c>
      <c r="Q870" s="1401">
        <v>46284.41574074074</v>
      </c>
    </row>
    <row r="871" spans="1:17">
      <c r="A871" t="s">
        <v>5849</v>
      </c>
      <c r="B871" t="s">
        <v>64</v>
      </c>
      <c r="C871" t="s">
        <v>450</v>
      </c>
      <c r="D871" t="s">
        <v>284</v>
      </c>
      <c r="E871" t="s">
        <v>5851</v>
      </c>
      <c r="F871" t="s">
        <v>5852</v>
      </c>
      <c r="G871">
        <v>936</v>
      </c>
      <c r="H871" t="s">
        <v>75</v>
      </c>
      <c r="I871">
        <v>46243</v>
      </c>
      <c r="J871" t="s">
        <v>5854</v>
      </c>
      <c r="K871" s="1401">
        <v>46249</v>
      </c>
      <c r="L871" s="1401">
        <v>46285</v>
      </c>
      <c r="M871" s="1401">
        <v>46290.041666666664</v>
      </c>
      <c r="N871" s="1401">
        <v>46290.087800925925</v>
      </c>
      <c r="O871" t="s">
        <v>2434</v>
      </c>
      <c r="P871" s="1401">
        <v>46303</v>
      </c>
      <c r="Q871" s="1401">
        <v>46297.087800925925</v>
      </c>
    </row>
    <row r="872" spans="1:17">
      <c r="A872" t="s">
        <v>5992</v>
      </c>
      <c r="B872" t="s">
        <v>64</v>
      </c>
      <c r="C872" t="s">
        <v>100</v>
      </c>
      <c r="D872" t="s">
        <v>284</v>
      </c>
      <c r="E872" t="s">
        <v>5851</v>
      </c>
      <c r="F872" t="s">
        <v>5852</v>
      </c>
      <c r="G872">
        <v>936</v>
      </c>
      <c r="H872" t="s">
        <v>75</v>
      </c>
      <c r="I872">
        <v>46241</v>
      </c>
      <c r="J872" t="s">
        <v>5993</v>
      </c>
      <c r="K872" s="1401">
        <v>46246</v>
      </c>
      <c r="L872" s="1401">
        <v>46281</v>
      </c>
      <c r="M872" s="1401">
        <v>46299.75</v>
      </c>
      <c r="N872" s="1401">
        <v>46300</v>
      </c>
      <c r="O872" t="s">
        <v>2434</v>
      </c>
      <c r="P872" s="1401">
        <v>46309</v>
      </c>
      <c r="Q872" s="1401">
        <v>46307</v>
      </c>
    </row>
    <row r="873" spans="1:17">
      <c r="A873" t="s">
        <v>6134</v>
      </c>
      <c r="B873" t="s">
        <v>64</v>
      </c>
      <c r="C873" t="s">
        <v>100</v>
      </c>
      <c r="D873" t="s">
        <v>284</v>
      </c>
      <c r="E873" t="s">
        <v>5851</v>
      </c>
      <c r="F873" t="s">
        <v>5852</v>
      </c>
      <c r="G873">
        <v>4680</v>
      </c>
      <c r="H873" t="s">
        <v>75</v>
      </c>
      <c r="I873">
        <v>46241</v>
      </c>
      <c r="J873" t="s">
        <v>6135</v>
      </c>
      <c r="K873" s="1401">
        <v>46248</v>
      </c>
      <c r="L873" s="1401">
        <v>46281</v>
      </c>
      <c r="M873" s="1401">
        <v>46289.958333333336</v>
      </c>
      <c r="N873" s="1401">
        <v>46290.180347222224</v>
      </c>
      <c r="O873" t="s">
        <v>2434</v>
      </c>
      <c r="P873" s="1401">
        <v>46303</v>
      </c>
      <c r="Q873" s="1401">
        <v>46297.180347222224</v>
      </c>
    </row>
    <row r="874" spans="1:17">
      <c r="A874" t="s">
        <v>5333</v>
      </c>
      <c r="B874" t="s">
        <v>64</v>
      </c>
      <c r="C874" t="s">
        <v>114</v>
      </c>
      <c r="D874" t="s">
        <v>5336</v>
      </c>
      <c r="E874" t="s">
        <v>5337</v>
      </c>
      <c r="F874" t="s">
        <v>5338</v>
      </c>
      <c r="G874">
        <v>3600</v>
      </c>
      <c r="H874" t="s">
        <v>75</v>
      </c>
      <c r="I874">
        <v>46207</v>
      </c>
      <c r="J874" t="s">
        <v>5340</v>
      </c>
      <c r="K874" s="1401">
        <v>46217</v>
      </c>
      <c r="L874" s="1401">
        <v>46254</v>
      </c>
      <c r="M874" s="1401">
        <v>46267.791666666664</v>
      </c>
      <c r="N874" s="1401">
        <v>46268.28087962963</v>
      </c>
      <c r="O874" t="s">
        <v>2434</v>
      </c>
      <c r="P874" s="1401">
        <v>46267</v>
      </c>
      <c r="Q874" s="1401">
        <v>46277.28087962963</v>
      </c>
    </row>
    <row r="875" spans="1:17">
      <c r="A875" t="s">
        <v>6004</v>
      </c>
      <c r="B875" t="s">
        <v>144</v>
      </c>
      <c r="C875" t="s">
        <v>145</v>
      </c>
      <c r="D875" t="s">
        <v>5379</v>
      </c>
      <c r="E875" t="s">
        <v>5400</v>
      </c>
      <c r="F875" t="s">
        <v>5401</v>
      </c>
      <c r="G875">
        <v>936</v>
      </c>
      <c r="H875" t="s">
        <v>75</v>
      </c>
      <c r="I875">
        <v>46248</v>
      </c>
      <c r="J875" t="s">
        <v>6005</v>
      </c>
      <c r="K875" s="1401">
        <v>46253</v>
      </c>
      <c r="L875" s="1401">
        <v>46287</v>
      </c>
      <c r="M875" s="1401">
        <v>46289.958333333336</v>
      </c>
      <c r="N875" s="1401">
        <v>46290.180347222224</v>
      </c>
      <c r="O875" t="s">
        <v>973</v>
      </c>
      <c r="P875" s="1401">
        <v>46287</v>
      </c>
      <c r="Q875" s="1401">
        <v>46290.180347222224</v>
      </c>
    </row>
    <row r="876" spans="1:17">
      <c r="A876" t="s">
        <v>6233</v>
      </c>
      <c r="B876" t="s">
        <v>144</v>
      </c>
      <c r="C876" t="s">
        <v>145</v>
      </c>
      <c r="D876" t="s">
        <v>4531</v>
      </c>
      <c r="E876" t="s">
        <v>6235</v>
      </c>
      <c r="F876" t="s">
        <v>330</v>
      </c>
      <c r="G876">
        <v>4320</v>
      </c>
      <c r="H876" t="s">
        <v>951</v>
      </c>
      <c r="I876">
        <v>46250</v>
      </c>
      <c r="J876" t="s">
        <v>6237</v>
      </c>
      <c r="K876" s="1401">
        <v>46256</v>
      </c>
      <c r="L876" s="1401">
        <v>46305</v>
      </c>
      <c r="M876" s="1401">
        <v>46305.583333333336</v>
      </c>
      <c r="N876" s="1401" t="s">
        <v>2525</v>
      </c>
      <c r="O876" t="s">
        <v>973</v>
      </c>
      <c r="P876" s="1401">
        <v>46305</v>
      </c>
      <c r="Q876" s="1401">
        <v>46305.583333333336</v>
      </c>
    </row>
    <row r="877" spans="1:17">
      <c r="A877" t="s">
        <v>6409</v>
      </c>
      <c r="B877" t="s">
        <v>144</v>
      </c>
      <c r="C877" t="s">
        <v>145</v>
      </c>
      <c r="D877" t="s">
        <v>4531</v>
      </c>
      <c r="E877" t="s">
        <v>1151</v>
      </c>
      <c r="F877" t="s">
        <v>421</v>
      </c>
      <c r="G877">
        <v>1728</v>
      </c>
      <c r="H877" t="s">
        <v>951</v>
      </c>
      <c r="I877">
        <v>46253</v>
      </c>
      <c r="J877" t="s">
        <v>6411</v>
      </c>
      <c r="K877" s="1401">
        <v>46258</v>
      </c>
      <c r="L877" s="1401">
        <v>46316</v>
      </c>
      <c r="M877" s="1401">
        <v>46316.833333333336</v>
      </c>
      <c r="N877" s="1401" t="s">
        <v>2525</v>
      </c>
      <c r="O877" t="s">
        <v>973</v>
      </c>
      <c r="P877" s="1401">
        <v>46316</v>
      </c>
      <c r="Q877" s="1401">
        <v>46316.833333333336</v>
      </c>
    </row>
    <row r="878" spans="1:17">
      <c r="A878" t="s">
        <v>5938</v>
      </c>
      <c r="B878" t="s">
        <v>64</v>
      </c>
      <c r="C878" t="s">
        <v>65</v>
      </c>
      <c r="D878" t="s">
        <v>132</v>
      </c>
      <c r="E878" t="s">
        <v>1062</v>
      </c>
      <c r="F878" t="s">
        <v>1063</v>
      </c>
      <c r="G878">
        <v>1728</v>
      </c>
      <c r="H878" t="s">
        <v>75</v>
      </c>
      <c r="I878">
        <v>46248</v>
      </c>
      <c r="J878" t="s">
        <v>5939</v>
      </c>
      <c r="K878" s="1401">
        <v>46249</v>
      </c>
      <c r="L878" s="1401">
        <v>46295</v>
      </c>
      <c r="M878" s="1401">
        <v>46296.75</v>
      </c>
      <c r="N878" s="1401">
        <v>46296</v>
      </c>
      <c r="O878" t="s">
        <v>2434</v>
      </c>
      <c r="P878" s="1401">
        <v>46309</v>
      </c>
      <c r="Q878" s="1401">
        <v>46304</v>
      </c>
    </row>
    <row r="879" spans="1:17">
      <c r="A879" t="s">
        <v>6065</v>
      </c>
      <c r="B879" t="s">
        <v>64</v>
      </c>
      <c r="C879" t="s">
        <v>65</v>
      </c>
      <c r="D879" t="s">
        <v>132</v>
      </c>
      <c r="E879" t="s">
        <v>1062</v>
      </c>
      <c r="F879" t="s">
        <v>1063</v>
      </c>
      <c r="G879">
        <v>2592</v>
      </c>
      <c r="H879" t="s">
        <v>951</v>
      </c>
      <c r="I879">
        <v>46253</v>
      </c>
      <c r="J879" t="s">
        <v>6066</v>
      </c>
      <c r="K879" s="1401">
        <v>46259</v>
      </c>
      <c r="L879" s="1401">
        <v>46307</v>
      </c>
      <c r="M879" s="1401">
        <v>46320.25</v>
      </c>
      <c r="N879" s="1401" t="s">
        <v>2525</v>
      </c>
      <c r="O879" t="s">
        <v>2434</v>
      </c>
      <c r="P879" s="1401">
        <v>46316</v>
      </c>
      <c r="Q879" s="1401">
        <v>46328.25</v>
      </c>
    </row>
    <row r="880" spans="1:17">
      <c r="A880" t="s">
        <v>6265</v>
      </c>
      <c r="B880" t="s">
        <v>144</v>
      </c>
      <c r="C880" t="s">
        <v>145</v>
      </c>
      <c r="D880" t="s">
        <v>4531</v>
      </c>
      <c r="E880" t="s">
        <v>6235</v>
      </c>
      <c r="F880" t="s">
        <v>330</v>
      </c>
      <c r="G880">
        <v>3600</v>
      </c>
      <c r="H880" t="s">
        <v>951</v>
      </c>
      <c r="I880">
        <v>46254</v>
      </c>
      <c r="J880" t="s">
        <v>6267</v>
      </c>
      <c r="K880" s="1401">
        <v>46257</v>
      </c>
      <c r="L880" s="1401">
        <v>46298</v>
      </c>
      <c r="M880" s="1401"/>
      <c r="N880" s="1401"/>
      <c r="O880" t="s">
        <v>973</v>
      </c>
      <c r="P880" s="1401">
        <v>46298</v>
      </c>
      <c r="Q880" s="1401">
        <v>46298</v>
      </c>
    </row>
    <row r="881" spans="1:17">
      <c r="A881" t="s">
        <v>5946</v>
      </c>
      <c r="B881" t="s">
        <v>64</v>
      </c>
      <c r="C881" t="s">
        <v>65</v>
      </c>
      <c r="D881" t="s">
        <v>4531</v>
      </c>
      <c r="E881" t="s">
        <v>71</v>
      </c>
      <c r="F881" t="s">
        <v>72</v>
      </c>
      <c r="G881">
        <v>5184</v>
      </c>
      <c r="H881" t="s">
        <v>75</v>
      </c>
      <c r="I881">
        <v>46249</v>
      </c>
      <c r="J881" t="s">
        <v>5947</v>
      </c>
      <c r="K881" s="1401">
        <v>46249</v>
      </c>
      <c r="L881" s="1401">
        <v>46295</v>
      </c>
      <c r="M881" s="1401">
        <v>46296.75</v>
      </c>
      <c r="N881" s="1401">
        <v>46296</v>
      </c>
      <c r="O881" t="s">
        <v>2434</v>
      </c>
      <c r="P881" s="1401">
        <v>46309</v>
      </c>
      <c r="Q881" s="1401">
        <v>46304</v>
      </c>
    </row>
    <row r="882" spans="1:17">
      <c r="A882" t="s">
        <v>6186</v>
      </c>
      <c r="B882" t="s">
        <v>64</v>
      </c>
      <c r="C882" t="s">
        <v>65</v>
      </c>
      <c r="D882" t="s">
        <v>284</v>
      </c>
      <c r="E882" t="s">
        <v>5496</v>
      </c>
      <c r="F882" t="s">
        <v>5346</v>
      </c>
      <c r="G882">
        <v>1440</v>
      </c>
      <c r="H882" t="s">
        <v>951</v>
      </c>
      <c r="I882">
        <v>46248</v>
      </c>
      <c r="J882" t="s">
        <v>6187</v>
      </c>
      <c r="K882" s="1401">
        <v>46254</v>
      </c>
      <c r="L882" s="1401">
        <v>46309</v>
      </c>
      <c r="M882" s="1401">
        <v>46316.833333333336</v>
      </c>
      <c r="N882" s="1401" t="s">
        <v>2525</v>
      </c>
      <c r="O882" t="s">
        <v>2434</v>
      </c>
      <c r="P882" s="1401">
        <v>46328</v>
      </c>
      <c r="Q882" s="1401">
        <v>46324.833333333336</v>
      </c>
    </row>
    <row r="883" spans="1:17">
      <c r="A883" t="s">
        <v>6091</v>
      </c>
      <c r="B883" t="s">
        <v>64</v>
      </c>
      <c r="C883" t="s">
        <v>114</v>
      </c>
      <c r="D883" t="s">
        <v>5336</v>
      </c>
      <c r="E883" t="s">
        <v>5337</v>
      </c>
      <c r="F883" t="s">
        <v>5338</v>
      </c>
      <c r="G883">
        <v>720</v>
      </c>
      <c r="H883" t="s">
        <v>951</v>
      </c>
      <c r="I883">
        <v>46253</v>
      </c>
      <c r="J883" t="s">
        <v>6092</v>
      </c>
      <c r="K883" s="1401">
        <v>46259</v>
      </c>
      <c r="L883" s="1401">
        <v>46310</v>
      </c>
      <c r="M883" s="1401">
        <v>46322.833333333336</v>
      </c>
      <c r="N883" s="1401" t="s">
        <v>2525</v>
      </c>
      <c r="O883" t="s">
        <v>2434</v>
      </c>
      <c r="P883" s="1401">
        <v>46320</v>
      </c>
      <c r="Q883" s="1401">
        <v>46331.833333333336</v>
      </c>
    </row>
    <row r="884" spans="1:17">
      <c r="A884" t="s">
        <v>6093</v>
      </c>
      <c r="B884" t="s">
        <v>64</v>
      </c>
      <c r="C884" t="s">
        <v>114</v>
      </c>
      <c r="D884" t="s">
        <v>5336</v>
      </c>
      <c r="E884" t="s">
        <v>5555</v>
      </c>
      <c r="F884" t="s">
        <v>5556</v>
      </c>
      <c r="G884">
        <v>1440</v>
      </c>
      <c r="H884" t="s">
        <v>951</v>
      </c>
      <c r="I884">
        <v>46253</v>
      </c>
      <c r="J884" t="s">
        <v>6094</v>
      </c>
      <c r="K884" s="1401">
        <v>46259</v>
      </c>
      <c r="L884" s="1401">
        <v>46310</v>
      </c>
      <c r="M884" s="1401">
        <v>46322.833333333336</v>
      </c>
      <c r="N884" s="1401" t="s">
        <v>2525</v>
      </c>
      <c r="O884" t="s">
        <v>2434</v>
      </c>
      <c r="P884" s="1401">
        <v>46320</v>
      </c>
      <c r="Q884" s="1401">
        <v>46331.833333333336</v>
      </c>
    </row>
    <row r="885" spans="1:17">
      <c r="A885" t="s">
        <v>6087</v>
      </c>
      <c r="B885" t="s">
        <v>64</v>
      </c>
      <c r="C885" t="s">
        <v>114</v>
      </c>
      <c r="D885" t="s">
        <v>5336</v>
      </c>
      <c r="E885" t="s">
        <v>5337</v>
      </c>
      <c r="F885" t="s">
        <v>5338</v>
      </c>
      <c r="G885">
        <v>720</v>
      </c>
      <c r="H885" t="s">
        <v>951</v>
      </c>
      <c r="I885">
        <v>46253</v>
      </c>
      <c r="J885" t="s">
        <v>6088</v>
      </c>
      <c r="K885" s="1401">
        <v>46259</v>
      </c>
      <c r="L885" s="1401">
        <v>46310</v>
      </c>
      <c r="M885" s="1401">
        <v>46322.833333333336</v>
      </c>
      <c r="N885" s="1401" t="s">
        <v>2525</v>
      </c>
      <c r="O885" t="s">
        <v>2434</v>
      </c>
      <c r="P885" s="1401">
        <v>46320</v>
      </c>
      <c r="Q885" s="1401">
        <v>46331.833333333336</v>
      </c>
    </row>
    <row r="886" spans="1:17">
      <c r="A886" t="s">
        <v>5942</v>
      </c>
      <c r="B886" t="s">
        <v>64</v>
      </c>
      <c r="C886" t="s">
        <v>65</v>
      </c>
      <c r="D886" t="s">
        <v>5379</v>
      </c>
      <c r="E886" t="s">
        <v>5943</v>
      </c>
      <c r="F886" t="s">
        <v>5944</v>
      </c>
      <c r="G886">
        <v>5616</v>
      </c>
      <c r="H886" t="s">
        <v>75</v>
      </c>
      <c r="I886">
        <v>46248</v>
      </c>
      <c r="J886" t="s">
        <v>5945</v>
      </c>
      <c r="K886" s="1401">
        <v>46249</v>
      </c>
      <c r="L886" s="1401">
        <v>46295</v>
      </c>
      <c r="M886" s="1401">
        <v>46296.75</v>
      </c>
      <c r="N886" s="1401">
        <v>46296</v>
      </c>
      <c r="O886" t="s">
        <v>2434</v>
      </c>
      <c r="P886" s="1401">
        <v>46309</v>
      </c>
      <c r="Q886" s="1401">
        <v>46304</v>
      </c>
    </row>
    <row r="887" spans="1:17">
      <c r="A887" t="s">
        <v>6184</v>
      </c>
      <c r="B887" t="s">
        <v>64</v>
      </c>
      <c r="C887" t="s">
        <v>65</v>
      </c>
      <c r="D887" t="s">
        <v>284</v>
      </c>
      <c r="E887" t="s">
        <v>5496</v>
      </c>
      <c r="F887" t="s">
        <v>5346</v>
      </c>
      <c r="G887">
        <v>720</v>
      </c>
      <c r="H887" t="s">
        <v>951</v>
      </c>
      <c r="I887">
        <v>46248</v>
      </c>
      <c r="J887" t="s">
        <v>6185</v>
      </c>
      <c r="K887" s="1401">
        <v>46254</v>
      </c>
      <c r="L887" s="1401">
        <v>46321</v>
      </c>
      <c r="M887" s="1401">
        <v>46323.791666666664</v>
      </c>
      <c r="N887" s="1401" t="s">
        <v>2525</v>
      </c>
      <c r="O887" t="s">
        <v>2434</v>
      </c>
      <c r="P887" s="1401">
        <v>46328</v>
      </c>
      <c r="Q887" s="1401">
        <v>46331.791666666664</v>
      </c>
    </row>
    <row r="888" spans="1:17">
      <c r="A888" t="s">
        <v>6173</v>
      </c>
      <c r="B888" t="s">
        <v>64</v>
      </c>
      <c r="C888" t="s">
        <v>100</v>
      </c>
      <c r="D888" t="s">
        <v>284</v>
      </c>
      <c r="E888" t="s">
        <v>5583</v>
      </c>
      <c r="F888" t="s">
        <v>1570</v>
      </c>
      <c r="G888">
        <v>4320</v>
      </c>
      <c r="H888" t="s">
        <v>951</v>
      </c>
      <c r="I888">
        <v>46248</v>
      </c>
      <c r="J888" t="s">
        <v>6174</v>
      </c>
      <c r="K888" s="1401">
        <v>46254</v>
      </c>
      <c r="L888" s="1401">
        <v>46298</v>
      </c>
      <c r="M888" s="1401">
        <v>46303.291666666664</v>
      </c>
      <c r="N888" s="1401" t="s">
        <v>2525</v>
      </c>
      <c r="O888" t="s">
        <v>2434</v>
      </c>
      <c r="P888" s="1401">
        <v>46305</v>
      </c>
      <c r="Q888" s="1401">
        <v>46310.291666666664</v>
      </c>
    </row>
    <row r="889" spans="1:17">
      <c r="A889" t="s">
        <v>6383</v>
      </c>
      <c r="B889" t="s">
        <v>64</v>
      </c>
      <c r="C889" t="s">
        <v>100</v>
      </c>
      <c r="D889" t="s">
        <v>4531</v>
      </c>
      <c r="E889" t="s">
        <v>71</v>
      </c>
      <c r="F889" t="s">
        <v>72</v>
      </c>
      <c r="G889">
        <v>5184</v>
      </c>
      <c r="H889" t="s">
        <v>951</v>
      </c>
      <c r="I889">
        <v>46253</v>
      </c>
      <c r="J889" t="s">
        <v>6384</v>
      </c>
      <c r="K889" s="1401">
        <v>46258</v>
      </c>
      <c r="L889" s="1401">
        <v>46303</v>
      </c>
      <c r="M889" s="1401">
        <v>46307.833333333336</v>
      </c>
      <c r="N889" s="1401" t="s">
        <v>2525</v>
      </c>
      <c r="O889" t="s">
        <v>2434</v>
      </c>
      <c r="P889" s="1401">
        <v>46310</v>
      </c>
      <c r="Q889" s="1401">
        <v>46314.833333333336</v>
      </c>
    </row>
    <row r="890" spans="1:17">
      <c r="A890" t="s">
        <v>6260</v>
      </c>
      <c r="B890" t="s">
        <v>144</v>
      </c>
      <c r="C890" t="s">
        <v>145</v>
      </c>
      <c r="D890" t="s">
        <v>4531</v>
      </c>
      <c r="E890" t="s">
        <v>6235</v>
      </c>
      <c r="F890" t="s">
        <v>330</v>
      </c>
      <c r="G890">
        <v>3600</v>
      </c>
      <c r="H890" t="s">
        <v>951</v>
      </c>
      <c r="I890">
        <v>46253</v>
      </c>
      <c r="J890" t="s">
        <v>6262</v>
      </c>
      <c r="K890" s="1401">
        <v>46257</v>
      </c>
      <c r="L890" s="1401">
        <v>46298</v>
      </c>
      <c r="M890" s="1401"/>
      <c r="N890" s="1401"/>
      <c r="O890" t="s">
        <v>973</v>
      </c>
      <c r="P890" s="1401">
        <v>46298</v>
      </c>
      <c r="Q890" s="1401">
        <v>46298</v>
      </c>
    </row>
    <row r="891" spans="1:17">
      <c r="A891" t="s">
        <v>6333</v>
      </c>
      <c r="B891" t="s">
        <v>64</v>
      </c>
      <c r="C891" t="s">
        <v>310</v>
      </c>
      <c r="D891" t="s">
        <v>550</v>
      </c>
      <c r="E891" t="s">
        <v>2134</v>
      </c>
      <c r="F891" t="s">
        <v>2135</v>
      </c>
      <c r="G891">
        <v>792</v>
      </c>
      <c r="H891" t="s">
        <v>951</v>
      </c>
      <c r="I891">
        <v>46252</v>
      </c>
      <c r="J891" t="s">
        <v>6334</v>
      </c>
      <c r="K891" s="1401">
        <v>46254</v>
      </c>
      <c r="L891" s="1401">
        <v>46308</v>
      </c>
      <c r="M891" s="1401">
        <v>46308.75</v>
      </c>
      <c r="N891" s="1401" t="s">
        <v>2525</v>
      </c>
      <c r="O891" t="s">
        <v>2434</v>
      </c>
      <c r="P891" s="1401">
        <v>46310</v>
      </c>
      <c r="Q891" s="1401">
        <v>46318.75</v>
      </c>
    </row>
    <row r="892" spans="1:17">
      <c r="A892" t="s">
        <v>6295</v>
      </c>
      <c r="B892" t="s">
        <v>64</v>
      </c>
      <c r="C892" t="s">
        <v>310</v>
      </c>
      <c r="D892" t="s">
        <v>550</v>
      </c>
      <c r="E892" t="s">
        <v>2134</v>
      </c>
      <c r="F892" t="s">
        <v>2135</v>
      </c>
      <c r="G892">
        <v>1584</v>
      </c>
      <c r="H892" t="s">
        <v>951</v>
      </c>
      <c r="I892">
        <v>46252</v>
      </c>
      <c r="J892" t="s">
        <v>6296</v>
      </c>
      <c r="K892" s="1401">
        <v>46262</v>
      </c>
      <c r="L892" s="1401">
        <v>46318</v>
      </c>
      <c r="M892" s="1401">
        <v>46334.75</v>
      </c>
      <c r="N892" s="1401" t="s">
        <v>2525</v>
      </c>
      <c r="O892" t="s">
        <v>2434</v>
      </c>
      <c r="P892" s="1401">
        <v>46321</v>
      </c>
      <c r="Q892" s="1401">
        <v>46344.75</v>
      </c>
    </row>
    <row r="893" spans="1:17">
      <c r="A893" t="s">
        <v>6130</v>
      </c>
      <c r="B893" t="s">
        <v>64</v>
      </c>
      <c r="C893" t="s">
        <v>310</v>
      </c>
      <c r="D893" t="s">
        <v>550</v>
      </c>
      <c r="E893" t="s">
        <v>2134</v>
      </c>
      <c r="F893" t="s">
        <v>2135</v>
      </c>
      <c r="G893">
        <v>792</v>
      </c>
      <c r="H893" t="s">
        <v>951</v>
      </c>
      <c r="I893">
        <v>46252</v>
      </c>
      <c r="J893" t="s">
        <v>6131</v>
      </c>
      <c r="K893" s="1401">
        <v>46247</v>
      </c>
      <c r="L893" s="1401">
        <v>46303</v>
      </c>
      <c r="M893" s="1401">
        <v>46308.75</v>
      </c>
      <c r="N893" s="1401" t="s">
        <v>2525</v>
      </c>
      <c r="O893" t="s">
        <v>2434</v>
      </c>
      <c r="P893" s="1401">
        <v>46310</v>
      </c>
      <c r="Q893" s="1401">
        <v>46318.75</v>
      </c>
    </row>
    <row r="894" spans="1:17">
      <c r="A894" t="s">
        <v>6095</v>
      </c>
      <c r="B894" t="s">
        <v>64</v>
      </c>
      <c r="C894" t="s">
        <v>114</v>
      </c>
      <c r="D894" t="s">
        <v>550</v>
      </c>
      <c r="E894" t="s">
        <v>2134</v>
      </c>
      <c r="F894" t="s">
        <v>2135</v>
      </c>
      <c r="G894">
        <v>792</v>
      </c>
      <c r="H894" t="s">
        <v>951</v>
      </c>
      <c r="I894">
        <v>46253</v>
      </c>
      <c r="J894" t="s">
        <v>6096</v>
      </c>
      <c r="K894" s="1401">
        <v>46259</v>
      </c>
      <c r="L894" s="1401">
        <v>46310</v>
      </c>
      <c r="M894" s="1401">
        <v>46322.833333333336</v>
      </c>
      <c r="N894" s="1401" t="s">
        <v>2525</v>
      </c>
      <c r="O894" t="s">
        <v>2434</v>
      </c>
      <c r="P894" s="1401">
        <v>46321</v>
      </c>
      <c r="Q894" s="1401">
        <v>46331.833333333336</v>
      </c>
    </row>
    <row r="895" spans="1:17">
      <c r="A895" t="s">
        <v>5732</v>
      </c>
      <c r="B895" t="s">
        <v>64</v>
      </c>
      <c r="C895" t="s">
        <v>65</v>
      </c>
      <c r="D895" t="s">
        <v>550</v>
      </c>
      <c r="E895" t="s">
        <v>551</v>
      </c>
      <c r="F895" t="s">
        <v>2151</v>
      </c>
      <c r="G895">
        <v>792</v>
      </c>
      <c r="H895" t="s">
        <v>951</v>
      </c>
      <c r="I895">
        <v>46252</v>
      </c>
      <c r="J895" t="s">
        <v>5733</v>
      </c>
      <c r="K895" s="1401">
        <v>46248</v>
      </c>
      <c r="L895" s="1401">
        <v>46300</v>
      </c>
      <c r="M895" s="1401">
        <v>46320.25</v>
      </c>
      <c r="N895" s="1401" t="s">
        <v>2525</v>
      </c>
      <c r="O895" t="s">
        <v>2434</v>
      </c>
      <c r="P895" s="1401">
        <v>46322</v>
      </c>
      <c r="Q895" s="1401">
        <v>46328.25</v>
      </c>
    </row>
    <row r="896" spans="1:17">
      <c r="A896" t="s">
        <v>6070</v>
      </c>
      <c r="B896" t="s">
        <v>64</v>
      </c>
      <c r="C896" t="s">
        <v>65</v>
      </c>
      <c r="D896" t="s">
        <v>550</v>
      </c>
      <c r="E896" t="s">
        <v>551</v>
      </c>
      <c r="F896" t="s">
        <v>2151</v>
      </c>
      <c r="G896">
        <v>1584</v>
      </c>
      <c r="H896" t="s">
        <v>951</v>
      </c>
      <c r="I896">
        <v>46253</v>
      </c>
      <c r="J896" t="s">
        <v>6071</v>
      </c>
      <c r="K896" s="1401">
        <v>46259</v>
      </c>
      <c r="L896" s="1401">
        <v>46307</v>
      </c>
      <c r="M896" s="1401">
        <v>46320.25</v>
      </c>
      <c r="N896" s="1401" t="s">
        <v>2525</v>
      </c>
      <c r="O896" t="s">
        <v>2434</v>
      </c>
      <c r="P896" s="1401">
        <v>46316</v>
      </c>
      <c r="Q896" s="1401">
        <v>46328.25</v>
      </c>
    </row>
    <row r="897" spans="1:17">
      <c r="A897" t="s">
        <v>5723</v>
      </c>
      <c r="B897" t="s">
        <v>64</v>
      </c>
      <c r="C897" t="s">
        <v>310</v>
      </c>
      <c r="D897" t="s">
        <v>550</v>
      </c>
      <c r="E897" t="s">
        <v>2134</v>
      </c>
      <c r="F897" t="s">
        <v>2135</v>
      </c>
      <c r="G897">
        <v>2376</v>
      </c>
      <c r="H897" t="s">
        <v>951</v>
      </c>
      <c r="I897">
        <v>46252</v>
      </c>
      <c r="J897" t="s">
        <v>5724</v>
      </c>
      <c r="K897" s="1401">
        <v>46248</v>
      </c>
      <c r="L897" s="1401">
        <v>46295</v>
      </c>
      <c r="M897" s="1401">
        <v>46316.5</v>
      </c>
      <c r="N897" s="1401" t="s">
        <v>2525</v>
      </c>
      <c r="O897" t="s">
        <v>2434</v>
      </c>
      <c r="P897" s="1401">
        <v>46321</v>
      </c>
      <c r="Q897" s="1401">
        <v>46326.5</v>
      </c>
    </row>
    <row r="898" spans="1:17">
      <c r="A898" t="s">
        <v>6011</v>
      </c>
      <c r="B898" t="s">
        <v>64</v>
      </c>
      <c r="C898" t="s">
        <v>100</v>
      </c>
      <c r="D898" t="s">
        <v>550</v>
      </c>
      <c r="E898" t="s">
        <v>2134</v>
      </c>
      <c r="F898" t="s">
        <v>2135</v>
      </c>
      <c r="G898">
        <v>3960</v>
      </c>
      <c r="H898" t="s">
        <v>75</v>
      </c>
      <c r="I898">
        <v>46249</v>
      </c>
      <c r="J898" t="s">
        <v>6012</v>
      </c>
      <c r="K898" s="1401">
        <v>46251</v>
      </c>
      <c r="L898" s="1401">
        <v>46288</v>
      </c>
      <c r="M898" s="1401">
        <v>46289.958333333336</v>
      </c>
      <c r="N898" s="1401">
        <v>46290.180347222224</v>
      </c>
      <c r="O898" t="s">
        <v>2434</v>
      </c>
      <c r="P898" s="1401">
        <v>46303</v>
      </c>
      <c r="Q898" s="1401">
        <v>46297.180347222224</v>
      </c>
    </row>
    <row r="899" spans="1:17">
      <c r="A899" t="s">
        <v>6421</v>
      </c>
      <c r="B899" t="s">
        <v>64</v>
      </c>
      <c r="C899" t="s">
        <v>100</v>
      </c>
      <c r="D899" t="s">
        <v>284</v>
      </c>
      <c r="E899" t="s">
        <v>6159</v>
      </c>
      <c r="F899" t="s">
        <v>1570</v>
      </c>
      <c r="G899">
        <v>720</v>
      </c>
      <c r="H899" t="s">
        <v>951</v>
      </c>
      <c r="I899">
        <v>46252</v>
      </c>
      <c r="J899" t="s">
        <v>6423</v>
      </c>
      <c r="K899" s="1401">
        <v>46259</v>
      </c>
      <c r="L899" s="1401">
        <v>46319</v>
      </c>
      <c r="M899" s="1401"/>
      <c r="N899" s="1401"/>
      <c r="O899" t="s">
        <v>2434</v>
      </c>
      <c r="P899" s="1401">
        <v>46336</v>
      </c>
      <c r="Q899" s="1401">
        <v>46326</v>
      </c>
    </row>
    <row r="900" spans="1:17">
      <c r="A900" t="s">
        <v>6190</v>
      </c>
      <c r="B900" t="s">
        <v>64</v>
      </c>
      <c r="C900" t="s">
        <v>310</v>
      </c>
      <c r="D900" t="s">
        <v>284</v>
      </c>
      <c r="E900" t="s">
        <v>6159</v>
      </c>
      <c r="F900" t="s">
        <v>1570</v>
      </c>
      <c r="G900">
        <v>720</v>
      </c>
      <c r="H900" t="s">
        <v>951</v>
      </c>
      <c r="I900">
        <v>46248</v>
      </c>
      <c r="J900" t="s">
        <v>6191</v>
      </c>
      <c r="K900" s="1401">
        <v>46254</v>
      </c>
      <c r="L900" s="1401">
        <v>46327</v>
      </c>
      <c r="M900" s="1401">
        <v>46316.75</v>
      </c>
      <c r="N900" s="1401" t="s">
        <v>2525</v>
      </c>
      <c r="O900" t="s">
        <v>2434</v>
      </c>
      <c r="P900" s="1401">
        <v>46328</v>
      </c>
      <c r="Q900" s="1401">
        <v>46326.75</v>
      </c>
    </row>
    <row r="901" spans="1:17">
      <c r="A901" t="s">
        <v>6007</v>
      </c>
      <c r="B901" t="s">
        <v>64</v>
      </c>
      <c r="C901" t="s">
        <v>100</v>
      </c>
      <c r="D901" t="s">
        <v>4531</v>
      </c>
      <c r="E901" t="s">
        <v>5041</v>
      </c>
      <c r="F901" t="s">
        <v>1807</v>
      </c>
      <c r="G901">
        <v>5346</v>
      </c>
      <c r="H901" t="s">
        <v>75</v>
      </c>
      <c r="I901">
        <v>46249</v>
      </c>
      <c r="J901" t="s">
        <v>6008</v>
      </c>
      <c r="K901" s="1401">
        <v>46253</v>
      </c>
      <c r="L901" s="1401">
        <v>46287</v>
      </c>
      <c r="M901" s="1401">
        <v>46298</v>
      </c>
      <c r="N901" s="1401">
        <v>46298</v>
      </c>
      <c r="O901" t="s">
        <v>2434</v>
      </c>
      <c r="P901" s="1401">
        <v>46311</v>
      </c>
      <c r="Q901" s="1401">
        <v>46305</v>
      </c>
    </row>
    <row r="902" spans="1:17">
      <c r="A902" t="s">
        <v>6376</v>
      </c>
      <c r="B902" t="s">
        <v>64</v>
      </c>
      <c r="C902" t="s">
        <v>100</v>
      </c>
      <c r="D902" t="s">
        <v>4531</v>
      </c>
      <c r="E902" t="s">
        <v>1461</v>
      </c>
      <c r="F902" t="s">
        <v>103</v>
      </c>
      <c r="G902">
        <v>720</v>
      </c>
      <c r="H902" t="s">
        <v>951</v>
      </c>
      <c r="I902">
        <v>46253</v>
      </c>
      <c r="J902" t="s">
        <v>6377</v>
      </c>
      <c r="K902" s="1401">
        <v>46258</v>
      </c>
      <c r="L902" s="1401">
        <v>46303</v>
      </c>
      <c r="M902" s="1401">
        <v>46307.833333333336</v>
      </c>
      <c r="N902" s="1401" t="s">
        <v>2525</v>
      </c>
      <c r="O902" t="s">
        <v>2434</v>
      </c>
      <c r="P902" s="1401">
        <v>46310</v>
      </c>
      <c r="Q902" s="1401">
        <v>46314.833333333336</v>
      </c>
    </row>
    <row r="903" spans="1:17">
      <c r="A903" t="s">
        <v>5734</v>
      </c>
      <c r="B903" t="s">
        <v>64</v>
      </c>
      <c r="C903" t="s">
        <v>65</v>
      </c>
      <c r="D903" t="s">
        <v>5379</v>
      </c>
      <c r="E903" t="s">
        <v>5735</v>
      </c>
      <c r="F903" t="s">
        <v>5736</v>
      </c>
      <c r="G903">
        <v>936</v>
      </c>
      <c r="H903" t="s">
        <v>951</v>
      </c>
      <c r="I903">
        <v>46252</v>
      </c>
      <c r="J903" t="s">
        <v>5737</v>
      </c>
      <c r="K903" s="1401">
        <v>46248</v>
      </c>
      <c r="L903" s="1401">
        <v>46300</v>
      </c>
      <c r="M903" s="1401">
        <v>46320.25</v>
      </c>
      <c r="N903" s="1401" t="s">
        <v>2525</v>
      </c>
      <c r="O903" t="s">
        <v>2434</v>
      </c>
      <c r="P903" s="1401">
        <v>46322</v>
      </c>
      <c r="Q903" s="1401">
        <v>46328.25</v>
      </c>
    </row>
    <row r="904" spans="1:17">
      <c r="A904" t="s">
        <v>6180</v>
      </c>
      <c r="B904" t="s">
        <v>64</v>
      </c>
      <c r="C904" t="s">
        <v>65</v>
      </c>
      <c r="D904" t="s">
        <v>284</v>
      </c>
      <c r="E904" t="s">
        <v>6159</v>
      </c>
      <c r="F904" t="s">
        <v>1570</v>
      </c>
      <c r="G904">
        <v>2160</v>
      </c>
      <c r="H904" t="s">
        <v>951</v>
      </c>
      <c r="I904">
        <v>46248</v>
      </c>
      <c r="J904" t="s">
        <v>6181</v>
      </c>
      <c r="K904" s="1401">
        <v>46254</v>
      </c>
      <c r="L904" s="1401">
        <v>46321</v>
      </c>
      <c r="M904" s="1401">
        <v>46323.791666666664</v>
      </c>
      <c r="N904" s="1401" t="s">
        <v>2525</v>
      </c>
      <c r="O904" t="s">
        <v>2434</v>
      </c>
      <c r="P904" s="1401">
        <v>46328</v>
      </c>
      <c r="Q904" s="1401">
        <v>46331.791666666664</v>
      </c>
    </row>
    <row r="905" spans="1:17">
      <c r="A905" t="s">
        <v>6407</v>
      </c>
      <c r="B905" t="s">
        <v>64</v>
      </c>
      <c r="C905" t="s">
        <v>65</v>
      </c>
      <c r="D905" t="s">
        <v>284</v>
      </c>
      <c r="E905" t="s">
        <v>6159</v>
      </c>
      <c r="F905" t="s">
        <v>1570</v>
      </c>
      <c r="G905">
        <v>720</v>
      </c>
      <c r="H905" t="s">
        <v>951</v>
      </c>
      <c r="I905">
        <v>46253</v>
      </c>
      <c r="J905" t="s">
        <v>6408</v>
      </c>
      <c r="K905" s="1401">
        <v>46258</v>
      </c>
      <c r="L905" s="1401">
        <v>46321</v>
      </c>
      <c r="M905" s="1401">
        <v>46330.25</v>
      </c>
      <c r="N905" s="1401" t="s">
        <v>2525</v>
      </c>
      <c r="O905" t="s">
        <v>2434</v>
      </c>
      <c r="P905" s="1401">
        <v>46329</v>
      </c>
      <c r="Q905" s="1401">
        <v>46338.25</v>
      </c>
    </row>
    <row r="906" spans="1:17">
      <c r="A906" t="s">
        <v>6248</v>
      </c>
      <c r="B906" t="s">
        <v>64</v>
      </c>
      <c r="C906" t="s">
        <v>100</v>
      </c>
      <c r="D906" t="s">
        <v>284</v>
      </c>
      <c r="E906" t="s">
        <v>5851</v>
      </c>
      <c r="F906" t="s">
        <v>5852</v>
      </c>
      <c r="G906">
        <v>2808</v>
      </c>
      <c r="H906" t="s">
        <v>951</v>
      </c>
      <c r="I906">
        <v>46253</v>
      </c>
      <c r="J906" t="s">
        <v>6249</v>
      </c>
      <c r="K906" s="1401">
        <v>46257</v>
      </c>
      <c r="L906" s="1401">
        <v>46298</v>
      </c>
      <c r="M906" s="1401">
        <v>46303</v>
      </c>
      <c r="N906" s="1401" t="s">
        <v>2525</v>
      </c>
      <c r="O906" t="s">
        <v>2434</v>
      </c>
      <c r="P906" s="1401">
        <v>46305</v>
      </c>
      <c r="Q906" s="1401">
        <v>46310</v>
      </c>
    </row>
    <row r="907" spans="1:17">
      <c r="A907" t="s">
        <v>6381</v>
      </c>
      <c r="B907" t="s">
        <v>64</v>
      </c>
      <c r="C907" t="s">
        <v>100</v>
      </c>
      <c r="D907" t="s">
        <v>284</v>
      </c>
      <c r="E907" t="s">
        <v>6159</v>
      </c>
      <c r="F907" t="s">
        <v>1570</v>
      </c>
      <c r="G907">
        <v>720</v>
      </c>
      <c r="H907" t="s">
        <v>951</v>
      </c>
      <c r="I907">
        <v>46253</v>
      </c>
      <c r="J907" t="s">
        <v>6382</v>
      </c>
      <c r="K907" s="1401">
        <v>46258</v>
      </c>
      <c r="L907" s="1401">
        <v>46303</v>
      </c>
      <c r="M907" s="1401">
        <v>46307.833333333336</v>
      </c>
      <c r="N907" s="1401" t="s">
        <v>2525</v>
      </c>
      <c r="O907" t="s">
        <v>2434</v>
      </c>
      <c r="P907" s="1401">
        <v>46310</v>
      </c>
      <c r="Q907" s="1401">
        <v>46314.833333333336</v>
      </c>
    </row>
    <row r="908" spans="1:17">
      <c r="A908" t="s">
        <v>6228</v>
      </c>
      <c r="B908" t="s">
        <v>144</v>
      </c>
      <c r="C908" t="s">
        <v>145</v>
      </c>
      <c r="D908" t="s">
        <v>5379</v>
      </c>
      <c r="E908" t="s">
        <v>5400</v>
      </c>
      <c r="F908" t="s">
        <v>5401</v>
      </c>
      <c r="G908">
        <v>1872</v>
      </c>
      <c r="H908" t="s">
        <v>951</v>
      </c>
      <c r="I908">
        <v>46250</v>
      </c>
      <c r="J908" t="s">
        <v>6229</v>
      </c>
      <c r="K908" s="1401">
        <v>46256</v>
      </c>
      <c r="L908" s="1401">
        <v>46305</v>
      </c>
      <c r="M908" s="1401">
        <v>46305.583333333336</v>
      </c>
      <c r="N908" s="1401" t="s">
        <v>2525</v>
      </c>
      <c r="O908" t="s">
        <v>973</v>
      </c>
      <c r="P908" s="1401">
        <v>46305</v>
      </c>
      <c r="Q908" s="1401">
        <v>46305.583333333336</v>
      </c>
    </row>
    <row r="909" spans="1:17">
      <c r="A909" t="s">
        <v>5728</v>
      </c>
      <c r="B909" t="s">
        <v>64</v>
      </c>
      <c r="C909" t="s">
        <v>65</v>
      </c>
      <c r="D909" t="s">
        <v>5379</v>
      </c>
      <c r="E909" t="s">
        <v>5400</v>
      </c>
      <c r="F909" t="s">
        <v>5401</v>
      </c>
      <c r="G909">
        <v>4680</v>
      </c>
      <c r="H909" t="s">
        <v>951</v>
      </c>
      <c r="I909">
        <v>46252</v>
      </c>
      <c r="J909" t="s">
        <v>5729</v>
      </c>
      <c r="K909" s="1401">
        <v>46248</v>
      </c>
      <c r="L909" s="1401">
        <v>46300</v>
      </c>
      <c r="M909" s="1401">
        <v>46320.25</v>
      </c>
      <c r="N909" s="1401" t="s">
        <v>2525</v>
      </c>
      <c r="O909" t="s">
        <v>2434</v>
      </c>
      <c r="P909" s="1401">
        <v>46322</v>
      </c>
      <c r="Q909" s="1401">
        <v>46328.25</v>
      </c>
    </row>
    <row r="910" spans="1:17">
      <c r="A910" t="s">
        <v>6218</v>
      </c>
      <c r="B910" t="s">
        <v>64</v>
      </c>
      <c r="C910" t="s">
        <v>450</v>
      </c>
      <c r="D910" t="s">
        <v>284</v>
      </c>
      <c r="E910" t="s">
        <v>5851</v>
      </c>
      <c r="F910" t="s">
        <v>5852</v>
      </c>
      <c r="G910">
        <v>936</v>
      </c>
      <c r="H910" t="s">
        <v>75</v>
      </c>
      <c r="I910">
        <v>46254</v>
      </c>
      <c r="J910" t="s">
        <v>6220</v>
      </c>
      <c r="K910" s="1401">
        <v>46258</v>
      </c>
      <c r="L910" s="1401">
        <v>46299</v>
      </c>
      <c r="M910" s="1401">
        <v>46299.291666666664</v>
      </c>
      <c r="N910" s="1401">
        <v>46299</v>
      </c>
      <c r="O910" t="s">
        <v>2434</v>
      </c>
      <c r="P910" s="1401">
        <v>46306</v>
      </c>
      <c r="Q910" s="1401">
        <v>46306</v>
      </c>
    </row>
    <row r="911" spans="1:17">
      <c r="A911" t="s">
        <v>6221</v>
      </c>
      <c r="B911" t="s">
        <v>64</v>
      </c>
      <c r="C911" t="s">
        <v>450</v>
      </c>
      <c r="D911" t="s">
        <v>284</v>
      </c>
      <c r="E911" t="s">
        <v>5851</v>
      </c>
      <c r="F911" t="s">
        <v>5852</v>
      </c>
      <c r="G911">
        <v>936</v>
      </c>
      <c r="H911" t="s">
        <v>75</v>
      </c>
      <c r="I911">
        <v>46254</v>
      </c>
      <c r="J911" t="s">
        <v>6222</v>
      </c>
      <c r="K911" s="1401">
        <v>46258</v>
      </c>
      <c r="L911" s="1401">
        <v>46299</v>
      </c>
      <c r="M911" s="1401">
        <v>46299.291666666664</v>
      </c>
      <c r="N911" s="1401">
        <v>46299</v>
      </c>
      <c r="O911" t="s">
        <v>2434</v>
      </c>
      <c r="P911" s="1401">
        <v>46306</v>
      </c>
      <c r="Q911" s="1401">
        <v>46306</v>
      </c>
    </row>
    <row r="912" spans="1:17">
      <c r="A912" t="s">
        <v>6178</v>
      </c>
      <c r="B912" t="s">
        <v>64</v>
      </c>
      <c r="C912" t="s">
        <v>100</v>
      </c>
      <c r="D912" t="s">
        <v>4531</v>
      </c>
      <c r="E912" t="s">
        <v>1002</v>
      </c>
      <c r="F912" t="s">
        <v>330</v>
      </c>
      <c r="G912">
        <v>1440</v>
      </c>
      <c r="H912" t="s">
        <v>951</v>
      </c>
      <c r="I912">
        <v>46248</v>
      </c>
      <c r="J912" t="s">
        <v>6179</v>
      </c>
      <c r="K912" s="1401">
        <v>46254</v>
      </c>
      <c r="L912" s="1401">
        <v>46298</v>
      </c>
      <c r="M912" s="1401">
        <v>46303.291666666664</v>
      </c>
      <c r="N912" s="1401" t="s">
        <v>2525</v>
      </c>
      <c r="O912" t="s">
        <v>2434</v>
      </c>
      <c r="P912" s="1401">
        <v>46311</v>
      </c>
      <c r="Q912" s="1401">
        <v>46310.291666666664</v>
      </c>
    </row>
    <row r="913" spans="1:17">
      <c r="A913" t="s">
        <v>6403</v>
      </c>
      <c r="B913" t="s">
        <v>64</v>
      </c>
      <c r="C913" t="s">
        <v>65</v>
      </c>
      <c r="D913" t="s">
        <v>4531</v>
      </c>
      <c r="E913" t="s">
        <v>1461</v>
      </c>
      <c r="F913" t="s">
        <v>103</v>
      </c>
      <c r="G913">
        <v>2160</v>
      </c>
      <c r="H913" t="s">
        <v>951</v>
      </c>
      <c r="I913">
        <v>46253</v>
      </c>
      <c r="J913" t="s">
        <v>6404</v>
      </c>
      <c r="K913" s="1401">
        <v>46258</v>
      </c>
      <c r="L913" s="1401">
        <v>46321</v>
      </c>
      <c r="M913" s="1401">
        <v>46330.25</v>
      </c>
      <c r="N913" s="1401" t="s">
        <v>2525</v>
      </c>
      <c r="O913" t="s">
        <v>2434</v>
      </c>
      <c r="P913" s="1401">
        <v>46329</v>
      </c>
      <c r="Q913" s="1401">
        <v>46338.25</v>
      </c>
    </row>
    <row r="914" spans="1:17">
      <c r="A914" t="s">
        <v>6253</v>
      </c>
      <c r="B914" t="s">
        <v>64</v>
      </c>
      <c r="C914" t="s">
        <v>100</v>
      </c>
      <c r="D914" t="s">
        <v>284</v>
      </c>
      <c r="E914" t="s">
        <v>5851</v>
      </c>
      <c r="F914" t="s">
        <v>5852</v>
      </c>
      <c r="G914">
        <v>1872</v>
      </c>
      <c r="H914" t="s">
        <v>951</v>
      </c>
      <c r="I914">
        <v>46253</v>
      </c>
      <c r="J914" t="s">
        <v>6254</v>
      </c>
      <c r="K914" s="1401">
        <v>46257</v>
      </c>
      <c r="L914" s="1401">
        <v>46298</v>
      </c>
      <c r="M914" s="1401">
        <v>46303</v>
      </c>
      <c r="N914" s="1401" t="s">
        <v>2525</v>
      </c>
      <c r="O914" t="s">
        <v>2434</v>
      </c>
      <c r="P914" s="1401">
        <v>46305</v>
      </c>
      <c r="Q914" s="1401">
        <v>46310</v>
      </c>
    </row>
    <row r="915" spans="1:17">
      <c r="A915" t="s">
        <v>6223</v>
      </c>
      <c r="B915" t="s">
        <v>144</v>
      </c>
      <c r="C915" t="s">
        <v>145</v>
      </c>
      <c r="D915" t="s">
        <v>284</v>
      </c>
      <c r="E915" t="s">
        <v>5851</v>
      </c>
      <c r="F915" t="s">
        <v>5852</v>
      </c>
      <c r="G915">
        <v>4680</v>
      </c>
      <c r="H915" t="s">
        <v>75</v>
      </c>
      <c r="I915">
        <v>46251</v>
      </c>
      <c r="J915" t="s">
        <v>6225</v>
      </c>
      <c r="K915" s="1401">
        <v>46258</v>
      </c>
      <c r="L915" s="1401">
        <v>46299</v>
      </c>
      <c r="M915" s="1401">
        <v>46299.291666666664</v>
      </c>
      <c r="N915" s="1401">
        <v>46299</v>
      </c>
      <c r="O915" t="s">
        <v>973</v>
      </c>
      <c r="P915" s="1401">
        <v>46294</v>
      </c>
      <c r="Q915" s="1401">
        <v>46299</v>
      </c>
    </row>
    <row r="916" spans="1:17">
      <c r="A916" t="s">
        <v>6385</v>
      </c>
      <c r="B916" t="s">
        <v>64</v>
      </c>
      <c r="C916" t="s">
        <v>100</v>
      </c>
      <c r="D916" t="s">
        <v>4531</v>
      </c>
      <c r="E916" t="s">
        <v>1461</v>
      </c>
      <c r="F916" t="s">
        <v>103</v>
      </c>
      <c r="G916">
        <v>1440</v>
      </c>
      <c r="H916" t="s">
        <v>951</v>
      </c>
      <c r="I916">
        <v>46249</v>
      </c>
      <c r="J916" t="s">
        <v>6386</v>
      </c>
      <c r="K916" s="1401">
        <v>46257</v>
      </c>
      <c r="L916" s="1401">
        <v>46305</v>
      </c>
      <c r="M916" s="1401"/>
      <c r="N916" s="1401"/>
      <c r="O916" t="s">
        <v>2434</v>
      </c>
      <c r="P916" s="1401">
        <v>46318</v>
      </c>
      <c r="Q916" s="1401">
        <v>46312</v>
      </c>
    </row>
    <row r="917" spans="1:17">
      <c r="A917" t="s">
        <v>6255</v>
      </c>
      <c r="B917" t="s">
        <v>64</v>
      </c>
      <c r="C917" t="s">
        <v>100</v>
      </c>
      <c r="D917" t="s">
        <v>284</v>
      </c>
      <c r="E917" t="s">
        <v>5851</v>
      </c>
      <c r="F917" t="s">
        <v>5852</v>
      </c>
      <c r="G917">
        <v>2808</v>
      </c>
      <c r="H917" t="s">
        <v>951</v>
      </c>
      <c r="I917">
        <v>46253</v>
      </c>
      <c r="J917" t="s">
        <v>6256</v>
      </c>
      <c r="K917" s="1401">
        <v>46257</v>
      </c>
      <c r="L917" s="1401">
        <v>46298</v>
      </c>
      <c r="M917" s="1401">
        <v>46303</v>
      </c>
      <c r="N917" s="1401" t="s">
        <v>2525</v>
      </c>
      <c r="O917" t="s">
        <v>2434</v>
      </c>
      <c r="P917" s="1401">
        <v>46305</v>
      </c>
      <c r="Q917" s="1401">
        <v>46310</v>
      </c>
    </row>
    <row r="918" spans="1:17">
      <c r="A918" t="s">
        <v>6258</v>
      </c>
      <c r="B918" t="s">
        <v>64</v>
      </c>
      <c r="C918" t="s">
        <v>100</v>
      </c>
      <c r="D918" t="s">
        <v>284</v>
      </c>
      <c r="E918" t="s">
        <v>5851</v>
      </c>
      <c r="F918" t="s">
        <v>5852</v>
      </c>
      <c r="G918">
        <v>1872</v>
      </c>
      <c r="H918" t="s">
        <v>951</v>
      </c>
      <c r="I918">
        <v>46253</v>
      </c>
      <c r="J918" t="s">
        <v>6259</v>
      </c>
      <c r="K918" s="1401">
        <v>46257</v>
      </c>
      <c r="L918" s="1401">
        <v>46298</v>
      </c>
      <c r="M918" s="1401">
        <v>46303</v>
      </c>
      <c r="N918" s="1401" t="s">
        <v>2525</v>
      </c>
      <c r="O918" t="s">
        <v>2434</v>
      </c>
      <c r="P918" s="1401">
        <v>46305</v>
      </c>
      <c r="Q918" s="1401">
        <v>46310</v>
      </c>
    </row>
    <row r="919" spans="1:17">
      <c r="A919" t="s">
        <v>6215</v>
      </c>
      <c r="B919" t="s">
        <v>64</v>
      </c>
      <c r="C919" t="s">
        <v>450</v>
      </c>
      <c r="D919" t="s">
        <v>284</v>
      </c>
      <c r="E919" t="s">
        <v>6209</v>
      </c>
      <c r="F919" t="s">
        <v>6210</v>
      </c>
      <c r="G919">
        <v>1872</v>
      </c>
      <c r="H919" t="s">
        <v>75</v>
      </c>
      <c r="I919">
        <v>46254</v>
      </c>
      <c r="J919" t="s">
        <v>6217</v>
      </c>
      <c r="K919" s="1401">
        <v>46258</v>
      </c>
      <c r="L919" s="1401">
        <v>46299</v>
      </c>
      <c r="M919" s="1401">
        <v>46299.291666666664</v>
      </c>
      <c r="N919" s="1401">
        <v>46299</v>
      </c>
      <c r="O919" t="s">
        <v>2434</v>
      </c>
      <c r="P919" s="1401">
        <v>46306</v>
      </c>
      <c r="Q919" s="1401">
        <v>46306</v>
      </c>
    </row>
    <row r="920" spans="1:17">
      <c r="A920" t="s">
        <v>8281</v>
      </c>
      <c r="B920" t="s">
        <v>64</v>
      </c>
      <c r="C920" t="s">
        <v>450</v>
      </c>
      <c r="D920" t="s">
        <v>284</v>
      </c>
      <c r="E920" t="s">
        <v>6209</v>
      </c>
      <c r="F920" t="s">
        <v>6210</v>
      </c>
      <c r="G920">
        <v>936</v>
      </c>
      <c r="H920" t="s">
        <v>75</v>
      </c>
      <c r="I920">
        <v>46254</v>
      </c>
      <c r="J920" t="s">
        <v>6211</v>
      </c>
      <c r="K920" s="1401">
        <v>46258</v>
      </c>
      <c r="L920" s="1401">
        <v>46299</v>
      </c>
      <c r="M920" s="1401">
        <v>46299.291666666664</v>
      </c>
      <c r="N920" s="1401">
        <v>46299</v>
      </c>
      <c r="O920" t="s">
        <v>2434</v>
      </c>
      <c r="P920" s="1401">
        <v>46306</v>
      </c>
      <c r="Q920" s="1401">
        <v>46306</v>
      </c>
    </row>
    <row r="921" spans="1:17">
      <c r="A921" t="s">
        <v>6390</v>
      </c>
      <c r="B921" t="s">
        <v>64</v>
      </c>
      <c r="C921" t="s">
        <v>100</v>
      </c>
      <c r="D921" t="s">
        <v>4531</v>
      </c>
      <c r="E921" t="s">
        <v>1151</v>
      </c>
      <c r="F921" t="s">
        <v>421</v>
      </c>
      <c r="G921">
        <v>5184</v>
      </c>
      <c r="H921" t="s">
        <v>951</v>
      </c>
      <c r="I921">
        <v>46249</v>
      </c>
      <c r="J921" t="s">
        <v>6392</v>
      </c>
      <c r="K921" s="1401">
        <v>46257</v>
      </c>
      <c r="L921" s="1401">
        <v>46305</v>
      </c>
      <c r="M921" s="1401"/>
      <c r="N921" s="1401"/>
      <c r="O921" t="s">
        <v>2434</v>
      </c>
      <c r="P921" s="1401">
        <v>46318</v>
      </c>
      <c r="Q921" s="1401">
        <v>46312</v>
      </c>
    </row>
    <row r="922" spans="1:17">
      <c r="A922" t="s">
        <v>6393</v>
      </c>
      <c r="B922" t="s">
        <v>64</v>
      </c>
      <c r="C922" t="s">
        <v>100</v>
      </c>
      <c r="D922" t="s">
        <v>4531</v>
      </c>
      <c r="E922" t="s">
        <v>1151</v>
      </c>
      <c r="F922" t="s">
        <v>421</v>
      </c>
      <c r="G922">
        <v>5184</v>
      </c>
      <c r="H922" t="s">
        <v>951</v>
      </c>
      <c r="I922">
        <v>46249</v>
      </c>
      <c r="J922" t="s">
        <v>6395</v>
      </c>
      <c r="K922" s="1401">
        <v>46257</v>
      </c>
      <c r="L922" s="1401">
        <v>46305</v>
      </c>
      <c r="M922" s="1401"/>
      <c r="N922" s="1401"/>
      <c r="O922" t="s">
        <v>2434</v>
      </c>
      <c r="P922" s="1401">
        <v>46318</v>
      </c>
      <c r="Q922" s="1401">
        <v>46312</v>
      </c>
    </row>
    <row r="923" spans="1:17">
      <c r="A923" t="s">
        <v>6194</v>
      </c>
      <c r="B923" t="s">
        <v>64</v>
      </c>
      <c r="C923" t="s">
        <v>450</v>
      </c>
      <c r="D923" t="s">
        <v>4531</v>
      </c>
      <c r="E923" t="s">
        <v>1151</v>
      </c>
      <c r="F923" t="s">
        <v>421</v>
      </c>
      <c r="G923">
        <v>864</v>
      </c>
      <c r="H923" t="s">
        <v>951</v>
      </c>
      <c r="I923">
        <v>46248</v>
      </c>
      <c r="J923" t="s">
        <v>6196</v>
      </c>
      <c r="K923" s="1401">
        <v>46254</v>
      </c>
      <c r="L923" s="1401">
        <v>46306</v>
      </c>
      <c r="M923" s="1401">
        <v>46308.75</v>
      </c>
      <c r="N923" s="1401" t="s">
        <v>2525</v>
      </c>
      <c r="O923" t="s">
        <v>2434</v>
      </c>
      <c r="P923" s="1401">
        <v>46328</v>
      </c>
      <c r="Q923" s="1401">
        <v>46315.75</v>
      </c>
    </row>
    <row r="924" spans="1:17">
      <c r="A924" t="s">
        <v>6432</v>
      </c>
      <c r="B924" t="s">
        <v>64</v>
      </c>
      <c r="C924" t="s">
        <v>450</v>
      </c>
      <c r="D924" t="s">
        <v>4531</v>
      </c>
      <c r="E924" t="s">
        <v>1151</v>
      </c>
      <c r="F924" t="s">
        <v>421</v>
      </c>
      <c r="G924">
        <v>864</v>
      </c>
      <c r="H924" t="s">
        <v>951</v>
      </c>
      <c r="I924">
        <v>46253</v>
      </c>
      <c r="J924" t="s">
        <v>6433</v>
      </c>
      <c r="K924" s="1401">
        <v>46258</v>
      </c>
      <c r="L924" s="1401">
        <v>46313</v>
      </c>
      <c r="M924" s="1401">
        <v>46315.291666666664</v>
      </c>
      <c r="N924" s="1401" t="s">
        <v>2525</v>
      </c>
      <c r="O924" t="s">
        <v>2434</v>
      </c>
      <c r="P924" s="1401">
        <v>46321</v>
      </c>
      <c r="Q924" s="1401">
        <v>46322.291666666664</v>
      </c>
    </row>
    <row r="925" spans="1:17">
      <c r="A925" t="s">
        <v>6169</v>
      </c>
      <c r="B925" t="s">
        <v>64</v>
      </c>
      <c r="C925" t="s">
        <v>100</v>
      </c>
      <c r="D925" t="s">
        <v>70</v>
      </c>
      <c r="E925" t="s">
        <v>329</v>
      </c>
      <c r="F925" t="s">
        <v>330</v>
      </c>
      <c r="G925">
        <v>3600</v>
      </c>
      <c r="H925" t="s">
        <v>951</v>
      </c>
      <c r="I925">
        <v>46243</v>
      </c>
      <c r="J925" t="s">
        <v>6170</v>
      </c>
      <c r="K925" s="1401">
        <v>46249</v>
      </c>
      <c r="L925" s="1401">
        <v>46305</v>
      </c>
      <c r="M925" s="1401">
        <v>46314</v>
      </c>
      <c r="N925" s="1401"/>
      <c r="O925" t="s">
        <v>2434</v>
      </c>
      <c r="P925" s="1401">
        <v>46312</v>
      </c>
      <c r="Q925" s="1401">
        <v>46321</v>
      </c>
    </row>
    <row r="926" spans="1:17">
      <c r="A926" t="s">
        <v>6044</v>
      </c>
      <c r="B926" t="s">
        <v>64</v>
      </c>
      <c r="C926" t="s">
        <v>100</v>
      </c>
      <c r="D926" t="s">
        <v>4531</v>
      </c>
      <c r="E926" t="s">
        <v>5057</v>
      </c>
      <c r="F926" t="s">
        <v>1484</v>
      </c>
      <c r="G926">
        <v>4752</v>
      </c>
      <c r="H926" t="s">
        <v>75</v>
      </c>
      <c r="I926">
        <v>46246</v>
      </c>
      <c r="J926" t="s">
        <v>6045</v>
      </c>
      <c r="K926" s="1401">
        <v>46249</v>
      </c>
      <c r="L926" s="1401">
        <v>46282</v>
      </c>
      <c r="M926" s="1401">
        <v>46284.875</v>
      </c>
      <c r="N926" s="1401">
        <v>46285.134953703702</v>
      </c>
      <c r="O926" t="s">
        <v>2434</v>
      </c>
      <c r="P926" s="1401">
        <v>46300</v>
      </c>
      <c r="Q926" s="1401">
        <v>46292.134953703702</v>
      </c>
    </row>
    <row r="927" spans="1:17">
      <c r="A927" t="s">
        <v>6048</v>
      </c>
      <c r="B927" t="s">
        <v>64</v>
      </c>
      <c r="C927" t="s">
        <v>100</v>
      </c>
      <c r="D927" t="s">
        <v>4531</v>
      </c>
      <c r="E927" t="s">
        <v>5057</v>
      </c>
      <c r="F927" t="s">
        <v>1484</v>
      </c>
      <c r="G927">
        <v>1188</v>
      </c>
      <c r="H927" t="s">
        <v>75</v>
      </c>
      <c r="I927">
        <v>46246</v>
      </c>
      <c r="J927" t="s">
        <v>6049</v>
      </c>
      <c r="K927" s="1401">
        <v>46249</v>
      </c>
      <c r="L927" s="1401">
        <v>46282</v>
      </c>
      <c r="M927" s="1401">
        <v>46284.875</v>
      </c>
      <c r="N927" s="1401">
        <v>46285.134953703702</v>
      </c>
      <c r="O927" t="s">
        <v>2434</v>
      </c>
      <c r="P927" s="1401">
        <v>46269</v>
      </c>
      <c r="Q927" s="1401">
        <v>46292.134953703702</v>
      </c>
    </row>
    <row r="928" spans="1:17">
      <c r="A928" t="s">
        <v>6293</v>
      </c>
      <c r="B928" t="s">
        <v>64</v>
      </c>
      <c r="C928" t="s">
        <v>114</v>
      </c>
      <c r="D928" t="s">
        <v>550</v>
      </c>
      <c r="E928" t="s">
        <v>2134</v>
      </c>
      <c r="F928" t="s">
        <v>2135</v>
      </c>
      <c r="G928">
        <v>792</v>
      </c>
      <c r="H928" t="s">
        <v>951</v>
      </c>
      <c r="I928">
        <v>46256</v>
      </c>
      <c r="J928" t="s">
        <v>6294</v>
      </c>
      <c r="K928" s="1401">
        <v>46264</v>
      </c>
      <c r="L928" s="1401">
        <v>46317</v>
      </c>
      <c r="M928" s="1401">
        <v>46326.625</v>
      </c>
      <c r="N928" s="1401" t="s">
        <v>2525</v>
      </c>
      <c r="O928" t="s">
        <v>2434</v>
      </c>
      <c r="P928" s="1401">
        <v>46325</v>
      </c>
      <c r="Q928" s="1401">
        <v>46335.625</v>
      </c>
    </row>
    <row r="929" spans="1:17">
      <c r="A929" t="s">
        <v>6245</v>
      </c>
      <c r="B929" t="s">
        <v>64</v>
      </c>
      <c r="C929" t="s">
        <v>100</v>
      </c>
      <c r="D929" t="s">
        <v>550</v>
      </c>
      <c r="E929" t="s">
        <v>2134</v>
      </c>
      <c r="F929" t="s">
        <v>2135</v>
      </c>
      <c r="G929">
        <v>792</v>
      </c>
      <c r="H929" t="s">
        <v>951</v>
      </c>
      <c r="I929">
        <v>46255</v>
      </c>
      <c r="J929" t="s">
        <v>6246</v>
      </c>
      <c r="K929" s="1401">
        <v>46257</v>
      </c>
      <c r="L929" s="1401">
        <v>46298</v>
      </c>
      <c r="M929" s="1401"/>
      <c r="N929" s="1401"/>
      <c r="O929" t="s">
        <v>2434</v>
      </c>
      <c r="P929" s="1401">
        <v>46304</v>
      </c>
      <c r="Q929" s="1401">
        <v>46305</v>
      </c>
    </row>
    <row r="930" spans="1:17">
      <c r="A930" t="s">
        <v>6072</v>
      </c>
      <c r="B930" t="s">
        <v>64</v>
      </c>
      <c r="C930" t="s">
        <v>65</v>
      </c>
      <c r="D930" t="s">
        <v>4531</v>
      </c>
      <c r="E930" t="s">
        <v>71</v>
      </c>
      <c r="F930" t="s">
        <v>72</v>
      </c>
      <c r="G930">
        <v>864</v>
      </c>
      <c r="H930" t="s">
        <v>951</v>
      </c>
      <c r="I930">
        <v>46257</v>
      </c>
      <c r="J930" t="s">
        <v>6073</v>
      </c>
      <c r="K930" s="1401">
        <v>46253</v>
      </c>
      <c r="L930" s="1401">
        <v>46309</v>
      </c>
      <c r="M930" s="1401"/>
      <c r="N930" s="1401"/>
      <c r="O930" t="s">
        <v>2434</v>
      </c>
      <c r="P930" s="1401">
        <v>46310</v>
      </c>
      <c r="Q930" s="1401">
        <v>46317</v>
      </c>
    </row>
    <row r="931" spans="1:17">
      <c r="A931" t="s">
        <v>6076</v>
      </c>
      <c r="B931" t="s">
        <v>64</v>
      </c>
      <c r="C931" t="s">
        <v>65</v>
      </c>
      <c r="D931" t="s">
        <v>4531</v>
      </c>
      <c r="E931" t="s">
        <v>71</v>
      </c>
      <c r="F931" t="s">
        <v>72</v>
      </c>
      <c r="G931">
        <v>3456</v>
      </c>
      <c r="H931" t="s">
        <v>951</v>
      </c>
      <c r="I931">
        <v>46257</v>
      </c>
      <c r="J931" t="s">
        <v>6077</v>
      </c>
      <c r="K931" s="1401">
        <v>46253</v>
      </c>
      <c r="L931" s="1401">
        <v>46309</v>
      </c>
      <c r="M931" s="1401"/>
      <c r="N931" s="1401"/>
      <c r="O931" t="s">
        <v>2434</v>
      </c>
      <c r="P931" s="1401">
        <v>46310</v>
      </c>
      <c r="Q931" s="1401">
        <v>46317</v>
      </c>
    </row>
    <row r="932" spans="1:17">
      <c r="A932" t="s">
        <v>6269</v>
      </c>
      <c r="B932" t="s">
        <v>64</v>
      </c>
      <c r="C932" t="s">
        <v>65</v>
      </c>
      <c r="D932" t="s">
        <v>132</v>
      </c>
      <c r="E932" t="s">
        <v>189</v>
      </c>
      <c r="F932" t="s">
        <v>190</v>
      </c>
      <c r="G932">
        <v>1728</v>
      </c>
      <c r="H932" t="s">
        <v>951</v>
      </c>
      <c r="I932">
        <v>46256</v>
      </c>
      <c r="J932" t="s">
        <v>6270</v>
      </c>
      <c r="K932" s="1401">
        <v>46264</v>
      </c>
      <c r="L932" s="1401">
        <v>46314</v>
      </c>
      <c r="M932" s="1401">
        <v>46323.791666666664</v>
      </c>
      <c r="N932" s="1401" t="s">
        <v>2525</v>
      </c>
      <c r="O932" t="s">
        <v>2434</v>
      </c>
      <c r="P932" s="1401">
        <v>46322</v>
      </c>
      <c r="Q932" s="1401">
        <v>46331.791666666664</v>
      </c>
    </row>
    <row r="933" spans="1:17">
      <c r="A933" t="s">
        <v>6039</v>
      </c>
      <c r="B933" t="s">
        <v>64</v>
      </c>
      <c r="C933" t="s">
        <v>100</v>
      </c>
      <c r="D933" t="s">
        <v>4531</v>
      </c>
      <c r="E933" t="s">
        <v>5057</v>
      </c>
      <c r="F933" t="s">
        <v>1484</v>
      </c>
      <c r="G933">
        <v>1188</v>
      </c>
      <c r="H933" t="s">
        <v>951</v>
      </c>
      <c r="I933">
        <v>46255</v>
      </c>
      <c r="J933" t="s">
        <v>6040</v>
      </c>
      <c r="K933" s="1401">
        <v>46258</v>
      </c>
      <c r="L933" s="1401">
        <v>46295</v>
      </c>
      <c r="M933" s="1401">
        <v>46315</v>
      </c>
      <c r="N933" s="1401"/>
      <c r="O933" t="s">
        <v>2434</v>
      </c>
      <c r="P933" s="1401">
        <v>46302</v>
      </c>
      <c r="Q933" s="1401">
        <v>46322</v>
      </c>
    </row>
    <row r="934" spans="1:17">
      <c r="A934" t="s">
        <v>6034</v>
      </c>
      <c r="B934" t="s">
        <v>64</v>
      </c>
      <c r="C934" t="s">
        <v>100</v>
      </c>
      <c r="D934" t="s">
        <v>4531</v>
      </c>
      <c r="E934" t="s">
        <v>5057</v>
      </c>
      <c r="F934" t="s">
        <v>1484</v>
      </c>
      <c r="G934">
        <v>2970</v>
      </c>
      <c r="H934" t="s">
        <v>951</v>
      </c>
      <c r="I934">
        <v>46255</v>
      </c>
      <c r="J934" t="s">
        <v>6035</v>
      </c>
      <c r="K934" s="1401">
        <v>46258</v>
      </c>
      <c r="L934" s="1401">
        <v>46295</v>
      </c>
      <c r="M934" s="1401">
        <v>46315</v>
      </c>
      <c r="N934" s="1401"/>
      <c r="O934" t="s">
        <v>2434</v>
      </c>
      <c r="P934" s="1401">
        <v>46302</v>
      </c>
      <c r="Q934" s="1401">
        <v>46322</v>
      </c>
    </row>
    <row r="935" spans="1:17">
      <c r="A935" t="s">
        <v>6240</v>
      </c>
      <c r="B935" t="s">
        <v>64</v>
      </c>
      <c r="C935" t="s">
        <v>100</v>
      </c>
      <c r="D935" t="s">
        <v>4531</v>
      </c>
      <c r="E935" t="s">
        <v>4592</v>
      </c>
      <c r="F935" t="s">
        <v>330</v>
      </c>
      <c r="G935">
        <v>720</v>
      </c>
      <c r="H935" t="s">
        <v>951</v>
      </c>
      <c r="I935">
        <v>46255</v>
      </c>
      <c r="J935" t="s">
        <v>6241</v>
      </c>
      <c r="K935" s="1401">
        <v>46257</v>
      </c>
      <c r="L935" s="1401">
        <v>46298</v>
      </c>
      <c r="M935" s="1401">
        <v>46303</v>
      </c>
      <c r="N935" s="1401"/>
      <c r="O935" t="s">
        <v>2434</v>
      </c>
      <c r="P935" s="1401">
        <v>46305</v>
      </c>
      <c r="Q935" s="1401">
        <v>46310</v>
      </c>
    </row>
    <row r="936" spans="1:17">
      <c r="A936" t="s">
        <v>6042</v>
      </c>
      <c r="B936" t="s">
        <v>64</v>
      </c>
      <c r="C936" t="s">
        <v>100</v>
      </c>
      <c r="D936" t="s">
        <v>4531</v>
      </c>
      <c r="E936" t="s">
        <v>4592</v>
      </c>
      <c r="F936" t="s">
        <v>330</v>
      </c>
      <c r="G936">
        <v>720</v>
      </c>
      <c r="H936" t="s">
        <v>951</v>
      </c>
      <c r="I936">
        <v>46255</v>
      </c>
      <c r="J936" t="s">
        <v>6043</v>
      </c>
      <c r="K936" s="1401">
        <v>46258</v>
      </c>
      <c r="L936" s="1401">
        <v>46295</v>
      </c>
      <c r="M936" s="1401">
        <v>46315</v>
      </c>
      <c r="N936" s="1401"/>
      <c r="O936" t="s">
        <v>2434</v>
      </c>
      <c r="P936" s="1401">
        <v>46302</v>
      </c>
      <c r="Q936" s="1401">
        <v>46322</v>
      </c>
    </row>
    <row r="937" spans="1:17">
      <c r="A937" t="s">
        <v>6291</v>
      </c>
      <c r="B937" t="s">
        <v>64</v>
      </c>
      <c r="C937" t="s">
        <v>114</v>
      </c>
      <c r="D937" t="s">
        <v>5336</v>
      </c>
      <c r="E937" t="s">
        <v>5337</v>
      </c>
      <c r="F937" t="s">
        <v>5338</v>
      </c>
      <c r="G937">
        <v>1440</v>
      </c>
      <c r="H937" t="s">
        <v>951</v>
      </c>
      <c r="I937">
        <v>46256</v>
      </c>
      <c r="J937" t="s">
        <v>6292</v>
      </c>
      <c r="K937" s="1401">
        <v>46264</v>
      </c>
      <c r="L937" s="1401">
        <v>46317</v>
      </c>
      <c r="M937" s="1401">
        <v>46326.625</v>
      </c>
      <c r="N937" s="1401" t="s">
        <v>2525</v>
      </c>
      <c r="O937" t="s">
        <v>2434</v>
      </c>
      <c r="P937" s="1401">
        <v>46326</v>
      </c>
      <c r="Q937" s="1401">
        <v>46335.625</v>
      </c>
    </row>
    <row r="938" spans="1:17">
      <c r="A938" t="s">
        <v>6287</v>
      </c>
      <c r="B938" t="s">
        <v>64</v>
      </c>
      <c r="C938" t="s">
        <v>114</v>
      </c>
      <c r="D938" t="s">
        <v>5336</v>
      </c>
      <c r="E938" t="s">
        <v>5555</v>
      </c>
      <c r="F938" t="s">
        <v>5556</v>
      </c>
      <c r="G938">
        <v>1440</v>
      </c>
      <c r="H938" t="s">
        <v>951</v>
      </c>
      <c r="I938">
        <v>46256</v>
      </c>
      <c r="J938" t="s">
        <v>6288</v>
      </c>
      <c r="K938" s="1401">
        <v>46264</v>
      </c>
      <c r="L938" s="1401">
        <v>46317</v>
      </c>
      <c r="M938" s="1401">
        <v>46326.625</v>
      </c>
      <c r="N938" s="1401" t="s">
        <v>2525</v>
      </c>
      <c r="O938" t="s">
        <v>2434</v>
      </c>
      <c r="P938" s="1401">
        <v>46326</v>
      </c>
      <c r="Q938" s="1401">
        <v>46335.625</v>
      </c>
    </row>
    <row r="939" spans="1:17">
      <c r="A939" t="s">
        <v>6078</v>
      </c>
      <c r="B939" t="s">
        <v>64</v>
      </c>
      <c r="C939" t="s">
        <v>65</v>
      </c>
      <c r="D939" t="s">
        <v>5379</v>
      </c>
      <c r="E939" t="s">
        <v>5735</v>
      </c>
      <c r="F939" t="s">
        <v>5736</v>
      </c>
      <c r="G939">
        <v>11232</v>
      </c>
      <c r="H939" t="s">
        <v>951</v>
      </c>
      <c r="I939">
        <v>46257</v>
      </c>
      <c r="J939" t="s">
        <v>6079</v>
      </c>
      <c r="K939" s="1401">
        <v>46253</v>
      </c>
      <c r="L939" s="1401">
        <v>46309</v>
      </c>
      <c r="M939" s="1401"/>
      <c r="N939" s="1401"/>
      <c r="O939" t="s">
        <v>2434</v>
      </c>
      <c r="P939" s="1401">
        <v>46310</v>
      </c>
      <c r="Q939" s="1401">
        <v>46317</v>
      </c>
    </row>
    <row r="940" spans="1:17">
      <c r="A940" t="s">
        <v>6414</v>
      </c>
      <c r="B940" t="s">
        <v>64</v>
      </c>
      <c r="C940" t="s">
        <v>100</v>
      </c>
      <c r="D940" t="s">
        <v>4531</v>
      </c>
      <c r="E940" t="s">
        <v>1151</v>
      </c>
      <c r="F940" t="s">
        <v>421</v>
      </c>
      <c r="G940">
        <v>1728</v>
      </c>
      <c r="H940" t="s">
        <v>951</v>
      </c>
      <c r="I940">
        <v>46255</v>
      </c>
      <c r="J940" t="s">
        <v>6417</v>
      </c>
      <c r="K940" s="1401">
        <v>46263</v>
      </c>
      <c r="L940" s="1401">
        <v>46321</v>
      </c>
      <c r="M940" s="1401">
        <v>46324</v>
      </c>
      <c r="N940" s="1401"/>
      <c r="O940" t="s">
        <v>2434</v>
      </c>
      <c r="P940" s="1401">
        <v>46328</v>
      </c>
      <c r="Q940" s="1401">
        <v>46331</v>
      </c>
    </row>
    <row r="941" spans="1:17">
      <c r="A941" t="s">
        <v>6199</v>
      </c>
      <c r="B941" t="s">
        <v>144</v>
      </c>
      <c r="C941" t="s">
        <v>145</v>
      </c>
      <c r="D941" t="s">
        <v>284</v>
      </c>
      <c r="E941" t="s">
        <v>5851</v>
      </c>
      <c r="F941" t="s">
        <v>5852</v>
      </c>
      <c r="G941">
        <v>10296</v>
      </c>
      <c r="H941" t="s">
        <v>951</v>
      </c>
      <c r="I941">
        <v>46256</v>
      </c>
      <c r="J941" t="s">
        <v>6203</v>
      </c>
      <c r="K941" s="1401">
        <v>46263</v>
      </c>
      <c r="L941" s="1401">
        <v>46304</v>
      </c>
      <c r="M941" s="1401"/>
      <c r="N941" s="1401" t="s">
        <v>2525</v>
      </c>
      <c r="O941" t="s">
        <v>973</v>
      </c>
      <c r="P941" s="1401">
        <v>46304</v>
      </c>
      <c r="Q941" s="1401">
        <v>46304</v>
      </c>
    </row>
    <row r="942" spans="1:17">
      <c r="A942" t="s">
        <v>6359</v>
      </c>
      <c r="B942" t="s">
        <v>144</v>
      </c>
      <c r="C942" t="s">
        <v>145</v>
      </c>
      <c r="D942" t="s">
        <v>284</v>
      </c>
      <c r="E942" t="s">
        <v>5851</v>
      </c>
      <c r="F942" t="s">
        <v>5852</v>
      </c>
      <c r="G942">
        <v>4680</v>
      </c>
      <c r="H942" t="s">
        <v>75</v>
      </c>
      <c r="I942">
        <v>46255</v>
      </c>
      <c r="J942" t="s">
        <v>6360</v>
      </c>
      <c r="K942" s="1401">
        <v>46255</v>
      </c>
      <c r="L942" s="1401">
        <v>46297</v>
      </c>
      <c r="M942" s="1401">
        <v>46299.083333333336</v>
      </c>
      <c r="N942" s="1401">
        <v>46301</v>
      </c>
      <c r="O942" t="s">
        <v>973</v>
      </c>
      <c r="P942" s="1401">
        <v>46297</v>
      </c>
      <c r="Q942" s="1401">
        <v>46301</v>
      </c>
    </row>
    <row r="943" spans="1:17">
      <c r="A943" t="s">
        <v>6368</v>
      </c>
      <c r="B943" t="s">
        <v>144</v>
      </c>
      <c r="C943" t="s">
        <v>145</v>
      </c>
      <c r="D943" t="s">
        <v>284</v>
      </c>
      <c r="E943" t="s">
        <v>5851</v>
      </c>
      <c r="F943" t="s">
        <v>5852</v>
      </c>
      <c r="G943">
        <v>1872</v>
      </c>
      <c r="H943" t="s">
        <v>951</v>
      </c>
      <c r="I943">
        <v>46255</v>
      </c>
      <c r="J943" t="s">
        <v>6369</v>
      </c>
      <c r="K943" s="1401">
        <v>46253</v>
      </c>
      <c r="L943" s="1401">
        <v>46292</v>
      </c>
      <c r="M943" s="1401">
        <v>46305.5</v>
      </c>
      <c r="N943" s="1401" t="s">
        <v>2525</v>
      </c>
      <c r="O943" t="s">
        <v>973</v>
      </c>
      <c r="P943" s="1401">
        <v>46296</v>
      </c>
      <c r="Q943" s="1401">
        <v>46305.5</v>
      </c>
    </row>
    <row r="944" spans="1:17">
      <c r="A944" t="s">
        <v>6363</v>
      </c>
      <c r="B944" t="s">
        <v>144</v>
      </c>
      <c r="C944" t="s">
        <v>145</v>
      </c>
      <c r="D944" t="s">
        <v>284</v>
      </c>
      <c r="E944" t="s">
        <v>5851</v>
      </c>
      <c r="F944" t="s">
        <v>5852</v>
      </c>
      <c r="G944">
        <v>1872</v>
      </c>
      <c r="H944" t="s">
        <v>951</v>
      </c>
      <c r="I944">
        <v>46255</v>
      </c>
      <c r="J944" t="s">
        <v>6364</v>
      </c>
      <c r="K944" s="1401">
        <v>46256</v>
      </c>
      <c r="L944" s="1401">
        <v>46292</v>
      </c>
      <c r="M944" s="1401">
        <v>46305.5</v>
      </c>
      <c r="N944" s="1401" t="s">
        <v>2525</v>
      </c>
      <c r="O944" t="s">
        <v>973</v>
      </c>
      <c r="P944" s="1401">
        <v>46296</v>
      </c>
      <c r="Q944" s="1401">
        <v>46305.5</v>
      </c>
    </row>
    <row r="945" spans="1:17">
      <c r="A945" t="s">
        <v>6354</v>
      </c>
      <c r="B945" t="s">
        <v>144</v>
      </c>
      <c r="C945" t="s">
        <v>145</v>
      </c>
      <c r="D945" t="s">
        <v>284</v>
      </c>
      <c r="E945" t="s">
        <v>5851</v>
      </c>
      <c r="F945" t="s">
        <v>5852</v>
      </c>
      <c r="G945">
        <v>1872</v>
      </c>
      <c r="H945" t="s">
        <v>951</v>
      </c>
      <c r="I945">
        <v>46255</v>
      </c>
      <c r="J945" t="s">
        <v>6355</v>
      </c>
      <c r="K945" s="1401">
        <v>46259</v>
      </c>
      <c r="L945" s="1401">
        <v>46296</v>
      </c>
      <c r="M945" s="1401">
        <v>46305.5</v>
      </c>
      <c r="N945" s="1401" t="s">
        <v>2525</v>
      </c>
      <c r="O945" t="s">
        <v>973</v>
      </c>
      <c r="P945" s="1401">
        <v>46296</v>
      </c>
      <c r="Q945" s="1401">
        <v>46305.5</v>
      </c>
    </row>
    <row r="946" spans="1:17">
      <c r="A946" t="s">
        <v>6085</v>
      </c>
      <c r="B946" t="s">
        <v>64</v>
      </c>
      <c r="C946" t="s">
        <v>65</v>
      </c>
      <c r="D946" t="s">
        <v>550</v>
      </c>
      <c r="E946" t="s">
        <v>551</v>
      </c>
      <c r="F946" t="s">
        <v>2151</v>
      </c>
      <c r="G946">
        <v>3168</v>
      </c>
      <c r="H946" t="s">
        <v>951</v>
      </c>
      <c r="I946">
        <v>46259</v>
      </c>
      <c r="J946" t="s">
        <v>6086</v>
      </c>
      <c r="K946" s="1401">
        <v>46256</v>
      </c>
      <c r="L946" s="1401">
        <v>46303</v>
      </c>
      <c r="M946" s="1401"/>
      <c r="N946" s="1401"/>
      <c r="O946" t="s">
        <v>2434</v>
      </c>
      <c r="P946" s="1401">
        <v>46310</v>
      </c>
      <c r="Q946" s="1401">
        <v>46311</v>
      </c>
    </row>
    <row r="947" spans="1:17">
      <c r="A947" t="s">
        <v>6285</v>
      </c>
      <c r="B947" t="s">
        <v>64</v>
      </c>
      <c r="C947" t="s">
        <v>65</v>
      </c>
      <c r="D947" t="s">
        <v>5379</v>
      </c>
      <c r="E947" t="s">
        <v>5735</v>
      </c>
      <c r="F947" t="s">
        <v>5736</v>
      </c>
      <c r="G947">
        <v>2808</v>
      </c>
      <c r="H947" t="s">
        <v>951</v>
      </c>
      <c r="I947">
        <v>46259</v>
      </c>
      <c r="J947" t="s">
        <v>6286</v>
      </c>
      <c r="K947" s="1401">
        <v>46256</v>
      </c>
      <c r="L947" s="1401">
        <v>46302</v>
      </c>
      <c r="M947" s="1401">
        <v>46303</v>
      </c>
      <c r="N947" s="1401"/>
      <c r="O947" t="s">
        <v>2434</v>
      </c>
      <c r="P947" s="1401">
        <v>46310</v>
      </c>
      <c r="Q947" s="1401">
        <v>46311</v>
      </c>
    </row>
    <row r="948" spans="1:17">
      <c r="A948" t="s">
        <v>6486</v>
      </c>
      <c r="B948" t="s">
        <v>64</v>
      </c>
      <c r="C948" t="s">
        <v>100</v>
      </c>
      <c r="D948" t="s">
        <v>5379</v>
      </c>
      <c r="E948" t="s">
        <v>5380</v>
      </c>
      <c r="F948" t="s">
        <v>5381</v>
      </c>
      <c r="G948">
        <v>1872</v>
      </c>
      <c r="H948" t="s">
        <v>951</v>
      </c>
      <c r="I948">
        <v>46261</v>
      </c>
      <c r="J948" t="s">
        <v>6487</v>
      </c>
      <c r="K948" s="1401">
        <v>46264</v>
      </c>
      <c r="L948" s="1401">
        <v>46305</v>
      </c>
      <c r="M948" s="1401"/>
      <c r="N948" s="1401"/>
      <c r="O948" t="s">
        <v>2434</v>
      </c>
      <c r="P948" s="1401">
        <v>46312</v>
      </c>
      <c r="Q948" s="1401">
        <v>46312</v>
      </c>
    </row>
    <row r="949" spans="1:17">
      <c r="A949" t="s">
        <v>6578</v>
      </c>
      <c r="B949" t="s">
        <v>144</v>
      </c>
      <c r="C949" t="s">
        <v>145</v>
      </c>
      <c r="D949" t="s">
        <v>4531</v>
      </c>
      <c r="E949" t="s">
        <v>1151</v>
      </c>
      <c r="F949" t="s">
        <v>421</v>
      </c>
      <c r="G949">
        <v>1728</v>
      </c>
      <c r="H949" t="s">
        <v>951</v>
      </c>
      <c r="I949">
        <v>46261</v>
      </c>
      <c r="J949" t="s">
        <v>6579</v>
      </c>
      <c r="K949" s="1401">
        <v>46268</v>
      </c>
      <c r="L949" s="1401">
        <v>46323</v>
      </c>
      <c r="M949" s="1401">
        <v>46323.25</v>
      </c>
      <c r="N949" s="1401" t="s">
        <v>2525</v>
      </c>
      <c r="O949" t="s">
        <v>973</v>
      </c>
      <c r="P949" s="1401">
        <v>46323</v>
      </c>
      <c r="Q949" s="1401">
        <v>46323.25</v>
      </c>
    </row>
    <row r="950" spans="1:17">
      <c r="A950" t="s">
        <v>6081</v>
      </c>
      <c r="B950" t="s">
        <v>64</v>
      </c>
      <c r="C950" t="s">
        <v>65</v>
      </c>
      <c r="D950" t="s">
        <v>132</v>
      </c>
      <c r="E950" t="s">
        <v>1062</v>
      </c>
      <c r="F950" t="s">
        <v>1063</v>
      </c>
      <c r="G950">
        <v>864</v>
      </c>
      <c r="H950" t="s">
        <v>951</v>
      </c>
      <c r="I950">
        <v>46259</v>
      </c>
      <c r="J950" t="s">
        <v>6082</v>
      </c>
      <c r="K950" s="1401">
        <v>46256</v>
      </c>
      <c r="L950" s="1401">
        <v>46303</v>
      </c>
      <c r="M950" s="1401"/>
      <c r="N950" s="1401"/>
      <c r="O950" t="s">
        <v>2434</v>
      </c>
      <c r="P950" s="1401">
        <v>46310</v>
      </c>
      <c r="Q950" s="1401">
        <v>46311</v>
      </c>
    </row>
    <row r="951" spans="1:17">
      <c r="A951" t="s">
        <v>6280</v>
      </c>
      <c r="B951" t="s">
        <v>64</v>
      </c>
      <c r="C951" t="s">
        <v>65</v>
      </c>
      <c r="D951" t="s">
        <v>5379</v>
      </c>
      <c r="E951" t="s">
        <v>6281</v>
      </c>
      <c r="F951" t="s">
        <v>6282</v>
      </c>
      <c r="G951">
        <v>3744</v>
      </c>
      <c r="H951" t="s">
        <v>951</v>
      </c>
      <c r="I951">
        <v>46259</v>
      </c>
      <c r="J951" t="s">
        <v>6283</v>
      </c>
      <c r="K951" s="1401">
        <v>46256</v>
      </c>
      <c r="L951" s="1401">
        <v>46302</v>
      </c>
      <c r="M951" s="1401">
        <v>46303</v>
      </c>
      <c r="N951" s="1401"/>
      <c r="O951" t="s">
        <v>2434</v>
      </c>
      <c r="P951" s="1401">
        <v>46310</v>
      </c>
      <c r="Q951" s="1401">
        <v>46311</v>
      </c>
    </row>
    <row r="952" spans="1:17">
      <c r="A952" t="s">
        <v>6436</v>
      </c>
      <c r="B952" t="s">
        <v>144</v>
      </c>
      <c r="C952" t="s">
        <v>145</v>
      </c>
      <c r="D952" t="s">
        <v>5379</v>
      </c>
      <c r="E952" t="s">
        <v>6281</v>
      </c>
      <c r="F952" t="s">
        <v>6282</v>
      </c>
      <c r="G952">
        <v>1872</v>
      </c>
      <c r="H952" t="s">
        <v>951</v>
      </c>
      <c r="I952">
        <v>46262</v>
      </c>
      <c r="J952" t="s">
        <v>6439</v>
      </c>
      <c r="K952" s="1401">
        <v>46269</v>
      </c>
      <c r="L952" s="1401">
        <v>46313</v>
      </c>
      <c r="M952" s="1401">
        <v>46318.291666666664</v>
      </c>
      <c r="N952" s="1401" t="s">
        <v>2525</v>
      </c>
      <c r="O952" t="s">
        <v>973</v>
      </c>
      <c r="P952" s="1401">
        <v>46313</v>
      </c>
      <c r="Q952" s="1401">
        <v>46318.291666666664</v>
      </c>
    </row>
    <row r="953" spans="1:17">
      <c r="A953" t="s">
        <v>6452</v>
      </c>
      <c r="B953" t="s">
        <v>144</v>
      </c>
      <c r="C953" t="s">
        <v>145</v>
      </c>
      <c r="D953" t="s">
        <v>4531</v>
      </c>
      <c r="E953" t="s">
        <v>6235</v>
      </c>
      <c r="F953" t="s">
        <v>330</v>
      </c>
      <c r="G953">
        <v>2160</v>
      </c>
      <c r="H953" t="s">
        <v>951</v>
      </c>
      <c r="I953">
        <v>46259</v>
      </c>
      <c r="J953" t="s">
        <v>6453</v>
      </c>
      <c r="K953" s="1401">
        <v>46267</v>
      </c>
      <c r="L953" s="1401">
        <v>46302</v>
      </c>
      <c r="M953" s="1401">
        <v>46307.833333333336</v>
      </c>
      <c r="N953" s="1401" t="s">
        <v>2525</v>
      </c>
      <c r="O953" t="s">
        <v>973</v>
      </c>
      <c r="P953" s="1401">
        <v>46305</v>
      </c>
      <c r="Q953" s="1401">
        <v>46307.833333333336</v>
      </c>
    </row>
    <row r="954" spans="1:17">
      <c r="A954" t="s">
        <v>6456</v>
      </c>
      <c r="B954" t="s">
        <v>144</v>
      </c>
      <c r="C954" t="s">
        <v>145</v>
      </c>
      <c r="D954" t="s">
        <v>4531</v>
      </c>
      <c r="E954" t="s">
        <v>6235</v>
      </c>
      <c r="F954" t="s">
        <v>330</v>
      </c>
      <c r="G954">
        <v>7920</v>
      </c>
      <c r="H954" t="s">
        <v>951</v>
      </c>
      <c r="I954">
        <v>46259</v>
      </c>
      <c r="J954" t="s">
        <v>6457</v>
      </c>
      <c r="K954" s="1401">
        <v>46268</v>
      </c>
      <c r="L954" s="1401">
        <v>46303</v>
      </c>
      <c r="M954" s="1401">
        <v>46307.833333333336</v>
      </c>
      <c r="N954" s="1401" t="s">
        <v>2525</v>
      </c>
      <c r="O954" t="s">
        <v>973</v>
      </c>
      <c r="P954" s="1401">
        <v>46303</v>
      </c>
      <c r="Q954" s="1401">
        <v>46307.833333333336</v>
      </c>
    </row>
    <row r="955" spans="1:17">
      <c r="A955" t="s">
        <v>6465</v>
      </c>
      <c r="B955" t="s">
        <v>144</v>
      </c>
      <c r="C955" t="s">
        <v>145</v>
      </c>
      <c r="D955" t="s">
        <v>4531</v>
      </c>
      <c r="E955" t="s">
        <v>6235</v>
      </c>
      <c r="F955" t="s">
        <v>330</v>
      </c>
      <c r="G955">
        <v>3600</v>
      </c>
      <c r="H955" t="s">
        <v>951</v>
      </c>
      <c r="I955">
        <v>46260</v>
      </c>
      <c r="J955" t="s">
        <v>6466</v>
      </c>
      <c r="K955" s="1401">
        <v>46264</v>
      </c>
      <c r="L955" s="1401">
        <v>46305</v>
      </c>
      <c r="M955" s="1401"/>
      <c r="N955" s="1401"/>
      <c r="O955" t="s">
        <v>973</v>
      </c>
      <c r="P955" s="1401">
        <v>46305</v>
      </c>
      <c r="Q955" s="1401">
        <v>46305</v>
      </c>
    </row>
    <row r="956" spans="1:17">
      <c r="A956" t="s">
        <v>6470</v>
      </c>
      <c r="B956" t="s">
        <v>144</v>
      </c>
      <c r="C956" t="s">
        <v>145</v>
      </c>
      <c r="D956" t="s">
        <v>4531</v>
      </c>
      <c r="E956" t="s">
        <v>6235</v>
      </c>
      <c r="F956" t="s">
        <v>330</v>
      </c>
      <c r="G956">
        <v>3600</v>
      </c>
      <c r="H956" t="s">
        <v>951</v>
      </c>
      <c r="I956">
        <v>46260</v>
      </c>
      <c r="J956" t="s">
        <v>6471</v>
      </c>
      <c r="K956" s="1401">
        <v>46264</v>
      </c>
      <c r="L956" s="1401">
        <v>46305</v>
      </c>
      <c r="M956" s="1401"/>
      <c r="N956" s="1401"/>
      <c r="O956" t="s">
        <v>973</v>
      </c>
      <c r="P956" s="1401">
        <v>46305</v>
      </c>
      <c r="Q956" s="1401">
        <v>46305</v>
      </c>
    </row>
    <row r="957" spans="1:17">
      <c r="A957" t="s">
        <v>6473</v>
      </c>
      <c r="B957" t="s">
        <v>144</v>
      </c>
      <c r="C957" t="s">
        <v>145</v>
      </c>
      <c r="D957" t="s">
        <v>4531</v>
      </c>
      <c r="E957" t="s">
        <v>6235</v>
      </c>
      <c r="F957" t="s">
        <v>330</v>
      </c>
      <c r="G957">
        <v>3600</v>
      </c>
      <c r="H957" t="s">
        <v>951</v>
      </c>
      <c r="I957">
        <v>46261</v>
      </c>
      <c r="J957" t="s">
        <v>6474</v>
      </c>
      <c r="K957" s="1401">
        <v>46264</v>
      </c>
      <c r="L957" s="1401">
        <v>46305</v>
      </c>
      <c r="M957" s="1401"/>
      <c r="N957" s="1401"/>
      <c r="O957" t="s">
        <v>973</v>
      </c>
      <c r="P957" s="1401">
        <v>46305</v>
      </c>
      <c r="Q957" s="1401">
        <v>46305</v>
      </c>
    </row>
    <row r="958" spans="1:17">
      <c r="A958" t="s">
        <v>6477</v>
      </c>
      <c r="B958" t="s">
        <v>144</v>
      </c>
      <c r="C958" t="s">
        <v>145</v>
      </c>
      <c r="D958" t="s">
        <v>4531</v>
      </c>
      <c r="E958" t="s">
        <v>6461</v>
      </c>
      <c r="F958" t="s">
        <v>4598</v>
      </c>
      <c r="G958">
        <v>720</v>
      </c>
      <c r="H958" t="s">
        <v>951</v>
      </c>
      <c r="I958">
        <v>46261</v>
      </c>
      <c r="J958" t="s">
        <v>6478</v>
      </c>
      <c r="K958" s="1401">
        <v>46264</v>
      </c>
      <c r="L958" s="1401">
        <v>46305</v>
      </c>
      <c r="M958" s="1401"/>
      <c r="N958" s="1401"/>
      <c r="O958" t="s">
        <v>973</v>
      </c>
      <c r="P958" s="1401">
        <v>46305</v>
      </c>
      <c r="Q958" s="1401">
        <v>46305</v>
      </c>
    </row>
    <row r="959" spans="1:17">
      <c r="A959" t="s">
        <v>6482</v>
      </c>
      <c r="B959" t="s">
        <v>144</v>
      </c>
      <c r="C959" t="s">
        <v>145</v>
      </c>
      <c r="D959" t="s">
        <v>4531</v>
      </c>
      <c r="E959" t="s">
        <v>6483</v>
      </c>
      <c r="F959" t="s">
        <v>103</v>
      </c>
      <c r="G959">
        <v>1440</v>
      </c>
      <c r="H959" t="s">
        <v>951</v>
      </c>
      <c r="I959">
        <v>46261</v>
      </c>
      <c r="J959" t="s">
        <v>6485</v>
      </c>
      <c r="K959" s="1401">
        <v>46264</v>
      </c>
      <c r="L959" s="1401">
        <v>46305</v>
      </c>
      <c r="M959" s="1401"/>
      <c r="N959" s="1401"/>
      <c r="O959" t="s">
        <v>973</v>
      </c>
      <c r="P959" s="1401">
        <v>46305</v>
      </c>
      <c r="Q959" s="1401">
        <v>46305</v>
      </c>
    </row>
    <row r="960" spans="1:17">
      <c r="A960" t="s">
        <v>6460</v>
      </c>
      <c r="B960" t="s">
        <v>144</v>
      </c>
      <c r="C960" t="s">
        <v>145</v>
      </c>
      <c r="D960" t="s">
        <v>4531</v>
      </c>
      <c r="E960" t="s">
        <v>6461</v>
      </c>
      <c r="F960" t="s">
        <v>4598</v>
      </c>
      <c r="G960">
        <v>5760</v>
      </c>
      <c r="H960" t="s">
        <v>951</v>
      </c>
      <c r="I960">
        <v>46263</v>
      </c>
      <c r="J960" t="s">
        <v>6462</v>
      </c>
      <c r="K960" s="1401">
        <v>46270</v>
      </c>
      <c r="L960" s="1401">
        <v>46312</v>
      </c>
      <c r="M960" s="1401"/>
      <c r="N960" s="1401"/>
      <c r="O960" t="s">
        <v>973</v>
      </c>
      <c r="P960" s="1401">
        <v>46302</v>
      </c>
      <c r="Q960" s="1401">
        <v>46312</v>
      </c>
    </row>
    <row r="961" spans="1:17">
      <c r="A961" t="s">
        <v>6274</v>
      </c>
      <c r="B961" t="s">
        <v>144</v>
      </c>
      <c r="C961" t="s">
        <v>145</v>
      </c>
      <c r="D961" t="s">
        <v>284</v>
      </c>
      <c r="E961" t="s">
        <v>5851</v>
      </c>
      <c r="F961" t="s">
        <v>5852</v>
      </c>
      <c r="G961">
        <v>936</v>
      </c>
      <c r="H961" t="s">
        <v>951</v>
      </c>
      <c r="I961">
        <v>46264</v>
      </c>
      <c r="J961" t="s">
        <v>6276</v>
      </c>
      <c r="K961" s="1401">
        <v>46253</v>
      </c>
      <c r="L961" s="1401">
        <v>46304</v>
      </c>
      <c r="M961" s="1401"/>
      <c r="N961" s="1401" t="s">
        <v>2525</v>
      </c>
      <c r="O961" t="s">
        <v>973</v>
      </c>
      <c r="P961" s="1401">
        <v>46304</v>
      </c>
      <c r="Q961" s="1401">
        <v>46304</v>
      </c>
    </row>
    <row r="962" spans="1:17">
      <c r="A962" t="s">
        <v>6054</v>
      </c>
      <c r="B962" t="s">
        <v>144</v>
      </c>
      <c r="C962" t="s">
        <v>145</v>
      </c>
      <c r="D962" t="s">
        <v>4531</v>
      </c>
      <c r="E962" t="s">
        <v>4597</v>
      </c>
      <c r="F962" t="s">
        <v>4598</v>
      </c>
      <c r="G962">
        <v>4320</v>
      </c>
      <c r="H962" t="s">
        <v>75</v>
      </c>
      <c r="I962">
        <v>46245</v>
      </c>
      <c r="J962" t="s">
        <v>6055</v>
      </c>
      <c r="K962" s="1401">
        <v>46249</v>
      </c>
      <c r="L962" s="1401">
        <v>46282</v>
      </c>
      <c r="M962" s="1401">
        <v>46284.875</v>
      </c>
      <c r="N962" s="1401">
        <v>46285.134953703702</v>
      </c>
      <c r="O962" t="s">
        <v>973</v>
      </c>
      <c r="P962" s="1401">
        <v>46300</v>
      </c>
      <c r="Q962" s="1401">
        <v>46285.134953703702</v>
      </c>
    </row>
    <row r="963" spans="1:17">
      <c r="A963" t="s">
        <v>6514</v>
      </c>
      <c r="B963" t="s">
        <v>64</v>
      </c>
      <c r="C963" t="s">
        <v>310</v>
      </c>
      <c r="D963" t="s">
        <v>550</v>
      </c>
      <c r="E963" t="s">
        <v>2134</v>
      </c>
      <c r="F963" t="s">
        <v>2135</v>
      </c>
      <c r="G963">
        <v>4752</v>
      </c>
      <c r="H963" t="s">
        <v>951</v>
      </c>
      <c r="I963">
        <v>46265</v>
      </c>
      <c r="J963" t="s">
        <v>6515</v>
      </c>
      <c r="K963" s="1401">
        <v>46274</v>
      </c>
      <c r="L963" s="1401">
        <v>46316</v>
      </c>
      <c r="M963" s="1401">
        <v>46324.25</v>
      </c>
      <c r="N963" s="1401" t="s">
        <v>2525</v>
      </c>
      <c r="O963" t="s">
        <v>2434</v>
      </c>
      <c r="P963" s="1401">
        <v>46329</v>
      </c>
      <c r="Q963" s="1401">
        <v>46334.25</v>
      </c>
    </row>
    <row r="964" spans="1:17">
      <c r="A964" t="s">
        <v>6447</v>
      </c>
      <c r="B964" t="s">
        <v>64</v>
      </c>
      <c r="C964" t="s">
        <v>100</v>
      </c>
      <c r="D964" t="s">
        <v>550</v>
      </c>
      <c r="E964" t="s">
        <v>2134</v>
      </c>
      <c r="F964" t="s">
        <v>2135</v>
      </c>
      <c r="G964">
        <v>1584</v>
      </c>
      <c r="H964" t="s">
        <v>951</v>
      </c>
      <c r="I964">
        <v>46259</v>
      </c>
      <c r="J964" t="s">
        <v>6448</v>
      </c>
      <c r="K964" s="1401">
        <v>46267</v>
      </c>
      <c r="L964" s="1401">
        <v>46302</v>
      </c>
      <c r="M964" s="1401">
        <v>46307.833333333336</v>
      </c>
      <c r="N964" s="1401" t="s">
        <v>2525</v>
      </c>
      <c r="O964" t="s">
        <v>2434</v>
      </c>
      <c r="P964" s="1401">
        <v>46311</v>
      </c>
      <c r="Q964" s="1401">
        <v>46314.833333333336</v>
      </c>
    </row>
    <row r="965" spans="1:17">
      <c r="A965" t="s">
        <v>6555</v>
      </c>
      <c r="B965" t="s">
        <v>144</v>
      </c>
      <c r="C965" t="s">
        <v>145</v>
      </c>
      <c r="D965" t="s">
        <v>284</v>
      </c>
      <c r="E965" t="s">
        <v>5851</v>
      </c>
      <c r="F965" t="s">
        <v>5852</v>
      </c>
      <c r="G965">
        <v>1872</v>
      </c>
      <c r="H965" t="s">
        <v>951</v>
      </c>
      <c r="I965">
        <v>46265</v>
      </c>
      <c r="J965" t="s">
        <v>6556</v>
      </c>
      <c r="K965" s="1401">
        <v>46267</v>
      </c>
      <c r="L965" s="1401">
        <v>46309</v>
      </c>
      <c r="M965" s="1401">
        <v>46311</v>
      </c>
      <c r="N965" s="1401"/>
      <c r="O965" t="s">
        <v>973</v>
      </c>
      <c r="P965" s="1401">
        <v>46309</v>
      </c>
      <c r="Q965" s="1401">
        <v>46311</v>
      </c>
    </row>
    <row r="966" spans="1:17">
      <c r="A966" t="s">
        <v>6372</v>
      </c>
      <c r="B966" t="s">
        <v>144</v>
      </c>
      <c r="C966" t="s">
        <v>145</v>
      </c>
      <c r="D966" t="s">
        <v>284</v>
      </c>
      <c r="E966" t="s">
        <v>5851</v>
      </c>
      <c r="F966" t="s">
        <v>5852</v>
      </c>
      <c r="G966">
        <v>4680</v>
      </c>
      <c r="H966" t="s">
        <v>951</v>
      </c>
      <c r="I966">
        <v>46265</v>
      </c>
      <c r="J966" t="s">
        <v>6373</v>
      </c>
      <c r="K966" s="1401">
        <v>46259</v>
      </c>
      <c r="L966" s="1401">
        <v>46304</v>
      </c>
      <c r="M966" s="1401"/>
      <c r="N966" s="1401" t="s">
        <v>2525</v>
      </c>
      <c r="O966" t="s">
        <v>973</v>
      </c>
      <c r="P966" s="1401">
        <v>46304</v>
      </c>
      <c r="Q966" s="1401">
        <v>46304</v>
      </c>
    </row>
    <row r="967" spans="1:17">
      <c r="A967" t="s">
        <v>6443</v>
      </c>
      <c r="B967" t="s">
        <v>64</v>
      </c>
      <c r="C967" t="s">
        <v>450</v>
      </c>
      <c r="D967" t="s">
        <v>284</v>
      </c>
      <c r="E967" t="s">
        <v>5851</v>
      </c>
      <c r="F967" t="s">
        <v>5852</v>
      </c>
      <c r="G967">
        <v>2808</v>
      </c>
      <c r="H967" t="s">
        <v>951</v>
      </c>
      <c r="I967">
        <v>46262</v>
      </c>
      <c r="J967" t="s">
        <v>6444</v>
      </c>
      <c r="K967" s="1401">
        <v>46269</v>
      </c>
      <c r="L967" s="1401">
        <v>46306</v>
      </c>
      <c r="M967" s="1401">
        <v>46316.791666666664</v>
      </c>
      <c r="N967" s="1401" t="s">
        <v>2525</v>
      </c>
      <c r="O967" t="s">
        <v>2434</v>
      </c>
      <c r="P967" s="1401">
        <v>46314</v>
      </c>
      <c r="Q967" s="1401">
        <v>46323.791666666664</v>
      </c>
    </row>
    <row r="968" spans="1:17">
      <c r="A968" t="s">
        <v>6518</v>
      </c>
      <c r="B968" t="s">
        <v>64</v>
      </c>
      <c r="C968" t="s">
        <v>65</v>
      </c>
      <c r="D968" t="s">
        <v>5379</v>
      </c>
      <c r="E968" t="s">
        <v>5735</v>
      </c>
      <c r="F968" t="s">
        <v>5736</v>
      </c>
      <c r="G968">
        <v>2808</v>
      </c>
      <c r="H968" t="s">
        <v>951</v>
      </c>
      <c r="I968">
        <v>46260</v>
      </c>
      <c r="J968" t="s">
        <v>6519</v>
      </c>
      <c r="K968" s="1401">
        <v>46268</v>
      </c>
      <c r="L968" s="1401">
        <v>46309</v>
      </c>
      <c r="M968" s="1401">
        <v>46309.25</v>
      </c>
      <c r="N968" s="1401" t="s">
        <v>2525</v>
      </c>
      <c r="O968" t="s">
        <v>2434</v>
      </c>
      <c r="P968" s="1401">
        <v>46317</v>
      </c>
      <c r="Q968" s="1401">
        <v>46317.25</v>
      </c>
    </row>
    <row r="969" spans="1:17">
      <c r="A969" t="s">
        <v>6538</v>
      </c>
      <c r="B969" t="s">
        <v>64</v>
      </c>
      <c r="C969" t="s">
        <v>114</v>
      </c>
      <c r="D969" t="s">
        <v>5336</v>
      </c>
      <c r="E969" t="s">
        <v>5555</v>
      </c>
      <c r="F969" t="s">
        <v>5556</v>
      </c>
      <c r="G969">
        <v>1440</v>
      </c>
      <c r="H969" t="s">
        <v>951</v>
      </c>
      <c r="I969">
        <v>46261</v>
      </c>
      <c r="J969" t="s">
        <v>6539</v>
      </c>
      <c r="K969" s="1401">
        <v>46268</v>
      </c>
      <c r="L969" s="1401">
        <v>46303</v>
      </c>
      <c r="M969" s="1401">
        <v>46303.833333333336</v>
      </c>
      <c r="N969" s="1401" t="s">
        <v>2525</v>
      </c>
      <c r="O969" t="s">
        <v>2434</v>
      </c>
      <c r="P969" s="1401">
        <v>46311</v>
      </c>
      <c r="Q969" s="1401">
        <v>46312.833333333336</v>
      </c>
    </row>
    <row r="970" spans="1:17">
      <c r="A970" t="s">
        <v>6571</v>
      </c>
      <c r="B970" t="s">
        <v>64</v>
      </c>
      <c r="C970" t="s">
        <v>100</v>
      </c>
      <c r="D970" t="s">
        <v>4531</v>
      </c>
      <c r="E970" t="s">
        <v>71</v>
      </c>
      <c r="F970" t="s">
        <v>72</v>
      </c>
      <c r="G970">
        <v>4320</v>
      </c>
      <c r="I970">
        <v>46262</v>
      </c>
      <c r="J970" t="s">
        <v>6572</v>
      </c>
      <c r="K970" s="1401">
        <v>46268</v>
      </c>
      <c r="L970" s="1401">
        <v>46313</v>
      </c>
      <c r="M970" s="1401">
        <v>46317.625</v>
      </c>
      <c r="N970" s="1401" t="s">
        <v>2525</v>
      </c>
      <c r="O970" t="s">
        <v>2434</v>
      </c>
      <c r="P970" s="1401">
        <v>46321</v>
      </c>
      <c r="Q970" s="1401">
        <v>46324.625</v>
      </c>
    </row>
    <row r="971" spans="1:17">
      <c r="A971" t="s">
        <v>6566</v>
      </c>
      <c r="B971" t="s">
        <v>64</v>
      </c>
      <c r="C971" t="s">
        <v>65</v>
      </c>
      <c r="D971" t="s">
        <v>4531</v>
      </c>
      <c r="E971" t="s">
        <v>71</v>
      </c>
      <c r="F971" t="s">
        <v>72</v>
      </c>
      <c r="G971">
        <v>864</v>
      </c>
      <c r="H971" t="s">
        <v>951</v>
      </c>
      <c r="I971">
        <v>46264</v>
      </c>
      <c r="J971" t="s">
        <v>6567</v>
      </c>
      <c r="K971" s="1401">
        <v>46268</v>
      </c>
      <c r="L971" s="1401">
        <v>46316</v>
      </c>
      <c r="M971" s="1401">
        <v>46309.25</v>
      </c>
      <c r="N971" s="1401" t="s">
        <v>2525</v>
      </c>
      <c r="O971" t="s">
        <v>2434</v>
      </c>
      <c r="P971" s="1401">
        <v>46317</v>
      </c>
      <c r="Q971" s="1401">
        <v>46317.25</v>
      </c>
    </row>
    <row r="972" spans="1:17">
      <c r="A972" t="s">
        <v>6576</v>
      </c>
      <c r="B972" t="s">
        <v>64</v>
      </c>
      <c r="C972" t="s">
        <v>100</v>
      </c>
      <c r="D972" t="s">
        <v>4531</v>
      </c>
      <c r="E972" t="s">
        <v>1151</v>
      </c>
      <c r="F972" t="s">
        <v>421</v>
      </c>
      <c r="G972">
        <v>2592</v>
      </c>
      <c r="H972" t="s">
        <v>951</v>
      </c>
      <c r="I972">
        <v>46262</v>
      </c>
      <c r="J972" t="s">
        <v>6577</v>
      </c>
      <c r="K972" s="1401">
        <v>46268</v>
      </c>
      <c r="L972" s="1401">
        <v>46313</v>
      </c>
      <c r="M972" s="1401">
        <v>46317.625</v>
      </c>
      <c r="N972" s="1401" t="s">
        <v>2525</v>
      </c>
      <c r="O972" t="s">
        <v>2434</v>
      </c>
      <c r="P972" s="1401">
        <v>46321</v>
      </c>
      <c r="Q972" s="1401">
        <v>46324.625</v>
      </c>
    </row>
    <row r="973" spans="1:17">
      <c r="A973" t="s">
        <v>6337</v>
      </c>
      <c r="B973" t="s">
        <v>6338</v>
      </c>
      <c r="C973" t="s">
        <v>65</v>
      </c>
      <c r="D973" t="s">
        <v>4531</v>
      </c>
      <c r="E973" t="s">
        <v>1151</v>
      </c>
      <c r="F973" t="s">
        <v>421</v>
      </c>
      <c r="G973">
        <v>864</v>
      </c>
      <c r="H973" t="s">
        <v>951</v>
      </c>
      <c r="I973">
        <v>46266</v>
      </c>
      <c r="J973" t="s">
        <v>6341</v>
      </c>
      <c r="K973" s="1401">
        <v>46261</v>
      </c>
      <c r="L973" s="1401">
        <v>46307</v>
      </c>
      <c r="M973" s="1401">
        <v>46320.25</v>
      </c>
      <c r="N973" s="1401" t="s">
        <v>2525</v>
      </c>
      <c r="O973" t="s">
        <v>973</v>
      </c>
      <c r="P973" s="1401">
        <v>46311</v>
      </c>
      <c r="Q973" s="1401">
        <v>46328.25</v>
      </c>
    </row>
    <row r="974" spans="1:17">
      <c r="A974" t="s">
        <v>6506</v>
      </c>
      <c r="B974" t="s">
        <v>144</v>
      </c>
      <c r="C974" t="s">
        <v>145</v>
      </c>
      <c r="D974" t="s">
        <v>4531</v>
      </c>
      <c r="E974" t="s">
        <v>6235</v>
      </c>
      <c r="F974" t="s">
        <v>330</v>
      </c>
      <c r="G974">
        <v>7920</v>
      </c>
      <c r="H974" t="s">
        <v>951</v>
      </c>
      <c r="I974">
        <v>46264</v>
      </c>
      <c r="J974" t="s">
        <v>6509</v>
      </c>
      <c r="K974" s="1401">
        <v>46276</v>
      </c>
      <c r="L974" s="1401">
        <v>46314</v>
      </c>
      <c r="M974" s="1401"/>
      <c r="N974" s="1401"/>
      <c r="O974" t="s">
        <v>973</v>
      </c>
      <c r="P974" s="1401">
        <v>46314</v>
      </c>
      <c r="Q974" s="1401">
        <v>46314</v>
      </c>
    </row>
    <row r="975" spans="1:17">
      <c r="A975" t="s">
        <v>6531</v>
      </c>
      <c r="B975" t="s">
        <v>64</v>
      </c>
      <c r="C975" t="s">
        <v>65</v>
      </c>
      <c r="D975" t="s">
        <v>132</v>
      </c>
      <c r="E975" t="s">
        <v>1062</v>
      </c>
      <c r="F975" t="s">
        <v>1063</v>
      </c>
      <c r="G975">
        <v>864</v>
      </c>
      <c r="H975" t="s">
        <v>951</v>
      </c>
      <c r="I975">
        <v>46266</v>
      </c>
      <c r="J975" t="s">
        <v>6532</v>
      </c>
      <c r="K975" s="1401">
        <v>46274</v>
      </c>
      <c r="L975" s="1401">
        <v>46321</v>
      </c>
      <c r="M975" s="1401">
        <v>46330.25</v>
      </c>
      <c r="N975" s="1401" t="s">
        <v>2525</v>
      </c>
      <c r="O975" t="s">
        <v>2434</v>
      </c>
      <c r="P975" s="1401">
        <v>46329</v>
      </c>
      <c r="Q975" s="1401">
        <v>46338.25</v>
      </c>
    </row>
    <row r="976" spans="1:17">
      <c r="A976" t="s">
        <v>6587</v>
      </c>
      <c r="B976" t="s">
        <v>64</v>
      </c>
      <c r="C976" t="s">
        <v>310</v>
      </c>
      <c r="D976" t="s">
        <v>284</v>
      </c>
      <c r="E976" t="s">
        <v>6159</v>
      </c>
      <c r="F976" t="s">
        <v>1570</v>
      </c>
      <c r="G976">
        <v>720</v>
      </c>
      <c r="H976" t="s">
        <v>951</v>
      </c>
      <c r="I976">
        <v>46262</v>
      </c>
      <c r="J976" t="s">
        <v>6588</v>
      </c>
      <c r="K976" s="1401">
        <v>46268</v>
      </c>
      <c r="L976" s="1401">
        <v>46334</v>
      </c>
      <c r="M976" s="1401"/>
      <c r="N976" s="1401" t="s">
        <v>2525</v>
      </c>
      <c r="O976" t="s">
        <v>2434</v>
      </c>
      <c r="P976" s="1401">
        <v>46346</v>
      </c>
      <c r="Q976" s="1401">
        <v>46344</v>
      </c>
    </row>
    <row r="977" spans="1:17">
      <c r="A977" t="s">
        <v>6582</v>
      </c>
      <c r="B977" t="s">
        <v>64</v>
      </c>
      <c r="C977" t="s">
        <v>65</v>
      </c>
      <c r="D977" t="s">
        <v>4531</v>
      </c>
      <c r="E977" t="s">
        <v>691</v>
      </c>
      <c r="F977" t="s">
        <v>692</v>
      </c>
      <c r="G977">
        <v>3456</v>
      </c>
      <c r="H977" t="s">
        <v>951</v>
      </c>
      <c r="I977">
        <v>46262</v>
      </c>
      <c r="J977" t="s">
        <v>6584</v>
      </c>
      <c r="K977" s="1401">
        <v>46268</v>
      </c>
      <c r="L977" s="1401">
        <v>46335</v>
      </c>
      <c r="M977" s="1401">
        <v>46344.791666666664</v>
      </c>
      <c r="N977" s="1401" t="s">
        <v>2525</v>
      </c>
      <c r="O977" t="s">
        <v>2434</v>
      </c>
      <c r="P977" s="1401">
        <v>46343</v>
      </c>
      <c r="Q977" s="1401">
        <v>46352.791666666664</v>
      </c>
    </row>
    <row r="978" spans="1:17">
      <c r="A978" t="s">
        <v>6591</v>
      </c>
      <c r="B978" t="s">
        <v>64</v>
      </c>
      <c r="C978" t="s">
        <v>100</v>
      </c>
      <c r="D978" t="s">
        <v>284</v>
      </c>
      <c r="E978" t="s">
        <v>6159</v>
      </c>
      <c r="F978" t="s">
        <v>1570</v>
      </c>
      <c r="G978">
        <v>1440</v>
      </c>
      <c r="H978" t="s">
        <v>951</v>
      </c>
      <c r="I978">
        <v>46258</v>
      </c>
      <c r="J978" t="s">
        <v>6592</v>
      </c>
      <c r="K978" s="1401">
        <v>46267</v>
      </c>
      <c r="L978" s="1401">
        <v>46335</v>
      </c>
      <c r="M978" s="1401"/>
      <c r="N978" s="1401"/>
      <c r="O978" t="s">
        <v>2434</v>
      </c>
      <c r="P978" s="1401">
        <v>46342</v>
      </c>
      <c r="Q978" s="1401">
        <v>46342</v>
      </c>
    </row>
    <row r="979" spans="1:17">
      <c r="A979" t="s">
        <v>6320</v>
      </c>
      <c r="B979" t="s">
        <v>144</v>
      </c>
      <c r="C979" t="s">
        <v>145</v>
      </c>
      <c r="D979" t="s">
        <v>284</v>
      </c>
      <c r="E979" t="s">
        <v>6209</v>
      </c>
      <c r="F979" t="s">
        <v>6210</v>
      </c>
      <c r="G979">
        <v>936</v>
      </c>
      <c r="H979" t="s">
        <v>951</v>
      </c>
      <c r="I979">
        <v>46264</v>
      </c>
      <c r="J979" t="s">
        <v>6324</v>
      </c>
      <c r="K979" s="1401">
        <v>46262</v>
      </c>
      <c r="L979" s="1401">
        <v>46299</v>
      </c>
      <c r="M979" s="1401">
        <v>46310.041666666664</v>
      </c>
      <c r="N979" s="1401" t="s">
        <v>2525</v>
      </c>
      <c r="O979" t="s">
        <v>973</v>
      </c>
      <c r="P979" s="1401">
        <v>46307</v>
      </c>
      <c r="Q979" s="1401">
        <v>46310.041666666664</v>
      </c>
    </row>
    <row r="980" spans="1:17">
      <c r="A980" t="s">
        <v>6328</v>
      </c>
      <c r="B980" t="s">
        <v>64</v>
      </c>
      <c r="C980" t="s">
        <v>450</v>
      </c>
      <c r="D980" t="s">
        <v>284</v>
      </c>
      <c r="E980" t="s">
        <v>6209</v>
      </c>
      <c r="F980" t="s">
        <v>6210</v>
      </c>
      <c r="G980">
        <v>1872</v>
      </c>
      <c r="H980" t="s">
        <v>951</v>
      </c>
      <c r="I980">
        <v>46264</v>
      </c>
      <c r="J980" t="s">
        <v>6330</v>
      </c>
      <c r="K980" s="1401">
        <v>46260</v>
      </c>
      <c r="L980" s="1401">
        <v>46299</v>
      </c>
      <c r="M980" s="1401">
        <v>46310.041666666664</v>
      </c>
      <c r="N980" s="1401" t="s">
        <v>2525</v>
      </c>
      <c r="O980" t="s">
        <v>2434</v>
      </c>
      <c r="P980" s="1401">
        <v>46314</v>
      </c>
      <c r="Q980" s="1401">
        <v>46317.041666666664</v>
      </c>
    </row>
    <row r="981" spans="1:17">
      <c r="A981" t="s">
        <v>6561</v>
      </c>
      <c r="B981" t="s">
        <v>64</v>
      </c>
      <c r="C981" t="s">
        <v>450</v>
      </c>
      <c r="D981" t="s">
        <v>284</v>
      </c>
      <c r="E981" t="s">
        <v>6209</v>
      </c>
      <c r="F981" t="s">
        <v>6210</v>
      </c>
      <c r="G981">
        <v>2808</v>
      </c>
      <c r="H981" t="s">
        <v>951</v>
      </c>
      <c r="I981">
        <v>46264</v>
      </c>
      <c r="J981" t="s">
        <v>6562</v>
      </c>
      <c r="K981" s="1401">
        <v>46269</v>
      </c>
      <c r="L981" s="1401">
        <v>46306</v>
      </c>
      <c r="M981" s="1401">
        <v>46310.041666666664</v>
      </c>
      <c r="N981" s="1401" t="s">
        <v>2525</v>
      </c>
      <c r="O981" t="s">
        <v>2434</v>
      </c>
      <c r="P981" s="1401">
        <v>46314</v>
      </c>
      <c r="Q981" s="1401">
        <v>46317.041666666664</v>
      </c>
    </row>
    <row r="982" spans="1:17">
      <c r="A982" t="s">
        <v>6596</v>
      </c>
      <c r="B982" t="s">
        <v>64</v>
      </c>
      <c r="C982" t="s">
        <v>100</v>
      </c>
      <c r="D982" t="s">
        <v>4531</v>
      </c>
      <c r="E982" t="s">
        <v>1151</v>
      </c>
      <c r="F982" t="s">
        <v>421</v>
      </c>
      <c r="G982">
        <v>864</v>
      </c>
      <c r="H982" t="s">
        <v>951</v>
      </c>
      <c r="I982">
        <v>46258</v>
      </c>
      <c r="J982" t="s">
        <v>6597</v>
      </c>
      <c r="K982" s="1401">
        <v>46267</v>
      </c>
      <c r="L982" s="1401">
        <v>46335</v>
      </c>
      <c r="M982" s="1401"/>
      <c r="N982" s="1401"/>
      <c r="O982" t="s">
        <v>2434</v>
      </c>
      <c r="P982" s="1401">
        <v>46342</v>
      </c>
      <c r="Q982" s="1401">
        <v>46342</v>
      </c>
    </row>
    <row r="983" spans="1:17">
      <c r="A983" t="s">
        <v>6535</v>
      </c>
      <c r="B983" t="s">
        <v>64</v>
      </c>
      <c r="C983" t="s">
        <v>65</v>
      </c>
      <c r="D983" t="s">
        <v>132</v>
      </c>
      <c r="E983" t="s">
        <v>189</v>
      </c>
      <c r="F983" t="s">
        <v>190</v>
      </c>
      <c r="G983">
        <v>864</v>
      </c>
      <c r="I983">
        <v>46266</v>
      </c>
      <c r="J983" t="s">
        <v>6537</v>
      </c>
      <c r="K983" s="1401">
        <v>46274</v>
      </c>
      <c r="L983" s="1401">
        <v>46321</v>
      </c>
      <c r="M983" s="1401">
        <v>46330.25</v>
      </c>
      <c r="N983" s="1401" t="s">
        <v>2525</v>
      </c>
      <c r="O983" t="s">
        <v>2434</v>
      </c>
      <c r="P983" s="1401">
        <v>46329</v>
      </c>
      <c r="Q983" s="1401">
        <v>46338.25</v>
      </c>
    </row>
    <row r="984" spans="1:17">
      <c r="A984" t="s">
        <v>5890</v>
      </c>
      <c r="B984" t="s">
        <v>144</v>
      </c>
      <c r="C984" t="s">
        <v>145</v>
      </c>
      <c r="D984" t="s">
        <v>4531</v>
      </c>
      <c r="E984" t="s">
        <v>4597</v>
      </c>
      <c r="F984" t="s">
        <v>4598</v>
      </c>
      <c r="G984">
        <v>2160</v>
      </c>
      <c r="H984" t="s">
        <v>75</v>
      </c>
      <c r="I984">
        <v>46238</v>
      </c>
      <c r="J984" t="s">
        <v>5893</v>
      </c>
      <c r="K984" s="1401">
        <v>46237</v>
      </c>
      <c r="L984" s="1401">
        <v>46274</v>
      </c>
      <c r="M984" s="1401">
        <v>46284</v>
      </c>
      <c r="N984" s="1401">
        <v>46287</v>
      </c>
      <c r="O984" t="s">
        <v>973</v>
      </c>
      <c r="P984" s="1401">
        <v>46276</v>
      </c>
      <c r="Q984" s="1401">
        <v>46287</v>
      </c>
    </row>
    <row r="985" spans="1:17">
      <c r="A985" t="s">
        <v>6547</v>
      </c>
      <c r="B985" t="s">
        <v>144</v>
      </c>
      <c r="C985" t="s">
        <v>145</v>
      </c>
      <c r="D985" t="s">
        <v>284</v>
      </c>
      <c r="E985" t="s">
        <v>5851</v>
      </c>
      <c r="F985" t="s">
        <v>5852</v>
      </c>
      <c r="G985">
        <v>936</v>
      </c>
      <c r="H985" t="s">
        <v>951</v>
      </c>
      <c r="I985">
        <v>46268</v>
      </c>
      <c r="J985" t="s">
        <v>6548</v>
      </c>
      <c r="K985" s="1401">
        <v>46267</v>
      </c>
      <c r="L985" s="1401">
        <v>46337</v>
      </c>
      <c r="M985" s="1401">
        <v>46308.75</v>
      </c>
      <c r="N985" s="1401" t="s">
        <v>2525</v>
      </c>
      <c r="O985" t="s">
        <v>10683</v>
      </c>
      <c r="P985" s="1401" t="s">
        <v>2525</v>
      </c>
      <c r="Q985" s="1401">
        <v>46308.75</v>
      </c>
    </row>
    <row r="986" spans="1:17">
      <c r="A986" t="s">
        <v>6551</v>
      </c>
      <c r="B986" t="s">
        <v>64</v>
      </c>
      <c r="C986" t="s">
        <v>100</v>
      </c>
      <c r="D986" t="s">
        <v>284</v>
      </c>
      <c r="E986" t="s">
        <v>5851</v>
      </c>
      <c r="F986" t="s">
        <v>5852</v>
      </c>
      <c r="G986">
        <v>4680</v>
      </c>
      <c r="H986" t="s">
        <v>951</v>
      </c>
      <c r="I986">
        <v>46268</v>
      </c>
      <c r="J986" t="s">
        <v>6552</v>
      </c>
      <c r="K986" s="1401">
        <v>46266</v>
      </c>
      <c r="L986" s="1401">
        <v>46305</v>
      </c>
      <c r="M986" s="1401">
        <v>46307.833333333336</v>
      </c>
      <c r="N986" s="1401" t="s">
        <v>2525</v>
      </c>
      <c r="O986" t="s">
        <v>10683</v>
      </c>
      <c r="P986" s="1401" t="s">
        <v>2525</v>
      </c>
      <c r="Q986" s="1401">
        <v>46314.833333333336</v>
      </c>
    </row>
    <row r="987" spans="1:17">
      <c r="A987" t="s">
        <v>6490</v>
      </c>
      <c r="B987" t="s">
        <v>144</v>
      </c>
      <c r="C987" t="s">
        <v>145</v>
      </c>
      <c r="D987" t="s">
        <v>4531</v>
      </c>
      <c r="E987" t="s">
        <v>6483</v>
      </c>
      <c r="F987" t="s">
        <v>103</v>
      </c>
      <c r="G987">
        <v>2160</v>
      </c>
      <c r="H987" t="s">
        <v>951</v>
      </c>
      <c r="I987">
        <v>46267</v>
      </c>
      <c r="J987" t="s">
        <v>6491</v>
      </c>
      <c r="K987" s="1401">
        <v>46270</v>
      </c>
      <c r="L987" s="1401">
        <v>46302</v>
      </c>
      <c r="M987" s="1401"/>
      <c r="N987" s="1401"/>
      <c r="O987" t="s">
        <v>10683</v>
      </c>
      <c r="P987" s="1401" t="s">
        <v>2525</v>
      </c>
      <c r="Q987" s="1401">
        <v>46302</v>
      </c>
    </row>
    <row r="988" spans="1:17">
      <c r="A988" t="s">
        <v>6639</v>
      </c>
      <c r="B988" t="s">
        <v>64</v>
      </c>
      <c r="C988" t="s">
        <v>114</v>
      </c>
      <c r="D988" t="s">
        <v>4531</v>
      </c>
      <c r="E988" t="s">
        <v>6235</v>
      </c>
      <c r="F988" t="s">
        <v>330</v>
      </c>
      <c r="G988">
        <v>1440</v>
      </c>
      <c r="H988" t="s">
        <v>951</v>
      </c>
      <c r="I988">
        <v>46268</v>
      </c>
      <c r="J988" t="s">
        <v>6640</v>
      </c>
      <c r="K988" s="1401">
        <v>46273</v>
      </c>
      <c r="L988" s="1401">
        <v>46317</v>
      </c>
      <c r="M988" s="1401">
        <v>46333.583333333336</v>
      </c>
      <c r="N988" s="1401" t="s">
        <v>2525</v>
      </c>
      <c r="O988" t="s">
        <v>10683</v>
      </c>
      <c r="P988" s="1401" t="s">
        <v>2525</v>
      </c>
      <c r="Q988" s="1401">
        <v>46342.583333333336</v>
      </c>
    </row>
    <row r="989" spans="1:17">
      <c r="A989" t="s">
        <v>6543</v>
      </c>
      <c r="B989" t="s">
        <v>64</v>
      </c>
      <c r="C989" t="s">
        <v>450</v>
      </c>
      <c r="D989" t="s">
        <v>284</v>
      </c>
      <c r="E989" t="s">
        <v>5851</v>
      </c>
      <c r="F989" t="s">
        <v>5852</v>
      </c>
      <c r="G989">
        <v>936</v>
      </c>
      <c r="H989" t="s">
        <v>951</v>
      </c>
      <c r="I989">
        <v>46268</v>
      </c>
      <c r="J989" t="s">
        <v>6544</v>
      </c>
      <c r="K989" s="1401">
        <v>46267</v>
      </c>
      <c r="L989" s="1401">
        <v>46337</v>
      </c>
      <c r="M989" s="1401">
        <v>46308.770833333336</v>
      </c>
      <c r="N989" s="1401" t="s">
        <v>2525</v>
      </c>
      <c r="O989" t="s">
        <v>10683</v>
      </c>
      <c r="P989" s="1401" t="s">
        <v>2525</v>
      </c>
      <c r="Q989" s="1401">
        <v>46315.770833333336</v>
      </c>
    </row>
    <row r="990" spans="1:17">
      <c r="A990" t="s">
        <v>6496</v>
      </c>
      <c r="B990" t="s">
        <v>64</v>
      </c>
      <c r="C990" t="s">
        <v>100</v>
      </c>
      <c r="D990" t="s">
        <v>5379</v>
      </c>
      <c r="E990" t="s">
        <v>5380</v>
      </c>
      <c r="F990" t="s">
        <v>5381</v>
      </c>
      <c r="G990">
        <v>1872</v>
      </c>
      <c r="H990" t="s">
        <v>951</v>
      </c>
      <c r="I990">
        <v>46267</v>
      </c>
      <c r="J990" t="s">
        <v>6497</v>
      </c>
      <c r="K990" s="1401">
        <v>46270</v>
      </c>
      <c r="L990" s="1401">
        <v>46302</v>
      </c>
      <c r="M990" s="1401"/>
      <c r="N990" s="1401"/>
      <c r="O990" t="s">
        <v>10683</v>
      </c>
      <c r="P990" s="1401" t="s">
        <v>2525</v>
      </c>
      <c r="Q990" s="1401">
        <v>46309</v>
      </c>
    </row>
    <row r="991" spans="1:17">
      <c r="A991" t="s">
        <v>6710</v>
      </c>
      <c r="B991" t="s">
        <v>64</v>
      </c>
      <c r="C991" t="s">
        <v>100</v>
      </c>
      <c r="D991" t="s">
        <v>284</v>
      </c>
      <c r="E991" t="s">
        <v>6159</v>
      </c>
      <c r="F991" t="s">
        <v>1570</v>
      </c>
      <c r="G991">
        <v>5760</v>
      </c>
      <c r="H991" t="s">
        <v>951</v>
      </c>
      <c r="I991">
        <v>46268</v>
      </c>
      <c r="J991" t="s">
        <v>6712</v>
      </c>
      <c r="K991" s="1401">
        <v>46276</v>
      </c>
      <c r="L991" s="1401">
        <v>46321</v>
      </c>
      <c r="M991" s="1401">
        <v>46321.958333333336</v>
      </c>
      <c r="N991" s="1401" t="s">
        <v>2525</v>
      </c>
      <c r="O991" t="s">
        <v>10683</v>
      </c>
      <c r="P991" s="1401" t="s">
        <v>2525</v>
      </c>
      <c r="Q991" s="1401">
        <v>46328.958333333336</v>
      </c>
    </row>
    <row r="992" spans="1:17">
      <c r="A992" t="s">
        <v>6500</v>
      </c>
      <c r="B992" t="s">
        <v>144</v>
      </c>
      <c r="C992" t="s">
        <v>145</v>
      </c>
      <c r="D992" t="s">
        <v>5379</v>
      </c>
      <c r="E992" t="s">
        <v>5400</v>
      </c>
      <c r="F992" t="s">
        <v>5401</v>
      </c>
      <c r="G992">
        <v>936</v>
      </c>
      <c r="H992" t="s">
        <v>951</v>
      </c>
      <c r="I992">
        <v>46267</v>
      </c>
      <c r="J992" t="s">
        <v>6503</v>
      </c>
      <c r="K992" s="1401">
        <v>46270</v>
      </c>
      <c r="L992" s="1401">
        <v>46302</v>
      </c>
      <c r="M992" s="1401"/>
      <c r="N992" s="1401"/>
      <c r="O992" t="s">
        <v>10683</v>
      </c>
      <c r="P992" s="1401" t="s">
        <v>2525</v>
      </c>
      <c r="Q992" s="1401">
        <v>46302</v>
      </c>
    </row>
    <row r="993" spans="1:17">
      <c r="A993" t="s">
        <v>6494</v>
      </c>
      <c r="B993" t="s">
        <v>144</v>
      </c>
      <c r="C993" t="s">
        <v>145</v>
      </c>
      <c r="D993" t="s">
        <v>4531</v>
      </c>
      <c r="E993" t="s">
        <v>6461</v>
      </c>
      <c r="F993" t="s">
        <v>4598</v>
      </c>
      <c r="G993">
        <v>720</v>
      </c>
      <c r="H993" t="s">
        <v>951</v>
      </c>
      <c r="I993">
        <v>46267</v>
      </c>
      <c r="J993" t="s">
        <v>6495</v>
      </c>
      <c r="K993" s="1401">
        <v>46270</v>
      </c>
      <c r="L993" s="1401">
        <v>46302</v>
      </c>
      <c r="M993" s="1401"/>
      <c r="N993" s="1401"/>
      <c r="O993" t="s">
        <v>10683</v>
      </c>
      <c r="P993" s="1401" t="s">
        <v>2525</v>
      </c>
      <c r="Q993" s="1401">
        <v>46302</v>
      </c>
    </row>
    <row r="994" spans="1:17">
      <c r="A994" t="s">
        <v>6605</v>
      </c>
      <c r="B994" t="s">
        <v>64</v>
      </c>
      <c r="C994" t="s">
        <v>450</v>
      </c>
      <c r="D994" t="s">
        <v>550</v>
      </c>
      <c r="E994" t="s">
        <v>2134</v>
      </c>
      <c r="F994" t="s">
        <v>2135</v>
      </c>
      <c r="G994">
        <v>2376</v>
      </c>
      <c r="H994" t="s">
        <v>951</v>
      </c>
      <c r="I994">
        <v>46268</v>
      </c>
      <c r="J994" t="s">
        <v>6606</v>
      </c>
      <c r="K994" s="1401">
        <v>46273</v>
      </c>
      <c r="L994" s="1401">
        <v>46313</v>
      </c>
      <c r="M994" s="1401">
        <v>46315.291666666664</v>
      </c>
      <c r="N994" s="1401" t="s">
        <v>2525</v>
      </c>
      <c r="O994" t="s">
        <v>10683</v>
      </c>
      <c r="P994" s="1401" t="s">
        <v>2525</v>
      </c>
      <c r="Q994" s="1401">
        <v>46322.291666666664</v>
      </c>
    </row>
    <row r="995" spans="1:17">
      <c r="A995" t="s">
        <v>6314</v>
      </c>
      <c r="B995" t="s">
        <v>64</v>
      </c>
      <c r="C995" t="s">
        <v>310</v>
      </c>
      <c r="D995" t="s">
        <v>550</v>
      </c>
      <c r="E995" t="s">
        <v>2134</v>
      </c>
      <c r="F995" t="s">
        <v>2135</v>
      </c>
      <c r="G995">
        <v>792</v>
      </c>
      <c r="H995" t="s">
        <v>951</v>
      </c>
      <c r="I995">
        <v>46267</v>
      </c>
      <c r="J995" t="s">
        <v>6316</v>
      </c>
      <c r="K995" s="1401">
        <v>46263</v>
      </c>
      <c r="L995" s="1401">
        <v>46318</v>
      </c>
      <c r="M995" s="1401">
        <v>46334.75</v>
      </c>
      <c r="N995" s="1401" t="s">
        <v>2525</v>
      </c>
      <c r="O995" t="s">
        <v>10683</v>
      </c>
      <c r="P995" s="1401" t="s">
        <v>2525</v>
      </c>
      <c r="Q995" s="1401">
        <v>46344.75</v>
      </c>
    </row>
    <row r="996" spans="1:17">
      <c r="A996" t="s">
        <v>6701</v>
      </c>
      <c r="B996" t="s">
        <v>64</v>
      </c>
      <c r="C996" t="s">
        <v>65</v>
      </c>
      <c r="D996" t="s">
        <v>4531</v>
      </c>
      <c r="E996" t="s">
        <v>706</v>
      </c>
      <c r="F996" t="s">
        <v>707</v>
      </c>
      <c r="G996">
        <v>1728</v>
      </c>
      <c r="H996" t="s">
        <v>951</v>
      </c>
      <c r="I996">
        <v>46268</v>
      </c>
      <c r="J996" t="s">
        <v>6702</v>
      </c>
      <c r="K996" s="1401">
        <v>46276</v>
      </c>
      <c r="L996" s="1401">
        <v>46330</v>
      </c>
      <c r="M996" s="1401">
        <v>46330.25</v>
      </c>
      <c r="N996" s="1401" t="s">
        <v>2525</v>
      </c>
      <c r="O996" t="s">
        <v>10683</v>
      </c>
      <c r="P996" s="1401" t="s">
        <v>2525</v>
      </c>
      <c r="Q996" s="1401">
        <v>46338.25</v>
      </c>
    </row>
    <row r="997" spans="1:17">
      <c r="A997" t="s">
        <v>6706</v>
      </c>
      <c r="B997" t="s">
        <v>64</v>
      </c>
      <c r="C997" t="s">
        <v>65</v>
      </c>
      <c r="D997" t="s">
        <v>4531</v>
      </c>
      <c r="E997" t="s">
        <v>706</v>
      </c>
      <c r="F997" t="s">
        <v>707</v>
      </c>
      <c r="G997">
        <v>3456</v>
      </c>
      <c r="H997" t="s">
        <v>951</v>
      </c>
      <c r="I997">
        <v>46268</v>
      </c>
      <c r="J997" t="s">
        <v>6707</v>
      </c>
      <c r="K997" s="1401">
        <v>46276</v>
      </c>
      <c r="L997" s="1401">
        <v>46342</v>
      </c>
      <c r="M997" s="1401">
        <v>46343.75</v>
      </c>
      <c r="N997" s="1401" t="s">
        <v>2525</v>
      </c>
      <c r="O997" t="s">
        <v>10683</v>
      </c>
      <c r="P997" s="1401" t="s">
        <v>2525</v>
      </c>
      <c r="Q997" s="1401">
        <v>46351.75</v>
      </c>
    </row>
    <row r="998" spans="1:17">
      <c r="A998" t="s">
        <v>6719</v>
      </c>
      <c r="B998" t="s">
        <v>144</v>
      </c>
      <c r="C998" t="s">
        <v>145</v>
      </c>
      <c r="D998" t="s">
        <v>284</v>
      </c>
      <c r="E998" t="s">
        <v>6721</v>
      </c>
      <c r="F998" t="s">
        <v>1570</v>
      </c>
      <c r="G998">
        <v>1440</v>
      </c>
      <c r="H998" t="s">
        <v>951</v>
      </c>
      <c r="I998">
        <v>46269</v>
      </c>
      <c r="J998" t="s">
        <v>6722</v>
      </c>
      <c r="K998" s="1401">
        <v>46272</v>
      </c>
      <c r="L998" s="1401">
        <v>46319</v>
      </c>
      <c r="M998" s="1401"/>
      <c r="N998" s="1401"/>
      <c r="O998" t="s">
        <v>10683</v>
      </c>
      <c r="P998" s="1401" t="s">
        <v>2525</v>
      </c>
      <c r="Q998" s="1401">
        <v>46319</v>
      </c>
    </row>
    <row r="999" spans="1:17">
      <c r="A999" t="s">
        <v>6819</v>
      </c>
      <c r="B999" t="s">
        <v>144</v>
      </c>
      <c r="C999" t="s">
        <v>145</v>
      </c>
      <c r="D999" t="s">
        <v>284</v>
      </c>
      <c r="E999" t="s">
        <v>6721</v>
      </c>
      <c r="F999" t="s">
        <v>1570</v>
      </c>
      <c r="G999">
        <v>6480</v>
      </c>
      <c r="H999" t="s">
        <v>951</v>
      </c>
      <c r="I999">
        <v>46273</v>
      </c>
      <c r="J999" t="s">
        <v>6820</v>
      </c>
      <c r="K999" s="1401">
        <v>46279</v>
      </c>
      <c r="L999" s="1401">
        <v>46327</v>
      </c>
      <c r="M999" s="1401"/>
      <c r="N999" s="1401"/>
      <c r="O999" t="s">
        <v>10683</v>
      </c>
      <c r="P999" s="1401" t="s">
        <v>2525</v>
      </c>
      <c r="Q999" s="1401">
        <v>46327</v>
      </c>
    </row>
    <row r="1000" spans="1:17">
      <c r="A1000" t="s">
        <v>6825</v>
      </c>
      <c r="B1000" t="s">
        <v>144</v>
      </c>
      <c r="C1000" t="s">
        <v>145</v>
      </c>
      <c r="D1000" t="s">
        <v>284</v>
      </c>
      <c r="E1000" t="s">
        <v>6728</v>
      </c>
      <c r="F1000" t="s">
        <v>5346</v>
      </c>
      <c r="G1000">
        <v>7200</v>
      </c>
      <c r="I1000">
        <v>46273</v>
      </c>
      <c r="J1000" t="s">
        <v>6826</v>
      </c>
      <c r="K1000" s="1401">
        <v>46279</v>
      </c>
      <c r="L1000" s="1401">
        <v>46327</v>
      </c>
      <c r="M1000" s="1401"/>
      <c r="N1000" s="1401"/>
      <c r="O1000" t="s">
        <v>10683</v>
      </c>
      <c r="P1000" s="1401" t="s">
        <v>2525</v>
      </c>
      <c r="Q1000" s="1401">
        <v>46327</v>
      </c>
    </row>
    <row r="1001" spans="1:17">
      <c r="A1001" t="s">
        <v>6598</v>
      </c>
      <c r="B1001" t="s">
        <v>144</v>
      </c>
      <c r="C1001" t="s">
        <v>145</v>
      </c>
      <c r="D1001" t="s">
        <v>4531</v>
      </c>
      <c r="E1001" t="s">
        <v>6483</v>
      </c>
      <c r="F1001" t="s">
        <v>103</v>
      </c>
      <c r="G1001">
        <v>720</v>
      </c>
      <c r="H1001" t="s">
        <v>951</v>
      </c>
      <c r="I1001">
        <v>46269</v>
      </c>
      <c r="J1001" t="s">
        <v>6599</v>
      </c>
      <c r="K1001" s="1401">
        <v>46271</v>
      </c>
      <c r="L1001" s="1401">
        <v>46312</v>
      </c>
      <c r="M1001" s="1401"/>
      <c r="N1001" s="1401"/>
      <c r="O1001" t="s">
        <v>10683</v>
      </c>
      <c r="P1001" s="1401" t="s">
        <v>2525</v>
      </c>
      <c r="Q1001" s="1401">
        <v>46312</v>
      </c>
    </row>
    <row r="1002" spans="1:17">
      <c r="A1002" t="s">
        <v>6727</v>
      </c>
      <c r="B1002" t="s">
        <v>144</v>
      </c>
      <c r="C1002" t="s">
        <v>145</v>
      </c>
      <c r="D1002" t="s">
        <v>284</v>
      </c>
      <c r="E1002" t="s">
        <v>6728</v>
      </c>
      <c r="F1002" t="s">
        <v>5346</v>
      </c>
      <c r="G1002">
        <v>2160</v>
      </c>
      <c r="H1002" t="s">
        <v>951</v>
      </c>
      <c r="I1002">
        <v>46269</v>
      </c>
      <c r="J1002" t="s">
        <v>6729</v>
      </c>
      <c r="K1002" s="1401">
        <v>46272</v>
      </c>
      <c r="L1002" s="1401">
        <v>46319</v>
      </c>
      <c r="M1002" s="1401"/>
      <c r="N1002" s="1401"/>
      <c r="O1002" t="s">
        <v>10683</v>
      </c>
      <c r="P1002" s="1401" t="s">
        <v>2525</v>
      </c>
      <c r="Q1002" s="1401">
        <v>46319</v>
      </c>
    </row>
    <row r="1003" spans="1:17">
      <c r="A1003" t="s">
        <v>6764</v>
      </c>
      <c r="B1003" t="s">
        <v>64</v>
      </c>
      <c r="C1003" t="s">
        <v>100</v>
      </c>
      <c r="D1003" t="s">
        <v>70</v>
      </c>
      <c r="E1003" t="s">
        <v>5749</v>
      </c>
      <c r="F1003" t="s">
        <v>1484</v>
      </c>
      <c r="G1003">
        <v>1782</v>
      </c>
      <c r="H1003" t="s">
        <v>951</v>
      </c>
      <c r="I1003">
        <v>46274</v>
      </c>
      <c r="J1003" t="s">
        <v>6765</v>
      </c>
      <c r="K1003" s="1401">
        <v>46279</v>
      </c>
      <c r="L1003" s="1401">
        <v>46319</v>
      </c>
      <c r="M1003" s="1401">
        <v>46326.875</v>
      </c>
      <c r="N1003" s="1401" t="s">
        <v>2525</v>
      </c>
      <c r="O1003" t="s">
        <v>10683</v>
      </c>
      <c r="P1003" s="1401" t="s">
        <v>2525</v>
      </c>
      <c r="Q1003" s="1401">
        <v>46333.875</v>
      </c>
    </row>
    <row r="1004" spans="1:17">
      <c r="A1004" t="s">
        <v>6692</v>
      </c>
      <c r="B1004" t="s">
        <v>144</v>
      </c>
      <c r="C1004" t="s">
        <v>145</v>
      </c>
      <c r="D1004" t="s">
        <v>4531</v>
      </c>
      <c r="E1004" t="s">
        <v>71</v>
      </c>
      <c r="F1004" t="s">
        <v>72</v>
      </c>
      <c r="G1004">
        <v>1728</v>
      </c>
      <c r="H1004" t="s">
        <v>951</v>
      </c>
      <c r="I1004">
        <v>46274</v>
      </c>
      <c r="J1004" t="s">
        <v>6694</v>
      </c>
      <c r="K1004" s="1401">
        <v>46274</v>
      </c>
      <c r="L1004" s="1401">
        <v>46323</v>
      </c>
      <c r="M1004" s="1401">
        <v>46323.916666666664</v>
      </c>
      <c r="N1004" s="1401" t="s">
        <v>2525</v>
      </c>
      <c r="O1004" t="s">
        <v>10683</v>
      </c>
      <c r="P1004" s="1401" t="s">
        <v>2525</v>
      </c>
      <c r="Q1004" s="1401">
        <v>46323.916666666664</v>
      </c>
    </row>
    <row r="1005" spans="1:17">
      <c r="A1005" t="s">
        <v>6610</v>
      </c>
      <c r="B1005" t="s">
        <v>144</v>
      </c>
      <c r="C1005" t="s">
        <v>145</v>
      </c>
      <c r="D1005" t="s">
        <v>4531</v>
      </c>
      <c r="E1005" t="s">
        <v>6483</v>
      </c>
      <c r="F1005" t="s">
        <v>103</v>
      </c>
      <c r="G1005">
        <v>7920</v>
      </c>
      <c r="H1005" t="s">
        <v>951</v>
      </c>
      <c r="I1005">
        <v>46273</v>
      </c>
      <c r="J1005" t="s">
        <v>6611</v>
      </c>
      <c r="K1005" s="1401">
        <v>46278</v>
      </c>
      <c r="L1005" s="1401">
        <v>46313</v>
      </c>
      <c r="M1005" s="1401">
        <v>46317.625</v>
      </c>
      <c r="N1005" s="1401" t="s">
        <v>2525</v>
      </c>
      <c r="O1005" t="s">
        <v>10683</v>
      </c>
      <c r="P1005" s="1401" t="s">
        <v>2525</v>
      </c>
      <c r="Q1005" s="1401">
        <v>46317.625</v>
      </c>
    </row>
    <row r="1006" spans="1:17">
      <c r="A1006" t="s">
        <v>6697</v>
      </c>
      <c r="B1006" t="s">
        <v>64</v>
      </c>
      <c r="C1006" t="s">
        <v>65</v>
      </c>
      <c r="D1006" t="s">
        <v>4531</v>
      </c>
      <c r="E1006" t="s">
        <v>71</v>
      </c>
      <c r="F1006" t="s">
        <v>72</v>
      </c>
      <c r="G1006">
        <v>864</v>
      </c>
      <c r="H1006" t="s">
        <v>951</v>
      </c>
      <c r="I1006">
        <v>46274</v>
      </c>
      <c r="J1006" t="s">
        <v>6698</v>
      </c>
      <c r="K1006" s="1401">
        <v>46277</v>
      </c>
      <c r="L1006" s="1401">
        <v>46321</v>
      </c>
      <c r="M1006" s="1401">
        <v>46330.25</v>
      </c>
      <c r="N1006" s="1401" t="s">
        <v>2525</v>
      </c>
      <c r="O1006" t="s">
        <v>10683</v>
      </c>
      <c r="P1006" s="1401" t="s">
        <v>2525</v>
      </c>
      <c r="Q1006" s="1401">
        <v>46338.25</v>
      </c>
    </row>
    <row r="1007" spans="1:17">
      <c r="A1007" t="s">
        <v>6349</v>
      </c>
      <c r="B1007" t="s">
        <v>64</v>
      </c>
      <c r="C1007" t="s">
        <v>65</v>
      </c>
      <c r="D1007" t="s">
        <v>4531</v>
      </c>
      <c r="E1007" t="s">
        <v>71</v>
      </c>
      <c r="F1007" t="s">
        <v>72</v>
      </c>
      <c r="G1007">
        <v>864</v>
      </c>
      <c r="H1007" t="s">
        <v>951</v>
      </c>
      <c r="I1007">
        <v>46269</v>
      </c>
      <c r="J1007" t="s">
        <v>6350</v>
      </c>
      <c r="K1007" s="1401">
        <v>46265</v>
      </c>
      <c r="L1007" s="1401">
        <v>46314</v>
      </c>
      <c r="M1007" s="1401">
        <v>46323.791666666664</v>
      </c>
      <c r="N1007" s="1401" t="s">
        <v>2525</v>
      </c>
      <c r="O1007" t="s">
        <v>10683</v>
      </c>
      <c r="P1007" s="1401" t="s">
        <v>2525</v>
      </c>
      <c r="Q1007" s="1401">
        <v>46331.791666666664</v>
      </c>
    </row>
    <row r="1008" spans="1:17">
      <c r="A1008" t="s">
        <v>6614</v>
      </c>
      <c r="B1008" t="s">
        <v>144</v>
      </c>
      <c r="C1008" t="s">
        <v>145</v>
      </c>
      <c r="D1008" t="s">
        <v>4531</v>
      </c>
      <c r="E1008" t="s">
        <v>6483</v>
      </c>
      <c r="F1008" t="s">
        <v>103</v>
      </c>
      <c r="G1008">
        <v>3600</v>
      </c>
      <c r="H1008" t="s">
        <v>951</v>
      </c>
      <c r="I1008">
        <v>46268</v>
      </c>
      <c r="J1008" t="s">
        <v>6615</v>
      </c>
      <c r="K1008" s="1401">
        <v>46272</v>
      </c>
      <c r="L1008" s="1401">
        <v>46309</v>
      </c>
      <c r="M1008" s="1401">
        <v>46319.875</v>
      </c>
      <c r="N1008" s="1401" t="s">
        <v>2525</v>
      </c>
      <c r="O1008" t="s">
        <v>10683</v>
      </c>
      <c r="P1008" s="1401" t="s">
        <v>2525</v>
      </c>
      <c r="Q1008" s="1401">
        <v>46319.875</v>
      </c>
    </row>
    <row r="1009" spans="1:17">
      <c r="A1009" t="s">
        <v>6619</v>
      </c>
      <c r="B1009" t="s">
        <v>144</v>
      </c>
      <c r="C1009" t="s">
        <v>145</v>
      </c>
      <c r="D1009" t="s">
        <v>4531</v>
      </c>
      <c r="E1009" t="s">
        <v>6483</v>
      </c>
      <c r="F1009" t="s">
        <v>103</v>
      </c>
      <c r="G1009">
        <v>5760</v>
      </c>
      <c r="H1009" t="s">
        <v>951</v>
      </c>
      <c r="I1009">
        <v>46270</v>
      </c>
      <c r="J1009" t="s">
        <v>6620</v>
      </c>
      <c r="K1009" s="1401">
        <v>46275</v>
      </c>
      <c r="L1009" s="1401">
        <v>46319</v>
      </c>
      <c r="M1009" s="1401">
        <v>46321.9375</v>
      </c>
      <c r="N1009" s="1401" t="s">
        <v>2525</v>
      </c>
      <c r="O1009" t="s">
        <v>10683</v>
      </c>
      <c r="P1009" s="1401" t="s">
        <v>2525</v>
      </c>
      <c r="Q1009" s="1401">
        <v>46321.9375</v>
      </c>
    </row>
    <row r="1010" spans="1:17">
      <c r="A1010" t="s">
        <v>6644</v>
      </c>
      <c r="B1010" t="s">
        <v>64</v>
      </c>
      <c r="C1010" t="s">
        <v>114</v>
      </c>
      <c r="D1010" t="s">
        <v>4531</v>
      </c>
      <c r="E1010" t="s">
        <v>6235</v>
      </c>
      <c r="F1010" t="s">
        <v>330</v>
      </c>
      <c r="G1010">
        <v>720</v>
      </c>
      <c r="H1010" t="s">
        <v>951</v>
      </c>
      <c r="I1010">
        <v>46269</v>
      </c>
      <c r="J1010" t="s">
        <v>6645</v>
      </c>
      <c r="K1010" s="1401">
        <v>46277</v>
      </c>
      <c r="L1010" s="1401">
        <v>46310</v>
      </c>
      <c r="M1010" s="1401">
        <v>46311.583333333336</v>
      </c>
      <c r="N1010" s="1401" t="s">
        <v>2525</v>
      </c>
      <c r="O1010" t="s">
        <v>10683</v>
      </c>
      <c r="P1010" s="1401" t="s">
        <v>2525</v>
      </c>
      <c r="Q1010" s="1401">
        <v>46320.583333333336</v>
      </c>
    </row>
    <row r="1011" spans="1:17">
      <c r="A1011" t="s">
        <v>6603</v>
      </c>
      <c r="B1011" t="s">
        <v>144</v>
      </c>
      <c r="C1011" t="s">
        <v>145</v>
      </c>
      <c r="D1011" t="s">
        <v>4531</v>
      </c>
      <c r="E1011" t="s">
        <v>6461</v>
      </c>
      <c r="F1011" t="s">
        <v>4598</v>
      </c>
      <c r="G1011">
        <v>2880</v>
      </c>
      <c r="H1011" t="s">
        <v>951</v>
      </c>
      <c r="I1011">
        <v>46269</v>
      </c>
      <c r="J1011" t="s">
        <v>6604</v>
      </c>
      <c r="K1011" s="1401">
        <v>46271</v>
      </c>
      <c r="L1011" s="1401">
        <v>46312</v>
      </c>
      <c r="M1011" s="1401"/>
      <c r="N1011" s="1401"/>
      <c r="O1011" t="s">
        <v>10683</v>
      </c>
      <c r="P1011" s="1401" t="s">
        <v>2525</v>
      </c>
      <c r="Q1011" s="1401">
        <v>46312</v>
      </c>
    </row>
    <row r="1012" spans="1:17">
      <c r="A1012" t="s">
        <v>6300</v>
      </c>
      <c r="B1012" t="s">
        <v>64</v>
      </c>
      <c r="C1012" t="s">
        <v>65</v>
      </c>
      <c r="D1012" t="s">
        <v>132</v>
      </c>
      <c r="E1012" t="s">
        <v>1062</v>
      </c>
      <c r="F1012" t="s">
        <v>1063</v>
      </c>
      <c r="G1012">
        <v>1728</v>
      </c>
      <c r="H1012" t="s">
        <v>951</v>
      </c>
      <c r="I1012">
        <v>46271</v>
      </c>
      <c r="J1012" t="s">
        <v>6301</v>
      </c>
      <c r="K1012" s="1401">
        <v>46260</v>
      </c>
      <c r="L1012" s="1401">
        <v>46309</v>
      </c>
      <c r="M1012" s="1401"/>
      <c r="N1012" s="1401"/>
      <c r="O1012" t="s">
        <v>10683</v>
      </c>
      <c r="P1012" s="1401" t="s">
        <v>2525</v>
      </c>
      <c r="Q1012" s="1401">
        <v>46317</v>
      </c>
    </row>
    <row r="1013" spans="1:17">
      <c r="A1013" t="s">
        <v>6527</v>
      </c>
      <c r="B1013" t="s">
        <v>64</v>
      </c>
      <c r="C1013" t="s">
        <v>65</v>
      </c>
      <c r="D1013" t="s">
        <v>5379</v>
      </c>
      <c r="E1013" t="s">
        <v>5735</v>
      </c>
      <c r="F1013" t="s">
        <v>5736</v>
      </c>
      <c r="G1013">
        <v>2808</v>
      </c>
      <c r="H1013" t="s">
        <v>951</v>
      </c>
      <c r="I1013">
        <v>46273</v>
      </c>
      <c r="J1013" t="s">
        <v>6528</v>
      </c>
      <c r="K1013" s="1401">
        <v>46271</v>
      </c>
      <c r="L1013" s="1401">
        <v>46316</v>
      </c>
      <c r="M1013" s="1401"/>
      <c r="N1013" s="1401"/>
      <c r="O1013" t="s">
        <v>10683</v>
      </c>
      <c r="P1013" s="1401" t="s">
        <v>2525</v>
      </c>
      <c r="Q1013" s="1401">
        <v>46324</v>
      </c>
    </row>
    <row r="1014" spans="1:17">
      <c r="A1014" t="s">
        <v>6304</v>
      </c>
      <c r="B1014" t="s">
        <v>64</v>
      </c>
      <c r="C1014" t="s">
        <v>65</v>
      </c>
      <c r="D1014" t="s">
        <v>5379</v>
      </c>
      <c r="E1014" t="s">
        <v>5735</v>
      </c>
      <c r="F1014" t="s">
        <v>5736</v>
      </c>
      <c r="G1014">
        <v>7488</v>
      </c>
      <c r="H1014" t="s">
        <v>951</v>
      </c>
      <c r="I1014">
        <v>46271</v>
      </c>
      <c r="J1014" t="s">
        <v>6305</v>
      </c>
      <c r="K1014" s="1401">
        <v>46260</v>
      </c>
      <c r="L1014" s="1401">
        <v>46309</v>
      </c>
      <c r="M1014" s="1401"/>
      <c r="N1014" s="1401"/>
      <c r="O1014" t="s">
        <v>10683</v>
      </c>
      <c r="P1014" s="1401" t="s">
        <v>2525</v>
      </c>
      <c r="Q1014" s="1401">
        <v>46317</v>
      </c>
    </row>
    <row r="1015" spans="1:17">
      <c r="A1015" t="s">
        <v>6648</v>
      </c>
      <c r="B1015" t="s">
        <v>64</v>
      </c>
      <c r="C1015" t="s">
        <v>65</v>
      </c>
      <c r="D1015" t="s">
        <v>132</v>
      </c>
      <c r="E1015" t="s">
        <v>1062</v>
      </c>
      <c r="F1015" t="s">
        <v>1063</v>
      </c>
      <c r="G1015">
        <v>2592</v>
      </c>
      <c r="I1015">
        <v>46274</v>
      </c>
      <c r="J1015" t="s">
        <v>6649</v>
      </c>
      <c r="K1015" s="1401">
        <v>46278</v>
      </c>
      <c r="L1015" s="1401">
        <v>46330</v>
      </c>
      <c r="M1015" s="1401"/>
      <c r="N1015" s="1401"/>
      <c r="O1015" t="s">
        <v>10683</v>
      </c>
      <c r="P1015" s="1401" t="s">
        <v>2525</v>
      </c>
      <c r="Q1015" s="1401">
        <v>46338</v>
      </c>
    </row>
    <row r="1016" spans="1:17">
      <c r="A1016" t="s">
        <v>6766</v>
      </c>
      <c r="B1016" t="s">
        <v>64</v>
      </c>
      <c r="C1016" t="s">
        <v>100</v>
      </c>
      <c r="D1016" t="s">
        <v>5379</v>
      </c>
      <c r="E1016" t="s">
        <v>6678</v>
      </c>
      <c r="F1016" t="s">
        <v>6679</v>
      </c>
      <c r="G1016">
        <v>1872</v>
      </c>
      <c r="H1016" t="s">
        <v>951</v>
      </c>
      <c r="I1016">
        <v>46271</v>
      </c>
      <c r="J1016" t="s">
        <v>6767</v>
      </c>
      <c r="K1016" s="1401">
        <v>46277</v>
      </c>
      <c r="L1016" s="1401">
        <v>46326</v>
      </c>
      <c r="M1016" s="1401">
        <v>46321.791666666664</v>
      </c>
      <c r="N1016" s="1401" t="s">
        <v>2525</v>
      </c>
      <c r="O1016" t="s">
        <v>10683</v>
      </c>
      <c r="P1016" s="1401" t="s">
        <v>2525</v>
      </c>
      <c r="Q1016" s="1401">
        <v>46328.791666666664</v>
      </c>
    </row>
    <row r="1017" spans="1:17">
      <c r="A1017" t="s">
        <v>6306</v>
      </c>
      <c r="B1017" t="s">
        <v>64</v>
      </c>
      <c r="C1017" t="s">
        <v>65</v>
      </c>
      <c r="D1017" t="s">
        <v>5379</v>
      </c>
      <c r="E1017" t="s">
        <v>5735</v>
      </c>
      <c r="F1017" t="s">
        <v>5736</v>
      </c>
      <c r="G1017">
        <v>936</v>
      </c>
      <c r="H1017" t="s">
        <v>951</v>
      </c>
      <c r="I1017">
        <v>46271</v>
      </c>
      <c r="J1017" t="s">
        <v>6308</v>
      </c>
      <c r="K1017" s="1401">
        <v>46260</v>
      </c>
      <c r="L1017" s="1401">
        <v>46309</v>
      </c>
      <c r="M1017" s="1401"/>
      <c r="N1017" s="1401"/>
      <c r="O1017" t="s">
        <v>10683</v>
      </c>
      <c r="P1017" s="1401" t="s">
        <v>2525</v>
      </c>
      <c r="Q1017" s="1401">
        <v>46317</v>
      </c>
    </row>
    <row r="1018" spans="1:17">
      <c r="A1018" t="s">
        <v>6312</v>
      </c>
      <c r="B1018" t="s">
        <v>64</v>
      </c>
      <c r="C1018" t="s">
        <v>65</v>
      </c>
      <c r="D1018" t="s">
        <v>5379</v>
      </c>
      <c r="E1018" t="s">
        <v>6281</v>
      </c>
      <c r="F1018" t="s">
        <v>6282</v>
      </c>
      <c r="G1018">
        <v>1872</v>
      </c>
      <c r="H1018" t="s">
        <v>951</v>
      </c>
      <c r="I1018">
        <v>46271</v>
      </c>
      <c r="J1018" t="s">
        <v>6313</v>
      </c>
      <c r="K1018" s="1401">
        <v>46260</v>
      </c>
      <c r="L1018" s="1401">
        <v>46309</v>
      </c>
      <c r="M1018" s="1401"/>
      <c r="N1018" s="1401"/>
      <c r="O1018" t="s">
        <v>10683</v>
      </c>
      <c r="P1018" s="1401" t="s">
        <v>2525</v>
      </c>
      <c r="Q1018" s="1401">
        <v>46317</v>
      </c>
    </row>
    <row r="1019" spans="1:17">
      <c r="A1019" t="s">
        <v>6771</v>
      </c>
      <c r="B1019" t="s">
        <v>64</v>
      </c>
      <c r="C1019" t="s">
        <v>100</v>
      </c>
      <c r="D1019" t="s">
        <v>5379</v>
      </c>
      <c r="E1019" t="s">
        <v>6772</v>
      </c>
      <c r="F1019" t="s">
        <v>6773</v>
      </c>
      <c r="G1019">
        <v>5616</v>
      </c>
      <c r="H1019" t="s">
        <v>951</v>
      </c>
      <c r="I1019">
        <v>46271</v>
      </c>
      <c r="J1019" t="s">
        <v>6774</v>
      </c>
      <c r="K1019" s="1401">
        <v>46277</v>
      </c>
      <c r="L1019" s="1401">
        <v>46326</v>
      </c>
      <c r="M1019" s="1401">
        <v>46321.791666666664</v>
      </c>
      <c r="N1019" s="1401" t="s">
        <v>2525</v>
      </c>
      <c r="O1019" t="s">
        <v>10683</v>
      </c>
      <c r="P1019" s="1401" t="s">
        <v>2525</v>
      </c>
      <c r="Q1019" s="1401">
        <v>46328.791666666664</v>
      </c>
    </row>
    <row r="1020" spans="1:17">
      <c r="A1020" t="s">
        <v>6529</v>
      </c>
      <c r="B1020" t="s">
        <v>64</v>
      </c>
      <c r="C1020" t="s">
        <v>65</v>
      </c>
      <c r="D1020" t="s">
        <v>132</v>
      </c>
      <c r="E1020" t="s">
        <v>189</v>
      </c>
      <c r="F1020" t="s">
        <v>190</v>
      </c>
      <c r="G1020">
        <v>864</v>
      </c>
      <c r="I1020">
        <v>46273</v>
      </c>
      <c r="J1020" t="s">
        <v>6530</v>
      </c>
      <c r="K1020" s="1401">
        <v>46271</v>
      </c>
      <c r="L1020" s="1401">
        <v>46316</v>
      </c>
      <c r="M1020" s="1401"/>
      <c r="N1020" s="1401"/>
      <c r="O1020" t="s">
        <v>10683</v>
      </c>
      <c r="P1020" s="1401" t="s">
        <v>2525</v>
      </c>
      <c r="Q1020" s="1401">
        <v>46324</v>
      </c>
    </row>
    <row r="1021" spans="1:17">
      <c r="A1021" t="s">
        <v>6624</v>
      </c>
      <c r="B1021" t="s">
        <v>64</v>
      </c>
      <c r="C1021" t="s">
        <v>65</v>
      </c>
      <c r="D1021" t="s">
        <v>132</v>
      </c>
      <c r="E1021" t="s">
        <v>189</v>
      </c>
      <c r="F1021" t="s">
        <v>190</v>
      </c>
      <c r="G1021">
        <v>3456</v>
      </c>
      <c r="I1021">
        <v>46269</v>
      </c>
      <c r="J1021" t="s">
        <v>6625</v>
      </c>
      <c r="K1021" s="1401">
        <v>46277</v>
      </c>
      <c r="L1021" s="1401">
        <v>46316</v>
      </c>
      <c r="M1021" s="1401">
        <v>46316.833333333336</v>
      </c>
      <c r="N1021" s="1401" t="s">
        <v>2525</v>
      </c>
      <c r="O1021" t="s">
        <v>10683</v>
      </c>
      <c r="P1021" s="1401" t="s">
        <v>2525</v>
      </c>
      <c r="Q1021" s="1401">
        <v>46324.833333333336</v>
      </c>
    </row>
    <row r="1022" spans="1:17">
      <c r="A1022" t="s">
        <v>6759</v>
      </c>
      <c r="B1022" t="s">
        <v>64</v>
      </c>
      <c r="C1022" t="s">
        <v>100</v>
      </c>
      <c r="D1022" t="s">
        <v>550</v>
      </c>
      <c r="E1022" t="s">
        <v>2134</v>
      </c>
      <c r="F1022" t="s">
        <v>2135</v>
      </c>
      <c r="G1022">
        <v>1584</v>
      </c>
      <c r="H1022" t="s">
        <v>951</v>
      </c>
      <c r="I1022">
        <v>46274</v>
      </c>
      <c r="J1022" t="s">
        <v>6760</v>
      </c>
      <c r="K1022" s="1401">
        <v>46279</v>
      </c>
      <c r="L1022" s="1401">
        <v>46319</v>
      </c>
      <c r="M1022" s="1401">
        <v>46326.875</v>
      </c>
      <c r="N1022" s="1401" t="s">
        <v>2525</v>
      </c>
      <c r="O1022" t="s">
        <v>10683</v>
      </c>
      <c r="P1022" s="1401" t="s">
        <v>2525</v>
      </c>
      <c r="Q1022" s="1401">
        <v>46333.875</v>
      </c>
    </row>
    <row r="1023" spans="1:17">
      <c r="A1023" t="s">
        <v>6523</v>
      </c>
      <c r="B1023" t="s">
        <v>64</v>
      </c>
      <c r="C1023" t="s">
        <v>65</v>
      </c>
      <c r="D1023" t="s">
        <v>550</v>
      </c>
      <c r="E1023" t="s">
        <v>551</v>
      </c>
      <c r="F1023" t="s">
        <v>2151</v>
      </c>
      <c r="G1023">
        <v>1584</v>
      </c>
      <c r="H1023" t="s">
        <v>951</v>
      </c>
      <c r="I1023">
        <v>46273</v>
      </c>
      <c r="J1023" t="s">
        <v>6524</v>
      </c>
      <c r="K1023" s="1401">
        <v>46271</v>
      </c>
      <c r="L1023" s="1401">
        <v>46316</v>
      </c>
      <c r="M1023" s="1401"/>
      <c r="N1023" s="1401"/>
      <c r="O1023" t="s">
        <v>10683</v>
      </c>
      <c r="P1023" s="1401" t="s">
        <v>2525</v>
      </c>
      <c r="Q1023" s="1401">
        <v>46324</v>
      </c>
    </row>
    <row r="1024" spans="1:17">
      <c r="A1024" t="s">
        <v>6310</v>
      </c>
      <c r="B1024" t="s">
        <v>64</v>
      </c>
      <c r="C1024" t="s">
        <v>65</v>
      </c>
      <c r="D1024" t="s">
        <v>550</v>
      </c>
      <c r="E1024" t="s">
        <v>551</v>
      </c>
      <c r="F1024" t="s">
        <v>2151</v>
      </c>
      <c r="G1024">
        <v>3168</v>
      </c>
      <c r="H1024" t="s">
        <v>951</v>
      </c>
      <c r="I1024">
        <v>46271</v>
      </c>
      <c r="J1024" t="s">
        <v>6311</v>
      </c>
      <c r="K1024" s="1401">
        <v>46260</v>
      </c>
      <c r="L1024" s="1401">
        <v>46309</v>
      </c>
      <c r="M1024" s="1401"/>
      <c r="N1024" s="1401"/>
      <c r="O1024" t="s">
        <v>10683</v>
      </c>
      <c r="P1024" s="1401" t="s">
        <v>2525</v>
      </c>
      <c r="Q1024" s="1401">
        <v>46317</v>
      </c>
    </row>
    <row r="1025" spans="1:17">
      <c r="A1025" t="s">
        <v>6629</v>
      </c>
      <c r="B1025" t="s">
        <v>64</v>
      </c>
      <c r="C1025" t="s">
        <v>65</v>
      </c>
      <c r="D1025" t="s">
        <v>4531</v>
      </c>
      <c r="E1025" t="s">
        <v>706</v>
      </c>
      <c r="F1025" t="s">
        <v>707</v>
      </c>
      <c r="G1025">
        <v>4320</v>
      </c>
      <c r="H1025" t="s">
        <v>951</v>
      </c>
      <c r="I1025">
        <v>46275</v>
      </c>
      <c r="J1025" t="s">
        <v>6632</v>
      </c>
      <c r="K1025" s="1401">
        <v>46280</v>
      </c>
      <c r="L1025" s="1401">
        <v>46328</v>
      </c>
      <c r="M1025" s="1401">
        <v>46336.791666666664</v>
      </c>
      <c r="N1025" s="1401" t="s">
        <v>2525</v>
      </c>
      <c r="O1025" t="s">
        <v>10683</v>
      </c>
      <c r="P1025" s="1401" t="s">
        <v>2525</v>
      </c>
      <c r="Q1025" s="1401">
        <v>46344.791666666664</v>
      </c>
    </row>
    <row r="1026" spans="1:17">
      <c r="A1026" t="s">
        <v>6809</v>
      </c>
      <c r="B1026" t="s">
        <v>64</v>
      </c>
      <c r="C1026" t="s">
        <v>65</v>
      </c>
      <c r="D1026" t="s">
        <v>4531</v>
      </c>
      <c r="E1026" t="s">
        <v>706</v>
      </c>
      <c r="F1026" t="s">
        <v>707</v>
      </c>
      <c r="G1026">
        <v>3456</v>
      </c>
      <c r="H1026" t="s">
        <v>951</v>
      </c>
      <c r="I1026">
        <v>46274</v>
      </c>
      <c r="J1026" t="s">
        <v>6811</v>
      </c>
      <c r="K1026" s="1401">
        <v>46279</v>
      </c>
      <c r="L1026" s="1401">
        <v>46349</v>
      </c>
      <c r="M1026" s="1401">
        <v>46349.791666666664</v>
      </c>
      <c r="N1026" s="1401" t="s">
        <v>2525</v>
      </c>
      <c r="O1026" t="s">
        <v>10683</v>
      </c>
      <c r="P1026" s="1401" t="s">
        <v>2525</v>
      </c>
      <c r="Q1026" s="1401">
        <v>46357.791666666664</v>
      </c>
    </row>
    <row r="1027" spans="1:17">
      <c r="A1027" t="s">
        <v>6815</v>
      </c>
      <c r="B1027" t="s">
        <v>64</v>
      </c>
      <c r="C1027" t="s">
        <v>65</v>
      </c>
      <c r="D1027" t="s">
        <v>4531</v>
      </c>
      <c r="E1027" t="s">
        <v>706</v>
      </c>
      <c r="F1027" t="s">
        <v>707</v>
      </c>
      <c r="G1027">
        <v>1728</v>
      </c>
      <c r="H1027" t="s">
        <v>951</v>
      </c>
      <c r="I1027">
        <v>46274</v>
      </c>
      <c r="J1027" t="s">
        <v>6816</v>
      </c>
      <c r="K1027" s="1401">
        <v>46279</v>
      </c>
      <c r="L1027" s="1401">
        <v>46337</v>
      </c>
      <c r="M1027" s="1401">
        <v>46337.25</v>
      </c>
      <c r="N1027" s="1401" t="s">
        <v>2525</v>
      </c>
      <c r="O1027" t="s">
        <v>10683</v>
      </c>
      <c r="P1027" s="1401" t="s">
        <v>2525</v>
      </c>
      <c r="Q1027" s="1401">
        <v>46345.25</v>
      </c>
    </row>
    <row r="1028" spans="1:17">
      <c r="A1028" t="s">
        <v>6636</v>
      </c>
      <c r="B1028" t="s">
        <v>64</v>
      </c>
      <c r="C1028" t="s">
        <v>65</v>
      </c>
      <c r="D1028" t="s">
        <v>4531</v>
      </c>
      <c r="E1028" t="s">
        <v>691</v>
      </c>
      <c r="F1028" t="s">
        <v>692</v>
      </c>
      <c r="G1028">
        <v>3456</v>
      </c>
      <c r="H1028" t="s">
        <v>951</v>
      </c>
      <c r="I1028">
        <v>46275</v>
      </c>
      <c r="J1028" t="s">
        <v>6638</v>
      </c>
      <c r="K1028" s="1401">
        <v>46280</v>
      </c>
      <c r="L1028" s="1401">
        <v>46328</v>
      </c>
      <c r="M1028" s="1401">
        <v>46336.791666666664</v>
      </c>
      <c r="N1028" s="1401" t="s">
        <v>2525</v>
      </c>
      <c r="O1028" t="s">
        <v>10683</v>
      </c>
      <c r="P1028" s="1401" t="s">
        <v>2525</v>
      </c>
      <c r="Q1028" s="1401">
        <v>46344.791666666664</v>
      </c>
    </row>
    <row r="1029" spans="1:17">
      <c r="A1029" t="s">
        <v>6715</v>
      </c>
      <c r="B1029" t="s">
        <v>64</v>
      </c>
      <c r="C1029" t="s">
        <v>100</v>
      </c>
      <c r="D1029" t="s">
        <v>284</v>
      </c>
      <c r="E1029" t="s">
        <v>6159</v>
      </c>
      <c r="F1029" t="s">
        <v>1570</v>
      </c>
      <c r="G1029">
        <v>5760</v>
      </c>
      <c r="H1029" t="s">
        <v>951</v>
      </c>
      <c r="I1029">
        <v>46269</v>
      </c>
      <c r="J1029" t="s">
        <v>6716</v>
      </c>
      <c r="K1029" s="1401">
        <v>46276</v>
      </c>
      <c r="L1029" s="1401">
        <v>46321</v>
      </c>
      <c r="M1029" s="1401">
        <v>46321.958333333336</v>
      </c>
      <c r="N1029" s="1401" t="s">
        <v>2525</v>
      </c>
      <c r="O1029" t="s">
        <v>10683</v>
      </c>
      <c r="P1029" s="1401" t="s">
        <v>2525</v>
      </c>
      <c r="Q1029" s="1401">
        <v>46328.958333333336</v>
      </c>
    </row>
    <row r="1030" spans="1:17">
      <c r="A1030" t="s">
        <v>6730</v>
      </c>
      <c r="B1030" t="s">
        <v>144</v>
      </c>
      <c r="C1030" t="s">
        <v>145</v>
      </c>
      <c r="D1030" t="s">
        <v>4531</v>
      </c>
      <c r="E1030" t="s">
        <v>71</v>
      </c>
      <c r="F1030" t="s">
        <v>72</v>
      </c>
      <c r="G1030">
        <v>4320</v>
      </c>
      <c r="I1030">
        <v>46276</v>
      </c>
      <c r="J1030" t="s">
        <v>6734</v>
      </c>
      <c r="K1030" s="1401">
        <v>46279</v>
      </c>
      <c r="L1030" s="1401">
        <v>46330</v>
      </c>
      <c r="M1030" s="1401">
        <v>46330.25</v>
      </c>
      <c r="N1030" s="1401" t="s">
        <v>2525</v>
      </c>
      <c r="O1030" t="s">
        <v>10683</v>
      </c>
      <c r="P1030" s="1401" t="s">
        <v>2525</v>
      </c>
      <c r="Q1030" s="1401">
        <v>46330.25</v>
      </c>
    </row>
    <row r="1031" spans="1:17">
      <c r="A1031" t="s">
        <v>6877</v>
      </c>
      <c r="B1031" t="s">
        <v>64</v>
      </c>
      <c r="C1031" t="s">
        <v>114</v>
      </c>
      <c r="D1031" t="s">
        <v>550</v>
      </c>
      <c r="E1031" t="s">
        <v>2134</v>
      </c>
      <c r="F1031" t="s">
        <v>2135</v>
      </c>
      <c r="G1031">
        <v>792</v>
      </c>
      <c r="H1031" t="s">
        <v>951</v>
      </c>
      <c r="I1031">
        <v>46282</v>
      </c>
      <c r="J1031" t="s">
        <v>6878</v>
      </c>
      <c r="K1031" s="1401">
        <v>46292</v>
      </c>
      <c r="L1031" s="1401">
        <v>46345</v>
      </c>
      <c r="M1031" s="1401">
        <v>46346.541666666664</v>
      </c>
      <c r="N1031" s="1401" t="s">
        <v>2525</v>
      </c>
      <c r="O1031" t="s">
        <v>10683</v>
      </c>
      <c r="P1031" s="1401" t="s">
        <v>2525</v>
      </c>
      <c r="Q1031" s="1401">
        <v>46355.541666666664</v>
      </c>
    </row>
    <row r="1032" spans="1:17">
      <c r="A1032" t="s">
        <v>6866</v>
      </c>
      <c r="B1032" t="s">
        <v>64</v>
      </c>
      <c r="C1032" t="s">
        <v>65</v>
      </c>
      <c r="D1032" t="s">
        <v>550</v>
      </c>
      <c r="E1032" t="s">
        <v>551</v>
      </c>
      <c r="F1032" t="s">
        <v>2151</v>
      </c>
      <c r="G1032">
        <v>3168</v>
      </c>
      <c r="H1032" t="s">
        <v>951</v>
      </c>
      <c r="I1032">
        <v>46282</v>
      </c>
      <c r="J1032" t="s">
        <v>6867</v>
      </c>
      <c r="K1032" s="1401">
        <v>46292</v>
      </c>
      <c r="L1032" s="1401">
        <v>46342</v>
      </c>
      <c r="M1032" s="1401">
        <v>46343.75</v>
      </c>
      <c r="N1032" s="1401" t="s">
        <v>2525</v>
      </c>
      <c r="O1032" t="s">
        <v>10683</v>
      </c>
      <c r="P1032" s="1401" t="s">
        <v>2525</v>
      </c>
      <c r="Q1032" s="1401">
        <v>46351.75</v>
      </c>
    </row>
    <row r="1033" spans="1:17">
      <c r="A1033" t="s">
        <v>6846</v>
      </c>
      <c r="B1033" t="s">
        <v>144</v>
      </c>
      <c r="C1033" t="s">
        <v>145</v>
      </c>
      <c r="D1033" t="s">
        <v>284</v>
      </c>
      <c r="E1033" t="s">
        <v>6847</v>
      </c>
      <c r="F1033" t="s">
        <v>6848</v>
      </c>
      <c r="G1033">
        <v>1872</v>
      </c>
      <c r="H1033" t="s">
        <v>951</v>
      </c>
      <c r="I1033">
        <v>46279</v>
      </c>
      <c r="J1033" t="s">
        <v>6849</v>
      </c>
      <c r="K1033" s="1401">
        <v>46288</v>
      </c>
      <c r="L1033" s="1401">
        <v>46324</v>
      </c>
      <c r="M1033" s="1401">
        <v>46324.854166666664</v>
      </c>
      <c r="N1033" s="1401" t="s">
        <v>2525</v>
      </c>
      <c r="O1033" t="s">
        <v>10683</v>
      </c>
      <c r="P1033" s="1401" t="s">
        <v>2525</v>
      </c>
      <c r="Q1033" s="1401">
        <v>46324.854166666664</v>
      </c>
    </row>
    <row r="1034" spans="1:17">
      <c r="A1034" t="s">
        <v>6838</v>
      </c>
      <c r="B1034" t="s">
        <v>144</v>
      </c>
      <c r="C1034" t="s">
        <v>145</v>
      </c>
      <c r="D1034" t="s">
        <v>284</v>
      </c>
      <c r="E1034" t="s">
        <v>6840</v>
      </c>
      <c r="F1034" t="s">
        <v>6841</v>
      </c>
      <c r="G1034">
        <v>8424</v>
      </c>
      <c r="H1034" t="s">
        <v>951</v>
      </c>
      <c r="I1034">
        <v>46279</v>
      </c>
      <c r="J1034" t="s">
        <v>6843</v>
      </c>
      <c r="K1034" s="1401">
        <v>46288</v>
      </c>
      <c r="L1034" s="1401">
        <v>46324</v>
      </c>
      <c r="M1034" s="1401">
        <v>46324.854166666664</v>
      </c>
      <c r="N1034" s="1401" t="s">
        <v>2525</v>
      </c>
      <c r="O1034" t="s">
        <v>10683</v>
      </c>
      <c r="P1034" s="1401" t="s">
        <v>2525</v>
      </c>
      <c r="Q1034" s="1401">
        <v>46324.854166666664</v>
      </c>
    </row>
    <row r="1035" spans="1:17">
      <c r="A1035" t="s">
        <v>6783</v>
      </c>
      <c r="B1035" t="s">
        <v>144</v>
      </c>
      <c r="C1035" t="s">
        <v>145</v>
      </c>
      <c r="D1035" t="s">
        <v>4531</v>
      </c>
      <c r="E1035" t="s">
        <v>6461</v>
      </c>
      <c r="F1035" t="s">
        <v>4598</v>
      </c>
      <c r="G1035">
        <v>4320</v>
      </c>
      <c r="H1035" t="s">
        <v>951</v>
      </c>
      <c r="I1035">
        <v>46281</v>
      </c>
      <c r="J1035" t="s">
        <v>6784</v>
      </c>
      <c r="K1035" s="1401">
        <v>46284</v>
      </c>
      <c r="L1035" s="1401">
        <v>46316</v>
      </c>
      <c r="M1035" s="1401">
        <v>46323</v>
      </c>
      <c r="N1035" s="1401"/>
      <c r="O1035" t="s">
        <v>10683</v>
      </c>
      <c r="P1035" s="1401" t="s">
        <v>2525</v>
      </c>
      <c r="Q1035" s="1401">
        <v>46323</v>
      </c>
    </row>
    <row r="1036" spans="1:17">
      <c r="A1036" t="s">
        <v>6738</v>
      </c>
      <c r="B1036" t="s">
        <v>64</v>
      </c>
      <c r="C1036" t="s">
        <v>100</v>
      </c>
      <c r="D1036" t="s">
        <v>132</v>
      </c>
      <c r="E1036" t="s">
        <v>1062</v>
      </c>
      <c r="F1036" t="s">
        <v>1063</v>
      </c>
      <c r="G1036">
        <v>4320</v>
      </c>
      <c r="I1036">
        <v>46280</v>
      </c>
      <c r="J1036" t="s">
        <v>6739</v>
      </c>
      <c r="K1036" s="1401">
        <v>46279</v>
      </c>
      <c r="L1036" s="1401">
        <v>46319</v>
      </c>
      <c r="M1036" s="1401"/>
      <c r="N1036" s="1401"/>
      <c r="O1036" t="s">
        <v>10683</v>
      </c>
      <c r="P1036" s="1401" t="s">
        <v>2525</v>
      </c>
      <c r="Q1036" s="1401">
        <v>46326</v>
      </c>
    </row>
    <row r="1037" spans="1:17">
      <c r="A1037" t="s">
        <v>6746</v>
      </c>
      <c r="B1037" t="s">
        <v>64</v>
      </c>
      <c r="C1037" t="s">
        <v>100</v>
      </c>
      <c r="D1037" t="s">
        <v>132</v>
      </c>
      <c r="E1037" t="s">
        <v>1062</v>
      </c>
      <c r="F1037" t="s">
        <v>1063</v>
      </c>
      <c r="G1037">
        <v>1728</v>
      </c>
      <c r="I1037">
        <v>46280</v>
      </c>
      <c r="J1037" t="s">
        <v>6747</v>
      </c>
      <c r="K1037" s="1401">
        <v>46279</v>
      </c>
      <c r="L1037" s="1401">
        <v>46319</v>
      </c>
      <c r="M1037" s="1401" t="s">
        <v>2525</v>
      </c>
      <c r="N1037" s="1401" t="s">
        <v>2525</v>
      </c>
      <c r="O1037" t="s">
        <v>10683</v>
      </c>
      <c r="P1037" s="1401" t="s">
        <v>2525</v>
      </c>
      <c r="Q1037" s="1401">
        <v>46326</v>
      </c>
    </row>
    <row r="1038" spans="1:17">
      <c r="A1038" t="s">
        <v>6779</v>
      </c>
      <c r="B1038" t="s">
        <v>144</v>
      </c>
      <c r="C1038" t="s">
        <v>145</v>
      </c>
      <c r="D1038" t="s">
        <v>4531</v>
      </c>
      <c r="E1038" t="s">
        <v>6483</v>
      </c>
      <c r="F1038" t="s">
        <v>103</v>
      </c>
      <c r="G1038">
        <v>2880</v>
      </c>
      <c r="H1038" t="s">
        <v>951</v>
      </c>
      <c r="I1038">
        <v>46281</v>
      </c>
      <c r="J1038" t="s">
        <v>6780</v>
      </c>
      <c r="K1038" s="1401">
        <v>46284</v>
      </c>
      <c r="L1038" s="1401">
        <v>46316</v>
      </c>
      <c r="M1038" s="1401">
        <v>46323</v>
      </c>
      <c r="N1038" s="1401"/>
      <c r="O1038" t="s">
        <v>10683</v>
      </c>
      <c r="P1038" s="1401" t="s">
        <v>2525</v>
      </c>
      <c r="Q1038" s="1401">
        <v>46323</v>
      </c>
    </row>
    <row r="1039" spans="1:17">
      <c r="A1039" t="s">
        <v>6775</v>
      </c>
      <c r="B1039" t="s">
        <v>144</v>
      </c>
      <c r="C1039" t="s">
        <v>145</v>
      </c>
      <c r="D1039" t="s">
        <v>4531</v>
      </c>
      <c r="E1039" t="s">
        <v>6483</v>
      </c>
      <c r="F1039" t="s">
        <v>103</v>
      </c>
      <c r="G1039">
        <v>7920</v>
      </c>
      <c r="H1039" t="s">
        <v>951</v>
      </c>
      <c r="I1039">
        <v>46277</v>
      </c>
      <c r="J1039" t="s">
        <v>6776</v>
      </c>
      <c r="K1039" s="1401">
        <v>46285</v>
      </c>
      <c r="L1039" s="1401">
        <v>46321</v>
      </c>
      <c r="M1039" s="1401">
        <v>46321.958333333336</v>
      </c>
      <c r="N1039" s="1401" t="s">
        <v>2525</v>
      </c>
      <c r="O1039" t="s">
        <v>10683</v>
      </c>
      <c r="P1039" s="1401" t="s">
        <v>2525</v>
      </c>
      <c r="Q1039" s="1401">
        <v>46321.958333333336</v>
      </c>
    </row>
    <row r="1040" spans="1:17">
      <c r="A1040" t="s">
        <v>6905</v>
      </c>
      <c r="B1040" t="s">
        <v>64</v>
      </c>
      <c r="C1040" t="s">
        <v>65</v>
      </c>
      <c r="D1040" t="s">
        <v>4531</v>
      </c>
      <c r="E1040" t="s">
        <v>691</v>
      </c>
      <c r="F1040" t="s">
        <v>692</v>
      </c>
      <c r="G1040">
        <v>1728</v>
      </c>
      <c r="H1040" t="s">
        <v>951</v>
      </c>
      <c r="I1040">
        <v>46279</v>
      </c>
      <c r="J1040" t="s">
        <v>6906</v>
      </c>
      <c r="K1040" s="1401">
        <v>46284</v>
      </c>
      <c r="L1040" s="1401">
        <v>46344</v>
      </c>
      <c r="M1040" s="1401">
        <v>46344.25</v>
      </c>
      <c r="N1040" s="1401" t="s">
        <v>2525</v>
      </c>
      <c r="O1040" t="s">
        <v>10683</v>
      </c>
      <c r="P1040" s="1401" t="s">
        <v>2525</v>
      </c>
      <c r="Q1040" s="1401">
        <v>46352.25</v>
      </c>
    </row>
    <row r="1041" spans="1:17">
      <c r="A1041" t="s">
        <v>6660</v>
      </c>
      <c r="B1041" t="s">
        <v>64</v>
      </c>
      <c r="C1041" t="s">
        <v>65</v>
      </c>
      <c r="D1041" t="s">
        <v>4531</v>
      </c>
      <c r="E1041" t="s">
        <v>691</v>
      </c>
      <c r="F1041" t="s">
        <v>692</v>
      </c>
      <c r="G1041">
        <v>864</v>
      </c>
      <c r="H1041" t="s">
        <v>951</v>
      </c>
      <c r="I1041">
        <v>46276</v>
      </c>
      <c r="J1041" t="s">
        <v>6662</v>
      </c>
      <c r="K1041" s="1401">
        <v>46280</v>
      </c>
      <c r="L1041" s="1401">
        <v>46323</v>
      </c>
      <c r="M1041" s="1401">
        <v>46323.25</v>
      </c>
      <c r="N1041" s="1401" t="s">
        <v>2525</v>
      </c>
      <c r="O1041" t="s">
        <v>10683</v>
      </c>
      <c r="P1041" s="1401" t="s">
        <v>2525</v>
      </c>
      <c r="Q1041" s="1401">
        <v>46331.25</v>
      </c>
    </row>
    <row r="1042" spans="1:17">
      <c r="A1042" t="s">
        <v>6785</v>
      </c>
      <c r="B1042" t="s">
        <v>64</v>
      </c>
      <c r="C1042" t="s">
        <v>65</v>
      </c>
      <c r="D1042" t="s">
        <v>4531</v>
      </c>
      <c r="E1042" t="s">
        <v>691</v>
      </c>
      <c r="F1042" t="s">
        <v>692</v>
      </c>
      <c r="G1042">
        <v>4320</v>
      </c>
      <c r="H1042" t="s">
        <v>951</v>
      </c>
      <c r="I1042">
        <v>46276</v>
      </c>
      <c r="J1042" t="s">
        <v>6786</v>
      </c>
      <c r="K1042" s="1401">
        <v>46282</v>
      </c>
      <c r="L1042" s="1401">
        <v>46323</v>
      </c>
      <c r="M1042" s="1401">
        <v>46323.25</v>
      </c>
      <c r="N1042" s="1401" t="s">
        <v>2525</v>
      </c>
      <c r="O1042" t="s">
        <v>10683</v>
      </c>
      <c r="P1042" s="1401" t="s">
        <v>2525</v>
      </c>
      <c r="Q1042" s="1401">
        <v>46331.25</v>
      </c>
    </row>
    <row r="1043" spans="1:17">
      <c r="A1043" t="s">
        <v>6861</v>
      </c>
      <c r="B1043" t="s">
        <v>64</v>
      </c>
      <c r="C1043" t="s">
        <v>65</v>
      </c>
      <c r="D1043" t="s">
        <v>4531</v>
      </c>
      <c r="E1043" t="s">
        <v>706</v>
      </c>
      <c r="F1043" t="s">
        <v>707</v>
      </c>
      <c r="G1043">
        <v>3456</v>
      </c>
      <c r="H1043" t="s">
        <v>951</v>
      </c>
      <c r="I1043">
        <v>46279</v>
      </c>
      <c r="J1043" t="s">
        <v>6862</v>
      </c>
      <c r="K1043" s="1401">
        <v>46288</v>
      </c>
      <c r="L1043" s="1401">
        <v>46330</v>
      </c>
      <c r="M1043" s="1401">
        <v>46330.25</v>
      </c>
      <c r="N1043" s="1401" t="s">
        <v>2525</v>
      </c>
      <c r="O1043" t="s">
        <v>10683</v>
      </c>
      <c r="P1043" s="1401" t="s">
        <v>2525</v>
      </c>
      <c r="Q1043" s="1401">
        <v>46338.25</v>
      </c>
    </row>
    <row r="1044" spans="1:17">
      <c r="A1044" t="s">
        <v>6757</v>
      </c>
      <c r="B1044" t="s">
        <v>64</v>
      </c>
      <c r="C1044" t="s">
        <v>100</v>
      </c>
      <c r="D1044" t="s">
        <v>132</v>
      </c>
      <c r="E1044" t="s">
        <v>1062</v>
      </c>
      <c r="F1044" t="s">
        <v>1063</v>
      </c>
      <c r="G1044">
        <v>3456</v>
      </c>
      <c r="I1044">
        <v>46280</v>
      </c>
      <c r="J1044" t="s">
        <v>6758</v>
      </c>
      <c r="K1044" s="1401">
        <v>46279</v>
      </c>
      <c r="L1044" s="1401">
        <v>46319</v>
      </c>
      <c r="M1044" s="1401"/>
      <c r="N1044" s="1401"/>
      <c r="O1044" t="s">
        <v>10683</v>
      </c>
      <c r="P1044" s="1401" t="s">
        <v>2525</v>
      </c>
      <c r="Q1044" s="1401">
        <v>46326</v>
      </c>
    </row>
    <row r="1045" spans="1:17">
      <c r="A1045" t="s">
        <v>6900</v>
      </c>
      <c r="B1045" t="s">
        <v>64</v>
      </c>
      <c r="C1045" t="s">
        <v>100</v>
      </c>
      <c r="D1045" t="s">
        <v>284</v>
      </c>
      <c r="E1045" t="s">
        <v>6159</v>
      </c>
      <c r="F1045" t="s">
        <v>1570</v>
      </c>
      <c r="G1045">
        <v>5760</v>
      </c>
      <c r="H1045" t="s">
        <v>951</v>
      </c>
      <c r="I1045">
        <v>46279</v>
      </c>
      <c r="J1045" t="s">
        <v>6901</v>
      </c>
      <c r="K1045" s="1401">
        <v>46284</v>
      </c>
      <c r="L1045" s="1401">
        <v>46329</v>
      </c>
      <c r="M1045" s="1401">
        <v>46329.333333333336</v>
      </c>
      <c r="N1045" s="1401" t="s">
        <v>2525</v>
      </c>
      <c r="O1045" t="s">
        <v>10683</v>
      </c>
      <c r="P1045" s="1401" t="s">
        <v>2525</v>
      </c>
      <c r="Q1045" s="1401">
        <v>46336.333333333336</v>
      </c>
    </row>
    <row r="1046" spans="1:17">
      <c r="A1046" t="s">
        <v>6754</v>
      </c>
      <c r="B1046" t="s">
        <v>64</v>
      </c>
      <c r="C1046" t="s">
        <v>100</v>
      </c>
      <c r="D1046" t="s">
        <v>5379</v>
      </c>
      <c r="E1046" t="s">
        <v>6678</v>
      </c>
      <c r="F1046" t="s">
        <v>6679</v>
      </c>
      <c r="G1046">
        <v>936</v>
      </c>
      <c r="H1046" t="s">
        <v>951</v>
      </c>
      <c r="I1046">
        <v>46280</v>
      </c>
      <c r="J1046" t="s">
        <v>6755</v>
      </c>
      <c r="K1046" s="1401">
        <v>46279</v>
      </c>
      <c r="L1046" s="1401">
        <v>46319</v>
      </c>
      <c r="M1046" s="1401"/>
      <c r="N1046" s="1401" t="s">
        <v>2525</v>
      </c>
      <c r="O1046" t="s">
        <v>10683</v>
      </c>
      <c r="P1046" s="1401" t="s">
        <v>2525</v>
      </c>
      <c r="Q1046" s="1401">
        <v>46326</v>
      </c>
    </row>
    <row r="1047" spans="1:17">
      <c r="A1047" t="s">
        <v>6743</v>
      </c>
      <c r="B1047" t="s">
        <v>64</v>
      </c>
      <c r="C1047" t="s">
        <v>100</v>
      </c>
      <c r="D1047" t="s">
        <v>5379</v>
      </c>
      <c r="E1047" t="s">
        <v>6678</v>
      </c>
      <c r="F1047" t="s">
        <v>6679</v>
      </c>
      <c r="G1047">
        <v>2808</v>
      </c>
      <c r="H1047" t="s">
        <v>951</v>
      </c>
      <c r="I1047">
        <v>46280</v>
      </c>
      <c r="J1047" t="s">
        <v>6744</v>
      </c>
      <c r="K1047" s="1401">
        <v>46279</v>
      </c>
      <c r="L1047" s="1401">
        <v>46319</v>
      </c>
      <c r="M1047" s="1401" t="s">
        <v>2525</v>
      </c>
      <c r="N1047" s="1401" t="s">
        <v>2525</v>
      </c>
      <c r="O1047" t="s">
        <v>10683</v>
      </c>
      <c r="P1047" s="1401" t="s">
        <v>2525</v>
      </c>
      <c r="Q1047" s="1401">
        <v>46326</v>
      </c>
    </row>
    <row r="1048" spans="1:17">
      <c r="A1048" t="s">
        <v>6683</v>
      </c>
      <c r="B1048" t="s">
        <v>64</v>
      </c>
      <c r="C1048" t="s">
        <v>100</v>
      </c>
      <c r="D1048" t="s">
        <v>5379</v>
      </c>
      <c r="E1048" t="s">
        <v>6678</v>
      </c>
      <c r="F1048" t="s">
        <v>6679</v>
      </c>
      <c r="G1048">
        <v>936</v>
      </c>
      <c r="H1048" t="s">
        <v>951</v>
      </c>
      <c r="I1048">
        <v>46280</v>
      </c>
      <c r="J1048" t="s">
        <v>6684</v>
      </c>
      <c r="K1048" s="1401">
        <v>46282</v>
      </c>
      <c r="L1048" s="1401">
        <v>46315</v>
      </c>
      <c r="M1048" s="1401">
        <v>46319.875</v>
      </c>
      <c r="N1048" s="1401" t="s">
        <v>2525</v>
      </c>
      <c r="O1048" t="s">
        <v>10683</v>
      </c>
      <c r="P1048" s="1401" t="s">
        <v>2525</v>
      </c>
      <c r="Q1048" s="1401">
        <v>46326.875</v>
      </c>
    </row>
    <row r="1049" spans="1:17">
      <c r="A1049" t="s">
        <v>6677</v>
      </c>
      <c r="B1049" t="s">
        <v>64</v>
      </c>
      <c r="C1049" t="s">
        <v>100</v>
      </c>
      <c r="D1049" t="s">
        <v>5379</v>
      </c>
      <c r="E1049" t="s">
        <v>6678</v>
      </c>
      <c r="F1049" t="s">
        <v>6679</v>
      </c>
      <c r="G1049">
        <v>4680</v>
      </c>
      <c r="H1049" t="s">
        <v>951</v>
      </c>
      <c r="I1049">
        <v>46279</v>
      </c>
      <c r="J1049" t="s">
        <v>6680</v>
      </c>
      <c r="K1049" s="1401">
        <v>46280</v>
      </c>
      <c r="L1049" s="1401">
        <v>46313</v>
      </c>
      <c r="M1049" s="1401">
        <v>46317.625</v>
      </c>
      <c r="N1049" s="1401" t="s">
        <v>2525</v>
      </c>
      <c r="O1049" t="s">
        <v>10683</v>
      </c>
      <c r="P1049" s="1401" t="s">
        <v>2525</v>
      </c>
      <c r="Q1049" s="1401">
        <v>46324.625</v>
      </c>
    </row>
    <row r="1050" spans="1:17">
      <c r="A1050" t="s">
        <v>6796</v>
      </c>
      <c r="B1050" t="s">
        <v>64</v>
      </c>
      <c r="C1050" t="s">
        <v>100</v>
      </c>
      <c r="D1050" t="s">
        <v>4531</v>
      </c>
      <c r="E1050" t="s">
        <v>965</v>
      </c>
      <c r="F1050" t="s">
        <v>966</v>
      </c>
      <c r="G1050">
        <v>3744</v>
      </c>
      <c r="H1050" t="s">
        <v>951</v>
      </c>
      <c r="I1050">
        <v>46281</v>
      </c>
      <c r="J1050" t="s">
        <v>6797</v>
      </c>
      <c r="K1050" s="1401">
        <v>46287</v>
      </c>
      <c r="L1050" s="1401">
        <v>46319</v>
      </c>
      <c r="M1050" s="1401">
        <v>46321.958333333336</v>
      </c>
      <c r="N1050" s="1401" t="s">
        <v>2525</v>
      </c>
      <c r="O1050" t="s">
        <v>10683</v>
      </c>
      <c r="P1050" s="1401" t="s">
        <v>2525</v>
      </c>
      <c r="Q1050" s="1401">
        <v>46328.958333333336</v>
      </c>
    </row>
    <row r="1051" spans="1:17">
      <c r="A1051" t="s">
        <v>6805</v>
      </c>
      <c r="B1051" t="s">
        <v>64</v>
      </c>
      <c r="C1051" t="s">
        <v>100</v>
      </c>
      <c r="D1051" t="s">
        <v>132</v>
      </c>
      <c r="E1051" t="s">
        <v>1062</v>
      </c>
      <c r="F1051" t="s">
        <v>1063</v>
      </c>
      <c r="G1051">
        <v>864</v>
      </c>
      <c r="I1051">
        <v>46281</v>
      </c>
      <c r="J1051" t="s">
        <v>6806</v>
      </c>
      <c r="K1051" s="1401">
        <v>46287</v>
      </c>
      <c r="L1051" s="1401">
        <v>46319</v>
      </c>
      <c r="M1051" s="1401">
        <v>46321.958333333336</v>
      </c>
      <c r="N1051" s="1401" t="s">
        <v>2525</v>
      </c>
      <c r="O1051" t="s">
        <v>10683</v>
      </c>
      <c r="P1051" s="1401" t="s">
        <v>2525</v>
      </c>
      <c r="Q1051" s="1401">
        <v>46328.958333333336</v>
      </c>
    </row>
    <row r="1052" spans="1:17">
      <c r="A1052" t="s">
        <v>6748</v>
      </c>
      <c r="B1052" t="s">
        <v>64</v>
      </c>
      <c r="C1052" t="s">
        <v>100</v>
      </c>
      <c r="D1052" t="s">
        <v>70</v>
      </c>
      <c r="E1052" t="s">
        <v>5749</v>
      </c>
      <c r="F1052" t="s">
        <v>1484</v>
      </c>
      <c r="G1052">
        <v>2970</v>
      </c>
      <c r="H1052" t="s">
        <v>951</v>
      </c>
      <c r="I1052">
        <v>46280</v>
      </c>
      <c r="J1052" t="s">
        <v>6750</v>
      </c>
      <c r="K1052" s="1401">
        <v>46279</v>
      </c>
      <c r="L1052" s="1401">
        <v>46319</v>
      </c>
      <c r="M1052" s="1401"/>
      <c r="N1052" s="1401"/>
      <c r="O1052" t="s">
        <v>10683</v>
      </c>
      <c r="P1052" s="1401" t="s">
        <v>2525</v>
      </c>
      <c r="Q1052" s="1401">
        <v>46326</v>
      </c>
    </row>
    <row r="1053" spans="1:17">
      <c r="A1053" t="s">
        <v>6918</v>
      </c>
      <c r="B1053" t="s">
        <v>144</v>
      </c>
      <c r="C1053" t="s">
        <v>145</v>
      </c>
      <c r="D1053" t="s">
        <v>284</v>
      </c>
      <c r="E1053" t="s">
        <v>6721</v>
      </c>
      <c r="F1053" t="s">
        <v>1570</v>
      </c>
      <c r="G1053">
        <v>5760</v>
      </c>
      <c r="H1053" t="s">
        <v>951</v>
      </c>
      <c r="I1053">
        <v>46279</v>
      </c>
      <c r="J1053" t="s">
        <v>6919</v>
      </c>
      <c r="K1053" s="1401">
        <v>46287</v>
      </c>
      <c r="L1053" s="1401">
        <v>46333</v>
      </c>
      <c r="M1053" s="1401"/>
      <c r="N1053" s="1401"/>
      <c r="O1053" t="s">
        <v>10683</v>
      </c>
      <c r="P1053" s="1401" t="s">
        <v>2525</v>
      </c>
      <c r="Q1053" s="1401">
        <v>46333</v>
      </c>
    </row>
    <row r="1054" spans="1:17">
      <c r="A1054" t="s">
        <v>6915</v>
      </c>
      <c r="B1054" t="s">
        <v>144</v>
      </c>
      <c r="C1054" t="s">
        <v>145</v>
      </c>
      <c r="D1054" t="s">
        <v>284</v>
      </c>
      <c r="E1054" t="s">
        <v>6721</v>
      </c>
      <c r="F1054" t="s">
        <v>1570</v>
      </c>
      <c r="G1054">
        <v>5040</v>
      </c>
      <c r="H1054" t="s">
        <v>951</v>
      </c>
      <c r="I1054">
        <v>46278</v>
      </c>
      <c r="J1054" t="s">
        <v>6916</v>
      </c>
      <c r="K1054" s="1401">
        <v>46287</v>
      </c>
      <c r="L1054" s="1401">
        <v>46333</v>
      </c>
      <c r="M1054" s="1401"/>
      <c r="N1054" s="1401"/>
      <c r="O1054" t="s">
        <v>10683</v>
      </c>
      <c r="P1054" s="1401" t="s">
        <v>2525</v>
      </c>
      <c r="Q1054" s="1401">
        <v>46333</v>
      </c>
    </row>
    <row r="1055" spans="1:17">
      <c r="A1055" t="s">
        <v>6909</v>
      </c>
      <c r="B1055" t="s">
        <v>144</v>
      </c>
      <c r="C1055" t="s">
        <v>145</v>
      </c>
      <c r="D1055" t="s">
        <v>284</v>
      </c>
      <c r="E1055" t="s">
        <v>6721</v>
      </c>
      <c r="F1055" t="s">
        <v>1570</v>
      </c>
      <c r="G1055">
        <v>10800</v>
      </c>
      <c r="H1055" t="s">
        <v>951</v>
      </c>
      <c r="I1055">
        <v>46278</v>
      </c>
      <c r="J1055" t="s">
        <v>6910</v>
      </c>
      <c r="K1055" s="1401">
        <v>46287</v>
      </c>
      <c r="L1055" s="1401">
        <v>46333</v>
      </c>
      <c r="M1055" s="1401"/>
      <c r="N1055" s="1401"/>
      <c r="O1055" t="s">
        <v>10683</v>
      </c>
      <c r="P1055" s="1401" t="s">
        <v>2525</v>
      </c>
      <c r="Q1055" s="1401">
        <v>46333</v>
      </c>
    </row>
    <row r="1056" spans="1:17">
      <c r="A1056" t="s">
        <v>6690</v>
      </c>
      <c r="B1056" t="s">
        <v>64</v>
      </c>
      <c r="C1056" t="s">
        <v>100</v>
      </c>
      <c r="D1056" t="s">
        <v>132</v>
      </c>
      <c r="E1056" t="s">
        <v>1062</v>
      </c>
      <c r="F1056" t="s">
        <v>1063</v>
      </c>
      <c r="G1056">
        <v>864</v>
      </c>
      <c r="I1056">
        <v>46280</v>
      </c>
      <c r="J1056" t="s">
        <v>6691</v>
      </c>
      <c r="K1056" s="1401">
        <v>46282</v>
      </c>
      <c r="L1056" s="1401">
        <v>46315</v>
      </c>
      <c r="M1056" s="1401">
        <v>46319.875</v>
      </c>
      <c r="N1056" s="1401" t="s">
        <v>2525</v>
      </c>
      <c r="O1056" t="s">
        <v>10683</v>
      </c>
      <c r="P1056" s="1401" t="s">
        <v>2525</v>
      </c>
      <c r="Q1056" s="1401">
        <v>46326.875</v>
      </c>
    </row>
    <row r="1057" spans="1:17">
      <c r="A1057" t="s">
        <v>6870</v>
      </c>
      <c r="B1057" t="s">
        <v>64</v>
      </c>
      <c r="C1057" t="s">
        <v>114</v>
      </c>
      <c r="D1057" t="s">
        <v>4531</v>
      </c>
      <c r="E1057" t="s">
        <v>6235</v>
      </c>
      <c r="F1057" t="s">
        <v>330</v>
      </c>
      <c r="G1057">
        <v>720</v>
      </c>
      <c r="H1057" t="s">
        <v>951</v>
      </c>
      <c r="I1057">
        <v>46282</v>
      </c>
      <c r="J1057" t="s">
        <v>6874</v>
      </c>
      <c r="K1057" s="1401">
        <v>46292</v>
      </c>
      <c r="L1057" s="1401">
        <v>46345</v>
      </c>
      <c r="M1057" s="1401">
        <v>46346.541666666664</v>
      </c>
      <c r="N1057" s="1401" t="s">
        <v>2525</v>
      </c>
      <c r="O1057" t="s">
        <v>10683</v>
      </c>
      <c r="P1057" s="1401" t="s">
        <v>2525</v>
      </c>
      <c r="Q1057" s="1401">
        <v>46355.541666666664</v>
      </c>
    </row>
    <row r="1058" spans="1:17">
      <c r="A1058" t="s">
        <v>6652</v>
      </c>
      <c r="B1058" t="s">
        <v>144</v>
      </c>
      <c r="C1058" t="s">
        <v>145</v>
      </c>
      <c r="D1058" t="s">
        <v>4531</v>
      </c>
      <c r="E1058" t="s">
        <v>6235</v>
      </c>
      <c r="F1058" t="s">
        <v>330</v>
      </c>
      <c r="G1058">
        <v>5760</v>
      </c>
      <c r="H1058" t="s">
        <v>951</v>
      </c>
      <c r="I1058">
        <v>46277</v>
      </c>
      <c r="J1058" t="s">
        <v>6657</v>
      </c>
      <c r="K1058" s="1401">
        <v>46280</v>
      </c>
      <c r="L1058" s="1401">
        <v>46324</v>
      </c>
      <c r="M1058" s="1401">
        <v>46325</v>
      </c>
      <c r="N1058" s="1401"/>
      <c r="O1058" t="s">
        <v>10683</v>
      </c>
      <c r="P1058" s="1401" t="s">
        <v>2525</v>
      </c>
      <c r="Q1058" s="1401">
        <v>46325</v>
      </c>
    </row>
    <row r="1059" spans="1:17">
      <c r="A1059" t="s">
        <v>6790</v>
      </c>
      <c r="B1059" t="s">
        <v>144</v>
      </c>
      <c r="C1059" t="s">
        <v>145</v>
      </c>
      <c r="D1059" t="s">
        <v>4531</v>
      </c>
      <c r="E1059" t="s">
        <v>6235</v>
      </c>
      <c r="F1059" t="s">
        <v>330</v>
      </c>
      <c r="G1059">
        <v>10080</v>
      </c>
      <c r="H1059" t="s">
        <v>951</v>
      </c>
      <c r="I1059">
        <v>46280</v>
      </c>
      <c r="J1059" t="s">
        <v>6792</v>
      </c>
      <c r="K1059" s="1401">
        <v>46280</v>
      </c>
      <c r="L1059" s="1401">
        <v>46332</v>
      </c>
      <c r="M1059" s="1401"/>
      <c r="N1059" s="1401"/>
      <c r="O1059" t="s">
        <v>10683</v>
      </c>
      <c r="P1059" s="1401" t="s">
        <v>2525</v>
      </c>
      <c r="Q1059" s="1401">
        <v>46332</v>
      </c>
    </row>
    <row r="1060" spans="1:17">
      <c r="A1060" t="s">
        <v>6833</v>
      </c>
      <c r="B1060" t="s">
        <v>64</v>
      </c>
      <c r="C1060" t="s">
        <v>100</v>
      </c>
      <c r="D1060" t="s">
        <v>4531</v>
      </c>
      <c r="E1060" t="s">
        <v>6235</v>
      </c>
      <c r="F1060" t="s">
        <v>330</v>
      </c>
      <c r="G1060">
        <v>3600</v>
      </c>
      <c r="H1060" t="s">
        <v>951</v>
      </c>
      <c r="I1060">
        <v>46279</v>
      </c>
      <c r="J1060" t="s">
        <v>6834</v>
      </c>
      <c r="K1060" s="1401">
        <v>46287</v>
      </c>
      <c r="L1060" s="1401">
        <v>46323</v>
      </c>
      <c r="M1060" s="1401">
        <v>46332.875</v>
      </c>
      <c r="N1060" s="1401" t="s">
        <v>2525</v>
      </c>
      <c r="O1060" t="s">
        <v>10683</v>
      </c>
      <c r="P1060" s="1401" t="s">
        <v>2525</v>
      </c>
      <c r="Q1060" s="1401">
        <v>46339.875</v>
      </c>
    </row>
    <row r="1061" spans="1:17">
      <c r="A1061" t="s">
        <v>6688</v>
      </c>
      <c r="B1061" t="s">
        <v>64</v>
      </c>
      <c r="C1061" t="s">
        <v>100</v>
      </c>
      <c r="D1061" t="s">
        <v>4531</v>
      </c>
      <c r="E1061" t="s">
        <v>6235</v>
      </c>
      <c r="F1061" t="s">
        <v>330</v>
      </c>
      <c r="G1061">
        <v>720</v>
      </c>
      <c r="H1061" t="s">
        <v>951</v>
      </c>
      <c r="I1061">
        <v>46280</v>
      </c>
      <c r="J1061" t="s">
        <v>6689</v>
      </c>
      <c r="K1061" s="1401">
        <v>46282</v>
      </c>
      <c r="L1061" s="1401">
        <v>46315</v>
      </c>
      <c r="M1061" s="1401">
        <v>46319.875</v>
      </c>
      <c r="N1061" s="1401" t="s">
        <v>2525</v>
      </c>
      <c r="O1061" t="s">
        <v>10683</v>
      </c>
      <c r="P1061" s="1401" t="s">
        <v>2525</v>
      </c>
      <c r="Q1061" s="1401">
        <v>46326.875</v>
      </c>
    </row>
    <row r="1062" spans="1:17">
      <c r="A1062" t="s">
        <v>6920</v>
      </c>
      <c r="B1062" t="s">
        <v>144</v>
      </c>
      <c r="C1062" t="s">
        <v>145</v>
      </c>
      <c r="D1062" t="s">
        <v>284</v>
      </c>
      <c r="E1062" t="s">
        <v>6721</v>
      </c>
      <c r="F1062" t="s">
        <v>1570</v>
      </c>
      <c r="G1062">
        <v>6480</v>
      </c>
      <c r="H1062" t="s">
        <v>951</v>
      </c>
      <c r="I1062">
        <v>46284</v>
      </c>
      <c r="J1062" t="s">
        <v>6921</v>
      </c>
      <c r="K1062" s="1401">
        <v>46286</v>
      </c>
      <c r="L1062" s="1401">
        <v>46340</v>
      </c>
      <c r="M1062" s="1401">
        <v>46330</v>
      </c>
      <c r="N1062" s="1401"/>
      <c r="O1062" t="s">
        <v>10683</v>
      </c>
      <c r="P1062" s="1401" t="s">
        <v>2525</v>
      </c>
      <c r="Q1062" s="1401">
        <v>46330</v>
      </c>
    </row>
    <row r="1063" spans="1:17">
      <c r="A1063" t="s">
        <v>6928</v>
      </c>
      <c r="B1063" t="s">
        <v>144</v>
      </c>
      <c r="C1063" t="s">
        <v>145</v>
      </c>
      <c r="D1063" t="s">
        <v>4531</v>
      </c>
      <c r="E1063" t="s">
        <v>6461</v>
      </c>
      <c r="F1063" t="s">
        <v>4598</v>
      </c>
      <c r="G1063">
        <v>7920</v>
      </c>
      <c r="H1063" t="s">
        <v>951</v>
      </c>
      <c r="I1063">
        <v>46284</v>
      </c>
      <c r="J1063" t="s">
        <v>6929</v>
      </c>
      <c r="K1063" s="1401">
        <v>46288</v>
      </c>
      <c r="L1063" s="1401">
        <v>46326</v>
      </c>
      <c r="M1063" s="1401"/>
      <c r="N1063" s="1401" t="s">
        <v>2525</v>
      </c>
      <c r="O1063" t="s">
        <v>10683</v>
      </c>
      <c r="P1063" s="1401" t="s">
        <v>2525</v>
      </c>
      <c r="Q1063" s="1401">
        <v>46326</v>
      </c>
    </row>
    <row r="1064" spans="1:17">
      <c r="A1064" t="s">
        <v>6933</v>
      </c>
      <c r="B1064" t="s">
        <v>64</v>
      </c>
      <c r="C1064" t="s">
        <v>100</v>
      </c>
      <c r="D1064" t="s">
        <v>550</v>
      </c>
      <c r="E1064" t="s">
        <v>551</v>
      </c>
      <c r="F1064" t="s">
        <v>2151</v>
      </c>
      <c r="G1064">
        <v>792</v>
      </c>
      <c r="H1064" t="s">
        <v>951</v>
      </c>
      <c r="I1064">
        <v>46285</v>
      </c>
      <c r="J1064" t="s">
        <v>6934</v>
      </c>
      <c r="K1064" s="1401">
        <v>46288</v>
      </c>
      <c r="L1064" s="1401">
        <v>46326</v>
      </c>
      <c r="M1064" s="1401"/>
      <c r="N1064" s="1401" t="s">
        <v>2525</v>
      </c>
      <c r="O1064" t="s">
        <v>10683</v>
      </c>
      <c r="P1064" s="1401" t="s">
        <v>2525</v>
      </c>
      <c r="Q1064" s="1401">
        <v>46333</v>
      </c>
    </row>
    <row r="1065" spans="1:17">
      <c r="A1065" t="s">
        <v>6827</v>
      </c>
      <c r="B1065" t="s">
        <v>144</v>
      </c>
      <c r="C1065" t="s">
        <v>145</v>
      </c>
      <c r="D1065" t="s">
        <v>4531</v>
      </c>
      <c r="E1065" t="s">
        <v>71</v>
      </c>
      <c r="F1065" t="s">
        <v>72</v>
      </c>
      <c r="G1065">
        <v>4320</v>
      </c>
      <c r="H1065" t="s">
        <v>951</v>
      </c>
      <c r="I1065">
        <v>46284</v>
      </c>
      <c r="J1065" t="s">
        <v>6829</v>
      </c>
      <c r="K1065" s="1401">
        <v>46295</v>
      </c>
      <c r="L1065" s="1401">
        <v>46338</v>
      </c>
      <c r="M1065" s="1401">
        <v>46339.708333333336</v>
      </c>
      <c r="N1065" s="1401" t="s">
        <v>2525</v>
      </c>
      <c r="O1065" t="s">
        <v>10683</v>
      </c>
      <c r="P1065" s="1401" t="s">
        <v>2525</v>
      </c>
      <c r="Q1065" s="1401">
        <v>46339.708333333336</v>
      </c>
    </row>
    <row r="1066" spans="1:17">
      <c r="A1066" t="s">
        <v>6926</v>
      </c>
      <c r="B1066" t="s">
        <v>144</v>
      </c>
      <c r="C1066" t="s">
        <v>145</v>
      </c>
      <c r="D1066" t="s">
        <v>284</v>
      </c>
      <c r="E1066" t="s">
        <v>6728</v>
      </c>
      <c r="F1066" t="s">
        <v>5346</v>
      </c>
      <c r="G1066">
        <v>720</v>
      </c>
      <c r="H1066" t="s">
        <v>951</v>
      </c>
      <c r="I1066">
        <v>46284</v>
      </c>
      <c r="J1066" t="s">
        <v>6927</v>
      </c>
      <c r="K1066" s="1401">
        <v>46286</v>
      </c>
      <c r="L1066" s="1401">
        <v>46340</v>
      </c>
      <c r="M1066" s="1401">
        <v>46330</v>
      </c>
      <c r="N1066" s="1401"/>
      <c r="O1066" t="s">
        <v>10683</v>
      </c>
      <c r="P1066" s="1401" t="s">
        <v>2525</v>
      </c>
      <c r="Q1066" s="1401">
        <v>46330</v>
      </c>
    </row>
    <row r="1067" spans="1:17">
      <c r="A1067" t="s">
        <v>6937</v>
      </c>
      <c r="B1067" t="s">
        <v>144</v>
      </c>
      <c r="C1067" t="s">
        <v>145</v>
      </c>
      <c r="D1067" t="s">
        <v>284</v>
      </c>
      <c r="E1067" t="s">
        <v>6840</v>
      </c>
      <c r="F1067" t="s">
        <v>6841</v>
      </c>
      <c r="G1067">
        <v>3744</v>
      </c>
      <c r="H1067" t="s">
        <v>951</v>
      </c>
      <c r="I1067">
        <v>46285</v>
      </c>
      <c r="J1067" t="s">
        <v>6939</v>
      </c>
      <c r="K1067" s="1401">
        <v>46294</v>
      </c>
      <c r="L1067" s="1401">
        <v>46329</v>
      </c>
      <c r="M1067" s="1401">
        <v>46329.333333333336</v>
      </c>
      <c r="N1067" s="1401" t="s">
        <v>2525</v>
      </c>
      <c r="O1067" t="s">
        <v>10683</v>
      </c>
      <c r="P1067" s="1401" t="s">
        <v>2525</v>
      </c>
      <c r="Q1067" s="1401">
        <v>46329.333333333336</v>
      </c>
    </row>
    <row r="1068" spans="1:17">
      <c r="A1068" t="s">
        <v>6850</v>
      </c>
      <c r="B1068" t="s">
        <v>144</v>
      </c>
      <c r="C1068" t="s">
        <v>145</v>
      </c>
      <c r="D1068" t="s">
        <v>284</v>
      </c>
      <c r="E1068" t="s">
        <v>6847</v>
      </c>
      <c r="F1068" t="s">
        <v>6848</v>
      </c>
      <c r="G1068">
        <v>7488</v>
      </c>
      <c r="H1068" t="s">
        <v>951</v>
      </c>
      <c r="I1068">
        <v>46283</v>
      </c>
      <c r="J1068" t="s">
        <v>6852</v>
      </c>
      <c r="K1068" s="1401">
        <v>46290</v>
      </c>
      <c r="L1068" s="1401">
        <v>46333</v>
      </c>
      <c r="M1068" s="1401">
        <v>46332.875</v>
      </c>
      <c r="N1068" s="1401" t="s">
        <v>2525</v>
      </c>
      <c r="O1068" t="s">
        <v>10683</v>
      </c>
      <c r="P1068" s="1401" t="s">
        <v>2525</v>
      </c>
      <c r="Q1068" s="1401">
        <v>46332.875</v>
      </c>
    </row>
    <row r="1069" spans="1:17">
      <c r="A1069" t="s">
        <v>6856</v>
      </c>
      <c r="B1069" t="s">
        <v>64</v>
      </c>
      <c r="C1069" t="s">
        <v>310</v>
      </c>
      <c r="D1069" t="s">
        <v>550</v>
      </c>
      <c r="E1069" t="s">
        <v>2134</v>
      </c>
      <c r="F1069" t="s">
        <v>2135</v>
      </c>
      <c r="G1069">
        <v>3168</v>
      </c>
      <c r="H1069" t="s">
        <v>951</v>
      </c>
      <c r="I1069">
        <v>46283</v>
      </c>
      <c r="J1069" t="s">
        <v>6857</v>
      </c>
      <c r="K1069" s="1401">
        <v>46292</v>
      </c>
      <c r="L1069" s="1401">
        <v>46337</v>
      </c>
      <c r="M1069" s="1401">
        <v>46341</v>
      </c>
      <c r="N1069" s="1401" t="s">
        <v>2525</v>
      </c>
      <c r="O1069" t="s">
        <v>10683</v>
      </c>
      <c r="P1069" s="1401" t="s">
        <v>2525</v>
      </c>
      <c r="Q1069" s="1401">
        <v>46351</v>
      </c>
    </row>
    <row r="1070" spans="1:17">
      <c r="A1070" t="s">
        <v>6670</v>
      </c>
      <c r="B1070" t="s">
        <v>64</v>
      </c>
      <c r="C1070" t="s">
        <v>65</v>
      </c>
      <c r="D1070" t="s">
        <v>4531</v>
      </c>
      <c r="E1070" t="s">
        <v>706</v>
      </c>
      <c r="F1070" t="s">
        <v>707</v>
      </c>
      <c r="G1070">
        <v>864</v>
      </c>
      <c r="H1070" t="s">
        <v>951</v>
      </c>
      <c r="I1070">
        <v>46286</v>
      </c>
      <c r="J1070" t="s">
        <v>6671</v>
      </c>
      <c r="K1070" s="1401">
        <v>46282</v>
      </c>
      <c r="L1070" s="1401">
        <v>46328</v>
      </c>
      <c r="M1070" s="1401">
        <v>46336.791666666664</v>
      </c>
      <c r="N1070" s="1401" t="s">
        <v>2525</v>
      </c>
      <c r="O1070" t="s">
        <v>10683</v>
      </c>
      <c r="P1070" s="1401" t="s">
        <v>2525</v>
      </c>
      <c r="Q1070" s="1401">
        <v>46344.791666666664</v>
      </c>
    </row>
    <row r="1071" spans="1:17">
      <c r="A1071" t="s">
        <v>7043</v>
      </c>
      <c r="B1071" t="s">
        <v>144</v>
      </c>
      <c r="C1071" t="s">
        <v>145</v>
      </c>
      <c r="D1071" t="s">
        <v>4531</v>
      </c>
      <c r="E1071" t="s">
        <v>71</v>
      </c>
      <c r="F1071" t="s">
        <v>72</v>
      </c>
      <c r="G1071">
        <v>4320</v>
      </c>
      <c r="H1071" t="s">
        <v>951</v>
      </c>
      <c r="I1071">
        <v>46286</v>
      </c>
      <c r="J1071" t="s">
        <v>7046</v>
      </c>
      <c r="K1071" s="1401">
        <v>46294</v>
      </c>
      <c r="L1071" s="1401">
        <v>46344</v>
      </c>
      <c r="M1071" s="1401">
        <v>46347.645833333336</v>
      </c>
      <c r="N1071" s="1401" t="s">
        <v>2525</v>
      </c>
      <c r="O1071" t="s">
        <v>10683</v>
      </c>
      <c r="P1071" s="1401" t="s">
        <v>2525</v>
      </c>
      <c r="Q1071" s="1401">
        <v>46347.645833333336</v>
      </c>
    </row>
    <row r="1072" spans="1:17">
      <c r="A1072" t="s">
        <v>7023</v>
      </c>
      <c r="B1072" t="s">
        <v>64</v>
      </c>
      <c r="C1072" t="s">
        <v>65</v>
      </c>
      <c r="D1072" t="s">
        <v>4531</v>
      </c>
      <c r="E1072" t="s">
        <v>71</v>
      </c>
      <c r="F1072" t="s">
        <v>72</v>
      </c>
      <c r="G1072">
        <v>4320</v>
      </c>
      <c r="H1072" t="s">
        <v>951</v>
      </c>
      <c r="I1072">
        <v>46289</v>
      </c>
      <c r="J1072" t="s">
        <v>7024</v>
      </c>
      <c r="K1072" s="1401">
        <v>46295</v>
      </c>
      <c r="L1072" s="1401">
        <v>46370</v>
      </c>
      <c r="M1072" s="1401">
        <v>46363.791666666664</v>
      </c>
      <c r="N1072" s="1401" t="s">
        <v>2525</v>
      </c>
      <c r="O1072" t="s">
        <v>10683</v>
      </c>
      <c r="P1072" s="1401" t="s">
        <v>2525</v>
      </c>
      <c r="Q1072" s="1401">
        <v>46371.791666666664</v>
      </c>
    </row>
    <row r="1073" spans="1:17">
      <c r="A1073" t="s">
        <v>7009</v>
      </c>
      <c r="B1073" t="s">
        <v>64</v>
      </c>
      <c r="C1073" t="s">
        <v>65</v>
      </c>
      <c r="D1073" t="s">
        <v>4531</v>
      </c>
      <c r="E1073" t="s">
        <v>71</v>
      </c>
      <c r="F1073" t="s">
        <v>72</v>
      </c>
      <c r="G1073">
        <v>1728</v>
      </c>
      <c r="H1073" t="s">
        <v>951</v>
      </c>
      <c r="I1073">
        <v>46289</v>
      </c>
      <c r="J1073" t="s">
        <v>7011</v>
      </c>
      <c r="K1073" s="1401">
        <v>46295</v>
      </c>
      <c r="L1073" s="1401">
        <v>46365</v>
      </c>
      <c r="M1073" s="1401">
        <v>46365.25</v>
      </c>
      <c r="N1073" s="1401" t="s">
        <v>2525</v>
      </c>
      <c r="O1073" t="s">
        <v>10683</v>
      </c>
      <c r="P1073" s="1401" t="s">
        <v>2525</v>
      </c>
      <c r="Q1073" s="1401">
        <v>46373.25</v>
      </c>
    </row>
    <row r="1074" spans="1:17">
      <c r="A1074" t="s">
        <v>7028</v>
      </c>
      <c r="B1074" t="s">
        <v>64</v>
      </c>
      <c r="C1074" t="s">
        <v>100</v>
      </c>
      <c r="D1074" t="s">
        <v>284</v>
      </c>
      <c r="E1074" t="s">
        <v>6159</v>
      </c>
      <c r="F1074" t="s">
        <v>1570</v>
      </c>
      <c r="G1074">
        <v>2880</v>
      </c>
      <c r="H1074" t="s">
        <v>951</v>
      </c>
      <c r="I1074">
        <v>46287</v>
      </c>
      <c r="J1074" t="s">
        <v>7029</v>
      </c>
      <c r="K1074" s="1401">
        <v>46292</v>
      </c>
      <c r="L1074" s="1401">
        <v>46336</v>
      </c>
      <c r="M1074" s="1401">
        <v>46336.75</v>
      </c>
      <c r="N1074" s="1401" t="s">
        <v>2525</v>
      </c>
      <c r="O1074" t="s">
        <v>10683</v>
      </c>
      <c r="P1074" s="1401" t="s">
        <v>2525</v>
      </c>
      <c r="Q1074" s="1401">
        <v>46343.75</v>
      </c>
    </row>
    <row r="1075" spans="1:17">
      <c r="A1075" t="s">
        <v>7033</v>
      </c>
      <c r="B1075" t="s">
        <v>64</v>
      </c>
      <c r="C1075" t="s">
        <v>100</v>
      </c>
      <c r="D1075" t="s">
        <v>284</v>
      </c>
      <c r="E1075" t="s">
        <v>5345</v>
      </c>
      <c r="F1075" t="s">
        <v>5346</v>
      </c>
      <c r="G1075">
        <v>2880</v>
      </c>
      <c r="H1075" t="s">
        <v>951</v>
      </c>
      <c r="I1075">
        <v>46287</v>
      </c>
      <c r="J1075" t="s">
        <v>7034</v>
      </c>
      <c r="K1075" s="1401">
        <v>46292</v>
      </c>
      <c r="L1075" s="1401">
        <v>46336</v>
      </c>
      <c r="M1075" s="1401">
        <v>46336.75</v>
      </c>
      <c r="N1075" s="1401" t="s">
        <v>2525</v>
      </c>
      <c r="O1075" t="s">
        <v>10683</v>
      </c>
      <c r="P1075" s="1401" t="s">
        <v>2525</v>
      </c>
      <c r="Q1075" s="1401">
        <v>46343.75</v>
      </c>
    </row>
    <row r="1076" spans="1:17">
      <c r="A1076" t="s">
        <v>6666</v>
      </c>
      <c r="B1076" t="s">
        <v>64</v>
      </c>
      <c r="C1076" t="s">
        <v>65</v>
      </c>
      <c r="D1076" t="s">
        <v>4531</v>
      </c>
      <c r="E1076" t="s">
        <v>691</v>
      </c>
      <c r="F1076" t="s">
        <v>692</v>
      </c>
      <c r="G1076">
        <v>864</v>
      </c>
      <c r="H1076" t="s">
        <v>951</v>
      </c>
      <c r="I1076">
        <v>46286</v>
      </c>
      <c r="J1076" t="s">
        <v>6667</v>
      </c>
      <c r="K1076" s="1401">
        <v>46282</v>
      </c>
      <c r="L1076" s="1401">
        <v>46328</v>
      </c>
      <c r="M1076" s="1401">
        <v>46336.791666666664</v>
      </c>
      <c r="N1076" s="1401" t="s">
        <v>2525</v>
      </c>
      <c r="O1076" t="s">
        <v>10683</v>
      </c>
      <c r="P1076" s="1401" t="s">
        <v>2525</v>
      </c>
      <c r="Q1076" s="1401">
        <v>46344.791666666664</v>
      </c>
    </row>
    <row r="1077" spans="1:17">
      <c r="A1077" t="s">
        <v>6943</v>
      </c>
      <c r="B1077" t="s">
        <v>144</v>
      </c>
      <c r="C1077" t="s">
        <v>145</v>
      </c>
      <c r="D1077" t="s">
        <v>284</v>
      </c>
      <c r="E1077" t="s">
        <v>6847</v>
      </c>
      <c r="F1077" t="s">
        <v>6848</v>
      </c>
      <c r="G1077">
        <v>6552</v>
      </c>
      <c r="H1077" t="s">
        <v>951</v>
      </c>
      <c r="I1077">
        <v>46286</v>
      </c>
      <c r="J1077" t="s">
        <v>6946</v>
      </c>
      <c r="K1077" s="1401">
        <v>46294</v>
      </c>
      <c r="L1077" s="1401">
        <v>46329</v>
      </c>
      <c r="M1077" s="1401">
        <v>46329.333333333336</v>
      </c>
      <c r="N1077" s="1401" t="s">
        <v>2525</v>
      </c>
      <c r="O1077" t="s">
        <v>10683</v>
      </c>
      <c r="P1077" s="1401" t="s">
        <v>2525</v>
      </c>
      <c r="Q1077" s="1401">
        <v>46329.333333333336</v>
      </c>
    </row>
    <row r="1078" spans="1:17">
      <c r="A1078" t="s">
        <v>6887</v>
      </c>
      <c r="B1078" t="s">
        <v>64</v>
      </c>
      <c r="C1078" t="s">
        <v>100</v>
      </c>
      <c r="D1078" t="s">
        <v>550</v>
      </c>
      <c r="E1078" t="s">
        <v>2134</v>
      </c>
      <c r="F1078" t="s">
        <v>2135</v>
      </c>
      <c r="G1078">
        <v>3960</v>
      </c>
      <c r="H1078" t="s">
        <v>951</v>
      </c>
      <c r="I1078">
        <v>46287</v>
      </c>
      <c r="J1078" t="s">
        <v>6888</v>
      </c>
      <c r="K1078" s="1401">
        <v>46292</v>
      </c>
      <c r="L1078" s="1401">
        <v>46324</v>
      </c>
      <c r="M1078" s="1401">
        <v>46324.854166666664</v>
      </c>
      <c r="N1078" s="1401" t="s">
        <v>2525</v>
      </c>
      <c r="O1078" t="s">
        <v>10683</v>
      </c>
      <c r="P1078" s="1401" t="s">
        <v>2525</v>
      </c>
      <c r="Q1078" s="1401">
        <v>46331.854166666664</v>
      </c>
    </row>
    <row r="1079" spans="1:17">
      <c r="A1079" t="s">
        <v>7035</v>
      </c>
      <c r="B1079" t="s">
        <v>64</v>
      </c>
      <c r="C1079" t="s">
        <v>450</v>
      </c>
      <c r="D1079" t="s">
        <v>4531</v>
      </c>
      <c r="E1079" t="s">
        <v>7037</v>
      </c>
      <c r="F1079" t="s">
        <v>7038</v>
      </c>
      <c r="G1079">
        <v>864</v>
      </c>
      <c r="H1079" t="s">
        <v>951</v>
      </c>
      <c r="I1079">
        <v>46287</v>
      </c>
      <c r="J1079" t="s">
        <v>7040</v>
      </c>
      <c r="K1079" s="1401">
        <v>46292</v>
      </c>
      <c r="L1079" s="1401">
        <v>46348</v>
      </c>
      <c r="M1079" s="1401">
        <v>46349.916666666664</v>
      </c>
      <c r="N1079" s="1401" t="s">
        <v>2525</v>
      </c>
      <c r="O1079" t="s">
        <v>10683</v>
      </c>
      <c r="P1079" s="1401" t="s">
        <v>2525</v>
      </c>
      <c r="Q1079" s="1401">
        <v>46356.916666666664</v>
      </c>
    </row>
    <row r="1080" spans="1:17">
      <c r="A1080" t="s">
        <v>6800</v>
      </c>
      <c r="B1080" t="s">
        <v>64</v>
      </c>
      <c r="C1080" t="s">
        <v>100</v>
      </c>
      <c r="D1080" t="s">
        <v>132</v>
      </c>
      <c r="E1080" t="s">
        <v>1062</v>
      </c>
      <c r="F1080" t="s">
        <v>1063</v>
      </c>
      <c r="G1080">
        <v>2592</v>
      </c>
      <c r="I1080">
        <v>46287</v>
      </c>
      <c r="J1080" t="s">
        <v>6801</v>
      </c>
      <c r="K1080" s="1401">
        <v>46284</v>
      </c>
      <c r="L1080" s="1401">
        <v>46318</v>
      </c>
      <c r="M1080" s="1401">
        <v>46326.875</v>
      </c>
      <c r="N1080" s="1401" t="s">
        <v>2525</v>
      </c>
      <c r="O1080" t="s">
        <v>10683</v>
      </c>
      <c r="P1080" s="1401" t="s">
        <v>2525</v>
      </c>
      <c r="Q1080" s="1401">
        <v>46333.875</v>
      </c>
    </row>
    <row r="1081" spans="1:17">
      <c r="A1081" t="s">
        <v>6953</v>
      </c>
      <c r="B1081" t="s">
        <v>144</v>
      </c>
      <c r="C1081" t="s">
        <v>145</v>
      </c>
      <c r="D1081" t="s">
        <v>284</v>
      </c>
      <c r="E1081" t="s">
        <v>6840</v>
      </c>
      <c r="F1081" t="s">
        <v>6841</v>
      </c>
      <c r="G1081">
        <v>7488</v>
      </c>
      <c r="H1081" t="s">
        <v>2525</v>
      </c>
      <c r="I1081">
        <v>46287</v>
      </c>
      <c r="J1081" t="s">
        <v>6955</v>
      </c>
      <c r="K1081" s="1401">
        <v>46296</v>
      </c>
      <c r="L1081" s="1401">
        <v>46340</v>
      </c>
      <c r="M1081" s="1401">
        <v>46341.625</v>
      </c>
      <c r="N1081" s="1401" t="s">
        <v>2525</v>
      </c>
      <c r="O1081" t="s">
        <v>10683</v>
      </c>
      <c r="P1081" s="1401" t="s">
        <v>2525</v>
      </c>
      <c r="Q1081" s="1401">
        <v>46341.625</v>
      </c>
    </row>
    <row r="1082" spans="1:17">
      <c r="A1082" t="s">
        <v>6959</v>
      </c>
      <c r="B1082" t="s">
        <v>144</v>
      </c>
      <c r="C1082" t="s">
        <v>145</v>
      </c>
      <c r="D1082" t="s">
        <v>284</v>
      </c>
      <c r="E1082" t="s">
        <v>6840</v>
      </c>
      <c r="F1082" t="s">
        <v>6841</v>
      </c>
      <c r="G1082">
        <v>5616</v>
      </c>
      <c r="H1082" t="s">
        <v>951</v>
      </c>
      <c r="I1082">
        <v>46288</v>
      </c>
      <c r="J1082" t="s">
        <v>6961</v>
      </c>
      <c r="K1082" s="1401">
        <v>46296</v>
      </c>
      <c r="L1082" s="1401">
        <v>46340</v>
      </c>
      <c r="M1082" s="1401">
        <v>46340.791666666664</v>
      </c>
      <c r="N1082" s="1401" t="s">
        <v>2525</v>
      </c>
      <c r="O1082" t="s">
        <v>10683</v>
      </c>
      <c r="P1082" s="1401" t="s">
        <v>2525</v>
      </c>
      <c r="Q1082" s="1401">
        <v>46340.791666666664</v>
      </c>
    </row>
    <row r="1083" spans="1:17">
      <c r="A1083" t="s">
        <v>6964</v>
      </c>
      <c r="B1083" t="s">
        <v>144</v>
      </c>
      <c r="C1083" t="s">
        <v>145</v>
      </c>
      <c r="D1083" t="s">
        <v>284</v>
      </c>
      <c r="E1083" t="s">
        <v>6840</v>
      </c>
      <c r="F1083" t="s">
        <v>6841</v>
      </c>
      <c r="G1083">
        <v>2808</v>
      </c>
      <c r="H1083" t="s">
        <v>951</v>
      </c>
      <c r="I1083">
        <v>46288</v>
      </c>
      <c r="J1083" t="s">
        <v>6965</v>
      </c>
      <c r="K1083" s="1401">
        <v>46296</v>
      </c>
      <c r="L1083" s="1401">
        <v>46340</v>
      </c>
      <c r="M1083" s="1401">
        <v>46340.791666666664</v>
      </c>
      <c r="N1083" s="1401" t="s">
        <v>2525</v>
      </c>
      <c r="O1083" t="s">
        <v>10683</v>
      </c>
      <c r="P1083" s="1401" t="s">
        <v>2525</v>
      </c>
      <c r="Q1083" s="1401">
        <v>46340.791666666664</v>
      </c>
    </row>
    <row r="1084" spans="1:17">
      <c r="A1084" t="s">
        <v>6974</v>
      </c>
      <c r="B1084" t="s">
        <v>144</v>
      </c>
      <c r="C1084" t="s">
        <v>145</v>
      </c>
      <c r="D1084" t="s">
        <v>284</v>
      </c>
      <c r="E1084" t="s">
        <v>6840</v>
      </c>
      <c r="F1084" t="s">
        <v>6841</v>
      </c>
      <c r="G1084">
        <v>4680</v>
      </c>
      <c r="H1084" t="s">
        <v>951</v>
      </c>
      <c r="I1084">
        <v>46289</v>
      </c>
      <c r="J1084" t="s">
        <v>6976</v>
      </c>
      <c r="K1084" s="1401">
        <v>46296</v>
      </c>
      <c r="L1084" s="1401">
        <v>46340</v>
      </c>
      <c r="M1084" s="1401">
        <v>46340.791666666664</v>
      </c>
      <c r="N1084" s="1401" t="s">
        <v>2525</v>
      </c>
      <c r="O1084" t="s">
        <v>10683</v>
      </c>
      <c r="P1084" s="1401" t="s">
        <v>2525</v>
      </c>
      <c r="Q1084" s="1401">
        <v>46340.791666666664</v>
      </c>
    </row>
    <row r="1085" spans="1:17">
      <c r="A1085" t="s">
        <v>6966</v>
      </c>
      <c r="B1085" t="s">
        <v>144</v>
      </c>
      <c r="C1085" t="s">
        <v>145</v>
      </c>
      <c r="D1085" t="s">
        <v>284</v>
      </c>
      <c r="E1085" t="s">
        <v>6847</v>
      </c>
      <c r="F1085" t="s">
        <v>6848</v>
      </c>
      <c r="G1085">
        <v>2808</v>
      </c>
      <c r="H1085" t="s">
        <v>951</v>
      </c>
      <c r="I1085">
        <v>46288</v>
      </c>
      <c r="J1085" t="s">
        <v>6968</v>
      </c>
      <c r="K1085" s="1401">
        <v>46296</v>
      </c>
      <c r="L1085" s="1401">
        <v>46340</v>
      </c>
      <c r="M1085" s="1401">
        <v>46340.791666666664</v>
      </c>
      <c r="N1085" s="1401" t="s">
        <v>2525</v>
      </c>
      <c r="O1085" t="s">
        <v>10683</v>
      </c>
      <c r="P1085" s="1401" t="s">
        <v>2525</v>
      </c>
      <c r="Q1085" s="1401">
        <v>46340.791666666664</v>
      </c>
    </row>
    <row r="1086" spans="1:17">
      <c r="A1086" t="s">
        <v>6969</v>
      </c>
      <c r="B1086" t="s">
        <v>144</v>
      </c>
      <c r="C1086" t="s">
        <v>145</v>
      </c>
      <c r="D1086" t="s">
        <v>284</v>
      </c>
      <c r="E1086" t="s">
        <v>6847</v>
      </c>
      <c r="F1086" t="s">
        <v>6848</v>
      </c>
      <c r="G1086">
        <v>2808</v>
      </c>
      <c r="H1086" t="s">
        <v>951</v>
      </c>
      <c r="I1086">
        <v>46289</v>
      </c>
      <c r="J1086" t="s">
        <v>6971</v>
      </c>
      <c r="K1086" s="1401">
        <v>46296</v>
      </c>
      <c r="L1086" s="1401">
        <v>46340</v>
      </c>
      <c r="M1086" s="1401">
        <v>46340.791666666664</v>
      </c>
      <c r="N1086" s="1401" t="s">
        <v>2525</v>
      </c>
      <c r="O1086" t="s">
        <v>10683</v>
      </c>
      <c r="P1086" s="1401" t="s">
        <v>2525</v>
      </c>
      <c r="Q1086" s="1401">
        <v>46340.791666666664</v>
      </c>
    </row>
    <row r="1087" spans="1:17">
      <c r="A1087" t="s">
        <v>6896</v>
      </c>
      <c r="B1087" t="s">
        <v>64</v>
      </c>
      <c r="C1087" t="s">
        <v>310</v>
      </c>
      <c r="D1087" t="s">
        <v>550</v>
      </c>
      <c r="E1087" t="s">
        <v>2134</v>
      </c>
      <c r="F1087" t="s">
        <v>2135</v>
      </c>
      <c r="G1087">
        <v>1584</v>
      </c>
      <c r="H1087" t="s">
        <v>951</v>
      </c>
      <c r="I1087">
        <v>46292</v>
      </c>
      <c r="J1087" t="s">
        <v>6897</v>
      </c>
      <c r="K1087" s="1401">
        <v>46291</v>
      </c>
      <c r="L1087" s="1401">
        <v>46337</v>
      </c>
      <c r="M1087" s="1401">
        <v>46341</v>
      </c>
      <c r="N1087" s="1401" t="s">
        <v>2525</v>
      </c>
      <c r="O1087" t="s">
        <v>10683</v>
      </c>
      <c r="P1087" s="1401" t="s">
        <v>2525</v>
      </c>
      <c r="Q1087" s="1401">
        <v>46351</v>
      </c>
    </row>
    <row r="1088" spans="1:17">
      <c r="A1088" t="s">
        <v>7060</v>
      </c>
      <c r="B1088" t="s">
        <v>144</v>
      </c>
      <c r="C1088" t="s">
        <v>145</v>
      </c>
      <c r="D1088" t="s">
        <v>284</v>
      </c>
      <c r="E1088" t="s">
        <v>6847</v>
      </c>
      <c r="F1088" t="s">
        <v>6848</v>
      </c>
      <c r="G1088">
        <v>7488</v>
      </c>
      <c r="H1088" t="s">
        <v>951</v>
      </c>
      <c r="I1088">
        <v>46294</v>
      </c>
      <c r="J1088" t="s">
        <v>7062</v>
      </c>
      <c r="K1088" s="1401">
        <v>46302</v>
      </c>
      <c r="L1088" s="1401">
        <v>46347</v>
      </c>
      <c r="M1088" s="1401">
        <v>46340.25</v>
      </c>
      <c r="N1088" s="1401" t="s">
        <v>2525</v>
      </c>
      <c r="O1088" t="s">
        <v>10683</v>
      </c>
      <c r="P1088" s="1401" t="s">
        <v>2525</v>
      </c>
      <c r="Q1088" s="1401">
        <v>46340.25</v>
      </c>
    </row>
    <row r="1089" spans="1:17">
      <c r="A1089" t="s">
        <v>6947</v>
      </c>
      <c r="B1089" t="s">
        <v>144</v>
      </c>
      <c r="C1089" t="s">
        <v>145</v>
      </c>
      <c r="D1089" t="s">
        <v>284</v>
      </c>
      <c r="E1089" t="s">
        <v>6840</v>
      </c>
      <c r="F1089" t="s">
        <v>6841</v>
      </c>
      <c r="G1089">
        <v>4680</v>
      </c>
      <c r="H1089" t="s">
        <v>2525</v>
      </c>
      <c r="I1089">
        <v>46291</v>
      </c>
      <c r="J1089" t="s">
        <v>6949</v>
      </c>
      <c r="K1089" s="1401">
        <v>46293</v>
      </c>
      <c r="L1089" s="1401">
        <v>46330</v>
      </c>
      <c r="M1089" s="1401">
        <v>46347.875</v>
      </c>
      <c r="N1089" s="1401" t="s">
        <v>2525</v>
      </c>
      <c r="O1089" t="s">
        <v>10683</v>
      </c>
      <c r="P1089" s="1401" t="s">
        <v>2525</v>
      </c>
      <c r="Q1089" s="1401">
        <v>46347.875</v>
      </c>
    </row>
    <row r="1090" spans="1:17">
      <c r="A1090" t="s">
        <v>6891</v>
      </c>
      <c r="B1090" t="s">
        <v>64</v>
      </c>
      <c r="C1090" t="s">
        <v>100</v>
      </c>
      <c r="D1090" t="s">
        <v>550</v>
      </c>
      <c r="E1090" t="s">
        <v>551</v>
      </c>
      <c r="F1090" t="s">
        <v>2151</v>
      </c>
      <c r="G1090">
        <v>2376</v>
      </c>
      <c r="H1090" t="s">
        <v>951</v>
      </c>
      <c r="I1090">
        <v>46294</v>
      </c>
      <c r="J1090" t="s">
        <v>6892</v>
      </c>
      <c r="K1090" s="1401">
        <v>46290</v>
      </c>
      <c r="L1090" s="1401">
        <v>46326</v>
      </c>
      <c r="M1090" s="1401">
        <v>46332.875</v>
      </c>
      <c r="N1090" s="1401" t="s">
        <v>2525</v>
      </c>
      <c r="O1090" t="s">
        <v>10683</v>
      </c>
      <c r="P1090" s="1401" t="s">
        <v>2525</v>
      </c>
      <c r="Q1090" s="1401">
        <v>46339.875</v>
      </c>
    </row>
    <row r="1091" spans="1:17">
      <c r="A1091" t="s">
        <v>7116</v>
      </c>
      <c r="B1091" t="s">
        <v>64</v>
      </c>
      <c r="C1091" t="s">
        <v>65</v>
      </c>
      <c r="D1091" t="s">
        <v>550</v>
      </c>
      <c r="E1091" t="s">
        <v>551</v>
      </c>
      <c r="F1091" t="s">
        <v>2151</v>
      </c>
      <c r="G1091">
        <v>792</v>
      </c>
      <c r="H1091" t="s">
        <v>951</v>
      </c>
      <c r="I1091">
        <v>46293</v>
      </c>
      <c r="J1091" t="s">
        <v>7117</v>
      </c>
      <c r="K1091" s="1401">
        <v>46296</v>
      </c>
      <c r="L1091" s="1401">
        <v>46337</v>
      </c>
      <c r="M1091" s="1401">
        <v>46337.25</v>
      </c>
      <c r="N1091" s="1401" t="s">
        <v>2525</v>
      </c>
      <c r="O1091" t="s">
        <v>10683</v>
      </c>
      <c r="P1091" s="1401" t="s">
        <v>2525</v>
      </c>
      <c r="Q1091" s="1401">
        <v>46345.25</v>
      </c>
    </row>
    <row r="1092" spans="1:17">
      <c r="A1092" t="s">
        <v>7089</v>
      </c>
      <c r="B1092" t="s">
        <v>64</v>
      </c>
      <c r="C1092" t="s">
        <v>65</v>
      </c>
      <c r="D1092" t="s">
        <v>550</v>
      </c>
      <c r="E1092" t="s">
        <v>551</v>
      </c>
      <c r="F1092" t="s">
        <v>2151</v>
      </c>
      <c r="G1092">
        <v>792</v>
      </c>
      <c r="H1092" t="s">
        <v>951</v>
      </c>
      <c r="I1092">
        <v>46299</v>
      </c>
      <c r="J1092" t="s">
        <v>7090</v>
      </c>
      <c r="K1092" s="1401">
        <v>46303</v>
      </c>
      <c r="L1092" s="1401">
        <v>46344</v>
      </c>
      <c r="M1092" s="1401">
        <v>46344.25</v>
      </c>
      <c r="N1092" s="1401" t="s">
        <v>2525</v>
      </c>
      <c r="O1092" t="s">
        <v>10683</v>
      </c>
      <c r="P1092" s="1401" t="s">
        <v>2525</v>
      </c>
      <c r="Q1092" s="1401">
        <v>46352.25</v>
      </c>
    </row>
    <row r="1093" spans="1:17">
      <c r="A1093" t="s">
        <v>7080</v>
      </c>
      <c r="B1093" t="s">
        <v>64</v>
      </c>
      <c r="C1093" t="s">
        <v>100</v>
      </c>
      <c r="D1093" t="s">
        <v>550</v>
      </c>
      <c r="E1093" t="s">
        <v>551</v>
      </c>
      <c r="F1093" t="s">
        <v>2151</v>
      </c>
      <c r="G1093">
        <v>792</v>
      </c>
      <c r="H1093" t="s">
        <v>2525</v>
      </c>
      <c r="I1093">
        <v>46302</v>
      </c>
      <c r="J1093" t="s">
        <v>7081</v>
      </c>
      <c r="K1093" s="1401">
        <v>46302</v>
      </c>
      <c r="L1093" s="1401">
        <v>46337</v>
      </c>
      <c r="M1093" s="1401">
        <v>46335.875</v>
      </c>
      <c r="N1093" s="1401" t="s">
        <v>2525</v>
      </c>
      <c r="O1093" t="s">
        <v>10683</v>
      </c>
      <c r="P1093" s="1401" t="s">
        <v>2525</v>
      </c>
      <c r="Q1093" s="1401">
        <v>46342.875</v>
      </c>
    </row>
    <row r="1094" spans="1:17">
      <c r="A1094" t="s">
        <v>7071</v>
      </c>
      <c r="B1094" t="s">
        <v>64</v>
      </c>
      <c r="C1094" t="s">
        <v>65</v>
      </c>
      <c r="D1094" t="s">
        <v>550</v>
      </c>
      <c r="E1094" t="s">
        <v>551</v>
      </c>
      <c r="F1094" t="s">
        <v>2151</v>
      </c>
      <c r="G1094">
        <v>2376</v>
      </c>
      <c r="H1094" t="s">
        <v>2525</v>
      </c>
      <c r="I1094">
        <v>46295</v>
      </c>
      <c r="J1094" t="s">
        <v>7072</v>
      </c>
      <c r="K1094" s="1401">
        <v>46301</v>
      </c>
      <c r="L1094" s="1401">
        <v>46344</v>
      </c>
      <c r="M1094" s="1401">
        <v>46344.25</v>
      </c>
      <c r="N1094" s="1401" t="s">
        <v>2525</v>
      </c>
      <c r="O1094" t="s">
        <v>10683</v>
      </c>
      <c r="P1094" s="1401" t="s">
        <v>2525</v>
      </c>
      <c r="Q1094" s="1401">
        <v>46352.25</v>
      </c>
    </row>
    <row r="1095" spans="1:17">
      <c r="A1095" t="s">
        <v>7004</v>
      </c>
      <c r="B1095" t="s">
        <v>64</v>
      </c>
      <c r="C1095" t="s">
        <v>65</v>
      </c>
      <c r="D1095" t="s">
        <v>550</v>
      </c>
      <c r="E1095" t="s">
        <v>551</v>
      </c>
      <c r="F1095" t="s">
        <v>2151</v>
      </c>
      <c r="G1095">
        <v>2376</v>
      </c>
      <c r="H1095" t="s">
        <v>951</v>
      </c>
      <c r="I1095">
        <v>46290</v>
      </c>
      <c r="J1095" t="s">
        <v>7005</v>
      </c>
      <c r="K1095" s="1401">
        <v>46297</v>
      </c>
      <c r="L1095" s="1401">
        <v>46337</v>
      </c>
      <c r="M1095" s="1401">
        <v>46344.25</v>
      </c>
      <c r="N1095" s="1401" t="s">
        <v>2525</v>
      </c>
      <c r="O1095" t="s">
        <v>10683</v>
      </c>
      <c r="P1095" s="1401" t="s">
        <v>2525</v>
      </c>
      <c r="Q1095" s="1401">
        <v>46352.25</v>
      </c>
    </row>
    <row r="1096" spans="1:17">
      <c r="A1096" t="s">
        <v>6995</v>
      </c>
      <c r="B1096" t="s">
        <v>64</v>
      </c>
      <c r="C1096" t="s">
        <v>65</v>
      </c>
      <c r="D1096" t="s">
        <v>550</v>
      </c>
      <c r="E1096" t="s">
        <v>551</v>
      </c>
      <c r="F1096" t="s">
        <v>2151</v>
      </c>
      <c r="G1096">
        <v>3168</v>
      </c>
      <c r="H1096" t="s">
        <v>2525</v>
      </c>
      <c r="I1096">
        <v>46293</v>
      </c>
      <c r="J1096" t="s">
        <v>6996</v>
      </c>
      <c r="K1096" s="1401">
        <v>46297</v>
      </c>
      <c r="L1096" s="1401">
        <v>46349</v>
      </c>
      <c r="M1096" s="1401">
        <v>46349.791666666664</v>
      </c>
      <c r="N1096" s="1401" t="s">
        <v>2525</v>
      </c>
      <c r="O1096" t="s">
        <v>10683</v>
      </c>
      <c r="P1096" s="1401" t="s">
        <v>2525</v>
      </c>
      <c r="Q1096" s="1401">
        <v>46357.791666666664</v>
      </c>
    </row>
    <row r="1097" spans="1:17">
      <c r="A1097" t="s">
        <v>6984</v>
      </c>
      <c r="B1097" t="s">
        <v>64</v>
      </c>
      <c r="C1097" t="s">
        <v>100</v>
      </c>
      <c r="D1097" t="s">
        <v>550</v>
      </c>
      <c r="E1097" t="s">
        <v>551</v>
      </c>
      <c r="F1097" t="s">
        <v>2151</v>
      </c>
      <c r="G1097">
        <v>1584</v>
      </c>
      <c r="H1097" t="s">
        <v>2525</v>
      </c>
      <c r="I1097">
        <v>46292</v>
      </c>
      <c r="J1097" t="s">
        <v>6985</v>
      </c>
      <c r="K1097" s="1401">
        <v>46297</v>
      </c>
      <c r="L1097" s="1401">
        <v>46334</v>
      </c>
      <c r="M1097" s="1401"/>
      <c r="N1097" s="1401" t="s">
        <v>2525</v>
      </c>
      <c r="O1097" t="s">
        <v>10683</v>
      </c>
      <c r="P1097" s="1401" t="s">
        <v>2525</v>
      </c>
      <c r="Q1097" s="1401">
        <v>46341</v>
      </c>
    </row>
    <row r="1098" spans="1:17">
      <c r="A1098" t="s">
        <v>7050</v>
      </c>
      <c r="B1098" t="s">
        <v>144</v>
      </c>
      <c r="C1098" t="s">
        <v>145</v>
      </c>
      <c r="D1098" t="s">
        <v>284</v>
      </c>
      <c r="E1098" t="s">
        <v>6847</v>
      </c>
      <c r="F1098" t="s">
        <v>6848</v>
      </c>
      <c r="G1098">
        <v>8424</v>
      </c>
      <c r="H1098" t="s">
        <v>951</v>
      </c>
      <c r="I1098">
        <v>46296</v>
      </c>
      <c r="J1098" t="s">
        <v>7052</v>
      </c>
      <c r="K1098" s="1401">
        <v>46301</v>
      </c>
      <c r="L1098" s="1401">
        <v>46336</v>
      </c>
      <c r="M1098" s="1401">
        <v>46336.333333333336</v>
      </c>
      <c r="N1098" s="1401" t="s">
        <v>2525</v>
      </c>
      <c r="O1098" t="s">
        <v>10683</v>
      </c>
      <c r="P1098" s="1401" t="s">
        <v>2525</v>
      </c>
      <c r="Q1098" s="1401">
        <v>46336.333333333336</v>
      </c>
    </row>
    <row r="1099" spans="1:17">
      <c r="A1099" t="s">
        <v>6884</v>
      </c>
      <c r="B1099" t="s">
        <v>144</v>
      </c>
      <c r="C1099" t="s">
        <v>145</v>
      </c>
      <c r="D1099" t="s">
        <v>4531</v>
      </c>
      <c r="E1099" t="s">
        <v>6235</v>
      </c>
      <c r="F1099" t="s">
        <v>330</v>
      </c>
      <c r="G1099">
        <v>7920</v>
      </c>
      <c r="H1099" t="s">
        <v>2525</v>
      </c>
      <c r="I1099">
        <v>46303</v>
      </c>
      <c r="J1099" t="s">
        <v>6885</v>
      </c>
      <c r="K1099" s="1401">
        <v>46289</v>
      </c>
      <c r="L1099" s="1401">
        <v>46330</v>
      </c>
      <c r="M1099" s="1401"/>
      <c r="N1099" s="1401" t="s">
        <v>2525</v>
      </c>
      <c r="O1099" t="s">
        <v>10683</v>
      </c>
      <c r="P1099" s="1401" t="s">
        <v>2525</v>
      </c>
      <c r="Q1099" s="1401">
        <v>46330</v>
      </c>
    </row>
    <row r="1100" spans="1:17">
      <c r="A1100" t="s">
        <v>6879</v>
      </c>
      <c r="B1100" t="s">
        <v>144</v>
      </c>
      <c r="C1100" t="s">
        <v>145</v>
      </c>
      <c r="D1100" t="s">
        <v>4531</v>
      </c>
      <c r="E1100" t="s">
        <v>6235</v>
      </c>
      <c r="F1100" t="s">
        <v>330</v>
      </c>
      <c r="G1100">
        <v>7920</v>
      </c>
      <c r="H1100" t="s">
        <v>2525</v>
      </c>
      <c r="I1100">
        <v>46301</v>
      </c>
      <c r="J1100" t="s">
        <v>6881</v>
      </c>
      <c r="K1100" s="1401">
        <v>46289</v>
      </c>
      <c r="L1100" s="1401">
        <v>46330</v>
      </c>
      <c r="M1100" s="1401"/>
      <c r="N1100" s="1401" t="s">
        <v>2525</v>
      </c>
      <c r="O1100" t="s">
        <v>10683</v>
      </c>
      <c r="P1100" s="1401" t="s">
        <v>2525</v>
      </c>
      <c r="Q1100" s="1401">
        <v>46330</v>
      </c>
    </row>
    <row r="1101" spans="1:17">
      <c r="A1101" t="s">
        <v>6672</v>
      </c>
      <c r="B1101" t="s">
        <v>64</v>
      </c>
      <c r="C1101" t="s">
        <v>65</v>
      </c>
      <c r="D1101" t="s">
        <v>4531</v>
      </c>
      <c r="E1101" t="s">
        <v>691</v>
      </c>
      <c r="F1101" t="s">
        <v>692</v>
      </c>
      <c r="G1101">
        <v>864</v>
      </c>
      <c r="H1101" t="s">
        <v>2525</v>
      </c>
      <c r="I1101">
        <v>46299</v>
      </c>
      <c r="J1101" t="s">
        <v>6673</v>
      </c>
      <c r="K1101" s="1401">
        <v>46288</v>
      </c>
      <c r="L1101" s="1401">
        <v>46335</v>
      </c>
      <c r="M1101" s="1401">
        <v>46344.791666666664</v>
      </c>
      <c r="N1101" s="1401" t="s">
        <v>2525</v>
      </c>
      <c r="O1101" t="s">
        <v>10683</v>
      </c>
      <c r="P1101" s="1401" t="s">
        <v>2525</v>
      </c>
      <c r="Q1101" s="1401">
        <v>46352.791666666664</v>
      </c>
    </row>
    <row r="1102" spans="1:17">
      <c r="A1102" t="s">
        <v>7173</v>
      </c>
      <c r="B1102" t="s">
        <v>64</v>
      </c>
      <c r="C1102" t="s">
        <v>65</v>
      </c>
      <c r="D1102" t="s">
        <v>4531</v>
      </c>
      <c r="E1102" t="s">
        <v>706</v>
      </c>
      <c r="F1102" t="s">
        <v>707</v>
      </c>
      <c r="G1102">
        <v>4320</v>
      </c>
      <c r="H1102" t="s">
        <v>2525</v>
      </c>
      <c r="I1102">
        <v>46300</v>
      </c>
      <c r="J1102" t="s">
        <v>7174</v>
      </c>
      <c r="K1102" s="1401">
        <v>46306</v>
      </c>
      <c r="L1102" s="1401">
        <v>46370</v>
      </c>
      <c r="M1102" s="1401">
        <v>46370.791666666664</v>
      </c>
      <c r="N1102" s="1401" t="s">
        <v>2525</v>
      </c>
      <c r="O1102" t="s">
        <v>10683</v>
      </c>
      <c r="P1102" s="1401" t="s">
        <v>2525</v>
      </c>
      <c r="Q1102" s="1401">
        <v>46378.791666666664</v>
      </c>
    </row>
    <row r="1103" spans="1:17">
      <c r="A1103" t="s">
        <v>7066</v>
      </c>
      <c r="B1103" t="s">
        <v>64</v>
      </c>
      <c r="C1103" t="s">
        <v>65</v>
      </c>
      <c r="D1103" t="s">
        <v>4531</v>
      </c>
      <c r="E1103" t="s">
        <v>706</v>
      </c>
      <c r="F1103" t="s">
        <v>707</v>
      </c>
      <c r="G1103">
        <v>864</v>
      </c>
      <c r="H1103" t="s">
        <v>2525</v>
      </c>
      <c r="I1103">
        <v>46295</v>
      </c>
      <c r="J1103" t="s">
        <v>7067</v>
      </c>
      <c r="K1103" s="1401">
        <v>46301</v>
      </c>
      <c r="L1103" s="1401">
        <v>46344</v>
      </c>
      <c r="M1103" s="1401">
        <v>46344.25</v>
      </c>
      <c r="N1103" s="1401" t="s">
        <v>2525</v>
      </c>
      <c r="O1103" t="s">
        <v>10683</v>
      </c>
      <c r="P1103" s="1401" t="s">
        <v>2525</v>
      </c>
      <c r="Q1103" s="1401">
        <v>46352.25</v>
      </c>
    </row>
    <row r="1104" spans="1:17">
      <c r="A1104" t="s">
        <v>7164</v>
      </c>
      <c r="B1104" t="s">
        <v>64</v>
      </c>
      <c r="C1104" t="s">
        <v>100</v>
      </c>
      <c r="D1104" t="s">
        <v>4531</v>
      </c>
      <c r="E1104" t="s">
        <v>1151</v>
      </c>
      <c r="F1104" t="s">
        <v>421</v>
      </c>
      <c r="G1104">
        <v>864</v>
      </c>
      <c r="H1104" t="s">
        <v>2525</v>
      </c>
      <c r="I1104">
        <v>46300</v>
      </c>
      <c r="J1104" t="s">
        <v>7165</v>
      </c>
      <c r="K1104" s="1401">
        <v>46306</v>
      </c>
      <c r="L1104" s="1401">
        <v>46351</v>
      </c>
      <c r="M1104" s="1401"/>
      <c r="N1104" s="1401"/>
      <c r="O1104" t="s">
        <v>10683</v>
      </c>
      <c r="P1104" s="1401" t="s">
        <v>2525</v>
      </c>
      <c r="Q1104" s="1401">
        <v>46358</v>
      </c>
    </row>
    <row r="1105" spans="1:17">
      <c r="A1105" t="s">
        <v>7128</v>
      </c>
      <c r="B1105" t="s">
        <v>64</v>
      </c>
      <c r="C1105" t="s">
        <v>100</v>
      </c>
      <c r="D1105" t="s">
        <v>4531</v>
      </c>
      <c r="E1105" t="s">
        <v>1151</v>
      </c>
      <c r="F1105" t="s">
        <v>421</v>
      </c>
      <c r="G1105">
        <v>864</v>
      </c>
      <c r="H1105" t="s">
        <v>951</v>
      </c>
      <c r="I1105">
        <v>46294</v>
      </c>
      <c r="J1105" t="s">
        <v>7129</v>
      </c>
      <c r="K1105" s="1401">
        <v>46300</v>
      </c>
      <c r="L1105" s="1401">
        <v>46346</v>
      </c>
      <c r="M1105" s="1401">
        <v>46346.333333333336</v>
      </c>
      <c r="N1105" s="1401" t="s">
        <v>2525</v>
      </c>
      <c r="O1105" t="s">
        <v>10683</v>
      </c>
      <c r="P1105" s="1401" t="s">
        <v>2525</v>
      </c>
      <c r="Q1105" s="1401">
        <v>46353.333333333336</v>
      </c>
    </row>
    <row r="1106" spans="1:17">
      <c r="A1106" t="s">
        <v>7100</v>
      </c>
      <c r="B1106" t="s">
        <v>64</v>
      </c>
      <c r="C1106" t="s">
        <v>65</v>
      </c>
      <c r="D1106" t="s">
        <v>4531</v>
      </c>
      <c r="E1106" t="s">
        <v>1151</v>
      </c>
      <c r="F1106" t="s">
        <v>421</v>
      </c>
      <c r="G1106">
        <v>4320</v>
      </c>
      <c r="H1106" t="s">
        <v>951</v>
      </c>
      <c r="I1106">
        <v>46295</v>
      </c>
      <c r="J1106" t="s">
        <v>7101</v>
      </c>
      <c r="K1106" s="1401">
        <v>46300</v>
      </c>
      <c r="L1106" s="1401">
        <v>46363</v>
      </c>
      <c r="M1106" s="1401">
        <v>46363.791666666664</v>
      </c>
      <c r="N1106" s="1401" t="s">
        <v>2525</v>
      </c>
      <c r="O1106" t="s">
        <v>10683</v>
      </c>
      <c r="P1106" s="1401" t="s">
        <v>2525</v>
      </c>
      <c r="Q1106" s="1401">
        <v>46371.791666666664</v>
      </c>
    </row>
    <row r="1107" spans="1:17">
      <c r="A1107" t="s">
        <v>7109</v>
      </c>
      <c r="B1107" t="s">
        <v>64</v>
      </c>
      <c r="C1107" t="s">
        <v>65</v>
      </c>
      <c r="D1107" t="s">
        <v>4531</v>
      </c>
      <c r="E1107" t="s">
        <v>1151</v>
      </c>
      <c r="F1107" t="s">
        <v>421</v>
      </c>
      <c r="G1107">
        <v>1728</v>
      </c>
      <c r="H1107" t="s">
        <v>951</v>
      </c>
      <c r="I1107">
        <v>46295</v>
      </c>
      <c r="J1107" t="s">
        <v>7110</v>
      </c>
      <c r="K1107" s="1401">
        <v>46300</v>
      </c>
      <c r="L1107" s="1401">
        <v>46358</v>
      </c>
      <c r="M1107" s="1401">
        <v>46358.25</v>
      </c>
      <c r="N1107" s="1401" t="s">
        <v>2525</v>
      </c>
      <c r="O1107" t="s">
        <v>10683</v>
      </c>
      <c r="P1107" s="1401" t="s">
        <v>2525</v>
      </c>
      <c r="Q1107" s="1401">
        <v>46366.25</v>
      </c>
    </row>
    <row r="1108" spans="1:17">
      <c r="A1108" t="s">
        <v>7171</v>
      </c>
      <c r="B1108" t="s">
        <v>64</v>
      </c>
      <c r="C1108" t="s">
        <v>100</v>
      </c>
      <c r="D1108" t="s">
        <v>4531</v>
      </c>
      <c r="E1108" t="s">
        <v>71</v>
      </c>
      <c r="F1108" t="s">
        <v>72</v>
      </c>
      <c r="G1108">
        <v>864</v>
      </c>
      <c r="H1108" t="s">
        <v>2525</v>
      </c>
      <c r="I1108">
        <v>46300</v>
      </c>
      <c r="J1108" t="s">
        <v>7172</v>
      </c>
      <c r="K1108" s="1401">
        <v>46306</v>
      </c>
      <c r="L1108" s="1401">
        <v>46351</v>
      </c>
      <c r="M1108" s="1401"/>
      <c r="N1108" s="1401" t="s">
        <v>2525</v>
      </c>
      <c r="O1108" t="s">
        <v>10683</v>
      </c>
      <c r="P1108" s="1401" t="s">
        <v>2525</v>
      </c>
      <c r="Q1108" s="1401">
        <v>46358</v>
      </c>
    </row>
    <row r="1109" spans="1:17">
      <c r="A1109" t="s">
        <v>7169</v>
      </c>
      <c r="B1109" t="s">
        <v>64</v>
      </c>
      <c r="C1109" t="s">
        <v>100</v>
      </c>
      <c r="D1109" t="s">
        <v>4531</v>
      </c>
      <c r="E1109" t="s">
        <v>71</v>
      </c>
      <c r="F1109" t="s">
        <v>72</v>
      </c>
      <c r="G1109">
        <v>5184</v>
      </c>
      <c r="H1109" t="s">
        <v>2525</v>
      </c>
      <c r="I1109">
        <v>46300</v>
      </c>
      <c r="J1109" t="s">
        <v>7170</v>
      </c>
      <c r="K1109" s="1401">
        <v>46306</v>
      </c>
      <c r="L1109" s="1401">
        <v>46351</v>
      </c>
      <c r="M1109" s="1401">
        <v>46351.104166666664</v>
      </c>
      <c r="N1109" s="1401" t="s">
        <v>2525</v>
      </c>
      <c r="O1109" t="s">
        <v>10683</v>
      </c>
      <c r="P1109" s="1401" t="s">
        <v>2525</v>
      </c>
      <c r="Q1109" s="1401">
        <v>46358.104166666664</v>
      </c>
    </row>
    <row r="1110" spans="1:17">
      <c r="A1110" t="s">
        <v>7125</v>
      </c>
      <c r="B1110" t="s">
        <v>64</v>
      </c>
      <c r="C1110" t="s">
        <v>100</v>
      </c>
      <c r="D1110" t="s">
        <v>4531</v>
      </c>
      <c r="E1110" t="s">
        <v>71</v>
      </c>
      <c r="F1110" t="s">
        <v>72</v>
      </c>
      <c r="G1110">
        <v>1728</v>
      </c>
      <c r="H1110" t="s">
        <v>951</v>
      </c>
      <c r="I1110">
        <v>46294</v>
      </c>
      <c r="J1110" t="s">
        <v>7127</v>
      </c>
      <c r="K1110" s="1401">
        <v>46300</v>
      </c>
      <c r="L1110" s="1401">
        <v>46346</v>
      </c>
      <c r="M1110" s="1401">
        <v>46346.333333333336</v>
      </c>
      <c r="N1110" s="1401" t="s">
        <v>2525</v>
      </c>
      <c r="O1110" t="s">
        <v>10683</v>
      </c>
      <c r="P1110" s="1401" t="s">
        <v>2525</v>
      </c>
      <c r="Q1110" s="1401">
        <v>46353.333333333336</v>
      </c>
    </row>
    <row r="1111" spans="1:17">
      <c r="A1111" t="s">
        <v>7121</v>
      </c>
      <c r="B1111" t="s">
        <v>64</v>
      </c>
      <c r="C1111" t="s">
        <v>100</v>
      </c>
      <c r="D1111" t="s">
        <v>4531</v>
      </c>
      <c r="E1111" t="s">
        <v>71</v>
      </c>
      <c r="F1111" t="s">
        <v>72</v>
      </c>
      <c r="G1111">
        <v>4320</v>
      </c>
      <c r="H1111" t="s">
        <v>951</v>
      </c>
      <c r="I1111">
        <v>46294</v>
      </c>
      <c r="J1111" t="s">
        <v>7122</v>
      </c>
      <c r="K1111" s="1401">
        <v>46300</v>
      </c>
      <c r="L1111" s="1401">
        <v>46346</v>
      </c>
      <c r="M1111" s="1401">
        <v>46346.333333333336</v>
      </c>
      <c r="N1111" s="1401" t="s">
        <v>2525</v>
      </c>
      <c r="O1111" t="s">
        <v>10683</v>
      </c>
      <c r="P1111" s="1401" t="s">
        <v>2525</v>
      </c>
      <c r="Q1111" s="1401">
        <v>46353.333333333336</v>
      </c>
    </row>
    <row r="1112" spans="1:17">
      <c r="A1112" t="s">
        <v>7144</v>
      </c>
      <c r="B1112" t="s">
        <v>64</v>
      </c>
      <c r="C1112" t="s">
        <v>310</v>
      </c>
      <c r="D1112" t="s">
        <v>550</v>
      </c>
      <c r="E1112" t="s">
        <v>2134</v>
      </c>
      <c r="F1112" t="s">
        <v>2135</v>
      </c>
      <c r="G1112">
        <v>3960</v>
      </c>
      <c r="H1112" t="s">
        <v>2525</v>
      </c>
      <c r="I1112">
        <v>46303</v>
      </c>
      <c r="J1112" t="s">
        <v>7146</v>
      </c>
      <c r="K1112" s="1401">
        <v>46311</v>
      </c>
      <c r="L1112" s="1401">
        <v>46358</v>
      </c>
      <c r="M1112" s="1401">
        <v>46358.25</v>
      </c>
      <c r="N1112" s="1401" t="s">
        <v>2525</v>
      </c>
      <c r="O1112" t="s">
        <v>10683</v>
      </c>
      <c r="P1112" s="1401" t="s">
        <v>2525</v>
      </c>
      <c r="Q1112" s="1401">
        <v>46368.25</v>
      </c>
    </row>
    <row r="1113" spans="1:17">
      <c r="A1113" t="s">
        <v>6999</v>
      </c>
      <c r="B1113" t="s">
        <v>64</v>
      </c>
      <c r="C1113" t="s">
        <v>114</v>
      </c>
      <c r="D1113" t="s">
        <v>550</v>
      </c>
      <c r="E1113" t="s">
        <v>2134</v>
      </c>
      <c r="F1113" t="s">
        <v>2135</v>
      </c>
      <c r="G1113">
        <v>792</v>
      </c>
      <c r="H1113" t="s">
        <v>951</v>
      </c>
      <c r="I1113">
        <v>46290</v>
      </c>
      <c r="J1113" t="s">
        <v>7000</v>
      </c>
      <c r="K1113" s="1401">
        <v>46297</v>
      </c>
      <c r="L1113" s="1401">
        <v>46331</v>
      </c>
      <c r="M1113" s="1401">
        <v>46338.833333333336</v>
      </c>
      <c r="N1113" s="1401" t="s">
        <v>2525</v>
      </c>
      <c r="O1113" t="s">
        <v>10683</v>
      </c>
      <c r="P1113" s="1401" t="s">
        <v>2525</v>
      </c>
      <c r="Q1113" s="1401">
        <v>46347.833333333336</v>
      </c>
    </row>
    <row r="1114" spans="1:17">
      <c r="A1114" t="s">
        <v>7096</v>
      </c>
      <c r="B1114" t="s">
        <v>64</v>
      </c>
      <c r="C1114" t="s">
        <v>450</v>
      </c>
      <c r="D1114" t="s">
        <v>550</v>
      </c>
      <c r="E1114" t="s">
        <v>2134</v>
      </c>
      <c r="F1114" t="s">
        <v>2135</v>
      </c>
      <c r="G1114">
        <v>1584</v>
      </c>
      <c r="H1114" t="s">
        <v>951</v>
      </c>
      <c r="I1114">
        <v>46298</v>
      </c>
      <c r="J1114" t="s">
        <v>7097</v>
      </c>
      <c r="K1114" s="1401">
        <v>46296</v>
      </c>
      <c r="L1114" s="1401">
        <v>46334</v>
      </c>
      <c r="M1114" s="1401">
        <v>46338.9375</v>
      </c>
      <c r="N1114" s="1401" t="s">
        <v>2525</v>
      </c>
      <c r="O1114" t="s">
        <v>10683</v>
      </c>
      <c r="P1114" s="1401" t="s">
        <v>2525</v>
      </c>
      <c r="Q1114" s="1401">
        <v>46345.9375</v>
      </c>
    </row>
    <row r="1115" spans="1:17">
      <c r="A1115" t="s">
        <v>7056</v>
      </c>
      <c r="B1115" t="s">
        <v>64</v>
      </c>
      <c r="C1115" t="s">
        <v>100</v>
      </c>
      <c r="D1115" t="s">
        <v>550</v>
      </c>
      <c r="E1115" t="s">
        <v>2134</v>
      </c>
      <c r="F1115" t="s">
        <v>2135</v>
      </c>
      <c r="G1115">
        <v>3960</v>
      </c>
      <c r="H1115" t="s">
        <v>2525</v>
      </c>
      <c r="I1115">
        <v>46295</v>
      </c>
      <c r="J1115" t="s">
        <v>7057</v>
      </c>
      <c r="K1115" s="1401">
        <v>46301</v>
      </c>
      <c r="L1115" s="1401">
        <v>46337</v>
      </c>
      <c r="M1115" s="1401" t="s">
        <v>2525</v>
      </c>
      <c r="N1115" s="1401" t="s">
        <v>2525</v>
      </c>
      <c r="O1115" t="s">
        <v>10683</v>
      </c>
      <c r="P1115" s="1401" t="s">
        <v>2525</v>
      </c>
      <c r="Q1115" s="1401">
        <v>46344</v>
      </c>
    </row>
    <row r="1116" spans="1:17">
      <c r="A1116" t="s">
        <v>6991</v>
      </c>
      <c r="B1116" t="s">
        <v>64</v>
      </c>
      <c r="C1116" t="s">
        <v>310</v>
      </c>
      <c r="D1116" t="s">
        <v>550</v>
      </c>
      <c r="E1116" t="s">
        <v>2134</v>
      </c>
      <c r="F1116" t="s">
        <v>2135</v>
      </c>
      <c r="G1116">
        <v>3168</v>
      </c>
      <c r="H1116" t="s">
        <v>2525</v>
      </c>
      <c r="I1116">
        <v>46291</v>
      </c>
      <c r="J1116" t="s">
        <v>6992</v>
      </c>
      <c r="K1116" s="1401">
        <v>46297</v>
      </c>
      <c r="L1116" s="1401">
        <v>46341</v>
      </c>
      <c r="M1116" s="1401">
        <v>46348.75</v>
      </c>
      <c r="N1116" s="1401" t="s">
        <v>2525</v>
      </c>
      <c r="O1116" t="s">
        <v>10683</v>
      </c>
      <c r="P1116" s="1401" t="s">
        <v>2525</v>
      </c>
      <c r="Q1116" s="1401">
        <v>46358.75</v>
      </c>
    </row>
    <row r="1117" spans="1:17">
      <c r="A1117" t="s">
        <v>6986</v>
      </c>
      <c r="B1117" t="s">
        <v>64</v>
      </c>
      <c r="C1117" t="s">
        <v>310</v>
      </c>
      <c r="D1117" t="s">
        <v>550</v>
      </c>
      <c r="E1117" t="s">
        <v>2134</v>
      </c>
      <c r="F1117" t="s">
        <v>2135</v>
      </c>
      <c r="G1117">
        <v>3168</v>
      </c>
      <c r="H1117" t="s">
        <v>2525</v>
      </c>
      <c r="I1117">
        <v>46291</v>
      </c>
      <c r="J1117" t="s">
        <v>6987</v>
      </c>
      <c r="K1117" s="1401">
        <v>46297</v>
      </c>
      <c r="L1117" s="1401">
        <v>46344</v>
      </c>
      <c r="M1117" s="1401">
        <v>46344.25</v>
      </c>
      <c r="N1117" s="1401" t="s">
        <v>2525</v>
      </c>
      <c r="O1117" t="s">
        <v>10683</v>
      </c>
      <c r="P1117" s="1401" t="s">
        <v>2525</v>
      </c>
      <c r="Q1117" s="1401">
        <v>46354.25</v>
      </c>
    </row>
    <row r="1118" spans="1:17">
      <c r="A1118" t="s">
        <v>6982</v>
      </c>
      <c r="B1118" t="s">
        <v>64</v>
      </c>
      <c r="C1118" t="s">
        <v>100</v>
      </c>
      <c r="D1118" t="s">
        <v>550</v>
      </c>
      <c r="E1118" t="s">
        <v>2134</v>
      </c>
      <c r="F1118" t="s">
        <v>2135</v>
      </c>
      <c r="G1118">
        <v>3960</v>
      </c>
      <c r="H1118" t="s">
        <v>2525</v>
      </c>
      <c r="I1118">
        <v>46292</v>
      </c>
      <c r="J1118" t="s">
        <v>6983</v>
      </c>
      <c r="K1118" s="1401">
        <v>46297</v>
      </c>
      <c r="L1118" s="1401">
        <v>46334</v>
      </c>
      <c r="M1118" s="1401"/>
      <c r="N1118" s="1401" t="s">
        <v>2525</v>
      </c>
      <c r="O1118" t="s">
        <v>10683</v>
      </c>
      <c r="P1118" s="1401" t="s">
        <v>2525</v>
      </c>
      <c r="Q1118" s="1401">
        <v>46341</v>
      </c>
    </row>
    <row r="1119" spans="1:17">
      <c r="A1119" t="s">
        <v>7094</v>
      </c>
      <c r="B1119" t="s">
        <v>64</v>
      </c>
      <c r="C1119" t="s">
        <v>100</v>
      </c>
      <c r="D1119" t="s">
        <v>550</v>
      </c>
      <c r="E1119" t="s">
        <v>2134</v>
      </c>
      <c r="F1119" t="s">
        <v>2135</v>
      </c>
      <c r="G1119">
        <v>792</v>
      </c>
      <c r="H1119" t="s">
        <v>951</v>
      </c>
      <c r="I1119">
        <v>46302</v>
      </c>
      <c r="J1119" t="s">
        <v>7095</v>
      </c>
      <c r="K1119" s="1401">
        <v>46302</v>
      </c>
      <c r="L1119" s="1401">
        <v>46337</v>
      </c>
      <c r="M1119" s="1401">
        <v>46335.875</v>
      </c>
      <c r="N1119" s="1401" t="s">
        <v>2525</v>
      </c>
      <c r="O1119" t="s">
        <v>10683</v>
      </c>
      <c r="P1119" s="1401" t="s">
        <v>2525</v>
      </c>
      <c r="Q1119" s="1401">
        <v>46342.875</v>
      </c>
    </row>
    <row r="1120" spans="1:17">
      <c r="A1120" t="s">
        <v>6977</v>
      </c>
      <c r="B1120" t="s">
        <v>64</v>
      </c>
      <c r="C1120" t="s">
        <v>100</v>
      </c>
      <c r="D1120" t="s">
        <v>550</v>
      </c>
      <c r="E1120" t="s">
        <v>2134</v>
      </c>
      <c r="F1120" t="s">
        <v>2135</v>
      </c>
      <c r="G1120">
        <v>792</v>
      </c>
      <c r="H1120" t="s">
        <v>2525</v>
      </c>
      <c r="I1120">
        <v>46292</v>
      </c>
      <c r="J1120" t="s">
        <v>6978</v>
      </c>
      <c r="K1120" s="1401">
        <v>46297</v>
      </c>
      <c r="L1120" s="1401">
        <v>46334</v>
      </c>
      <c r="M1120" s="1401" t="s">
        <v>2525</v>
      </c>
      <c r="N1120" s="1401" t="s">
        <v>2525</v>
      </c>
      <c r="O1120" t="s">
        <v>10683</v>
      </c>
      <c r="P1120" s="1401" t="s">
        <v>2525</v>
      </c>
      <c r="Q1120" s="1401">
        <v>46341</v>
      </c>
    </row>
    <row r="1121" spans="1:17">
      <c r="A1121" t="s">
        <v>7159</v>
      </c>
      <c r="B1121" t="s">
        <v>64</v>
      </c>
      <c r="C1121" t="s">
        <v>65</v>
      </c>
      <c r="D1121" t="s">
        <v>550</v>
      </c>
      <c r="E1121" t="s">
        <v>551</v>
      </c>
      <c r="F1121" t="s">
        <v>2151</v>
      </c>
      <c r="G1121">
        <v>1584</v>
      </c>
      <c r="H1121" t="s">
        <v>2525</v>
      </c>
      <c r="I1121">
        <v>46303</v>
      </c>
      <c r="J1121" t="s">
        <v>7161</v>
      </c>
      <c r="K1121" s="1401">
        <v>46311</v>
      </c>
      <c r="L1121" s="1401">
        <v>46363</v>
      </c>
      <c r="M1121" s="1401"/>
      <c r="N1121" s="1401"/>
      <c r="O1121" t="s">
        <v>10683</v>
      </c>
      <c r="P1121" s="1401" t="s">
        <v>2525</v>
      </c>
      <c r="Q1121" s="1401">
        <v>46371</v>
      </c>
    </row>
    <row r="1122" spans="1:17">
      <c r="A1122" t="s">
        <v>7150</v>
      </c>
      <c r="B1122" t="s">
        <v>64</v>
      </c>
      <c r="C1122" t="s">
        <v>114</v>
      </c>
      <c r="D1122" t="s">
        <v>170</v>
      </c>
      <c r="E1122" t="s">
        <v>171</v>
      </c>
      <c r="F1122" t="s">
        <v>1731</v>
      </c>
      <c r="G1122">
        <v>1320</v>
      </c>
      <c r="I1122">
        <v>46303</v>
      </c>
      <c r="J1122" t="s">
        <v>7152</v>
      </c>
      <c r="K1122" s="1401">
        <v>46311</v>
      </c>
      <c r="L1122" s="1401">
        <v>46366</v>
      </c>
      <c r="M1122" s="1401">
        <v>46366.625</v>
      </c>
      <c r="N1122" s="1401" t="s">
        <v>2525</v>
      </c>
      <c r="O1122" t="s">
        <v>10683</v>
      </c>
      <c r="P1122" s="1401" t="s">
        <v>2525</v>
      </c>
      <c r="Q1122" s="1401">
        <v>46375.625</v>
      </c>
    </row>
    <row r="1123" spans="1:17">
      <c r="A1123" t="s">
        <v>7105</v>
      </c>
      <c r="B1123" t="s">
        <v>64</v>
      </c>
      <c r="C1123" t="s">
        <v>450</v>
      </c>
      <c r="D1123" t="s">
        <v>4531</v>
      </c>
      <c r="E1123" t="s">
        <v>7037</v>
      </c>
      <c r="F1123" t="s">
        <v>7038</v>
      </c>
      <c r="G1123">
        <v>864</v>
      </c>
      <c r="H1123" t="s">
        <v>951</v>
      </c>
      <c r="I1123">
        <v>46295</v>
      </c>
      <c r="J1123" t="s">
        <v>7106</v>
      </c>
      <c r="K1123" s="1401">
        <v>46300</v>
      </c>
      <c r="L1123" s="1401">
        <v>46355</v>
      </c>
      <c r="M1123" s="1401">
        <v>46355.020833333336</v>
      </c>
      <c r="N1123" s="1401" t="s">
        <v>2525</v>
      </c>
      <c r="O1123" t="s">
        <v>10683</v>
      </c>
      <c r="P1123" s="1401" t="s">
        <v>2525</v>
      </c>
      <c r="Q1123" s="1401">
        <v>46362.020833333336</v>
      </c>
    </row>
    <row r="1124" spans="1:17">
      <c r="A1124" t="s">
        <v>7155</v>
      </c>
      <c r="B1124" t="s">
        <v>64</v>
      </c>
      <c r="C1124" t="s">
        <v>310</v>
      </c>
      <c r="D1124" t="s">
        <v>170</v>
      </c>
      <c r="E1124" t="s">
        <v>171</v>
      </c>
      <c r="F1124" t="s">
        <v>1731</v>
      </c>
      <c r="G1124">
        <v>1980</v>
      </c>
      <c r="I1124">
        <v>46303</v>
      </c>
      <c r="J1124" t="s">
        <v>7156</v>
      </c>
      <c r="K1124" s="1401">
        <v>46311</v>
      </c>
      <c r="L1124" s="1401">
        <v>46360</v>
      </c>
      <c r="M1124" s="1401"/>
      <c r="N1124" s="1401" t="s">
        <v>2525</v>
      </c>
      <c r="O1124" t="s">
        <v>10683</v>
      </c>
      <c r="P1124" s="1401" t="s">
        <v>2525</v>
      </c>
      <c r="Q1124" s="1401">
        <v>46370</v>
      </c>
    </row>
    <row r="1125" spans="1:17">
      <c r="A1125" t="s">
        <v>7177</v>
      </c>
      <c r="B1125" t="s">
        <v>64</v>
      </c>
      <c r="C1125" t="s">
        <v>450</v>
      </c>
      <c r="D1125" t="s">
        <v>4531</v>
      </c>
      <c r="E1125" t="s">
        <v>7037</v>
      </c>
      <c r="F1125" t="s">
        <v>7038</v>
      </c>
      <c r="G1125">
        <v>864</v>
      </c>
      <c r="H1125" t="s">
        <v>2525</v>
      </c>
      <c r="I1125">
        <v>46300</v>
      </c>
      <c r="J1125" t="s">
        <v>7178</v>
      </c>
      <c r="K1125" s="1401">
        <v>46306</v>
      </c>
      <c r="L1125" s="1401">
        <v>46362</v>
      </c>
      <c r="M1125" s="1401">
        <v>46362.041666666664</v>
      </c>
      <c r="N1125" s="1401" t="s">
        <v>2525</v>
      </c>
      <c r="O1125" t="s">
        <v>10683</v>
      </c>
      <c r="P1125" s="1401" t="s">
        <v>2525</v>
      </c>
      <c r="Q1125" s="1401">
        <v>46369.041666666664</v>
      </c>
    </row>
    <row r="1126" spans="1:17">
      <c r="A1126" t="s">
        <v>7073</v>
      </c>
      <c r="B1126" t="s">
        <v>144</v>
      </c>
      <c r="C1126" t="s">
        <v>145</v>
      </c>
      <c r="D1126" t="s">
        <v>4531</v>
      </c>
      <c r="E1126" t="s">
        <v>6235</v>
      </c>
      <c r="F1126" t="s">
        <v>330</v>
      </c>
      <c r="G1126">
        <v>720</v>
      </c>
      <c r="H1126" t="s">
        <v>951</v>
      </c>
      <c r="I1126">
        <v>46283</v>
      </c>
      <c r="J1126" t="s">
        <v>7075</v>
      </c>
      <c r="K1126" s="1401">
        <v>46288</v>
      </c>
      <c r="L1126" s="1401">
        <v>46298</v>
      </c>
      <c r="M1126" s="1401">
        <v>46307</v>
      </c>
      <c r="N1126" s="1401" t="s">
        <v>2525</v>
      </c>
      <c r="O1126" t="s">
        <v>10683</v>
      </c>
      <c r="P1126" s="1401" t="s">
        <v>2525</v>
      </c>
      <c r="Q1126" s="1401">
        <v>46307</v>
      </c>
    </row>
    <row r="1127" spans="1:17">
      <c r="A1127" t="s">
        <v>7939</v>
      </c>
      <c r="B1127" t="s">
        <v>64</v>
      </c>
      <c r="C1127" t="s">
        <v>65</v>
      </c>
      <c r="E1127" t="s">
        <v>7460</v>
      </c>
      <c r="F1127" t="s">
        <v>7462</v>
      </c>
      <c r="G1127">
        <v>276</v>
      </c>
      <c r="H1127" t="s">
        <v>2525</v>
      </c>
      <c r="J1127" t="s">
        <v>8004</v>
      </c>
      <c r="K1127" s="1401"/>
      <c r="L1127" s="1401">
        <v>46351</v>
      </c>
      <c r="M1127" s="1401">
        <v>46351</v>
      </c>
      <c r="N1127" s="1401"/>
      <c r="O1127" t="s">
        <v>10683</v>
      </c>
      <c r="P1127" s="1401" t="s">
        <v>2525</v>
      </c>
      <c r="Q1127" s="1401">
        <v>46359</v>
      </c>
    </row>
    <row r="1128" spans="1:17">
      <c r="A1128" t="s">
        <v>7608</v>
      </c>
      <c r="B1128" t="s">
        <v>64</v>
      </c>
      <c r="C1128" t="s">
        <v>100</v>
      </c>
      <c r="E1128" t="s">
        <v>7586</v>
      </c>
      <c r="F1128" t="s">
        <v>7588</v>
      </c>
      <c r="G1128">
        <v>16</v>
      </c>
      <c r="H1128" t="s">
        <v>75</v>
      </c>
      <c r="J1128" t="s">
        <v>7610</v>
      </c>
      <c r="K1128" s="1401"/>
      <c r="L1128" s="1401">
        <v>46177</v>
      </c>
      <c r="M1128" s="1401">
        <v>46177</v>
      </c>
      <c r="N1128" s="1401">
        <v>46178</v>
      </c>
      <c r="O1128" t="s">
        <v>10683</v>
      </c>
      <c r="P1128" s="1401" t="s">
        <v>2525</v>
      </c>
      <c r="Q1128" s="1401">
        <v>46192</v>
      </c>
    </row>
    <row r="1129" spans="1:17">
      <c r="A1129" t="s">
        <v>7961</v>
      </c>
      <c r="B1129" t="s">
        <v>64</v>
      </c>
      <c r="C1129" t="s">
        <v>114</v>
      </c>
      <c r="E1129" t="s">
        <v>7446</v>
      </c>
      <c r="F1129" t="s">
        <v>7447</v>
      </c>
      <c r="G1129">
        <v>38</v>
      </c>
      <c r="H1129" t="s">
        <v>951</v>
      </c>
      <c r="J1129" t="s">
        <v>7957</v>
      </c>
      <c r="K1129" s="1401"/>
      <c r="L1129" s="1401">
        <v>46324</v>
      </c>
      <c r="M1129" s="1401">
        <v>46326</v>
      </c>
      <c r="N1129" s="1401"/>
      <c r="O1129" t="s">
        <v>10683</v>
      </c>
      <c r="P1129" s="1401" t="s">
        <v>2525</v>
      </c>
      <c r="Q1129" s="1401">
        <v>46335</v>
      </c>
    </row>
    <row r="1130" spans="1:17">
      <c r="A1130" t="s">
        <v>7955</v>
      </c>
      <c r="B1130" t="s">
        <v>64</v>
      </c>
      <c r="C1130" t="s">
        <v>114</v>
      </c>
      <c r="E1130" t="s">
        <v>7437</v>
      </c>
      <c r="F1130" t="s">
        <v>7439</v>
      </c>
      <c r="G1130">
        <v>90</v>
      </c>
      <c r="H1130" t="s">
        <v>951</v>
      </c>
      <c r="J1130" t="s">
        <v>7957</v>
      </c>
      <c r="K1130" s="1401"/>
      <c r="L1130" s="1401">
        <v>46324</v>
      </c>
      <c r="M1130" s="1401">
        <v>46326</v>
      </c>
      <c r="N1130" s="1401"/>
      <c r="O1130" t="s">
        <v>10683</v>
      </c>
      <c r="P1130" s="1401" t="s">
        <v>2525</v>
      </c>
      <c r="Q1130" s="1401">
        <v>46335</v>
      </c>
    </row>
    <row r="1131" spans="1:17">
      <c r="A1131" t="s">
        <v>7962</v>
      </c>
      <c r="B1131" t="s">
        <v>64</v>
      </c>
      <c r="C1131" t="s">
        <v>114</v>
      </c>
      <c r="E1131" t="s">
        <v>7446</v>
      </c>
      <c r="F1131" t="s">
        <v>7447</v>
      </c>
      <c r="G1131">
        <v>2</v>
      </c>
      <c r="H1131" t="s">
        <v>951</v>
      </c>
      <c r="J1131" t="s">
        <v>7957</v>
      </c>
      <c r="K1131" s="1401"/>
      <c r="L1131" s="1401">
        <v>46324</v>
      </c>
      <c r="M1131" s="1401">
        <v>46326</v>
      </c>
      <c r="N1131" s="1401"/>
      <c r="O1131" t="s">
        <v>10683</v>
      </c>
      <c r="P1131" s="1401" t="s">
        <v>2525</v>
      </c>
      <c r="Q1131" s="1401">
        <v>46335</v>
      </c>
    </row>
    <row r="1132" spans="1:17">
      <c r="A1132" t="s">
        <v>7963</v>
      </c>
      <c r="B1132" t="s">
        <v>64</v>
      </c>
      <c r="C1132" t="s">
        <v>114</v>
      </c>
      <c r="E1132" t="s">
        <v>7449</v>
      </c>
      <c r="F1132" t="s">
        <v>7451</v>
      </c>
      <c r="G1132">
        <v>130</v>
      </c>
      <c r="H1132" t="s">
        <v>951</v>
      </c>
      <c r="J1132" t="s">
        <v>7957</v>
      </c>
      <c r="K1132" s="1401"/>
      <c r="L1132" s="1401">
        <v>46324</v>
      </c>
      <c r="M1132" s="1401">
        <v>46326</v>
      </c>
      <c r="N1132" s="1401"/>
      <c r="O1132" t="s">
        <v>10683</v>
      </c>
      <c r="P1132" s="1401" t="s">
        <v>2525</v>
      </c>
      <c r="Q1132" s="1401">
        <v>46335</v>
      </c>
    </row>
    <row r="1133" spans="1:17">
      <c r="A1133" t="s">
        <v>7964</v>
      </c>
      <c r="B1133" t="s">
        <v>64</v>
      </c>
      <c r="C1133" t="s">
        <v>65</v>
      </c>
      <c r="E1133" t="s">
        <v>7471</v>
      </c>
      <c r="F1133" t="s">
        <v>7472</v>
      </c>
      <c r="G1133">
        <v>18</v>
      </c>
      <c r="H1133" t="s">
        <v>951</v>
      </c>
      <c r="J1133" t="s">
        <v>7965</v>
      </c>
      <c r="K1133" s="1401"/>
      <c r="L1133" s="1401">
        <v>46342</v>
      </c>
      <c r="M1133" s="1401">
        <v>46342</v>
      </c>
      <c r="N1133" s="1401"/>
      <c r="O1133" t="s">
        <v>10683</v>
      </c>
      <c r="P1133" s="1401" t="s">
        <v>2525</v>
      </c>
      <c r="Q1133" s="1401">
        <v>46350</v>
      </c>
    </row>
    <row r="1134" spans="1:17">
      <c r="A1134" t="s">
        <v>7969</v>
      </c>
      <c r="B1134" t="s">
        <v>64</v>
      </c>
      <c r="C1134" t="s">
        <v>65</v>
      </c>
      <c r="E1134" t="s">
        <v>7471</v>
      </c>
      <c r="F1134" t="s">
        <v>7472</v>
      </c>
      <c r="G1134">
        <v>2</v>
      </c>
      <c r="H1134" t="s">
        <v>951</v>
      </c>
      <c r="J1134" t="s">
        <v>7965</v>
      </c>
      <c r="K1134" s="1401"/>
      <c r="L1134" s="1401">
        <v>46342</v>
      </c>
      <c r="M1134" s="1401">
        <v>46342</v>
      </c>
      <c r="N1134" s="1401"/>
      <c r="O1134" t="s">
        <v>10683</v>
      </c>
      <c r="P1134" s="1401" t="s">
        <v>2525</v>
      </c>
      <c r="Q1134" s="1401">
        <v>46350</v>
      </c>
    </row>
    <row r="1135" spans="1:17">
      <c r="A1135" t="s">
        <v>7970</v>
      </c>
      <c r="B1135" t="s">
        <v>64</v>
      </c>
      <c r="C1135" t="s">
        <v>65</v>
      </c>
      <c r="E1135" t="s">
        <v>7437</v>
      </c>
      <c r="F1135" t="s">
        <v>7439</v>
      </c>
      <c r="G1135">
        <v>94</v>
      </c>
      <c r="H1135" t="s">
        <v>951</v>
      </c>
      <c r="J1135" t="s">
        <v>7965</v>
      </c>
      <c r="K1135" s="1401"/>
      <c r="L1135" s="1401">
        <v>46342</v>
      </c>
      <c r="M1135" s="1401">
        <v>46342</v>
      </c>
      <c r="N1135" s="1401"/>
      <c r="O1135" t="s">
        <v>10683</v>
      </c>
      <c r="P1135" s="1401" t="s">
        <v>2525</v>
      </c>
      <c r="Q1135" s="1401">
        <v>46350</v>
      </c>
    </row>
    <row r="1136" spans="1:17">
      <c r="A1136" t="s">
        <v>7972</v>
      </c>
      <c r="B1136" t="s">
        <v>64</v>
      </c>
      <c r="C1136" t="s">
        <v>65</v>
      </c>
      <c r="E1136" t="s">
        <v>7449</v>
      </c>
      <c r="F1136" t="s">
        <v>7451</v>
      </c>
      <c r="G1136">
        <v>111</v>
      </c>
      <c r="H1136" t="s">
        <v>951</v>
      </c>
      <c r="J1136" t="s">
        <v>7965</v>
      </c>
      <c r="K1136" s="1401"/>
      <c r="L1136" s="1401">
        <v>46342</v>
      </c>
      <c r="M1136" s="1401">
        <v>46342</v>
      </c>
      <c r="N1136" s="1401"/>
      <c r="O1136" t="s">
        <v>10683</v>
      </c>
      <c r="P1136" s="1401" t="s">
        <v>2525</v>
      </c>
      <c r="Q1136" s="1401">
        <v>46350</v>
      </c>
    </row>
    <row r="1137" spans="1:17">
      <c r="A1137" t="s">
        <v>7973</v>
      </c>
      <c r="B1137" t="s">
        <v>64</v>
      </c>
      <c r="C1137" t="s">
        <v>65</v>
      </c>
      <c r="E1137" t="s">
        <v>7449</v>
      </c>
      <c r="F1137" t="s">
        <v>7451</v>
      </c>
      <c r="G1137">
        <v>19</v>
      </c>
      <c r="H1137" t="s">
        <v>951</v>
      </c>
      <c r="J1137" t="s">
        <v>7965</v>
      </c>
      <c r="K1137" s="1401"/>
      <c r="L1137" s="1401">
        <v>46342</v>
      </c>
      <c r="M1137" s="1401">
        <v>46342</v>
      </c>
      <c r="N1137" s="1401"/>
      <c r="O1137" t="s">
        <v>10683</v>
      </c>
      <c r="P1137" s="1401" t="s">
        <v>2525</v>
      </c>
      <c r="Q1137" s="1401">
        <v>46350</v>
      </c>
    </row>
    <row r="1138" spans="1:17">
      <c r="A1138" t="s">
        <v>7974</v>
      </c>
      <c r="B1138" t="s">
        <v>64</v>
      </c>
      <c r="C1138" t="s">
        <v>65</v>
      </c>
      <c r="E1138" t="s">
        <v>7425</v>
      </c>
      <c r="F1138" t="s">
        <v>7427</v>
      </c>
      <c r="G1138">
        <v>180</v>
      </c>
      <c r="H1138" t="s">
        <v>951</v>
      </c>
      <c r="J1138" t="s">
        <v>7965</v>
      </c>
      <c r="K1138" s="1401"/>
      <c r="L1138" s="1401">
        <v>46342</v>
      </c>
      <c r="M1138" s="1401">
        <v>46342</v>
      </c>
      <c r="N1138" s="1401"/>
      <c r="O1138" t="s">
        <v>10683</v>
      </c>
      <c r="P1138" s="1401" t="s">
        <v>2525</v>
      </c>
      <c r="Q1138" s="1401">
        <v>46350</v>
      </c>
    </row>
    <row r="1139" spans="1:17">
      <c r="A1139" t="s">
        <v>7975</v>
      </c>
      <c r="B1139" t="s">
        <v>64</v>
      </c>
      <c r="C1139" t="s">
        <v>65</v>
      </c>
      <c r="E1139" t="s">
        <v>7437</v>
      </c>
      <c r="F1139" t="s">
        <v>7439</v>
      </c>
      <c r="G1139">
        <v>130</v>
      </c>
      <c r="H1139" t="s">
        <v>951</v>
      </c>
      <c r="J1139" t="s">
        <v>7965</v>
      </c>
      <c r="K1139" s="1401"/>
      <c r="L1139" s="1401">
        <v>46342</v>
      </c>
      <c r="M1139" s="1401">
        <v>46342</v>
      </c>
      <c r="N1139" s="1401"/>
      <c r="O1139" t="s">
        <v>10683</v>
      </c>
      <c r="P1139" s="1401" t="s">
        <v>2525</v>
      </c>
      <c r="Q1139" s="1401">
        <v>46350</v>
      </c>
    </row>
    <row r="1140" spans="1:17">
      <c r="A1140" t="s">
        <v>7977</v>
      </c>
      <c r="B1140" t="s">
        <v>64</v>
      </c>
      <c r="C1140" t="s">
        <v>65</v>
      </c>
      <c r="E1140" t="s">
        <v>7449</v>
      </c>
      <c r="F1140" t="s">
        <v>7451</v>
      </c>
      <c r="G1140">
        <v>130</v>
      </c>
      <c r="H1140" t="s">
        <v>951</v>
      </c>
      <c r="J1140" t="s">
        <v>7965</v>
      </c>
      <c r="K1140" s="1401"/>
      <c r="L1140" s="1401">
        <v>46342</v>
      </c>
      <c r="M1140" s="1401">
        <v>46342</v>
      </c>
      <c r="N1140" s="1401"/>
      <c r="O1140" t="s">
        <v>10683</v>
      </c>
      <c r="P1140" s="1401" t="s">
        <v>2525</v>
      </c>
      <c r="Q1140" s="1401">
        <v>46350</v>
      </c>
    </row>
    <row r="1141" spans="1:17">
      <c r="A1141" t="s">
        <v>7971</v>
      </c>
      <c r="B1141" t="s">
        <v>64</v>
      </c>
      <c r="C1141" t="s">
        <v>65</v>
      </c>
      <c r="E1141" t="s">
        <v>7437</v>
      </c>
      <c r="F1141" t="s">
        <v>7439</v>
      </c>
      <c r="G1141">
        <v>16</v>
      </c>
      <c r="H1141" t="s">
        <v>951</v>
      </c>
      <c r="J1141" t="s">
        <v>7965</v>
      </c>
      <c r="K1141" s="1401"/>
      <c r="L1141" s="1401">
        <v>46342</v>
      </c>
      <c r="M1141" s="1401">
        <v>46342</v>
      </c>
      <c r="N1141" s="1401"/>
      <c r="O1141" t="s">
        <v>10683</v>
      </c>
      <c r="P1141" s="1401" t="s">
        <v>2525</v>
      </c>
      <c r="Q1141" s="1401">
        <v>46350</v>
      </c>
    </row>
    <row r="1142" spans="1:17">
      <c r="A1142" t="s">
        <v>7436</v>
      </c>
      <c r="B1142" t="s">
        <v>64</v>
      </c>
      <c r="C1142" t="s">
        <v>68</v>
      </c>
      <c r="E1142" t="s">
        <v>7437</v>
      </c>
      <c r="F1142" t="s">
        <v>7439</v>
      </c>
      <c r="G1142">
        <v>224</v>
      </c>
      <c r="H1142" t="s">
        <v>75</v>
      </c>
      <c r="J1142" t="s">
        <v>7440</v>
      </c>
      <c r="K1142" s="1401"/>
      <c r="L1142" s="1401">
        <v>46048</v>
      </c>
      <c r="M1142" s="1401">
        <v>46062</v>
      </c>
      <c r="N1142" s="1401">
        <v>46062</v>
      </c>
      <c r="O1142" t="s">
        <v>973</v>
      </c>
      <c r="P1142" s="1401">
        <v>46076</v>
      </c>
      <c r="Q1142" s="1401">
        <v>46070</v>
      </c>
    </row>
    <row r="1143" spans="1:17">
      <c r="A1143" t="s">
        <v>7448</v>
      </c>
      <c r="B1143" t="s">
        <v>64</v>
      </c>
      <c r="C1143" t="s">
        <v>68</v>
      </c>
      <c r="E1143" t="s">
        <v>7449</v>
      </c>
      <c r="F1143" t="s">
        <v>7451</v>
      </c>
      <c r="G1143">
        <v>350</v>
      </c>
      <c r="H1143" t="s">
        <v>75</v>
      </c>
      <c r="J1143" t="s">
        <v>7452</v>
      </c>
      <c r="K1143" s="1401"/>
      <c r="L1143" s="1401">
        <v>46048</v>
      </c>
      <c r="M1143" s="1401">
        <v>46062</v>
      </c>
      <c r="N1143" s="1401">
        <v>46062</v>
      </c>
      <c r="O1143" t="s">
        <v>973</v>
      </c>
      <c r="P1143" s="1401">
        <v>46076</v>
      </c>
      <c r="Q1143" s="1401">
        <v>46070</v>
      </c>
    </row>
    <row r="1144" spans="1:17">
      <c r="A1144" t="s">
        <v>7422</v>
      </c>
      <c r="B1144" t="s">
        <v>64</v>
      </c>
      <c r="C1144" t="s">
        <v>68</v>
      </c>
      <c r="E1144" t="s">
        <v>7425</v>
      </c>
      <c r="F1144" t="s">
        <v>7427</v>
      </c>
      <c r="G1144">
        <v>78</v>
      </c>
      <c r="H1144" t="s">
        <v>75</v>
      </c>
      <c r="J1144" t="s">
        <v>7428</v>
      </c>
      <c r="K1144" s="1401"/>
      <c r="L1144" s="1401">
        <v>46048</v>
      </c>
      <c r="M1144" s="1401">
        <v>46062</v>
      </c>
      <c r="N1144" s="1401">
        <v>46062</v>
      </c>
      <c r="O1144" t="s">
        <v>973</v>
      </c>
      <c r="P1144" s="1401">
        <v>46076</v>
      </c>
      <c r="Q1144" s="1401">
        <v>46070</v>
      </c>
    </row>
    <row r="1145" spans="1:17">
      <c r="A1145" t="s">
        <v>7458</v>
      </c>
      <c r="B1145" t="s">
        <v>64</v>
      </c>
      <c r="C1145" t="s">
        <v>68</v>
      </c>
      <c r="E1145" t="s">
        <v>7449</v>
      </c>
      <c r="F1145" t="s">
        <v>7451</v>
      </c>
      <c r="G1145">
        <v>12</v>
      </c>
      <c r="H1145" t="s">
        <v>75</v>
      </c>
      <c r="J1145" t="s">
        <v>7428</v>
      </c>
      <c r="K1145" s="1401"/>
      <c r="L1145" s="1401">
        <v>46048</v>
      </c>
      <c r="M1145" s="1401">
        <v>46062</v>
      </c>
      <c r="N1145" s="1401">
        <v>46062</v>
      </c>
      <c r="O1145" t="s">
        <v>973</v>
      </c>
      <c r="P1145" s="1401">
        <v>46076</v>
      </c>
      <c r="Q1145" s="1401">
        <v>46070</v>
      </c>
    </row>
    <row r="1146" spans="1:17">
      <c r="A1146" t="s">
        <v>7457</v>
      </c>
      <c r="B1146" t="s">
        <v>64</v>
      </c>
      <c r="C1146" t="s">
        <v>68</v>
      </c>
      <c r="E1146" t="s">
        <v>7446</v>
      </c>
      <c r="F1146" t="s">
        <v>7447</v>
      </c>
      <c r="G1146">
        <v>1</v>
      </c>
      <c r="H1146" t="s">
        <v>75</v>
      </c>
      <c r="J1146" t="s">
        <v>7428</v>
      </c>
      <c r="K1146" s="1401"/>
      <c r="L1146" s="1401">
        <v>46048</v>
      </c>
      <c r="M1146" s="1401">
        <v>46062</v>
      </c>
      <c r="N1146" s="1401">
        <v>46062</v>
      </c>
      <c r="O1146" t="s">
        <v>973</v>
      </c>
      <c r="P1146" s="1401">
        <v>46076</v>
      </c>
      <c r="Q1146" s="1401">
        <v>46070</v>
      </c>
    </row>
    <row r="1147" spans="1:17">
      <c r="A1147" t="s">
        <v>7456</v>
      </c>
      <c r="B1147" t="s">
        <v>64</v>
      </c>
      <c r="C1147" t="s">
        <v>68</v>
      </c>
      <c r="E1147" t="s">
        <v>7443</v>
      </c>
      <c r="F1147" t="s">
        <v>7444</v>
      </c>
      <c r="G1147">
        <v>2</v>
      </c>
      <c r="H1147" t="s">
        <v>75</v>
      </c>
      <c r="J1147" t="s">
        <v>7428</v>
      </c>
      <c r="K1147" s="1401"/>
      <c r="L1147" s="1401">
        <v>46048</v>
      </c>
      <c r="M1147" s="1401">
        <v>46062</v>
      </c>
      <c r="N1147" s="1401">
        <v>46062</v>
      </c>
      <c r="O1147" t="s">
        <v>973</v>
      </c>
      <c r="P1147" s="1401">
        <v>46076</v>
      </c>
      <c r="Q1147" s="1401">
        <v>46070</v>
      </c>
    </row>
    <row r="1148" spans="1:17">
      <c r="A1148" t="s">
        <v>7454</v>
      </c>
      <c r="B1148" t="s">
        <v>64</v>
      </c>
      <c r="C1148" t="s">
        <v>68</v>
      </c>
      <c r="E1148" t="s">
        <v>7437</v>
      </c>
      <c r="F1148" t="s">
        <v>7439</v>
      </c>
      <c r="G1148">
        <v>9</v>
      </c>
      <c r="H1148" t="s">
        <v>75</v>
      </c>
      <c r="J1148" t="s">
        <v>7428</v>
      </c>
      <c r="K1148" s="1401"/>
      <c r="L1148" s="1401">
        <v>46048</v>
      </c>
      <c r="M1148" s="1401">
        <v>46062</v>
      </c>
      <c r="N1148" s="1401">
        <v>46062</v>
      </c>
      <c r="O1148" t="s">
        <v>973</v>
      </c>
      <c r="P1148" s="1401">
        <v>46076</v>
      </c>
      <c r="Q1148" s="1401">
        <v>46070</v>
      </c>
    </row>
    <row r="1149" spans="1:17">
      <c r="A1149" t="s">
        <v>7453</v>
      </c>
      <c r="B1149" t="s">
        <v>64</v>
      </c>
      <c r="C1149" t="s">
        <v>68</v>
      </c>
      <c r="E1149" t="s">
        <v>7449</v>
      </c>
      <c r="F1149" t="s">
        <v>7451</v>
      </c>
      <c r="G1149">
        <v>45</v>
      </c>
      <c r="H1149" t="s">
        <v>75</v>
      </c>
      <c r="J1149" t="s">
        <v>7428</v>
      </c>
      <c r="K1149" s="1401"/>
      <c r="L1149" s="1401">
        <v>46048</v>
      </c>
      <c r="M1149" s="1401">
        <v>46062</v>
      </c>
      <c r="N1149" s="1401">
        <v>46062</v>
      </c>
      <c r="O1149" t="s">
        <v>973</v>
      </c>
      <c r="P1149" s="1401">
        <v>46076</v>
      </c>
      <c r="Q1149" s="1401">
        <v>46070</v>
      </c>
    </row>
    <row r="1150" spans="1:17">
      <c r="A1150" t="s">
        <v>7445</v>
      </c>
      <c r="B1150" t="s">
        <v>64</v>
      </c>
      <c r="C1150" t="s">
        <v>68</v>
      </c>
      <c r="E1150" t="s">
        <v>7446</v>
      </c>
      <c r="F1150" t="s">
        <v>7447</v>
      </c>
      <c r="G1150">
        <v>10</v>
      </c>
      <c r="H1150" t="s">
        <v>75</v>
      </c>
      <c r="J1150" t="s">
        <v>7428</v>
      </c>
      <c r="K1150" s="1401"/>
      <c r="L1150" s="1401">
        <v>46048</v>
      </c>
      <c r="M1150" s="1401">
        <v>46062</v>
      </c>
      <c r="N1150" s="1401">
        <v>46062</v>
      </c>
      <c r="O1150" t="s">
        <v>973</v>
      </c>
      <c r="P1150" s="1401">
        <v>46076</v>
      </c>
      <c r="Q1150" s="1401">
        <v>46070</v>
      </c>
    </row>
    <row r="1151" spans="1:17">
      <c r="A1151" t="s">
        <v>7442</v>
      </c>
      <c r="B1151" t="s">
        <v>64</v>
      </c>
      <c r="C1151" t="s">
        <v>68</v>
      </c>
      <c r="E1151" t="s">
        <v>7443</v>
      </c>
      <c r="F1151" t="s">
        <v>7444</v>
      </c>
      <c r="G1151">
        <v>60</v>
      </c>
      <c r="H1151" t="s">
        <v>75</v>
      </c>
      <c r="J1151" t="s">
        <v>7428</v>
      </c>
      <c r="K1151" s="1401"/>
      <c r="L1151" s="1401">
        <v>46048</v>
      </c>
      <c r="M1151" s="1401">
        <v>46062</v>
      </c>
      <c r="N1151" s="1401">
        <v>46062</v>
      </c>
      <c r="O1151" t="s">
        <v>973</v>
      </c>
      <c r="P1151" s="1401">
        <v>46076</v>
      </c>
      <c r="Q1151" s="1401">
        <v>46070</v>
      </c>
    </row>
    <row r="1152" spans="1:17">
      <c r="A1152" t="s">
        <v>7441</v>
      </c>
      <c r="B1152" t="s">
        <v>64</v>
      </c>
      <c r="C1152" t="s">
        <v>68</v>
      </c>
      <c r="E1152" t="s">
        <v>7437</v>
      </c>
      <c r="F1152" t="s">
        <v>7439</v>
      </c>
      <c r="G1152">
        <v>101</v>
      </c>
      <c r="H1152" t="s">
        <v>75</v>
      </c>
      <c r="J1152" t="s">
        <v>7428</v>
      </c>
      <c r="K1152" s="1401"/>
      <c r="L1152" s="1401">
        <v>46048</v>
      </c>
      <c r="M1152" s="1401">
        <v>46062</v>
      </c>
      <c r="N1152" s="1401">
        <v>46062</v>
      </c>
      <c r="O1152" t="s">
        <v>973</v>
      </c>
      <c r="P1152" s="1401">
        <v>46076</v>
      </c>
      <c r="Q1152" s="1401">
        <v>46070</v>
      </c>
    </row>
    <row r="1153" spans="1:17">
      <c r="A1153" t="s">
        <v>7432</v>
      </c>
      <c r="B1153" t="s">
        <v>64</v>
      </c>
      <c r="C1153" t="s">
        <v>68</v>
      </c>
      <c r="E1153" t="s">
        <v>7433</v>
      </c>
      <c r="F1153" t="s">
        <v>7435</v>
      </c>
      <c r="G1153">
        <v>24</v>
      </c>
      <c r="H1153" t="s">
        <v>75</v>
      </c>
      <c r="J1153" t="s">
        <v>7428</v>
      </c>
      <c r="K1153" s="1401"/>
      <c r="L1153" s="1401">
        <v>46048</v>
      </c>
      <c r="M1153" s="1401">
        <v>46062</v>
      </c>
      <c r="N1153" s="1401">
        <v>46062</v>
      </c>
      <c r="O1153" t="s">
        <v>973</v>
      </c>
      <c r="P1153" s="1401">
        <v>46076</v>
      </c>
      <c r="Q1153" s="1401">
        <v>46070</v>
      </c>
    </row>
    <row r="1154" spans="1:17">
      <c r="A1154" t="s">
        <v>7480</v>
      </c>
      <c r="B1154" t="s">
        <v>64</v>
      </c>
      <c r="C1154" t="s">
        <v>68</v>
      </c>
      <c r="E1154" t="s">
        <v>7449</v>
      </c>
      <c r="F1154" t="s">
        <v>7451</v>
      </c>
      <c r="G1154">
        <v>58</v>
      </c>
      <c r="H1154" t="s">
        <v>75</v>
      </c>
      <c r="J1154" t="s">
        <v>7474</v>
      </c>
      <c r="K1154" s="1401"/>
      <c r="L1154" s="1401">
        <v>46111</v>
      </c>
      <c r="M1154" s="1401">
        <v>46133</v>
      </c>
      <c r="N1154" s="1401">
        <v>46132</v>
      </c>
      <c r="O1154" t="s">
        <v>973</v>
      </c>
      <c r="P1154" s="1401">
        <v>46142</v>
      </c>
      <c r="Q1154" s="1401">
        <v>46140</v>
      </c>
    </row>
    <row r="1155" spans="1:17">
      <c r="A1155" t="s">
        <v>7477</v>
      </c>
      <c r="B1155" t="s">
        <v>64</v>
      </c>
      <c r="C1155" t="s">
        <v>68</v>
      </c>
      <c r="E1155" t="s">
        <v>7471</v>
      </c>
      <c r="F1155" t="s">
        <v>7472</v>
      </c>
      <c r="G1155">
        <v>3</v>
      </c>
      <c r="H1155" t="s">
        <v>75</v>
      </c>
      <c r="J1155" t="s">
        <v>7474</v>
      </c>
      <c r="K1155" s="1401"/>
      <c r="L1155" s="1401">
        <v>46111</v>
      </c>
      <c r="M1155" s="1401">
        <v>46133</v>
      </c>
      <c r="N1155" s="1401">
        <v>46132</v>
      </c>
      <c r="O1155" t="s">
        <v>973</v>
      </c>
      <c r="P1155" s="1401">
        <v>46142</v>
      </c>
      <c r="Q1155" s="1401">
        <v>46140</v>
      </c>
    </row>
    <row r="1156" spans="1:17">
      <c r="A1156" t="s">
        <v>7478</v>
      </c>
      <c r="B1156" t="s">
        <v>64</v>
      </c>
      <c r="C1156" t="s">
        <v>68</v>
      </c>
      <c r="E1156" t="s">
        <v>7437</v>
      </c>
      <c r="F1156" t="s">
        <v>7439</v>
      </c>
      <c r="G1156">
        <v>72</v>
      </c>
      <c r="H1156" t="s">
        <v>75</v>
      </c>
      <c r="J1156" t="s">
        <v>7474</v>
      </c>
      <c r="K1156" s="1401"/>
      <c r="L1156" s="1401">
        <v>46111</v>
      </c>
      <c r="M1156" s="1401">
        <v>46133</v>
      </c>
      <c r="N1156" s="1401">
        <v>46132</v>
      </c>
      <c r="O1156" t="s">
        <v>973</v>
      </c>
      <c r="P1156" s="1401">
        <v>46142</v>
      </c>
      <c r="Q1156" s="1401">
        <v>46140</v>
      </c>
    </row>
    <row r="1157" spans="1:17">
      <c r="A1157" t="s">
        <v>7470</v>
      </c>
      <c r="B1157" t="s">
        <v>64</v>
      </c>
      <c r="C1157" t="s">
        <v>68</v>
      </c>
      <c r="E1157" t="s">
        <v>7471</v>
      </c>
      <c r="F1157" t="s">
        <v>7472</v>
      </c>
      <c r="G1157">
        <v>100</v>
      </c>
      <c r="H1157" t="s">
        <v>75</v>
      </c>
      <c r="J1157" t="s">
        <v>7474</v>
      </c>
      <c r="K1157" s="1401"/>
      <c r="L1157" s="1401">
        <v>46111</v>
      </c>
      <c r="M1157" s="1401">
        <v>46133</v>
      </c>
      <c r="N1157" s="1401">
        <v>46132</v>
      </c>
      <c r="O1157" t="s">
        <v>973</v>
      </c>
      <c r="P1157" s="1401">
        <v>46142</v>
      </c>
      <c r="Q1157" s="1401">
        <v>46140</v>
      </c>
    </row>
    <row r="1158" spans="1:17">
      <c r="A1158" t="s">
        <v>7479</v>
      </c>
      <c r="B1158" t="s">
        <v>64</v>
      </c>
      <c r="C1158" t="s">
        <v>68</v>
      </c>
      <c r="E1158" t="s">
        <v>7437</v>
      </c>
      <c r="F1158" t="s">
        <v>7439</v>
      </c>
      <c r="G1158">
        <v>9</v>
      </c>
      <c r="H1158" t="s">
        <v>75</v>
      </c>
      <c r="J1158" t="s">
        <v>7474</v>
      </c>
      <c r="K1158" s="1401"/>
      <c r="L1158" s="1401">
        <v>46111</v>
      </c>
      <c r="M1158" s="1401">
        <v>46133</v>
      </c>
      <c r="N1158" s="1401">
        <v>46132</v>
      </c>
      <c r="O1158" t="s">
        <v>973</v>
      </c>
      <c r="P1158" s="1401">
        <v>46142</v>
      </c>
      <c r="Q1158" s="1401">
        <v>46140</v>
      </c>
    </row>
    <row r="1159" spans="1:17">
      <c r="A1159" t="s">
        <v>7484</v>
      </c>
      <c r="B1159" t="s">
        <v>64</v>
      </c>
      <c r="C1159" t="s">
        <v>68</v>
      </c>
      <c r="E1159" t="s">
        <v>7449</v>
      </c>
      <c r="F1159" t="s">
        <v>7451</v>
      </c>
      <c r="G1159">
        <v>338</v>
      </c>
      <c r="H1159" t="s">
        <v>75</v>
      </c>
      <c r="J1159" t="s">
        <v>7487</v>
      </c>
      <c r="K1159" s="1401"/>
      <c r="L1159" s="1401">
        <v>46111</v>
      </c>
      <c r="M1159" s="1401">
        <v>46133</v>
      </c>
      <c r="N1159" s="1401">
        <v>46132</v>
      </c>
      <c r="O1159" t="s">
        <v>973</v>
      </c>
      <c r="P1159" s="1401">
        <v>46142</v>
      </c>
      <c r="Q1159" s="1401">
        <v>46140</v>
      </c>
    </row>
    <row r="1160" spans="1:17">
      <c r="A1160" t="s">
        <v>7488</v>
      </c>
      <c r="B1160" t="s">
        <v>64</v>
      </c>
      <c r="C1160" t="s">
        <v>68</v>
      </c>
      <c r="E1160" t="s">
        <v>7449</v>
      </c>
      <c r="F1160" t="s">
        <v>7451</v>
      </c>
      <c r="G1160">
        <v>12</v>
      </c>
      <c r="H1160" t="s">
        <v>75</v>
      </c>
      <c r="J1160" t="s">
        <v>7487</v>
      </c>
      <c r="K1160" s="1401"/>
      <c r="L1160" s="1401">
        <v>46111</v>
      </c>
      <c r="M1160" s="1401">
        <v>46133</v>
      </c>
      <c r="N1160" s="1401">
        <v>46132</v>
      </c>
      <c r="O1160" t="s">
        <v>973</v>
      </c>
      <c r="P1160" s="1401">
        <v>46142</v>
      </c>
      <c r="Q1160" s="1401">
        <v>46140</v>
      </c>
    </row>
    <row r="1161" spans="1:17">
      <c r="A1161" t="s">
        <v>7468</v>
      </c>
      <c r="B1161" t="s">
        <v>64</v>
      </c>
      <c r="C1161" t="s">
        <v>68</v>
      </c>
      <c r="E1161" t="s">
        <v>7460</v>
      </c>
      <c r="F1161" t="s">
        <v>7462</v>
      </c>
      <c r="G1161">
        <v>276</v>
      </c>
      <c r="H1161" t="s">
        <v>75</v>
      </c>
      <c r="J1161" t="s">
        <v>7465</v>
      </c>
      <c r="K1161" s="1401"/>
      <c r="L1161" s="1401">
        <v>46100</v>
      </c>
      <c r="M1161" s="1401">
        <v>46100</v>
      </c>
      <c r="N1161" s="1401">
        <v>46116</v>
      </c>
      <c r="O1161" t="s">
        <v>973</v>
      </c>
      <c r="P1161" s="1401">
        <v>46121</v>
      </c>
      <c r="Q1161" s="1401">
        <v>46124</v>
      </c>
    </row>
    <row r="1162" spans="1:17">
      <c r="A1162" t="s">
        <v>7459</v>
      </c>
      <c r="B1162" t="s">
        <v>64</v>
      </c>
      <c r="C1162" t="s">
        <v>68</v>
      </c>
      <c r="E1162" t="s">
        <v>7460</v>
      </c>
      <c r="F1162" t="s">
        <v>7462</v>
      </c>
      <c r="G1162">
        <v>276</v>
      </c>
      <c r="H1162" t="s">
        <v>75</v>
      </c>
      <c r="J1162" t="s">
        <v>7465</v>
      </c>
      <c r="K1162" s="1401"/>
      <c r="L1162" s="1401">
        <v>46100</v>
      </c>
      <c r="M1162" s="1401">
        <v>46100</v>
      </c>
      <c r="N1162" s="1401">
        <v>46116</v>
      </c>
      <c r="O1162" t="s">
        <v>973</v>
      </c>
      <c r="P1162" s="1401">
        <v>46121</v>
      </c>
      <c r="Q1162" s="1401">
        <v>46124</v>
      </c>
    </row>
    <row r="1163" spans="1:17">
      <c r="A1163" t="s">
        <v>7481</v>
      </c>
      <c r="B1163" t="s">
        <v>64</v>
      </c>
      <c r="C1163" t="s">
        <v>68</v>
      </c>
      <c r="E1163" t="s">
        <v>7437</v>
      </c>
      <c r="F1163" t="s">
        <v>7439</v>
      </c>
      <c r="G1163">
        <v>224</v>
      </c>
      <c r="H1163" t="s">
        <v>75</v>
      </c>
      <c r="J1163" t="s">
        <v>7483</v>
      </c>
      <c r="K1163" s="1401"/>
      <c r="L1163" s="1401">
        <v>46111</v>
      </c>
      <c r="M1163" s="1401">
        <v>46133</v>
      </c>
      <c r="N1163" s="1401">
        <v>46132</v>
      </c>
      <c r="O1163" t="s">
        <v>973</v>
      </c>
      <c r="P1163" s="1401">
        <v>46142</v>
      </c>
      <c r="Q1163" s="1401">
        <v>46140</v>
      </c>
    </row>
    <row r="1164" spans="1:17">
      <c r="A1164" t="s">
        <v>1007</v>
      </c>
      <c r="B1164" t="s">
        <v>64</v>
      </c>
      <c r="C1164" t="s">
        <v>68</v>
      </c>
      <c r="E1164" t="s">
        <v>7530</v>
      </c>
      <c r="F1164" t="s">
        <v>7532</v>
      </c>
      <c r="G1164">
        <v>10</v>
      </c>
      <c r="H1164" t="s">
        <v>75</v>
      </c>
      <c r="J1164" t="s">
        <v>7501</v>
      </c>
      <c r="K1164" s="1401"/>
      <c r="L1164" s="1401">
        <v>46114</v>
      </c>
      <c r="M1164" s="1401">
        <v>46114</v>
      </c>
      <c r="N1164" s="1401">
        <v>46116</v>
      </c>
      <c r="O1164" t="s">
        <v>973</v>
      </c>
      <c r="P1164" s="1401">
        <v>46128</v>
      </c>
      <c r="Q1164" s="1401">
        <v>46124</v>
      </c>
    </row>
    <row r="1165" spans="1:17">
      <c r="A1165" t="s">
        <v>7500</v>
      </c>
      <c r="B1165" t="s">
        <v>64</v>
      </c>
      <c r="C1165" t="s">
        <v>68</v>
      </c>
      <c r="E1165" t="s">
        <v>7460</v>
      </c>
      <c r="F1165" t="s">
        <v>7462</v>
      </c>
      <c r="G1165">
        <v>220</v>
      </c>
      <c r="H1165" t="s">
        <v>75</v>
      </c>
      <c r="J1165" t="s">
        <v>7501</v>
      </c>
      <c r="K1165" s="1401"/>
      <c r="L1165" s="1401">
        <v>46114</v>
      </c>
      <c r="M1165" s="1401">
        <v>46114</v>
      </c>
      <c r="N1165" s="1401">
        <v>46116</v>
      </c>
      <c r="O1165" t="s">
        <v>973</v>
      </c>
      <c r="P1165" s="1401">
        <v>46128</v>
      </c>
      <c r="Q1165" s="1401">
        <v>46124</v>
      </c>
    </row>
    <row r="1166" spans="1:17">
      <c r="A1166" t="s">
        <v>7504</v>
      </c>
      <c r="B1166" t="s">
        <v>64</v>
      </c>
      <c r="C1166" t="s">
        <v>68</v>
      </c>
      <c r="E1166" t="s">
        <v>7460</v>
      </c>
      <c r="F1166" t="s">
        <v>7462</v>
      </c>
      <c r="G1166">
        <v>24</v>
      </c>
      <c r="H1166" t="s">
        <v>75</v>
      </c>
      <c r="J1166" t="s">
        <v>7501</v>
      </c>
      <c r="K1166" s="1401"/>
      <c r="L1166" s="1401">
        <v>46114</v>
      </c>
      <c r="M1166" s="1401">
        <v>46114</v>
      </c>
      <c r="N1166" s="1401">
        <v>46116</v>
      </c>
      <c r="O1166" t="s">
        <v>973</v>
      </c>
      <c r="P1166" s="1401">
        <v>46128</v>
      </c>
      <c r="Q1166" s="1401">
        <v>46124</v>
      </c>
    </row>
    <row r="1167" spans="1:17">
      <c r="A1167" t="s">
        <v>7506</v>
      </c>
      <c r="B1167" t="s">
        <v>64</v>
      </c>
      <c r="C1167" t="s">
        <v>68</v>
      </c>
      <c r="E1167" t="s">
        <v>7507</v>
      </c>
      <c r="F1167" t="s">
        <v>7462</v>
      </c>
      <c r="G1167">
        <v>8</v>
      </c>
      <c r="H1167" t="s">
        <v>75</v>
      </c>
      <c r="J1167" t="s">
        <v>7501</v>
      </c>
      <c r="K1167" s="1401"/>
      <c r="L1167" s="1401">
        <v>46114</v>
      </c>
      <c r="M1167" s="1401">
        <v>46114</v>
      </c>
      <c r="N1167" s="1401">
        <v>46116</v>
      </c>
      <c r="O1167" t="s">
        <v>973</v>
      </c>
      <c r="P1167" s="1401">
        <v>46128</v>
      </c>
      <c r="Q1167" s="1401">
        <v>46124</v>
      </c>
    </row>
    <row r="1168" spans="1:17">
      <c r="A1168" t="s">
        <v>7508</v>
      </c>
      <c r="B1168" t="s">
        <v>64</v>
      </c>
      <c r="C1168" t="s">
        <v>68</v>
      </c>
      <c r="E1168" t="s">
        <v>7443</v>
      </c>
      <c r="F1168" t="s">
        <v>7444</v>
      </c>
      <c r="G1168">
        <v>6</v>
      </c>
      <c r="H1168" t="s">
        <v>75</v>
      </c>
      <c r="J1168" t="s">
        <v>7501</v>
      </c>
      <c r="K1168" s="1401"/>
      <c r="L1168" s="1401">
        <v>46114</v>
      </c>
      <c r="M1168" s="1401">
        <v>46114</v>
      </c>
      <c r="N1168" s="1401">
        <v>46116</v>
      </c>
      <c r="O1168" t="s">
        <v>973</v>
      </c>
      <c r="P1168" s="1401">
        <v>46128</v>
      </c>
      <c r="Q1168" s="1401">
        <v>46124</v>
      </c>
    </row>
    <row r="1169" spans="1:17">
      <c r="A1169" t="s">
        <v>7509</v>
      </c>
      <c r="B1169" t="s">
        <v>64</v>
      </c>
      <c r="C1169" t="s">
        <v>68</v>
      </c>
      <c r="E1169" t="s">
        <v>7449</v>
      </c>
      <c r="F1169" t="s">
        <v>7451</v>
      </c>
      <c r="G1169">
        <v>6</v>
      </c>
      <c r="H1169" t="s">
        <v>75</v>
      </c>
      <c r="J1169" t="s">
        <v>7501</v>
      </c>
      <c r="K1169" s="1401"/>
      <c r="L1169" s="1401">
        <v>46114</v>
      </c>
      <c r="M1169" s="1401">
        <v>46114</v>
      </c>
      <c r="N1169" s="1401">
        <v>46116</v>
      </c>
      <c r="O1169" t="s">
        <v>973</v>
      </c>
      <c r="P1169" s="1401">
        <v>46128</v>
      </c>
      <c r="Q1169" s="1401">
        <v>46124</v>
      </c>
    </row>
    <row r="1170" spans="1:17">
      <c r="A1170" t="s">
        <v>1427</v>
      </c>
      <c r="B1170" t="s">
        <v>64</v>
      </c>
      <c r="C1170" t="s">
        <v>68</v>
      </c>
      <c r="E1170" t="s">
        <v>7511</v>
      </c>
      <c r="F1170" t="s">
        <v>7513</v>
      </c>
      <c r="G1170">
        <v>50</v>
      </c>
      <c r="H1170" t="s">
        <v>75</v>
      </c>
      <c r="J1170" t="s">
        <v>7501</v>
      </c>
      <c r="K1170" s="1401"/>
      <c r="L1170" s="1401">
        <v>46114</v>
      </c>
      <c r="M1170" s="1401">
        <v>46114</v>
      </c>
      <c r="N1170" s="1401">
        <v>46116</v>
      </c>
      <c r="O1170" t="s">
        <v>973</v>
      </c>
      <c r="P1170" s="1401">
        <v>46128</v>
      </c>
      <c r="Q1170" s="1401">
        <v>46124</v>
      </c>
    </row>
    <row r="1171" spans="1:17">
      <c r="A1171" t="s">
        <v>1149</v>
      </c>
      <c r="B1171" t="s">
        <v>64</v>
      </c>
      <c r="C1171" t="s">
        <v>68</v>
      </c>
      <c r="E1171" t="s">
        <v>7526</v>
      </c>
      <c r="F1171" t="s">
        <v>7528</v>
      </c>
      <c r="G1171">
        <v>10</v>
      </c>
      <c r="H1171" t="s">
        <v>75</v>
      </c>
      <c r="J1171" t="s">
        <v>7501</v>
      </c>
      <c r="K1171" s="1401"/>
      <c r="L1171" s="1401">
        <v>46114</v>
      </c>
      <c r="M1171" s="1401">
        <v>46114</v>
      </c>
      <c r="N1171" s="1401">
        <v>46116</v>
      </c>
      <c r="O1171" t="s">
        <v>973</v>
      </c>
      <c r="P1171" s="1401">
        <v>46128</v>
      </c>
      <c r="Q1171" s="1401">
        <v>46124</v>
      </c>
    </row>
    <row r="1172" spans="1:17">
      <c r="A1172" t="s">
        <v>963</v>
      </c>
      <c r="B1172" t="s">
        <v>64</v>
      </c>
      <c r="C1172" t="s">
        <v>68</v>
      </c>
      <c r="E1172" t="s">
        <v>7519</v>
      </c>
      <c r="F1172" t="s">
        <v>7521</v>
      </c>
      <c r="G1172">
        <v>10</v>
      </c>
      <c r="H1172" t="s">
        <v>75</v>
      </c>
      <c r="J1172" t="s">
        <v>7501</v>
      </c>
      <c r="K1172" s="1401"/>
      <c r="L1172" s="1401">
        <v>46114</v>
      </c>
      <c r="M1172" s="1401">
        <v>46114</v>
      </c>
      <c r="N1172" s="1401">
        <v>46116</v>
      </c>
      <c r="O1172" t="s">
        <v>973</v>
      </c>
      <c r="P1172" s="1401">
        <v>46128</v>
      </c>
      <c r="Q1172" s="1401">
        <v>46124</v>
      </c>
    </row>
    <row r="1173" spans="1:17">
      <c r="A1173" t="s">
        <v>985</v>
      </c>
      <c r="B1173" t="s">
        <v>64</v>
      </c>
      <c r="C1173" t="s">
        <v>68</v>
      </c>
      <c r="E1173" t="s">
        <v>7515</v>
      </c>
      <c r="F1173" t="s">
        <v>7517</v>
      </c>
      <c r="G1173">
        <v>20</v>
      </c>
      <c r="H1173" t="s">
        <v>75</v>
      </c>
      <c r="J1173" t="s">
        <v>7501</v>
      </c>
      <c r="K1173" s="1401"/>
      <c r="L1173" s="1401">
        <v>46114</v>
      </c>
      <c r="M1173" s="1401">
        <v>46114</v>
      </c>
      <c r="N1173" s="1401">
        <v>46116</v>
      </c>
      <c r="O1173" t="s">
        <v>973</v>
      </c>
      <c r="P1173" s="1401">
        <v>46128</v>
      </c>
      <c r="Q1173" s="1401">
        <v>46124</v>
      </c>
    </row>
    <row r="1174" spans="1:17">
      <c r="A1174" t="s">
        <v>7547</v>
      </c>
      <c r="B1174" t="s">
        <v>64</v>
      </c>
      <c r="C1174" t="s">
        <v>68</v>
      </c>
      <c r="E1174" t="s">
        <v>7549</v>
      </c>
      <c r="F1174" t="s">
        <v>7551</v>
      </c>
      <c r="G1174">
        <v>10</v>
      </c>
      <c r="H1174" t="s">
        <v>75</v>
      </c>
      <c r="J1174" t="s">
        <v>7501</v>
      </c>
      <c r="K1174" s="1401"/>
      <c r="L1174" s="1401">
        <v>46114</v>
      </c>
      <c r="M1174" s="1401">
        <v>46114</v>
      </c>
      <c r="N1174" s="1401">
        <v>46116</v>
      </c>
      <c r="O1174" t="s">
        <v>973</v>
      </c>
      <c r="P1174" s="1401">
        <v>46128</v>
      </c>
      <c r="Q1174" s="1401">
        <v>46124</v>
      </c>
    </row>
    <row r="1175" spans="1:17">
      <c r="A1175" t="s">
        <v>1000</v>
      </c>
      <c r="B1175" t="s">
        <v>64</v>
      </c>
      <c r="C1175" t="s">
        <v>68</v>
      </c>
      <c r="E1175" t="s">
        <v>7534</v>
      </c>
      <c r="F1175" t="s">
        <v>7536</v>
      </c>
      <c r="G1175">
        <v>50</v>
      </c>
      <c r="H1175" t="s">
        <v>75</v>
      </c>
      <c r="J1175" t="s">
        <v>7501</v>
      </c>
      <c r="K1175" s="1401"/>
      <c r="L1175" s="1401">
        <v>46114</v>
      </c>
      <c r="M1175" s="1401">
        <v>46114</v>
      </c>
      <c r="N1175" s="1401">
        <v>46116</v>
      </c>
      <c r="O1175" t="s">
        <v>973</v>
      </c>
      <c r="P1175" s="1401">
        <v>46128</v>
      </c>
      <c r="Q1175" s="1401">
        <v>46124</v>
      </c>
    </row>
    <row r="1176" spans="1:17">
      <c r="A1176" t="s">
        <v>7537</v>
      </c>
      <c r="B1176" t="s">
        <v>64</v>
      </c>
      <c r="C1176" t="s">
        <v>68</v>
      </c>
      <c r="E1176" t="s">
        <v>7539</v>
      </c>
      <c r="F1176" t="s">
        <v>7541</v>
      </c>
      <c r="G1176">
        <v>20</v>
      </c>
      <c r="H1176" t="s">
        <v>75</v>
      </c>
      <c r="J1176" t="s">
        <v>7501</v>
      </c>
      <c r="K1176" s="1401"/>
      <c r="L1176" s="1401">
        <v>46114</v>
      </c>
      <c r="M1176" s="1401">
        <v>46114</v>
      </c>
      <c r="N1176" s="1401">
        <v>46116</v>
      </c>
      <c r="O1176" t="s">
        <v>973</v>
      </c>
      <c r="P1176" s="1401">
        <v>46128</v>
      </c>
      <c r="Q1176" s="1401">
        <v>46124</v>
      </c>
    </row>
    <row r="1177" spans="1:17">
      <c r="A1177" t="s">
        <v>7542</v>
      </c>
      <c r="B1177" t="s">
        <v>64</v>
      </c>
      <c r="C1177" t="s">
        <v>68</v>
      </c>
      <c r="E1177" t="s">
        <v>7544</v>
      </c>
      <c r="F1177" t="s">
        <v>7546</v>
      </c>
      <c r="G1177">
        <v>10</v>
      </c>
      <c r="H1177" t="s">
        <v>75</v>
      </c>
      <c r="J1177" t="s">
        <v>7501</v>
      </c>
      <c r="K1177" s="1401"/>
      <c r="L1177" s="1401">
        <v>46114</v>
      </c>
      <c r="M1177" s="1401">
        <v>46114</v>
      </c>
      <c r="N1177" s="1401">
        <v>46116</v>
      </c>
      <c r="O1177" t="s">
        <v>973</v>
      </c>
      <c r="P1177" s="1401">
        <v>46128</v>
      </c>
      <c r="Q1177" s="1401">
        <v>46124</v>
      </c>
    </row>
    <row r="1178" spans="1:17">
      <c r="A1178" t="s">
        <v>7552</v>
      </c>
      <c r="B1178" t="s">
        <v>64</v>
      </c>
      <c r="C1178" t="s">
        <v>68</v>
      </c>
      <c r="E1178" t="s">
        <v>7553</v>
      </c>
      <c r="F1178" t="s">
        <v>7555</v>
      </c>
      <c r="G1178">
        <v>40</v>
      </c>
      <c r="H1178" t="s">
        <v>75</v>
      </c>
      <c r="J1178" t="s">
        <v>7501</v>
      </c>
      <c r="K1178" s="1401"/>
      <c r="L1178" s="1401">
        <v>46114</v>
      </c>
      <c r="M1178" s="1401">
        <v>46114</v>
      </c>
      <c r="N1178" s="1401">
        <v>46116</v>
      </c>
      <c r="O1178" t="s">
        <v>973</v>
      </c>
      <c r="P1178" s="1401">
        <v>46128</v>
      </c>
      <c r="Q1178" s="1401">
        <v>46124</v>
      </c>
    </row>
    <row r="1179" spans="1:17">
      <c r="A1179" t="s">
        <v>7556</v>
      </c>
      <c r="B1179" t="s">
        <v>64</v>
      </c>
      <c r="C1179" t="s">
        <v>68</v>
      </c>
      <c r="E1179" t="s">
        <v>7557</v>
      </c>
      <c r="F1179" t="s">
        <v>7559</v>
      </c>
      <c r="G1179">
        <v>10</v>
      </c>
      <c r="H1179" t="s">
        <v>75</v>
      </c>
      <c r="J1179" t="s">
        <v>7501</v>
      </c>
      <c r="K1179" s="1401"/>
      <c r="L1179" s="1401">
        <v>46114</v>
      </c>
      <c r="M1179" s="1401">
        <v>46114</v>
      </c>
      <c r="N1179" s="1401">
        <v>46116</v>
      </c>
      <c r="O1179" t="s">
        <v>973</v>
      </c>
      <c r="P1179" s="1401">
        <v>46128</v>
      </c>
      <c r="Q1179" s="1401">
        <v>46124</v>
      </c>
    </row>
    <row r="1180" spans="1:17">
      <c r="A1180" t="s">
        <v>7563</v>
      </c>
      <c r="B1180" t="s">
        <v>64</v>
      </c>
      <c r="C1180" t="s">
        <v>68</v>
      </c>
      <c r="E1180" t="s">
        <v>7565</v>
      </c>
      <c r="F1180" t="s">
        <v>7567</v>
      </c>
      <c r="G1180">
        <v>10</v>
      </c>
      <c r="H1180" t="s">
        <v>75</v>
      </c>
      <c r="J1180" t="s">
        <v>7501</v>
      </c>
      <c r="K1180" s="1401"/>
      <c r="L1180" s="1401">
        <v>46114</v>
      </c>
      <c r="M1180" s="1401">
        <v>46114</v>
      </c>
      <c r="N1180" s="1401">
        <v>46116</v>
      </c>
      <c r="O1180" t="s">
        <v>973</v>
      </c>
      <c r="P1180" s="1401">
        <v>46128</v>
      </c>
      <c r="Q1180" s="1401">
        <v>46124</v>
      </c>
    </row>
    <row r="1181" spans="1:17">
      <c r="A1181" t="s">
        <v>7522</v>
      </c>
      <c r="B1181" t="s">
        <v>64</v>
      </c>
      <c r="C1181" t="s">
        <v>68</v>
      </c>
      <c r="E1181" t="s">
        <v>7433</v>
      </c>
      <c r="F1181" t="s">
        <v>7435</v>
      </c>
      <c r="G1181">
        <v>10</v>
      </c>
      <c r="H1181" t="s">
        <v>75</v>
      </c>
      <c r="J1181" t="s">
        <v>7501</v>
      </c>
      <c r="K1181" s="1401"/>
      <c r="L1181" s="1401">
        <v>46114</v>
      </c>
      <c r="M1181" s="1401">
        <v>46114</v>
      </c>
      <c r="N1181" s="1401">
        <v>46116</v>
      </c>
      <c r="O1181" t="s">
        <v>973</v>
      </c>
      <c r="P1181" s="1401">
        <v>46128</v>
      </c>
      <c r="Q1181" s="1401">
        <v>46124</v>
      </c>
    </row>
    <row r="1182" spans="1:17">
      <c r="A1182" t="s">
        <v>7568</v>
      </c>
      <c r="B1182" t="s">
        <v>64</v>
      </c>
      <c r="C1182" t="s">
        <v>68</v>
      </c>
      <c r="E1182" t="s">
        <v>7570</v>
      </c>
      <c r="F1182" t="s">
        <v>7572</v>
      </c>
      <c r="G1182">
        <v>40</v>
      </c>
      <c r="H1182" t="s">
        <v>75</v>
      </c>
      <c r="J1182" t="s">
        <v>7501</v>
      </c>
      <c r="K1182" s="1401"/>
      <c r="L1182" s="1401">
        <v>46114</v>
      </c>
      <c r="M1182" s="1401">
        <v>46114</v>
      </c>
      <c r="N1182" s="1401">
        <v>46116</v>
      </c>
      <c r="O1182" t="s">
        <v>973</v>
      </c>
      <c r="P1182" s="1401">
        <v>46128</v>
      </c>
      <c r="Q1182" s="1401">
        <v>46124</v>
      </c>
    </row>
    <row r="1183" spans="1:17">
      <c r="A1183" t="s">
        <v>7573</v>
      </c>
      <c r="B1183" t="s">
        <v>64</v>
      </c>
      <c r="C1183" t="s">
        <v>68</v>
      </c>
      <c r="E1183" t="s">
        <v>7575</v>
      </c>
      <c r="F1183" t="s">
        <v>7577</v>
      </c>
      <c r="G1183">
        <v>10</v>
      </c>
      <c r="H1183" t="s">
        <v>75</v>
      </c>
      <c r="J1183" t="s">
        <v>7501</v>
      </c>
      <c r="K1183" s="1401"/>
      <c r="L1183" s="1401">
        <v>46114</v>
      </c>
      <c r="M1183" s="1401">
        <v>46114</v>
      </c>
      <c r="N1183" s="1401">
        <v>46116</v>
      </c>
      <c r="O1183" t="s">
        <v>973</v>
      </c>
      <c r="P1183" s="1401">
        <v>46128</v>
      </c>
      <c r="Q1183" s="1401">
        <v>46124</v>
      </c>
    </row>
    <row r="1184" spans="1:17">
      <c r="A1184" t="s">
        <v>7578</v>
      </c>
      <c r="B1184" t="s">
        <v>64</v>
      </c>
      <c r="C1184" t="s">
        <v>68</v>
      </c>
      <c r="E1184" t="s">
        <v>7580</v>
      </c>
      <c r="F1184" t="s">
        <v>7582</v>
      </c>
      <c r="G1184">
        <v>40</v>
      </c>
      <c r="H1184" t="s">
        <v>75</v>
      </c>
      <c r="J1184" t="s">
        <v>7501</v>
      </c>
      <c r="K1184" s="1401"/>
      <c r="L1184" s="1401">
        <v>46114</v>
      </c>
      <c r="M1184" s="1401">
        <v>46114</v>
      </c>
      <c r="N1184" s="1401">
        <v>46116</v>
      </c>
      <c r="O1184" t="s">
        <v>973</v>
      </c>
      <c r="P1184" s="1401">
        <v>46128</v>
      </c>
      <c r="Q1184" s="1401">
        <v>46124</v>
      </c>
    </row>
    <row r="1185" spans="1:17">
      <c r="A1185" t="s">
        <v>7560</v>
      </c>
      <c r="B1185" t="s">
        <v>64</v>
      </c>
      <c r="C1185" t="s">
        <v>68</v>
      </c>
      <c r="E1185" t="s">
        <v>7425</v>
      </c>
      <c r="F1185" t="s">
        <v>7427</v>
      </c>
      <c r="G1185">
        <v>10</v>
      </c>
      <c r="H1185" t="s">
        <v>75</v>
      </c>
      <c r="J1185" t="s">
        <v>7501</v>
      </c>
      <c r="K1185" s="1401"/>
      <c r="L1185" s="1401">
        <v>46114</v>
      </c>
      <c r="M1185" s="1401">
        <v>46114</v>
      </c>
      <c r="N1185" s="1401">
        <v>46116</v>
      </c>
      <c r="O1185" t="s">
        <v>973</v>
      </c>
      <c r="P1185" s="1401">
        <v>46128</v>
      </c>
      <c r="Q1185" s="1401">
        <v>46124</v>
      </c>
    </row>
    <row r="1186" spans="1:17">
      <c r="A1186" t="s">
        <v>7583</v>
      </c>
      <c r="B1186" t="s">
        <v>64</v>
      </c>
      <c r="C1186" t="s">
        <v>100</v>
      </c>
      <c r="E1186" t="s">
        <v>7586</v>
      </c>
      <c r="F1186" t="s">
        <v>7588</v>
      </c>
      <c r="G1186">
        <v>16</v>
      </c>
      <c r="H1186" t="s">
        <v>75</v>
      </c>
      <c r="J1186" t="s">
        <v>7589</v>
      </c>
      <c r="K1186" s="1401"/>
      <c r="L1186" s="1401">
        <v>46125</v>
      </c>
      <c r="M1186" s="1401">
        <v>46126</v>
      </c>
      <c r="N1186" s="1401">
        <v>46127</v>
      </c>
      <c r="O1186" t="s">
        <v>973</v>
      </c>
      <c r="P1186" s="1401">
        <v>46132</v>
      </c>
      <c r="Q1186" s="1401">
        <v>46141</v>
      </c>
    </row>
    <row r="1187" spans="1:17">
      <c r="A1187" t="s">
        <v>7602</v>
      </c>
      <c r="B1187" t="s">
        <v>64</v>
      </c>
      <c r="C1187" t="s">
        <v>100</v>
      </c>
      <c r="E1187" t="s">
        <v>7586</v>
      </c>
      <c r="F1187" t="s">
        <v>7588</v>
      </c>
      <c r="G1187">
        <v>16</v>
      </c>
      <c r="H1187" t="s">
        <v>75</v>
      </c>
      <c r="J1187" t="s">
        <v>7604</v>
      </c>
      <c r="K1187" s="1401"/>
      <c r="L1187" s="1401">
        <v>46181</v>
      </c>
      <c r="M1187" s="1401">
        <v>46182</v>
      </c>
      <c r="N1187" s="1401">
        <v>46181</v>
      </c>
      <c r="O1187" t="s">
        <v>973</v>
      </c>
      <c r="P1187" s="1401">
        <v>46196</v>
      </c>
      <c r="Q1187" s="1401">
        <v>46195</v>
      </c>
    </row>
    <row r="1188" spans="1:17">
      <c r="A1188" t="s">
        <v>7657</v>
      </c>
      <c r="B1188" t="s">
        <v>64</v>
      </c>
      <c r="C1188" t="s">
        <v>100</v>
      </c>
      <c r="E1188" t="s">
        <v>7460</v>
      </c>
      <c r="F1188" t="s">
        <v>7462</v>
      </c>
      <c r="G1188">
        <v>552</v>
      </c>
      <c r="H1188" t="s">
        <v>75</v>
      </c>
      <c r="J1188" t="s">
        <v>7660</v>
      </c>
      <c r="K1188" s="1401"/>
      <c r="L1188" s="1401">
        <v>46202</v>
      </c>
      <c r="M1188" s="1401">
        <v>46210</v>
      </c>
      <c r="N1188" s="1401">
        <v>46211</v>
      </c>
      <c r="O1188" t="s">
        <v>973</v>
      </c>
      <c r="P1188" s="1401">
        <v>46220</v>
      </c>
      <c r="Q1188" s="1401">
        <v>46218</v>
      </c>
    </row>
    <row r="1189" spans="1:17">
      <c r="A1189" t="s">
        <v>7665</v>
      </c>
      <c r="B1189" t="s">
        <v>64</v>
      </c>
      <c r="C1189" t="s">
        <v>100</v>
      </c>
      <c r="E1189" t="s">
        <v>7460</v>
      </c>
      <c r="F1189" t="s">
        <v>7462</v>
      </c>
      <c r="G1189">
        <v>252</v>
      </c>
      <c r="H1189" t="s">
        <v>75</v>
      </c>
      <c r="J1189" t="s">
        <v>7660</v>
      </c>
      <c r="K1189" s="1401"/>
      <c r="L1189" s="1401">
        <v>46202</v>
      </c>
      <c r="M1189" s="1401">
        <v>46202</v>
      </c>
      <c r="N1189" s="1401">
        <v>46202</v>
      </c>
      <c r="O1189" t="s">
        <v>973</v>
      </c>
      <c r="P1189" s="1401">
        <v>46220</v>
      </c>
      <c r="Q1189" s="1401">
        <v>46209</v>
      </c>
    </row>
    <row r="1190" spans="1:17">
      <c r="A1190" t="s">
        <v>7669</v>
      </c>
      <c r="B1190" t="s">
        <v>64</v>
      </c>
      <c r="C1190" t="s">
        <v>100</v>
      </c>
      <c r="E1190" t="s">
        <v>7460</v>
      </c>
      <c r="F1190" t="s">
        <v>7462</v>
      </c>
      <c r="G1190">
        <v>24</v>
      </c>
      <c r="H1190" t="s">
        <v>75</v>
      </c>
      <c r="J1190" t="s">
        <v>7660</v>
      </c>
      <c r="K1190" s="1401"/>
      <c r="L1190" s="1401">
        <v>46202</v>
      </c>
      <c r="M1190" s="1401">
        <v>46202</v>
      </c>
      <c r="N1190" s="1401">
        <v>46202</v>
      </c>
      <c r="O1190" t="s">
        <v>973</v>
      </c>
      <c r="P1190" s="1401">
        <v>46220</v>
      </c>
      <c r="Q1190" s="1401">
        <v>46209</v>
      </c>
    </row>
    <row r="1191" spans="1:17">
      <c r="A1191" t="s">
        <v>7655</v>
      </c>
      <c r="B1191" t="s">
        <v>64</v>
      </c>
      <c r="C1191" t="s">
        <v>100</v>
      </c>
      <c r="E1191" t="s">
        <v>7449</v>
      </c>
      <c r="F1191" t="s">
        <v>7451</v>
      </c>
      <c r="G1191">
        <v>338</v>
      </c>
      <c r="H1191" t="s">
        <v>75</v>
      </c>
      <c r="J1191" t="s">
        <v>7651</v>
      </c>
      <c r="K1191" s="1401"/>
      <c r="L1191" s="1401">
        <v>46196</v>
      </c>
      <c r="M1191" s="1401">
        <v>46197</v>
      </c>
      <c r="N1191" s="1401">
        <v>46203</v>
      </c>
      <c r="O1191" t="s">
        <v>973</v>
      </c>
      <c r="P1191" s="1401">
        <v>46211</v>
      </c>
      <c r="Q1191" s="1401">
        <v>46210</v>
      </c>
    </row>
    <row r="1192" spans="1:17">
      <c r="A1192" t="s">
        <v>7654</v>
      </c>
      <c r="B1192" t="s">
        <v>64</v>
      </c>
      <c r="C1192" t="s">
        <v>100</v>
      </c>
      <c r="E1192" t="s">
        <v>7437</v>
      </c>
      <c r="F1192" t="s">
        <v>7439</v>
      </c>
      <c r="G1192">
        <v>10</v>
      </c>
      <c r="H1192" t="s">
        <v>75</v>
      </c>
      <c r="J1192" t="s">
        <v>7651</v>
      </c>
      <c r="K1192" s="1401"/>
      <c r="L1192" s="1401">
        <v>46196</v>
      </c>
      <c r="M1192" s="1401">
        <v>46197</v>
      </c>
      <c r="N1192" s="1401">
        <v>46203</v>
      </c>
      <c r="O1192" t="s">
        <v>973</v>
      </c>
      <c r="P1192" s="1401">
        <v>46211</v>
      </c>
      <c r="Q1192" s="1401">
        <v>46210</v>
      </c>
    </row>
    <row r="1193" spans="1:17">
      <c r="A1193" t="s">
        <v>7656</v>
      </c>
      <c r="B1193" t="s">
        <v>64</v>
      </c>
      <c r="C1193" t="s">
        <v>100</v>
      </c>
      <c r="E1193" t="s">
        <v>7449</v>
      </c>
      <c r="F1193" t="s">
        <v>7451</v>
      </c>
      <c r="G1193">
        <v>12</v>
      </c>
      <c r="H1193" t="s">
        <v>75</v>
      </c>
      <c r="J1193" t="s">
        <v>7651</v>
      </c>
      <c r="K1193" s="1401"/>
      <c r="L1193" s="1401">
        <v>46196</v>
      </c>
      <c r="M1193" s="1401">
        <v>46197</v>
      </c>
      <c r="N1193" s="1401">
        <v>46203</v>
      </c>
      <c r="O1193" t="s">
        <v>973</v>
      </c>
      <c r="P1193" s="1401">
        <v>46211</v>
      </c>
      <c r="Q1193" s="1401">
        <v>46210</v>
      </c>
    </row>
    <row r="1194" spans="1:17">
      <c r="A1194" t="s">
        <v>7649</v>
      </c>
      <c r="B1194" t="s">
        <v>64</v>
      </c>
      <c r="C1194" t="s">
        <v>100</v>
      </c>
      <c r="E1194" t="s">
        <v>7437</v>
      </c>
      <c r="F1194" t="s">
        <v>7439</v>
      </c>
      <c r="G1194">
        <v>214</v>
      </c>
      <c r="H1194" t="s">
        <v>75</v>
      </c>
      <c r="J1194" t="s">
        <v>7651</v>
      </c>
      <c r="K1194" s="1401"/>
      <c r="L1194" s="1401">
        <v>46196</v>
      </c>
      <c r="M1194" s="1401">
        <v>46197</v>
      </c>
      <c r="N1194" s="1401">
        <v>46203</v>
      </c>
      <c r="O1194" t="s">
        <v>973</v>
      </c>
      <c r="P1194" s="1401">
        <v>46211</v>
      </c>
      <c r="Q1194" s="1401">
        <v>46210</v>
      </c>
    </row>
    <row r="1195" spans="1:17">
      <c r="A1195" t="s">
        <v>7635</v>
      </c>
      <c r="B1195" t="s">
        <v>64</v>
      </c>
      <c r="C1195" t="s">
        <v>100</v>
      </c>
      <c r="E1195" t="s">
        <v>7437</v>
      </c>
      <c r="F1195" t="s">
        <v>7439</v>
      </c>
      <c r="G1195">
        <v>114</v>
      </c>
      <c r="H1195" t="s">
        <v>75</v>
      </c>
      <c r="J1195" t="s">
        <v>7637</v>
      </c>
      <c r="K1195" s="1401"/>
      <c r="L1195" s="1401">
        <v>46200</v>
      </c>
      <c r="M1195" s="1401">
        <v>46202</v>
      </c>
      <c r="N1195" s="1401">
        <v>46201</v>
      </c>
      <c r="O1195" t="s">
        <v>973</v>
      </c>
      <c r="P1195" s="1401">
        <v>46216</v>
      </c>
      <c r="Q1195" s="1401">
        <v>46208</v>
      </c>
    </row>
    <row r="1196" spans="1:17">
      <c r="A1196" t="s">
        <v>7648</v>
      </c>
      <c r="B1196" t="s">
        <v>64</v>
      </c>
      <c r="C1196" t="s">
        <v>100</v>
      </c>
      <c r="E1196" t="s">
        <v>7425</v>
      </c>
      <c r="F1196" t="s">
        <v>7427</v>
      </c>
      <c r="G1196">
        <v>78</v>
      </c>
      <c r="H1196" t="s">
        <v>75</v>
      </c>
      <c r="J1196" t="s">
        <v>7637</v>
      </c>
      <c r="K1196" s="1401"/>
      <c r="L1196" s="1401">
        <v>46200</v>
      </c>
      <c r="M1196" s="1401">
        <v>46202</v>
      </c>
      <c r="N1196" s="1401">
        <v>46201</v>
      </c>
      <c r="O1196" t="s">
        <v>973</v>
      </c>
      <c r="P1196" s="1401">
        <v>46216</v>
      </c>
      <c r="Q1196" s="1401">
        <v>46208</v>
      </c>
    </row>
    <row r="1197" spans="1:17">
      <c r="A1197" t="s">
        <v>7647</v>
      </c>
      <c r="B1197" t="s">
        <v>64</v>
      </c>
      <c r="C1197" t="s">
        <v>100</v>
      </c>
      <c r="E1197" t="s">
        <v>7496</v>
      </c>
      <c r="F1197" t="s">
        <v>7451</v>
      </c>
      <c r="G1197">
        <v>2</v>
      </c>
      <c r="H1197" t="s">
        <v>75</v>
      </c>
      <c r="J1197" t="s">
        <v>7637</v>
      </c>
      <c r="K1197" s="1401"/>
      <c r="L1197" s="1401">
        <v>46200</v>
      </c>
      <c r="M1197" s="1401">
        <v>46202</v>
      </c>
      <c r="N1197" s="1401">
        <v>46201</v>
      </c>
      <c r="O1197" t="s">
        <v>973</v>
      </c>
      <c r="P1197" s="1401">
        <v>46216</v>
      </c>
      <c r="Q1197" s="1401">
        <v>46208</v>
      </c>
    </row>
    <row r="1198" spans="1:17">
      <c r="A1198" t="s">
        <v>7645</v>
      </c>
      <c r="B1198" t="s">
        <v>64</v>
      </c>
      <c r="C1198" t="s">
        <v>100</v>
      </c>
      <c r="E1198" t="s">
        <v>7449</v>
      </c>
      <c r="F1198" t="s">
        <v>7451</v>
      </c>
      <c r="G1198">
        <v>48</v>
      </c>
      <c r="H1198" t="s">
        <v>75</v>
      </c>
      <c r="J1198" t="s">
        <v>7637</v>
      </c>
      <c r="K1198" s="1401"/>
      <c r="L1198" s="1401">
        <v>46200</v>
      </c>
      <c r="M1198" s="1401">
        <v>46202</v>
      </c>
      <c r="N1198" s="1401">
        <v>46201</v>
      </c>
      <c r="O1198" t="s">
        <v>973</v>
      </c>
      <c r="P1198" s="1401">
        <v>46216</v>
      </c>
      <c r="Q1198" s="1401">
        <v>46208</v>
      </c>
    </row>
    <row r="1199" spans="1:17">
      <c r="A1199" t="s">
        <v>7644</v>
      </c>
      <c r="B1199" t="s">
        <v>64</v>
      </c>
      <c r="C1199" t="s">
        <v>100</v>
      </c>
      <c r="E1199" t="s">
        <v>7446</v>
      </c>
      <c r="F1199" t="s">
        <v>7447</v>
      </c>
      <c r="G1199">
        <v>2</v>
      </c>
      <c r="H1199" t="s">
        <v>75</v>
      </c>
      <c r="J1199" t="s">
        <v>7637</v>
      </c>
      <c r="K1199" s="1401"/>
      <c r="L1199" s="1401">
        <v>46200</v>
      </c>
      <c r="M1199" s="1401">
        <v>46202</v>
      </c>
      <c r="N1199" s="1401">
        <v>46201</v>
      </c>
      <c r="O1199" t="s">
        <v>973</v>
      </c>
      <c r="P1199" s="1401">
        <v>46216</v>
      </c>
      <c r="Q1199" s="1401">
        <v>46208</v>
      </c>
    </row>
    <row r="1200" spans="1:17">
      <c r="A1200" t="s">
        <v>7643</v>
      </c>
      <c r="B1200" t="s">
        <v>64</v>
      </c>
      <c r="C1200" t="s">
        <v>100</v>
      </c>
      <c r="E1200" t="s">
        <v>7446</v>
      </c>
      <c r="F1200" t="s">
        <v>7447</v>
      </c>
      <c r="G1200">
        <v>58</v>
      </c>
      <c r="H1200" t="s">
        <v>75</v>
      </c>
      <c r="J1200" t="s">
        <v>7637</v>
      </c>
      <c r="K1200" s="1401"/>
      <c r="L1200" s="1401">
        <v>46200</v>
      </c>
      <c r="M1200" s="1401">
        <v>46202</v>
      </c>
      <c r="N1200" s="1401">
        <v>46201</v>
      </c>
      <c r="O1200" t="s">
        <v>973</v>
      </c>
      <c r="P1200" s="1401">
        <v>46216</v>
      </c>
      <c r="Q1200" s="1401">
        <v>46208</v>
      </c>
    </row>
    <row r="1201" spans="1:17">
      <c r="A1201" t="s">
        <v>7642</v>
      </c>
      <c r="B1201" t="s">
        <v>64</v>
      </c>
      <c r="C1201" t="s">
        <v>100</v>
      </c>
      <c r="E1201" t="s">
        <v>7443</v>
      </c>
      <c r="F1201" t="s">
        <v>7444</v>
      </c>
      <c r="G1201">
        <v>2</v>
      </c>
      <c r="H1201" t="s">
        <v>75</v>
      </c>
      <c r="J1201" t="s">
        <v>7637</v>
      </c>
      <c r="K1201" s="1401"/>
      <c r="L1201" s="1401">
        <v>46200</v>
      </c>
      <c r="M1201" s="1401">
        <v>46202</v>
      </c>
      <c r="N1201" s="1401">
        <v>46201</v>
      </c>
      <c r="O1201" t="s">
        <v>973</v>
      </c>
      <c r="P1201" s="1401">
        <v>46216</v>
      </c>
      <c r="Q1201" s="1401">
        <v>46208</v>
      </c>
    </row>
    <row r="1202" spans="1:17">
      <c r="A1202" t="s">
        <v>7707</v>
      </c>
      <c r="B1202" t="s">
        <v>64</v>
      </c>
      <c r="C1202" t="s">
        <v>65</v>
      </c>
      <c r="E1202" t="s">
        <v>7437</v>
      </c>
      <c r="F1202" t="s">
        <v>7439</v>
      </c>
      <c r="G1202">
        <v>224</v>
      </c>
      <c r="H1202" t="s">
        <v>75</v>
      </c>
      <c r="J1202" t="s">
        <v>7696</v>
      </c>
      <c r="K1202" s="1401"/>
      <c r="L1202" s="1401">
        <v>46226</v>
      </c>
      <c r="M1202" s="1401">
        <v>46233</v>
      </c>
      <c r="N1202" s="1401">
        <v>46233</v>
      </c>
      <c r="O1202" t="s">
        <v>973</v>
      </c>
      <c r="P1202" s="1401">
        <v>46244</v>
      </c>
      <c r="Q1202" s="1401">
        <v>46240</v>
      </c>
    </row>
    <row r="1203" spans="1:17">
      <c r="A1203" t="s">
        <v>7701</v>
      </c>
      <c r="B1203" t="s">
        <v>64</v>
      </c>
      <c r="C1203" t="s">
        <v>65</v>
      </c>
      <c r="E1203" t="s">
        <v>7433</v>
      </c>
      <c r="F1203" t="s">
        <v>7435</v>
      </c>
      <c r="G1203">
        <v>72</v>
      </c>
      <c r="H1203" t="s">
        <v>75</v>
      </c>
      <c r="J1203" t="s">
        <v>7696</v>
      </c>
      <c r="K1203" s="1401"/>
      <c r="L1203" s="1401">
        <v>46226</v>
      </c>
      <c r="M1203" s="1401">
        <v>46233</v>
      </c>
      <c r="N1203" s="1401">
        <v>46233</v>
      </c>
      <c r="O1203" t="s">
        <v>973</v>
      </c>
      <c r="P1203" s="1401">
        <v>46244</v>
      </c>
      <c r="Q1203" s="1401">
        <v>46240</v>
      </c>
    </row>
    <row r="1204" spans="1:17">
      <c r="A1204" t="s">
        <v>7699</v>
      </c>
      <c r="B1204" t="s">
        <v>64</v>
      </c>
      <c r="C1204" t="s">
        <v>65</v>
      </c>
      <c r="E1204" t="s">
        <v>7449</v>
      </c>
      <c r="F1204" t="s">
        <v>7451</v>
      </c>
      <c r="G1204">
        <v>194</v>
      </c>
      <c r="H1204" t="s">
        <v>75</v>
      </c>
      <c r="J1204" t="s">
        <v>7696</v>
      </c>
      <c r="K1204" s="1401"/>
      <c r="L1204" s="1401">
        <v>46226</v>
      </c>
      <c r="M1204" s="1401">
        <v>46233</v>
      </c>
      <c r="N1204" s="1401">
        <v>46233</v>
      </c>
      <c r="O1204" t="s">
        <v>973</v>
      </c>
      <c r="P1204" s="1401">
        <v>46244</v>
      </c>
      <c r="Q1204" s="1401">
        <v>46240</v>
      </c>
    </row>
    <row r="1205" spans="1:17">
      <c r="A1205" t="s">
        <v>7694</v>
      </c>
      <c r="B1205" t="s">
        <v>64</v>
      </c>
      <c r="C1205" t="s">
        <v>65</v>
      </c>
      <c r="E1205" t="s">
        <v>7437</v>
      </c>
      <c r="F1205" t="s">
        <v>7439</v>
      </c>
      <c r="G1205">
        <v>96</v>
      </c>
      <c r="H1205" t="s">
        <v>75</v>
      </c>
      <c r="J1205" t="s">
        <v>7696</v>
      </c>
      <c r="K1205" s="1401"/>
      <c r="L1205" s="1401">
        <v>46226</v>
      </c>
      <c r="M1205" s="1401">
        <v>46233</v>
      </c>
      <c r="N1205" s="1401">
        <v>46233</v>
      </c>
      <c r="O1205" t="s">
        <v>973</v>
      </c>
      <c r="P1205" s="1401">
        <v>46244</v>
      </c>
      <c r="Q1205" s="1401">
        <v>46240</v>
      </c>
    </row>
    <row r="1206" spans="1:17">
      <c r="A1206" t="s">
        <v>7700</v>
      </c>
      <c r="B1206" t="s">
        <v>64</v>
      </c>
      <c r="C1206" t="s">
        <v>65</v>
      </c>
      <c r="E1206" t="s">
        <v>7425</v>
      </c>
      <c r="F1206" t="s">
        <v>7427</v>
      </c>
      <c r="G1206">
        <v>165</v>
      </c>
      <c r="H1206" t="s">
        <v>75</v>
      </c>
      <c r="J1206" t="s">
        <v>7696</v>
      </c>
      <c r="K1206" s="1401"/>
      <c r="L1206" s="1401">
        <v>46226</v>
      </c>
      <c r="M1206" s="1401">
        <v>46233</v>
      </c>
      <c r="N1206" s="1401">
        <v>46233</v>
      </c>
      <c r="O1206" t="s">
        <v>973</v>
      </c>
      <c r="P1206" s="1401">
        <v>46244</v>
      </c>
      <c r="Q1206" s="1401">
        <v>46240</v>
      </c>
    </row>
    <row r="1207" spans="1:17">
      <c r="A1207" t="s">
        <v>7703</v>
      </c>
      <c r="B1207" t="s">
        <v>64</v>
      </c>
      <c r="C1207" t="s">
        <v>65</v>
      </c>
      <c r="E1207" t="s">
        <v>7704</v>
      </c>
      <c r="F1207" t="s">
        <v>7706</v>
      </c>
      <c r="G1207">
        <v>150</v>
      </c>
      <c r="H1207" t="s">
        <v>75</v>
      </c>
      <c r="J1207" t="s">
        <v>7696</v>
      </c>
      <c r="K1207" s="1401"/>
      <c r="L1207" s="1401">
        <v>46226</v>
      </c>
      <c r="M1207" s="1401">
        <v>46233</v>
      </c>
      <c r="N1207" s="1401">
        <v>46233</v>
      </c>
      <c r="O1207" t="s">
        <v>973</v>
      </c>
      <c r="P1207" s="1401">
        <v>46244</v>
      </c>
      <c r="Q1207" s="1401">
        <v>46240</v>
      </c>
    </row>
    <row r="1208" spans="1:17">
      <c r="A1208" t="s">
        <v>7693</v>
      </c>
      <c r="B1208" t="s">
        <v>64</v>
      </c>
      <c r="C1208" t="s">
        <v>65</v>
      </c>
      <c r="E1208" t="s">
        <v>7460</v>
      </c>
      <c r="F1208" t="s">
        <v>7462</v>
      </c>
      <c r="G1208">
        <v>32</v>
      </c>
      <c r="H1208" t="s">
        <v>75</v>
      </c>
      <c r="J1208" t="s">
        <v>7689</v>
      </c>
      <c r="K1208" s="1401"/>
      <c r="L1208" s="1401">
        <v>46235</v>
      </c>
      <c r="M1208" s="1401">
        <v>46235</v>
      </c>
      <c r="N1208" s="1401">
        <v>46235</v>
      </c>
      <c r="O1208" t="s">
        <v>973</v>
      </c>
      <c r="P1208" s="1401">
        <v>46244</v>
      </c>
      <c r="Q1208" s="1401">
        <v>46242</v>
      </c>
    </row>
    <row r="1209" spans="1:17">
      <c r="A1209" t="s">
        <v>7692</v>
      </c>
      <c r="B1209" t="s">
        <v>64</v>
      </c>
      <c r="C1209" t="s">
        <v>65</v>
      </c>
      <c r="E1209" t="s">
        <v>7460</v>
      </c>
      <c r="F1209" t="s">
        <v>7462</v>
      </c>
      <c r="G1209">
        <v>244</v>
      </c>
      <c r="H1209" t="s">
        <v>75</v>
      </c>
      <c r="J1209" t="s">
        <v>7689</v>
      </c>
      <c r="K1209" s="1401"/>
      <c r="L1209" s="1401">
        <v>46235</v>
      </c>
      <c r="M1209" s="1401">
        <v>46235</v>
      </c>
      <c r="N1209" s="1401">
        <v>46235</v>
      </c>
      <c r="O1209" t="s">
        <v>973</v>
      </c>
      <c r="P1209" s="1401">
        <v>46244</v>
      </c>
      <c r="Q1209" s="1401">
        <v>46242</v>
      </c>
    </row>
    <row r="1210" spans="1:17">
      <c r="A1210" t="s">
        <v>7688</v>
      </c>
      <c r="B1210" t="s">
        <v>64</v>
      </c>
      <c r="C1210" t="s">
        <v>65</v>
      </c>
      <c r="E1210" t="s">
        <v>7460</v>
      </c>
      <c r="F1210" t="s">
        <v>7462</v>
      </c>
      <c r="G1210">
        <v>276</v>
      </c>
      <c r="H1210" t="s">
        <v>75</v>
      </c>
      <c r="J1210" t="s">
        <v>7689</v>
      </c>
      <c r="K1210" s="1401"/>
      <c r="L1210" s="1401">
        <v>46235</v>
      </c>
      <c r="M1210" s="1401">
        <v>46235</v>
      </c>
      <c r="N1210" s="1401">
        <v>46235</v>
      </c>
      <c r="O1210" t="s">
        <v>973</v>
      </c>
      <c r="P1210" s="1401">
        <v>46244</v>
      </c>
      <c r="Q1210" s="1401">
        <v>46242</v>
      </c>
    </row>
    <row r="1211" spans="1:17">
      <c r="A1211" t="s">
        <v>7684</v>
      </c>
      <c r="B1211" t="s">
        <v>64</v>
      </c>
      <c r="C1211" t="s">
        <v>65</v>
      </c>
      <c r="E1211" t="s">
        <v>7460</v>
      </c>
      <c r="F1211" t="s">
        <v>7462</v>
      </c>
      <c r="G1211">
        <v>276</v>
      </c>
      <c r="H1211" t="s">
        <v>75</v>
      </c>
      <c r="J1211" t="s">
        <v>7685</v>
      </c>
      <c r="K1211" s="1401"/>
      <c r="L1211" s="1401">
        <v>46241</v>
      </c>
      <c r="M1211" s="1401">
        <v>46235</v>
      </c>
      <c r="N1211" s="1401">
        <v>46235</v>
      </c>
      <c r="O1211" t="s">
        <v>973</v>
      </c>
      <c r="P1211" s="1401">
        <v>46247</v>
      </c>
      <c r="Q1211" s="1401">
        <v>46245</v>
      </c>
    </row>
    <row r="1212" spans="1:17">
      <c r="A1212" t="s">
        <v>7679</v>
      </c>
      <c r="B1212" t="s">
        <v>64</v>
      </c>
      <c r="C1212" t="s">
        <v>65</v>
      </c>
      <c r="E1212" t="s">
        <v>7460</v>
      </c>
      <c r="F1212" t="s">
        <v>7462</v>
      </c>
      <c r="G1212">
        <v>276</v>
      </c>
      <c r="H1212" t="s">
        <v>75</v>
      </c>
      <c r="J1212" t="s">
        <v>7681</v>
      </c>
      <c r="K1212" s="1401"/>
      <c r="L1212" s="1401">
        <v>46228</v>
      </c>
      <c r="M1212" s="1401">
        <v>46228</v>
      </c>
      <c r="N1212" s="1401">
        <v>46228</v>
      </c>
      <c r="O1212" t="s">
        <v>973</v>
      </c>
      <c r="P1212" s="1401">
        <v>46237</v>
      </c>
      <c r="Q1212" s="1401">
        <v>46235</v>
      </c>
    </row>
    <row r="1213" spans="1:17">
      <c r="A1213" t="s">
        <v>7675</v>
      </c>
      <c r="B1213" t="s">
        <v>64</v>
      </c>
      <c r="C1213" t="s">
        <v>65</v>
      </c>
      <c r="E1213" t="s">
        <v>7446</v>
      </c>
      <c r="F1213" t="s">
        <v>7447</v>
      </c>
      <c r="G1213">
        <v>48</v>
      </c>
      <c r="H1213" t="s">
        <v>75</v>
      </c>
      <c r="J1213" t="s">
        <v>7671</v>
      </c>
      <c r="K1213" s="1401"/>
      <c r="L1213" s="1401">
        <v>46217</v>
      </c>
      <c r="M1213" s="1401">
        <v>46223</v>
      </c>
      <c r="N1213" s="1401">
        <v>46223</v>
      </c>
      <c r="O1213" t="s">
        <v>973</v>
      </c>
      <c r="P1213" s="1401">
        <v>46230</v>
      </c>
      <c r="Q1213" s="1401">
        <v>46230</v>
      </c>
    </row>
    <row r="1214" spans="1:17">
      <c r="A1214" t="s">
        <v>7676</v>
      </c>
      <c r="B1214" t="s">
        <v>64</v>
      </c>
      <c r="C1214" t="s">
        <v>65</v>
      </c>
      <c r="E1214" t="s">
        <v>7446</v>
      </c>
      <c r="F1214" t="s">
        <v>7447</v>
      </c>
      <c r="G1214">
        <v>2</v>
      </c>
      <c r="H1214" t="s">
        <v>75</v>
      </c>
      <c r="J1214" t="s">
        <v>7671</v>
      </c>
      <c r="K1214" s="1401"/>
      <c r="L1214" s="1401">
        <v>46217</v>
      </c>
      <c r="M1214" s="1401">
        <v>46223</v>
      </c>
      <c r="N1214" s="1401">
        <v>46223</v>
      </c>
      <c r="O1214" t="s">
        <v>973</v>
      </c>
      <c r="P1214" s="1401">
        <v>46230</v>
      </c>
      <c r="Q1214" s="1401">
        <v>46230</v>
      </c>
    </row>
    <row r="1215" spans="1:17">
      <c r="A1215" t="s">
        <v>7670</v>
      </c>
      <c r="B1215" t="s">
        <v>64</v>
      </c>
      <c r="C1215" t="s">
        <v>65</v>
      </c>
      <c r="E1215" t="s">
        <v>7437</v>
      </c>
      <c r="F1215" t="s">
        <v>7439</v>
      </c>
      <c r="G1215">
        <v>160</v>
      </c>
      <c r="H1215" t="s">
        <v>75</v>
      </c>
      <c r="J1215" t="s">
        <v>7671</v>
      </c>
      <c r="K1215" s="1401"/>
      <c r="L1215" s="1401">
        <v>46217</v>
      </c>
      <c r="M1215" s="1401">
        <v>46223</v>
      </c>
      <c r="N1215" s="1401">
        <v>46223</v>
      </c>
      <c r="O1215" t="s">
        <v>973</v>
      </c>
      <c r="P1215" s="1401">
        <v>46230</v>
      </c>
      <c r="Q1215" s="1401">
        <v>46230</v>
      </c>
    </row>
    <row r="1216" spans="1:17">
      <c r="A1216" t="s">
        <v>7677</v>
      </c>
      <c r="B1216" t="s">
        <v>64</v>
      </c>
      <c r="C1216" t="s">
        <v>65</v>
      </c>
      <c r="E1216" t="s">
        <v>7449</v>
      </c>
      <c r="F1216" t="s">
        <v>7451</v>
      </c>
      <c r="G1216">
        <v>334</v>
      </c>
      <c r="H1216" t="s">
        <v>75</v>
      </c>
      <c r="J1216" t="s">
        <v>7671</v>
      </c>
      <c r="K1216" s="1401"/>
      <c r="L1216" s="1401">
        <v>46217</v>
      </c>
      <c r="M1216" s="1401">
        <v>46223</v>
      </c>
      <c r="N1216" s="1401">
        <v>46223</v>
      </c>
      <c r="O1216" t="s">
        <v>973</v>
      </c>
      <c r="P1216" s="1401">
        <v>46230</v>
      </c>
      <c r="Q1216" s="1401">
        <v>46230</v>
      </c>
    </row>
    <row r="1217" spans="1:17">
      <c r="A1217" t="s">
        <v>7678</v>
      </c>
      <c r="B1217" t="s">
        <v>64</v>
      </c>
      <c r="C1217" t="s">
        <v>65</v>
      </c>
      <c r="E1217" t="s">
        <v>7449</v>
      </c>
      <c r="F1217" t="s">
        <v>7451</v>
      </c>
      <c r="G1217">
        <v>16</v>
      </c>
      <c r="H1217" t="s">
        <v>75</v>
      </c>
      <c r="J1217" t="s">
        <v>7671</v>
      </c>
      <c r="K1217" s="1401"/>
      <c r="L1217" s="1401">
        <v>46217</v>
      </c>
      <c r="M1217" s="1401">
        <v>46223</v>
      </c>
      <c r="N1217" s="1401">
        <v>46223</v>
      </c>
      <c r="O1217" t="s">
        <v>973</v>
      </c>
      <c r="P1217" s="1401">
        <v>46230</v>
      </c>
      <c r="Q1217" s="1401">
        <v>46230</v>
      </c>
    </row>
    <row r="1218" spans="1:17">
      <c r="A1218" t="s">
        <v>7674</v>
      </c>
      <c r="B1218" t="s">
        <v>64</v>
      </c>
      <c r="C1218" t="s">
        <v>65</v>
      </c>
      <c r="E1218" t="s">
        <v>7437</v>
      </c>
      <c r="F1218" t="s">
        <v>7439</v>
      </c>
      <c r="G1218">
        <v>14</v>
      </c>
      <c r="H1218" t="s">
        <v>75</v>
      </c>
      <c r="J1218" t="s">
        <v>7671</v>
      </c>
      <c r="K1218" s="1401"/>
      <c r="L1218" s="1401">
        <v>46217</v>
      </c>
      <c r="M1218" s="1401">
        <v>46223</v>
      </c>
      <c r="N1218" s="1401">
        <v>46223</v>
      </c>
      <c r="O1218" t="s">
        <v>973</v>
      </c>
      <c r="P1218" s="1401">
        <v>46230</v>
      </c>
      <c r="Q1218" s="1401">
        <v>46230</v>
      </c>
    </row>
    <row r="1219" spans="1:17">
      <c r="A1219" t="s">
        <v>7720</v>
      </c>
      <c r="B1219" t="s">
        <v>64</v>
      </c>
      <c r="C1219" t="s">
        <v>65</v>
      </c>
      <c r="E1219" t="s">
        <v>7460</v>
      </c>
      <c r="F1219" t="s">
        <v>7462</v>
      </c>
      <c r="G1219">
        <v>276</v>
      </c>
      <c r="H1219" t="s">
        <v>75</v>
      </c>
      <c r="J1219" t="s">
        <v>7721</v>
      </c>
      <c r="K1219" s="1401"/>
      <c r="L1219" s="1401">
        <v>46249</v>
      </c>
      <c r="M1219" s="1401">
        <v>46249</v>
      </c>
      <c r="N1219" s="1401">
        <v>46249</v>
      </c>
      <c r="O1219" t="s">
        <v>973</v>
      </c>
      <c r="P1219" s="1401">
        <v>46255</v>
      </c>
      <c r="Q1219" s="1401">
        <v>46256</v>
      </c>
    </row>
    <row r="1220" spans="1:17">
      <c r="A1220" t="s">
        <v>7724</v>
      </c>
      <c r="B1220" t="s">
        <v>64</v>
      </c>
      <c r="C1220" t="s">
        <v>65</v>
      </c>
      <c r="E1220" t="s">
        <v>7725</v>
      </c>
      <c r="F1220" t="s">
        <v>7726</v>
      </c>
      <c r="G1220">
        <v>128</v>
      </c>
      <c r="H1220" t="s">
        <v>75</v>
      </c>
      <c r="J1220" t="s">
        <v>7721</v>
      </c>
      <c r="K1220" s="1401"/>
      <c r="L1220" s="1401">
        <v>46249</v>
      </c>
      <c r="M1220" s="1401">
        <v>46249</v>
      </c>
      <c r="N1220" s="1401">
        <v>46249</v>
      </c>
      <c r="O1220" t="s">
        <v>973</v>
      </c>
      <c r="P1220" s="1401">
        <v>46255</v>
      </c>
      <c r="Q1220" s="1401">
        <v>46256</v>
      </c>
    </row>
    <row r="1221" spans="1:17">
      <c r="A1221" t="s">
        <v>7727</v>
      </c>
      <c r="B1221" t="s">
        <v>64</v>
      </c>
      <c r="C1221" t="s">
        <v>65</v>
      </c>
      <c r="E1221" t="s">
        <v>7725</v>
      </c>
      <c r="F1221" t="s">
        <v>7726</v>
      </c>
      <c r="G1221">
        <v>4</v>
      </c>
      <c r="H1221" t="s">
        <v>75</v>
      </c>
      <c r="J1221" t="s">
        <v>7721</v>
      </c>
      <c r="K1221" s="1401"/>
      <c r="L1221" s="1401">
        <v>46249</v>
      </c>
      <c r="M1221" s="1401">
        <v>46249</v>
      </c>
      <c r="N1221" s="1401">
        <v>46249</v>
      </c>
      <c r="O1221" t="s">
        <v>973</v>
      </c>
      <c r="P1221" s="1401">
        <v>46255</v>
      </c>
      <c r="Q1221" s="1401">
        <v>46256</v>
      </c>
    </row>
    <row r="1222" spans="1:17">
      <c r="A1222" t="s">
        <v>7728</v>
      </c>
      <c r="B1222" t="s">
        <v>64</v>
      </c>
      <c r="C1222" t="s">
        <v>65</v>
      </c>
      <c r="E1222" t="s">
        <v>7710</v>
      </c>
      <c r="F1222" t="s">
        <v>7711</v>
      </c>
      <c r="G1222">
        <v>4</v>
      </c>
      <c r="H1222" t="s">
        <v>75</v>
      </c>
      <c r="J1222" t="s">
        <v>7721</v>
      </c>
      <c r="K1222" s="1401"/>
      <c r="L1222" s="1401">
        <v>46249</v>
      </c>
      <c r="M1222" s="1401">
        <v>46249</v>
      </c>
      <c r="N1222" s="1401">
        <v>46249</v>
      </c>
      <c r="O1222" t="s">
        <v>973</v>
      </c>
      <c r="P1222" s="1401">
        <v>46255</v>
      </c>
      <c r="Q1222" s="1401">
        <v>46256</v>
      </c>
    </row>
    <row r="1223" spans="1:17">
      <c r="A1223" t="s">
        <v>7730</v>
      </c>
      <c r="B1223" t="s">
        <v>64</v>
      </c>
      <c r="C1223" t="s">
        <v>65</v>
      </c>
      <c r="E1223" t="s">
        <v>7460</v>
      </c>
      <c r="F1223" t="s">
        <v>7462</v>
      </c>
      <c r="G1223">
        <v>108</v>
      </c>
      <c r="H1223" t="s">
        <v>75</v>
      </c>
      <c r="J1223" t="s">
        <v>7721</v>
      </c>
      <c r="K1223" s="1401"/>
      <c r="L1223" s="1401">
        <v>46249</v>
      </c>
      <c r="M1223" s="1401">
        <v>46249</v>
      </c>
      <c r="N1223" s="1401">
        <v>46249</v>
      </c>
      <c r="O1223" t="s">
        <v>973</v>
      </c>
      <c r="P1223" s="1401">
        <v>46255</v>
      </c>
      <c r="Q1223" s="1401">
        <v>46256</v>
      </c>
    </row>
    <row r="1224" spans="1:17">
      <c r="A1224" t="s">
        <v>7729</v>
      </c>
      <c r="B1224" t="s">
        <v>64</v>
      </c>
      <c r="C1224" t="s">
        <v>65</v>
      </c>
      <c r="E1224" t="s">
        <v>7710</v>
      </c>
      <c r="F1224" t="s">
        <v>7711</v>
      </c>
      <c r="G1224">
        <v>2</v>
      </c>
      <c r="H1224" t="s">
        <v>75</v>
      </c>
      <c r="J1224" t="s">
        <v>7721</v>
      </c>
      <c r="K1224" s="1401"/>
      <c r="L1224" s="1401">
        <v>46249</v>
      </c>
      <c r="M1224" s="1401">
        <v>46249</v>
      </c>
      <c r="N1224" s="1401">
        <v>46249</v>
      </c>
      <c r="O1224" t="s">
        <v>973</v>
      </c>
      <c r="P1224" s="1401">
        <v>46255</v>
      </c>
      <c r="Q1224" s="1401">
        <v>46256</v>
      </c>
    </row>
    <row r="1225" spans="1:17">
      <c r="A1225" t="s">
        <v>7731</v>
      </c>
      <c r="B1225" t="s">
        <v>64</v>
      </c>
      <c r="C1225" t="s">
        <v>65</v>
      </c>
      <c r="E1225" t="s">
        <v>7460</v>
      </c>
      <c r="F1225" t="s">
        <v>7462</v>
      </c>
      <c r="G1225">
        <v>12</v>
      </c>
      <c r="H1225" t="s">
        <v>75</v>
      </c>
      <c r="J1225" t="s">
        <v>7721</v>
      </c>
      <c r="K1225" s="1401"/>
      <c r="L1225" s="1401">
        <v>46249</v>
      </c>
      <c r="M1225" s="1401">
        <v>46249</v>
      </c>
      <c r="N1225" s="1401">
        <v>46249</v>
      </c>
      <c r="O1225" t="s">
        <v>973</v>
      </c>
      <c r="P1225" s="1401">
        <v>46255</v>
      </c>
      <c r="Q1225" s="1401">
        <v>46256</v>
      </c>
    </row>
    <row r="1226" spans="1:17">
      <c r="A1226" t="s">
        <v>7719</v>
      </c>
      <c r="B1226" t="s">
        <v>64</v>
      </c>
      <c r="C1226" t="s">
        <v>65</v>
      </c>
      <c r="E1226" t="s">
        <v>7717</v>
      </c>
      <c r="F1226" t="s">
        <v>7718</v>
      </c>
      <c r="G1226">
        <v>6</v>
      </c>
      <c r="H1226" t="s">
        <v>75</v>
      </c>
      <c r="J1226" t="s">
        <v>7712</v>
      </c>
      <c r="K1226" s="1401"/>
      <c r="L1226" s="1401">
        <v>46232</v>
      </c>
      <c r="M1226" s="1401">
        <v>46238</v>
      </c>
      <c r="N1226" s="1401">
        <v>46240</v>
      </c>
      <c r="O1226" t="s">
        <v>973</v>
      </c>
      <c r="P1226" s="1401">
        <v>46248</v>
      </c>
      <c r="Q1226" s="1401">
        <v>46247</v>
      </c>
    </row>
    <row r="1227" spans="1:17">
      <c r="A1227" t="s">
        <v>7716</v>
      </c>
      <c r="B1227" t="s">
        <v>64</v>
      </c>
      <c r="C1227" t="s">
        <v>65</v>
      </c>
      <c r="E1227" t="s">
        <v>7717</v>
      </c>
      <c r="F1227" t="s">
        <v>7718</v>
      </c>
      <c r="G1227">
        <v>192</v>
      </c>
      <c r="H1227" t="s">
        <v>75</v>
      </c>
      <c r="J1227" t="s">
        <v>7712</v>
      </c>
      <c r="K1227" s="1401"/>
      <c r="L1227" s="1401">
        <v>46232</v>
      </c>
      <c r="M1227" s="1401">
        <v>46238</v>
      </c>
      <c r="N1227" s="1401">
        <v>46240</v>
      </c>
      <c r="O1227" t="s">
        <v>973</v>
      </c>
      <c r="P1227" s="1401">
        <v>46248</v>
      </c>
      <c r="Q1227" s="1401">
        <v>46247</v>
      </c>
    </row>
    <row r="1228" spans="1:17">
      <c r="A1228" t="s">
        <v>7709</v>
      </c>
      <c r="B1228" t="s">
        <v>64</v>
      </c>
      <c r="C1228" t="s">
        <v>65</v>
      </c>
      <c r="E1228" t="s">
        <v>7710</v>
      </c>
      <c r="F1228" t="s">
        <v>7711</v>
      </c>
      <c r="G1228">
        <v>60</v>
      </c>
      <c r="H1228" t="s">
        <v>75</v>
      </c>
      <c r="J1228" t="s">
        <v>7712</v>
      </c>
      <c r="K1228" s="1401"/>
      <c r="L1228" s="1401">
        <v>46232</v>
      </c>
      <c r="M1228" s="1401">
        <v>46238</v>
      </c>
      <c r="N1228" s="1401">
        <v>46240</v>
      </c>
      <c r="O1228" t="s">
        <v>973</v>
      </c>
      <c r="P1228" s="1401">
        <v>46248</v>
      </c>
      <c r="Q1228" s="1401">
        <v>46247</v>
      </c>
    </row>
    <row r="1229" spans="1:17">
      <c r="A1229" t="s">
        <v>10684</v>
      </c>
      <c r="B1229" t="s">
        <v>64</v>
      </c>
      <c r="C1229" t="s">
        <v>65</v>
      </c>
      <c r="E1229" t="s">
        <v>7437</v>
      </c>
      <c r="F1229" t="s">
        <v>7439</v>
      </c>
      <c r="G1229">
        <v>14</v>
      </c>
      <c r="H1229" t="s">
        <v>75</v>
      </c>
      <c r="J1229" t="s">
        <v>7749</v>
      </c>
      <c r="K1229" s="1401"/>
      <c r="L1229" s="1401">
        <v>46260</v>
      </c>
      <c r="M1229" s="1401">
        <v>46272</v>
      </c>
      <c r="N1229" s="1401">
        <v>46272</v>
      </c>
      <c r="O1229" t="s">
        <v>2434</v>
      </c>
      <c r="P1229" s="1401">
        <v>46279</v>
      </c>
      <c r="Q1229" s="1401">
        <v>46280</v>
      </c>
    </row>
    <row r="1230" spans="1:17">
      <c r="A1230" t="s">
        <v>7763</v>
      </c>
      <c r="B1230" t="s">
        <v>64</v>
      </c>
      <c r="C1230" t="s">
        <v>65</v>
      </c>
      <c r="E1230" t="s">
        <v>7446</v>
      </c>
      <c r="F1230" t="s">
        <v>7447</v>
      </c>
      <c r="G1230">
        <v>12</v>
      </c>
      <c r="H1230" t="s">
        <v>75</v>
      </c>
      <c r="J1230" t="s">
        <v>7749</v>
      </c>
      <c r="K1230" s="1401"/>
      <c r="L1230" s="1401">
        <v>46260</v>
      </c>
      <c r="M1230" s="1401">
        <v>46272</v>
      </c>
      <c r="N1230" s="1401">
        <v>46272</v>
      </c>
      <c r="O1230" t="s">
        <v>2434</v>
      </c>
      <c r="P1230" s="1401">
        <v>46279</v>
      </c>
      <c r="Q1230" s="1401">
        <v>46280</v>
      </c>
    </row>
    <row r="1231" spans="1:17">
      <c r="A1231" t="s">
        <v>7758</v>
      </c>
      <c r="B1231" t="s">
        <v>64</v>
      </c>
      <c r="C1231" t="s">
        <v>65</v>
      </c>
      <c r="E1231" t="s">
        <v>7425</v>
      </c>
      <c r="F1231" t="s">
        <v>7427</v>
      </c>
      <c r="G1231">
        <v>180</v>
      </c>
      <c r="H1231" t="s">
        <v>75</v>
      </c>
      <c r="J1231" t="s">
        <v>7749</v>
      </c>
      <c r="K1231" s="1401"/>
      <c r="L1231" s="1401">
        <v>46253</v>
      </c>
      <c r="M1231" s="1401">
        <v>46272</v>
      </c>
      <c r="N1231" s="1401">
        <v>46272</v>
      </c>
      <c r="O1231" t="s">
        <v>2434</v>
      </c>
      <c r="P1231" s="1401">
        <v>46279</v>
      </c>
      <c r="Q1231" s="1401">
        <v>46280</v>
      </c>
    </row>
    <row r="1232" spans="1:17">
      <c r="A1232" t="s">
        <v>7757</v>
      </c>
      <c r="B1232" t="s">
        <v>64</v>
      </c>
      <c r="C1232" t="s">
        <v>65</v>
      </c>
      <c r="E1232" t="s">
        <v>7449</v>
      </c>
      <c r="F1232" t="s">
        <v>7451</v>
      </c>
      <c r="G1232">
        <v>15</v>
      </c>
      <c r="H1232" t="s">
        <v>75</v>
      </c>
      <c r="J1232" t="s">
        <v>7749</v>
      </c>
      <c r="K1232" s="1401"/>
      <c r="L1232" s="1401">
        <v>46253</v>
      </c>
      <c r="M1232" s="1401">
        <v>46272</v>
      </c>
      <c r="N1232" s="1401">
        <v>46272</v>
      </c>
      <c r="O1232" t="s">
        <v>2434</v>
      </c>
      <c r="P1232" s="1401">
        <v>46279</v>
      </c>
      <c r="Q1232" s="1401">
        <v>46280</v>
      </c>
    </row>
    <row r="1233" spans="1:17">
      <c r="A1233" t="s">
        <v>7756</v>
      </c>
      <c r="B1233" t="s">
        <v>64</v>
      </c>
      <c r="C1233" t="s">
        <v>65</v>
      </c>
      <c r="E1233" t="s">
        <v>7449</v>
      </c>
      <c r="F1233" t="s">
        <v>7451</v>
      </c>
      <c r="G1233">
        <v>155</v>
      </c>
      <c r="H1233" t="s">
        <v>75</v>
      </c>
      <c r="J1233" t="s">
        <v>7749</v>
      </c>
      <c r="K1233" s="1401"/>
      <c r="L1233" s="1401">
        <v>46253</v>
      </c>
      <c r="M1233" s="1401">
        <v>46272</v>
      </c>
      <c r="N1233" s="1401">
        <v>46272</v>
      </c>
      <c r="O1233" t="s">
        <v>2434</v>
      </c>
      <c r="P1233" s="1401">
        <v>46279</v>
      </c>
      <c r="Q1233" s="1401">
        <v>46280</v>
      </c>
    </row>
    <row r="1234" spans="1:17">
      <c r="A1234" t="s">
        <v>7755</v>
      </c>
      <c r="B1234" t="s">
        <v>64</v>
      </c>
      <c r="C1234" t="s">
        <v>65</v>
      </c>
      <c r="E1234" t="s">
        <v>7446</v>
      </c>
      <c r="F1234" t="s">
        <v>7447</v>
      </c>
      <c r="G1234">
        <v>2</v>
      </c>
      <c r="H1234" t="s">
        <v>75</v>
      </c>
      <c r="J1234" t="s">
        <v>7749</v>
      </c>
      <c r="K1234" s="1401"/>
      <c r="L1234" s="1401">
        <v>46253</v>
      </c>
      <c r="M1234" s="1401">
        <v>46272</v>
      </c>
      <c r="N1234" s="1401">
        <v>46272</v>
      </c>
      <c r="O1234" t="s">
        <v>2434</v>
      </c>
      <c r="P1234" s="1401">
        <v>46279</v>
      </c>
      <c r="Q1234" s="1401">
        <v>46280</v>
      </c>
    </row>
    <row r="1235" spans="1:17">
      <c r="A1235" t="s">
        <v>7754</v>
      </c>
      <c r="B1235" t="s">
        <v>64</v>
      </c>
      <c r="C1235" t="s">
        <v>65</v>
      </c>
      <c r="E1235" t="s">
        <v>7446</v>
      </c>
      <c r="F1235" t="s">
        <v>7447</v>
      </c>
      <c r="G1235">
        <v>45</v>
      </c>
      <c r="H1235" t="s">
        <v>75</v>
      </c>
      <c r="J1235" t="s">
        <v>7749</v>
      </c>
      <c r="K1235" s="1401"/>
      <c r="L1235" s="1401">
        <v>46253</v>
      </c>
      <c r="M1235" s="1401">
        <v>46272</v>
      </c>
      <c r="N1235" s="1401">
        <v>46272</v>
      </c>
      <c r="O1235" t="s">
        <v>2434</v>
      </c>
      <c r="P1235" s="1401">
        <v>46279</v>
      </c>
      <c r="Q1235" s="1401">
        <v>46280</v>
      </c>
    </row>
    <row r="1236" spans="1:17">
      <c r="A1236" t="s">
        <v>7753</v>
      </c>
      <c r="B1236" t="s">
        <v>64</v>
      </c>
      <c r="C1236" t="s">
        <v>65</v>
      </c>
      <c r="E1236" t="s">
        <v>7471</v>
      </c>
      <c r="F1236" t="s">
        <v>7472</v>
      </c>
      <c r="G1236">
        <v>1</v>
      </c>
      <c r="H1236" t="s">
        <v>75</v>
      </c>
      <c r="J1236" t="s">
        <v>7749</v>
      </c>
      <c r="K1236" s="1401"/>
      <c r="L1236" s="1401">
        <v>46253</v>
      </c>
      <c r="M1236" s="1401">
        <v>46272</v>
      </c>
      <c r="N1236" s="1401">
        <v>46272</v>
      </c>
      <c r="O1236" t="s">
        <v>2434</v>
      </c>
      <c r="P1236" s="1401">
        <v>46279</v>
      </c>
      <c r="Q1236" s="1401">
        <v>46280</v>
      </c>
    </row>
    <row r="1237" spans="1:17">
      <c r="A1237" t="s">
        <v>7748</v>
      </c>
      <c r="B1237" t="s">
        <v>64</v>
      </c>
      <c r="C1237" t="s">
        <v>65</v>
      </c>
      <c r="E1237" t="s">
        <v>7471</v>
      </c>
      <c r="F1237" t="s">
        <v>7472</v>
      </c>
      <c r="G1237">
        <v>24</v>
      </c>
      <c r="H1237" t="s">
        <v>75</v>
      </c>
      <c r="J1237" t="s">
        <v>7749</v>
      </c>
      <c r="K1237" s="1401"/>
      <c r="L1237" s="1401">
        <v>46253</v>
      </c>
      <c r="M1237" s="1401">
        <v>46272</v>
      </c>
      <c r="N1237" s="1401">
        <v>46272</v>
      </c>
      <c r="O1237" t="s">
        <v>2434</v>
      </c>
      <c r="P1237" s="1401">
        <v>46279</v>
      </c>
      <c r="Q1237" s="1401">
        <v>46280</v>
      </c>
    </row>
    <row r="1238" spans="1:17">
      <c r="A1238" t="s">
        <v>7759</v>
      </c>
      <c r="B1238" t="s">
        <v>64</v>
      </c>
      <c r="C1238" t="s">
        <v>65</v>
      </c>
      <c r="E1238" t="s">
        <v>7437</v>
      </c>
      <c r="F1238" t="s">
        <v>7439</v>
      </c>
      <c r="G1238">
        <v>198</v>
      </c>
      <c r="H1238" t="s">
        <v>75</v>
      </c>
      <c r="J1238" t="s">
        <v>7749</v>
      </c>
      <c r="K1238" s="1401"/>
      <c r="L1238" s="1401">
        <v>46260</v>
      </c>
      <c r="M1238" s="1401">
        <v>46272</v>
      </c>
      <c r="N1238" s="1401">
        <v>46272</v>
      </c>
      <c r="O1238" t="s">
        <v>2434</v>
      </c>
      <c r="P1238" s="1401">
        <v>46279</v>
      </c>
      <c r="Q1238" s="1401">
        <v>46280</v>
      </c>
    </row>
    <row r="1239" spans="1:17">
      <c r="A1239" t="s">
        <v>7771</v>
      </c>
      <c r="B1239" t="s">
        <v>64</v>
      </c>
      <c r="C1239" t="s">
        <v>65</v>
      </c>
      <c r="E1239" t="s">
        <v>7449</v>
      </c>
      <c r="F1239" t="s">
        <v>7451</v>
      </c>
      <c r="G1239">
        <v>349</v>
      </c>
      <c r="H1239" t="s">
        <v>75</v>
      </c>
      <c r="J1239" t="s">
        <v>7772</v>
      </c>
      <c r="K1239" s="1401"/>
      <c r="L1239" s="1401">
        <v>46265</v>
      </c>
      <c r="M1239" s="1401">
        <v>46277</v>
      </c>
      <c r="N1239" s="1401">
        <v>46278</v>
      </c>
      <c r="O1239" t="s">
        <v>2434</v>
      </c>
      <c r="P1239" s="1401">
        <v>46283</v>
      </c>
      <c r="Q1239" s="1401">
        <v>46286</v>
      </c>
    </row>
    <row r="1240" spans="1:17">
      <c r="A1240" t="s">
        <v>7775</v>
      </c>
      <c r="B1240" t="s">
        <v>64</v>
      </c>
      <c r="C1240" t="s">
        <v>65</v>
      </c>
      <c r="E1240" t="s">
        <v>7449</v>
      </c>
      <c r="F1240" t="s">
        <v>7451</v>
      </c>
      <c r="G1240">
        <v>1</v>
      </c>
      <c r="H1240" t="s">
        <v>75</v>
      </c>
      <c r="J1240" t="s">
        <v>7772</v>
      </c>
      <c r="K1240" s="1401"/>
      <c r="L1240" s="1401">
        <v>46265</v>
      </c>
      <c r="M1240" s="1401">
        <v>46277</v>
      </c>
      <c r="N1240" s="1401">
        <v>46278</v>
      </c>
      <c r="O1240" t="s">
        <v>2434</v>
      </c>
      <c r="P1240" s="1401">
        <v>46283</v>
      </c>
      <c r="Q1240" s="1401">
        <v>46286</v>
      </c>
    </row>
    <row r="1241" spans="1:17">
      <c r="A1241" t="s">
        <v>7770</v>
      </c>
      <c r="B1241" t="s">
        <v>64</v>
      </c>
      <c r="C1241" t="s">
        <v>65</v>
      </c>
      <c r="E1241" t="s">
        <v>7460</v>
      </c>
      <c r="F1241" t="s">
        <v>7462</v>
      </c>
      <c r="G1241">
        <v>2</v>
      </c>
      <c r="H1241" t="s">
        <v>75</v>
      </c>
      <c r="J1241" t="s">
        <v>7766</v>
      </c>
      <c r="K1241" s="1401"/>
      <c r="L1241" s="1401">
        <v>46260</v>
      </c>
      <c r="M1241" s="1401">
        <v>46281</v>
      </c>
      <c r="N1241" s="1401">
        <v>46281</v>
      </c>
      <c r="O1241" t="s">
        <v>2434</v>
      </c>
      <c r="P1241" s="1401">
        <v>46288</v>
      </c>
      <c r="Q1241" s="1401">
        <v>46289</v>
      </c>
    </row>
    <row r="1242" spans="1:17">
      <c r="A1242" t="s">
        <v>7769</v>
      </c>
      <c r="B1242" t="s">
        <v>64</v>
      </c>
      <c r="C1242" t="s">
        <v>65</v>
      </c>
      <c r="E1242" t="s">
        <v>7460</v>
      </c>
      <c r="F1242" t="s">
        <v>7462</v>
      </c>
      <c r="G1242">
        <v>80</v>
      </c>
      <c r="H1242" t="s">
        <v>75</v>
      </c>
      <c r="J1242" t="s">
        <v>7766</v>
      </c>
      <c r="K1242" s="1401"/>
      <c r="L1242" s="1401">
        <v>46260</v>
      </c>
      <c r="M1242" s="1401">
        <v>46281</v>
      </c>
      <c r="N1242" s="1401">
        <v>46281</v>
      </c>
      <c r="O1242" t="s">
        <v>2434</v>
      </c>
      <c r="P1242" s="1401">
        <v>46288</v>
      </c>
      <c r="Q1242" s="1401">
        <v>46289</v>
      </c>
    </row>
    <row r="1243" spans="1:17">
      <c r="A1243" t="s">
        <v>7764</v>
      </c>
      <c r="B1243" t="s">
        <v>64</v>
      </c>
      <c r="C1243" t="s">
        <v>65</v>
      </c>
      <c r="E1243" t="s">
        <v>7460</v>
      </c>
      <c r="F1243" t="s">
        <v>7462</v>
      </c>
      <c r="G1243">
        <v>470</v>
      </c>
      <c r="H1243" t="s">
        <v>75</v>
      </c>
      <c r="J1243" t="s">
        <v>7766</v>
      </c>
      <c r="K1243" s="1401"/>
      <c r="L1243" s="1401">
        <v>46260</v>
      </c>
      <c r="M1243" s="1401">
        <v>46281</v>
      </c>
      <c r="N1243" s="1401">
        <v>46281</v>
      </c>
      <c r="O1243" t="s">
        <v>2434</v>
      </c>
      <c r="P1243" s="1401">
        <v>46288</v>
      </c>
      <c r="Q1243" s="1401">
        <v>46289</v>
      </c>
    </row>
    <row r="1244" spans="1:17">
      <c r="A1244" t="s">
        <v>7747</v>
      </c>
      <c r="B1244" t="s">
        <v>64</v>
      </c>
      <c r="C1244" t="s">
        <v>65</v>
      </c>
      <c r="E1244" t="s">
        <v>7460</v>
      </c>
      <c r="F1244" t="s">
        <v>7462</v>
      </c>
      <c r="G1244">
        <v>49</v>
      </c>
      <c r="H1244" t="s">
        <v>75</v>
      </c>
      <c r="J1244" t="s">
        <v>7744</v>
      </c>
      <c r="K1244" s="1401"/>
      <c r="L1244" s="1401">
        <v>46260</v>
      </c>
      <c r="M1244" s="1401">
        <v>46260</v>
      </c>
      <c r="N1244" s="1401">
        <v>46253</v>
      </c>
      <c r="O1244" t="s">
        <v>973</v>
      </c>
      <c r="P1244" s="1401">
        <v>46268</v>
      </c>
      <c r="Q1244" s="1401">
        <v>46261</v>
      </c>
    </row>
    <row r="1245" spans="1:17">
      <c r="A1245" t="s">
        <v>7742</v>
      </c>
      <c r="B1245" t="s">
        <v>64</v>
      </c>
      <c r="C1245" t="s">
        <v>65</v>
      </c>
      <c r="E1245" t="s">
        <v>7460</v>
      </c>
      <c r="F1245" t="s">
        <v>7462</v>
      </c>
      <c r="G1245">
        <v>227</v>
      </c>
      <c r="H1245" t="s">
        <v>75</v>
      </c>
      <c r="J1245" t="s">
        <v>7744</v>
      </c>
      <c r="K1245" s="1401"/>
      <c r="L1245" s="1401">
        <v>46260</v>
      </c>
      <c r="M1245" s="1401">
        <v>46260</v>
      </c>
      <c r="N1245" s="1401">
        <v>46253</v>
      </c>
      <c r="O1245" t="s">
        <v>973</v>
      </c>
      <c r="P1245" s="1401">
        <v>46268</v>
      </c>
      <c r="Q1245" s="1401">
        <v>46261</v>
      </c>
    </row>
    <row r="1246" spans="1:17">
      <c r="A1246" t="s">
        <v>7776</v>
      </c>
      <c r="B1246" t="s">
        <v>64</v>
      </c>
      <c r="C1246" t="s">
        <v>65</v>
      </c>
      <c r="E1246" t="s">
        <v>7437</v>
      </c>
      <c r="F1246" t="s">
        <v>7439</v>
      </c>
      <c r="G1246">
        <v>224</v>
      </c>
      <c r="H1246" t="s">
        <v>75</v>
      </c>
      <c r="J1246" t="s">
        <v>7777</v>
      </c>
      <c r="K1246" s="1401"/>
      <c r="L1246" s="1401">
        <v>46279</v>
      </c>
      <c r="M1246" s="1401">
        <v>46285</v>
      </c>
      <c r="N1246" s="1401">
        <v>46284</v>
      </c>
      <c r="O1246" t="s">
        <v>2434</v>
      </c>
      <c r="P1246" s="1401">
        <v>46290</v>
      </c>
      <c r="Q1246" s="1401">
        <v>46292</v>
      </c>
    </row>
    <row r="1247" spans="1:17">
      <c r="A1247" t="s">
        <v>7780</v>
      </c>
      <c r="B1247" t="s">
        <v>64</v>
      </c>
      <c r="C1247" t="s">
        <v>65</v>
      </c>
      <c r="E1247" t="s">
        <v>7460</v>
      </c>
      <c r="F1247" t="s">
        <v>7462</v>
      </c>
      <c r="G1247">
        <v>276</v>
      </c>
      <c r="H1247" t="s">
        <v>75</v>
      </c>
      <c r="J1247" t="s">
        <v>7781</v>
      </c>
      <c r="K1247" s="1401"/>
      <c r="L1247" s="1401">
        <v>46274</v>
      </c>
      <c r="M1247" s="1401">
        <v>46267</v>
      </c>
      <c r="N1247" s="1401">
        <v>46267</v>
      </c>
      <c r="O1247" t="s">
        <v>2434</v>
      </c>
      <c r="P1247" s="1401">
        <v>46275</v>
      </c>
      <c r="Q1247" s="1401">
        <v>46275</v>
      </c>
    </row>
    <row r="1248" spans="1:17">
      <c r="A1248" t="s">
        <v>7789</v>
      </c>
      <c r="B1248" t="s">
        <v>64</v>
      </c>
      <c r="C1248" t="s">
        <v>65</v>
      </c>
      <c r="E1248" t="s">
        <v>7460</v>
      </c>
      <c r="F1248" t="s">
        <v>7462</v>
      </c>
      <c r="G1248">
        <v>276</v>
      </c>
      <c r="H1248" t="s">
        <v>75</v>
      </c>
      <c r="J1248" t="s">
        <v>7786</v>
      </c>
      <c r="K1248" s="1401"/>
      <c r="L1248" s="1401">
        <v>46281</v>
      </c>
      <c r="M1248" s="1401">
        <v>46288</v>
      </c>
      <c r="N1248" s="1401">
        <v>46289</v>
      </c>
      <c r="O1248" t="s">
        <v>2434</v>
      </c>
      <c r="P1248" s="1401">
        <v>46295</v>
      </c>
      <c r="Q1248" s="1401">
        <v>46297</v>
      </c>
    </row>
    <row r="1249" spans="1:17">
      <c r="A1249" t="s">
        <v>7784</v>
      </c>
      <c r="B1249" t="s">
        <v>64</v>
      </c>
      <c r="C1249" t="s">
        <v>65</v>
      </c>
      <c r="E1249" t="s">
        <v>7460</v>
      </c>
      <c r="F1249" t="s">
        <v>7462</v>
      </c>
      <c r="G1249">
        <v>276</v>
      </c>
      <c r="H1249" t="s">
        <v>75</v>
      </c>
      <c r="J1249" t="s">
        <v>7786</v>
      </c>
      <c r="K1249" s="1401"/>
      <c r="L1249" s="1401">
        <v>46281</v>
      </c>
      <c r="M1249" s="1401">
        <v>46288</v>
      </c>
      <c r="N1249" s="1401">
        <v>46289</v>
      </c>
      <c r="O1249" t="s">
        <v>2434</v>
      </c>
      <c r="P1249" s="1401">
        <v>46295</v>
      </c>
      <c r="Q1249" s="1401">
        <v>46297</v>
      </c>
    </row>
    <row r="1250" spans="1:17">
      <c r="A1250" t="s">
        <v>7803</v>
      </c>
      <c r="B1250" t="s">
        <v>64</v>
      </c>
      <c r="C1250" t="s">
        <v>65</v>
      </c>
      <c r="E1250" t="s">
        <v>7449</v>
      </c>
      <c r="F1250" t="s">
        <v>7451</v>
      </c>
      <c r="G1250">
        <v>331</v>
      </c>
      <c r="H1250" t="s">
        <v>75</v>
      </c>
      <c r="J1250" t="s">
        <v>7794</v>
      </c>
      <c r="K1250" s="1401"/>
      <c r="L1250" s="1401">
        <v>46274</v>
      </c>
      <c r="M1250" s="1401">
        <v>46272</v>
      </c>
      <c r="N1250" s="1401">
        <v>46272</v>
      </c>
      <c r="O1250" t="s">
        <v>2434</v>
      </c>
      <c r="P1250" s="1401">
        <v>46279</v>
      </c>
      <c r="Q1250" s="1401">
        <v>46280</v>
      </c>
    </row>
    <row r="1251" spans="1:17">
      <c r="A1251" t="s">
        <v>7799</v>
      </c>
      <c r="B1251" t="s">
        <v>64</v>
      </c>
      <c r="C1251" t="s">
        <v>65</v>
      </c>
      <c r="E1251" t="s">
        <v>7437</v>
      </c>
      <c r="F1251" t="s">
        <v>7439</v>
      </c>
      <c r="G1251">
        <v>16</v>
      </c>
      <c r="H1251" t="s">
        <v>75</v>
      </c>
      <c r="J1251" t="s">
        <v>7794</v>
      </c>
      <c r="K1251" s="1401"/>
      <c r="L1251" s="1401">
        <v>46274</v>
      </c>
      <c r="M1251" s="1401">
        <v>46272</v>
      </c>
      <c r="N1251" s="1401">
        <v>46272</v>
      </c>
      <c r="O1251" t="s">
        <v>2434</v>
      </c>
      <c r="P1251" s="1401">
        <v>46279</v>
      </c>
      <c r="Q1251" s="1401">
        <v>46280</v>
      </c>
    </row>
    <row r="1252" spans="1:17">
      <c r="A1252" t="s">
        <v>7801</v>
      </c>
      <c r="B1252" t="s">
        <v>64</v>
      </c>
      <c r="C1252" t="s">
        <v>65</v>
      </c>
      <c r="E1252" t="s">
        <v>7446</v>
      </c>
      <c r="F1252" t="s">
        <v>7447</v>
      </c>
      <c r="G1252">
        <v>87</v>
      </c>
      <c r="H1252" t="s">
        <v>75</v>
      </c>
      <c r="J1252" t="s">
        <v>7794</v>
      </c>
      <c r="K1252" s="1401"/>
      <c r="L1252" s="1401">
        <v>46274</v>
      </c>
      <c r="M1252" s="1401">
        <v>46272</v>
      </c>
      <c r="N1252" s="1401">
        <v>46272</v>
      </c>
      <c r="O1252" t="s">
        <v>2434</v>
      </c>
      <c r="P1252" s="1401">
        <v>46279</v>
      </c>
      <c r="Q1252" s="1401">
        <v>46280</v>
      </c>
    </row>
    <row r="1253" spans="1:17">
      <c r="A1253" t="s">
        <v>7792</v>
      </c>
      <c r="B1253" t="s">
        <v>64</v>
      </c>
      <c r="C1253" t="s">
        <v>65</v>
      </c>
      <c r="E1253" t="s">
        <v>7471</v>
      </c>
      <c r="F1253" t="s">
        <v>7472</v>
      </c>
      <c r="G1253">
        <v>29</v>
      </c>
      <c r="H1253" t="s">
        <v>75</v>
      </c>
      <c r="J1253" t="s">
        <v>7794</v>
      </c>
      <c r="K1253" s="1401"/>
      <c r="L1253" s="1401">
        <v>46274</v>
      </c>
      <c r="M1253" s="1401">
        <v>46272</v>
      </c>
      <c r="N1253" s="1401">
        <v>46272</v>
      </c>
      <c r="O1253" t="s">
        <v>2434</v>
      </c>
      <c r="P1253" s="1401">
        <v>46279</v>
      </c>
      <c r="Q1253" s="1401">
        <v>46280</v>
      </c>
    </row>
    <row r="1254" spans="1:17">
      <c r="A1254" t="s">
        <v>7802</v>
      </c>
      <c r="B1254" t="s">
        <v>64</v>
      </c>
      <c r="C1254" t="s">
        <v>65</v>
      </c>
      <c r="E1254" t="s">
        <v>7446</v>
      </c>
      <c r="F1254" t="s">
        <v>7447</v>
      </c>
      <c r="G1254">
        <v>3</v>
      </c>
      <c r="H1254" t="s">
        <v>75</v>
      </c>
      <c r="J1254" t="s">
        <v>7794</v>
      </c>
      <c r="K1254" s="1401"/>
      <c r="L1254" s="1401">
        <v>46274</v>
      </c>
      <c r="M1254" s="1401">
        <v>46272</v>
      </c>
      <c r="N1254" s="1401">
        <v>46272</v>
      </c>
      <c r="O1254" t="s">
        <v>2434</v>
      </c>
      <c r="P1254" s="1401">
        <v>46279</v>
      </c>
      <c r="Q1254" s="1401">
        <v>46280</v>
      </c>
    </row>
    <row r="1255" spans="1:17">
      <c r="A1255" t="s">
        <v>7798</v>
      </c>
      <c r="B1255" t="s">
        <v>64</v>
      </c>
      <c r="C1255" t="s">
        <v>65</v>
      </c>
      <c r="E1255" t="s">
        <v>7437</v>
      </c>
      <c r="F1255" t="s">
        <v>7439</v>
      </c>
      <c r="G1255">
        <v>88</v>
      </c>
      <c r="H1255" t="s">
        <v>75</v>
      </c>
      <c r="J1255" t="s">
        <v>7794</v>
      </c>
      <c r="K1255" s="1401"/>
      <c r="L1255" s="1401">
        <v>46274</v>
      </c>
      <c r="M1255" s="1401">
        <v>46272</v>
      </c>
      <c r="N1255" s="1401">
        <v>46272</v>
      </c>
      <c r="O1255" t="s">
        <v>2434</v>
      </c>
      <c r="P1255" s="1401">
        <v>46279</v>
      </c>
      <c r="Q1255" s="1401">
        <v>46280</v>
      </c>
    </row>
    <row r="1256" spans="1:17">
      <c r="A1256" t="s">
        <v>7797</v>
      </c>
      <c r="B1256" t="s">
        <v>64</v>
      </c>
      <c r="C1256" t="s">
        <v>65</v>
      </c>
      <c r="E1256" t="s">
        <v>7471</v>
      </c>
      <c r="F1256" t="s">
        <v>7472</v>
      </c>
      <c r="G1256">
        <v>1</v>
      </c>
      <c r="H1256" t="s">
        <v>75</v>
      </c>
      <c r="J1256" t="s">
        <v>7794</v>
      </c>
      <c r="K1256" s="1401"/>
      <c r="L1256" s="1401">
        <v>46274</v>
      </c>
      <c r="M1256" s="1401">
        <v>46272</v>
      </c>
      <c r="N1256" s="1401">
        <v>46272</v>
      </c>
      <c r="O1256" t="s">
        <v>2434</v>
      </c>
      <c r="P1256" s="1401">
        <v>46279</v>
      </c>
      <c r="Q1256" s="1401">
        <v>46280</v>
      </c>
    </row>
    <row r="1257" spans="1:17">
      <c r="A1257" t="s">
        <v>7805</v>
      </c>
      <c r="B1257" t="s">
        <v>64</v>
      </c>
      <c r="C1257" t="s">
        <v>65</v>
      </c>
      <c r="E1257" t="s">
        <v>7449</v>
      </c>
      <c r="F1257" t="s">
        <v>7451</v>
      </c>
      <c r="G1257">
        <v>19</v>
      </c>
      <c r="H1257" t="s">
        <v>75</v>
      </c>
      <c r="J1257" t="s">
        <v>7794</v>
      </c>
      <c r="K1257" s="1401"/>
      <c r="L1257" s="1401">
        <v>46274</v>
      </c>
      <c r="M1257" s="1401">
        <v>46272</v>
      </c>
      <c r="N1257" s="1401">
        <v>46272</v>
      </c>
      <c r="O1257" t="s">
        <v>2434</v>
      </c>
      <c r="P1257" s="1401">
        <v>46279</v>
      </c>
      <c r="Q1257" s="1401">
        <v>46280</v>
      </c>
    </row>
    <row r="1258" spans="1:17">
      <c r="A1258" t="s">
        <v>7831</v>
      </c>
      <c r="B1258" t="s">
        <v>64</v>
      </c>
      <c r="C1258" t="s">
        <v>65</v>
      </c>
      <c r="E1258" t="s">
        <v>7460</v>
      </c>
      <c r="F1258" t="s">
        <v>7462</v>
      </c>
      <c r="G1258">
        <v>552</v>
      </c>
      <c r="H1258" t="s">
        <v>75</v>
      </c>
      <c r="J1258" t="s">
        <v>7829</v>
      </c>
      <c r="K1258" s="1401"/>
      <c r="L1258" s="1401">
        <v>46295</v>
      </c>
      <c r="M1258" s="1401">
        <v>46302</v>
      </c>
      <c r="N1258" s="1401">
        <v>46296</v>
      </c>
      <c r="O1258" t="s">
        <v>2434</v>
      </c>
      <c r="P1258" s="1401">
        <v>46303</v>
      </c>
      <c r="Q1258" s="1401">
        <v>46304</v>
      </c>
    </row>
    <row r="1259" spans="1:17">
      <c r="A1259" t="s">
        <v>7826</v>
      </c>
      <c r="B1259" t="s">
        <v>64</v>
      </c>
      <c r="C1259" t="s">
        <v>65</v>
      </c>
      <c r="E1259" t="s">
        <v>7460</v>
      </c>
      <c r="F1259" t="s">
        <v>7462</v>
      </c>
      <c r="G1259">
        <v>552</v>
      </c>
      <c r="H1259" t="s">
        <v>75</v>
      </c>
      <c r="J1259" t="s">
        <v>7829</v>
      </c>
      <c r="K1259" s="1401"/>
      <c r="L1259" s="1401">
        <v>46295</v>
      </c>
      <c r="M1259" s="1401">
        <v>46302</v>
      </c>
      <c r="N1259" s="1401">
        <v>46296</v>
      </c>
      <c r="O1259" t="s">
        <v>2434</v>
      </c>
      <c r="P1259" s="1401">
        <v>46303</v>
      </c>
      <c r="Q1259" s="1401">
        <v>46304</v>
      </c>
    </row>
    <row r="1260" spans="1:17">
      <c r="A1260" t="s">
        <v>7807</v>
      </c>
      <c r="B1260" t="s">
        <v>64</v>
      </c>
      <c r="C1260" t="s">
        <v>65</v>
      </c>
      <c r="E1260" t="s">
        <v>7437</v>
      </c>
      <c r="F1260" t="s">
        <v>7439</v>
      </c>
      <c r="G1260">
        <v>224</v>
      </c>
      <c r="H1260" t="s">
        <v>75</v>
      </c>
      <c r="J1260" t="s">
        <v>7809</v>
      </c>
      <c r="K1260" s="1401"/>
      <c r="L1260" s="1401">
        <v>46281</v>
      </c>
      <c r="M1260" s="1401">
        <v>46282</v>
      </c>
      <c r="N1260" s="1401">
        <v>46283</v>
      </c>
      <c r="O1260" t="s">
        <v>2434</v>
      </c>
      <c r="P1260" s="1401">
        <v>46295</v>
      </c>
      <c r="Q1260" s="1401">
        <v>46291</v>
      </c>
    </row>
    <row r="1261" spans="1:17">
      <c r="A1261" t="s">
        <v>7813</v>
      </c>
      <c r="B1261" t="s">
        <v>64</v>
      </c>
      <c r="C1261" t="s">
        <v>65</v>
      </c>
      <c r="E1261" t="s">
        <v>7449</v>
      </c>
      <c r="F1261" t="s">
        <v>7451</v>
      </c>
      <c r="G1261">
        <v>300</v>
      </c>
      <c r="H1261" t="s">
        <v>75</v>
      </c>
      <c r="J1261" t="s">
        <v>7809</v>
      </c>
      <c r="K1261" s="1401"/>
      <c r="L1261" s="1401">
        <v>46281</v>
      </c>
      <c r="M1261" s="1401">
        <v>46282</v>
      </c>
      <c r="N1261" s="1401">
        <v>46283</v>
      </c>
      <c r="O1261" t="s">
        <v>2434</v>
      </c>
      <c r="P1261" s="1401">
        <v>46295</v>
      </c>
      <c r="Q1261" s="1401">
        <v>46291</v>
      </c>
    </row>
    <row r="1262" spans="1:17">
      <c r="A1262" t="s">
        <v>7814</v>
      </c>
      <c r="B1262" t="s">
        <v>64</v>
      </c>
      <c r="C1262" t="s">
        <v>65</v>
      </c>
      <c r="E1262" t="s">
        <v>7425</v>
      </c>
      <c r="F1262" t="s">
        <v>7427</v>
      </c>
      <c r="G1262">
        <v>180</v>
      </c>
      <c r="H1262" t="s">
        <v>75</v>
      </c>
      <c r="J1262" t="s">
        <v>7809</v>
      </c>
      <c r="K1262" s="1401"/>
      <c r="L1262" s="1401">
        <v>46281</v>
      </c>
      <c r="M1262" s="1401">
        <v>46282</v>
      </c>
      <c r="N1262" s="1401">
        <v>46283</v>
      </c>
      <c r="O1262" t="s">
        <v>2434</v>
      </c>
      <c r="P1262" s="1401">
        <v>46295</v>
      </c>
      <c r="Q1262" s="1401">
        <v>46291</v>
      </c>
    </row>
    <row r="1263" spans="1:17">
      <c r="A1263" t="s">
        <v>7815</v>
      </c>
      <c r="B1263" t="s">
        <v>64</v>
      </c>
      <c r="C1263" t="s">
        <v>65</v>
      </c>
      <c r="E1263" t="s">
        <v>7437</v>
      </c>
      <c r="F1263" t="s">
        <v>7439</v>
      </c>
      <c r="G1263">
        <v>202</v>
      </c>
      <c r="H1263" t="s">
        <v>75</v>
      </c>
      <c r="J1263" t="s">
        <v>7809</v>
      </c>
      <c r="K1263" s="1401"/>
      <c r="L1263" s="1401">
        <v>46281</v>
      </c>
      <c r="M1263" s="1401">
        <v>46282</v>
      </c>
      <c r="N1263" s="1401">
        <v>46283</v>
      </c>
      <c r="O1263" t="s">
        <v>2434</v>
      </c>
      <c r="P1263" s="1401">
        <v>46295</v>
      </c>
      <c r="Q1263" s="1401">
        <v>46291</v>
      </c>
    </row>
    <row r="1264" spans="1:17">
      <c r="A1264" t="s">
        <v>7822</v>
      </c>
      <c r="B1264" t="s">
        <v>64</v>
      </c>
      <c r="C1264" t="s">
        <v>65</v>
      </c>
      <c r="E1264" t="s">
        <v>7460</v>
      </c>
      <c r="F1264" t="s">
        <v>7462</v>
      </c>
      <c r="G1264">
        <v>64</v>
      </c>
      <c r="H1264" t="s">
        <v>75</v>
      </c>
      <c r="J1264" t="s">
        <v>7819</v>
      </c>
      <c r="K1264" s="1401"/>
      <c r="L1264" s="1401">
        <v>46288</v>
      </c>
      <c r="M1264" s="1401">
        <v>46302</v>
      </c>
      <c r="N1264" s="1401">
        <v>46296</v>
      </c>
      <c r="O1264" t="s">
        <v>2434</v>
      </c>
      <c r="P1264" s="1401">
        <v>46303</v>
      </c>
      <c r="Q1264" s="1401">
        <v>46304</v>
      </c>
    </row>
    <row r="1265" spans="1:17">
      <c r="A1265" t="s">
        <v>7816</v>
      </c>
      <c r="B1265" t="s">
        <v>64</v>
      </c>
      <c r="C1265" t="s">
        <v>65</v>
      </c>
      <c r="E1265" t="s">
        <v>7460</v>
      </c>
      <c r="F1265" t="s">
        <v>7462</v>
      </c>
      <c r="G1265">
        <v>212</v>
      </c>
      <c r="H1265" t="s">
        <v>75</v>
      </c>
      <c r="J1265" t="s">
        <v>7819</v>
      </c>
      <c r="K1265" s="1401"/>
      <c r="L1265" s="1401">
        <v>46288</v>
      </c>
      <c r="M1265" s="1401">
        <v>46302</v>
      </c>
      <c r="N1265" s="1401">
        <v>46296</v>
      </c>
      <c r="O1265" t="s">
        <v>2434</v>
      </c>
      <c r="P1265" s="1401">
        <v>46303</v>
      </c>
      <c r="Q1265" s="1401">
        <v>46304</v>
      </c>
    </row>
    <row r="1266" spans="1:17">
      <c r="A1266" t="s">
        <v>7824</v>
      </c>
      <c r="B1266" t="s">
        <v>64</v>
      </c>
      <c r="C1266" t="s">
        <v>65</v>
      </c>
      <c r="E1266" t="s">
        <v>7460</v>
      </c>
      <c r="F1266" t="s">
        <v>7462</v>
      </c>
      <c r="G1266">
        <v>276</v>
      </c>
      <c r="H1266" t="s">
        <v>75</v>
      </c>
      <c r="J1266" t="s">
        <v>7819</v>
      </c>
      <c r="K1266" s="1401"/>
      <c r="L1266" s="1401">
        <v>46288</v>
      </c>
      <c r="M1266" s="1401">
        <v>46302</v>
      </c>
      <c r="N1266" s="1401">
        <v>46296</v>
      </c>
      <c r="O1266" t="s">
        <v>2434</v>
      </c>
      <c r="P1266" s="1401">
        <v>46303</v>
      </c>
      <c r="Q1266" s="1401">
        <v>46304</v>
      </c>
    </row>
    <row r="1267" spans="1:17">
      <c r="A1267" t="s">
        <v>7844</v>
      </c>
      <c r="B1267" t="s">
        <v>64</v>
      </c>
      <c r="C1267" t="s">
        <v>65</v>
      </c>
      <c r="E1267" t="s">
        <v>7437</v>
      </c>
      <c r="F1267" t="s">
        <v>7439</v>
      </c>
      <c r="G1267">
        <v>107</v>
      </c>
      <c r="H1267" t="s">
        <v>75</v>
      </c>
      <c r="J1267" t="s">
        <v>7845</v>
      </c>
      <c r="K1267" s="1401"/>
      <c r="L1267" s="1401">
        <v>46288</v>
      </c>
      <c r="M1267" s="1401">
        <v>46290</v>
      </c>
      <c r="N1267" s="1401">
        <v>46290</v>
      </c>
      <c r="O1267" t="s">
        <v>2434</v>
      </c>
      <c r="P1267" s="1401">
        <v>46296</v>
      </c>
      <c r="Q1267" s="1401">
        <v>46298</v>
      </c>
    </row>
    <row r="1268" spans="1:17">
      <c r="A1268" t="s">
        <v>7850</v>
      </c>
      <c r="B1268" t="s">
        <v>64</v>
      </c>
      <c r="C1268" t="s">
        <v>65</v>
      </c>
      <c r="E1268" t="s">
        <v>7449</v>
      </c>
      <c r="F1268" t="s">
        <v>7451</v>
      </c>
      <c r="G1268">
        <v>130</v>
      </c>
      <c r="H1268" t="s">
        <v>75</v>
      </c>
      <c r="J1268" t="s">
        <v>7845</v>
      </c>
      <c r="K1268" s="1401"/>
      <c r="L1268" s="1401">
        <v>46288</v>
      </c>
      <c r="M1268" s="1401">
        <v>46290</v>
      </c>
      <c r="N1268" s="1401">
        <v>46290</v>
      </c>
      <c r="O1268" t="s">
        <v>2434</v>
      </c>
      <c r="P1268" s="1401">
        <v>46296</v>
      </c>
      <c r="Q1268" s="1401">
        <v>46298</v>
      </c>
    </row>
    <row r="1269" spans="1:17">
      <c r="A1269" t="s">
        <v>7849</v>
      </c>
      <c r="B1269" t="s">
        <v>64</v>
      </c>
      <c r="C1269" t="s">
        <v>65</v>
      </c>
      <c r="E1269" t="s">
        <v>7446</v>
      </c>
      <c r="F1269" t="s">
        <v>7447</v>
      </c>
      <c r="G1269">
        <v>23</v>
      </c>
      <c r="H1269" t="s">
        <v>75</v>
      </c>
      <c r="J1269" t="s">
        <v>7845</v>
      </c>
      <c r="K1269" s="1401"/>
      <c r="L1269" s="1401">
        <v>46288</v>
      </c>
      <c r="M1269" s="1401">
        <v>46290</v>
      </c>
      <c r="N1269" s="1401">
        <v>46290</v>
      </c>
      <c r="O1269" t="s">
        <v>2434</v>
      </c>
      <c r="P1269" s="1401">
        <v>46296</v>
      </c>
      <c r="Q1269" s="1401">
        <v>46298</v>
      </c>
    </row>
    <row r="1270" spans="1:17">
      <c r="A1270" t="s">
        <v>7834</v>
      </c>
      <c r="B1270" t="s">
        <v>64</v>
      </c>
      <c r="C1270" t="s">
        <v>65</v>
      </c>
      <c r="E1270" t="s">
        <v>7460</v>
      </c>
      <c r="F1270" t="s">
        <v>7462</v>
      </c>
      <c r="G1270">
        <v>552</v>
      </c>
      <c r="H1270" t="s">
        <v>75</v>
      </c>
      <c r="J1270" t="s">
        <v>7837</v>
      </c>
      <c r="K1270" s="1401"/>
      <c r="L1270" s="1401">
        <v>46302</v>
      </c>
      <c r="M1270" s="1401">
        <v>46302</v>
      </c>
      <c r="N1270" s="1401">
        <v>46303</v>
      </c>
      <c r="O1270" t="s">
        <v>2434</v>
      </c>
      <c r="P1270" s="1401">
        <v>46310</v>
      </c>
      <c r="Q1270" s="1401">
        <v>46311</v>
      </c>
    </row>
    <row r="1271" spans="1:17">
      <c r="A1271" t="s">
        <v>7865</v>
      </c>
      <c r="B1271" t="s">
        <v>64</v>
      </c>
      <c r="C1271" t="s">
        <v>65</v>
      </c>
      <c r="E1271" t="s">
        <v>7437</v>
      </c>
      <c r="F1271" t="s">
        <v>7439</v>
      </c>
      <c r="G1271">
        <v>130</v>
      </c>
      <c r="H1271" t="s">
        <v>951</v>
      </c>
      <c r="J1271" t="s">
        <v>7866</v>
      </c>
      <c r="K1271" s="1401"/>
      <c r="L1271" s="1401">
        <v>46314</v>
      </c>
      <c r="M1271" s="1401">
        <v>46318</v>
      </c>
      <c r="N1271" s="1401"/>
      <c r="O1271" t="s">
        <v>2434</v>
      </c>
      <c r="P1271" s="1401">
        <v>46322</v>
      </c>
      <c r="Q1271" s="1401">
        <v>46326</v>
      </c>
    </row>
    <row r="1272" spans="1:17">
      <c r="A1272" t="s">
        <v>7869</v>
      </c>
      <c r="B1272" t="s">
        <v>64</v>
      </c>
      <c r="C1272" t="s">
        <v>65</v>
      </c>
      <c r="E1272" t="s">
        <v>7449</v>
      </c>
      <c r="F1272" t="s">
        <v>7451</v>
      </c>
      <c r="G1272">
        <v>130</v>
      </c>
      <c r="H1272" t="s">
        <v>951</v>
      </c>
      <c r="J1272" t="s">
        <v>7866</v>
      </c>
      <c r="K1272" s="1401"/>
      <c r="L1272" s="1401">
        <v>46314</v>
      </c>
      <c r="M1272" s="1401">
        <v>46318</v>
      </c>
      <c r="N1272" s="1401"/>
      <c r="O1272" t="s">
        <v>2434</v>
      </c>
      <c r="P1272" s="1401">
        <v>46322</v>
      </c>
      <c r="Q1272" s="1401">
        <v>46326</v>
      </c>
    </row>
    <row r="1273" spans="1:17">
      <c r="A1273" t="s">
        <v>7865</v>
      </c>
      <c r="B1273" t="s">
        <v>64</v>
      </c>
      <c r="C1273" t="s">
        <v>65</v>
      </c>
      <c r="E1273" t="s">
        <v>7437</v>
      </c>
      <c r="F1273" t="s">
        <v>7439</v>
      </c>
      <c r="G1273">
        <v>130</v>
      </c>
      <c r="H1273" t="s">
        <v>951</v>
      </c>
      <c r="J1273" t="s">
        <v>7866</v>
      </c>
      <c r="K1273" s="1401"/>
      <c r="L1273" s="1401">
        <v>46314</v>
      </c>
      <c r="M1273" s="1401">
        <v>46318</v>
      </c>
      <c r="N1273" s="1401"/>
      <c r="O1273" t="s">
        <v>2434</v>
      </c>
      <c r="P1273" s="1401">
        <v>46322</v>
      </c>
      <c r="Q1273" s="1401">
        <v>46326</v>
      </c>
    </row>
    <row r="1274" spans="1:17">
      <c r="A1274" t="s">
        <v>7869</v>
      </c>
      <c r="B1274" t="s">
        <v>64</v>
      </c>
      <c r="C1274" t="s">
        <v>65</v>
      </c>
      <c r="E1274" t="s">
        <v>7449</v>
      </c>
      <c r="F1274" t="s">
        <v>7451</v>
      </c>
      <c r="G1274">
        <v>130</v>
      </c>
      <c r="H1274" t="s">
        <v>951</v>
      </c>
      <c r="J1274" t="s">
        <v>7866</v>
      </c>
      <c r="K1274" s="1401"/>
      <c r="L1274" s="1401">
        <v>46314</v>
      </c>
      <c r="M1274" s="1401">
        <v>46318</v>
      </c>
      <c r="N1274" s="1401"/>
      <c r="O1274" t="s">
        <v>2434</v>
      </c>
      <c r="P1274" s="1401">
        <v>46322</v>
      </c>
      <c r="Q1274" s="1401">
        <v>46326</v>
      </c>
    </row>
    <row r="1275" spans="1:17">
      <c r="A1275" t="s">
        <v>7870</v>
      </c>
      <c r="B1275" t="s">
        <v>64</v>
      </c>
      <c r="C1275" t="s">
        <v>65</v>
      </c>
      <c r="E1275" t="s">
        <v>7437</v>
      </c>
      <c r="F1275" t="s">
        <v>7439</v>
      </c>
      <c r="G1275">
        <v>130</v>
      </c>
      <c r="H1275" t="s">
        <v>951</v>
      </c>
      <c r="J1275" t="s">
        <v>7866</v>
      </c>
      <c r="K1275" s="1401"/>
      <c r="L1275" s="1401">
        <v>46314</v>
      </c>
      <c r="M1275" s="1401">
        <v>46318</v>
      </c>
      <c r="N1275" s="1401"/>
      <c r="O1275" t="s">
        <v>2434</v>
      </c>
      <c r="P1275" s="1401">
        <v>46322</v>
      </c>
      <c r="Q1275" s="1401">
        <v>46326</v>
      </c>
    </row>
    <row r="1276" spans="1:17">
      <c r="A1276" t="s">
        <v>7871</v>
      </c>
      <c r="B1276" t="s">
        <v>64</v>
      </c>
      <c r="C1276" t="s">
        <v>65</v>
      </c>
      <c r="E1276" t="s">
        <v>7449</v>
      </c>
      <c r="F1276" t="s">
        <v>7451</v>
      </c>
      <c r="G1276">
        <v>130</v>
      </c>
      <c r="H1276" t="s">
        <v>951</v>
      </c>
      <c r="J1276" t="s">
        <v>7866</v>
      </c>
      <c r="K1276" s="1401"/>
      <c r="L1276" s="1401">
        <v>46314</v>
      </c>
      <c r="M1276" s="1401">
        <v>46318</v>
      </c>
      <c r="N1276" s="1401"/>
      <c r="O1276" t="s">
        <v>2434</v>
      </c>
      <c r="P1276" s="1401">
        <v>46322</v>
      </c>
      <c r="Q1276" s="1401">
        <v>46326</v>
      </c>
    </row>
    <row r="1277" spans="1:17">
      <c r="A1277" t="s">
        <v>7864</v>
      </c>
      <c r="B1277" t="s">
        <v>64</v>
      </c>
      <c r="C1277" t="s">
        <v>65</v>
      </c>
      <c r="E1277" t="s">
        <v>7433</v>
      </c>
      <c r="F1277" t="s">
        <v>7435</v>
      </c>
      <c r="G1277">
        <v>108</v>
      </c>
      <c r="H1277" t="s">
        <v>951</v>
      </c>
      <c r="J1277" t="s">
        <v>7852</v>
      </c>
      <c r="K1277" s="1401"/>
      <c r="L1277" s="1401">
        <v>46302</v>
      </c>
      <c r="M1277" s="1401">
        <v>46309</v>
      </c>
      <c r="N1277" s="1401"/>
      <c r="O1277" t="s">
        <v>2434</v>
      </c>
      <c r="P1277" s="1401">
        <v>46317</v>
      </c>
      <c r="Q1277" s="1401">
        <v>46317</v>
      </c>
    </row>
    <row r="1278" spans="1:17">
      <c r="A1278" t="s">
        <v>7861</v>
      </c>
      <c r="B1278" t="s">
        <v>64</v>
      </c>
      <c r="C1278" t="s">
        <v>65</v>
      </c>
      <c r="E1278" t="s">
        <v>7425</v>
      </c>
      <c r="F1278" t="s">
        <v>7427</v>
      </c>
      <c r="G1278">
        <v>180</v>
      </c>
      <c r="H1278" t="s">
        <v>951</v>
      </c>
      <c r="J1278" t="s">
        <v>7852</v>
      </c>
      <c r="K1278" s="1401"/>
      <c r="L1278" s="1401">
        <v>46302</v>
      </c>
      <c r="M1278" s="1401">
        <v>46309</v>
      </c>
      <c r="N1278" s="1401"/>
      <c r="O1278" t="s">
        <v>2434</v>
      </c>
      <c r="P1278" s="1401">
        <v>46317</v>
      </c>
      <c r="Q1278" s="1401">
        <v>46317</v>
      </c>
    </row>
    <row r="1279" spans="1:17">
      <c r="A1279" t="s">
        <v>7851</v>
      </c>
      <c r="B1279" t="s">
        <v>64</v>
      </c>
      <c r="C1279" t="s">
        <v>65</v>
      </c>
      <c r="E1279" t="s">
        <v>7471</v>
      </c>
      <c r="F1279" t="s">
        <v>7472</v>
      </c>
      <c r="G1279">
        <v>34</v>
      </c>
      <c r="H1279" t="s">
        <v>951</v>
      </c>
      <c r="J1279" t="s">
        <v>7852</v>
      </c>
      <c r="K1279" s="1401"/>
      <c r="L1279" s="1401">
        <v>46302</v>
      </c>
      <c r="M1279" s="1401">
        <v>46309</v>
      </c>
      <c r="N1279" s="1401"/>
      <c r="O1279" t="s">
        <v>2434</v>
      </c>
      <c r="P1279" s="1401">
        <v>46317</v>
      </c>
      <c r="Q1279" s="1401">
        <v>46317</v>
      </c>
    </row>
    <row r="1280" spans="1:17">
      <c r="A1280" t="s">
        <v>7855</v>
      </c>
      <c r="B1280" t="s">
        <v>64</v>
      </c>
      <c r="C1280" t="s">
        <v>65</v>
      </c>
      <c r="E1280" t="s">
        <v>7471</v>
      </c>
      <c r="F1280" t="s">
        <v>7472</v>
      </c>
      <c r="G1280">
        <v>1</v>
      </c>
      <c r="H1280" t="s">
        <v>951</v>
      </c>
      <c r="J1280" t="s">
        <v>7852</v>
      </c>
      <c r="K1280" s="1401"/>
      <c r="L1280" s="1401">
        <v>46302</v>
      </c>
      <c r="M1280" s="1401">
        <v>46309</v>
      </c>
      <c r="N1280" s="1401"/>
      <c r="O1280" t="s">
        <v>2434</v>
      </c>
      <c r="P1280" s="1401">
        <v>46317</v>
      </c>
      <c r="Q1280" s="1401">
        <v>46317</v>
      </c>
    </row>
    <row r="1281" spans="1:17">
      <c r="A1281" t="s">
        <v>7856</v>
      </c>
      <c r="B1281" t="s">
        <v>64</v>
      </c>
      <c r="C1281" t="s">
        <v>65</v>
      </c>
      <c r="E1281" t="s">
        <v>7437</v>
      </c>
      <c r="F1281" t="s">
        <v>7439</v>
      </c>
      <c r="G1281">
        <v>27</v>
      </c>
      <c r="H1281" t="s">
        <v>951</v>
      </c>
      <c r="J1281" t="s">
        <v>7852</v>
      </c>
      <c r="K1281" s="1401"/>
      <c r="L1281" s="1401">
        <v>46302</v>
      </c>
      <c r="M1281" s="1401">
        <v>46309</v>
      </c>
      <c r="N1281" s="1401"/>
      <c r="O1281" t="s">
        <v>2434</v>
      </c>
      <c r="P1281" s="1401">
        <v>46317</v>
      </c>
      <c r="Q1281" s="1401">
        <v>46317</v>
      </c>
    </row>
    <row r="1282" spans="1:17">
      <c r="A1282" t="s">
        <v>7857</v>
      </c>
      <c r="B1282" t="s">
        <v>64</v>
      </c>
      <c r="C1282" t="s">
        <v>65</v>
      </c>
      <c r="E1282" t="s">
        <v>7446</v>
      </c>
      <c r="F1282" t="s">
        <v>7447</v>
      </c>
      <c r="G1282">
        <v>65</v>
      </c>
      <c r="H1282" t="s">
        <v>951</v>
      </c>
      <c r="J1282" t="s">
        <v>7852</v>
      </c>
      <c r="K1282" s="1401"/>
      <c r="L1282" s="1401">
        <v>46302</v>
      </c>
      <c r="M1282" s="1401">
        <v>46309</v>
      </c>
      <c r="N1282" s="1401"/>
      <c r="O1282" t="s">
        <v>2434</v>
      </c>
      <c r="P1282" s="1401">
        <v>46317</v>
      </c>
      <c r="Q1282" s="1401">
        <v>46317</v>
      </c>
    </row>
    <row r="1283" spans="1:17">
      <c r="A1283" t="s">
        <v>7858</v>
      </c>
      <c r="B1283" t="s">
        <v>64</v>
      </c>
      <c r="C1283" t="s">
        <v>65</v>
      </c>
      <c r="E1283" t="s">
        <v>7446</v>
      </c>
      <c r="F1283" t="s">
        <v>7447</v>
      </c>
      <c r="G1283">
        <v>3</v>
      </c>
      <c r="H1283" t="s">
        <v>951</v>
      </c>
      <c r="J1283" t="s">
        <v>7852</v>
      </c>
      <c r="K1283" s="1401"/>
      <c r="L1283" s="1401">
        <v>46302</v>
      </c>
      <c r="M1283" s="1401">
        <v>46309</v>
      </c>
      <c r="N1283" s="1401"/>
      <c r="O1283" t="s">
        <v>2434</v>
      </c>
      <c r="P1283" s="1401">
        <v>46317</v>
      </c>
      <c r="Q1283" s="1401">
        <v>46317</v>
      </c>
    </row>
    <row r="1284" spans="1:17">
      <c r="A1284" t="s">
        <v>7859</v>
      </c>
      <c r="B1284" t="s">
        <v>64</v>
      </c>
      <c r="C1284" t="s">
        <v>65</v>
      </c>
      <c r="E1284" t="s">
        <v>7449</v>
      </c>
      <c r="F1284" t="s">
        <v>7451</v>
      </c>
      <c r="G1284">
        <v>100</v>
      </c>
      <c r="H1284" t="s">
        <v>951</v>
      </c>
      <c r="J1284" t="s">
        <v>7852</v>
      </c>
      <c r="K1284" s="1401"/>
      <c r="L1284" s="1401">
        <v>46302</v>
      </c>
      <c r="M1284" s="1401">
        <v>46309</v>
      </c>
      <c r="N1284" s="1401"/>
      <c r="O1284" t="s">
        <v>2434</v>
      </c>
      <c r="P1284" s="1401">
        <v>46317</v>
      </c>
      <c r="Q1284" s="1401">
        <v>46317</v>
      </c>
    </row>
    <row r="1285" spans="1:17">
      <c r="A1285" t="s">
        <v>7860</v>
      </c>
      <c r="B1285" t="s">
        <v>64</v>
      </c>
      <c r="C1285" t="s">
        <v>65</v>
      </c>
      <c r="E1285" t="s">
        <v>7449</v>
      </c>
      <c r="F1285" t="s">
        <v>7451</v>
      </c>
      <c r="G1285">
        <v>30</v>
      </c>
      <c r="H1285" t="s">
        <v>951</v>
      </c>
      <c r="J1285" t="s">
        <v>7852</v>
      </c>
      <c r="K1285" s="1401"/>
      <c r="L1285" s="1401">
        <v>46302</v>
      </c>
      <c r="M1285" s="1401">
        <v>46309</v>
      </c>
      <c r="N1285" s="1401"/>
      <c r="O1285" t="s">
        <v>2434</v>
      </c>
      <c r="P1285" s="1401">
        <v>46317</v>
      </c>
      <c r="Q1285" s="1401">
        <v>46317</v>
      </c>
    </row>
    <row r="1286" spans="1:17">
      <c r="A1286" t="s">
        <v>7863</v>
      </c>
      <c r="B1286" t="s">
        <v>64</v>
      </c>
      <c r="C1286" t="s">
        <v>65</v>
      </c>
      <c r="E1286" t="s">
        <v>7449</v>
      </c>
      <c r="F1286" t="s">
        <v>7451</v>
      </c>
      <c r="G1286">
        <v>130</v>
      </c>
      <c r="H1286" t="s">
        <v>951</v>
      </c>
      <c r="J1286" t="s">
        <v>7852</v>
      </c>
      <c r="K1286" s="1401"/>
      <c r="L1286" s="1401">
        <v>46302</v>
      </c>
      <c r="M1286" s="1401">
        <v>46309</v>
      </c>
      <c r="N1286" s="1401"/>
      <c r="O1286" t="s">
        <v>2434</v>
      </c>
      <c r="P1286" s="1401">
        <v>46317</v>
      </c>
      <c r="Q1286" s="1401">
        <v>46317</v>
      </c>
    </row>
    <row r="1287" spans="1:17">
      <c r="A1287" t="s">
        <v>7862</v>
      </c>
      <c r="B1287" t="s">
        <v>64</v>
      </c>
      <c r="C1287" t="s">
        <v>65</v>
      </c>
      <c r="E1287" t="s">
        <v>7437</v>
      </c>
      <c r="F1287" t="s">
        <v>7439</v>
      </c>
      <c r="G1287">
        <v>130</v>
      </c>
      <c r="H1287" t="s">
        <v>951</v>
      </c>
      <c r="J1287" t="s">
        <v>7852</v>
      </c>
      <c r="K1287" s="1401"/>
      <c r="L1287" s="1401">
        <v>46302</v>
      </c>
      <c r="M1287" s="1401">
        <v>46309</v>
      </c>
      <c r="N1287" s="1401"/>
      <c r="O1287" t="s">
        <v>2434</v>
      </c>
      <c r="P1287" s="1401">
        <v>46317</v>
      </c>
      <c r="Q1287" s="1401">
        <v>46317</v>
      </c>
    </row>
    <row r="1288" spans="1:17">
      <c r="A1288" t="s">
        <v>7843</v>
      </c>
      <c r="B1288" t="s">
        <v>64</v>
      </c>
      <c r="C1288" t="s">
        <v>65</v>
      </c>
      <c r="E1288" t="s">
        <v>7460</v>
      </c>
      <c r="F1288" t="s">
        <v>7462</v>
      </c>
      <c r="G1288">
        <v>276</v>
      </c>
      <c r="H1288" t="s">
        <v>75</v>
      </c>
      <c r="J1288" t="s">
        <v>7841</v>
      </c>
      <c r="K1288" s="1401"/>
      <c r="L1288" s="1401">
        <v>46302</v>
      </c>
      <c r="M1288" s="1401">
        <v>46302</v>
      </c>
      <c r="N1288" s="1401">
        <v>46303</v>
      </c>
      <c r="O1288" t="s">
        <v>2434</v>
      </c>
      <c r="P1288" s="1401">
        <v>46310</v>
      </c>
      <c r="Q1288" s="1401">
        <v>46311</v>
      </c>
    </row>
    <row r="1289" spans="1:17">
      <c r="A1289" t="s">
        <v>7842</v>
      </c>
      <c r="B1289" t="s">
        <v>64</v>
      </c>
      <c r="C1289" t="s">
        <v>65</v>
      </c>
      <c r="E1289" t="s">
        <v>7460</v>
      </c>
      <c r="F1289" t="s">
        <v>7462</v>
      </c>
      <c r="G1289">
        <v>80</v>
      </c>
      <c r="H1289" t="s">
        <v>75</v>
      </c>
      <c r="J1289" t="s">
        <v>7841</v>
      </c>
      <c r="K1289" s="1401"/>
      <c r="L1289" s="1401">
        <v>46302</v>
      </c>
      <c r="M1289" s="1401">
        <v>46302</v>
      </c>
      <c r="N1289" s="1401">
        <v>46303</v>
      </c>
      <c r="O1289" t="s">
        <v>2434</v>
      </c>
      <c r="P1289" s="1401">
        <v>46310</v>
      </c>
      <c r="Q1289" s="1401">
        <v>46311</v>
      </c>
    </row>
    <row r="1290" spans="1:17">
      <c r="A1290" t="s">
        <v>7840</v>
      </c>
      <c r="B1290" t="s">
        <v>64</v>
      </c>
      <c r="C1290" t="s">
        <v>65</v>
      </c>
      <c r="E1290" t="s">
        <v>7460</v>
      </c>
      <c r="F1290" t="s">
        <v>7462</v>
      </c>
      <c r="G1290">
        <v>196</v>
      </c>
      <c r="H1290" t="s">
        <v>75</v>
      </c>
      <c r="J1290" t="s">
        <v>7841</v>
      </c>
      <c r="K1290" s="1401"/>
      <c r="L1290" s="1401">
        <v>46302</v>
      </c>
      <c r="M1290" s="1401">
        <v>46302</v>
      </c>
      <c r="N1290" s="1401">
        <v>46303</v>
      </c>
      <c r="O1290" t="s">
        <v>2434</v>
      </c>
      <c r="P1290" s="1401">
        <v>46310</v>
      </c>
      <c r="Q1290" s="1401">
        <v>46311</v>
      </c>
    </row>
    <row r="1291" spans="1:17">
      <c r="A1291" t="s">
        <v>7901</v>
      </c>
      <c r="B1291" t="s">
        <v>64</v>
      </c>
      <c r="C1291" t="s">
        <v>100</v>
      </c>
      <c r="E1291" t="s">
        <v>7903</v>
      </c>
      <c r="F1291" t="s">
        <v>7905</v>
      </c>
      <c r="G1291">
        <v>30</v>
      </c>
      <c r="H1291" t="s">
        <v>75</v>
      </c>
      <c r="J1291" t="s">
        <v>7908</v>
      </c>
      <c r="K1291" s="1401"/>
      <c r="L1291" s="1401">
        <v>46295</v>
      </c>
      <c r="M1291" s="1401">
        <v>46299</v>
      </c>
      <c r="N1291" s="1401">
        <v>46301</v>
      </c>
      <c r="O1291" t="s">
        <v>2434</v>
      </c>
      <c r="P1291" s="1401">
        <v>46312</v>
      </c>
      <c r="Q1291" s="1401">
        <v>46315</v>
      </c>
    </row>
    <row r="1292" spans="1:17">
      <c r="A1292" t="s">
        <v>7885</v>
      </c>
      <c r="B1292" t="s">
        <v>64</v>
      </c>
      <c r="C1292" t="s">
        <v>65</v>
      </c>
      <c r="E1292" t="s">
        <v>7449</v>
      </c>
      <c r="F1292" t="s">
        <v>7451</v>
      </c>
      <c r="G1292">
        <v>130</v>
      </c>
      <c r="H1292" t="s">
        <v>951</v>
      </c>
      <c r="J1292" t="s">
        <v>7879</v>
      </c>
      <c r="K1292" s="1401"/>
      <c r="L1292" s="1401">
        <v>46321</v>
      </c>
      <c r="M1292" s="1401">
        <v>46323</v>
      </c>
      <c r="N1292" s="1401"/>
      <c r="O1292" t="s">
        <v>10683</v>
      </c>
      <c r="P1292" s="1401" t="s">
        <v>2525</v>
      </c>
      <c r="Q1292" s="1401">
        <v>46331</v>
      </c>
    </row>
    <row r="1293" spans="1:17">
      <c r="A1293" t="s">
        <v>7883</v>
      </c>
      <c r="B1293" t="s">
        <v>64</v>
      </c>
      <c r="C1293" t="s">
        <v>65</v>
      </c>
      <c r="E1293" t="s">
        <v>7437</v>
      </c>
      <c r="F1293" t="s">
        <v>7439</v>
      </c>
      <c r="G1293">
        <v>130</v>
      </c>
      <c r="H1293" t="s">
        <v>951</v>
      </c>
      <c r="J1293" t="s">
        <v>7879</v>
      </c>
      <c r="K1293" s="1401"/>
      <c r="L1293" s="1401">
        <v>46321</v>
      </c>
      <c r="M1293" s="1401">
        <v>46323</v>
      </c>
      <c r="N1293" s="1401"/>
      <c r="O1293" t="s">
        <v>10683</v>
      </c>
      <c r="P1293" s="1401" t="s">
        <v>2525</v>
      </c>
      <c r="Q1293" s="1401">
        <v>46331</v>
      </c>
    </row>
    <row r="1294" spans="1:17">
      <c r="A1294" t="s">
        <v>7882</v>
      </c>
      <c r="B1294" t="s">
        <v>64</v>
      </c>
      <c r="C1294" t="s">
        <v>65</v>
      </c>
      <c r="E1294" t="s">
        <v>7449</v>
      </c>
      <c r="F1294" t="s">
        <v>7451</v>
      </c>
      <c r="G1294">
        <v>130</v>
      </c>
      <c r="H1294" t="s">
        <v>951</v>
      </c>
      <c r="J1294" t="s">
        <v>7879</v>
      </c>
      <c r="K1294" s="1401"/>
      <c r="L1294" s="1401">
        <v>46321</v>
      </c>
      <c r="M1294" s="1401">
        <v>46323</v>
      </c>
      <c r="N1294" s="1401"/>
      <c r="O1294" t="s">
        <v>10683</v>
      </c>
      <c r="P1294" s="1401" t="s">
        <v>2525</v>
      </c>
      <c r="Q1294" s="1401">
        <v>46331</v>
      </c>
    </row>
    <row r="1295" spans="1:17">
      <c r="A1295" t="s">
        <v>7877</v>
      </c>
      <c r="B1295" t="s">
        <v>64</v>
      </c>
      <c r="C1295" t="s">
        <v>65</v>
      </c>
      <c r="E1295" t="s">
        <v>7437</v>
      </c>
      <c r="F1295" t="s">
        <v>7439</v>
      </c>
      <c r="G1295">
        <v>130</v>
      </c>
      <c r="H1295" t="s">
        <v>951</v>
      </c>
      <c r="J1295" t="s">
        <v>7879</v>
      </c>
      <c r="K1295" s="1401"/>
      <c r="L1295" s="1401">
        <v>46321</v>
      </c>
      <c r="M1295" s="1401">
        <v>46323</v>
      </c>
      <c r="N1295" s="1401"/>
      <c r="O1295" t="s">
        <v>10683</v>
      </c>
      <c r="P1295" s="1401" t="s">
        <v>2525</v>
      </c>
      <c r="Q1295" s="1401">
        <v>46331</v>
      </c>
    </row>
    <row r="1296" spans="1:17">
      <c r="A1296" t="s">
        <v>7940</v>
      </c>
      <c r="B1296" t="s">
        <v>64</v>
      </c>
      <c r="C1296" t="s">
        <v>65</v>
      </c>
      <c r="E1296" t="s">
        <v>7437</v>
      </c>
      <c r="F1296" t="s">
        <v>7439</v>
      </c>
      <c r="G1296">
        <v>130</v>
      </c>
      <c r="H1296" t="s">
        <v>951</v>
      </c>
      <c r="J1296" t="s">
        <v>7942</v>
      </c>
      <c r="K1296" s="1401"/>
      <c r="L1296" s="1401">
        <v>46328</v>
      </c>
      <c r="M1296" s="1401">
        <v>46328</v>
      </c>
      <c r="N1296" s="1401"/>
      <c r="O1296" t="s">
        <v>10683</v>
      </c>
      <c r="P1296" s="1401" t="s">
        <v>2525</v>
      </c>
      <c r="Q1296" s="1401">
        <v>46336</v>
      </c>
    </row>
    <row r="1297" spans="1:17">
      <c r="A1297" t="s">
        <v>7945</v>
      </c>
      <c r="B1297" t="s">
        <v>64</v>
      </c>
      <c r="C1297" t="s">
        <v>65</v>
      </c>
      <c r="E1297" t="s">
        <v>7449</v>
      </c>
      <c r="F1297" t="s">
        <v>7451</v>
      </c>
      <c r="G1297">
        <v>130</v>
      </c>
      <c r="H1297" t="s">
        <v>951</v>
      </c>
      <c r="J1297" t="s">
        <v>7942</v>
      </c>
      <c r="K1297" s="1401"/>
      <c r="L1297" s="1401">
        <v>46328</v>
      </c>
      <c r="M1297" s="1401">
        <v>46328</v>
      </c>
      <c r="N1297" s="1401"/>
      <c r="O1297" t="s">
        <v>10683</v>
      </c>
      <c r="P1297" s="1401" t="s">
        <v>2525</v>
      </c>
      <c r="Q1297" s="1401">
        <v>46336</v>
      </c>
    </row>
    <row r="1298" spans="1:17">
      <c r="A1298" t="s">
        <v>7872</v>
      </c>
      <c r="B1298" t="s">
        <v>64</v>
      </c>
      <c r="C1298" t="s">
        <v>65</v>
      </c>
      <c r="E1298" t="s">
        <v>7460</v>
      </c>
      <c r="F1298" t="s">
        <v>7462</v>
      </c>
      <c r="G1298">
        <v>552</v>
      </c>
      <c r="H1298" t="s">
        <v>951</v>
      </c>
      <c r="J1298" t="s">
        <v>7874</v>
      </c>
      <c r="K1298" s="1401"/>
      <c r="L1298" s="1401">
        <v>46330</v>
      </c>
      <c r="M1298" s="1401">
        <v>46330</v>
      </c>
      <c r="N1298" s="1401"/>
      <c r="O1298" t="s">
        <v>10683</v>
      </c>
      <c r="P1298" s="1401" t="s">
        <v>2525</v>
      </c>
      <c r="Q1298" s="1401">
        <v>46338</v>
      </c>
    </row>
    <row r="1299" spans="1:17">
      <c r="A1299" t="s">
        <v>7886</v>
      </c>
      <c r="B1299" t="s">
        <v>64</v>
      </c>
      <c r="C1299" t="s">
        <v>65</v>
      </c>
      <c r="E1299" t="s">
        <v>7460</v>
      </c>
      <c r="F1299" t="s">
        <v>7462</v>
      </c>
      <c r="G1299">
        <v>552</v>
      </c>
      <c r="H1299" t="s">
        <v>951</v>
      </c>
      <c r="J1299" t="s">
        <v>7888</v>
      </c>
      <c r="K1299" s="1401"/>
      <c r="L1299" s="1401">
        <v>46316</v>
      </c>
      <c r="M1299" s="1401">
        <v>46330</v>
      </c>
      <c r="N1299" s="1401"/>
      <c r="O1299" t="s">
        <v>10683</v>
      </c>
      <c r="P1299" s="1401" t="s">
        <v>2525</v>
      </c>
      <c r="Q1299" s="1401">
        <v>46338</v>
      </c>
    </row>
    <row r="1300" spans="1:17">
      <c r="A1300" t="s">
        <v>7937</v>
      </c>
      <c r="B1300" t="s">
        <v>64</v>
      </c>
      <c r="C1300" t="s">
        <v>114</v>
      </c>
      <c r="E1300" t="s">
        <v>7446</v>
      </c>
      <c r="F1300" t="s">
        <v>7447</v>
      </c>
      <c r="G1300">
        <v>20</v>
      </c>
      <c r="H1300" t="s">
        <v>951</v>
      </c>
      <c r="J1300" t="s">
        <v>7934</v>
      </c>
      <c r="K1300" s="1401"/>
      <c r="L1300" s="1401">
        <v>46306</v>
      </c>
      <c r="M1300" s="1401">
        <v>46313</v>
      </c>
      <c r="N1300" s="1401"/>
      <c r="O1300" t="s">
        <v>10683</v>
      </c>
      <c r="P1300" s="1401" t="s">
        <v>2525</v>
      </c>
      <c r="Q1300" s="1401">
        <v>46322</v>
      </c>
    </row>
    <row r="1301" spans="1:17">
      <c r="A1301" t="s">
        <v>7939</v>
      </c>
      <c r="B1301" t="s">
        <v>64</v>
      </c>
      <c r="C1301" t="s">
        <v>114</v>
      </c>
      <c r="E1301" t="s">
        <v>7460</v>
      </c>
      <c r="F1301" t="s">
        <v>7462</v>
      </c>
      <c r="G1301">
        <v>132</v>
      </c>
      <c r="H1301" t="s">
        <v>951</v>
      </c>
      <c r="J1301" t="s">
        <v>7934</v>
      </c>
      <c r="K1301" s="1401"/>
      <c r="L1301" s="1401">
        <v>46306</v>
      </c>
      <c r="M1301" s="1401">
        <v>46313</v>
      </c>
      <c r="N1301" s="1401"/>
      <c r="O1301" t="s">
        <v>10683</v>
      </c>
      <c r="P1301" s="1401" t="s">
        <v>2525</v>
      </c>
      <c r="Q1301" s="1401">
        <v>46322</v>
      </c>
    </row>
    <row r="1302" spans="1:17">
      <c r="A1302" t="s">
        <v>7938</v>
      </c>
      <c r="B1302" t="s">
        <v>64</v>
      </c>
      <c r="C1302" t="s">
        <v>114</v>
      </c>
      <c r="E1302" t="s">
        <v>7449</v>
      </c>
      <c r="F1302" t="s">
        <v>7451</v>
      </c>
      <c r="G1302">
        <v>66</v>
      </c>
      <c r="H1302" t="s">
        <v>951</v>
      </c>
      <c r="J1302" t="s">
        <v>7934</v>
      </c>
      <c r="K1302" s="1401"/>
      <c r="L1302" s="1401">
        <v>46306</v>
      </c>
      <c r="M1302" s="1401">
        <v>46313</v>
      </c>
      <c r="N1302" s="1401"/>
      <c r="O1302" t="s">
        <v>10683</v>
      </c>
      <c r="P1302" s="1401" t="s">
        <v>2525</v>
      </c>
      <c r="Q1302" s="1401">
        <v>46322</v>
      </c>
    </row>
    <row r="1303" spans="1:17">
      <c r="A1303" t="s">
        <v>7932</v>
      </c>
      <c r="B1303" t="s">
        <v>64</v>
      </c>
      <c r="C1303" t="s">
        <v>114</v>
      </c>
      <c r="E1303" t="s">
        <v>7437</v>
      </c>
      <c r="F1303" t="s">
        <v>7439</v>
      </c>
      <c r="G1303">
        <v>46</v>
      </c>
      <c r="H1303" t="s">
        <v>951</v>
      </c>
      <c r="J1303" t="s">
        <v>7934</v>
      </c>
      <c r="K1303" s="1401"/>
      <c r="L1303" s="1401">
        <v>46306</v>
      </c>
      <c r="M1303" s="1401">
        <v>46313</v>
      </c>
      <c r="N1303" s="1401"/>
      <c r="O1303" t="s">
        <v>10683</v>
      </c>
      <c r="P1303" s="1401" t="s">
        <v>2525</v>
      </c>
      <c r="Q1303" s="1401">
        <v>46322</v>
      </c>
    </row>
    <row r="1304" spans="1:17">
      <c r="A1304" t="s">
        <v>7896</v>
      </c>
      <c r="B1304" t="s">
        <v>64</v>
      </c>
      <c r="C1304" t="s">
        <v>65</v>
      </c>
      <c r="E1304" t="s">
        <v>7460</v>
      </c>
      <c r="F1304" t="s">
        <v>7462</v>
      </c>
      <c r="G1304">
        <v>552</v>
      </c>
      <c r="H1304" t="s">
        <v>951</v>
      </c>
      <c r="J1304" t="s">
        <v>7898</v>
      </c>
      <c r="K1304" s="1401"/>
      <c r="L1304" s="1401">
        <v>46337</v>
      </c>
      <c r="M1304" s="1401">
        <v>46337</v>
      </c>
      <c r="N1304" s="1401"/>
      <c r="O1304" t="s">
        <v>10683</v>
      </c>
      <c r="P1304" s="1401" t="s">
        <v>2525</v>
      </c>
      <c r="Q1304" s="1401">
        <v>46345</v>
      </c>
    </row>
    <row r="1305" spans="1:17">
      <c r="A1305" t="s">
        <v>7891</v>
      </c>
      <c r="B1305" t="s">
        <v>64</v>
      </c>
      <c r="C1305" t="s">
        <v>65</v>
      </c>
      <c r="E1305" t="s">
        <v>7460</v>
      </c>
      <c r="F1305" t="s">
        <v>7462</v>
      </c>
      <c r="G1305">
        <v>552</v>
      </c>
      <c r="H1305" t="s">
        <v>951</v>
      </c>
      <c r="J1305" t="s">
        <v>7893</v>
      </c>
      <c r="K1305" s="1401"/>
      <c r="L1305" s="1401">
        <v>46323</v>
      </c>
      <c r="M1305" s="1401">
        <v>46337</v>
      </c>
      <c r="N1305" s="1401"/>
      <c r="O1305" t="s">
        <v>10683</v>
      </c>
      <c r="P1305" s="1401" t="s">
        <v>2525</v>
      </c>
      <c r="Q1305" s="1401">
        <v>46345</v>
      </c>
    </row>
    <row r="1306" spans="1:17">
      <c r="A1306" t="s">
        <v>7953</v>
      </c>
      <c r="B1306" t="s">
        <v>64</v>
      </c>
      <c r="C1306" t="s">
        <v>450</v>
      </c>
      <c r="E1306" t="s">
        <v>7449</v>
      </c>
      <c r="F1306" t="s">
        <v>7451</v>
      </c>
      <c r="G1306">
        <v>66</v>
      </c>
      <c r="H1306" t="s">
        <v>951</v>
      </c>
      <c r="J1306" t="s">
        <v>7949</v>
      </c>
      <c r="K1306" s="1401"/>
      <c r="L1306" s="1401">
        <v>46321</v>
      </c>
      <c r="M1306" s="1401">
        <v>46328</v>
      </c>
      <c r="N1306" s="1401"/>
      <c r="O1306" t="s">
        <v>10683</v>
      </c>
      <c r="P1306" s="1401" t="s">
        <v>2525</v>
      </c>
      <c r="Q1306" s="1401">
        <v>46328</v>
      </c>
    </row>
    <row r="1307" spans="1:17">
      <c r="A1307" t="s">
        <v>7952</v>
      </c>
      <c r="B1307" t="s">
        <v>64</v>
      </c>
      <c r="C1307" t="s">
        <v>450</v>
      </c>
      <c r="E1307" t="s">
        <v>7437</v>
      </c>
      <c r="F1307" t="s">
        <v>7439</v>
      </c>
      <c r="G1307">
        <v>26</v>
      </c>
      <c r="H1307" t="s">
        <v>951</v>
      </c>
      <c r="J1307" t="s">
        <v>7949</v>
      </c>
      <c r="K1307" s="1401"/>
      <c r="L1307" s="1401">
        <v>46321</v>
      </c>
      <c r="M1307" s="1401">
        <v>46328</v>
      </c>
      <c r="N1307" s="1401"/>
      <c r="O1307" t="s">
        <v>10683</v>
      </c>
      <c r="P1307" s="1401" t="s">
        <v>2525</v>
      </c>
      <c r="Q1307" s="1401">
        <v>46328</v>
      </c>
    </row>
    <row r="1308" spans="1:17">
      <c r="A1308" t="s">
        <v>7946</v>
      </c>
      <c r="B1308" t="s">
        <v>64</v>
      </c>
      <c r="C1308" t="s">
        <v>450</v>
      </c>
      <c r="E1308" t="s">
        <v>7471</v>
      </c>
      <c r="F1308" t="s">
        <v>7472</v>
      </c>
      <c r="G1308">
        <v>40</v>
      </c>
      <c r="H1308" t="s">
        <v>951</v>
      </c>
      <c r="J1308" t="s">
        <v>7949</v>
      </c>
      <c r="K1308" s="1401"/>
      <c r="L1308" s="1401">
        <v>46321</v>
      </c>
      <c r="M1308" s="1401">
        <v>46328</v>
      </c>
      <c r="N1308" s="1401"/>
      <c r="O1308" t="s">
        <v>10683</v>
      </c>
      <c r="P1308" s="1401" t="s">
        <v>2525</v>
      </c>
      <c r="Q1308" s="1401">
        <v>46328</v>
      </c>
    </row>
    <row r="1309" spans="1:17">
      <c r="A1309" t="s">
        <v>7954</v>
      </c>
      <c r="B1309" t="s">
        <v>64</v>
      </c>
      <c r="C1309" t="s">
        <v>450</v>
      </c>
      <c r="E1309" t="s">
        <v>7460</v>
      </c>
      <c r="F1309" t="s">
        <v>7462</v>
      </c>
      <c r="G1309">
        <v>132</v>
      </c>
      <c r="H1309" t="s">
        <v>951</v>
      </c>
      <c r="J1309" t="s">
        <v>7949</v>
      </c>
      <c r="K1309" s="1401"/>
      <c r="L1309" s="1401">
        <v>46321</v>
      </c>
      <c r="M1309" s="1401">
        <v>46328</v>
      </c>
      <c r="N1309" s="1401"/>
      <c r="O1309" t="s">
        <v>10683</v>
      </c>
      <c r="P1309" s="1401" t="s">
        <v>2525</v>
      </c>
      <c r="Q1309" s="1401">
        <v>46328</v>
      </c>
    </row>
    <row r="1310" spans="1:17">
      <c r="A1310" t="s">
        <v>7986</v>
      </c>
      <c r="B1310" t="s">
        <v>64</v>
      </c>
      <c r="C1310" t="s">
        <v>65</v>
      </c>
      <c r="E1310" t="s">
        <v>7717</v>
      </c>
      <c r="F1310" t="s">
        <v>7718</v>
      </c>
      <c r="G1310">
        <v>9</v>
      </c>
      <c r="H1310" t="s">
        <v>951</v>
      </c>
      <c r="J1310" t="s">
        <v>7979</v>
      </c>
      <c r="K1310" s="1401"/>
      <c r="L1310" s="1401">
        <v>46337</v>
      </c>
      <c r="M1310" s="1401">
        <v>46344</v>
      </c>
      <c r="N1310" s="1401"/>
      <c r="O1310" t="s">
        <v>10683</v>
      </c>
      <c r="P1310" s="1401" t="s">
        <v>2525</v>
      </c>
      <c r="Q1310" s="1401">
        <v>46352</v>
      </c>
    </row>
    <row r="1311" spans="1:17">
      <c r="A1311" t="s">
        <v>7985</v>
      </c>
      <c r="B1311" t="s">
        <v>64</v>
      </c>
      <c r="C1311" t="s">
        <v>65</v>
      </c>
      <c r="E1311" t="s">
        <v>7717</v>
      </c>
      <c r="F1311" t="s">
        <v>7718</v>
      </c>
      <c r="G1311">
        <v>143</v>
      </c>
      <c r="H1311" t="s">
        <v>951</v>
      </c>
      <c r="J1311" t="s">
        <v>7979</v>
      </c>
      <c r="K1311" s="1401"/>
      <c r="L1311" s="1401">
        <v>46337</v>
      </c>
      <c r="M1311" s="1401">
        <v>46344</v>
      </c>
      <c r="N1311" s="1401"/>
      <c r="O1311" t="s">
        <v>10683</v>
      </c>
      <c r="P1311" s="1401" t="s">
        <v>2525</v>
      </c>
      <c r="Q1311" s="1401">
        <v>46352</v>
      </c>
    </row>
    <row r="1312" spans="1:17">
      <c r="A1312" t="s">
        <v>7983</v>
      </c>
      <c r="B1312" t="s">
        <v>64</v>
      </c>
      <c r="C1312" t="s">
        <v>65</v>
      </c>
      <c r="E1312" t="s">
        <v>7710</v>
      </c>
      <c r="F1312" t="s">
        <v>7711</v>
      </c>
      <c r="G1312">
        <v>101</v>
      </c>
      <c r="H1312" t="s">
        <v>951</v>
      </c>
      <c r="J1312" t="s">
        <v>7979</v>
      </c>
      <c r="K1312" s="1401"/>
      <c r="L1312" s="1401">
        <v>46337</v>
      </c>
      <c r="M1312" s="1401">
        <v>46344</v>
      </c>
      <c r="N1312" s="1401"/>
      <c r="O1312" t="s">
        <v>10683</v>
      </c>
      <c r="P1312" s="1401" t="s">
        <v>2525</v>
      </c>
      <c r="Q1312" s="1401">
        <v>46352</v>
      </c>
    </row>
    <row r="1313" spans="1:17">
      <c r="A1313" t="s">
        <v>7982</v>
      </c>
      <c r="B1313" t="s">
        <v>64</v>
      </c>
      <c r="C1313" t="s">
        <v>65</v>
      </c>
      <c r="E1313" t="s">
        <v>7725</v>
      </c>
      <c r="F1313" t="s">
        <v>7726</v>
      </c>
      <c r="G1313">
        <v>6</v>
      </c>
      <c r="H1313" t="s">
        <v>951</v>
      </c>
      <c r="J1313" t="s">
        <v>7979</v>
      </c>
      <c r="K1313" s="1401"/>
      <c r="L1313" s="1401">
        <v>46337</v>
      </c>
      <c r="M1313" s="1401">
        <v>46344</v>
      </c>
      <c r="N1313" s="1401"/>
      <c r="O1313" t="s">
        <v>10683</v>
      </c>
      <c r="P1313" s="1401" t="s">
        <v>2525</v>
      </c>
      <c r="Q1313" s="1401">
        <v>46352</v>
      </c>
    </row>
    <row r="1314" spans="1:17">
      <c r="A1314" t="s">
        <v>7978</v>
      </c>
      <c r="B1314" t="s">
        <v>64</v>
      </c>
      <c r="C1314" t="s">
        <v>65</v>
      </c>
      <c r="E1314" t="s">
        <v>7725</v>
      </c>
      <c r="F1314" t="s">
        <v>7726</v>
      </c>
      <c r="G1314">
        <v>42</v>
      </c>
      <c r="H1314" t="s">
        <v>951</v>
      </c>
      <c r="J1314" t="s">
        <v>7979</v>
      </c>
      <c r="K1314" s="1401"/>
      <c r="L1314" s="1401">
        <v>46337</v>
      </c>
      <c r="M1314" s="1401">
        <v>46344</v>
      </c>
      <c r="N1314" s="1401"/>
      <c r="O1314" t="s">
        <v>10683</v>
      </c>
      <c r="P1314" s="1401" t="s">
        <v>2525</v>
      </c>
      <c r="Q1314" s="1401">
        <v>46352</v>
      </c>
    </row>
    <row r="1315" spans="1:17">
      <c r="A1315" t="s">
        <v>7984</v>
      </c>
      <c r="B1315" t="s">
        <v>64</v>
      </c>
      <c r="C1315" t="s">
        <v>65</v>
      </c>
      <c r="E1315" t="s">
        <v>7710</v>
      </c>
      <c r="F1315" t="s">
        <v>7711</v>
      </c>
      <c r="G1315">
        <v>3</v>
      </c>
      <c r="H1315" t="s">
        <v>951</v>
      </c>
      <c r="J1315" t="s">
        <v>7979</v>
      </c>
      <c r="K1315" s="1401"/>
      <c r="L1315" s="1401">
        <v>46337</v>
      </c>
      <c r="M1315" s="1401">
        <v>46344</v>
      </c>
      <c r="N1315" s="1401"/>
      <c r="O1315" t="s">
        <v>10683</v>
      </c>
      <c r="P1315" s="1401" t="s">
        <v>2525</v>
      </c>
      <c r="Q1315" s="1401">
        <v>46352</v>
      </c>
    </row>
    <row r="1316" spans="1:17">
      <c r="A1316" t="s">
        <v>8114</v>
      </c>
      <c r="B1316" t="s">
        <v>64</v>
      </c>
      <c r="C1316" t="s">
        <v>100</v>
      </c>
      <c r="E1316" t="s">
        <v>7446</v>
      </c>
      <c r="F1316" t="s">
        <v>7447</v>
      </c>
      <c r="G1316">
        <v>29</v>
      </c>
      <c r="H1316" t="s">
        <v>951</v>
      </c>
      <c r="J1316" t="s">
        <v>8108</v>
      </c>
      <c r="K1316" s="1401"/>
      <c r="L1316" s="1401">
        <v>46326</v>
      </c>
      <c r="M1316" s="1401">
        <v>46338</v>
      </c>
      <c r="N1316" s="1401"/>
      <c r="O1316" t="s">
        <v>10683</v>
      </c>
      <c r="P1316" s="1401" t="s">
        <v>2525</v>
      </c>
      <c r="Q1316" s="1401">
        <v>46345</v>
      </c>
    </row>
    <row r="1317" spans="1:17">
      <c r="A1317" t="s">
        <v>8115</v>
      </c>
      <c r="B1317" t="s">
        <v>64</v>
      </c>
      <c r="C1317" t="s">
        <v>100</v>
      </c>
      <c r="E1317" t="s">
        <v>7446</v>
      </c>
      <c r="F1317" t="s">
        <v>7447</v>
      </c>
      <c r="G1317">
        <v>1</v>
      </c>
      <c r="H1317" t="s">
        <v>951</v>
      </c>
      <c r="J1317" t="s">
        <v>8108</v>
      </c>
      <c r="K1317" s="1401"/>
      <c r="L1317" s="1401">
        <v>46326</v>
      </c>
      <c r="M1317" s="1401">
        <v>46338</v>
      </c>
      <c r="N1317" s="1401"/>
      <c r="O1317" t="s">
        <v>10683</v>
      </c>
      <c r="P1317" s="1401" t="s">
        <v>2525</v>
      </c>
      <c r="Q1317" s="1401">
        <v>46345</v>
      </c>
    </row>
    <row r="1318" spans="1:17">
      <c r="A1318" t="s">
        <v>8113</v>
      </c>
      <c r="B1318" t="s">
        <v>64</v>
      </c>
      <c r="C1318" t="s">
        <v>100</v>
      </c>
      <c r="E1318" t="s">
        <v>7437</v>
      </c>
      <c r="F1318" t="s">
        <v>7439</v>
      </c>
      <c r="G1318">
        <v>10</v>
      </c>
      <c r="H1318" t="s">
        <v>951</v>
      </c>
      <c r="J1318" t="s">
        <v>8108</v>
      </c>
      <c r="K1318" s="1401"/>
      <c r="L1318" s="1401">
        <v>46326</v>
      </c>
      <c r="M1318" s="1401">
        <v>46338</v>
      </c>
      <c r="N1318" s="1401"/>
      <c r="O1318" t="s">
        <v>10683</v>
      </c>
      <c r="P1318" s="1401" t="s">
        <v>2525</v>
      </c>
      <c r="Q1318" s="1401">
        <v>46345</v>
      </c>
    </row>
    <row r="1319" spans="1:17">
      <c r="A1319" t="s">
        <v>8112</v>
      </c>
      <c r="B1319" t="s">
        <v>64</v>
      </c>
      <c r="C1319" t="s">
        <v>100</v>
      </c>
      <c r="E1319" t="s">
        <v>7437</v>
      </c>
      <c r="F1319" t="s">
        <v>7439</v>
      </c>
      <c r="G1319">
        <v>66</v>
      </c>
      <c r="H1319" t="s">
        <v>951</v>
      </c>
      <c r="J1319" t="s">
        <v>8108</v>
      </c>
      <c r="K1319" s="1401"/>
      <c r="L1319" s="1401">
        <v>46326</v>
      </c>
      <c r="M1319" s="1401">
        <v>46338</v>
      </c>
      <c r="N1319" s="1401"/>
      <c r="O1319" t="s">
        <v>10683</v>
      </c>
      <c r="P1319" s="1401" t="s">
        <v>2525</v>
      </c>
      <c r="Q1319" s="1401">
        <v>46345</v>
      </c>
    </row>
    <row r="1320" spans="1:17">
      <c r="A1320" t="s">
        <v>8111</v>
      </c>
      <c r="B1320" t="s">
        <v>64</v>
      </c>
      <c r="C1320" t="s">
        <v>100</v>
      </c>
      <c r="E1320" t="s">
        <v>7471</v>
      </c>
      <c r="F1320" t="s">
        <v>7472</v>
      </c>
      <c r="G1320">
        <v>1</v>
      </c>
      <c r="H1320" t="s">
        <v>951</v>
      </c>
      <c r="J1320" t="s">
        <v>8108</v>
      </c>
      <c r="K1320" s="1401"/>
      <c r="L1320" s="1401">
        <v>46326</v>
      </c>
      <c r="M1320" s="1401">
        <v>46338</v>
      </c>
      <c r="N1320" s="1401"/>
      <c r="O1320" t="s">
        <v>10683</v>
      </c>
      <c r="P1320" s="1401" t="s">
        <v>2525</v>
      </c>
      <c r="Q1320" s="1401">
        <v>46345</v>
      </c>
    </row>
    <row r="1321" spans="1:17">
      <c r="A1321" t="s">
        <v>8106</v>
      </c>
      <c r="B1321" t="s">
        <v>64</v>
      </c>
      <c r="C1321" t="s">
        <v>100</v>
      </c>
      <c r="E1321" t="s">
        <v>7471</v>
      </c>
      <c r="F1321" t="s">
        <v>7472</v>
      </c>
      <c r="G1321">
        <v>23</v>
      </c>
      <c r="H1321" t="s">
        <v>951</v>
      </c>
      <c r="J1321" t="s">
        <v>8108</v>
      </c>
      <c r="K1321" s="1401"/>
      <c r="L1321" s="1401">
        <v>46326</v>
      </c>
      <c r="M1321" s="1401">
        <v>46338</v>
      </c>
      <c r="N1321" s="1401"/>
      <c r="O1321" t="s">
        <v>10683</v>
      </c>
      <c r="P1321" s="1401" t="s">
        <v>2525</v>
      </c>
      <c r="Q1321" s="1401">
        <v>46345</v>
      </c>
    </row>
    <row r="1322" spans="1:17">
      <c r="A1322" t="s">
        <v>8117</v>
      </c>
      <c r="B1322" t="s">
        <v>64</v>
      </c>
      <c r="C1322" t="s">
        <v>100</v>
      </c>
      <c r="E1322" t="s">
        <v>7449</v>
      </c>
      <c r="F1322" t="s">
        <v>7451</v>
      </c>
      <c r="G1322">
        <v>11</v>
      </c>
      <c r="H1322" t="s">
        <v>951</v>
      </c>
      <c r="J1322" t="s">
        <v>8108</v>
      </c>
      <c r="K1322" s="1401"/>
      <c r="L1322" s="1401">
        <v>46326</v>
      </c>
      <c r="M1322" s="1401">
        <v>46338</v>
      </c>
      <c r="N1322" s="1401"/>
      <c r="O1322" t="s">
        <v>10683</v>
      </c>
      <c r="P1322" s="1401" t="s">
        <v>2525</v>
      </c>
      <c r="Q1322" s="1401">
        <v>46345</v>
      </c>
    </row>
    <row r="1323" spans="1:17">
      <c r="A1323" t="s">
        <v>8116</v>
      </c>
      <c r="B1323" t="s">
        <v>64</v>
      </c>
      <c r="C1323" t="s">
        <v>100</v>
      </c>
      <c r="E1323" t="s">
        <v>7449</v>
      </c>
      <c r="F1323" t="s">
        <v>7451</v>
      </c>
      <c r="G1323">
        <v>119</v>
      </c>
      <c r="H1323" t="s">
        <v>951</v>
      </c>
      <c r="J1323" t="s">
        <v>8108</v>
      </c>
      <c r="K1323" s="1401"/>
      <c r="L1323" s="1401">
        <v>46326</v>
      </c>
      <c r="M1323" s="1401">
        <v>46338</v>
      </c>
      <c r="N1323" s="1401"/>
      <c r="O1323" t="s">
        <v>10683</v>
      </c>
      <c r="P1323" s="1401" t="s">
        <v>2525</v>
      </c>
      <c r="Q1323" s="1401">
        <v>46345</v>
      </c>
    </row>
    <row r="1324" spans="1:17">
      <c r="A1324" t="s">
        <v>8007</v>
      </c>
      <c r="B1324" t="s">
        <v>64</v>
      </c>
      <c r="C1324" t="s">
        <v>65</v>
      </c>
      <c r="E1324" t="s">
        <v>7460</v>
      </c>
      <c r="F1324" t="s">
        <v>7462</v>
      </c>
      <c r="G1324">
        <v>552</v>
      </c>
      <c r="H1324" t="s">
        <v>2525</v>
      </c>
      <c r="J1324" t="s">
        <v>8009</v>
      </c>
      <c r="K1324" s="1401"/>
      <c r="L1324" s="1401">
        <v>46358</v>
      </c>
      <c r="M1324" s="1401">
        <v>46351</v>
      </c>
      <c r="N1324" s="1401"/>
      <c r="O1324" t="s">
        <v>10683</v>
      </c>
      <c r="P1324" s="1401" t="s">
        <v>2525</v>
      </c>
      <c r="Q1324" s="1401">
        <v>46359</v>
      </c>
    </row>
    <row r="1325" spans="1:17">
      <c r="A1325" t="s">
        <v>7987</v>
      </c>
      <c r="B1325" t="s">
        <v>64</v>
      </c>
      <c r="C1325" t="s">
        <v>65</v>
      </c>
      <c r="E1325" t="s">
        <v>7725</v>
      </c>
      <c r="F1325" t="s">
        <v>7726</v>
      </c>
      <c r="G1325">
        <v>152</v>
      </c>
      <c r="H1325" t="s">
        <v>951</v>
      </c>
      <c r="J1325" t="s">
        <v>7989</v>
      </c>
      <c r="K1325" s="1401"/>
      <c r="L1325" s="1401">
        <v>46344</v>
      </c>
      <c r="M1325" s="1401">
        <v>46344</v>
      </c>
      <c r="N1325" s="1401"/>
      <c r="O1325" t="s">
        <v>10683</v>
      </c>
      <c r="P1325" s="1401" t="s">
        <v>2525</v>
      </c>
      <c r="Q1325" s="1401">
        <v>46352</v>
      </c>
    </row>
    <row r="1326" spans="1:17">
      <c r="A1326" t="s">
        <v>7992</v>
      </c>
      <c r="B1326" t="s">
        <v>64</v>
      </c>
      <c r="C1326" t="s">
        <v>65</v>
      </c>
      <c r="E1326" t="s">
        <v>7717</v>
      </c>
      <c r="F1326" t="s">
        <v>7718</v>
      </c>
      <c r="G1326">
        <v>152</v>
      </c>
      <c r="H1326" t="s">
        <v>951</v>
      </c>
      <c r="J1326" t="s">
        <v>7989</v>
      </c>
      <c r="K1326" s="1401"/>
      <c r="L1326" s="1401">
        <v>46344</v>
      </c>
      <c r="M1326" s="1401">
        <v>46344</v>
      </c>
      <c r="N1326" s="1401"/>
      <c r="O1326" t="s">
        <v>10683</v>
      </c>
      <c r="P1326" s="1401" t="s">
        <v>2525</v>
      </c>
      <c r="Q1326" s="1401">
        <v>46352</v>
      </c>
    </row>
    <row r="1327" spans="1:17">
      <c r="A1327" t="s">
        <v>7999</v>
      </c>
      <c r="B1327" t="s">
        <v>64</v>
      </c>
      <c r="C1327" t="s">
        <v>100</v>
      </c>
      <c r="E1327" t="s">
        <v>7460</v>
      </c>
      <c r="F1327" t="s">
        <v>7462</v>
      </c>
      <c r="G1327">
        <v>80</v>
      </c>
      <c r="H1327" t="s">
        <v>951</v>
      </c>
      <c r="J1327" t="s">
        <v>7996</v>
      </c>
      <c r="K1327" s="1401"/>
      <c r="L1327" s="1401">
        <v>46340</v>
      </c>
      <c r="M1327" s="1401">
        <v>46340</v>
      </c>
      <c r="N1327" s="1401"/>
      <c r="O1327" t="s">
        <v>10683</v>
      </c>
      <c r="P1327" s="1401" t="s">
        <v>2525</v>
      </c>
      <c r="Q1327" s="1401">
        <v>46347</v>
      </c>
    </row>
    <row r="1328" spans="1:17">
      <c r="A1328" t="s">
        <v>7993</v>
      </c>
      <c r="B1328" t="s">
        <v>64</v>
      </c>
      <c r="C1328" t="s">
        <v>100</v>
      </c>
      <c r="E1328" t="s">
        <v>7460</v>
      </c>
      <c r="F1328" t="s">
        <v>7462</v>
      </c>
      <c r="G1328">
        <v>472</v>
      </c>
      <c r="H1328" t="s">
        <v>951</v>
      </c>
      <c r="J1328" t="s">
        <v>7996</v>
      </c>
      <c r="K1328" s="1401"/>
      <c r="L1328" s="1401">
        <v>46340</v>
      </c>
      <c r="M1328" s="1401">
        <v>46340</v>
      </c>
      <c r="N1328" s="1401"/>
      <c r="O1328" t="s">
        <v>10683</v>
      </c>
      <c r="P1328" s="1401" t="s">
        <v>2525</v>
      </c>
      <c r="Q1328" s="1401">
        <v>46347</v>
      </c>
    </row>
    <row r="1329" spans="1:17">
      <c r="A1329" t="s">
        <v>8000</v>
      </c>
      <c r="B1329" t="s">
        <v>64</v>
      </c>
      <c r="C1329" t="s">
        <v>114</v>
      </c>
      <c r="E1329" t="s">
        <v>7460</v>
      </c>
      <c r="F1329" t="s">
        <v>7462</v>
      </c>
      <c r="G1329">
        <v>276</v>
      </c>
      <c r="H1329" t="s">
        <v>951</v>
      </c>
      <c r="J1329" t="s">
        <v>8001</v>
      </c>
      <c r="K1329" s="1401"/>
      <c r="L1329" s="1401">
        <v>46327</v>
      </c>
      <c r="M1329" s="1401">
        <v>46328</v>
      </c>
      <c r="N1329" s="1401"/>
      <c r="O1329" t="s">
        <v>10683</v>
      </c>
      <c r="P1329" s="1401" t="s">
        <v>2525</v>
      </c>
      <c r="Q1329" s="1401">
        <v>46337</v>
      </c>
    </row>
    <row r="1330" spans="1:17">
      <c r="A1330" t="s">
        <v>8048</v>
      </c>
      <c r="B1330" t="s">
        <v>68</v>
      </c>
      <c r="C1330" t="s">
        <v>68</v>
      </c>
      <c r="E1330" t="s">
        <v>7923</v>
      </c>
      <c r="F1330" t="s">
        <v>8032</v>
      </c>
      <c r="G1330">
        <v>54</v>
      </c>
      <c r="H1330" t="s">
        <v>75</v>
      </c>
      <c r="J1330" t="s">
        <v>7287</v>
      </c>
      <c r="K1330" s="1401"/>
      <c r="L1330" s="1401">
        <v>46282</v>
      </c>
      <c r="M1330" s="1401">
        <v>46285</v>
      </c>
      <c r="N1330" s="1401">
        <v>46285</v>
      </c>
      <c r="O1330" t="s">
        <v>10683</v>
      </c>
      <c r="P1330" s="1401" t="s">
        <v>2525</v>
      </c>
      <c r="Q1330" s="1401">
        <v>46299</v>
      </c>
    </row>
    <row r="1331" spans="1:17">
      <c r="A1331" t="s">
        <v>8049</v>
      </c>
      <c r="B1331" t="s">
        <v>68</v>
      </c>
      <c r="C1331" t="s">
        <v>68</v>
      </c>
      <c r="E1331" t="s">
        <v>7927</v>
      </c>
      <c r="F1331" t="s">
        <v>8036</v>
      </c>
      <c r="G1331">
        <v>16</v>
      </c>
      <c r="H1331" t="s">
        <v>75</v>
      </c>
      <c r="J1331" t="s">
        <v>7287</v>
      </c>
      <c r="K1331" s="1401"/>
      <c r="L1331" s="1401">
        <v>46282</v>
      </c>
      <c r="M1331" s="1401">
        <v>46285</v>
      </c>
      <c r="N1331" s="1401">
        <v>46285</v>
      </c>
      <c r="O1331" t="s">
        <v>10683</v>
      </c>
      <c r="P1331" s="1401" t="s">
        <v>2525</v>
      </c>
      <c r="Q1331" s="1401">
        <v>46299</v>
      </c>
    </row>
    <row r="1332" spans="1:17">
      <c r="A1332" t="s">
        <v>8042</v>
      </c>
      <c r="B1332" t="s">
        <v>68</v>
      </c>
      <c r="C1332" t="s">
        <v>68</v>
      </c>
      <c r="E1332" t="s">
        <v>7914</v>
      </c>
      <c r="F1332" t="s">
        <v>8029</v>
      </c>
      <c r="G1332">
        <v>54</v>
      </c>
      <c r="H1332" t="s">
        <v>75</v>
      </c>
      <c r="J1332" t="s">
        <v>7287</v>
      </c>
      <c r="K1332" s="1401"/>
      <c r="L1332" s="1401">
        <v>46282</v>
      </c>
      <c r="M1332" s="1401">
        <v>46285</v>
      </c>
      <c r="N1332" s="1401">
        <v>46285</v>
      </c>
      <c r="O1332" t="s">
        <v>10683</v>
      </c>
      <c r="P1332" s="1401" t="s">
        <v>2525</v>
      </c>
      <c r="Q1332" s="1401">
        <v>46299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W156"/>
  <sheetViews>
    <sheetView topLeftCell="A81" zoomScale="85" zoomScaleNormal="85" workbookViewId="0">
      <selection activeCell="E91" sqref="E90:E91"/>
    </sheetView>
  </sheetViews>
  <sheetFormatPr defaultColWidth="9" defaultRowHeight="13"/>
  <cols>
    <col min="1" max="2" width="20.5" bestFit="1" customWidth="1"/>
    <col min="3" max="3" width="21.59765625" bestFit="1" customWidth="1"/>
    <col min="4" max="4" width="17.8984375" bestFit="1" customWidth="1"/>
    <col min="5" max="5" width="28.69921875" bestFit="1" customWidth="1"/>
    <col min="6" max="6" width="9.296875" bestFit="1" customWidth="1"/>
    <col min="7" max="7" width="14" bestFit="1" customWidth="1"/>
    <col min="8" max="8" width="10.09765625" bestFit="1" customWidth="1"/>
    <col min="9" max="9" width="12.796875" bestFit="1" customWidth="1"/>
    <col min="10" max="10" width="16.59765625" bestFit="1" customWidth="1"/>
    <col min="11" max="11" width="13.5" bestFit="1" customWidth="1"/>
    <col min="12" max="12" width="20.5" bestFit="1" customWidth="1"/>
    <col min="13" max="13" width="10.09765625" bestFit="1" customWidth="1"/>
    <col min="14" max="14" width="24.296875" style="214" bestFit="1" customWidth="1"/>
    <col min="15" max="16" width="16.59765625" style="214" bestFit="1" customWidth="1"/>
    <col min="17" max="17" width="14" style="214" bestFit="1" customWidth="1"/>
    <col min="18" max="19" width="16.59765625" style="214" bestFit="1" customWidth="1"/>
    <col min="20" max="20" width="14" style="214" bestFit="1" customWidth="1"/>
    <col min="21" max="21" width="19.19921875" bestFit="1" customWidth="1"/>
    <col min="22" max="22" width="33.3984375" style="214" bestFit="1" customWidth="1"/>
    <col min="23" max="23" width="32.09765625" style="214" bestFit="1" customWidth="1"/>
    <col min="24" max="24" width="17.8984375" bestFit="1" customWidth="1"/>
    <col min="25" max="25" width="22.3984375" bestFit="1" customWidth="1"/>
    <col min="26" max="26" width="16.59765625" bestFit="1" customWidth="1"/>
    <col min="27" max="27" width="17.8984375" bestFit="1" customWidth="1"/>
    <col min="28" max="28" width="34.59765625" bestFit="1" customWidth="1"/>
    <col min="29" max="30" width="25.59765625" bestFit="1" customWidth="1"/>
    <col min="31" max="31" width="39.09765625" bestFit="1" customWidth="1"/>
    <col min="32" max="32" width="37.59765625" bestFit="1" customWidth="1"/>
    <col min="33" max="33" width="30.09765625" bestFit="1" customWidth="1"/>
    <col min="34" max="34" width="12.8984375" bestFit="1" customWidth="1"/>
    <col min="35" max="35" width="31.59765625" bestFit="1" customWidth="1"/>
    <col min="36" max="37" width="22.3984375" bestFit="1" customWidth="1"/>
    <col min="38" max="38" width="19.3984375" bestFit="1" customWidth="1"/>
    <col min="39" max="40" width="22.3984375" bestFit="1" customWidth="1"/>
    <col min="41" max="42" width="19.3984375" bestFit="1" customWidth="1"/>
    <col min="43" max="43" width="66.3984375" bestFit="1" customWidth="1"/>
    <col min="44" max="44" width="17.8984375" bestFit="1" customWidth="1"/>
    <col min="45" max="45" width="34.59765625" bestFit="1" customWidth="1"/>
    <col min="46" max="47" width="20.09765625" bestFit="1" customWidth="1"/>
    <col min="48" max="48" width="37.59765625" bestFit="1" customWidth="1"/>
    <col min="49" max="49" width="30.09765625" bestFit="1" customWidth="1"/>
    <col min="50" max="50" width="25.59765625" bestFit="1" customWidth="1"/>
    <col min="51" max="51" width="33.09765625" bestFit="1" customWidth="1"/>
    <col min="52" max="52" width="27.09765625" bestFit="1" customWidth="1"/>
    <col min="53" max="53" width="42.3984375" bestFit="1" customWidth="1"/>
    <col min="54" max="54" width="40.8984375" bestFit="1" customWidth="1"/>
    <col min="55" max="55" width="19.3984375" bestFit="1" customWidth="1"/>
    <col min="56" max="56" width="20.8984375" bestFit="1" customWidth="1"/>
    <col min="57" max="57" width="19.3984375" bestFit="1" customWidth="1"/>
    <col min="58" max="58" width="22.3984375" bestFit="1" customWidth="1"/>
    <col min="59" max="59" width="16.59765625" bestFit="1" customWidth="1"/>
    <col min="60" max="60" width="22.3984375" bestFit="1" customWidth="1"/>
    <col min="61" max="61" width="27.09765625" bestFit="1" customWidth="1"/>
    <col min="62" max="62" width="42.3984375" bestFit="1" customWidth="1"/>
    <col min="63" max="63" width="49.3984375" bestFit="1" customWidth="1"/>
    <col min="64" max="65" width="12.59765625" bestFit="1" customWidth="1"/>
    <col min="66" max="66" width="18.8984375" bestFit="1" customWidth="1"/>
    <col min="67" max="67" width="42.3984375" bestFit="1" customWidth="1"/>
    <col min="68" max="68" width="22.3984375" bestFit="1" customWidth="1"/>
    <col min="69" max="70" width="20.8984375" bestFit="1" customWidth="1"/>
  </cols>
  <sheetData>
    <row r="1" spans="1:23">
      <c r="A1" t="s">
        <v>0</v>
      </c>
      <c r="B1" t="s">
        <v>5</v>
      </c>
      <c r="C1" t="s">
        <v>14</v>
      </c>
      <c r="D1" t="s">
        <v>15</v>
      </c>
      <c r="E1" t="s">
        <v>16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4408</v>
      </c>
      <c r="M1" t="s">
        <v>32</v>
      </c>
      <c r="N1" t="s">
        <v>33</v>
      </c>
      <c r="O1" s="214" t="s">
        <v>10682</v>
      </c>
      <c r="P1" s="214" t="s">
        <v>35</v>
      </c>
      <c r="Q1" s="214" t="s">
        <v>36</v>
      </c>
      <c r="R1" s="214" t="s">
        <v>37</v>
      </c>
      <c r="S1" s="214" t="s">
        <v>38</v>
      </c>
      <c r="T1" s="214" t="s">
        <v>39</v>
      </c>
      <c r="U1" s="214" t="s">
        <v>48</v>
      </c>
      <c r="V1" t="s">
        <v>51</v>
      </c>
      <c r="W1" s="214" t="s">
        <v>52</v>
      </c>
    </row>
    <row r="2" spans="1:23">
      <c r="A2" t="s">
        <v>7380</v>
      </c>
      <c r="B2" t="s">
        <v>114</v>
      </c>
      <c r="C2" t="s">
        <v>4531</v>
      </c>
      <c r="D2" t="s">
        <v>7372</v>
      </c>
      <c r="E2" t="s">
        <v>1682</v>
      </c>
      <c r="F2">
        <v>730</v>
      </c>
      <c r="G2">
        <v>2970</v>
      </c>
      <c r="H2">
        <v>2.1680999999999999</v>
      </c>
      <c r="I2">
        <v>82.5</v>
      </c>
      <c r="J2">
        <v>4.125</v>
      </c>
      <c r="K2" t="s">
        <v>7381</v>
      </c>
      <c r="M2" t="s">
        <v>123</v>
      </c>
      <c r="N2" t="s">
        <v>124</v>
      </c>
      <c r="U2" s="214"/>
      <c r="V2">
        <v>9</v>
      </c>
      <c r="W2" s="214">
        <v>46439</v>
      </c>
    </row>
    <row r="3" spans="1:23">
      <c r="A3" t="s">
        <v>7369</v>
      </c>
      <c r="B3" t="s">
        <v>114</v>
      </c>
      <c r="C3" t="s">
        <v>4531</v>
      </c>
      <c r="D3" t="s">
        <v>7360</v>
      </c>
      <c r="E3" t="s">
        <v>1484</v>
      </c>
      <c r="F3">
        <v>725</v>
      </c>
      <c r="G3">
        <v>2376</v>
      </c>
      <c r="H3">
        <v>1.7225999999999999</v>
      </c>
      <c r="I3">
        <v>66</v>
      </c>
      <c r="J3">
        <v>3.3</v>
      </c>
      <c r="K3" t="s">
        <v>7370</v>
      </c>
      <c r="M3" t="s">
        <v>123</v>
      </c>
      <c r="N3" t="s">
        <v>124</v>
      </c>
      <c r="U3" s="214"/>
      <c r="V3">
        <v>9</v>
      </c>
      <c r="W3" s="214">
        <v>46432</v>
      </c>
    </row>
    <row r="4" spans="1:23">
      <c r="A4" t="s">
        <v>7367</v>
      </c>
      <c r="B4" t="s">
        <v>114</v>
      </c>
      <c r="C4" t="s">
        <v>4531</v>
      </c>
      <c r="D4" t="s">
        <v>7360</v>
      </c>
      <c r="E4" t="s">
        <v>1484</v>
      </c>
      <c r="F4">
        <v>725</v>
      </c>
      <c r="G4">
        <v>2970</v>
      </c>
      <c r="H4">
        <v>2.1532499999999999</v>
      </c>
      <c r="I4">
        <v>82.5</v>
      </c>
      <c r="J4">
        <v>4.125</v>
      </c>
      <c r="K4" t="s">
        <v>7368</v>
      </c>
      <c r="M4" t="s">
        <v>123</v>
      </c>
      <c r="N4" t="s">
        <v>124</v>
      </c>
      <c r="U4" s="214"/>
      <c r="V4">
        <v>9</v>
      </c>
      <c r="W4" s="214">
        <v>8</v>
      </c>
    </row>
    <row r="5" spans="1:23">
      <c r="A5" t="s">
        <v>7378</v>
      </c>
      <c r="B5" t="s">
        <v>114</v>
      </c>
      <c r="C5" t="s">
        <v>4531</v>
      </c>
      <c r="D5" t="s">
        <v>7372</v>
      </c>
      <c r="E5" t="s">
        <v>1682</v>
      </c>
      <c r="F5">
        <v>730</v>
      </c>
      <c r="G5">
        <v>2970</v>
      </c>
      <c r="H5">
        <v>2.1680999999999999</v>
      </c>
      <c r="I5">
        <v>82.5</v>
      </c>
      <c r="J5">
        <v>4.125</v>
      </c>
      <c r="K5" t="s">
        <v>7379</v>
      </c>
      <c r="M5" t="s">
        <v>123</v>
      </c>
      <c r="N5" t="s">
        <v>124</v>
      </c>
      <c r="U5" s="214"/>
      <c r="V5">
        <v>9</v>
      </c>
      <c r="W5" s="214">
        <v>46418</v>
      </c>
    </row>
    <row r="6" spans="1:23">
      <c r="A6" t="s">
        <v>7407</v>
      </c>
      <c r="B6" t="s">
        <v>100</v>
      </c>
      <c r="C6" t="s">
        <v>5379</v>
      </c>
      <c r="D6" t="s">
        <v>7403</v>
      </c>
      <c r="E6" t="s">
        <v>7404</v>
      </c>
      <c r="F6">
        <v>485</v>
      </c>
      <c r="G6">
        <v>3744</v>
      </c>
      <c r="H6">
        <v>1.8158399999999999</v>
      </c>
      <c r="I6">
        <v>104</v>
      </c>
      <c r="J6">
        <v>4</v>
      </c>
      <c r="K6" t="s">
        <v>7365</v>
      </c>
      <c r="M6" t="s">
        <v>123</v>
      </c>
      <c r="N6" t="s">
        <v>105</v>
      </c>
      <c r="U6" s="214"/>
      <c r="V6">
        <v>7</v>
      </c>
      <c r="W6" s="214">
        <v>46409</v>
      </c>
    </row>
    <row r="7" spans="1:23">
      <c r="A7" t="s">
        <v>7364</v>
      </c>
      <c r="B7" t="s">
        <v>114</v>
      </c>
      <c r="C7" t="s">
        <v>4531</v>
      </c>
      <c r="D7" t="s">
        <v>7360</v>
      </c>
      <c r="E7" t="s">
        <v>1484</v>
      </c>
      <c r="F7">
        <v>725</v>
      </c>
      <c r="G7">
        <v>2970</v>
      </c>
      <c r="H7">
        <v>2.1532499999999999</v>
      </c>
      <c r="I7">
        <v>82.5</v>
      </c>
      <c r="J7">
        <v>4.125</v>
      </c>
      <c r="K7" t="s">
        <v>7365</v>
      </c>
      <c r="M7" t="s">
        <v>123</v>
      </c>
      <c r="N7" t="s">
        <v>124</v>
      </c>
      <c r="U7" s="214"/>
      <c r="V7">
        <v>9</v>
      </c>
      <c r="W7" s="214">
        <v>46411</v>
      </c>
    </row>
    <row r="8" spans="1:23">
      <c r="A8" t="s">
        <v>7406</v>
      </c>
      <c r="B8" t="s">
        <v>100</v>
      </c>
      <c r="C8" t="s">
        <v>5379</v>
      </c>
      <c r="D8" t="s">
        <v>7403</v>
      </c>
      <c r="E8" t="s">
        <v>7404</v>
      </c>
      <c r="F8">
        <v>485</v>
      </c>
      <c r="G8">
        <v>3744</v>
      </c>
      <c r="H8">
        <v>1.8158399999999999</v>
      </c>
      <c r="I8">
        <v>104</v>
      </c>
      <c r="J8">
        <v>4</v>
      </c>
      <c r="K8" t="s">
        <v>7339</v>
      </c>
      <c r="M8" t="s">
        <v>123</v>
      </c>
      <c r="N8" t="s">
        <v>105</v>
      </c>
      <c r="U8" s="214"/>
      <c r="V8">
        <v>7</v>
      </c>
      <c r="W8" s="214">
        <v>46402</v>
      </c>
    </row>
    <row r="9" spans="1:23">
      <c r="A9" t="s">
        <v>7352</v>
      </c>
      <c r="B9" t="s">
        <v>450</v>
      </c>
      <c r="C9" t="s">
        <v>4531</v>
      </c>
      <c r="D9" t="s">
        <v>7037</v>
      </c>
      <c r="E9" t="s">
        <v>7038</v>
      </c>
      <c r="F9">
        <v>505</v>
      </c>
      <c r="G9">
        <v>3456</v>
      </c>
      <c r="H9">
        <v>1.7452799999999999</v>
      </c>
      <c r="I9">
        <v>96</v>
      </c>
      <c r="J9">
        <v>4</v>
      </c>
      <c r="K9" t="s">
        <v>7339</v>
      </c>
      <c r="M9" t="s">
        <v>61</v>
      </c>
      <c r="N9" t="s">
        <v>456</v>
      </c>
      <c r="Q9" s="214" t="s">
        <v>2525</v>
      </c>
      <c r="U9" s="214"/>
      <c r="V9">
        <v>7</v>
      </c>
      <c r="W9" s="214">
        <v>46416</v>
      </c>
    </row>
    <row r="10" spans="1:23">
      <c r="A10" t="s">
        <v>7338</v>
      </c>
      <c r="B10" t="s">
        <v>310</v>
      </c>
      <c r="C10" t="s">
        <v>170</v>
      </c>
      <c r="D10" t="s">
        <v>1977</v>
      </c>
      <c r="E10" t="s">
        <v>1978</v>
      </c>
      <c r="F10">
        <v>560</v>
      </c>
      <c r="G10">
        <v>3960</v>
      </c>
      <c r="H10">
        <v>2.2176</v>
      </c>
      <c r="I10">
        <v>120</v>
      </c>
      <c r="J10">
        <v>6</v>
      </c>
      <c r="K10" t="s">
        <v>7339</v>
      </c>
      <c r="M10" t="s">
        <v>123</v>
      </c>
      <c r="N10" t="s">
        <v>314</v>
      </c>
      <c r="Q10" s="214" t="s">
        <v>2525</v>
      </c>
      <c r="U10" s="214"/>
      <c r="V10">
        <v>10</v>
      </c>
      <c r="W10" s="214">
        <v>46409</v>
      </c>
    </row>
    <row r="11" spans="1:23">
      <c r="A11" t="s">
        <v>7363</v>
      </c>
      <c r="B11" t="s">
        <v>114</v>
      </c>
      <c r="C11" t="s">
        <v>4531</v>
      </c>
      <c r="D11" t="s">
        <v>7360</v>
      </c>
      <c r="E11" t="s">
        <v>1484</v>
      </c>
      <c r="F11">
        <v>725</v>
      </c>
      <c r="G11">
        <v>1188</v>
      </c>
      <c r="H11">
        <v>0.86129999999999995</v>
      </c>
      <c r="I11">
        <v>33</v>
      </c>
      <c r="J11">
        <v>1.65</v>
      </c>
      <c r="K11" t="s">
        <v>7334</v>
      </c>
      <c r="M11" t="s">
        <v>123</v>
      </c>
      <c r="N11" t="s">
        <v>124</v>
      </c>
      <c r="U11" s="214"/>
      <c r="V11">
        <v>9</v>
      </c>
      <c r="W11" s="214">
        <v>46397</v>
      </c>
    </row>
    <row r="12" spans="1:23">
      <c r="A12" t="s">
        <v>7333</v>
      </c>
      <c r="B12" t="s">
        <v>100</v>
      </c>
      <c r="C12" t="s">
        <v>170</v>
      </c>
      <c r="D12" t="s">
        <v>1977</v>
      </c>
      <c r="E12" t="s">
        <v>1978</v>
      </c>
      <c r="F12">
        <v>560</v>
      </c>
      <c r="G12">
        <v>5280</v>
      </c>
      <c r="H12">
        <v>2.9567999999999999</v>
      </c>
      <c r="I12">
        <v>160</v>
      </c>
      <c r="J12">
        <v>8</v>
      </c>
      <c r="K12" t="s">
        <v>7334</v>
      </c>
      <c r="M12" t="s">
        <v>123</v>
      </c>
      <c r="N12" t="s">
        <v>105</v>
      </c>
      <c r="Q12" s="214" t="s">
        <v>2525</v>
      </c>
      <c r="U12" s="214"/>
      <c r="V12">
        <v>7</v>
      </c>
      <c r="W12" s="214">
        <v>46395</v>
      </c>
    </row>
    <row r="13" spans="1:23">
      <c r="A13" t="s">
        <v>7336</v>
      </c>
      <c r="B13" t="s">
        <v>310</v>
      </c>
      <c r="C13" t="s">
        <v>170</v>
      </c>
      <c r="D13" t="s">
        <v>1977</v>
      </c>
      <c r="E13" t="s">
        <v>1978</v>
      </c>
      <c r="F13">
        <v>560</v>
      </c>
      <c r="G13">
        <v>2640</v>
      </c>
      <c r="H13">
        <v>1.4783999999999999</v>
      </c>
      <c r="I13">
        <v>80</v>
      </c>
      <c r="J13">
        <v>4</v>
      </c>
      <c r="K13" t="s">
        <v>7334</v>
      </c>
      <c r="M13" t="s">
        <v>123</v>
      </c>
      <c r="N13" t="s">
        <v>1561</v>
      </c>
      <c r="Q13" s="214" t="s">
        <v>2525</v>
      </c>
      <c r="U13" s="214"/>
      <c r="V13">
        <v>10</v>
      </c>
      <c r="W13" s="214">
        <v>46402</v>
      </c>
    </row>
    <row r="14" spans="1:23">
      <c r="A14" t="s">
        <v>7401</v>
      </c>
      <c r="B14" t="s">
        <v>100</v>
      </c>
      <c r="C14" t="s">
        <v>5379</v>
      </c>
      <c r="D14" t="s">
        <v>6772</v>
      </c>
      <c r="E14" t="s">
        <v>6773</v>
      </c>
      <c r="F14">
        <v>480</v>
      </c>
      <c r="G14">
        <v>3744</v>
      </c>
      <c r="H14">
        <v>1.7971200000000001</v>
      </c>
      <c r="I14">
        <v>104</v>
      </c>
      <c r="J14">
        <v>4</v>
      </c>
      <c r="K14" t="s">
        <v>7334</v>
      </c>
      <c r="M14" t="s">
        <v>123</v>
      </c>
      <c r="N14" t="s">
        <v>105</v>
      </c>
      <c r="U14" s="214"/>
      <c r="V14">
        <v>7</v>
      </c>
      <c r="W14" s="214">
        <v>46395</v>
      </c>
    </row>
    <row r="15" spans="1:23">
      <c r="A15" t="s">
        <v>7376</v>
      </c>
      <c r="B15" t="s">
        <v>114</v>
      </c>
      <c r="C15" t="s">
        <v>4531</v>
      </c>
      <c r="D15" t="s">
        <v>7372</v>
      </c>
      <c r="E15" t="s">
        <v>1682</v>
      </c>
      <c r="F15">
        <v>730</v>
      </c>
      <c r="G15">
        <v>1782</v>
      </c>
      <c r="H15">
        <v>1.3008599999999999</v>
      </c>
      <c r="I15">
        <v>49.5</v>
      </c>
      <c r="J15">
        <v>2.4750000000000001</v>
      </c>
      <c r="K15" t="s">
        <v>7334</v>
      </c>
      <c r="M15" t="s">
        <v>123</v>
      </c>
      <c r="N15" t="s">
        <v>124</v>
      </c>
      <c r="U15" s="214"/>
      <c r="V15">
        <v>9</v>
      </c>
      <c r="W15" s="214">
        <v>46397</v>
      </c>
    </row>
    <row r="16" spans="1:23">
      <c r="A16" t="s">
        <v>7377</v>
      </c>
      <c r="B16" t="s">
        <v>114</v>
      </c>
      <c r="C16" t="s">
        <v>4531</v>
      </c>
      <c r="D16" t="s">
        <v>7372</v>
      </c>
      <c r="E16" t="s">
        <v>1682</v>
      </c>
      <c r="F16">
        <v>730</v>
      </c>
      <c r="G16">
        <v>2970</v>
      </c>
      <c r="H16">
        <v>2.1680999999999999</v>
      </c>
      <c r="I16">
        <v>82.5</v>
      </c>
      <c r="J16">
        <v>4.125</v>
      </c>
      <c r="K16" t="s">
        <v>7334</v>
      </c>
      <c r="M16" t="s">
        <v>123</v>
      </c>
      <c r="N16" t="s">
        <v>124</v>
      </c>
      <c r="U16" s="214"/>
      <c r="V16">
        <v>9</v>
      </c>
      <c r="W16" s="214">
        <v>46397</v>
      </c>
    </row>
    <row r="17" spans="1:23">
      <c r="A17" t="s">
        <v>7350</v>
      </c>
      <c r="B17" t="s">
        <v>450</v>
      </c>
      <c r="C17" t="s">
        <v>4531</v>
      </c>
      <c r="D17" t="s">
        <v>7037</v>
      </c>
      <c r="E17" t="s">
        <v>7038</v>
      </c>
      <c r="F17">
        <v>505</v>
      </c>
      <c r="G17">
        <v>3456</v>
      </c>
      <c r="H17">
        <v>1.7452799999999999</v>
      </c>
      <c r="I17">
        <v>96</v>
      </c>
      <c r="J17">
        <v>4</v>
      </c>
      <c r="K17" t="s">
        <v>2475</v>
      </c>
      <c r="M17" t="s">
        <v>61</v>
      </c>
      <c r="N17" t="s">
        <v>456</v>
      </c>
      <c r="Q17" s="214" t="s">
        <v>2525</v>
      </c>
      <c r="U17" s="214"/>
      <c r="V17">
        <v>7</v>
      </c>
      <c r="W17" s="214">
        <v>46402</v>
      </c>
    </row>
    <row r="18" spans="1:23">
      <c r="A18" t="s">
        <v>7337</v>
      </c>
      <c r="B18" t="s">
        <v>310</v>
      </c>
      <c r="C18" t="s">
        <v>170</v>
      </c>
      <c r="D18" t="s">
        <v>1977</v>
      </c>
      <c r="E18" t="s">
        <v>1978</v>
      </c>
      <c r="F18">
        <v>560</v>
      </c>
      <c r="G18">
        <v>3960</v>
      </c>
      <c r="H18">
        <v>2.2176</v>
      </c>
      <c r="I18">
        <v>120</v>
      </c>
      <c r="J18">
        <v>6</v>
      </c>
      <c r="K18" t="s">
        <v>2475</v>
      </c>
      <c r="M18" t="s">
        <v>123</v>
      </c>
      <c r="N18" t="s">
        <v>314</v>
      </c>
      <c r="Q18" s="214" t="s">
        <v>2525</v>
      </c>
      <c r="U18" s="214"/>
      <c r="V18">
        <v>10</v>
      </c>
      <c r="W18" s="214">
        <v>46395</v>
      </c>
    </row>
    <row r="19" spans="1:23">
      <c r="A19" t="s">
        <v>7399</v>
      </c>
      <c r="B19" t="s">
        <v>450</v>
      </c>
      <c r="C19" t="s">
        <v>5379</v>
      </c>
      <c r="D19" t="s">
        <v>6772</v>
      </c>
      <c r="E19" t="s">
        <v>6773</v>
      </c>
      <c r="F19">
        <v>480</v>
      </c>
      <c r="G19">
        <v>1872</v>
      </c>
      <c r="H19">
        <v>0.89856000000000003</v>
      </c>
      <c r="I19">
        <v>52</v>
      </c>
      <c r="J19">
        <v>2</v>
      </c>
      <c r="K19" t="s">
        <v>2475</v>
      </c>
      <c r="M19" t="s">
        <v>123</v>
      </c>
      <c r="N19" t="s">
        <v>456</v>
      </c>
      <c r="U19" s="214"/>
      <c r="V19">
        <v>7</v>
      </c>
      <c r="W19" s="214">
        <v>46388</v>
      </c>
    </row>
    <row r="20" spans="1:23">
      <c r="A20" t="s">
        <v>7329</v>
      </c>
      <c r="B20" t="s">
        <v>310</v>
      </c>
      <c r="C20" t="s">
        <v>550</v>
      </c>
      <c r="D20" t="s">
        <v>2134</v>
      </c>
      <c r="E20" t="s">
        <v>2135</v>
      </c>
      <c r="F20">
        <v>515</v>
      </c>
      <c r="G20">
        <v>3960</v>
      </c>
      <c r="H20">
        <v>2.0394000000000001</v>
      </c>
      <c r="I20">
        <v>110</v>
      </c>
      <c r="J20">
        <v>5</v>
      </c>
      <c r="K20" t="s">
        <v>2475</v>
      </c>
      <c r="M20" t="s">
        <v>122</v>
      </c>
      <c r="N20" t="s">
        <v>314</v>
      </c>
      <c r="U20" s="214"/>
      <c r="V20">
        <v>10</v>
      </c>
      <c r="W20" s="214">
        <v>46395</v>
      </c>
    </row>
    <row r="21" spans="1:23">
      <c r="A21" t="s">
        <v>7396</v>
      </c>
      <c r="B21" t="s">
        <v>450</v>
      </c>
      <c r="C21" t="s">
        <v>284</v>
      </c>
      <c r="D21" t="s">
        <v>6209</v>
      </c>
      <c r="E21" t="s">
        <v>6210</v>
      </c>
      <c r="F21">
        <v>490</v>
      </c>
      <c r="G21">
        <v>2808</v>
      </c>
      <c r="H21">
        <v>1.37592</v>
      </c>
      <c r="I21">
        <v>78</v>
      </c>
      <c r="J21">
        <v>3</v>
      </c>
      <c r="K21" t="s">
        <v>2475</v>
      </c>
      <c r="M21" t="s">
        <v>123</v>
      </c>
      <c r="N21" t="s">
        <v>456</v>
      </c>
      <c r="U21" s="214"/>
      <c r="V21">
        <v>7</v>
      </c>
      <c r="W21" s="214">
        <v>46388</v>
      </c>
    </row>
    <row r="22" spans="1:23">
      <c r="A22" t="s">
        <v>7405</v>
      </c>
      <c r="B22" t="s">
        <v>100</v>
      </c>
      <c r="C22" t="s">
        <v>284</v>
      </c>
      <c r="D22" t="s">
        <v>5851</v>
      </c>
      <c r="E22" t="s">
        <v>5852</v>
      </c>
      <c r="F22">
        <v>485</v>
      </c>
      <c r="G22">
        <v>2808</v>
      </c>
      <c r="H22">
        <v>1.36188</v>
      </c>
      <c r="I22">
        <v>78</v>
      </c>
      <c r="J22">
        <v>3</v>
      </c>
      <c r="K22" t="s">
        <v>2475</v>
      </c>
      <c r="M22" t="s">
        <v>5994</v>
      </c>
      <c r="N22" t="s">
        <v>105</v>
      </c>
      <c r="U22" s="214"/>
      <c r="V22">
        <v>7</v>
      </c>
      <c r="W22" s="214">
        <v>46388</v>
      </c>
    </row>
    <row r="23" spans="1:23">
      <c r="A23" t="s">
        <v>7397</v>
      </c>
      <c r="B23" t="s">
        <v>100</v>
      </c>
      <c r="C23" t="s">
        <v>284</v>
      </c>
      <c r="D23" t="s">
        <v>6209</v>
      </c>
      <c r="E23" t="s">
        <v>6210</v>
      </c>
      <c r="F23">
        <v>490</v>
      </c>
      <c r="G23">
        <v>4680</v>
      </c>
      <c r="H23">
        <v>2.2932000000000001</v>
      </c>
      <c r="I23">
        <v>130</v>
      </c>
      <c r="J23">
        <v>5</v>
      </c>
      <c r="K23" t="s">
        <v>2475</v>
      </c>
      <c r="M23" t="s">
        <v>123</v>
      </c>
      <c r="N23" t="s">
        <v>105</v>
      </c>
      <c r="U23" s="214"/>
      <c r="V23">
        <v>7</v>
      </c>
      <c r="W23" s="214">
        <v>46388</v>
      </c>
    </row>
    <row r="24" spans="1:23">
      <c r="A24" t="s">
        <v>7361</v>
      </c>
      <c r="B24" t="s">
        <v>114</v>
      </c>
      <c r="C24" t="s">
        <v>4531</v>
      </c>
      <c r="D24" t="s">
        <v>7360</v>
      </c>
      <c r="E24" t="s">
        <v>1484</v>
      </c>
      <c r="F24">
        <v>725</v>
      </c>
      <c r="G24">
        <v>1782</v>
      </c>
      <c r="H24">
        <v>1.2919499999999999</v>
      </c>
      <c r="I24">
        <v>49.5</v>
      </c>
      <c r="J24">
        <v>2.4750000000000001</v>
      </c>
      <c r="K24" t="s">
        <v>2475</v>
      </c>
      <c r="M24" t="s">
        <v>123</v>
      </c>
      <c r="N24" t="s">
        <v>124</v>
      </c>
      <c r="U24" s="214"/>
      <c r="V24">
        <v>9</v>
      </c>
      <c r="W24" s="214">
        <v>46390</v>
      </c>
    </row>
    <row r="25" spans="1:23">
      <c r="A25" t="s">
        <v>7409</v>
      </c>
      <c r="B25" t="s">
        <v>65</v>
      </c>
      <c r="C25" t="s">
        <v>5379</v>
      </c>
      <c r="D25" t="s">
        <v>7217</v>
      </c>
      <c r="E25" t="s">
        <v>7218</v>
      </c>
      <c r="F25">
        <v>480</v>
      </c>
      <c r="G25">
        <v>4680</v>
      </c>
      <c r="H25">
        <v>2.2464</v>
      </c>
      <c r="I25">
        <v>130</v>
      </c>
      <c r="J25">
        <v>5</v>
      </c>
      <c r="K25" t="s">
        <v>2475</v>
      </c>
      <c r="M25" t="s">
        <v>123</v>
      </c>
      <c r="N25" t="s">
        <v>78</v>
      </c>
      <c r="U25" s="214"/>
      <c r="V25">
        <v>8</v>
      </c>
      <c r="W25" s="214">
        <v>46393</v>
      </c>
    </row>
    <row r="26" spans="1:23">
      <c r="A26" t="s">
        <v>7375</v>
      </c>
      <c r="B26" t="s">
        <v>114</v>
      </c>
      <c r="C26" t="s">
        <v>4531</v>
      </c>
      <c r="D26" t="s">
        <v>7372</v>
      </c>
      <c r="E26" t="s">
        <v>1682</v>
      </c>
      <c r="F26">
        <v>730</v>
      </c>
      <c r="G26">
        <v>1782</v>
      </c>
      <c r="H26">
        <v>1.3008599999999999</v>
      </c>
      <c r="I26">
        <v>49.5</v>
      </c>
      <c r="J26">
        <v>2.4750000000000001</v>
      </c>
      <c r="K26" t="s">
        <v>2475</v>
      </c>
      <c r="M26" t="s">
        <v>123</v>
      </c>
      <c r="N26" t="s">
        <v>124</v>
      </c>
      <c r="U26" s="214"/>
      <c r="V26">
        <v>9</v>
      </c>
      <c r="W26" s="214">
        <v>46390</v>
      </c>
    </row>
    <row r="27" spans="1:23">
      <c r="A27" t="s">
        <v>7400</v>
      </c>
      <c r="B27" t="s">
        <v>100</v>
      </c>
      <c r="C27" t="s">
        <v>5379</v>
      </c>
      <c r="D27" t="s">
        <v>6772</v>
      </c>
      <c r="E27" t="s">
        <v>6773</v>
      </c>
      <c r="F27">
        <v>480</v>
      </c>
      <c r="G27">
        <v>7488</v>
      </c>
      <c r="H27">
        <v>3.5942400000000001</v>
      </c>
      <c r="I27">
        <v>208</v>
      </c>
      <c r="J27">
        <v>8</v>
      </c>
      <c r="K27" t="s">
        <v>2475</v>
      </c>
      <c r="M27" t="s">
        <v>123</v>
      </c>
      <c r="N27" t="s">
        <v>105</v>
      </c>
      <c r="U27" s="214"/>
      <c r="V27">
        <v>7</v>
      </c>
      <c r="W27" s="214">
        <v>46388</v>
      </c>
    </row>
    <row r="28" spans="1:23">
      <c r="A28" t="s">
        <v>7374</v>
      </c>
      <c r="B28" t="s">
        <v>114</v>
      </c>
      <c r="C28" t="s">
        <v>4531</v>
      </c>
      <c r="D28" t="s">
        <v>7372</v>
      </c>
      <c r="E28" t="s">
        <v>1682</v>
      </c>
      <c r="F28">
        <v>730</v>
      </c>
      <c r="G28">
        <v>1188</v>
      </c>
      <c r="H28">
        <v>0.86724000000000001</v>
      </c>
      <c r="I28">
        <v>33</v>
      </c>
      <c r="J28">
        <v>1.65</v>
      </c>
      <c r="K28" t="s">
        <v>2475</v>
      </c>
      <c r="M28" t="s">
        <v>123</v>
      </c>
      <c r="N28" t="s">
        <v>124</v>
      </c>
      <c r="U28" s="214"/>
      <c r="V28">
        <v>9</v>
      </c>
      <c r="W28" s="214">
        <v>46390</v>
      </c>
    </row>
    <row r="29" spans="1:23">
      <c r="A29" t="s">
        <v>7393</v>
      </c>
      <c r="B29" t="s">
        <v>100</v>
      </c>
      <c r="C29" t="s">
        <v>284</v>
      </c>
      <c r="D29" t="s">
        <v>5851</v>
      </c>
      <c r="E29" t="s">
        <v>5852</v>
      </c>
      <c r="F29">
        <v>485</v>
      </c>
      <c r="G29">
        <v>10296</v>
      </c>
      <c r="H29">
        <v>4.9935600000000004</v>
      </c>
      <c r="I29">
        <v>286</v>
      </c>
      <c r="J29">
        <v>11</v>
      </c>
      <c r="K29" t="s">
        <v>2475</v>
      </c>
      <c r="M29" t="s">
        <v>123</v>
      </c>
      <c r="N29" t="s">
        <v>105</v>
      </c>
      <c r="U29" s="214"/>
      <c r="V29">
        <v>7</v>
      </c>
      <c r="W29" s="214">
        <v>46388</v>
      </c>
    </row>
    <row r="30" spans="1:23">
      <c r="A30" t="s">
        <v>7394</v>
      </c>
      <c r="B30" t="s">
        <v>100</v>
      </c>
      <c r="C30" t="s">
        <v>284</v>
      </c>
      <c r="D30" t="s">
        <v>5851</v>
      </c>
      <c r="E30" t="s">
        <v>5852</v>
      </c>
      <c r="F30">
        <v>485</v>
      </c>
      <c r="G30">
        <v>4680</v>
      </c>
      <c r="H30">
        <v>2.2698</v>
      </c>
      <c r="I30">
        <v>130</v>
      </c>
      <c r="J30">
        <v>5</v>
      </c>
      <c r="K30" t="s">
        <v>2475</v>
      </c>
      <c r="M30" t="s">
        <v>5994</v>
      </c>
      <c r="N30" t="s">
        <v>105</v>
      </c>
      <c r="U30" s="214"/>
      <c r="V30">
        <v>7</v>
      </c>
      <c r="W30" s="214">
        <v>46388</v>
      </c>
    </row>
    <row r="31" spans="1:23">
      <c r="A31" t="s">
        <v>7392</v>
      </c>
      <c r="B31" t="s">
        <v>100</v>
      </c>
      <c r="C31" t="s">
        <v>284</v>
      </c>
      <c r="D31" t="s">
        <v>5851</v>
      </c>
      <c r="E31" t="s">
        <v>5852</v>
      </c>
      <c r="F31">
        <v>485</v>
      </c>
      <c r="G31">
        <v>7488</v>
      </c>
      <c r="H31">
        <v>3.6316799999999998</v>
      </c>
      <c r="I31">
        <v>208</v>
      </c>
      <c r="J31">
        <v>8</v>
      </c>
      <c r="K31" t="s">
        <v>2474</v>
      </c>
      <c r="M31" t="s">
        <v>123</v>
      </c>
      <c r="N31" t="s">
        <v>105</v>
      </c>
      <c r="U31" s="214"/>
      <c r="V31">
        <v>7</v>
      </c>
      <c r="W31" s="214">
        <v>46381</v>
      </c>
    </row>
    <row r="32" spans="1:23">
      <c r="A32" t="s">
        <v>7207</v>
      </c>
      <c r="B32" t="s">
        <v>100</v>
      </c>
      <c r="C32" t="s">
        <v>4486</v>
      </c>
      <c r="D32" t="s">
        <v>7208</v>
      </c>
      <c r="E32" t="s">
        <v>7209</v>
      </c>
      <c r="F32">
        <v>650</v>
      </c>
      <c r="G32">
        <v>5760</v>
      </c>
      <c r="H32">
        <v>3.7440000000000002</v>
      </c>
      <c r="I32">
        <v>160</v>
      </c>
      <c r="J32">
        <v>8</v>
      </c>
      <c r="K32" t="s">
        <v>2474</v>
      </c>
      <c r="L32">
        <v>46308</v>
      </c>
      <c r="M32" t="s">
        <v>123</v>
      </c>
      <c r="N32" t="s">
        <v>105</v>
      </c>
      <c r="O32" s="214">
        <v>46314</v>
      </c>
      <c r="Q32" s="214" t="s">
        <v>2525</v>
      </c>
      <c r="R32" s="214">
        <v>46351</v>
      </c>
      <c r="U32" s="214"/>
      <c r="V32">
        <v>7</v>
      </c>
      <c r="W32" s="214">
        <v>46358</v>
      </c>
    </row>
    <row r="33" spans="1:23">
      <c r="A33" t="s">
        <v>7331</v>
      </c>
      <c r="B33" t="s">
        <v>310</v>
      </c>
      <c r="C33" t="s">
        <v>170</v>
      </c>
      <c r="D33" t="s">
        <v>171</v>
      </c>
      <c r="E33" t="s">
        <v>1731</v>
      </c>
      <c r="F33">
        <v>555</v>
      </c>
      <c r="G33">
        <v>3960</v>
      </c>
      <c r="H33">
        <v>2.1978</v>
      </c>
      <c r="I33">
        <v>120</v>
      </c>
      <c r="J33">
        <v>6</v>
      </c>
      <c r="K33" t="s">
        <v>2474</v>
      </c>
      <c r="M33" t="s">
        <v>123</v>
      </c>
      <c r="N33" t="s">
        <v>314</v>
      </c>
      <c r="Q33" s="214" t="s">
        <v>2525</v>
      </c>
      <c r="U33" s="214"/>
      <c r="V33">
        <v>10</v>
      </c>
      <c r="W33" s="214">
        <v>46388</v>
      </c>
    </row>
    <row r="34" spans="1:23">
      <c r="A34" t="s">
        <v>7391</v>
      </c>
      <c r="B34" t="s">
        <v>100</v>
      </c>
      <c r="C34" t="s">
        <v>284</v>
      </c>
      <c r="D34" t="s">
        <v>5851</v>
      </c>
      <c r="E34" t="s">
        <v>5852</v>
      </c>
      <c r="F34">
        <v>485</v>
      </c>
      <c r="G34">
        <v>10296</v>
      </c>
      <c r="H34">
        <v>4.9935600000000004</v>
      </c>
      <c r="I34">
        <v>286</v>
      </c>
      <c r="J34">
        <v>11</v>
      </c>
      <c r="K34" t="s">
        <v>2474</v>
      </c>
      <c r="M34" t="s">
        <v>123</v>
      </c>
      <c r="N34" t="s">
        <v>105</v>
      </c>
      <c r="U34" s="214"/>
      <c r="V34">
        <v>7</v>
      </c>
      <c r="W34" s="214">
        <v>46381</v>
      </c>
    </row>
    <row r="35" spans="1:23">
      <c r="A35" t="s">
        <v>7324</v>
      </c>
      <c r="B35" t="s">
        <v>65</v>
      </c>
      <c r="C35" t="s">
        <v>550</v>
      </c>
      <c r="D35" t="s">
        <v>551</v>
      </c>
      <c r="E35" t="s">
        <v>2151</v>
      </c>
      <c r="F35">
        <v>510</v>
      </c>
      <c r="G35">
        <v>792</v>
      </c>
      <c r="H35">
        <v>0.40392</v>
      </c>
      <c r="I35">
        <v>22</v>
      </c>
      <c r="J35">
        <v>1</v>
      </c>
      <c r="K35" t="s">
        <v>2474</v>
      </c>
      <c r="M35" t="s">
        <v>122</v>
      </c>
      <c r="N35" t="s">
        <v>78</v>
      </c>
      <c r="Q35" s="214" t="s">
        <v>2525</v>
      </c>
      <c r="U35" s="214"/>
      <c r="V35">
        <v>8</v>
      </c>
      <c r="W35" s="214">
        <v>46386</v>
      </c>
    </row>
    <row r="36" spans="1:23">
      <c r="A36" t="s">
        <v>7342</v>
      </c>
      <c r="B36" t="s">
        <v>100</v>
      </c>
      <c r="C36" t="s">
        <v>4531</v>
      </c>
      <c r="D36" t="s">
        <v>71</v>
      </c>
      <c r="E36" t="s">
        <v>72</v>
      </c>
      <c r="F36">
        <v>500</v>
      </c>
      <c r="G36">
        <v>6912</v>
      </c>
      <c r="H36">
        <v>3.456</v>
      </c>
      <c r="I36">
        <v>192</v>
      </c>
      <c r="J36">
        <v>8</v>
      </c>
      <c r="K36" t="s">
        <v>2474</v>
      </c>
      <c r="M36" t="s">
        <v>61</v>
      </c>
      <c r="N36" t="s">
        <v>105</v>
      </c>
      <c r="U36" s="214"/>
      <c r="V36">
        <v>7</v>
      </c>
      <c r="W36" s="214">
        <v>46402</v>
      </c>
    </row>
    <row r="37" spans="1:23">
      <c r="A37" t="s">
        <v>7140</v>
      </c>
      <c r="B37" t="s">
        <v>100</v>
      </c>
      <c r="C37" t="s">
        <v>170</v>
      </c>
      <c r="D37" t="s">
        <v>1977</v>
      </c>
      <c r="E37" t="s">
        <v>1978</v>
      </c>
      <c r="F37">
        <v>560</v>
      </c>
      <c r="G37">
        <v>3300</v>
      </c>
      <c r="H37">
        <v>1.8480000000000001</v>
      </c>
      <c r="I37">
        <v>100</v>
      </c>
      <c r="J37">
        <v>5</v>
      </c>
      <c r="K37" t="s">
        <v>2474</v>
      </c>
      <c r="L37">
        <v>46304</v>
      </c>
      <c r="M37" t="s">
        <v>123</v>
      </c>
      <c r="N37" t="s">
        <v>105</v>
      </c>
      <c r="O37" s="214">
        <v>46310</v>
      </c>
      <c r="Q37" s="214" t="s">
        <v>2525</v>
      </c>
      <c r="R37" s="214">
        <v>46346</v>
      </c>
      <c r="U37" s="214"/>
      <c r="V37">
        <v>7</v>
      </c>
      <c r="W37" s="214">
        <v>46353</v>
      </c>
    </row>
    <row r="38" spans="1:23">
      <c r="A38" t="s">
        <v>7323</v>
      </c>
      <c r="B38" t="s">
        <v>65</v>
      </c>
      <c r="C38" t="s">
        <v>550</v>
      </c>
      <c r="D38" t="s">
        <v>551</v>
      </c>
      <c r="E38" t="s">
        <v>2151</v>
      </c>
      <c r="F38">
        <v>510</v>
      </c>
      <c r="G38">
        <v>792</v>
      </c>
      <c r="H38">
        <v>0.40392</v>
      </c>
      <c r="I38">
        <v>22</v>
      </c>
      <c r="J38">
        <v>1</v>
      </c>
      <c r="K38" t="s">
        <v>2474</v>
      </c>
      <c r="M38" t="s">
        <v>122</v>
      </c>
      <c r="N38" t="s">
        <v>78</v>
      </c>
      <c r="Q38" s="214" t="s">
        <v>2525</v>
      </c>
      <c r="U38" s="214"/>
      <c r="V38">
        <v>8</v>
      </c>
      <c r="W38" s="214">
        <v>46386</v>
      </c>
    </row>
    <row r="39" spans="1:23">
      <c r="A39" t="s">
        <v>7222</v>
      </c>
      <c r="B39" t="s">
        <v>100</v>
      </c>
      <c r="C39" t="s">
        <v>284</v>
      </c>
      <c r="D39" t="s">
        <v>7191</v>
      </c>
      <c r="E39" t="s">
        <v>7192</v>
      </c>
      <c r="F39">
        <v>490</v>
      </c>
      <c r="G39">
        <v>4680</v>
      </c>
      <c r="H39">
        <v>2.2932000000000001</v>
      </c>
      <c r="I39">
        <v>130</v>
      </c>
      <c r="J39">
        <v>5</v>
      </c>
      <c r="K39" t="s">
        <v>2474</v>
      </c>
      <c r="M39" t="s">
        <v>123</v>
      </c>
      <c r="N39" t="s">
        <v>105</v>
      </c>
      <c r="U39" s="214"/>
      <c r="V39">
        <v>7</v>
      </c>
      <c r="W39" s="214">
        <v>46381</v>
      </c>
    </row>
    <row r="40" spans="1:23">
      <c r="A40" t="s">
        <v>7385</v>
      </c>
      <c r="B40" t="s">
        <v>100</v>
      </c>
      <c r="C40" t="s">
        <v>284</v>
      </c>
      <c r="D40" t="s">
        <v>7191</v>
      </c>
      <c r="E40" t="s">
        <v>7192</v>
      </c>
      <c r="F40">
        <v>490</v>
      </c>
      <c r="G40">
        <v>3744</v>
      </c>
      <c r="H40">
        <v>1.83456</v>
      </c>
      <c r="I40">
        <v>104</v>
      </c>
      <c r="J40">
        <v>4</v>
      </c>
      <c r="K40" t="s">
        <v>2474</v>
      </c>
      <c r="M40" t="s">
        <v>123</v>
      </c>
      <c r="N40" t="s">
        <v>105</v>
      </c>
      <c r="U40" s="214"/>
      <c r="V40">
        <v>7</v>
      </c>
      <c r="W40" s="214">
        <v>46381</v>
      </c>
    </row>
    <row r="41" spans="1:23">
      <c r="A41" t="s">
        <v>7389</v>
      </c>
      <c r="B41" t="s">
        <v>100</v>
      </c>
      <c r="C41" t="s">
        <v>284</v>
      </c>
      <c r="D41" t="s">
        <v>5851</v>
      </c>
      <c r="E41" t="s">
        <v>5852</v>
      </c>
      <c r="F41">
        <v>485</v>
      </c>
      <c r="G41">
        <v>4680</v>
      </c>
      <c r="H41">
        <v>2.2698</v>
      </c>
      <c r="I41">
        <v>130</v>
      </c>
      <c r="J41">
        <v>5</v>
      </c>
      <c r="K41" t="s">
        <v>2474</v>
      </c>
      <c r="M41" t="s">
        <v>5994</v>
      </c>
      <c r="N41" t="s">
        <v>105</v>
      </c>
      <c r="U41" s="214"/>
      <c r="V41">
        <v>7</v>
      </c>
      <c r="W41" s="214">
        <v>46381</v>
      </c>
    </row>
    <row r="42" spans="1:23">
      <c r="A42" t="s">
        <v>7362</v>
      </c>
      <c r="B42" t="s">
        <v>114</v>
      </c>
      <c r="C42" t="s">
        <v>4531</v>
      </c>
      <c r="D42" t="s">
        <v>7360</v>
      </c>
      <c r="E42" t="s">
        <v>1484</v>
      </c>
      <c r="F42">
        <v>725</v>
      </c>
      <c r="G42">
        <v>1188</v>
      </c>
      <c r="H42">
        <v>0.86129999999999995</v>
      </c>
      <c r="I42">
        <v>33</v>
      </c>
      <c r="J42">
        <v>1.65</v>
      </c>
      <c r="K42" t="s">
        <v>2474</v>
      </c>
      <c r="M42" t="s">
        <v>123</v>
      </c>
      <c r="N42" t="s">
        <v>124</v>
      </c>
      <c r="U42" s="214"/>
      <c r="V42">
        <v>9</v>
      </c>
      <c r="W42" s="214">
        <v>46383</v>
      </c>
    </row>
    <row r="43" spans="1:23">
      <c r="A43" t="s">
        <v>7390</v>
      </c>
      <c r="B43" t="s">
        <v>100</v>
      </c>
      <c r="C43" t="s">
        <v>284</v>
      </c>
      <c r="D43" t="s">
        <v>5851</v>
      </c>
      <c r="E43" t="s">
        <v>5852</v>
      </c>
      <c r="F43">
        <v>485</v>
      </c>
      <c r="G43">
        <v>2808</v>
      </c>
      <c r="H43">
        <v>1.36188</v>
      </c>
      <c r="I43">
        <v>78</v>
      </c>
      <c r="J43">
        <v>3</v>
      </c>
      <c r="K43" t="s">
        <v>2474</v>
      </c>
      <c r="M43" t="s">
        <v>5994</v>
      </c>
      <c r="N43" t="s">
        <v>105</v>
      </c>
      <c r="U43" s="214"/>
      <c r="V43">
        <v>7</v>
      </c>
      <c r="W43" s="214">
        <v>46381</v>
      </c>
    </row>
    <row r="44" spans="1:23">
      <c r="A44" t="s">
        <v>7373</v>
      </c>
      <c r="B44" t="s">
        <v>114</v>
      </c>
      <c r="C44" t="s">
        <v>4531</v>
      </c>
      <c r="D44" t="s">
        <v>7372</v>
      </c>
      <c r="E44" t="s">
        <v>1682</v>
      </c>
      <c r="F44">
        <v>730</v>
      </c>
      <c r="G44">
        <v>594</v>
      </c>
      <c r="H44">
        <v>0.43362000000000001</v>
      </c>
      <c r="I44">
        <v>16.5</v>
      </c>
      <c r="J44">
        <v>0.82499999999999996</v>
      </c>
      <c r="K44" t="s">
        <v>2474</v>
      </c>
      <c r="M44" t="s">
        <v>5994</v>
      </c>
      <c r="N44" t="s">
        <v>124</v>
      </c>
      <c r="U44" s="214"/>
      <c r="V44">
        <v>9</v>
      </c>
      <c r="W44" s="214">
        <v>46383</v>
      </c>
    </row>
    <row r="45" spans="1:23">
      <c r="A45" t="s">
        <v>7414</v>
      </c>
      <c r="B45" t="s">
        <v>65</v>
      </c>
      <c r="C45" t="s">
        <v>5379</v>
      </c>
      <c r="D45" t="s">
        <v>7411</v>
      </c>
      <c r="E45" t="s">
        <v>7412</v>
      </c>
      <c r="F45">
        <v>485</v>
      </c>
      <c r="G45">
        <v>2808</v>
      </c>
      <c r="H45">
        <v>1.36188</v>
      </c>
      <c r="I45">
        <v>78</v>
      </c>
      <c r="J45">
        <v>3</v>
      </c>
      <c r="K45" t="s">
        <v>2474</v>
      </c>
      <c r="M45" t="s">
        <v>123</v>
      </c>
      <c r="N45" t="s">
        <v>78</v>
      </c>
      <c r="U45" s="214"/>
      <c r="V45">
        <v>8</v>
      </c>
      <c r="W45" s="214">
        <v>46386</v>
      </c>
    </row>
    <row r="46" spans="1:23">
      <c r="A46" t="s">
        <v>7181</v>
      </c>
      <c r="B46" t="s">
        <v>100</v>
      </c>
      <c r="C46" t="s">
        <v>4531</v>
      </c>
      <c r="D46" t="s">
        <v>71</v>
      </c>
      <c r="E46" t="s">
        <v>72</v>
      </c>
      <c r="F46">
        <v>500</v>
      </c>
      <c r="G46">
        <v>6912</v>
      </c>
      <c r="H46">
        <v>3.456</v>
      </c>
      <c r="I46">
        <v>192</v>
      </c>
      <c r="J46">
        <v>8</v>
      </c>
      <c r="K46" t="s">
        <v>2473</v>
      </c>
      <c r="L46">
        <v>46308</v>
      </c>
      <c r="M46" t="s">
        <v>61</v>
      </c>
      <c r="N46" t="s">
        <v>105</v>
      </c>
      <c r="O46" s="214">
        <v>46313</v>
      </c>
      <c r="Q46" s="214" t="s">
        <v>2525</v>
      </c>
      <c r="R46" s="214">
        <v>46358</v>
      </c>
      <c r="U46" s="214"/>
      <c r="V46">
        <v>7</v>
      </c>
      <c r="W46" s="214">
        <v>46365</v>
      </c>
    </row>
    <row r="47" spans="1:23">
      <c r="A47" t="s">
        <v>7190</v>
      </c>
      <c r="B47" t="s">
        <v>450</v>
      </c>
      <c r="C47" t="s">
        <v>284</v>
      </c>
      <c r="D47" t="s">
        <v>7191</v>
      </c>
      <c r="E47" t="s">
        <v>7192</v>
      </c>
      <c r="F47">
        <v>490</v>
      </c>
      <c r="G47">
        <v>2808</v>
      </c>
      <c r="H47">
        <v>1.37592</v>
      </c>
      <c r="I47">
        <v>78</v>
      </c>
      <c r="J47">
        <v>3</v>
      </c>
      <c r="K47" t="s">
        <v>2473</v>
      </c>
      <c r="M47" t="s">
        <v>123</v>
      </c>
      <c r="N47" t="s">
        <v>456</v>
      </c>
      <c r="O47" s="214">
        <v>46314</v>
      </c>
      <c r="R47" s="214">
        <v>46355</v>
      </c>
      <c r="U47" s="214"/>
      <c r="V47">
        <v>7</v>
      </c>
      <c r="W47" s="214">
        <v>46362</v>
      </c>
    </row>
    <row r="48" spans="1:23">
      <c r="A48" t="s">
        <v>7196</v>
      </c>
      <c r="B48" t="s">
        <v>100</v>
      </c>
      <c r="C48" t="s">
        <v>284</v>
      </c>
      <c r="D48" t="s">
        <v>5851</v>
      </c>
      <c r="E48" t="s">
        <v>5852</v>
      </c>
      <c r="F48">
        <v>485</v>
      </c>
      <c r="G48">
        <v>10296</v>
      </c>
      <c r="H48">
        <v>4.9935600000000004</v>
      </c>
      <c r="I48">
        <v>286</v>
      </c>
      <c r="J48">
        <v>11</v>
      </c>
      <c r="K48" t="s">
        <v>2473</v>
      </c>
      <c r="M48" t="s">
        <v>123</v>
      </c>
      <c r="N48" t="s">
        <v>105</v>
      </c>
      <c r="O48" s="214">
        <v>46315</v>
      </c>
      <c r="R48" s="214">
        <v>46351</v>
      </c>
      <c r="U48" s="214"/>
      <c r="V48">
        <v>7</v>
      </c>
      <c r="W48" s="214">
        <v>46358</v>
      </c>
    </row>
    <row r="49" spans="1:23">
      <c r="A49" t="s">
        <v>7199</v>
      </c>
      <c r="B49" t="s">
        <v>100</v>
      </c>
      <c r="C49" t="s">
        <v>284</v>
      </c>
      <c r="D49" t="s">
        <v>7191</v>
      </c>
      <c r="E49" t="s">
        <v>7192</v>
      </c>
      <c r="F49">
        <v>490</v>
      </c>
      <c r="G49">
        <v>4680</v>
      </c>
      <c r="H49">
        <v>2.2932000000000001</v>
      </c>
      <c r="I49">
        <v>130</v>
      </c>
      <c r="J49">
        <v>5</v>
      </c>
      <c r="K49" t="s">
        <v>2473</v>
      </c>
      <c r="M49" t="s">
        <v>123</v>
      </c>
      <c r="N49" t="s">
        <v>105</v>
      </c>
      <c r="O49" s="214">
        <v>46314</v>
      </c>
      <c r="R49" s="214">
        <v>46351</v>
      </c>
      <c r="U49" s="214"/>
      <c r="V49">
        <v>7</v>
      </c>
      <c r="W49" s="214">
        <v>46358</v>
      </c>
    </row>
    <row r="50" spans="1:23">
      <c r="A50" t="s">
        <v>7212</v>
      </c>
      <c r="B50" t="s">
        <v>310</v>
      </c>
      <c r="C50" t="s">
        <v>170</v>
      </c>
      <c r="D50" t="s">
        <v>171</v>
      </c>
      <c r="E50" t="s">
        <v>1731</v>
      </c>
      <c r="F50">
        <v>555</v>
      </c>
      <c r="G50">
        <v>3960</v>
      </c>
      <c r="H50">
        <v>2.1978</v>
      </c>
      <c r="I50">
        <v>120</v>
      </c>
      <c r="J50">
        <v>6</v>
      </c>
      <c r="K50" t="s">
        <v>2473</v>
      </c>
      <c r="M50" t="s">
        <v>123</v>
      </c>
      <c r="N50" t="s">
        <v>314</v>
      </c>
      <c r="O50" s="214">
        <v>46318</v>
      </c>
      <c r="Q50" s="214" t="s">
        <v>2525</v>
      </c>
      <c r="R50" s="214">
        <v>46365</v>
      </c>
      <c r="U50" s="214"/>
      <c r="V50">
        <v>10</v>
      </c>
      <c r="W50" s="214">
        <v>46375</v>
      </c>
    </row>
    <row r="51" spans="1:23">
      <c r="A51" t="s">
        <v>7231</v>
      </c>
      <c r="B51" t="s">
        <v>100</v>
      </c>
      <c r="C51" t="s">
        <v>284</v>
      </c>
      <c r="D51" t="s">
        <v>5851</v>
      </c>
      <c r="E51" t="s">
        <v>5852</v>
      </c>
      <c r="F51">
        <v>485</v>
      </c>
      <c r="G51">
        <v>4680</v>
      </c>
      <c r="H51">
        <v>2.2698</v>
      </c>
      <c r="I51">
        <v>130</v>
      </c>
      <c r="J51">
        <v>5</v>
      </c>
      <c r="K51" t="s">
        <v>2473</v>
      </c>
      <c r="M51" t="s">
        <v>5994</v>
      </c>
      <c r="N51" t="s">
        <v>105</v>
      </c>
      <c r="O51" s="214">
        <v>46312</v>
      </c>
      <c r="R51" s="214">
        <v>46346</v>
      </c>
      <c r="U51" s="214"/>
      <c r="V51">
        <v>7</v>
      </c>
      <c r="W51" s="214">
        <v>46353</v>
      </c>
    </row>
    <row r="52" spans="1:23">
      <c r="A52" t="s">
        <v>7215</v>
      </c>
      <c r="B52" t="s">
        <v>310</v>
      </c>
      <c r="C52" t="s">
        <v>170</v>
      </c>
      <c r="D52" t="s">
        <v>1977</v>
      </c>
      <c r="E52" t="s">
        <v>1978</v>
      </c>
      <c r="F52">
        <v>560</v>
      </c>
      <c r="G52">
        <v>2640</v>
      </c>
      <c r="H52">
        <v>1.4783999999999999</v>
      </c>
      <c r="I52">
        <v>80</v>
      </c>
      <c r="J52">
        <v>4</v>
      </c>
      <c r="K52" t="s">
        <v>2473</v>
      </c>
      <c r="M52" t="s">
        <v>123</v>
      </c>
      <c r="N52" t="s">
        <v>314</v>
      </c>
      <c r="O52" s="214">
        <v>46318</v>
      </c>
      <c r="Q52" s="214" t="s">
        <v>2525</v>
      </c>
      <c r="R52" s="214">
        <v>46365</v>
      </c>
      <c r="U52" s="214"/>
      <c r="V52">
        <v>10</v>
      </c>
      <c r="W52" s="214">
        <v>46375</v>
      </c>
    </row>
    <row r="53" spans="1:23">
      <c r="A53" t="s">
        <v>7216</v>
      </c>
      <c r="B53" t="s">
        <v>65</v>
      </c>
      <c r="C53" t="s">
        <v>5379</v>
      </c>
      <c r="D53" t="s">
        <v>7217</v>
      </c>
      <c r="E53" t="s">
        <v>7218</v>
      </c>
      <c r="F53">
        <v>480</v>
      </c>
      <c r="G53">
        <v>3744</v>
      </c>
      <c r="H53">
        <v>1.7971200000000001</v>
      </c>
      <c r="I53">
        <v>104</v>
      </c>
      <c r="J53">
        <v>4</v>
      </c>
      <c r="K53" t="s">
        <v>2473</v>
      </c>
      <c r="M53" t="s">
        <v>123</v>
      </c>
      <c r="N53" t="s">
        <v>78</v>
      </c>
      <c r="O53" s="214">
        <v>46315</v>
      </c>
      <c r="R53" s="214">
        <v>46358</v>
      </c>
      <c r="U53" s="214"/>
      <c r="V53">
        <v>8</v>
      </c>
      <c r="W53" s="214">
        <v>46366</v>
      </c>
    </row>
    <row r="54" spans="1:23">
      <c r="A54" t="s">
        <v>7319</v>
      </c>
      <c r="B54" t="s">
        <v>68</v>
      </c>
      <c r="C54" t="s">
        <v>4531</v>
      </c>
      <c r="D54" t="s">
        <v>6461</v>
      </c>
      <c r="E54" t="s">
        <v>4598</v>
      </c>
      <c r="F54">
        <v>630</v>
      </c>
      <c r="G54">
        <v>6480</v>
      </c>
      <c r="H54">
        <v>4.0823999999999998</v>
      </c>
      <c r="I54">
        <v>180</v>
      </c>
      <c r="J54">
        <v>9</v>
      </c>
      <c r="K54" t="s">
        <v>2473</v>
      </c>
      <c r="M54" t="s">
        <v>122</v>
      </c>
      <c r="N54" t="s">
        <v>68</v>
      </c>
      <c r="Q54" s="214" t="s">
        <v>2525</v>
      </c>
      <c r="U54" s="214"/>
      <c r="V54">
        <v>14</v>
      </c>
      <c r="W54" s="214" t="s">
        <v>68</v>
      </c>
    </row>
    <row r="55" spans="1:23">
      <c r="A55" t="s">
        <v>7221</v>
      </c>
      <c r="B55" t="s">
        <v>100</v>
      </c>
      <c r="C55" t="s">
        <v>284</v>
      </c>
      <c r="D55" t="s">
        <v>7191</v>
      </c>
      <c r="E55" t="s">
        <v>7192</v>
      </c>
      <c r="F55">
        <v>490</v>
      </c>
      <c r="G55">
        <v>4680</v>
      </c>
      <c r="H55">
        <v>2.2932000000000001</v>
      </c>
      <c r="I55">
        <v>130</v>
      </c>
      <c r="J55">
        <v>5</v>
      </c>
      <c r="K55" t="s">
        <v>2473</v>
      </c>
      <c r="M55" t="s">
        <v>123</v>
      </c>
      <c r="N55" t="s">
        <v>105</v>
      </c>
      <c r="U55" s="214"/>
      <c r="V55">
        <v>7</v>
      </c>
      <c r="W55" s="214">
        <v>46374</v>
      </c>
    </row>
    <row r="56" spans="1:23">
      <c r="A56" t="s">
        <v>7223</v>
      </c>
      <c r="B56" t="s">
        <v>114</v>
      </c>
      <c r="C56" t="s">
        <v>284</v>
      </c>
      <c r="D56" t="s">
        <v>7191</v>
      </c>
      <c r="E56" t="s">
        <v>7192</v>
      </c>
      <c r="F56">
        <v>490</v>
      </c>
      <c r="G56">
        <v>936</v>
      </c>
      <c r="H56">
        <v>0.45863999999999999</v>
      </c>
      <c r="I56">
        <v>26</v>
      </c>
      <c r="J56">
        <v>1</v>
      </c>
      <c r="K56" t="s">
        <v>2473</v>
      </c>
      <c r="M56" t="s">
        <v>123</v>
      </c>
      <c r="N56" t="s">
        <v>124</v>
      </c>
      <c r="U56" s="214"/>
      <c r="V56">
        <v>9</v>
      </c>
      <c r="W56" s="214">
        <v>46376</v>
      </c>
    </row>
    <row r="57" spans="1:23">
      <c r="A57" t="s">
        <v>7225</v>
      </c>
      <c r="B57" t="s">
        <v>310</v>
      </c>
      <c r="C57" t="s">
        <v>284</v>
      </c>
      <c r="D57" t="s">
        <v>5851</v>
      </c>
      <c r="E57" t="s">
        <v>5852</v>
      </c>
      <c r="F57">
        <v>485</v>
      </c>
      <c r="G57">
        <v>3744</v>
      </c>
      <c r="H57">
        <v>1.8158399999999999</v>
      </c>
      <c r="I57">
        <v>104</v>
      </c>
      <c r="J57">
        <v>4</v>
      </c>
      <c r="K57" t="s">
        <v>2473</v>
      </c>
      <c r="M57" t="s">
        <v>123</v>
      </c>
      <c r="N57" t="s">
        <v>314</v>
      </c>
      <c r="U57" s="214"/>
      <c r="V57">
        <v>10</v>
      </c>
      <c r="W57" s="214">
        <v>46381</v>
      </c>
    </row>
    <row r="58" spans="1:23">
      <c r="A58" t="s">
        <v>7227</v>
      </c>
      <c r="B58" t="s">
        <v>310</v>
      </c>
      <c r="C58" t="s">
        <v>284</v>
      </c>
      <c r="D58" t="s">
        <v>5851</v>
      </c>
      <c r="E58" t="s">
        <v>5852</v>
      </c>
      <c r="F58">
        <v>485</v>
      </c>
      <c r="G58">
        <v>3744</v>
      </c>
      <c r="H58">
        <v>1.8158399999999999</v>
      </c>
      <c r="I58">
        <v>104</v>
      </c>
      <c r="J58">
        <v>4</v>
      </c>
      <c r="K58" t="s">
        <v>2473</v>
      </c>
      <c r="M58" t="s">
        <v>123</v>
      </c>
      <c r="N58" t="s">
        <v>1561</v>
      </c>
      <c r="U58" s="214"/>
      <c r="V58">
        <v>10</v>
      </c>
      <c r="W58" s="214">
        <v>46381</v>
      </c>
    </row>
    <row r="59" spans="1:23">
      <c r="A59" t="s">
        <v>7228</v>
      </c>
      <c r="B59" t="s">
        <v>100</v>
      </c>
      <c r="C59" t="s">
        <v>284</v>
      </c>
      <c r="D59" t="s">
        <v>5851</v>
      </c>
      <c r="E59" t="s">
        <v>5852</v>
      </c>
      <c r="F59">
        <v>485</v>
      </c>
      <c r="G59">
        <v>1872</v>
      </c>
      <c r="H59">
        <v>0.90791999999999995</v>
      </c>
      <c r="I59">
        <v>52</v>
      </c>
      <c r="J59">
        <v>2</v>
      </c>
      <c r="K59" t="s">
        <v>2473</v>
      </c>
      <c r="M59" t="s">
        <v>5994</v>
      </c>
      <c r="N59" t="s">
        <v>456</v>
      </c>
      <c r="U59" s="214"/>
      <c r="V59">
        <v>7</v>
      </c>
      <c r="W59" s="214">
        <v>46374</v>
      </c>
    </row>
    <row r="60" spans="1:23">
      <c r="A60" t="s">
        <v>7203</v>
      </c>
      <c r="B60" t="s">
        <v>100</v>
      </c>
      <c r="C60" t="s">
        <v>284</v>
      </c>
      <c r="D60" t="s">
        <v>5851</v>
      </c>
      <c r="E60" t="s">
        <v>5852</v>
      </c>
      <c r="F60">
        <v>485</v>
      </c>
      <c r="G60">
        <v>7488</v>
      </c>
      <c r="H60">
        <v>3.6316799999999998</v>
      </c>
      <c r="I60">
        <v>208</v>
      </c>
      <c r="J60">
        <v>8</v>
      </c>
      <c r="K60" t="s">
        <v>2473</v>
      </c>
      <c r="M60" t="s">
        <v>123</v>
      </c>
      <c r="N60" t="s">
        <v>105</v>
      </c>
      <c r="O60" s="214">
        <v>46313</v>
      </c>
      <c r="R60" s="214">
        <v>46361</v>
      </c>
      <c r="U60" s="214"/>
      <c r="V60">
        <v>7</v>
      </c>
      <c r="W60" s="214">
        <v>46368</v>
      </c>
    </row>
    <row r="61" spans="1:23">
      <c r="A61" t="s">
        <v>7234</v>
      </c>
      <c r="B61" t="s">
        <v>100</v>
      </c>
      <c r="C61" t="s">
        <v>284</v>
      </c>
      <c r="D61" t="s">
        <v>5851</v>
      </c>
      <c r="E61" t="s">
        <v>5852</v>
      </c>
      <c r="F61">
        <v>485</v>
      </c>
      <c r="G61">
        <v>936</v>
      </c>
      <c r="H61">
        <v>0.45395999999999997</v>
      </c>
      <c r="I61">
        <v>26</v>
      </c>
      <c r="J61">
        <v>1</v>
      </c>
      <c r="K61" t="s">
        <v>2473</v>
      </c>
      <c r="M61" t="s">
        <v>5994</v>
      </c>
      <c r="N61" t="s">
        <v>105</v>
      </c>
      <c r="U61" s="214"/>
      <c r="V61">
        <v>7</v>
      </c>
      <c r="W61" s="214">
        <v>46374</v>
      </c>
    </row>
    <row r="62" spans="1:23">
      <c r="A62" t="s">
        <v>7325</v>
      </c>
      <c r="B62" t="s">
        <v>65</v>
      </c>
      <c r="C62" t="s">
        <v>550</v>
      </c>
      <c r="D62" t="s">
        <v>551</v>
      </c>
      <c r="E62" t="s">
        <v>2151</v>
      </c>
      <c r="F62">
        <v>510</v>
      </c>
      <c r="G62">
        <v>792</v>
      </c>
      <c r="H62">
        <v>0.40392</v>
      </c>
      <c r="I62">
        <v>22</v>
      </c>
      <c r="J62">
        <v>1</v>
      </c>
      <c r="K62" t="s">
        <v>2472</v>
      </c>
      <c r="M62" t="s">
        <v>5994</v>
      </c>
      <c r="N62" t="s">
        <v>78</v>
      </c>
      <c r="O62" s="214">
        <v>46312</v>
      </c>
      <c r="Q62" s="214" t="s">
        <v>2525</v>
      </c>
      <c r="R62" s="214">
        <v>46363</v>
      </c>
      <c r="U62" s="214"/>
      <c r="V62">
        <v>8</v>
      </c>
      <c r="W62" s="214">
        <v>46371</v>
      </c>
    </row>
    <row r="63" spans="1:23">
      <c r="A63" t="s">
        <v>7348</v>
      </c>
      <c r="B63" t="s">
        <v>450</v>
      </c>
      <c r="C63" t="s">
        <v>4531</v>
      </c>
      <c r="D63" t="s">
        <v>7037</v>
      </c>
      <c r="E63" t="s">
        <v>7038</v>
      </c>
      <c r="F63">
        <v>505</v>
      </c>
      <c r="G63">
        <v>3456</v>
      </c>
      <c r="H63">
        <v>1.7452799999999999</v>
      </c>
      <c r="I63">
        <v>96</v>
      </c>
      <c r="J63">
        <v>4</v>
      </c>
      <c r="K63" t="s">
        <v>2472</v>
      </c>
      <c r="M63" t="s">
        <v>61</v>
      </c>
      <c r="N63" t="s">
        <v>456</v>
      </c>
      <c r="Q63" s="214" t="s">
        <v>2525</v>
      </c>
      <c r="U63" s="214"/>
      <c r="V63">
        <v>7</v>
      </c>
      <c r="W63" s="214">
        <v>46381</v>
      </c>
    </row>
    <row r="64" spans="1:23">
      <c r="A64" t="s">
        <v>7130</v>
      </c>
      <c r="B64" t="s">
        <v>450</v>
      </c>
      <c r="C64" t="s">
        <v>284</v>
      </c>
      <c r="D64" t="s">
        <v>6209</v>
      </c>
      <c r="E64" t="s">
        <v>6210</v>
      </c>
      <c r="F64">
        <v>490</v>
      </c>
      <c r="G64">
        <v>3744</v>
      </c>
      <c r="H64">
        <v>1.83456</v>
      </c>
      <c r="I64">
        <v>104</v>
      </c>
      <c r="J64">
        <v>4</v>
      </c>
      <c r="K64" t="s">
        <v>2472</v>
      </c>
      <c r="L64">
        <v>46304</v>
      </c>
      <c r="M64" t="s">
        <v>123</v>
      </c>
      <c r="N64" t="s">
        <v>456</v>
      </c>
      <c r="O64" s="214">
        <v>46308</v>
      </c>
      <c r="R64" s="214">
        <v>46349</v>
      </c>
      <c r="U64" s="214"/>
      <c r="V64">
        <v>7</v>
      </c>
      <c r="W64" s="214">
        <v>46356</v>
      </c>
    </row>
    <row r="65" spans="1:23">
      <c r="A65" t="s">
        <v>7135</v>
      </c>
      <c r="B65" t="s">
        <v>450</v>
      </c>
      <c r="C65" t="s">
        <v>284</v>
      </c>
      <c r="D65" t="s">
        <v>5851</v>
      </c>
      <c r="E65" t="s">
        <v>5852</v>
      </c>
      <c r="F65">
        <v>485</v>
      </c>
      <c r="G65">
        <v>936</v>
      </c>
      <c r="H65">
        <v>0.45395999999999997</v>
      </c>
      <c r="I65">
        <v>26</v>
      </c>
      <c r="J65">
        <v>1</v>
      </c>
      <c r="K65" t="s">
        <v>2472</v>
      </c>
      <c r="L65">
        <v>46304</v>
      </c>
      <c r="M65" t="s">
        <v>123</v>
      </c>
      <c r="N65" t="s">
        <v>456</v>
      </c>
      <c r="O65" s="214">
        <v>46308</v>
      </c>
      <c r="R65" s="214">
        <v>46349</v>
      </c>
      <c r="U65" s="214"/>
      <c r="V65">
        <v>7</v>
      </c>
      <c r="W65" s="214">
        <v>46356</v>
      </c>
    </row>
    <row r="66" spans="1:23">
      <c r="A66" t="s">
        <v>7139</v>
      </c>
      <c r="B66" t="s">
        <v>100</v>
      </c>
      <c r="C66" t="s">
        <v>284</v>
      </c>
      <c r="D66" t="s">
        <v>5851</v>
      </c>
      <c r="E66" t="s">
        <v>5852</v>
      </c>
      <c r="F66">
        <v>485</v>
      </c>
      <c r="G66">
        <v>3744</v>
      </c>
      <c r="H66">
        <v>1.8158399999999999</v>
      </c>
      <c r="I66">
        <v>104</v>
      </c>
      <c r="J66">
        <v>4</v>
      </c>
      <c r="K66" t="s">
        <v>2472</v>
      </c>
      <c r="L66">
        <v>46304</v>
      </c>
      <c r="M66" t="s">
        <v>123</v>
      </c>
      <c r="N66" t="s">
        <v>105</v>
      </c>
      <c r="O66" s="214">
        <v>46310</v>
      </c>
      <c r="R66" s="214">
        <v>46346</v>
      </c>
      <c r="U66" s="214"/>
      <c r="V66">
        <v>7</v>
      </c>
      <c r="W66" s="214">
        <v>46353</v>
      </c>
    </row>
    <row r="67" spans="1:23">
      <c r="A67" t="s">
        <v>7230</v>
      </c>
      <c r="B67" t="s">
        <v>100</v>
      </c>
      <c r="C67" t="s">
        <v>170</v>
      </c>
      <c r="D67" t="s">
        <v>171</v>
      </c>
      <c r="E67" t="s">
        <v>1731</v>
      </c>
      <c r="F67">
        <v>555</v>
      </c>
      <c r="G67">
        <v>3300</v>
      </c>
      <c r="H67">
        <v>1.8314999999999999</v>
      </c>
      <c r="I67">
        <v>100</v>
      </c>
      <c r="J67">
        <v>5</v>
      </c>
      <c r="K67" t="s">
        <v>2472</v>
      </c>
      <c r="M67" t="s">
        <v>123</v>
      </c>
      <c r="N67" t="s">
        <v>105</v>
      </c>
      <c r="U67" s="214"/>
      <c r="V67">
        <v>7</v>
      </c>
      <c r="W67" s="214">
        <v>46367</v>
      </c>
    </row>
    <row r="68" spans="1:23">
      <c r="A68" t="s">
        <v>7136</v>
      </c>
      <c r="B68" t="s">
        <v>100</v>
      </c>
      <c r="C68" t="s">
        <v>284</v>
      </c>
      <c r="D68" t="s">
        <v>6209</v>
      </c>
      <c r="E68" t="s">
        <v>6210</v>
      </c>
      <c r="F68">
        <v>490</v>
      </c>
      <c r="G68">
        <v>1872</v>
      </c>
      <c r="H68">
        <v>0.91727999999999998</v>
      </c>
      <c r="I68">
        <v>52</v>
      </c>
      <c r="J68">
        <v>2</v>
      </c>
      <c r="K68" t="s">
        <v>2472</v>
      </c>
      <c r="L68">
        <v>46304</v>
      </c>
      <c r="M68" t="s">
        <v>123</v>
      </c>
      <c r="N68" t="s">
        <v>105</v>
      </c>
      <c r="O68" s="214">
        <v>46310</v>
      </c>
      <c r="R68" s="214">
        <v>46346</v>
      </c>
      <c r="U68" s="214"/>
      <c r="V68">
        <v>7</v>
      </c>
      <c r="W68" s="214">
        <v>46353</v>
      </c>
    </row>
    <row r="69" spans="1:23">
      <c r="A69" t="s">
        <v>7312</v>
      </c>
      <c r="B69" t="s">
        <v>68</v>
      </c>
      <c r="C69" t="s">
        <v>4531</v>
      </c>
      <c r="D69" t="s">
        <v>1151</v>
      </c>
      <c r="E69" t="s">
        <v>421</v>
      </c>
      <c r="F69">
        <v>505</v>
      </c>
      <c r="G69">
        <v>864</v>
      </c>
      <c r="H69">
        <v>0.43631999999999999</v>
      </c>
      <c r="I69">
        <v>24</v>
      </c>
      <c r="J69">
        <v>1</v>
      </c>
      <c r="K69" t="s">
        <v>2472</v>
      </c>
      <c r="M69" t="s">
        <v>61</v>
      </c>
      <c r="N69" t="s">
        <v>105</v>
      </c>
      <c r="Q69" s="214" t="s">
        <v>2525</v>
      </c>
      <c r="U69" s="214"/>
      <c r="V69">
        <v>7</v>
      </c>
      <c r="W69" s="214" t="s">
        <v>68</v>
      </c>
    </row>
    <row r="70" spans="1:23">
      <c r="A70" t="s">
        <v>7413</v>
      </c>
      <c r="B70" t="s">
        <v>65</v>
      </c>
      <c r="C70" t="s">
        <v>5379</v>
      </c>
      <c r="D70" t="s">
        <v>7411</v>
      </c>
      <c r="E70" t="s">
        <v>7412</v>
      </c>
      <c r="F70">
        <v>485</v>
      </c>
      <c r="G70">
        <v>3744</v>
      </c>
      <c r="H70">
        <v>1.8158399999999999</v>
      </c>
      <c r="I70">
        <v>104</v>
      </c>
      <c r="J70">
        <v>4</v>
      </c>
      <c r="K70" t="s">
        <v>2472</v>
      </c>
      <c r="M70" t="s">
        <v>123</v>
      </c>
      <c r="N70" t="s">
        <v>78</v>
      </c>
      <c r="U70" s="214"/>
      <c r="V70">
        <v>8</v>
      </c>
      <c r="W70" s="214">
        <v>46372</v>
      </c>
    </row>
    <row r="71" spans="1:23">
      <c r="A71" t="s">
        <v>7085</v>
      </c>
      <c r="B71" t="s">
        <v>310</v>
      </c>
      <c r="C71" t="s">
        <v>550</v>
      </c>
      <c r="D71" t="s">
        <v>551</v>
      </c>
      <c r="E71" t="s">
        <v>2151</v>
      </c>
      <c r="F71">
        <v>510</v>
      </c>
      <c r="G71">
        <v>792</v>
      </c>
      <c r="H71">
        <v>0.40392</v>
      </c>
      <c r="I71">
        <v>22</v>
      </c>
      <c r="J71">
        <v>1</v>
      </c>
      <c r="K71" t="s">
        <v>2471</v>
      </c>
      <c r="L71">
        <v>46305</v>
      </c>
      <c r="M71" t="s">
        <v>5994</v>
      </c>
      <c r="N71" t="s">
        <v>314</v>
      </c>
      <c r="O71" s="214">
        <v>46298</v>
      </c>
      <c r="Q71" s="214" t="s">
        <v>2525</v>
      </c>
      <c r="R71" s="214">
        <v>46344</v>
      </c>
      <c r="U71" s="214"/>
      <c r="V71">
        <v>10</v>
      </c>
      <c r="W71" s="214">
        <v>46354.25</v>
      </c>
    </row>
    <row r="72" spans="1:23">
      <c r="A72" t="s">
        <v>7113</v>
      </c>
      <c r="B72" t="s">
        <v>65</v>
      </c>
      <c r="C72" t="s">
        <v>550</v>
      </c>
      <c r="D72" t="s">
        <v>551</v>
      </c>
      <c r="E72" t="s">
        <v>2151</v>
      </c>
      <c r="F72">
        <v>510</v>
      </c>
      <c r="G72">
        <v>792</v>
      </c>
      <c r="H72">
        <v>0.40392</v>
      </c>
      <c r="I72">
        <v>22</v>
      </c>
      <c r="J72">
        <v>1</v>
      </c>
      <c r="K72" t="s">
        <v>2470</v>
      </c>
      <c r="L72">
        <v>46305</v>
      </c>
      <c r="M72" t="s">
        <v>5994</v>
      </c>
      <c r="N72" t="s">
        <v>78</v>
      </c>
      <c r="O72" s="214">
        <v>46298</v>
      </c>
      <c r="Q72" s="214" t="s">
        <v>2525</v>
      </c>
      <c r="R72" s="214">
        <v>46349</v>
      </c>
      <c r="U72" s="214"/>
      <c r="V72">
        <v>8</v>
      </c>
      <c r="W72" s="214">
        <v>46357.791666666664</v>
      </c>
    </row>
    <row r="73" spans="1:23">
      <c r="A73" t="s">
        <v>7019</v>
      </c>
      <c r="B73" t="s">
        <v>65</v>
      </c>
      <c r="C73" t="s">
        <v>4531</v>
      </c>
      <c r="D73" t="s">
        <v>1151</v>
      </c>
      <c r="E73" t="s">
        <v>421</v>
      </c>
      <c r="F73">
        <v>505</v>
      </c>
      <c r="G73">
        <v>864</v>
      </c>
      <c r="H73">
        <v>0.43631999999999999</v>
      </c>
      <c r="I73">
        <v>24</v>
      </c>
      <c r="J73">
        <v>1</v>
      </c>
      <c r="K73" t="s">
        <v>2470</v>
      </c>
      <c r="L73">
        <v>46308</v>
      </c>
      <c r="M73" t="s">
        <v>61</v>
      </c>
      <c r="N73" t="s">
        <v>78</v>
      </c>
      <c r="O73" s="214">
        <v>46313</v>
      </c>
      <c r="Q73" s="214" t="s">
        <v>2525</v>
      </c>
      <c r="R73" s="214">
        <v>46384</v>
      </c>
      <c r="U73" s="214"/>
      <c r="V73">
        <v>8</v>
      </c>
      <c r="W73" s="214">
        <v>46380.25</v>
      </c>
    </row>
    <row r="74" spans="1:23">
      <c r="A74" t="s">
        <v>7015</v>
      </c>
      <c r="B74" t="s">
        <v>65</v>
      </c>
      <c r="C74" t="s">
        <v>4531</v>
      </c>
      <c r="D74" t="s">
        <v>1151</v>
      </c>
      <c r="E74" t="s">
        <v>421</v>
      </c>
      <c r="F74">
        <v>505</v>
      </c>
      <c r="G74">
        <v>4320</v>
      </c>
      <c r="H74">
        <v>2.1816</v>
      </c>
      <c r="I74">
        <v>120</v>
      </c>
      <c r="J74">
        <v>5</v>
      </c>
      <c r="K74" t="s">
        <v>2470</v>
      </c>
      <c r="L74">
        <v>46308</v>
      </c>
      <c r="M74" t="s">
        <v>61</v>
      </c>
      <c r="N74" t="s">
        <v>78</v>
      </c>
      <c r="O74" s="214">
        <v>46313</v>
      </c>
      <c r="Q74" s="214" t="s">
        <v>2525</v>
      </c>
      <c r="R74" s="214">
        <v>46384</v>
      </c>
      <c r="U74" s="214"/>
      <c r="V74">
        <v>8</v>
      </c>
      <c r="W74" s="214">
        <v>46392.791666666664</v>
      </c>
    </row>
    <row r="75" spans="1:23">
      <c r="A75" t="s">
        <v>7347</v>
      </c>
      <c r="B75" t="s">
        <v>450</v>
      </c>
      <c r="C75" t="s">
        <v>4531</v>
      </c>
      <c r="D75" t="s">
        <v>7037</v>
      </c>
      <c r="E75" t="s">
        <v>7038</v>
      </c>
      <c r="F75">
        <v>505</v>
      </c>
      <c r="G75">
        <v>2592</v>
      </c>
      <c r="H75">
        <v>1.3089599999999999</v>
      </c>
      <c r="I75">
        <v>72</v>
      </c>
      <c r="J75">
        <v>3</v>
      </c>
      <c r="K75" t="s">
        <v>2469</v>
      </c>
      <c r="M75" t="s">
        <v>61</v>
      </c>
      <c r="N75" t="s">
        <v>456</v>
      </c>
      <c r="Q75" s="214" t="s">
        <v>2525</v>
      </c>
      <c r="U75" s="214"/>
      <c r="V75">
        <v>7</v>
      </c>
      <c r="W75" s="214">
        <v>46360</v>
      </c>
    </row>
    <row r="76" spans="1:23">
      <c r="A76" t="s">
        <v>7022</v>
      </c>
      <c r="B76" t="s">
        <v>65</v>
      </c>
      <c r="C76" t="s">
        <v>4531</v>
      </c>
      <c r="D76" t="s">
        <v>71</v>
      </c>
      <c r="E76" t="s">
        <v>72</v>
      </c>
      <c r="F76">
        <v>500</v>
      </c>
      <c r="G76">
        <v>864</v>
      </c>
      <c r="H76">
        <v>0.432</v>
      </c>
      <c r="I76">
        <v>24</v>
      </c>
      <c r="J76">
        <v>1</v>
      </c>
      <c r="K76" t="s">
        <v>2468</v>
      </c>
      <c r="L76">
        <v>46308</v>
      </c>
      <c r="M76" t="s">
        <v>61</v>
      </c>
      <c r="N76" t="s">
        <v>78</v>
      </c>
      <c r="O76" s="214">
        <v>46313</v>
      </c>
      <c r="Q76" s="214" t="s">
        <v>2525</v>
      </c>
      <c r="R76" s="214">
        <v>46372</v>
      </c>
      <c r="U76" s="214"/>
      <c r="V76">
        <v>8</v>
      </c>
      <c r="W76" s="214">
        <v>46380.25</v>
      </c>
    </row>
    <row r="77" spans="1:23">
      <c r="A77" t="s">
        <v>7238</v>
      </c>
      <c r="B77" t="s">
        <v>310</v>
      </c>
      <c r="C77" t="s">
        <v>550</v>
      </c>
      <c r="D77" t="s">
        <v>551</v>
      </c>
      <c r="E77" t="s">
        <v>2151</v>
      </c>
      <c r="F77">
        <v>510</v>
      </c>
      <c r="G77">
        <v>792</v>
      </c>
      <c r="H77">
        <v>0.40392</v>
      </c>
      <c r="I77">
        <v>22</v>
      </c>
      <c r="J77">
        <v>1</v>
      </c>
      <c r="K77" t="s">
        <v>2465</v>
      </c>
      <c r="M77" t="s">
        <v>5994</v>
      </c>
      <c r="N77" t="s">
        <v>314</v>
      </c>
      <c r="O77" s="214">
        <v>46312</v>
      </c>
      <c r="R77" s="214">
        <v>46358</v>
      </c>
      <c r="U77" s="214"/>
      <c r="V77">
        <v>10</v>
      </c>
      <c r="W77" s="214">
        <v>46368</v>
      </c>
    </row>
    <row r="78" spans="1:23">
      <c r="A78" t="s">
        <v>7398</v>
      </c>
      <c r="B78" t="s">
        <v>68</v>
      </c>
      <c r="C78" t="s">
        <v>5379</v>
      </c>
      <c r="D78" t="s">
        <v>6772</v>
      </c>
      <c r="E78" t="s">
        <v>6773</v>
      </c>
      <c r="F78">
        <v>480</v>
      </c>
      <c r="G78">
        <v>3744</v>
      </c>
      <c r="H78">
        <v>1.7971200000000001</v>
      </c>
      <c r="I78">
        <v>104</v>
      </c>
      <c r="J78">
        <v>4</v>
      </c>
      <c r="K78" t="s">
        <v>7027</v>
      </c>
      <c r="M78" t="s">
        <v>123</v>
      </c>
      <c r="N78" t="s">
        <v>68</v>
      </c>
      <c r="U78" s="214"/>
      <c r="V78">
        <v>14</v>
      </c>
      <c r="W78" s="214" t="s">
        <v>68</v>
      </c>
    </row>
    <row r="79" spans="1:23">
      <c r="A79" t="s">
        <v>7402</v>
      </c>
      <c r="B79" t="s">
        <v>68</v>
      </c>
      <c r="C79" t="s">
        <v>5379</v>
      </c>
      <c r="D79" t="s">
        <v>7403</v>
      </c>
      <c r="E79" t="s">
        <v>7404</v>
      </c>
      <c r="F79">
        <v>485</v>
      </c>
      <c r="G79">
        <v>17784</v>
      </c>
      <c r="H79">
        <v>8.6252399999999998</v>
      </c>
      <c r="I79">
        <v>494</v>
      </c>
      <c r="J79">
        <v>19</v>
      </c>
      <c r="K79" t="s">
        <v>7027</v>
      </c>
      <c r="M79" t="s">
        <v>123</v>
      </c>
      <c r="N79" t="s">
        <v>68</v>
      </c>
      <c r="U79" s="214"/>
      <c r="V79">
        <v>14</v>
      </c>
      <c r="W79" s="214" t="s">
        <v>68</v>
      </c>
    </row>
    <row r="80" spans="1:23">
      <c r="A80" t="s">
        <v>7395</v>
      </c>
      <c r="B80" t="s">
        <v>68</v>
      </c>
      <c r="C80" t="s">
        <v>284</v>
      </c>
      <c r="D80" t="s">
        <v>6209</v>
      </c>
      <c r="E80" t="s">
        <v>6210</v>
      </c>
      <c r="F80">
        <v>490</v>
      </c>
      <c r="G80">
        <v>936</v>
      </c>
      <c r="H80">
        <v>0.45863999999999999</v>
      </c>
      <c r="I80">
        <v>26</v>
      </c>
      <c r="J80">
        <v>1</v>
      </c>
      <c r="K80" t="s">
        <v>7027</v>
      </c>
      <c r="M80" t="s">
        <v>123</v>
      </c>
      <c r="N80" t="s">
        <v>68</v>
      </c>
      <c r="U80" s="214"/>
      <c r="V80">
        <v>14</v>
      </c>
      <c r="W80" s="214" t="s">
        <v>68</v>
      </c>
    </row>
    <row r="81" spans="1:23">
      <c r="A81" t="s">
        <v>7343</v>
      </c>
      <c r="B81" t="s">
        <v>68</v>
      </c>
      <c r="C81" t="s">
        <v>4531</v>
      </c>
      <c r="D81" t="s">
        <v>71</v>
      </c>
      <c r="E81" t="s">
        <v>72</v>
      </c>
      <c r="F81">
        <v>500</v>
      </c>
      <c r="G81">
        <v>5184</v>
      </c>
      <c r="H81">
        <v>2.5920000000000001</v>
      </c>
      <c r="I81">
        <v>144</v>
      </c>
      <c r="J81">
        <v>6</v>
      </c>
      <c r="K81" t="s">
        <v>7027</v>
      </c>
      <c r="M81" t="s">
        <v>61</v>
      </c>
      <c r="N81" t="s">
        <v>68</v>
      </c>
      <c r="Q81" s="214" t="s">
        <v>2525</v>
      </c>
      <c r="U81" s="214"/>
      <c r="V81">
        <v>14</v>
      </c>
      <c r="W81" s="214" t="s">
        <v>68</v>
      </c>
    </row>
    <row r="82" spans="1:23">
      <c r="A82" t="s">
        <v>7383</v>
      </c>
      <c r="B82" t="s">
        <v>68</v>
      </c>
      <c r="C82" t="s">
        <v>4531</v>
      </c>
      <c r="D82" t="s">
        <v>1151</v>
      </c>
      <c r="E82" t="s">
        <v>421</v>
      </c>
      <c r="F82">
        <v>505</v>
      </c>
      <c r="G82">
        <v>16416</v>
      </c>
      <c r="H82">
        <v>8.2900799999999997</v>
      </c>
      <c r="I82">
        <v>456</v>
      </c>
      <c r="J82">
        <v>19</v>
      </c>
      <c r="K82" t="s">
        <v>7027</v>
      </c>
      <c r="M82" t="s">
        <v>61</v>
      </c>
      <c r="N82"/>
      <c r="U82" s="214"/>
      <c r="V82">
        <v>14</v>
      </c>
      <c r="W82" s="214" t="s">
        <v>68</v>
      </c>
    </row>
    <row r="83" spans="1:23">
      <c r="A83" t="s">
        <v>7382</v>
      </c>
      <c r="B83" t="s">
        <v>68</v>
      </c>
      <c r="C83" t="s">
        <v>4531</v>
      </c>
      <c r="D83" t="s">
        <v>71</v>
      </c>
      <c r="E83" t="s">
        <v>72</v>
      </c>
      <c r="F83">
        <v>500</v>
      </c>
      <c r="G83">
        <v>23328</v>
      </c>
      <c r="H83">
        <v>11.664</v>
      </c>
      <c r="I83">
        <v>648</v>
      </c>
      <c r="J83">
        <v>27</v>
      </c>
      <c r="K83" t="s">
        <v>7027</v>
      </c>
      <c r="M83" t="s">
        <v>61</v>
      </c>
      <c r="N83"/>
      <c r="U83" s="214"/>
      <c r="V83">
        <v>14</v>
      </c>
      <c r="W83" s="214" t="s">
        <v>68</v>
      </c>
    </row>
    <row r="84" spans="1:23">
      <c r="A84" t="s">
        <v>7371</v>
      </c>
      <c r="B84" t="s">
        <v>68</v>
      </c>
      <c r="C84" t="s">
        <v>4531</v>
      </c>
      <c r="D84" t="s">
        <v>7372</v>
      </c>
      <c r="E84" t="s">
        <v>1682</v>
      </c>
      <c r="F84">
        <v>730</v>
      </c>
      <c r="G84">
        <v>33858</v>
      </c>
      <c r="H84">
        <v>24.716339999999999</v>
      </c>
      <c r="I84">
        <v>940.5</v>
      </c>
      <c r="J84">
        <v>47.024999999999999</v>
      </c>
      <c r="K84" t="s">
        <v>7027</v>
      </c>
      <c r="M84" t="s">
        <v>123</v>
      </c>
      <c r="N84"/>
      <c r="U84" s="214"/>
      <c r="V84">
        <v>14</v>
      </c>
      <c r="W84" s="214" t="s">
        <v>68</v>
      </c>
    </row>
    <row r="85" spans="1:23">
      <c r="A85" t="s">
        <v>7359</v>
      </c>
      <c r="B85" t="s">
        <v>68</v>
      </c>
      <c r="C85" t="s">
        <v>4531</v>
      </c>
      <c r="D85" t="s">
        <v>7360</v>
      </c>
      <c r="E85" t="s">
        <v>1484</v>
      </c>
      <c r="F85">
        <v>725</v>
      </c>
      <c r="G85">
        <v>35640</v>
      </c>
      <c r="H85">
        <v>25.838999999999999</v>
      </c>
      <c r="I85">
        <v>990</v>
      </c>
      <c r="J85">
        <v>49.5</v>
      </c>
      <c r="K85" t="s">
        <v>7027</v>
      </c>
      <c r="M85" t="s">
        <v>123</v>
      </c>
      <c r="N85"/>
      <c r="U85" s="214"/>
      <c r="V85">
        <v>14</v>
      </c>
      <c r="W85" s="214" t="s">
        <v>68</v>
      </c>
    </row>
    <row r="86" spans="1:23">
      <c r="A86" t="s">
        <v>7356</v>
      </c>
      <c r="B86" t="s">
        <v>68</v>
      </c>
      <c r="C86" t="s">
        <v>4531</v>
      </c>
      <c r="D86" t="s">
        <v>7357</v>
      </c>
      <c r="E86" t="s">
        <v>7358</v>
      </c>
      <c r="F86">
        <v>635</v>
      </c>
      <c r="G86">
        <v>2880</v>
      </c>
      <c r="H86">
        <v>1.8288</v>
      </c>
      <c r="I86">
        <v>80</v>
      </c>
      <c r="J86">
        <v>4</v>
      </c>
      <c r="K86" t="s">
        <v>7027</v>
      </c>
      <c r="M86" t="s">
        <v>123</v>
      </c>
      <c r="N86"/>
      <c r="U86" s="214"/>
      <c r="V86">
        <v>14</v>
      </c>
      <c r="W86" s="214" t="s">
        <v>68</v>
      </c>
    </row>
    <row r="87" spans="1:23">
      <c r="A87" t="s">
        <v>7354</v>
      </c>
      <c r="B87" t="s">
        <v>68</v>
      </c>
      <c r="C87" t="s">
        <v>4531</v>
      </c>
      <c r="D87" t="s">
        <v>7355</v>
      </c>
      <c r="E87" t="s">
        <v>4598</v>
      </c>
      <c r="F87">
        <v>630</v>
      </c>
      <c r="G87">
        <v>12960</v>
      </c>
      <c r="H87">
        <v>8.1647999999999996</v>
      </c>
      <c r="I87">
        <v>360</v>
      </c>
      <c r="J87">
        <v>18</v>
      </c>
      <c r="K87" t="s">
        <v>7027</v>
      </c>
      <c r="M87" t="s">
        <v>123</v>
      </c>
      <c r="N87"/>
      <c r="U87" s="214"/>
      <c r="V87">
        <v>14</v>
      </c>
      <c r="W87" s="214" t="s">
        <v>68</v>
      </c>
    </row>
    <row r="88" spans="1:23">
      <c r="A88" t="s">
        <v>7346</v>
      </c>
      <c r="B88" t="s">
        <v>68</v>
      </c>
      <c r="C88" t="s">
        <v>4531</v>
      </c>
      <c r="D88" t="s">
        <v>7037</v>
      </c>
      <c r="E88" t="s">
        <v>7038</v>
      </c>
      <c r="F88">
        <v>505</v>
      </c>
      <c r="G88">
        <v>10368</v>
      </c>
      <c r="H88">
        <v>5.2358399999999996</v>
      </c>
      <c r="I88">
        <v>288</v>
      </c>
      <c r="J88">
        <v>12</v>
      </c>
      <c r="K88" t="s">
        <v>7027</v>
      </c>
      <c r="M88" t="s">
        <v>61</v>
      </c>
      <c r="N88" t="s">
        <v>68</v>
      </c>
      <c r="Q88" s="214" t="s">
        <v>2525</v>
      </c>
      <c r="U88" s="214"/>
      <c r="V88">
        <v>14</v>
      </c>
      <c r="W88" s="214" t="s">
        <v>68</v>
      </c>
    </row>
    <row r="89" spans="1:23">
      <c r="A89" t="s">
        <v>7344</v>
      </c>
      <c r="B89" t="s">
        <v>68</v>
      </c>
      <c r="C89" t="s">
        <v>4531</v>
      </c>
      <c r="D89" t="s">
        <v>1151</v>
      </c>
      <c r="E89" t="s">
        <v>421</v>
      </c>
      <c r="F89">
        <v>505</v>
      </c>
      <c r="G89">
        <v>2592</v>
      </c>
      <c r="H89">
        <v>1.3089599999999999</v>
      </c>
      <c r="I89">
        <v>72</v>
      </c>
      <c r="J89">
        <v>3</v>
      </c>
      <c r="K89" t="s">
        <v>7027</v>
      </c>
      <c r="M89" t="s">
        <v>61</v>
      </c>
      <c r="N89" t="s">
        <v>68</v>
      </c>
      <c r="Q89" s="214" t="s">
        <v>2525</v>
      </c>
      <c r="U89" s="214"/>
      <c r="V89">
        <v>14</v>
      </c>
      <c r="W89" s="214" t="s">
        <v>68</v>
      </c>
    </row>
    <row r="90" spans="1:23">
      <c r="A90" t="s">
        <v>7317</v>
      </c>
      <c r="B90" t="s">
        <v>68</v>
      </c>
      <c r="C90" t="s">
        <v>4531</v>
      </c>
      <c r="D90" t="s">
        <v>6235</v>
      </c>
      <c r="E90" t="s">
        <v>330</v>
      </c>
      <c r="F90">
        <v>625</v>
      </c>
      <c r="G90">
        <v>2880</v>
      </c>
      <c r="H90">
        <v>1.8</v>
      </c>
      <c r="I90">
        <v>80</v>
      </c>
      <c r="J90">
        <v>4</v>
      </c>
      <c r="K90" t="s">
        <v>7027</v>
      </c>
      <c r="M90" t="s">
        <v>122</v>
      </c>
      <c r="N90" t="s">
        <v>68</v>
      </c>
      <c r="Q90" s="214" t="s">
        <v>2525</v>
      </c>
      <c r="U90" s="214"/>
      <c r="V90">
        <v>14</v>
      </c>
      <c r="W90" s="214">
        <v>46355</v>
      </c>
    </row>
    <row r="91" spans="1:23">
      <c r="A91" t="s">
        <v>7302</v>
      </c>
      <c r="B91" t="s">
        <v>68</v>
      </c>
      <c r="C91" t="s">
        <v>5379</v>
      </c>
      <c r="D91" t="s">
        <v>6772</v>
      </c>
      <c r="E91" t="s">
        <v>6773</v>
      </c>
      <c r="F91">
        <v>480</v>
      </c>
      <c r="G91">
        <v>72</v>
      </c>
      <c r="H91">
        <v>3.456E-2</v>
      </c>
      <c r="I91">
        <v>2</v>
      </c>
      <c r="J91">
        <v>7.6923076923076927E-2</v>
      </c>
      <c r="K91" t="s">
        <v>7027</v>
      </c>
      <c r="M91" t="s">
        <v>123</v>
      </c>
      <c r="N91" t="s">
        <v>68</v>
      </c>
      <c r="Q91" s="214" t="s">
        <v>2525</v>
      </c>
      <c r="U91" s="214"/>
      <c r="V91">
        <v>14</v>
      </c>
      <c r="W91" s="214" t="s">
        <v>68</v>
      </c>
    </row>
    <row r="92" spans="1:23">
      <c r="A92" t="s">
        <v>7301</v>
      </c>
      <c r="B92" t="s">
        <v>68</v>
      </c>
      <c r="C92" t="s">
        <v>5379</v>
      </c>
      <c r="D92" t="s">
        <v>5380</v>
      </c>
      <c r="E92" t="s">
        <v>5381</v>
      </c>
      <c r="F92">
        <v>470</v>
      </c>
      <c r="G92">
        <v>576</v>
      </c>
      <c r="H92">
        <v>0.27072000000000002</v>
      </c>
      <c r="I92">
        <v>16</v>
      </c>
      <c r="J92">
        <v>0.61538461538461542</v>
      </c>
      <c r="K92" t="s">
        <v>7027</v>
      </c>
      <c r="M92" t="s">
        <v>123</v>
      </c>
      <c r="N92" t="s">
        <v>68</v>
      </c>
      <c r="Q92" s="214" t="s">
        <v>2525</v>
      </c>
      <c r="U92" s="214"/>
      <c r="V92">
        <v>14</v>
      </c>
      <c r="W92" s="214" t="s">
        <v>68</v>
      </c>
    </row>
    <row r="93" spans="1:23">
      <c r="A93" t="s">
        <v>7300</v>
      </c>
      <c r="B93" t="s">
        <v>68</v>
      </c>
      <c r="C93" t="s">
        <v>5379</v>
      </c>
      <c r="D93" t="s">
        <v>6678</v>
      </c>
      <c r="E93" t="s">
        <v>6679</v>
      </c>
      <c r="F93">
        <v>475</v>
      </c>
      <c r="G93">
        <v>288</v>
      </c>
      <c r="H93">
        <v>0.1368</v>
      </c>
      <c r="I93">
        <v>8</v>
      </c>
      <c r="J93">
        <v>0.30769230769230771</v>
      </c>
      <c r="K93" t="s">
        <v>7027</v>
      </c>
      <c r="M93" t="s">
        <v>123</v>
      </c>
      <c r="N93" t="s">
        <v>68</v>
      </c>
      <c r="Q93" s="214" t="s">
        <v>2525</v>
      </c>
      <c r="U93" s="214"/>
      <c r="V93">
        <v>14</v>
      </c>
      <c r="W93" s="214" t="s">
        <v>68</v>
      </c>
    </row>
    <row r="94" spans="1:23">
      <c r="A94" t="s">
        <v>7272</v>
      </c>
      <c r="B94" t="s">
        <v>68</v>
      </c>
      <c r="C94" t="s">
        <v>713</v>
      </c>
      <c r="D94" t="s">
        <v>7273</v>
      </c>
      <c r="E94" t="s">
        <v>1300</v>
      </c>
      <c r="F94">
        <v>720</v>
      </c>
      <c r="G94">
        <v>594</v>
      </c>
      <c r="H94">
        <v>0.42768</v>
      </c>
      <c r="I94">
        <v>18</v>
      </c>
      <c r="J94">
        <v>1</v>
      </c>
      <c r="K94" t="s">
        <v>7027</v>
      </c>
      <c r="M94" t="s">
        <v>123</v>
      </c>
      <c r="N94" t="s">
        <v>68</v>
      </c>
      <c r="Q94" s="214" t="s">
        <v>2525</v>
      </c>
      <c r="U94" s="214"/>
      <c r="V94">
        <v>14</v>
      </c>
      <c r="W94" s="214" t="s">
        <v>68</v>
      </c>
    </row>
    <row r="95" spans="1:23">
      <c r="A95" t="s">
        <v>7236</v>
      </c>
      <c r="B95" t="s">
        <v>68</v>
      </c>
      <c r="C95" t="s">
        <v>4531</v>
      </c>
      <c r="D95" t="s">
        <v>6483</v>
      </c>
      <c r="E95" t="s">
        <v>103</v>
      </c>
      <c r="F95">
        <v>620</v>
      </c>
      <c r="G95">
        <v>3600</v>
      </c>
      <c r="H95">
        <v>2.2320000000000002</v>
      </c>
      <c r="I95">
        <v>100</v>
      </c>
      <c r="J95">
        <v>5</v>
      </c>
      <c r="K95" t="s">
        <v>7027</v>
      </c>
      <c r="M95" t="s">
        <v>122</v>
      </c>
      <c r="N95" t="s">
        <v>68</v>
      </c>
      <c r="U95" s="214"/>
      <c r="V95">
        <v>14</v>
      </c>
      <c r="W95" s="214" t="s">
        <v>68</v>
      </c>
    </row>
    <row r="96" spans="1:23">
      <c r="A96" t="s">
        <v>7229</v>
      </c>
      <c r="B96" t="s">
        <v>68</v>
      </c>
      <c r="C96" t="s">
        <v>284</v>
      </c>
      <c r="D96" t="s">
        <v>5851</v>
      </c>
      <c r="E96" t="s">
        <v>5852</v>
      </c>
      <c r="F96">
        <v>485</v>
      </c>
      <c r="G96">
        <v>99216</v>
      </c>
      <c r="H96">
        <v>48.119759999999999</v>
      </c>
      <c r="I96">
        <v>2756</v>
      </c>
      <c r="J96">
        <v>106</v>
      </c>
      <c r="K96" t="s">
        <v>7027</v>
      </c>
      <c r="M96" t="s">
        <v>123</v>
      </c>
      <c r="N96" t="s">
        <v>68</v>
      </c>
      <c r="U96" s="214"/>
      <c r="V96">
        <v>14</v>
      </c>
      <c r="W96" s="214">
        <v>46355</v>
      </c>
    </row>
    <row r="97" spans="1:23">
      <c r="A97" t="s">
        <v>7415</v>
      </c>
      <c r="B97" t="s">
        <v>68</v>
      </c>
      <c r="C97" t="s">
        <v>4486</v>
      </c>
      <c r="D97" t="s">
        <v>7208</v>
      </c>
      <c r="E97" t="s">
        <v>7209</v>
      </c>
      <c r="F97">
        <v>650</v>
      </c>
      <c r="G97">
        <v>6120</v>
      </c>
      <c r="H97">
        <v>3.9780000000000002</v>
      </c>
      <c r="I97">
        <v>170</v>
      </c>
      <c r="J97">
        <v>8.5</v>
      </c>
      <c r="K97" t="s">
        <v>7027</v>
      </c>
      <c r="M97" t="s">
        <v>123</v>
      </c>
      <c r="N97" t="s">
        <v>68</v>
      </c>
      <c r="Q97" s="214" t="s">
        <v>2525</v>
      </c>
      <c r="U97" s="214"/>
      <c r="V97">
        <v>14</v>
      </c>
      <c r="W97" s="214" t="s">
        <v>68</v>
      </c>
    </row>
    <row r="98" spans="1:23">
      <c r="A98" t="s">
        <v>8103</v>
      </c>
      <c r="D98" t="s">
        <v>8104</v>
      </c>
      <c r="E98" t="s">
        <v>8105</v>
      </c>
      <c r="G98">
        <v>5</v>
      </c>
      <c r="N98"/>
      <c r="U98" s="214"/>
      <c r="V98">
        <v>14</v>
      </c>
      <c r="W98" s="214">
        <v>13</v>
      </c>
    </row>
    <row r="99" spans="1:23">
      <c r="A99" t="s">
        <v>8063</v>
      </c>
      <c r="B99" t="s">
        <v>68</v>
      </c>
      <c r="D99" t="s">
        <v>8064</v>
      </c>
      <c r="E99" t="s">
        <v>8066</v>
      </c>
      <c r="G99">
        <v>8</v>
      </c>
      <c r="J99">
        <v>1</v>
      </c>
      <c r="K99" t="s">
        <v>8068</v>
      </c>
      <c r="M99" t="s">
        <v>8069</v>
      </c>
      <c r="N99" t="s">
        <v>8070</v>
      </c>
      <c r="Q99" s="214">
        <v>46295</v>
      </c>
      <c r="R99" s="214">
        <v>46299</v>
      </c>
      <c r="U99" s="214"/>
      <c r="V99">
        <v>14</v>
      </c>
      <c r="W99" s="214">
        <v>46315</v>
      </c>
    </row>
    <row r="100" spans="1:23">
      <c r="A100" t="s">
        <v>7974</v>
      </c>
      <c r="B100" t="s">
        <v>100</v>
      </c>
      <c r="D100" t="s">
        <v>8021</v>
      </c>
      <c r="E100" t="s">
        <v>8022</v>
      </c>
      <c r="G100">
        <v>9</v>
      </c>
      <c r="J100">
        <v>6.25E-2</v>
      </c>
      <c r="K100" t="s">
        <v>7976</v>
      </c>
      <c r="M100" t="s">
        <v>288</v>
      </c>
      <c r="N100" t="s">
        <v>105</v>
      </c>
      <c r="U100" s="214"/>
      <c r="V100">
        <v>7</v>
      </c>
      <c r="W100" s="214">
        <v>46346</v>
      </c>
    </row>
    <row r="101" spans="1:23">
      <c r="A101" t="s">
        <v>8024</v>
      </c>
      <c r="B101" t="s">
        <v>100</v>
      </c>
      <c r="D101" t="s">
        <v>8025</v>
      </c>
      <c r="E101" t="s">
        <v>8026</v>
      </c>
      <c r="G101">
        <v>18</v>
      </c>
      <c r="J101">
        <v>0.125</v>
      </c>
      <c r="K101" t="s">
        <v>7976</v>
      </c>
      <c r="M101" t="s">
        <v>288</v>
      </c>
      <c r="N101" t="s">
        <v>105</v>
      </c>
      <c r="U101" s="214"/>
      <c r="V101">
        <v>7</v>
      </c>
      <c r="W101" s="214">
        <v>46346</v>
      </c>
    </row>
    <row r="102" spans="1:23">
      <c r="A102" t="s">
        <v>8027</v>
      </c>
      <c r="B102" t="s">
        <v>100</v>
      </c>
      <c r="D102" t="s">
        <v>8028</v>
      </c>
      <c r="E102" t="s">
        <v>8029</v>
      </c>
      <c r="G102">
        <v>18</v>
      </c>
      <c r="J102">
        <v>0.125</v>
      </c>
      <c r="K102" t="s">
        <v>7976</v>
      </c>
      <c r="M102" t="s">
        <v>288</v>
      </c>
      <c r="N102" t="s">
        <v>105</v>
      </c>
      <c r="U102" s="214"/>
      <c r="V102">
        <v>7</v>
      </c>
      <c r="W102" s="214">
        <v>46346</v>
      </c>
    </row>
    <row r="103" spans="1:23">
      <c r="A103" t="s">
        <v>8030</v>
      </c>
      <c r="B103" t="s">
        <v>100</v>
      </c>
      <c r="D103" t="s">
        <v>8031</v>
      </c>
      <c r="E103" t="s">
        <v>8032</v>
      </c>
      <c r="G103">
        <v>60</v>
      </c>
      <c r="J103">
        <v>0.41666666666666669</v>
      </c>
      <c r="K103" t="s">
        <v>7976</v>
      </c>
      <c r="M103" t="s">
        <v>288</v>
      </c>
      <c r="N103" t="s">
        <v>105</v>
      </c>
      <c r="U103" s="214"/>
      <c r="V103">
        <v>7</v>
      </c>
      <c r="W103" s="214">
        <v>46346</v>
      </c>
    </row>
    <row r="104" spans="1:23">
      <c r="A104" t="s">
        <v>8033</v>
      </c>
      <c r="B104" t="s">
        <v>100</v>
      </c>
      <c r="D104" t="s">
        <v>8034</v>
      </c>
      <c r="E104" t="s">
        <v>8036</v>
      </c>
      <c r="G104">
        <v>24</v>
      </c>
      <c r="J104">
        <v>0.16666666666666666</v>
      </c>
      <c r="K104" t="s">
        <v>7976</v>
      </c>
      <c r="M104" t="s">
        <v>288</v>
      </c>
      <c r="N104" t="s">
        <v>105</v>
      </c>
      <c r="U104" s="214"/>
      <c r="V104">
        <v>7</v>
      </c>
      <c r="W104" s="214">
        <v>46346</v>
      </c>
    </row>
    <row r="105" spans="1:23">
      <c r="A105" t="s">
        <v>8037</v>
      </c>
      <c r="B105" t="s">
        <v>100</v>
      </c>
      <c r="D105" t="s">
        <v>8039</v>
      </c>
      <c r="E105" t="s">
        <v>8041</v>
      </c>
      <c r="G105">
        <v>15</v>
      </c>
      <c r="J105">
        <v>0.10416666666666667</v>
      </c>
      <c r="K105" t="s">
        <v>7976</v>
      </c>
      <c r="M105" t="s">
        <v>288</v>
      </c>
      <c r="N105" t="s">
        <v>105</v>
      </c>
      <c r="U105" s="214"/>
      <c r="V105">
        <v>7</v>
      </c>
      <c r="W105" s="214">
        <v>46346</v>
      </c>
    </row>
    <row r="106" spans="1:23">
      <c r="A106" t="s">
        <v>8012</v>
      </c>
      <c r="B106" t="s">
        <v>65</v>
      </c>
      <c r="D106" t="s">
        <v>7460</v>
      </c>
      <c r="E106" t="s">
        <v>7462</v>
      </c>
      <c r="G106">
        <v>552</v>
      </c>
      <c r="J106">
        <v>2</v>
      </c>
      <c r="K106" t="s">
        <v>8014</v>
      </c>
      <c r="M106" t="s">
        <v>122</v>
      </c>
      <c r="N106" t="s">
        <v>78</v>
      </c>
      <c r="R106" s="214">
        <v>46358</v>
      </c>
      <c r="U106" s="214"/>
      <c r="V106">
        <v>8</v>
      </c>
      <c r="W106" s="214">
        <v>46359</v>
      </c>
    </row>
    <row r="107" spans="1:23">
      <c r="A107" t="s">
        <v>8099</v>
      </c>
      <c r="B107" t="s">
        <v>100</v>
      </c>
      <c r="D107" t="s">
        <v>8064</v>
      </c>
      <c r="E107" t="s">
        <v>8066</v>
      </c>
      <c r="G107">
        <v>16</v>
      </c>
      <c r="J107">
        <v>1</v>
      </c>
      <c r="K107" t="s">
        <v>8074</v>
      </c>
      <c r="N107" t="s">
        <v>105</v>
      </c>
      <c r="R107" s="214">
        <v>46349</v>
      </c>
      <c r="U107" s="214"/>
      <c r="V107">
        <v>7</v>
      </c>
      <c r="W107" s="214">
        <v>46354</v>
      </c>
    </row>
    <row r="108" spans="1:23">
      <c r="A108" t="s">
        <v>8073</v>
      </c>
      <c r="B108" t="s">
        <v>68</v>
      </c>
      <c r="D108" t="s">
        <v>8064</v>
      </c>
      <c r="E108" t="s">
        <v>8066</v>
      </c>
      <c r="G108">
        <v>8</v>
      </c>
      <c r="J108">
        <v>1</v>
      </c>
      <c r="K108" t="s">
        <v>8074</v>
      </c>
      <c r="M108" t="s">
        <v>8069</v>
      </c>
      <c r="N108" t="s">
        <v>8070</v>
      </c>
      <c r="R108" s="214">
        <v>46325</v>
      </c>
      <c r="U108" s="214"/>
      <c r="V108">
        <v>14</v>
      </c>
      <c r="W108" s="214">
        <v>46339</v>
      </c>
    </row>
    <row r="109" spans="1:23">
      <c r="A109" t="s">
        <v>8016</v>
      </c>
      <c r="B109" t="s">
        <v>65</v>
      </c>
      <c r="D109" t="s">
        <v>7460</v>
      </c>
      <c r="E109" t="s">
        <v>7462</v>
      </c>
      <c r="G109">
        <v>276</v>
      </c>
      <c r="J109">
        <v>1</v>
      </c>
      <c r="K109" t="s">
        <v>8018</v>
      </c>
      <c r="M109" t="s">
        <v>122</v>
      </c>
      <c r="N109" t="s">
        <v>78</v>
      </c>
      <c r="R109" s="214">
        <v>46365</v>
      </c>
      <c r="U109" s="214"/>
      <c r="V109">
        <v>8</v>
      </c>
      <c r="W109" s="214">
        <v>46373</v>
      </c>
    </row>
    <row r="110" spans="1:23">
      <c r="A110" t="s">
        <v>8118</v>
      </c>
      <c r="B110" t="s">
        <v>310</v>
      </c>
      <c r="D110" t="s">
        <v>7425</v>
      </c>
      <c r="E110" t="s">
        <v>7427</v>
      </c>
      <c r="G110">
        <v>108</v>
      </c>
      <c r="J110">
        <v>0.83076923076923082</v>
      </c>
      <c r="K110" t="s">
        <v>8080</v>
      </c>
      <c r="M110" t="s">
        <v>122</v>
      </c>
      <c r="N110" t="s">
        <v>314</v>
      </c>
      <c r="R110" s="214">
        <v>46365</v>
      </c>
      <c r="U110" s="214"/>
      <c r="V110"/>
    </row>
    <row r="111" spans="1:23">
      <c r="A111" t="s">
        <v>8122</v>
      </c>
      <c r="B111" t="s">
        <v>310</v>
      </c>
      <c r="D111" t="s">
        <v>7437</v>
      </c>
      <c r="E111" t="s">
        <v>7439</v>
      </c>
      <c r="G111">
        <v>130</v>
      </c>
      <c r="J111">
        <v>0.5</v>
      </c>
      <c r="K111" t="s">
        <v>8080</v>
      </c>
      <c r="M111" t="s">
        <v>122</v>
      </c>
      <c r="N111" t="s">
        <v>314</v>
      </c>
      <c r="R111" s="214">
        <v>46365</v>
      </c>
      <c r="U111" s="214"/>
      <c r="V111">
        <v>10</v>
      </c>
      <c r="W111" s="214">
        <v>46375</v>
      </c>
    </row>
    <row r="112" spans="1:23">
      <c r="A112" t="s">
        <v>8125</v>
      </c>
      <c r="B112" t="s">
        <v>310</v>
      </c>
      <c r="D112" t="s">
        <v>7449</v>
      </c>
      <c r="E112" t="s">
        <v>7451</v>
      </c>
      <c r="G112">
        <v>130</v>
      </c>
      <c r="J112">
        <v>0.5</v>
      </c>
      <c r="K112" t="s">
        <v>8080</v>
      </c>
      <c r="M112" t="s">
        <v>122</v>
      </c>
      <c r="N112" t="s">
        <v>314</v>
      </c>
      <c r="R112" s="214">
        <v>46365</v>
      </c>
      <c r="U112" s="214"/>
      <c r="V112">
        <v>10</v>
      </c>
      <c r="W112" s="214">
        <v>46375</v>
      </c>
    </row>
    <row r="113" spans="1:23">
      <c r="A113" t="s">
        <v>8124</v>
      </c>
      <c r="B113" t="s">
        <v>310</v>
      </c>
      <c r="D113" t="s">
        <v>7437</v>
      </c>
      <c r="E113" t="s">
        <v>7439</v>
      </c>
      <c r="G113">
        <v>130</v>
      </c>
      <c r="J113">
        <v>0.5</v>
      </c>
      <c r="K113" t="s">
        <v>8080</v>
      </c>
      <c r="M113" t="s">
        <v>122</v>
      </c>
      <c r="N113" t="s">
        <v>314</v>
      </c>
      <c r="R113" s="214">
        <v>46365</v>
      </c>
      <c r="U113" s="214"/>
      <c r="V113">
        <v>10</v>
      </c>
      <c r="W113" s="214">
        <v>46375</v>
      </c>
    </row>
    <row r="114" spans="1:23">
      <c r="A114" t="s">
        <v>8096</v>
      </c>
      <c r="B114" t="s">
        <v>68</v>
      </c>
      <c r="D114" t="s">
        <v>8097</v>
      </c>
      <c r="E114" t="s">
        <v>8098</v>
      </c>
      <c r="G114">
        <v>5</v>
      </c>
      <c r="J114">
        <v>4.065040650406504E-2</v>
      </c>
      <c r="K114" t="s">
        <v>8080</v>
      </c>
      <c r="N114" t="s">
        <v>8085</v>
      </c>
      <c r="U114" s="214"/>
      <c r="V114">
        <v>14</v>
      </c>
      <c r="W114" s="214">
        <v>13</v>
      </c>
    </row>
    <row r="115" spans="1:23">
      <c r="A115" t="s">
        <v>8129</v>
      </c>
      <c r="B115" t="s">
        <v>310</v>
      </c>
      <c r="D115" t="s">
        <v>7460</v>
      </c>
      <c r="E115" t="s">
        <v>7462</v>
      </c>
      <c r="G115">
        <v>32</v>
      </c>
      <c r="J115">
        <v>0.11594202898550725</v>
      </c>
      <c r="K115" t="s">
        <v>8080</v>
      </c>
      <c r="M115" t="s">
        <v>122</v>
      </c>
      <c r="N115" t="s">
        <v>314</v>
      </c>
      <c r="R115" s="214">
        <v>46358</v>
      </c>
      <c r="U115" s="214"/>
      <c r="V115">
        <v>10</v>
      </c>
      <c r="W115" s="214">
        <v>46368</v>
      </c>
    </row>
    <row r="116" spans="1:23">
      <c r="A116" t="s">
        <v>8123</v>
      </c>
      <c r="B116" t="s">
        <v>310</v>
      </c>
      <c r="D116" t="s">
        <v>7449</v>
      </c>
      <c r="E116" t="s">
        <v>7451</v>
      </c>
      <c r="G116">
        <v>130</v>
      </c>
      <c r="J116">
        <v>0.5</v>
      </c>
      <c r="K116" t="s">
        <v>8080</v>
      </c>
      <c r="M116" t="s">
        <v>122</v>
      </c>
      <c r="N116" t="s">
        <v>314</v>
      </c>
      <c r="R116" s="214">
        <v>46365</v>
      </c>
      <c r="U116" s="214"/>
      <c r="V116">
        <v>10</v>
      </c>
      <c r="W116" s="214">
        <v>46375</v>
      </c>
    </row>
    <row r="117" spans="1:23">
      <c r="A117" t="s">
        <v>8092</v>
      </c>
      <c r="B117" t="s">
        <v>68</v>
      </c>
      <c r="D117" t="s">
        <v>8093</v>
      </c>
      <c r="E117" t="s">
        <v>8095</v>
      </c>
      <c r="G117">
        <v>5</v>
      </c>
      <c r="J117">
        <v>4.065040650406504E-2</v>
      </c>
      <c r="K117" t="s">
        <v>8080</v>
      </c>
      <c r="N117" t="s">
        <v>8085</v>
      </c>
      <c r="U117" s="214"/>
      <c r="V117">
        <v>14</v>
      </c>
      <c r="W117" s="214">
        <v>13</v>
      </c>
    </row>
    <row r="118" spans="1:23">
      <c r="A118" t="s">
        <v>8126</v>
      </c>
      <c r="B118" t="s">
        <v>310</v>
      </c>
      <c r="D118" t="s">
        <v>7460</v>
      </c>
      <c r="E118" t="s">
        <v>7462</v>
      </c>
      <c r="G118">
        <v>520</v>
      </c>
      <c r="J118">
        <v>1.8840579710144927</v>
      </c>
      <c r="K118" t="s">
        <v>8080</v>
      </c>
      <c r="M118" t="s">
        <v>122</v>
      </c>
      <c r="N118" t="s">
        <v>314</v>
      </c>
      <c r="R118" s="214">
        <v>46358</v>
      </c>
      <c r="U118" s="214"/>
      <c r="V118">
        <v>10</v>
      </c>
      <c r="W118" s="214">
        <v>46368</v>
      </c>
    </row>
    <row r="119" spans="1:23">
      <c r="A119" t="s">
        <v>8087</v>
      </c>
      <c r="B119" t="s">
        <v>68</v>
      </c>
      <c r="D119" t="s">
        <v>7927</v>
      </c>
      <c r="E119" t="s">
        <v>8036</v>
      </c>
      <c r="G119">
        <v>36</v>
      </c>
      <c r="J119">
        <v>0.29268292682926828</v>
      </c>
      <c r="K119" t="s">
        <v>8080</v>
      </c>
      <c r="N119" t="s">
        <v>8085</v>
      </c>
      <c r="U119" s="214"/>
      <c r="V119">
        <v>14</v>
      </c>
      <c r="W119" s="214">
        <v>13</v>
      </c>
    </row>
    <row r="120" spans="1:23">
      <c r="A120" t="s">
        <v>8086</v>
      </c>
      <c r="B120" t="s">
        <v>68</v>
      </c>
      <c r="D120" t="s">
        <v>7923</v>
      </c>
      <c r="E120" t="s">
        <v>8032</v>
      </c>
      <c r="G120">
        <v>36</v>
      </c>
      <c r="J120">
        <v>0.29268292682926828</v>
      </c>
      <c r="K120" t="s">
        <v>8080</v>
      </c>
      <c r="N120" t="s">
        <v>8085</v>
      </c>
      <c r="U120" s="214"/>
      <c r="V120">
        <v>14</v>
      </c>
      <c r="W120" s="214">
        <v>13</v>
      </c>
    </row>
    <row r="121" spans="1:23">
      <c r="A121" t="s">
        <v>8083</v>
      </c>
      <c r="B121" t="s">
        <v>68</v>
      </c>
      <c r="D121" t="s">
        <v>8078</v>
      </c>
      <c r="E121" t="s">
        <v>8029</v>
      </c>
      <c r="G121">
        <v>36</v>
      </c>
      <c r="J121">
        <v>0.29268292682926828</v>
      </c>
      <c r="K121" t="s">
        <v>8080</v>
      </c>
      <c r="N121" t="s">
        <v>8085</v>
      </c>
      <c r="U121" s="214"/>
      <c r="V121">
        <v>14</v>
      </c>
      <c r="W121" s="214">
        <v>13</v>
      </c>
    </row>
    <row r="122" spans="1:23">
      <c r="A122" t="s">
        <v>8082</v>
      </c>
      <c r="B122" t="s">
        <v>68</v>
      </c>
      <c r="D122" t="s">
        <v>7923</v>
      </c>
      <c r="E122" t="s">
        <v>8032</v>
      </c>
      <c r="G122">
        <v>48</v>
      </c>
      <c r="J122">
        <v>0.4</v>
      </c>
      <c r="K122" t="s">
        <v>8080</v>
      </c>
      <c r="M122" t="s">
        <v>8069</v>
      </c>
      <c r="N122" t="s">
        <v>8070</v>
      </c>
      <c r="R122" s="214">
        <v>46327</v>
      </c>
      <c r="U122" s="214"/>
      <c r="V122">
        <v>14</v>
      </c>
      <c r="W122" s="214">
        <v>46339</v>
      </c>
    </row>
    <row r="123" spans="1:23">
      <c r="A123" t="s">
        <v>8077</v>
      </c>
      <c r="B123" t="s">
        <v>68</v>
      </c>
      <c r="D123" t="s">
        <v>8078</v>
      </c>
      <c r="E123" t="s">
        <v>8029</v>
      </c>
      <c r="G123">
        <v>72</v>
      </c>
      <c r="J123">
        <v>0.6</v>
      </c>
      <c r="K123" t="s">
        <v>8080</v>
      </c>
      <c r="M123" t="s">
        <v>8069</v>
      </c>
      <c r="N123" t="s">
        <v>8070</v>
      </c>
      <c r="R123" s="214">
        <v>46327</v>
      </c>
      <c r="U123" s="214"/>
      <c r="V123">
        <v>14</v>
      </c>
      <c r="W123" s="214">
        <v>46339</v>
      </c>
    </row>
    <row r="124" spans="1:23">
      <c r="A124" t="s">
        <v>8088</v>
      </c>
      <c r="B124" t="s">
        <v>68</v>
      </c>
      <c r="D124" t="s">
        <v>8089</v>
      </c>
      <c r="E124" t="s">
        <v>8091</v>
      </c>
      <c r="G124">
        <v>5</v>
      </c>
      <c r="J124">
        <v>4.065040650406504E-2</v>
      </c>
      <c r="K124" t="s">
        <v>8080</v>
      </c>
      <c r="N124" t="s">
        <v>8085</v>
      </c>
      <c r="U124" s="214"/>
      <c r="V124">
        <v>14</v>
      </c>
      <c r="W124" s="214">
        <v>13</v>
      </c>
    </row>
    <row r="125" spans="1:23">
      <c r="A125" t="s">
        <v>8140</v>
      </c>
      <c r="D125" t="s">
        <v>7449</v>
      </c>
      <c r="E125" t="s">
        <v>7451</v>
      </c>
      <c r="G125">
        <v>34</v>
      </c>
      <c r="J125">
        <v>0.13076923076923078</v>
      </c>
      <c r="K125" t="s">
        <v>8131</v>
      </c>
      <c r="M125" t="s">
        <v>122</v>
      </c>
      <c r="N125" t="s">
        <v>8135</v>
      </c>
      <c r="U125" s="214"/>
      <c r="V125">
        <v>14</v>
      </c>
      <c r="W125" s="214">
        <v>13</v>
      </c>
    </row>
    <row r="126" spans="1:23">
      <c r="A126" t="s">
        <v>8139</v>
      </c>
      <c r="D126" t="s">
        <v>7449</v>
      </c>
      <c r="E126" t="s">
        <v>7451</v>
      </c>
      <c r="G126">
        <v>96</v>
      </c>
      <c r="J126">
        <v>0.36923076923076925</v>
      </c>
      <c r="K126" t="s">
        <v>8131</v>
      </c>
      <c r="M126" t="s">
        <v>122</v>
      </c>
      <c r="N126" t="s">
        <v>8135</v>
      </c>
      <c r="U126" s="214"/>
      <c r="V126">
        <v>14</v>
      </c>
      <c r="W126" s="214">
        <v>13</v>
      </c>
    </row>
    <row r="127" spans="1:23">
      <c r="A127" t="s">
        <v>8138</v>
      </c>
      <c r="D127" t="s">
        <v>7446</v>
      </c>
      <c r="E127" t="s">
        <v>7447</v>
      </c>
      <c r="G127">
        <v>2</v>
      </c>
      <c r="J127">
        <v>7.6923076923076927E-3</v>
      </c>
      <c r="K127" t="s">
        <v>8131</v>
      </c>
      <c r="M127" t="s">
        <v>122</v>
      </c>
      <c r="N127" t="s">
        <v>8135</v>
      </c>
      <c r="U127" s="214"/>
      <c r="V127">
        <v>14</v>
      </c>
      <c r="W127" s="214">
        <v>13</v>
      </c>
    </row>
    <row r="128" spans="1:23">
      <c r="A128" t="s">
        <v>8137</v>
      </c>
      <c r="D128" t="s">
        <v>7446</v>
      </c>
      <c r="E128" t="s">
        <v>7447</v>
      </c>
      <c r="G128">
        <v>78</v>
      </c>
      <c r="J128">
        <v>0.3</v>
      </c>
      <c r="K128" t="s">
        <v>8131</v>
      </c>
      <c r="M128" t="s">
        <v>122</v>
      </c>
      <c r="N128" t="s">
        <v>8135</v>
      </c>
      <c r="U128" s="214"/>
      <c r="V128">
        <v>14</v>
      </c>
      <c r="W128" s="214">
        <v>13</v>
      </c>
    </row>
    <row r="129" spans="1:23">
      <c r="A129" t="s">
        <v>8136</v>
      </c>
      <c r="D129" t="s">
        <v>7437</v>
      </c>
      <c r="E129" t="s">
        <v>7439</v>
      </c>
      <c r="G129">
        <v>28</v>
      </c>
      <c r="J129">
        <v>0.1076923076923077</v>
      </c>
      <c r="K129" t="s">
        <v>8131</v>
      </c>
      <c r="M129" t="s">
        <v>122</v>
      </c>
      <c r="N129" t="s">
        <v>8135</v>
      </c>
      <c r="U129" s="214"/>
      <c r="V129">
        <v>14</v>
      </c>
      <c r="W129" s="214">
        <v>13</v>
      </c>
    </row>
    <row r="130" spans="1:23">
      <c r="A130" t="s">
        <v>8134</v>
      </c>
      <c r="D130" t="s">
        <v>7437</v>
      </c>
      <c r="E130" t="s">
        <v>7439</v>
      </c>
      <c r="G130">
        <v>22</v>
      </c>
      <c r="J130">
        <v>8.461538461538462E-2</v>
      </c>
      <c r="K130" t="s">
        <v>8131</v>
      </c>
      <c r="M130" t="s">
        <v>122</v>
      </c>
      <c r="N130" t="s">
        <v>8135</v>
      </c>
      <c r="U130" s="214"/>
      <c r="V130">
        <v>14</v>
      </c>
      <c r="W130" s="214">
        <v>13</v>
      </c>
    </row>
    <row r="131" spans="1:23">
      <c r="A131" t="s">
        <v>8130</v>
      </c>
      <c r="B131" t="s">
        <v>310</v>
      </c>
      <c r="D131" t="s">
        <v>7460</v>
      </c>
      <c r="E131" t="s">
        <v>7462</v>
      </c>
      <c r="G131">
        <v>276</v>
      </c>
      <c r="J131">
        <v>1</v>
      </c>
      <c r="K131" t="s">
        <v>8131</v>
      </c>
      <c r="M131" t="s">
        <v>122</v>
      </c>
      <c r="N131" t="s">
        <v>314</v>
      </c>
      <c r="U131" s="214"/>
      <c r="V131">
        <v>10</v>
      </c>
      <c r="W131" s="214">
        <v>9</v>
      </c>
    </row>
    <row r="132" spans="1:23">
      <c r="A132" t="s">
        <v>8145</v>
      </c>
      <c r="D132" t="s">
        <v>7449</v>
      </c>
      <c r="E132" t="s">
        <v>7451</v>
      </c>
      <c r="G132">
        <v>130</v>
      </c>
      <c r="J132">
        <v>0.5</v>
      </c>
      <c r="K132" t="s">
        <v>8131</v>
      </c>
      <c r="M132" t="s">
        <v>122</v>
      </c>
      <c r="N132" t="s">
        <v>314</v>
      </c>
      <c r="U132" s="214"/>
      <c r="V132">
        <v>10</v>
      </c>
      <c r="W132" s="214">
        <v>9</v>
      </c>
    </row>
    <row r="133" spans="1:23">
      <c r="A133" t="s">
        <v>8133</v>
      </c>
      <c r="B133" t="s">
        <v>310</v>
      </c>
      <c r="D133" t="s">
        <v>7460</v>
      </c>
      <c r="E133" t="s">
        <v>7462</v>
      </c>
      <c r="G133">
        <v>276</v>
      </c>
      <c r="J133">
        <v>1</v>
      </c>
      <c r="K133" t="s">
        <v>8131</v>
      </c>
      <c r="M133" t="s">
        <v>122</v>
      </c>
      <c r="N133" t="s">
        <v>314</v>
      </c>
      <c r="U133" s="214"/>
      <c r="V133">
        <v>10</v>
      </c>
      <c r="W133" s="214">
        <v>9</v>
      </c>
    </row>
    <row r="134" spans="1:23">
      <c r="A134" t="s">
        <v>8144</v>
      </c>
      <c r="D134" t="s">
        <v>7437</v>
      </c>
      <c r="E134" t="s">
        <v>7439</v>
      </c>
      <c r="G134">
        <v>130</v>
      </c>
      <c r="J134">
        <v>0.5</v>
      </c>
      <c r="K134" t="s">
        <v>8131</v>
      </c>
      <c r="M134" t="s">
        <v>122</v>
      </c>
      <c r="N134" t="s">
        <v>314</v>
      </c>
      <c r="U134" s="214"/>
      <c r="V134">
        <v>10</v>
      </c>
      <c r="W134" s="214">
        <v>9</v>
      </c>
    </row>
    <row r="135" spans="1:23">
      <c r="A135" t="s">
        <v>8147</v>
      </c>
      <c r="D135" t="s">
        <v>7449</v>
      </c>
      <c r="E135" t="s">
        <v>7451</v>
      </c>
      <c r="G135">
        <v>130</v>
      </c>
      <c r="J135">
        <v>0.5</v>
      </c>
      <c r="K135" t="s">
        <v>8055</v>
      </c>
      <c r="M135" t="s">
        <v>122</v>
      </c>
      <c r="N135" t="s">
        <v>314</v>
      </c>
      <c r="U135" s="214"/>
      <c r="V135">
        <v>10</v>
      </c>
      <c r="W135" s="214">
        <v>9</v>
      </c>
    </row>
    <row r="136" spans="1:23">
      <c r="A136" t="s">
        <v>8148</v>
      </c>
      <c r="D136" t="s">
        <v>7437</v>
      </c>
      <c r="E136" t="s">
        <v>7439</v>
      </c>
      <c r="G136">
        <v>130</v>
      </c>
      <c r="J136">
        <v>0.5</v>
      </c>
      <c r="K136" t="s">
        <v>8055</v>
      </c>
      <c r="M136" t="s">
        <v>122</v>
      </c>
      <c r="N136" t="s">
        <v>314</v>
      </c>
      <c r="U136" s="214"/>
      <c r="V136">
        <v>10</v>
      </c>
      <c r="W136" s="214">
        <v>9</v>
      </c>
    </row>
    <row r="137" spans="1:23">
      <c r="A137" t="s">
        <v>8149</v>
      </c>
      <c r="D137" t="s">
        <v>7449</v>
      </c>
      <c r="E137" t="s">
        <v>7451</v>
      </c>
      <c r="G137">
        <v>130</v>
      </c>
      <c r="J137">
        <v>0.5</v>
      </c>
      <c r="K137" t="s">
        <v>8055</v>
      </c>
      <c r="M137" t="s">
        <v>122</v>
      </c>
      <c r="N137" t="s">
        <v>314</v>
      </c>
      <c r="U137" s="214"/>
      <c r="V137">
        <v>10</v>
      </c>
      <c r="W137" s="214">
        <v>9</v>
      </c>
    </row>
    <row r="138" spans="1:23">
      <c r="A138" t="s">
        <v>8150</v>
      </c>
      <c r="D138" t="s">
        <v>7437</v>
      </c>
      <c r="E138" t="s">
        <v>7439</v>
      </c>
      <c r="G138">
        <v>130</v>
      </c>
      <c r="J138">
        <v>0.5</v>
      </c>
      <c r="K138" t="s">
        <v>8055</v>
      </c>
      <c r="M138" t="s">
        <v>122</v>
      </c>
      <c r="N138"/>
      <c r="U138" s="214"/>
      <c r="V138">
        <v>14</v>
      </c>
      <c r="W138" s="214">
        <v>13</v>
      </c>
    </row>
    <row r="139" spans="1:23">
      <c r="A139" t="s">
        <v>8151</v>
      </c>
      <c r="D139" t="s">
        <v>7449</v>
      </c>
      <c r="E139" t="s">
        <v>7451</v>
      </c>
      <c r="G139">
        <v>130</v>
      </c>
      <c r="J139">
        <v>0.5</v>
      </c>
      <c r="K139" t="s">
        <v>8055</v>
      </c>
      <c r="M139" t="s">
        <v>122</v>
      </c>
      <c r="N139"/>
      <c r="U139" s="214"/>
      <c r="V139">
        <v>14</v>
      </c>
      <c r="W139" s="214">
        <v>13</v>
      </c>
    </row>
    <row r="140" spans="1:23">
      <c r="A140" t="s">
        <v>8146</v>
      </c>
      <c r="D140" t="s">
        <v>7437</v>
      </c>
      <c r="E140" t="s">
        <v>7439</v>
      </c>
      <c r="G140">
        <v>130</v>
      </c>
      <c r="J140">
        <v>0.5</v>
      </c>
      <c r="K140" t="s">
        <v>8055</v>
      </c>
      <c r="M140" t="s">
        <v>122</v>
      </c>
      <c r="N140" t="s">
        <v>314</v>
      </c>
      <c r="U140" s="214"/>
      <c r="V140">
        <v>10</v>
      </c>
      <c r="W140" s="214">
        <v>9</v>
      </c>
    </row>
    <row r="141" spans="1:23">
      <c r="A141" t="s">
        <v>8141</v>
      </c>
      <c r="D141" t="s">
        <v>7471</v>
      </c>
      <c r="E141" t="s">
        <v>7472</v>
      </c>
      <c r="G141">
        <v>126</v>
      </c>
      <c r="J141">
        <v>0.48461538461538461</v>
      </c>
      <c r="K141" t="s">
        <v>8055</v>
      </c>
      <c r="M141" t="s">
        <v>122</v>
      </c>
      <c r="N141" t="s">
        <v>105</v>
      </c>
      <c r="U141" s="214"/>
      <c r="V141">
        <v>7</v>
      </c>
      <c r="W141" s="214">
        <v>6</v>
      </c>
    </row>
    <row r="142" spans="1:23">
      <c r="A142" t="s">
        <v>8142</v>
      </c>
      <c r="D142" t="s">
        <v>7471</v>
      </c>
      <c r="E142" t="s">
        <v>7472</v>
      </c>
      <c r="G142">
        <v>4</v>
      </c>
      <c r="J142">
        <v>1.5384615384615385E-2</v>
      </c>
      <c r="K142" t="s">
        <v>8055</v>
      </c>
      <c r="M142" t="s">
        <v>122</v>
      </c>
      <c r="N142" t="s">
        <v>105</v>
      </c>
      <c r="U142" s="214"/>
      <c r="V142">
        <v>7</v>
      </c>
      <c r="W142" s="214">
        <v>6</v>
      </c>
    </row>
    <row r="143" spans="1:23">
      <c r="A143" t="s">
        <v>8050</v>
      </c>
      <c r="B143" t="s">
        <v>68</v>
      </c>
      <c r="D143" t="s">
        <v>8052</v>
      </c>
      <c r="E143" t="s">
        <v>8053</v>
      </c>
      <c r="G143">
        <v>84</v>
      </c>
      <c r="J143">
        <v>0.42</v>
      </c>
      <c r="K143" t="s">
        <v>8055</v>
      </c>
      <c r="M143" t="s">
        <v>122</v>
      </c>
      <c r="N143"/>
      <c r="U143" s="214"/>
      <c r="V143">
        <v>14</v>
      </c>
      <c r="W143" s="214">
        <v>13</v>
      </c>
    </row>
    <row r="144" spans="1:23">
      <c r="A144" t="s">
        <v>8056</v>
      </c>
      <c r="B144" t="s">
        <v>68</v>
      </c>
      <c r="D144" t="s">
        <v>8057</v>
      </c>
      <c r="E144" t="s">
        <v>8058</v>
      </c>
      <c r="G144">
        <v>16</v>
      </c>
      <c r="J144">
        <v>0.08</v>
      </c>
      <c r="K144" t="s">
        <v>8055</v>
      </c>
      <c r="M144" t="s">
        <v>122</v>
      </c>
      <c r="N144"/>
      <c r="U144" s="214"/>
      <c r="V144">
        <v>14</v>
      </c>
      <c r="W144" s="214">
        <v>13</v>
      </c>
    </row>
    <row r="145" spans="1:23">
      <c r="A145" t="s">
        <v>8059</v>
      </c>
      <c r="B145" t="s">
        <v>68</v>
      </c>
      <c r="D145" t="s">
        <v>8060</v>
      </c>
      <c r="E145" t="s">
        <v>8061</v>
      </c>
      <c r="G145">
        <v>99</v>
      </c>
      <c r="J145">
        <v>0.495</v>
      </c>
      <c r="K145" t="s">
        <v>8055</v>
      </c>
      <c r="M145" t="s">
        <v>122</v>
      </c>
      <c r="N145"/>
      <c r="U145" s="214"/>
      <c r="V145">
        <v>14</v>
      </c>
      <c r="W145" s="214">
        <v>13</v>
      </c>
    </row>
    <row r="146" spans="1:23">
      <c r="A146" t="s">
        <v>8062</v>
      </c>
      <c r="B146" t="s">
        <v>68</v>
      </c>
      <c r="D146" t="s">
        <v>8060</v>
      </c>
      <c r="E146" t="s">
        <v>8061</v>
      </c>
      <c r="G146">
        <v>1</v>
      </c>
      <c r="J146">
        <v>5.0000000000000001E-3</v>
      </c>
      <c r="K146" t="s">
        <v>8055</v>
      </c>
      <c r="M146" t="s">
        <v>122</v>
      </c>
      <c r="N146"/>
      <c r="U146" s="214"/>
      <c r="V146">
        <v>14</v>
      </c>
      <c r="W146" s="214">
        <v>13</v>
      </c>
    </row>
    <row r="147" spans="1:23">
      <c r="A147" t="s">
        <v>8143</v>
      </c>
      <c r="D147" t="s">
        <v>7449</v>
      </c>
      <c r="E147" t="s">
        <v>7451</v>
      </c>
      <c r="G147">
        <v>130</v>
      </c>
      <c r="J147">
        <v>0.5</v>
      </c>
      <c r="K147" t="s">
        <v>8055</v>
      </c>
      <c r="M147" t="s">
        <v>122</v>
      </c>
      <c r="N147" t="s">
        <v>105</v>
      </c>
      <c r="U147" s="214"/>
      <c r="V147">
        <v>7</v>
      </c>
      <c r="W147" s="214">
        <v>6</v>
      </c>
    </row>
    <row r="148" spans="1:23">
      <c r="A148" t="s">
        <v>8162</v>
      </c>
      <c r="D148" t="s">
        <v>7460</v>
      </c>
      <c r="E148" t="s">
        <v>7462</v>
      </c>
      <c r="G148">
        <v>24</v>
      </c>
      <c r="J148">
        <v>8.6956521739130432E-2</v>
      </c>
      <c r="K148" t="s">
        <v>8153</v>
      </c>
      <c r="M148" t="s">
        <v>122</v>
      </c>
      <c r="N148" t="s">
        <v>314</v>
      </c>
      <c r="U148" s="214"/>
      <c r="V148">
        <v>10</v>
      </c>
      <c r="W148" s="214">
        <v>9</v>
      </c>
    </row>
    <row r="149" spans="1:23">
      <c r="A149" t="s">
        <v>8152</v>
      </c>
      <c r="D149" t="s">
        <v>7437</v>
      </c>
      <c r="E149" t="s">
        <v>7439</v>
      </c>
      <c r="G149">
        <v>130</v>
      </c>
      <c r="J149">
        <v>0.5</v>
      </c>
      <c r="K149" t="s">
        <v>8153</v>
      </c>
      <c r="M149" t="s">
        <v>122</v>
      </c>
      <c r="N149"/>
      <c r="U149" s="214"/>
      <c r="V149">
        <v>14</v>
      </c>
      <c r="W149" s="214">
        <v>13</v>
      </c>
    </row>
    <row r="150" spans="1:23">
      <c r="A150" t="s">
        <v>8154</v>
      </c>
      <c r="D150" t="s">
        <v>7449</v>
      </c>
      <c r="E150" t="s">
        <v>7451</v>
      </c>
      <c r="G150">
        <v>130</v>
      </c>
      <c r="J150">
        <v>0.5</v>
      </c>
      <c r="K150" t="s">
        <v>8153</v>
      </c>
      <c r="M150" t="s">
        <v>122</v>
      </c>
      <c r="N150"/>
      <c r="U150" s="214"/>
      <c r="V150">
        <v>14</v>
      </c>
      <c r="W150" s="214">
        <v>13</v>
      </c>
    </row>
    <row r="151" spans="1:23">
      <c r="A151" t="s">
        <v>8155</v>
      </c>
      <c r="D151" t="s">
        <v>7437</v>
      </c>
      <c r="E151" t="s">
        <v>7439</v>
      </c>
      <c r="G151">
        <v>130</v>
      </c>
      <c r="J151">
        <v>0.5</v>
      </c>
      <c r="K151" t="s">
        <v>8153</v>
      </c>
      <c r="M151" t="s">
        <v>122</v>
      </c>
      <c r="N151"/>
      <c r="U151" s="214"/>
      <c r="V151">
        <v>14</v>
      </c>
      <c r="W151" s="214">
        <v>13</v>
      </c>
    </row>
    <row r="152" spans="1:23">
      <c r="A152" t="s">
        <v>8156</v>
      </c>
      <c r="D152" t="s">
        <v>7449</v>
      </c>
      <c r="E152" t="s">
        <v>7451</v>
      </c>
      <c r="G152">
        <v>130</v>
      </c>
      <c r="J152">
        <v>0.5</v>
      </c>
      <c r="K152" t="s">
        <v>8153</v>
      </c>
      <c r="M152" t="s">
        <v>122</v>
      </c>
      <c r="N152"/>
      <c r="U152" s="214"/>
      <c r="V152">
        <v>14</v>
      </c>
      <c r="W152" s="214">
        <v>13</v>
      </c>
    </row>
    <row r="153" spans="1:23">
      <c r="A153" t="s">
        <v>8160</v>
      </c>
      <c r="D153" t="s">
        <v>7460</v>
      </c>
      <c r="E153" t="s">
        <v>7462</v>
      </c>
      <c r="G153">
        <v>528</v>
      </c>
      <c r="J153">
        <v>1.9130434782608696</v>
      </c>
      <c r="K153" t="s">
        <v>8153</v>
      </c>
      <c r="M153" t="s">
        <v>122</v>
      </c>
      <c r="N153" t="s">
        <v>314</v>
      </c>
      <c r="U153" s="214"/>
      <c r="V153">
        <v>10</v>
      </c>
      <c r="W153" s="214">
        <v>9</v>
      </c>
    </row>
    <row r="154" spans="1:23">
      <c r="A154" t="s">
        <v>8157</v>
      </c>
      <c r="D154" t="s">
        <v>7437</v>
      </c>
      <c r="E154" t="s">
        <v>7439</v>
      </c>
      <c r="G154">
        <v>130</v>
      </c>
      <c r="J154">
        <v>0.5</v>
      </c>
      <c r="K154" t="s">
        <v>8158</v>
      </c>
      <c r="M154" t="s">
        <v>122</v>
      </c>
      <c r="N154"/>
      <c r="U154" s="214"/>
      <c r="V154">
        <v>14</v>
      </c>
      <c r="W154" s="214">
        <v>13</v>
      </c>
    </row>
    <row r="155" spans="1:23">
      <c r="A155" t="s">
        <v>8159</v>
      </c>
      <c r="D155" t="s">
        <v>7449</v>
      </c>
      <c r="E155" t="s">
        <v>7451</v>
      </c>
      <c r="G155">
        <v>130</v>
      </c>
      <c r="J155">
        <v>0.5</v>
      </c>
      <c r="K155" t="s">
        <v>8158</v>
      </c>
      <c r="M155" t="s">
        <v>122</v>
      </c>
      <c r="N155"/>
      <c r="U155" s="214"/>
      <c r="V155">
        <v>14</v>
      </c>
      <c r="W155" s="214">
        <v>13</v>
      </c>
    </row>
    <row r="156" spans="1:23">
      <c r="A156" t="s">
        <v>8163</v>
      </c>
      <c r="D156" t="s">
        <v>7460</v>
      </c>
      <c r="E156" t="s">
        <v>7462</v>
      </c>
      <c r="G156">
        <v>276</v>
      </c>
      <c r="J156">
        <v>1</v>
      </c>
      <c r="K156" t="s">
        <v>8164</v>
      </c>
      <c r="M156" t="s">
        <v>122</v>
      </c>
      <c r="N156" t="s">
        <v>105</v>
      </c>
      <c r="U156" s="214"/>
      <c r="V156">
        <v>7</v>
      </c>
      <c r="W156" s="214">
        <v>6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FF00"/>
  </sheetPr>
  <dimension ref="A3:Y76"/>
  <sheetViews>
    <sheetView topLeftCell="C3" zoomScaleNormal="100" workbookViewId="0">
      <selection activeCell="H45" sqref="H45"/>
    </sheetView>
  </sheetViews>
  <sheetFormatPr defaultColWidth="9" defaultRowHeight="13"/>
  <cols>
    <col min="2" max="2" width="25.09765625" customWidth="1"/>
    <col min="3" max="3" width="13.8984375" customWidth="1"/>
    <col min="5" max="6" width="21.3984375" customWidth="1"/>
    <col min="7" max="7" width="25.8984375" customWidth="1"/>
    <col min="8" max="11" width="21.3984375" customWidth="1"/>
    <col min="12" max="12" width="32.89843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8984375" bestFit="1" customWidth="1"/>
    <col min="20" max="20" width="12.59765625" bestFit="1" customWidth="1"/>
    <col min="21" max="21" width="18.59765625" bestFit="1" customWidth="1"/>
    <col min="23" max="23" width="18.09765625" bestFit="1" customWidth="1"/>
    <col min="25" max="25" width="10" bestFit="1" customWidth="1"/>
  </cols>
  <sheetData>
    <row r="3" spans="2:25" ht="27" customHeight="1">
      <c r="B3" s="156" t="s">
        <v>10685</v>
      </c>
      <c r="C3" s="156" t="s">
        <v>10686</v>
      </c>
      <c r="E3" t="s">
        <v>10687</v>
      </c>
      <c r="F3" s="167" t="s">
        <v>31</v>
      </c>
      <c r="G3" s="167" t="s">
        <v>33</v>
      </c>
      <c r="H3" s="167" t="s">
        <v>5</v>
      </c>
      <c r="I3" s="168" t="s">
        <v>10688</v>
      </c>
      <c r="J3" s="169" t="s">
        <v>10689</v>
      </c>
      <c r="K3" s="309" t="s">
        <v>10690</v>
      </c>
      <c r="L3" t="s">
        <v>10557</v>
      </c>
      <c r="N3" s="396" t="s">
        <v>7</v>
      </c>
      <c r="O3" s="397" t="s">
        <v>2498</v>
      </c>
      <c r="Q3" t="s">
        <v>7420</v>
      </c>
      <c r="S3" s="399" t="s">
        <v>33</v>
      </c>
      <c r="T3" s="399" t="s">
        <v>10691</v>
      </c>
      <c r="U3" s="399" t="s">
        <v>10692</v>
      </c>
      <c r="W3" s="352" t="s">
        <v>10693</v>
      </c>
      <c r="Y3" s="352" t="s">
        <v>10694</v>
      </c>
    </row>
    <row r="4" spans="2:25" ht="15" customHeight="1">
      <c r="B4" t="s">
        <v>10695</v>
      </c>
      <c r="C4" s="46">
        <v>46024</v>
      </c>
      <c r="E4" t="str">
        <f>LT_REF[[#This Row],[PORT OF LOADING]]&amp;LT_REF[[#This Row],[PORT DESTINATION]]</f>
        <v>ShanghaiFELIXSTOWE</v>
      </c>
      <c r="F4" t="s">
        <v>123</v>
      </c>
      <c r="G4" t="s">
        <v>456</v>
      </c>
      <c r="H4" t="s">
        <v>450</v>
      </c>
      <c r="I4">
        <v>56</v>
      </c>
      <c r="J4" s="1062">
        <f>LT_REF[[#This Row],[in Days]]/7</f>
        <v>8</v>
      </c>
      <c r="K4">
        <v>7</v>
      </c>
      <c r="N4" t="s">
        <v>67</v>
      </c>
      <c r="O4" t="s">
        <v>2519</v>
      </c>
      <c r="Q4" t="s">
        <v>402</v>
      </c>
      <c r="S4" t="s">
        <v>105</v>
      </c>
      <c r="T4" t="s">
        <v>109</v>
      </c>
      <c r="U4" t="s">
        <v>10696</v>
      </c>
      <c r="W4" s="352" t="s">
        <v>68</v>
      </c>
      <c r="Y4" s="352" t="s">
        <v>68</v>
      </c>
    </row>
    <row r="5" spans="2:25" ht="15" customHeight="1">
      <c r="B5" t="s">
        <v>10697</v>
      </c>
      <c r="C5" s="46">
        <v>46031</v>
      </c>
      <c r="E5" t="s">
        <v>10698</v>
      </c>
      <c r="F5" t="s">
        <v>77</v>
      </c>
      <c r="G5" t="s">
        <v>456</v>
      </c>
      <c r="H5" t="s">
        <v>450</v>
      </c>
      <c r="I5">
        <f>I4+14</f>
        <v>70</v>
      </c>
      <c r="J5" s="1062">
        <f>LT_REF[[#This Row],[in Days]]/7</f>
        <v>10</v>
      </c>
      <c r="K5">
        <v>7</v>
      </c>
      <c r="N5" t="s">
        <v>311</v>
      </c>
      <c r="O5" t="s">
        <v>2542</v>
      </c>
      <c r="Q5" t="s">
        <v>146</v>
      </c>
      <c r="S5" t="s">
        <v>78</v>
      </c>
      <c r="T5" t="s">
        <v>86</v>
      </c>
      <c r="U5" t="s">
        <v>10538</v>
      </c>
      <c r="W5" s="352" t="s">
        <v>7388</v>
      </c>
      <c r="Y5" s="352" t="s">
        <v>689</v>
      </c>
    </row>
    <row r="6" spans="2:25" ht="15" customHeight="1">
      <c r="B6" t="s">
        <v>10699</v>
      </c>
      <c r="C6" s="46">
        <v>46038</v>
      </c>
      <c r="E6" t="str">
        <f>LT_REF[[#This Row],[PORT OF LOADING]]&amp;LT_REF[[#This Row],[PORT DESTINATION]]</f>
        <v>NingboFELIXSTOWE</v>
      </c>
      <c r="F6" t="s">
        <v>5994</v>
      </c>
      <c r="G6" t="s">
        <v>456</v>
      </c>
      <c r="H6" t="s">
        <v>450</v>
      </c>
      <c r="I6">
        <f>I4</f>
        <v>56</v>
      </c>
      <c r="J6" s="1062">
        <f>LT_REF[[#This Row],[in Days]]/7</f>
        <v>8</v>
      </c>
      <c r="K6">
        <v>7</v>
      </c>
      <c r="N6" t="s">
        <v>451</v>
      </c>
      <c r="O6" t="s">
        <v>2876</v>
      </c>
      <c r="Q6" s="398" t="s">
        <v>156</v>
      </c>
      <c r="S6" t="s">
        <v>356</v>
      </c>
      <c r="T6" t="s">
        <v>109</v>
      </c>
      <c r="U6" t="s">
        <v>10538</v>
      </c>
      <c r="W6" s="352" t="s">
        <v>10700</v>
      </c>
      <c r="Y6" s="352" t="s">
        <v>882</v>
      </c>
    </row>
    <row r="7" spans="2:25" ht="15" customHeight="1">
      <c r="B7" t="s">
        <v>10701</v>
      </c>
      <c r="C7" s="46">
        <v>46045</v>
      </c>
      <c r="E7" t="str">
        <f>LT_REF[[#This Row],[PORT OF LOADING]]&amp;LT_REF[[#This Row],[PORT DESTINATION]]</f>
        <v>ShanghaiFOS SUR MER</v>
      </c>
      <c r="F7" t="s">
        <v>123</v>
      </c>
      <c r="G7" t="s">
        <v>78</v>
      </c>
      <c r="H7" t="s">
        <v>65</v>
      </c>
      <c r="I7">
        <v>60</v>
      </c>
      <c r="J7" s="1062">
        <f>LT_REF[[#This Row],[in Days]]/7</f>
        <v>8.5714285714285712</v>
      </c>
      <c r="K7">
        <v>8</v>
      </c>
      <c r="N7" t="s">
        <v>115</v>
      </c>
      <c r="O7" t="s">
        <v>2527</v>
      </c>
      <c r="Q7" t="s">
        <v>10702</v>
      </c>
      <c r="S7" t="s">
        <v>314</v>
      </c>
      <c r="T7" t="s">
        <v>86</v>
      </c>
      <c r="U7" t="s">
        <v>10499</v>
      </c>
      <c r="W7" s="352" t="s">
        <v>10703</v>
      </c>
      <c r="Y7" s="352" t="s">
        <v>822</v>
      </c>
    </row>
    <row r="8" spans="2:25" ht="15" customHeight="1">
      <c r="B8" t="s">
        <v>10704</v>
      </c>
      <c r="C8" s="46">
        <v>46052</v>
      </c>
      <c r="E8" t="str">
        <f>LT_REF[[#This Row],[PORT OF LOADING]]&amp;LT_REF[[#This Row],[PORT DESTINATION]]</f>
        <v>TIANJINFOS SUR MER</v>
      </c>
      <c r="F8" t="s">
        <v>77</v>
      </c>
      <c r="G8" t="s">
        <v>78</v>
      </c>
      <c r="H8" t="s">
        <v>65</v>
      </c>
      <c r="I8">
        <f>I7+14</f>
        <v>74</v>
      </c>
      <c r="J8" s="1062">
        <f>LT_REF[[#This Row],[in Days]]/7</f>
        <v>10.571428571428571</v>
      </c>
      <c r="K8">
        <v>8</v>
      </c>
      <c r="N8" t="s">
        <v>941</v>
      </c>
      <c r="O8" t="s">
        <v>10705</v>
      </c>
      <c r="Q8" t="s">
        <v>10706</v>
      </c>
      <c r="S8" t="s">
        <v>1561</v>
      </c>
      <c r="T8" t="s">
        <v>86</v>
      </c>
      <c r="U8" t="s">
        <v>10499</v>
      </c>
      <c r="W8" s="352" t="s">
        <v>10707</v>
      </c>
      <c r="Y8" s="352" t="s">
        <v>1395</v>
      </c>
    </row>
    <row r="9" spans="2:25" ht="15" customHeight="1">
      <c r="B9" t="s">
        <v>10708</v>
      </c>
      <c r="C9" s="46">
        <v>46059</v>
      </c>
      <c r="E9" t="str">
        <f>LT_REF[[#This Row],[PORT OF LOADING]]&amp;LT_REF[[#This Row],[PORT DESTINATION]]</f>
        <v>NingboFOS SUR MER</v>
      </c>
      <c r="F9" t="s">
        <v>5994</v>
      </c>
      <c r="G9" t="s">
        <v>78</v>
      </c>
      <c r="H9" t="s">
        <v>65</v>
      </c>
      <c r="I9">
        <f>I7</f>
        <v>60</v>
      </c>
      <c r="J9" s="1062">
        <f>LT_REF[[#This Row],[in Days]]/7</f>
        <v>8.5714285714285712</v>
      </c>
      <c r="K9">
        <v>8</v>
      </c>
      <c r="N9" t="s">
        <v>68</v>
      </c>
      <c r="O9" t="s">
        <v>68</v>
      </c>
      <c r="Q9" t="s">
        <v>66</v>
      </c>
      <c r="S9" t="s">
        <v>124</v>
      </c>
      <c r="T9" t="s">
        <v>86</v>
      </c>
      <c r="U9" t="s">
        <v>10709</v>
      </c>
      <c r="W9" s="228"/>
      <c r="Y9" s="352" t="s">
        <v>2004</v>
      </c>
    </row>
    <row r="10" spans="2:25" ht="15" customHeight="1">
      <c r="B10" t="s">
        <v>10710</v>
      </c>
      <c r="C10" s="46">
        <v>46066</v>
      </c>
      <c r="E10" t="str">
        <f>LT_REF[[#This Row],[PORT OF LOADING]]&amp;LT_REF[[#This Row],[PORT DESTINATION]]</f>
        <v>ShanghaiGENOA</v>
      </c>
      <c r="F10" t="s">
        <v>123</v>
      </c>
      <c r="G10" t="s">
        <v>314</v>
      </c>
      <c r="H10" t="s">
        <v>310</v>
      </c>
      <c r="I10">
        <v>60</v>
      </c>
      <c r="J10" s="1062">
        <f>LT_REF[[#This Row],[in Days]]/7</f>
        <v>8.5714285714285712</v>
      </c>
      <c r="K10">
        <v>10</v>
      </c>
      <c r="L10" s="259"/>
      <c r="N10" t="s">
        <v>2716</v>
      </c>
      <c r="O10" t="s">
        <v>2711</v>
      </c>
      <c r="Q10" t="s">
        <v>68</v>
      </c>
      <c r="Y10" s="352" t="s">
        <v>869</v>
      </c>
    </row>
    <row r="11" spans="2:25" ht="15" customHeight="1">
      <c r="B11" t="s">
        <v>10711</v>
      </c>
      <c r="C11" s="46">
        <v>46073</v>
      </c>
      <c r="E11" t="str">
        <f>LT_REF[[#This Row],[PORT OF LOADING]]&amp;LT_REF[[#This Row],[PORT DESTINATION]]</f>
        <v>TIANJINGENOA</v>
      </c>
      <c r="F11" t="s">
        <v>77</v>
      </c>
      <c r="G11" t="s">
        <v>314</v>
      </c>
      <c r="H11" t="s">
        <v>310</v>
      </c>
      <c r="I11">
        <f>I10+14</f>
        <v>74</v>
      </c>
      <c r="J11" s="1062">
        <f>LT_REF[[#This Row],[in Days]]/7</f>
        <v>10.571428571428571</v>
      </c>
      <c r="K11">
        <v>10</v>
      </c>
      <c r="N11" t="s">
        <v>4351</v>
      </c>
      <c r="O11" t="s">
        <v>2534</v>
      </c>
      <c r="S11" t="s">
        <v>10712</v>
      </c>
      <c r="T11" t="s">
        <v>86</v>
      </c>
      <c r="U11" t="s">
        <v>10713</v>
      </c>
    </row>
    <row r="12" spans="2:25" ht="15" customHeight="1">
      <c r="B12" t="s">
        <v>10714</v>
      </c>
      <c r="C12" s="46">
        <v>46080</v>
      </c>
      <c r="E12" t="str">
        <f>LT_REF[[#This Row],[PORT OF LOADING]]&amp;LT_REF[[#This Row],[PORT DESTINATION]]</f>
        <v>NingboGENOA</v>
      </c>
      <c r="F12" t="s">
        <v>5994</v>
      </c>
      <c r="G12" t="s">
        <v>314</v>
      </c>
      <c r="H12" t="s">
        <v>310</v>
      </c>
      <c r="I12">
        <f>I10</f>
        <v>60</v>
      </c>
      <c r="J12" s="1062">
        <f>LT_REF[[#This Row],[in Days]]/7</f>
        <v>8.5714285714285712</v>
      </c>
      <c r="K12">
        <v>10</v>
      </c>
      <c r="N12" t="s">
        <v>147</v>
      </c>
      <c r="O12" t="s">
        <v>2711</v>
      </c>
      <c r="S12" t="s">
        <v>888</v>
      </c>
      <c r="T12" t="s">
        <v>109</v>
      </c>
      <c r="U12" t="s">
        <v>10715</v>
      </c>
    </row>
    <row r="13" spans="2:25" ht="15" customHeight="1">
      <c r="B13" t="s">
        <v>9642</v>
      </c>
      <c r="C13" s="46">
        <v>46087</v>
      </c>
      <c r="E13" t="str">
        <f>LT_REF[[#This Row],[PORT OF LOADING]]&amp;LT_REF[[#This Row],[PORT DESTINATION]]</f>
        <v>ShanghaiNAPLES</v>
      </c>
      <c r="F13" t="s">
        <v>123</v>
      </c>
      <c r="G13" t="s">
        <v>1561</v>
      </c>
      <c r="H13" t="s">
        <v>310</v>
      </c>
      <c r="I13">
        <v>60</v>
      </c>
      <c r="J13" s="1062">
        <f>LT_REF[[#This Row],[in Days]]/7</f>
        <v>8.5714285714285712</v>
      </c>
      <c r="K13">
        <v>10</v>
      </c>
      <c r="N13" t="s">
        <v>1080</v>
      </c>
      <c r="O13" t="s">
        <v>2764</v>
      </c>
      <c r="S13" t="s">
        <v>2301</v>
      </c>
      <c r="T13" t="s">
        <v>109</v>
      </c>
      <c r="U13" t="s">
        <v>10716</v>
      </c>
    </row>
    <row r="14" spans="2:25" ht="15" customHeight="1">
      <c r="B14" t="s">
        <v>10717</v>
      </c>
      <c r="C14" s="46">
        <v>46094</v>
      </c>
      <c r="E14" t="str">
        <f>LT_REF[[#This Row],[PORT OF LOADING]]&amp;LT_REF[[#This Row],[PORT DESTINATION]]</f>
        <v>TIANJINNAPLES</v>
      </c>
      <c r="F14" t="s">
        <v>77</v>
      </c>
      <c r="G14" t="s">
        <v>1561</v>
      </c>
      <c r="H14" t="s">
        <v>310</v>
      </c>
      <c r="I14">
        <f>I13+14</f>
        <v>74</v>
      </c>
      <c r="J14" s="1062">
        <f>LT_REF[[#This Row],[in Days]]/7</f>
        <v>10.571428571428571</v>
      </c>
      <c r="K14">
        <v>10</v>
      </c>
      <c r="N14" t="s">
        <v>881</v>
      </c>
      <c r="O14" t="s">
        <v>2534</v>
      </c>
      <c r="S14" t="s">
        <v>159</v>
      </c>
      <c r="T14" t="s">
        <v>109</v>
      </c>
      <c r="U14" t="s">
        <v>10718</v>
      </c>
    </row>
    <row r="15" spans="2:25" ht="15" customHeight="1">
      <c r="B15" t="s">
        <v>9668</v>
      </c>
      <c r="C15" s="46">
        <v>46101</v>
      </c>
      <c r="E15" t="str">
        <f>LT_REF[[#This Row],[PORT OF LOADING]]&amp;LT_REF[[#This Row],[PORT DESTINATION]]</f>
        <v>NingboNAPLES</v>
      </c>
      <c r="F15" t="s">
        <v>5994</v>
      </c>
      <c r="G15" t="s">
        <v>1561</v>
      </c>
      <c r="H15" t="s">
        <v>310</v>
      </c>
      <c r="I15">
        <f>I13</f>
        <v>60</v>
      </c>
      <c r="J15" s="1062">
        <f>LT_REF[[#This Row],[in Days]]/7</f>
        <v>8.5714285714285712</v>
      </c>
      <c r="K15">
        <v>10</v>
      </c>
      <c r="N15" t="s">
        <v>10719</v>
      </c>
      <c r="O15" t="s">
        <v>2534</v>
      </c>
      <c r="S15" t="s">
        <v>532</v>
      </c>
      <c r="T15" t="s">
        <v>109</v>
      </c>
      <c r="U15" t="s">
        <v>10720</v>
      </c>
    </row>
    <row r="16" spans="2:25" ht="15" customHeight="1">
      <c r="B16" t="s">
        <v>7630</v>
      </c>
      <c r="C16" s="46">
        <v>46108</v>
      </c>
      <c r="E16" t="str">
        <f>LT_REF[[#This Row],[PORT OF LOADING]]&amp;LT_REF[[#This Row],[PORT DESTINATION]]</f>
        <v>ShanghaiROTTERDAM</v>
      </c>
      <c r="F16" t="s">
        <v>123</v>
      </c>
      <c r="G16" t="s">
        <v>105</v>
      </c>
      <c r="H16" t="s">
        <v>100</v>
      </c>
      <c r="I16">
        <v>56</v>
      </c>
      <c r="J16" s="1062">
        <f>LT_REF[[#This Row],[in Days]]/7</f>
        <v>8</v>
      </c>
      <c r="K16">
        <v>7</v>
      </c>
      <c r="N16" t="s">
        <v>538</v>
      </c>
      <c r="O16" t="s">
        <v>2876</v>
      </c>
      <c r="S16" t="s">
        <v>1084</v>
      </c>
      <c r="T16" t="s">
        <v>109</v>
      </c>
      <c r="U16" t="s">
        <v>10721</v>
      </c>
    </row>
    <row r="17" spans="2:21" ht="15" customHeight="1">
      <c r="B17" t="s">
        <v>10722</v>
      </c>
      <c r="C17" s="46">
        <v>46115</v>
      </c>
      <c r="E17" t="str">
        <f>LT_REF[[#This Row],[PORT OF LOADING]]&amp;LT_REF[[#This Row],[PORT DESTINATION]]</f>
        <v>TIANJINROTTERDAM</v>
      </c>
      <c r="F17" t="s">
        <v>77</v>
      </c>
      <c r="G17" t="s">
        <v>105</v>
      </c>
      <c r="H17" t="s">
        <v>100</v>
      </c>
      <c r="I17">
        <v>77</v>
      </c>
      <c r="J17" s="1062">
        <f>LT_REF[[#This Row],[in Days]]/7</f>
        <v>11</v>
      </c>
      <c r="K17">
        <v>7</v>
      </c>
      <c r="N17" t="s">
        <v>593</v>
      </c>
      <c r="O17" t="s">
        <v>2573</v>
      </c>
      <c r="S17" t="s">
        <v>541</v>
      </c>
      <c r="T17" t="s">
        <v>109</v>
      </c>
      <c r="U17" t="s">
        <v>10723</v>
      </c>
    </row>
    <row r="18" spans="2:21" ht="15" customHeight="1">
      <c r="B18" t="s">
        <v>10724</v>
      </c>
      <c r="C18" s="46">
        <v>46122</v>
      </c>
      <c r="E18" t="str">
        <f>LT_REF[[#This Row],[PORT OF LOADING]]&amp;LT_REF[[#This Row],[PORT DESTINATION]]</f>
        <v>NingboROTTERDAM</v>
      </c>
      <c r="F18" t="s">
        <v>5994</v>
      </c>
      <c r="G18" t="s">
        <v>105</v>
      </c>
      <c r="H18" t="s">
        <v>100</v>
      </c>
      <c r="I18">
        <f>I16</f>
        <v>56</v>
      </c>
      <c r="J18" s="1062">
        <f>LT_REF[[#This Row],[in Days]]/7</f>
        <v>8</v>
      </c>
      <c r="K18">
        <v>7</v>
      </c>
      <c r="N18" t="s">
        <v>526</v>
      </c>
      <c r="O18" t="s">
        <v>2814</v>
      </c>
      <c r="S18" t="s">
        <v>456</v>
      </c>
      <c r="T18" t="s">
        <v>109</v>
      </c>
      <c r="U18" t="s">
        <v>10716</v>
      </c>
    </row>
    <row r="19" spans="2:21" ht="15" customHeight="1">
      <c r="B19" t="s">
        <v>2152</v>
      </c>
      <c r="C19" s="46">
        <v>46129</v>
      </c>
      <c r="E19" t="str">
        <f>LT_REF[[#This Row],[PORT OF LOADING]]&amp;LT_REF[[#This Row],[PORT DESTINATION]]</f>
        <v>ShanghaiVALENCIA</v>
      </c>
      <c r="F19" t="s">
        <v>123</v>
      </c>
      <c r="G19" t="s">
        <v>124</v>
      </c>
      <c r="H19" t="s">
        <v>114</v>
      </c>
      <c r="I19">
        <v>56</v>
      </c>
      <c r="J19" s="1062">
        <f>LT_REF[[#This Row],[in Days]]/7</f>
        <v>8</v>
      </c>
      <c r="K19">
        <v>9</v>
      </c>
      <c r="N19" t="s">
        <v>670</v>
      </c>
      <c r="O19" t="s">
        <v>2777</v>
      </c>
      <c r="S19" t="s">
        <v>10725</v>
      </c>
      <c r="T19" t="s">
        <v>86</v>
      </c>
      <c r="U19" t="s">
        <v>10713</v>
      </c>
    </row>
    <row r="20" spans="2:21" ht="15" customHeight="1">
      <c r="B20" t="s">
        <v>10726</v>
      </c>
      <c r="C20" s="46">
        <v>46136</v>
      </c>
      <c r="E20" t="str">
        <f>LT_REF[[#This Row],[PORT OF LOADING]]&amp;LT_REF[[#This Row],[PORT DESTINATION]]</f>
        <v>TIANJINVALENCIA</v>
      </c>
      <c r="F20" t="s">
        <v>77</v>
      </c>
      <c r="G20" t="s">
        <v>124</v>
      </c>
      <c r="H20" t="s">
        <v>114</v>
      </c>
      <c r="I20">
        <f>I19+14</f>
        <v>70</v>
      </c>
      <c r="J20" s="1062">
        <f>LT_REF[[#This Row],[in Days]]/7</f>
        <v>10</v>
      </c>
      <c r="K20">
        <v>9</v>
      </c>
      <c r="N20" t="s">
        <v>1912</v>
      </c>
      <c r="O20" t="s">
        <v>2573</v>
      </c>
      <c r="S20" t="s">
        <v>7187</v>
      </c>
      <c r="T20" t="s">
        <v>68</v>
      </c>
      <c r="U20" t="s">
        <v>68</v>
      </c>
    </row>
    <row r="21" spans="2:21" ht="15" customHeight="1">
      <c r="B21" t="s">
        <v>7603</v>
      </c>
      <c r="C21" s="46">
        <v>46143</v>
      </c>
      <c r="E21" t="str">
        <f>LT_REF[[#This Row],[PORT OF LOADING]]&amp;LT_REF[[#This Row],[PORT DESTINATION]]</f>
        <v>NingboVALENCIA</v>
      </c>
      <c r="F21" t="s">
        <v>5994</v>
      </c>
      <c r="G21" t="s">
        <v>124</v>
      </c>
      <c r="H21" t="s">
        <v>114</v>
      </c>
      <c r="I21">
        <f>I19</f>
        <v>56</v>
      </c>
      <c r="J21" s="1062">
        <f>LT_REF[[#This Row],[in Days]]/7</f>
        <v>8</v>
      </c>
      <c r="K21">
        <v>9</v>
      </c>
      <c r="N21" t="s">
        <v>157</v>
      </c>
      <c r="O21" t="s">
        <v>2534</v>
      </c>
      <c r="S21" t="s">
        <v>68</v>
      </c>
      <c r="T21" t="s">
        <v>68</v>
      </c>
      <c r="U21" t="s">
        <v>68</v>
      </c>
    </row>
    <row r="22" spans="2:21" ht="15" customHeight="1">
      <c r="B22" t="s">
        <v>7609</v>
      </c>
      <c r="C22" s="46">
        <v>46150</v>
      </c>
      <c r="E22" t="str">
        <f>LT_REF[[#This Row],[PORT OF LOADING]]&amp;LT_REF[[#This Row],[PORT DESTINATION]]</f>
        <v>ShanghaiLE HAVRE</v>
      </c>
      <c r="F22" t="s">
        <v>123</v>
      </c>
      <c r="G22" t="s">
        <v>356</v>
      </c>
      <c r="H22" t="s">
        <v>65</v>
      </c>
      <c r="I22">
        <v>56</v>
      </c>
      <c r="J22" s="1062">
        <f>LT_REF[[#This Row],[in Days]]/7</f>
        <v>8</v>
      </c>
      <c r="K22">
        <v>10</v>
      </c>
      <c r="N22" t="s">
        <v>1449</v>
      </c>
      <c r="O22" t="s">
        <v>2777</v>
      </c>
      <c r="S22" t="s">
        <v>5787</v>
      </c>
      <c r="T22" t="s">
        <v>68</v>
      </c>
      <c r="U22" t="s">
        <v>10727</v>
      </c>
    </row>
    <row r="23" spans="2:21" ht="15" customHeight="1">
      <c r="B23" t="s">
        <v>7650</v>
      </c>
      <c r="C23" s="46">
        <v>46157</v>
      </c>
      <c r="E23" t="str">
        <f>LT_REF[[#This Row],[PORT OF LOADING]]&amp;LT_REF[[#This Row],[PORT DESTINATION]]</f>
        <v>TIANJINLE HAVRE</v>
      </c>
      <c r="F23" t="s">
        <v>77</v>
      </c>
      <c r="G23" t="s">
        <v>356</v>
      </c>
      <c r="H23" t="s">
        <v>65</v>
      </c>
      <c r="I23">
        <f>I22+14</f>
        <v>70</v>
      </c>
      <c r="J23" s="1062">
        <f>LT_REF[[#This Row],[in Days]]/7</f>
        <v>10</v>
      </c>
      <c r="K23">
        <v>10</v>
      </c>
      <c r="N23" t="s">
        <v>2394</v>
      </c>
      <c r="O23" t="s">
        <v>2534</v>
      </c>
      <c r="S23" t="s">
        <v>1404</v>
      </c>
      <c r="T23" t="s">
        <v>68</v>
      </c>
      <c r="U23" t="s">
        <v>68</v>
      </c>
    </row>
    <row r="24" spans="2:21" ht="15" customHeight="1">
      <c r="B24" t="s">
        <v>2452</v>
      </c>
      <c r="C24" s="46">
        <v>46164</v>
      </c>
      <c r="E24" t="str">
        <f>LT_REF[[#This Row],[PORT OF LOADING]]&amp;LT_REF[[#This Row],[PORT DESTINATION]]</f>
        <v>NingboLE HAVRE</v>
      </c>
      <c r="F24" t="s">
        <v>5994</v>
      </c>
      <c r="G24" t="s">
        <v>356</v>
      </c>
      <c r="H24" t="s">
        <v>65</v>
      </c>
      <c r="I24">
        <f>I22</f>
        <v>56</v>
      </c>
      <c r="J24" s="1062">
        <f>LT_REF[[#This Row],[in Days]]/7</f>
        <v>8</v>
      </c>
      <c r="K24">
        <v>10</v>
      </c>
      <c r="N24" t="s">
        <v>1029</v>
      </c>
      <c r="O24" t="s">
        <v>2534</v>
      </c>
      <c r="S24" t="s">
        <v>946</v>
      </c>
      <c r="T24" t="s">
        <v>68</v>
      </c>
      <c r="U24" t="s">
        <v>68</v>
      </c>
    </row>
    <row r="25" spans="2:21" ht="15" customHeight="1">
      <c r="B25" t="s">
        <v>2453</v>
      </c>
      <c r="C25" s="46">
        <v>46171</v>
      </c>
      <c r="E25" t="str">
        <f>LT_REF[[#This Row],[PORT OF LOADING]]&amp;LT_REF[[#This Row],[PORT DESTINATION]]</f>
        <v>ShanghaiCORK</v>
      </c>
      <c r="F25" t="s">
        <v>123</v>
      </c>
      <c r="G25" t="s">
        <v>541</v>
      </c>
      <c r="I25">
        <f>I4</f>
        <v>56</v>
      </c>
      <c r="J25" s="1062">
        <f>LT_REF[[#This Row],[in Days]]/7</f>
        <v>8</v>
      </c>
      <c r="K25">
        <v>0</v>
      </c>
      <c r="N25" t="s">
        <v>10728</v>
      </c>
      <c r="O25" t="s">
        <v>2573</v>
      </c>
      <c r="S25" t="s">
        <v>953</v>
      </c>
      <c r="T25" t="s">
        <v>68</v>
      </c>
      <c r="U25" t="s">
        <v>68</v>
      </c>
    </row>
    <row r="26" spans="2:21" ht="15" customHeight="1">
      <c r="B26" t="s">
        <v>2454</v>
      </c>
      <c r="C26" s="46">
        <v>46178</v>
      </c>
      <c r="E26" t="str">
        <f>LT_REF[[#This Row],[PORT OF LOADING]]&amp;LT_REF[[#This Row],[PORT DESTINATION]]</f>
        <v>TIANJINCORK</v>
      </c>
      <c r="F26" t="s">
        <v>77</v>
      </c>
      <c r="G26" t="s">
        <v>541</v>
      </c>
      <c r="I26">
        <f>I25+14</f>
        <v>70</v>
      </c>
      <c r="J26" s="1062">
        <f>LT_REF[[#This Row],[in Days]]/7</f>
        <v>10</v>
      </c>
      <c r="K26">
        <v>0</v>
      </c>
      <c r="N26" t="s">
        <v>1156</v>
      </c>
      <c r="O26" t="s">
        <v>2711</v>
      </c>
      <c r="Q26" s="1193"/>
      <c r="S26" t="s">
        <v>5029</v>
      </c>
      <c r="T26" t="s">
        <v>68</v>
      </c>
      <c r="U26" t="s">
        <v>68</v>
      </c>
    </row>
    <row r="27" spans="2:21" ht="15" customHeight="1">
      <c r="B27" t="s">
        <v>2455</v>
      </c>
      <c r="C27" s="46">
        <f t="shared" ref="C27:C32" si="0">C26+7</f>
        <v>46185</v>
      </c>
      <c r="E27" t="str">
        <f>LT_REF[[#This Row],[PORT OF LOADING]]&amp;LT_REF[[#This Row],[PORT DESTINATION]]</f>
        <v>NingboCORK</v>
      </c>
      <c r="F27" t="s">
        <v>5994</v>
      </c>
      <c r="G27" t="s">
        <v>541</v>
      </c>
      <c r="I27">
        <f>I25</f>
        <v>56</v>
      </c>
      <c r="J27" s="1062">
        <f>LT_REF[[#This Row],[in Days]]/7</f>
        <v>8</v>
      </c>
      <c r="K27">
        <v>0</v>
      </c>
      <c r="L27">
        <v>7</v>
      </c>
      <c r="N27" t="s">
        <v>1381</v>
      </c>
      <c r="O27" t="s">
        <v>2876</v>
      </c>
      <c r="S27" t="s">
        <v>4781</v>
      </c>
      <c r="T27" t="s">
        <v>68</v>
      </c>
      <c r="U27" t="s">
        <v>68</v>
      </c>
    </row>
    <row r="28" spans="2:21" ht="15" customHeight="1">
      <c r="B28" t="s">
        <v>2456</v>
      </c>
      <c r="C28" s="46">
        <f t="shared" si="0"/>
        <v>46192</v>
      </c>
      <c r="E28" t="str">
        <f>LT_REF[[#This Row],[PORT OF LOADING]]&amp;LT_REF[[#This Row],[PORT DESTINATION]]</f>
        <v>ShanghaiAARHUS</v>
      </c>
      <c r="F28" t="s">
        <v>123</v>
      </c>
      <c r="G28" t="s">
        <v>532</v>
      </c>
      <c r="I28">
        <v>63</v>
      </c>
      <c r="J28" s="1062">
        <f>LT_REF[[#This Row],[in Days]]/7</f>
        <v>9</v>
      </c>
      <c r="K28">
        <v>0</v>
      </c>
      <c r="N28" t="s">
        <v>1280</v>
      </c>
      <c r="O28" t="s">
        <v>2876</v>
      </c>
      <c r="S28" t="s">
        <v>5777</v>
      </c>
      <c r="T28" t="s">
        <v>68</v>
      </c>
      <c r="U28" t="s">
        <v>68</v>
      </c>
    </row>
    <row r="29" spans="2:21" ht="15" customHeight="1">
      <c r="B29" t="s">
        <v>2457</v>
      </c>
      <c r="C29" s="46">
        <f t="shared" si="0"/>
        <v>46199</v>
      </c>
      <c r="E29" t="str">
        <f>LT_REF[[#This Row],[PORT OF LOADING]]&amp;LT_REF[[#This Row],[PORT DESTINATION]]</f>
        <v>TIANJINAARHUS</v>
      </c>
      <c r="F29" t="s">
        <v>77</v>
      </c>
      <c r="G29" t="s">
        <v>532</v>
      </c>
      <c r="I29">
        <f>I28+14</f>
        <v>77</v>
      </c>
      <c r="J29" s="1062">
        <f>LT_REF[[#This Row],[in Days]]/7</f>
        <v>11</v>
      </c>
      <c r="K29">
        <v>0</v>
      </c>
      <c r="N29" t="s">
        <v>1275</v>
      </c>
      <c r="O29" t="s">
        <v>2876</v>
      </c>
      <c r="S29" s="1193" t="s">
        <v>7076</v>
      </c>
      <c r="T29" t="s">
        <v>68</v>
      </c>
      <c r="U29" t="s">
        <v>68</v>
      </c>
    </row>
    <row r="30" spans="2:21" ht="15" customHeight="1">
      <c r="B30" t="s">
        <v>2458</v>
      </c>
      <c r="C30" s="46">
        <f t="shared" si="0"/>
        <v>46206</v>
      </c>
      <c r="E30" t="str">
        <f>LT_REF[[#This Row],[PORT OF LOADING]]&amp;LT_REF[[#This Row],[PORT DESTINATION]]</f>
        <v>ShanghaiKLAIPEDA</v>
      </c>
      <c r="F30" t="s">
        <v>123</v>
      </c>
      <c r="G30" t="s">
        <v>159</v>
      </c>
      <c r="I30">
        <v>56</v>
      </c>
      <c r="J30" s="1062">
        <f>LT_REF[[#This Row],[in Days]]/7</f>
        <v>8</v>
      </c>
      <c r="K30">
        <v>0</v>
      </c>
      <c r="L30" t="s">
        <v>10729</v>
      </c>
      <c r="N30" t="s">
        <v>1269</v>
      </c>
      <c r="O30" t="s">
        <v>2876</v>
      </c>
      <c r="S30" s="965" t="s">
        <v>6510</v>
      </c>
      <c r="T30" t="s">
        <v>68</v>
      </c>
      <c r="U30" t="s">
        <v>68</v>
      </c>
    </row>
    <row r="31" spans="2:21" ht="15" customHeight="1">
      <c r="B31" t="s">
        <v>2459</v>
      </c>
      <c r="C31" s="46">
        <f t="shared" si="0"/>
        <v>46213</v>
      </c>
      <c r="E31" t="str">
        <f>LT_REF[[#This Row],[PORT OF LOADING]]&amp;LT_REF[[#This Row],[PORT DESTINATION]]</f>
        <v>TIANJINKLAIPEDA</v>
      </c>
      <c r="F31" t="s">
        <v>77</v>
      </c>
      <c r="G31" t="s">
        <v>159</v>
      </c>
      <c r="I31">
        <f>I30+14</f>
        <v>70</v>
      </c>
      <c r="J31" s="1062">
        <f>LT_REF[[#This Row],[in Days]]/7</f>
        <v>10</v>
      </c>
      <c r="K31">
        <v>0</v>
      </c>
      <c r="N31" t="s">
        <v>5267</v>
      </c>
      <c r="O31" t="s">
        <v>2534</v>
      </c>
    </row>
    <row r="32" spans="2:21" ht="15" customHeight="1">
      <c r="B32" t="s">
        <v>2460</v>
      </c>
      <c r="C32" s="46">
        <f t="shared" si="0"/>
        <v>46220</v>
      </c>
      <c r="E32" t="str">
        <f>LT_REF[[#This Row],[PORT OF LOADING]]&amp;LT_REF[[#This Row],[PORT DESTINATION]]</f>
        <v>ShanghaiGDANSK</v>
      </c>
      <c r="F32" t="s">
        <v>123</v>
      </c>
      <c r="G32" t="s">
        <v>888</v>
      </c>
      <c r="I32">
        <v>63</v>
      </c>
      <c r="J32" s="1062">
        <f>LT_REF[[#This Row],[in Days]]/7</f>
        <v>9</v>
      </c>
      <c r="K32">
        <v>0</v>
      </c>
      <c r="L32" t="s">
        <v>10730</v>
      </c>
      <c r="N32" t="s">
        <v>4964</v>
      </c>
      <c r="O32" t="s">
        <v>2519</v>
      </c>
    </row>
    <row r="33" spans="2:15" ht="15" customHeight="1">
      <c r="B33" t="s">
        <v>2461</v>
      </c>
      <c r="C33" s="46">
        <v>46227</v>
      </c>
      <c r="E33" t="str">
        <f>LT_REF[[#This Row],[PORT OF LOADING]]&amp;LT_REF[[#This Row],[PORT DESTINATION]]</f>
        <v>TIANJINGDANSK</v>
      </c>
      <c r="F33" t="s">
        <v>77</v>
      </c>
      <c r="G33" t="s">
        <v>888</v>
      </c>
      <c r="I33">
        <f>I32+14</f>
        <v>77</v>
      </c>
      <c r="J33" s="1062">
        <f>LT_REF[[#This Row],[in Days]]/7</f>
        <v>11</v>
      </c>
      <c r="K33">
        <v>0</v>
      </c>
      <c r="N33" t="s">
        <v>10731</v>
      </c>
      <c r="O33" t="s">
        <v>2519</v>
      </c>
    </row>
    <row r="34" spans="2:15" ht="15" customHeight="1">
      <c r="B34" t="s">
        <v>2462</v>
      </c>
      <c r="C34" s="46">
        <f t="shared" ref="C34:C54" si="1">C33+7</f>
        <v>46234</v>
      </c>
      <c r="E34" t="str">
        <f>LT_REF[[#This Row],[PORT OF LOADING]]&amp;LT_REF[[#This Row],[PORT DESTINATION]]</f>
        <v>NingboGDANSK</v>
      </c>
      <c r="F34" t="s">
        <v>5994</v>
      </c>
      <c r="G34" t="s">
        <v>888</v>
      </c>
      <c r="I34">
        <f>I32</f>
        <v>63</v>
      </c>
      <c r="J34" s="1062">
        <f>LT_REF[[#This Row],[in Days]]/7</f>
        <v>9</v>
      </c>
      <c r="K34">
        <f>K32</f>
        <v>0</v>
      </c>
      <c r="N34" t="s">
        <v>5783</v>
      </c>
      <c r="O34" t="s">
        <v>2534</v>
      </c>
    </row>
    <row r="35" spans="2:15" ht="15" customHeight="1">
      <c r="B35" t="s">
        <v>2463</v>
      </c>
      <c r="C35" s="46">
        <f t="shared" si="1"/>
        <v>46241</v>
      </c>
      <c r="E35" t="str">
        <f>LT_REF[[#This Row],[PORT OF LOADING]]&amp;LT_REF[[#This Row],[PORT DESTINATION]]</f>
        <v>ShanghaiANTWERP</v>
      </c>
      <c r="F35" t="s">
        <v>123</v>
      </c>
      <c r="G35" t="s">
        <v>1084</v>
      </c>
      <c r="I35">
        <v>63</v>
      </c>
      <c r="J35" s="1062">
        <f>LT_REF[[#This Row],[in Days]]/7</f>
        <v>9</v>
      </c>
      <c r="K35">
        <v>0</v>
      </c>
      <c r="N35" t="s">
        <v>6321</v>
      </c>
      <c r="O35" t="s">
        <v>2876</v>
      </c>
    </row>
    <row r="36" spans="2:15" ht="15" customHeight="1">
      <c r="B36" t="s">
        <v>2464</v>
      </c>
      <c r="C36" s="46">
        <f t="shared" si="1"/>
        <v>46248</v>
      </c>
      <c r="E36" t="str">
        <f>LT_REF[[#This Row],[PORT OF LOADING]]&amp;LT_REF[[#This Row],[PORT DESTINATION]]</f>
        <v>TIANJINANTWERP</v>
      </c>
      <c r="F36" t="s">
        <v>77</v>
      </c>
      <c r="G36" t="s">
        <v>1084</v>
      </c>
      <c r="I36">
        <f>I35+14</f>
        <v>77</v>
      </c>
      <c r="J36" s="1062">
        <f>LT_REF[[#This Row],[in Days]]/7</f>
        <v>11</v>
      </c>
      <c r="K36">
        <v>0</v>
      </c>
      <c r="N36" t="s">
        <v>6507</v>
      </c>
      <c r="O36" t="s">
        <v>10732</v>
      </c>
    </row>
    <row r="37" spans="2:15" ht="15" customHeight="1">
      <c r="B37" t="s">
        <v>2465</v>
      </c>
      <c r="C37" s="46">
        <f t="shared" si="1"/>
        <v>46255</v>
      </c>
      <c r="E37" t="str">
        <f>LT_REF[[#This Row],[PORT OF LOADING]]&amp;LT_REF[[#This Row],[PORT DESTINATION]]</f>
        <v>ShanghaiROTTERDAM-CORK</v>
      </c>
      <c r="F37" t="s">
        <v>123</v>
      </c>
      <c r="G37" t="s">
        <v>1617</v>
      </c>
      <c r="I37">
        <f>MAX(I16,I25)</f>
        <v>56</v>
      </c>
      <c r="J37" s="1062">
        <f>LT_REF[[#This Row],[in Days]]/7</f>
        <v>8</v>
      </c>
      <c r="K37">
        <v>0</v>
      </c>
      <c r="L37" t="s">
        <v>10733</v>
      </c>
      <c r="N37" t="s">
        <v>6653</v>
      </c>
      <c r="O37" t="s">
        <v>10732</v>
      </c>
    </row>
    <row r="38" spans="2:15" ht="15" customHeight="1">
      <c r="B38" t="s">
        <v>2466</v>
      </c>
      <c r="C38" s="46">
        <f t="shared" si="1"/>
        <v>46262</v>
      </c>
      <c r="E38" t="str">
        <f>LT_REF[[#This Row],[PORT OF LOADING]]&amp;LT_REF[[#This Row],[PORT DESTINATION]]</f>
        <v>ShanghaiGRANGEMOUTH</v>
      </c>
      <c r="F38" t="s">
        <v>123</v>
      </c>
      <c r="G38" t="s">
        <v>2301</v>
      </c>
      <c r="I38">
        <f>I4+7</f>
        <v>63</v>
      </c>
      <c r="J38" s="1062">
        <f>LT_REF[[#This Row],[in Days]]/7</f>
        <v>9</v>
      </c>
      <c r="K38">
        <v>7</v>
      </c>
      <c r="N38" t="s">
        <v>7074</v>
      </c>
      <c r="O38" t="s">
        <v>10705</v>
      </c>
    </row>
    <row r="39" spans="2:15" ht="15" customHeight="1">
      <c r="B39" t="s">
        <v>2467</v>
      </c>
      <c r="C39" s="46">
        <f t="shared" si="1"/>
        <v>46269</v>
      </c>
      <c r="E39" t="str">
        <f>LT_REF[[#This Row],[PORT OF LOADING]]&amp;LT_REF[[#This Row],[PORT DESTINATION]]</f>
        <v>SHANGHAIMANILA NORTH</v>
      </c>
      <c r="F39" t="s">
        <v>122</v>
      </c>
      <c r="G39" t="s">
        <v>946</v>
      </c>
      <c r="I39">
        <v>14</v>
      </c>
      <c r="J39" s="1062">
        <f>LT_REF[[#This Row],[in Days]]/7</f>
        <v>2</v>
      </c>
      <c r="K39">
        <v>0</v>
      </c>
      <c r="O39" t="s">
        <v>10705</v>
      </c>
    </row>
    <row r="40" spans="2:15">
      <c r="B40" t="s">
        <v>2468</v>
      </c>
      <c r="C40" s="46">
        <f t="shared" si="1"/>
        <v>46276</v>
      </c>
      <c r="E40" t="str">
        <f>LT_REF[[#This Row],[PORT OF LOADING]]&amp;LT_REF[[#This Row],[PORT DESTINATION]]</f>
        <v>SHENZHENROTTERDAM</v>
      </c>
      <c r="F40" t="s">
        <v>288</v>
      </c>
      <c r="G40" t="s">
        <v>105</v>
      </c>
      <c r="H40" t="s">
        <v>100</v>
      </c>
      <c r="I40">
        <f>I16-7</f>
        <v>49</v>
      </c>
      <c r="J40" s="1062">
        <f>LT_REF[[#This Row],[in Days]]/7</f>
        <v>7</v>
      </c>
      <c r="K40">
        <v>7</v>
      </c>
    </row>
    <row r="41" spans="2:15">
      <c r="B41" t="s">
        <v>2469</v>
      </c>
      <c r="C41" s="46">
        <f t="shared" si="1"/>
        <v>46283</v>
      </c>
      <c r="E41" t="str">
        <f>LT_REF[[#This Row],[PORT OF LOADING]]&amp;LT_REF[[#This Row],[PORT DESTINATION]]</f>
        <v>SHENZHENGENOA</v>
      </c>
      <c r="F41" t="s">
        <v>288</v>
      </c>
      <c r="G41" t="s">
        <v>314</v>
      </c>
      <c r="H41" t="s">
        <v>310</v>
      </c>
      <c r="I41">
        <f>I10-7</f>
        <v>53</v>
      </c>
      <c r="J41" s="1062">
        <f>LT_REF[[#This Row],[in Days]]/7</f>
        <v>7.5714285714285712</v>
      </c>
      <c r="K41">
        <v>10</v>
      </c>
    </row>
    <row r="42" spans="2:15" ht="14">
      <c r="B42" t="s">
        <v>2470</v>
      </c>
      <c r="C42" s="46">
        <f t="shared" si="1"/>
        <v>46290</v>
      </c>
      <c r="E42" t="str">
        <f>LT_REF[[#This Row],[PORT OF LOADING]]&amp;LT_REF[[#This Row],[PORT DESTINATION]]</f>
        <v>ShanghaiLondon Gateway</v>
      </c>
      <c r="F42" t="s">
        <v>123</v>
      </c>
      <c r="G42" s="1196" t="s">
        <v>7950</v>
      </c>
      <c r="H42" t="s">
        <v>450</v>
      </c>
      <c r="I42" s="1197"/>
      <c r="J42" s="1198"/>
      <c r="K42" s="228"/>
    </row>
    <row r="43" spans="2:15">
      <c r="B43" t="s">
        <v>2471</v>
      </c>
      <c r="C43" s="46">
        <f t="shared" si="1"/>
        <v>46297</v>
      </c>
      <c r="E43" t="str">
        <f>LT_REF[[#This Row],[PORT OF LOADING]]&amp;LT_REF[[#This Row],[PORT DESTINATION]]</f>
        <v>SHENZHENFELIXSTOWE</v>
      </c>
      <c r="F43" t="s">
        <v>288</v>
      </c>
      <c r="G43" t="s">
        <v>456</v>
      </c>
      <c r="H43" t="s">
        <v>450</v>
      </c>
      <c r="I43">
        <f>I4-7</f>
        <v>49</v>
      </c>
      <c r="J43" s="1062">
        <f>LT_REF[[#This Row],[in Days]]/7</f>
        <v>7</v>
      </c>
      <c r="K43">
        <v>7</v>
      </c>
    </row>
    <row r="44" spans="2:15">
      <c r="B44" t="s">
        <v>2472</v>
      </c>
      <c r="C44" s="46">
        <f t="shared" si="1"/>
        <v>46304</v>
      </c>
      <c r="J44" s="1062"/>
    </row>
    <row r="45" spans="2:15">
      <c r="B45" t="s">
        <v>2473</v>
      </c>
      <c r="C45" s="46">
        <f t="shared" si="1"/>
        <v>46311</v>
      </c>
    </row>
    <row r="46" spans="2:15">
      <c r="B46" t="s">
        <v>2474</v>
      </c>
      <c r="C46" s="46">
        <f t="shared" si="1"/>
        <v>46318</v>
      </c>
    </row>
    <row r="47" spans="2:15">
      <c r="B47" t="s">
        <v>2475</v>
      </c>
      <c r="C47" s="46">
        <f t="shared" si="1"/>
        <v>46325</v>
      </c>
      <c r="H47" s="619"/>
    </row>
    <row r="48" spans="2:15">
      <c r="B48" t="s">
        <v>7334</v>
      </c>
      <c r="C48" s="46">
        <f t="shared" si="1"/>
        <v>46332</v>
      </c>
      <c r="F48" s="1026" t="s">
        <v>7950</v>
      </c>
    </row>
    <row r="49" spans="1:8">
      <c r="B49" t="s">
        <v>7339</v>
      </c>
      <c r="C49" s="46">
        <f t="shared" si="1"/>
        <v>46339</v>
      </c>
      <c r="H49" s="214"/>
    </row>
    <row r="50" spans="1:8">
      <c r="B50" t="s">
        <v>7365</v>
      </c>
      <c r="C50" s="46">
        <f t="shared" si="1"/>
        <v>46346</v>
      </c>
    </row>
    <row r="51" spans="1:8">
      <c r="B51" t="s">
        <v>7379</v>
      </c>
      <c r="C51" s="46">
        <f t="shared" si="1"/>
        <v>46353</v>
      </c>
    </row>
    <row r="52" spans="1:8" ht="14">
      <c r="A52" s="1022"/>
      <c r="B52" t="s">
        <v>10734</v>
      </c>
      <c r="C52" s="46">
        <f t="shared" si="1"/>
        <v>46360</v>
      </c>
    </row>
    <row r="53" spans="1:8">
      <c r="B53" t="s">
        <v>7370</v>
      </c>
      <c r="C53" s="46">
        <f t="shared" si="1"/>
        <v>46367</v>
      </c>
    </row>
    <row r="54" spans="1:8">
      <c r="B54" t="s">
        <v>7381</v>
      </c>
      <c r="C54" s="46">
        <f t="shared" si="1"/>
        <v>46374</v>
      </c>
    </row>
    <row r="69" spans="2:22">
      <c r="V69" t="s">
        <v>10735</v>
      </c>
    </row>
    <row r="70" spans="2:22">
      <c r="V70" t="s">
        <v>10736</v>
      </c>
    </row>
    <row r="71" spans="2:22">
      <c r="U71" t="s">
        <v>114</v>
      </c>
      <c r="V71" t="s">
        <v>10737</v>
      </c>
    </row>
    <row r="72" spans="2:22">
      <c r="U72" t="s">
        <v>310</v>
      </c>
      <c r="V72" t="s">
        <v>10738</v>
      </c>
    </row>
    <row r="73" spans="2:22">
      <c r="B73" s="294"/>
      <c r="U73" t="s">
        <v>100</v>
      </c>
      <c r="V73" t="s">
        <v>10739</v>
      </c>
    </row>
    <row r="74" spans="2:22">
      <c r="B74" s="294"/>
      <c r="U74" t="s">
        <v>65</v>
      </c>
    </row>
    <row r="75" spans="2:22">
      <c r="B75" s="294"/>
      <c r="U75" t="s">
        <v>450</v>
      </c>
    </row>
    <row r="76" spans="2:22">
      <c r="B76" s="294"/>
    </row>
  </sheetData>
  <protectedRanges>
    <protectedRange sqref="N3:O3" name="PV_Data_2"/>
    <protectedRange sqref="G38:H38 S63 H39" name="PV_Data"/>
  </protectedRanges>
  <sortState xmlns:xlrd2="http://schemas.microsoft.com/office/spreadsheetml/2017/richdata2" ref="U71:U95">
    <sortCondition ref="U71:U95"/>
  </sortState>
  <phoneticPr fontId="0" type="noConversion"/>
  <dataValidations count="2">
    <dataValidation allowBlank="1" showInputMessage="1" showErrorMessage="1" sqref="N3:O3 F48" xr:uid="{262B2EE3-E995-4834-9635-6DE6981D509C}"/>
    <dataValidation type="list" allowBlank="1" showInputMessage="1" showErrorMessage="1" sqref="G39" xr:uid="{1CF5CC15-AE69-4591-BEAD-09880FE1880A}">
      <formula1>$S$4:$S$30</formula1>
    </dataValidation>
  </dataValidation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93D4040A-4FAB-4EFE-96F7-1F9C7A5515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EE715B-DAB8-4D1C-9C3F-995C010FA2FD}">
  <ds:schemaRefs>
    <ds:schemaRef ds:uri="http://schemas.microsoft.com/office/2006/metadata/properties"/>
    <ds:schemaRef ds:uri="http://schemas.microsoft.com/office/infopath/2007/PartnerControls"/>
    <ds:schemaRef ds:uri="bab72da5-8012-4793-a6d2-7233248b2692"/>
    <ds:schemaRef ds:uri="2b3fffea-ccfa-4079-8527-8ee4d8b7d40d"/>
  </ds:schemaRefs>
</ds:datastoreItem>
</file>

<file path=customXml/itemProps3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H1-2026 PV DATA</vt:lpstr>
      <vt:lpstr>CT capacity tracker</vt:lpstr>
      <vt:lpstr>H2-2025 PV DATA</vt:lpstr>
      <vt:lpstr>PV SUPPLY DATA</vt:lpstr>
      <vt:lpstr>ESS SUPPLY DATA</vt:lpstr>
      <vt:lpstr>New Ark data</vt:lpstr>
      <vt:lpstr>Carole - Sales Requests</vt:lpstr>
      <vt:lpstr>CT tracker site</vt:lpstr>
      <vt:lpstr>Sheet3</vt:lpstr>
      <vt:lpstr>Vessel</vt:lpstr>
      <vt:lpstr>ESS ATP JB</vt:lpstr>
      <vt:lpstr>H1-2025 PV DATA</vt:lpstr>
      <vt:lpstr>SAMPLES &amp; SPARE PARTS</vt:lpstr>
      <vt:lpstr>Sheet2</vt:lpstr>
      <vt:lpstr>Diane - MDS </vt:lpstr>
      <vt:lpstr>Priority Level</vt:lpstr>
      <vt:lpstr>Product Spec</vt:lpstr>
      <vt:lpstr>PO Check</vt:lpstr>
      <vt:lpstr>Total Stock</vt:lpstr>
      <vt:lpstr>Assumption ATP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2026-10-12T06:21:31Z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